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22995" windowHeight="9090"/>
  </bookViews>
  <sheets>
    <sheet name="แบบ ภดส1" sheetId="1" r:id="rId1"/>
  </sheets>
  <externalReferences>
    <externalReference r:id="rId2"/>
  </externalReferences>
  <definedNames>
    <definedName name="_xlnm.Print_Area" localSheetId="0">'แบบ ภดส1'!$A$1:$AQ$8900</definedName>
    <definedName name="_xlnm.Print_Titles" localSheetId="0">'แบบ ภดส1'!$1:$5</definedName>
  </definedNames>
  <calcPr calcId="144525"/>
</workbook>
</file>

<file path=xl/calcChain.xml><?xml version="1.0" encoding="utf-8"?>
<calcChain xmlns="http://schemas.openxmlformats.org/spreadsheetml/2006/main">
  <c r="A8659" i="1" l="1"/>
  <c r="A8660" i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58" i="1"/>
  <c r="A8633" i="1"/>
  <c r="A8634" i="1"/>
  <c r="A8635" i="1"/>
  <c r="A8636" i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32" i="1"/>
  <c r="A8619" i="1"/>
  <c r="A8620" i="1"/>
  <c r="A8621" i="1"/>
  <c r="A8622" i="1"/>
  <c r="A8623" i="1" s="1"/>
  <c r="A8624" i="1" s="1"/>
  <c r="A8625" i="1" s="1"/>
  <c r="A8626" i="1" s="1"/>
  <c r="A8627" i="1" s="1"/>
  <c r="A8628" i="1" s="1"/>
  <c r="A8629" i="1" s="1"/>
  <c r="A8618" i="1"/>
  <c r="A8516" i="1"/>
  <c r="A8517" i="1"/>
  <c r="A8518" i="1" s="1"/>
  <c r="A8519" i="1" s="1"/>
  <c r="A8515" i="1"/>
  <c r="A8460" i="1"/>
  <c r="A8461" i="1"/>
  <c r="A8459" i="1"/>
  <c r="A8443" i="1"/>
  <c r="A8444" i="1"/>
  <c r="A8445" i="1" s="1"/>
  <c r="A8446" i="1" s="1"/>
  <c r="A8447" i="1" s="1"/>
  <c r="A8448" i="1" s="1"/>
  <c r="A8449" i="1" s="1"/>
  <c r="A8450" i="1" s="1"/>
  <c r="A8451" i="1" s="1"/>
  <c r="A8452" i="1" s="1"/>
  <c r="A8453" i="1" s="1"/>
  <c r="A8442" i="1"/>
  <c r="A8405" i="1"/>
  <c r="A8406" i="1"/>
  <c r="A8407" i="1" s="1"/>
  <c r="A8408" i="1" s="1"/>
  <c r="A8404" i="1"/>
  <c r="A8394" i="1"/>
  <c r="A8395" i="1"/>
  <c r="A8396" i="1"/>
  <c r="A8397" i="1"/>
  <c r="A8393" i="1"/>
  <c r="A8376" i="1"/>
  <c r="A8248" i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247" i="1"/>
  <c r="A8239" i="1"/>
  <c r="A8240" i="1"/>
  <c r="A8238" i="1"/>
  <c r="A8231" i="1"/>
  <c r="A8232" i="1"/>
  <c r="A8230" i="1"/>
  <c r="A8211" i="1"/>
  <c r="A8212" i="1"/>
  <c r="A8213" i="1"/>
  <c r="A8210" i="1"/>
  <c r="A8205" i="1"/>
  <c r="A8206" i="1"/>
  <c r="A8204" i="1"/>
  <c r="A8196" i="1"/>
  <c r="A8197" i="1"/>
  <c r="A8198" i="1"/>
  <c r="A8199" i="1"/>
  <c r="A8200" i="1" s="1"/>
  <c r="A8195" i="1"/>
  <c r="A8186" i="1"/>
  <c r="A8187" i="1"/>
  <c r="A8188" i="1" s="1"/>
  <c r="A8189" i="1" s="1"/>
  <c r="A8190" i="1" s="1"/>
  <c r="A8185" i="1"/>
  <c r="A8174" i="1"/>
  <c r="A8175" i="1"/>
  <c r="A8176" i="1" s="1"/>
  <c r="A8177" i="1" s="1"/>
  <c r="A8178" i="1" s="1"/>
  <c r="A8173" i="1"/>
  <c r="A8156" i="1"/>
  <c r="A8157" i="1"/>
  <c r="A8158" i="1"/>
  <c r="A8159" i="1"/>
  <c r="A8160" i="1" s="1"/>
  <c r="A8161" i="1" s="1"/>
  <c r="A8162" i="1" s="1"/>
  <c r="A8163" i="1" s="1"/>
  <c r="A8164" i="1" s="1"/>
  <c r="A8165" i="1" s="1"/>
  <c r="A8166" i="1" s="1"/>
  <c r="A8167" i="1" s="1"/>
  <c r="A8155" i="1"/>
  <c r="A8148" i="1"/>
  <c r="A8149" i="1"/>
  <c r="A8150" i="1" s="1"/>
  <c r="A8151" i="1" s="1"/>
  <c r="A8152" i="1" s="1"/>
  <c r="A8147" i="1"/>
  <c r="A8071" i="1"/>
  <c r="A8072" i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070" i="1"/>
  <c r="A8054" i="1"/>
  <c r="A8055" i="1"/>
  <c r="A8053" i="1"/>
  <c r="A8045" i="1"/>
  <c r="A8046" i="1"/>
  <c r="A8047" i="1"/>
  <c r="A8048" i="1"/>
  <c r="A8044" i="1"/>
  <c r="A8025" i="1"/>
  <c r="A8026" i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24" i="1"/>
  <c r="A8007" i="1"/>
  <c r="A8008" i="1"/>
  <c r="A8009" i="1"/>
  <c r="A8010" i="1"/>
  <c r="A8006" i="1"/>
  <c r="A7982" i="1"/>
  <c r="A7983" i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7981" i="1"/>
  <c r="A7967" i="1"/>
  <c r="A7968" i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66" i="1"/>
  <c r="A7963" i="1"/>
  <c r="A7962" i="1"/>
  <c r="A7952" i="1"/>
  <c r="A7953" i="1"/>
  <c r="A7954" i="1" s="1"/>
  <c r="A7955" i="1" s="1"/>
  <c r="A7956" i="1" s="1"/>
  <c r="A7957" i="1" s="1"/>
  <c r="A7958" i="1" s="1"/>
  <c r="A7959" i="1" s="1"/>
  <c r="A7951" i="1"/>
  <c r="A7945" i="1"/>
  <c r="A7946" i="1"/>
  <c r="A7947" i="1" s="1"/>
  <c r="A7944" i="1"/>
  <c r="A7930" i="1"/>
  <c r="A7931" i="1" s="1"/>
  <c r="A7932" i="1" s="1"/>
  <c r="A7933" i="1" s="1"/>
  <c r="A7934" i="1" s="1"/>
  <c r="A7935" i="1" s="1"/>
  <c r="A7936" i="1" s="1"/>
  <c r="A7937" i="1" s="1"/>
  <c r="A7927" i="1"/>
  <c r="A7919" i="1"/>
  <c r="A7920" i="1"/>
  <c r="A7921" i="1"/>
  <c r="A7922" i="1"/>
  <c r="A7923" i="1" s="1"/>
  <c r="A7918" i="1"/>
  <c r="A7915" i="1"/>
  <c r="A7914" i="1"/>
  <c r="A7910" i="1"/>
  <c r="A7911" i="1"/>
  <c r="A7909" i="1"/>
  <c r="A7903" i="1"/>
  <c r="A7902" i="1"/>
  <c r="A7892" i="1"/>
  <c r="A7893" i="1"/>
  <c r="A7894" i="1" s="1"/>
  <c r="A7895" i="1" s="1"/>
  <c r="A7896" i="1" s="1"/>
  <c r="A7897" i="1" s="1"/>
  <c r="A7887" i="1"/>
  <c r="A7888" i="1"/>
  <c r="A7889" i="1" s="1"/>
  <c r="A7890" i="1" s="1"/>
  <c r="A7891" i="1" s="1"/>
  <c r="A7886" i="1"/>
  <c r="A7881" i="1"/>
  <c r="A7882" i="1"/>
  <c r="A7883" i="1" s="1"/>
  <c r="A7880" i="1"/>
  <c r="A7870" i="1"/>
  <c r="A7871" i="1"/>
  <c r="A7872" i="1" s="1"/>
  <c r="A7873" i="1" s="1"/>
  <c r="A7874" i="1" s="1"/>
  <c r="A7875" i="1" s="1"/>
  <c r="A7876" i="1" s="1"/>
  <c r="A7869" i="1"/>
  <c r="A7857" i="1"/>
  <c r="A7858" i="1"/>
  <c r="A7859" i="1"/>
  <c r="A7860" i="1"/>
  <c r="A7861" i="1" s="1"/>
  <c r="A7862" i="1" s="1"/>
  <c r="A7863" i="1" s="1"/>
  <c r="A7864" i="1" s="1"/>
  <c r="A7865" i="1" s="1"/>
  <c r="A7866" i="1" s="1"/>
  <c r="A7856" i="1"/>
  <c r="A7849" i="1"/>
  <c r="A7850" i="1"/>
  <c r="A7851" i="1"/>
  <c r="A7852" i="1"/>
  <c r="A7853" i="1" s="1"/>
  <c r="A7848" i="1"/>
  <c r="A7840" i="1"/>
  <c r="A7841" i="1"/>
  <c r="A7842" i="1" s="1"/>
  <c r="A7843" i="1" s="1"/>
  <c r="A7839" i="1"/>
  <c r="A7822" i="1"/>
  <c r="A7823" i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21" i="1"/>
  <c r="A7813" i="1"/>
  <c r="A7814" i="1"/>
  <c r="A7815" i="1" s="1"/>
  <c r="A7816" i="1" s="1"/>
  <c r="A7812" i="1"/>
  <c r="A7787" i="1"/>
  <c r="A7788" i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786" i="1"/>
  <c r="A7774" i="1"/>
  <c r="A7775" i="1" s="1"/>
  <c r="A7773" i="1"/>
  <c r="A7764" i="1"/>
  <c r="A7765" i="1"/>
  <c r="A7766" i="1" s="1"/>
  <c r="A7767" i="1" s="1"/>
  <c r="A7768" i="1" s="1"/>
  <c r="A7769" i="1" s="1"/>
  <c r="A7770" i="1" s="1"/>
  <c r="A7763" i="1"/>
  <c r="A7748" i="1"/>
  <c r="A7749" i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47" i="1"/>
  <c r="A7735" i="1"/>
  <c r="A7736" i="1"/>
  <c r="A7737" i="1"/>
  <c r="A7738" i="1"/>
  <c r="A7739" i="1" s="1"/>
  <c r="A7740" i="1" s="1"/>
  <c r="A7741" i="1" s="1"/>
  <c r="A7742" i="1" s="1"/>
  <c r="A7743" i="1" s="1"/>
  <c r="A7744" i="1" s="1"/>
  <c r="A7734" i="1"/>
  <c r="A7728" i="1"/>
  <c r="A7729" i="1"/>
  <c r="A7730" i="1" s="1"/>
  <c r="A7731" i="1" s="1"/>
  <c r="A7727" i="1"/>
  <c r="A7703" i="1"/>
  <c r="A7704" i="1"/>
  <c r="A7705" i="1"/>
  <c r="A7706" i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02" i="1"/>
  <c r="A7698" i="1"/>
  <c r="A7697" i="1"/>
  <c r="A7690" i="1"/>
  <c r="A7691" i="1"/>
  <c r="A7692" i="1" s="1"/>
  <c r="A7657" i="1"/>
  <c r="A7658" i="1"/>
  <c r="A7659" i="1"/>
  <c r="A7660" i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56" i="1"/>
  <c r="A7642" i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41" i="1"/>
  <c r="A7634" i="1"/>
  <c r="A7635" i="1"/>
  <c r="A7636" i="1"/>
  <c r="A7637" i="1"/>
  <c r="A7638" i="1" s="1"/>
  <c r="A7633" i="1"/>
  <c r="A7626" i="1"/>
  <c r="A7627" i="1"/>
  <c r="A7628" i="1" s="1"/>
  <c r="A7629" i="1" s="1"/>
  <c r="A7625" i="1"/>
  <c r="A7620" i="1"/>
  <c r="A7621" i="1"/>
  <c r="A7619" i="1"/>
  <c r="A7608" i="1"/>
  <c r="A7609" i="1"/>
  <c r="A7610" i="1"/>
  <c r="A7611" i="1"/>
  <c r="A7612" i="1" s="1"/>
  <c r="A7613" i="1" s="1"/>
  <c r="A7607" i="1"/>
  <c r="A7600" i="1"/>
  <c r="A7601" i="1"/>
  <c r="A7602" i="1" s="1"/>
  <c r="A7603" i="1" s="1"/>
  <c r="A7604" i="1" s="1"/>
  <c r="A7599" i="1"/>
  <c r="A7585" i="1"/>
  <c r="A7586" i="1"/>
  <c r="A7587" i="1" s="1"/>
  <c r="A7588" i="1" s="1"/>
  <c r="A7589" i="1" s="1"/>
  <c r="A7590" i="1" s="1"/>
  <c r="A7591" i="1" s="1"/>
  <c r="A7584" i="1"/>
  <c r="A7467" i="1"/>
  <c r="A7468" i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466" i="1"/>
  <c r="A7448" i="1"/>
  <c r="A7449" i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47" i="1"/>
  <c r="A7422" i="1"/>
  <c r="A7423" i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21" i="1"/>
  <c r="A7418" i="1"/>
  <c r="A7417" i="1"/>
  <c r="A7399" i="1"/>
  <c r="A7400" i="1"/>
  <c r="A7401" i="1"/>
  <c r="A7402" i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398" i="1"/>
  <c r="A7392" i="1"/>
  <c r="A7393" i="1"/>
  <c r="A7394" i="1" s="1"/>
  <c r="A7391" i="1"/>
  <c r="A7379" i="1"/>
  <c r="A7380" i="1"/>
  <c r="A7381" i="1" s="1"/>
  <c r="A7382" i="1" s="1"/>
  <c r="A7383" i="1" s="1"/>
  <c r="A7384" i="1" s="1"/>
  <c r="A7385" i="1" s="1"/>
  <c r="A7386" i="1" s="1"/>
  <c r="A7387" i="1" s="1"/>
  <c r="A7388" i="1" s="1"/>
  <c r="A7378" i="1"/>
  <c r="A7364" i="1"/>
  <c r="A7365" i="1"/>
  <c r="A7366" i="1" s="1"/>
  <c r="A7367" i="1" s="1"/>
  <c r="A7368" i="1" s="1"/>
  <c r="A7369" i="1" s="1"/>
  <c r="A7370" i="1" s="1"/>
  <c r="A7371" i="1" s="1"/>
  <c r="A7372" i="1" s="1"/>
  <c r="A7373" i="1" s="1"/>
  <c r="A7374" i="1" s="1"/>
  <c r="A7363" i="1"/>
  <c r="A7356" i="1"/>
  <c r="A7357" i="1"/>
  <c r="A7358" i="1" s="1"/>
  <c r="A7359" i="1" s="1"/>
  <c r="A7355" i="1"/>
  <c r="A7285" i="1"/>
  <c r="A7286" i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284" i="1"/>
  <c r="A7259" i="1"/>
  <c r="A7260" i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58" i="1"/>
  <c r="A7253" i="1"/>
  <c r="A7254" i="1"/>
  <c r="A7255" i="1" s="1"/>
  <c r="A7252" i="1"/>
  <c r="A7245" i="1"/>
  <c r="A7246" i="1"/>
  <c r="A7247" i="1" s="1"/>
  <c r="A7248" i="1" s="1"/>
  <c r="A7249" i="1" s="1"/>
  <c r="A7244" i="1"/>
  <c r="A7240" i="1"/>
  <c r="A7232" i="1"/>
  <c r="A7233" i="1"/>
  <c r="A7234" i="1"/>
  <c r="A7235" i="1"/>
  <c r="A7236" i="1" s="1"/>
  <c r="A7237" i="1" s="1"/>
  <c r="A7238" i="1" s="1"/>
  <c r="A7239" i="1" s="1"/>
  <c r="A7231" i="1"/>
  <c r="A7225" i="1"/>
  <c r="A7226" i="1"/>
  <c r="A7227" i="1" s="1"/>
  <c r="A7228" i="1" s="1"/>
  <c r="A7224" i="1"/>
  <c r="A7214" i="1"/>
  <c r="A7215" i="1"/>
  <c r="A7216" i="1" s="1"/>
  <c r="A7217" i="1" s="1"/>
  <c r="A7218" i="1" s="1"/>
  <c r="A7219" i="1" s="1"/>
  <c r="A7220" i="1" s="1"/>
  <c r="A7221" i="1" s="1"/>
  <c r="A7213" i="1"/>
  <c r="A7197" i="1"/>
  <c r="A7198" i="1"/>
  <c r="A7199" i="1"/>
  <c r="A7200" i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196" i="1"/>
  <c r="A7191" i="1"/>
  <c r="A7190" i="1"/>
  <c r="A7172" i="1"/>
  <c r="A7173" i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71" i="1"/>
  <c r="A7156" i="1"/>
  <c r="A7157" i="1"/>
  <c r="A7158" i="1"/>
  <c r="A7159" i="1"/>
  <c r="A7160" i="1" s="1"/>
  <c r="A7161" i="1" s="1"/>
  <c r="A7162" i="1" s="1"/>
  <c r="A7163" i="1" s="1"/>
  <c r="A7164" i="1" s="1"/>
  <c r="A7165" i="1" s="1"/>
  <c r="A7155" i="1"/>
  <c r="A7129" i="1"/>
  <c r="A7130" i="1"/>
  <c r="A7131" i="1"/>
  <c r="A7132" i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28" i="1"/>
  <c r="A7114" i="1"/>
  <c r="A7115" i="1"/>
  <c r="A7116" i="1" s="1"/>
  <c r="A7117" i="1" s="1"/>
  <c r="A7118" i="1" s="1"/>
  <c r="A7119" i="1" s="1"/>
  <c r="A7120" i="1" s="1"/>
  <c r="A7121" i="1" s="1"/>
  <c r="A7122" i="1" s="1"/>
  <c r="A7123" i="1" s="1"/>
  <c r="A7113" i="1"/>
  <c r="A7105" i="1"/>
  <c r="A7106" i="1"/>
  <c r="A7107" i="1" s="1"/>
  <c r="A7104" i="1"/>
  <c r="A7100" i="1"/>
  <c r="A7101" i="1"/>
  <c r="A7099" i="1"/>
  <c r="A7087" i="1"/>
  <c r="A7088" i="1"/>
  <c r="A7089" i="1" s="1"/>
  <c r="A7086" i="1"/>
  <c r="A7052" i="1"/>
  <c r="A7053" i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51" i="1"/>
  <c r="A7039" i="1"/>
  <c r="A7040" i="1"/>
  <c r="A7041" i="1"/>
  <c r="A7042" i="1"/>
  <c r="A7043" i="1" s="1"/>
  <c r="A7044" i="1" s="1"/>
  <c r="A7045" i="1" s="1"/>
  <c r="A7038" i="1"/>
  <c r="A7033" i="1"/>
  <c r="A7034" i="1"/>
  <c r="A7035" i="1" s="1"/>
  <c r="A7032" i="1"/>
  <c r="A7027" i="1"/>
  <c r="A7028" i="1"/>
  <c r="A7029" i="1" s="1"/>
  <c r="A7026" i="1"/>
  <c r="A7021" i="1"/>
  <c r="A7022" i="1"/>
  <c r="A7020" i="1"/>
  <c r="A6999" i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6998" i="1"/>
  <c r="A6989" i="1"/>
  <c r="A6990" i="1"/>
  <c r="A6991" i="1" s="1"/>
  <c r="A6992" i="1" s="1"/>
  <c r="A6993" i="1" s="1"/>
  <c r="A6988" i="1"/>
  <c r="A6980" i="1"/>
  <c r="A6981" i="1"/>
  <c r="A6982" i="1"/>
  <c r="A6983" i="1"/>
  <c r="A6984" i="1" s="1"/>
  <c r="A6985" i="1" s="1"/>
  <c r="A6979" i="1"/>
  <c r="A6970" i="1"/>
  <c r="A6971" i="1"/>
  <c r="A6972" i="1" s="1"/>
  <c r="A6973" i="1" s="1"/>
  <c r="A6974" i="1" s="1"/>
  <c r="A6975" i="1" s="1"/>
  <c r="A6976" i="1" s="1"/>
  <c r="A6969" i="1"/>
  <c r="A6960" i="1"/>
  <c r="A6961" i="1"/>
  <c r="A6962" i="1" s="1"/>
  <c r="A6963" i="1" s="1"/>
  <c r="A6964" i="1" s="1"/>
  <c r="A6965" i="1" s="1"/>
  <c r="A6959" i="1"/>
  <c r="A6950" i="1"/>
  <c r="A6951" i="1"/>
  <c r="A6952" i="1" s="1"/>
  <c r="A6953" i="1" s="1"/>
  <c r="A6954" i="1" s="1"/>
  <c r="A6955" i="1" s="1"/>
  <c r="A6949" i="1"/>
  <c r="A6946" i="1"/>
  <c r="A6945" i="1"/>
  <c r="A6939" i="1"/>
  <c r="A6940" i="1"/>
  <c r="A6941" i="1" s="1"/>
  <c r="A6942" i="1" s="1"/>
  <c r="A6938" i="1"/>
  <c r="A6929" i="1"/>
  <c r="A6930" i="1"/>
  <c r="A6931" i="1" s="1"/>
  <c r="A6932" i="1" s="1"/>
  <c r="A6933" i="1" s="1"/>
  <c r="A6934" i="1" s="1"/>
  <c r="A6935" i="1" s="1"/>
  <c r="A6928" i="1"/>
  <c r="A6910" i="1"/>
  <c r="A6911" i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09" i="1"/>
  <c r="A6903" i="1"/>
  <c r="A6904" i="1"/>
  <c r="A6905" i="1" s="1"/>
  <c r="A6906" i="1" s="1"/>
  <c r="A6902" i="1"/>
  <c r="A6898" i="1"/>
  <c r="A6899" i="1"/>
  <c r="A6897" i="1"/>
  <c r="A6860" i="1"/>
  <c r="A6861" i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59" i="1"/>
  <c r="A6855" i="1"/>
  <c r="A6856" i="1" s="1"/>
  <c r="A6854" i="1"/>
  <c r="A6831" i="1"/>
  <c r="A6832" i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30" i="1"/>
  <c r="A6823" i="1"/>
  <c r="A6824" i="1"/>
  <c r="A6825" i="1" s="1"/>
  <c r="A6822" i="1"/>
  <c r="A6817" i="1"/>
  <c r="A6818" i="1"/>
  <c r="A6819" i="1"/>
  <c r="A6816" i="1"/>
  <c r="A6785" i="1"/>
  <c r="A6786" i="1"/>
  <c r="A6787" i="1"/>
  <c r="A6788" i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784" i="1"/>
  <c r="A6776" i="1"/>
  <c r="A6777" i="1"/>
  <c r="A6778" i="1"/>
  <c r="A6779" i="1"/>
  <c r="A6780" i="1" s="1"/>
  <c r="A6775" i="1"/>
  <c r="A6769" i="1"/>
  <c r="A6770" i="1" s="1"/>
  <c r="A6768" i="1"/>
  <c r="A6761" i="1"/>
  <c r="A6762" i="1"/>
  <c r="A6763" i="1"/>
  <c r="A6764" i="1"/>
  <c r="A6765" i="1" s="1"/>
  <c r="A6760" i="1"/>
  <c r="A6746" i="1"/>
  <c r="A6747" i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45" i="1"/>
  <c r="A6734" i="1"/>
  <c r="A6735" i="1"/>
  <c r="A6736" i="1" s="1"/>
  <c r="A6737" i="1" s="1"/>
  <c r="A6738" i="1" s="1"/>
  <c r="A6739" i="1" s="1"/>
  <c r="A6740" i="1" s="1"/>
  <c r="A6741" i="1" s="1"/>
  <c r="A6742" i="1" s="1"/>
  <c r="A6733" i="1"/>
  <c r="A6715" i="1"/>
  <c r="A6716" i="1"/>
  <c r="A6717" i="1"/>
  <c r="A6718" i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14" i="1"/>
  <c r="A6705" i="1"/>
  <c r="A6706" i="1"/>
  <c r="A6707" i="1" s="1"/>
  <c r="A6708" i="1" s="1"/>
  <c r="A6704" i="1"/>
  <c r="A6671" i="1"/>
  <c r="A6672" i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670" i="1"/>
  <c r="A6665" i="1"/>
  <c r="A6666" i="1"/>
  <c r="A6667" i="1" s="1"/>
  <c r="A6664" i="1"/>
  <c r="A6656" i="1"/>
  <c r="A6657" i="1"/>
  <c r="A6658" i="1" s="1"/>
  <c r="A6659" i="1" s="1"/>
  <c r="A6660" i="1" s="1"/>
  <c r="A6655" i="1"/>
  <c r="A6637" i="1"/>
  <c r="A6638" i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36" i="1"/>
  <c r="A6624" i="1"/>
  <c r="A6625" i="1" s="1"/>
  <c r="A6626" i="1" s="1"/>
  <c r="A6627" i="1" s="1"/>
  <c r="A6628" i="1" s="1"/>
  <c r="A6629" i="1" s="1"/>
  <c r="A6630" i="1" s="1"/>
  <c r="A6631" i="1" s="1"/>
  <c r="A6632" i="1" s="1"/>
  <c r="A6633" i="1" s="1"/>
  <c r="A6623" i="1"/>
  <c r="A6617" i="1"/>
  <c r="A6618" i="1"/>
  <c r="A6616" i="1"/>
  <c r="A6590" i="1"/>
  <c r="A6591" i="1"/>
  <c r="A6592" i="1"/>
  <c r="A6593" i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589" i="1"/>
  <c r="A6568" i="1"/>
  <c r="A6569" i="1"/>
  <c r="A6570" i="1" s="1"/>
  <c r="A6571" i="1" s="1"/>
  <c r="A6572" i="1" s="1"/>
  <c r="A6573" i="1" s="1"/>
  <c r="A6574" i="1" s="1"/>
  <c r="A6575" i="1" s="1"/>
  <c r="A6567" i="1"/>
  <c r="A6552" i="1"/>
  <c r="A6553" i="1"/>
  <c r="A6554" i="1"/>
  <c r="A6555" i="1"/>
  <c r="A6556" i="1" s="1"/>
  <c r="A6557" i="1" s="1"/>
  <c r="A6558" i="1" s="1"/>
  <c r="A6559" i="1" s="1"/>
  <c r="A6560" i="1" s="1"/>
  <c r="A6561" i="1" s="1"/>
  <c r="A6551" i="1"/>
  <c r="A6546" i="1"/>
  <c r="A6547" i="1"/>
  <c r="A6548" i="1" s="1"/>
  <c r="A6545" i="1"/>
  <c r="A6529" i="1"/>
  <c r="A6528" i="1"/>
  <c r="A6521" i="1"/>
  <c r="A6522" i="1"/>
  <c r="A6523" i="1"/>
  <c r="A6502" i="1"/>
  <c r="A6503" i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01" i="1"/>
  <c r="A6495" i="1"/>
  <c r="A6485" i="1"/>
  <c r="A6486" i="1"/>
  <c r="A6487" i="1"/>
  <c r="A6488" i="1"/>
  <c r="A6489" i="1" s="1"/>
  <c r="A6490" i="1" s="1"/>
  <c r="A6491" i="1" s="1"/>
  <c r="A6484" i="1"/>
  <c r="A6477" i="1"/>
  <c r="A6478" i="1" s="1"/>
  <c r="A6479" i="1" s="1"/>
  <c r="A6480" i="1" s="1"/>
  <c r="A6481" i="1" s="1"/>
  <c r="A6476" i="1"/>
  <c r="A6470" i="1"/>
  <c r="A6471" i="1"/>
  <c r="A6472" i="1"/>
  <c r="A6473" i="1"/>
  <c r="A6469" i="1"/>
  <c r="A6455" i="1"/>
  <c r="A6456" i="1"/>
  <c r="A6457" i="1" s="1"/>
  <c r="A6458" i="1" s="1"/>
  <c r="A6459" i="1" s="1"/>
  <c r="A6460" i="1" s="1"/>
  <c r="A6461" i="1" s="1"/>
  <c r="A6462" i="1" s="1"/>
  <c r="A6463" i="1" s="1"/>
  <c r="A6464" i="1" s="1"/>
  <c r="A6454" i="1"/>
  <c r="A6451" i="1"/>
  <c r="A6431" i="1"/>
  <c r="A6432" i="1"/>
  <c r="A6433" i="1"/>
  <c r="A6434" i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30" i="1"/>
  <c r="A6420" i="1"/>
  <c r="A6421" i="1"/>
  <c r="A6422" i="1"/>
  <c r="A6423" i="1"/>
  <c r="A6424" i="1" s="1"/>
  <c r="A6425" i="1" s="1"/>
  <c r="A6426" i="1" s="1"/>
  <c r="A6419" i="1"/>
  <c r="A6410" i="1"/>
  <c r="A6411" i="1"/>
  <c r="A6412" i="1"/>
  <c r="A6413" i="1"/>
  <c r="A6414" i="1" s="1"/>
  <c r="A6415" i="1" s="1"/>
  <c r="A6409" i="1"/>
  <c r="A6393" i="1"/>
  <c r="A6394" i="1"/>
  <c r="A6395" i="1" s="1"/>
  <c r="A6396" i="1" s="1"/>
  <c r="A6397" i="1" s="1"/>
  <c r="A6398" i="1" s="1"/>
  <c r="A6399" i="1" s="1"/>
  <c r="A6400" i="1" s="1"/>
  <c r="A6401" i="1" s="1"/>
  <c r="A6402" i="1" s="1"/>
  <c r="A6392" i="1"/>
  <c r="A6378" i="1"/>
  <c r="A6379" i="1"/>
  <c r="A6380" i="1" s="1"/>
  <c r="A6381" i="1" s="1"/>
  <c r="A6382" i="1" s="1"/>
  <c r="A6383" i="1" s="1"/>
  <c r="A6384" i="1" s="1"/>
  <c r="A6385" i="1" s="1"/>
  <c r="A6386" i="1" s="1"/>
  <c r="A6377" i="1"/>
  <c r="A6367" i="1"/>
  <c r="A6368" i="1"/>
  <c r="A6369" i="1" s="1"/>
  <c r="A6370" i="1" s="1"/>
  <c r="A6371" i="1" s="1"/>
  <c r="A6372" i="1" s="1"/>
  <c r="A6373" i="1" s="1"/>
  <c r="A6374" i="1" s="1"/>
  <c r="A6366" i="1"/>
  <c r="A6357" i="1"/>
  <c r="A6358" i="1"/>
  <c r="A6359" i="1" s="1"/>
  <c r="A6360" i="1" s="1"/>
  <c r="A6361" i="1" s="1"/>
  <c r="A6362" i="1" s="1"/>
  <c r="A6363" i="1" s="1"/>
  <c r="A6356" i="1"/>
  <c r="A6350" i="1"/>
  <c r="A6349" i="1"/>
  <c r="A6340" i="1"/>
  <c r="A6341" i="1"/>
  <c r="A6342" i="1" s="1"/>
  <c r="A6343" i="1" s="1"/>
  <c r="A6339" i="1"/>
  <c r="A6326" i="1"/>
  <c r="A6327" i="1"/>
  <c r="A6328" i="1"/>
  <c r="A6329" i="1"/>
  <c r="A6330" i="1" s="1"/>
  <c r="A6331" i="1" s="1"/>
  <c r="A6332" i="1" s="1"/>
  <c r="A6333" i="1" s="1"/>
  <c r="A6334" i="1" s="1"/>
  <c r="A6335" i="1" s="1"/>
  <c r="A6336" i="1" s="1"/>
  <c r="A6325" i="1"/>
  <c r="A6306" i="1"/>
  <c r="A6307" i="1"/>
  <c r="A6308" i="1"/>
  <c r="A6309" i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05" i="1"/>
  <c r="A6293" i="1"/>
  <c r="A6294" i="1"/>
  <c r="A6295" i="1"/>
  <c r="A6296" i="1"/>
  <c r="A6297" i="1" s="1"/>
  <c r="A6298" i="1" s="1"/>
  <c r="A6299" i="1" s="1"/>
  <c r="A6300" i="1" s="1"/>
  <c r="A6301" i="1" s="1"/>
  <c r="A6292" i="1"/>
  <c r="A6287" i="1"/>
  <c r="A6288" i="1"/>
  <c r="A6289" i="1" s="1"/>
  <c r="A6286" i="1"/>
  <c r="A6282" i="1"/>
  <c r="A6283" i="1"/>
  <c r="A6281" i="1"/>
  <c r="A6274" i="1"/>
  <c r="A6275" i="1"/>
  <c r="A6276" i="1"/>
  <c r="A6277" i="1"/>
  <c r="A6278" i="1" s="1"/>
  <c r="A6273" i="1"/>
  <c r="A6264" i="1"/>
  <c r="A6265" i="1"/>
  <c r="A6266" i="1" s="1"/>
  <c r="A6267" i="1" s="1"/>
  <c r="A6268" i="1" s="1"/>
  <c r="A6269" i="1" s="1"/>
  <c r="A6270" i="1" s="1"/>
  <c r="A6263" i="1"/>
  <c r="A6258" i="1"/>
  <c r="A6259" i="1"/>
  <c r="A6257" i="1"/>
  <c r="A6236" i="1"/>
  <c r="A6237" i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35" i="1"/>
  <c r="A6219" i="1"/>
  <c r="A6220" i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18" i="1"/>
  <c r="A6214" i="1"/>
  <c r="A6215" i="1"/>
  <c r="A6213" i="1"/>
  <c r="A6195" i="1"/>
  <c r="A6196" i="1"/>
  <c r="A6197" i="1"/>
  <c r="A6198" i="1"/>
  <c r="A6199" i="1" s="1"/>
  <c r="A6200" i="1" s="1"/>
  <c r="A6201" i="1" s="1"/>
  <c r="A6202" i="1" s="1"/>
  <c r="A6203" i="1" s="1"/>
  <c r="A6204" i="1" s="1"/>
  <c r="A6205" i="1" s="1"/>
  <c r="A6206" i="1" s="1"/>
  <c r="A6207" i="1" s="1"/>
  <c r="A6194" i="1"/>
  <c r="A6186" i="1"/>
  <c r="A6187" i="1"/>
  <c r="A6188" i="1"/>
  <c r="A6189" i="1"/>
  <c r="A6190" i="1" s="1"/>
  <c r="A6191" i="1" s="1"/>
  <c r="A6185" i="1"/>
  <c r="A6174" i="1"/>
  <c r="A6175" i="1"/>
  <c r="A6176" i="1"/>
  <c r="A6177" i="1"/>
  <c r="A6178" i="1" s="1"/>
  <c r="A6179" i="1" s="1"/>
  <c r="A6173" i="1"/>
  <c r="A6158" i="1"/>
  <c r="A6159" i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57" i="1"/>
  <c r="A6136" i="1"/>
  <c r="A6137" i="1"/>
  <c r="A6138" i="1" s="1"/>
  <c r="A6139" i="1" s="1"/>
  <c r="A6140" i="1" s="1"/>
  <c r="A6141" i="1" s="1"/>
  <c r="A6142" i="1" s="1"/>
  <c r="A6143" i="1" s="1"/>
  <c r="A6144" i="1" s="1"/>
  <c r="A6145" i="1" s="1"/>
  <c r="A6146" i="1" s="1"/>
  <c r="A6135" i="1"/>
  <c r="A6131" i="1"/>
  <c r="A6130" i="1"/>
  <c r="A6124" i="1"/>
  <c r="A6125" i="1"/>
  <c r="A6126" i="1"/>
  <c r="A6123" i="1"/>
  <c r="A6116" i="1"/>
  <c r="A6117" i="1"/>
  <c r="A6115" i="1"/>
  <c r="A6108" i="1"/>
  <c r="A6109" i="1"/>
  <c r="A6110" i="1" s="1"/>
  <c r="A6107" i="1"/>
  <c r="A6097" i="1"/>
  <c r="A6098" i="1"/>
  <c r="A6099" i="1" s="1"/>
  <c r="A6100" i="1" s="1"/>
  <c r="A6101" i="1" s="1"/>
  <c r="A6102" i="1" s="1"/>
  <c r="A6103" i="1" s="1"/>
  <c r="A6104" i="1" s="1"/>
  <c r="A6096" i="1"/>
  <c r="A6067" i="1"/>
  <c r="A6068" i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66" i="1"/>
  <c r="A6054" i="1"/>
  <c r="A6055" i="1"/>
  <c r="A6056" i="1"/>
  <c r="A6057" i="1"/>
  <c r="A6058" i="1" s="1"/>
  <c r="A6059" i="1" s="1"/>
  <c r="A6060" i="1" s="1"/>
  <c r="A6061" i="1" s="1"/>
  <c r="A6062" i="1" s="1"/>
  <c r="A6053" i="1"/>
  <c r="A6046" i="1"/>
  <c r="A6047" i="1"/>
  <c r="A6048" i="1" s="1"/>
  <c r="A6049" i="1" s="1"/>
  <c r="A6045" i="1"/>
  <c r="A6034" i="1"/>
  <c r="A6035" i="1"/>
  <c r="A6036" i="1" s="1"/>
  <c r="A6037" i="1" s="1"/>
  <c r="A6038" i="1" s="1"/>
  <c r="A6039" i="1" s="1"/>
  <c r="A6033" i="1"/>
  <c r="A6028" i="1"/>
  <c r="A6029" i="1"/>
  <c r="A6030" i="1" s="1"/>
  <c r="A6027" i="1"/>
  <c r="A6019" i="1"/>
  <c r="A6020" i="1"/>
  <c r="A6021" i="1" s="1"/>
  <c r="A6022" i="1" s="1"/>
  <c r="A6023" i="1" s="1"/>
  <c r="A6024" i="1" s="1"/>
  <c r="A6018" i="1"/>
  <c r="A6007" i="1"/>
  <c r="A6008" i="1"/>
  <c r="A6009" i="1"/>
  <c r="A6006" i="1"/>
  <c r="A5998" i="1"/>
  <c r="A5999" i="1"/>
  <c r="A6000" i="1" s="1"/>
  <c r="A6001" i="1" s="1"/>
  <c r="A6002" i="1" s="1"/>
  <c r="A6003" i="1" s="1"/>
  <c r="A5997" i="1"/>
  <c r="A5990" i="1"/>
  <c r="A5991" i="1" s="1"/>
  <c r="A5989" i="1"/>
  <c r="A5974" i="1"/>
  <c r="A5975" i="1"/>
  <c r="A5976" i="1" s="1"/>
  <c r="A5973" i="1"/>
  <c r="A5970" i="1"/>
  <c r="A5969" i="1"/>
  <c r="A5965" i="1"/>
  <c r="A5964" i="1"/>
  <c r="A5960" i="1"/>
  <c r="A5961" i="1" s="1"/>
  <c r="A5959" i="1"/>
  <c r="A5945" i="1" l="1"/>
  <c r="A5946" i="1"/>
  <c r="A5947" i="1" s="1"/>
  <c r="A5944" i="1"/>
  <c r="A5922" i="1"/>
  <c r="A5923" i="1"/>
  <c r="A5924" i="1" s="1"/>
  <c r="A5925" i="1" s="1"/>
  <c r="A5926" i="1" s="1"/>
  <c r="A5927" i="1" s="1"/>
  <c r="A5928" i="1" s="1"/>
  <c r="A5921" i="1"/>
  <c r="A5901" i="1"/>
  <c r="A5902" i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00" i="1"/>
  <c r="A5892" i="1"/>
  <c r="A5893" i="1"/>
  <c r="A5894" i="1" s="1"/>
  <c r="A5891" i="1"/>
  <c r="A5888" i="1"/>
  <c r="A5880" i="1"/>
  <c r="A5881" i="1"/>
  <c r="A5882" i="1" s="1"/>
  <c r="A5879" i="1"/>
  <c r="A5873" i="1"/>
  <c r="A5874" i="1"/>
  <c r="A5875" i="1" s="1"/>
  <c r="A5872" i="1"/>
  <c r="A5866" i="1"/>
  <c r="A5867" i="1"/>
  <c r="A5868" i="1" s="1"/>
  <c r="A5865" i="1"/>
  <c r="A5842" i="1"/>
  <c r="A5843" i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41" i="1"/>
  <c r="A5824" i="1"/>
  <c r="A5825" i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23" i="1"/>
  <c r="A5809" i="1"/>
  <c r="A5810" i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08" i="1"/>
  <c r="A5790" i="1"/>
  <c r="A5791" i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789" i="1"/>
  <c r="A5776" i="1"/>
  <c r="A5777" i="1"/>
  <c r="A5778" i="1" s="1"/>
  <c r="A5779" i="1" s="1"/>
  <c r="A5780" i="1" s="1"/>
  <c r="A5781" i="1" s="1"/>
  <c r="A5782" i="1" s="1"/>
  <c r="A5783" i="1" s="1"/>
  <c r="A5784" i="1" s="1"/>
  <c r="A5775" i="1"/>
  <c r="A5769" i="1"/>
  <c r="A5768" i="1"/>
  <c r="A5763" i="1"/>
  <c r="A5764" i="1"/>
  <c r="A5762" i="1"/>
  <c r="A5743" i="1"/>
  <c r="A5744" i="1"/>
  <c r="A5745" i="1" s="1"/>
  <c r="A5746" i="1" s="1"/>
  <c r="A5747" i="1" s="1"/>
  <c r="A5748" i="1" s="1"/>
  <c r="A5749" i="1" s="1"/>
  <c r="A5742" i="1"/>
  <c r="A5735" i="1"/>
  <c r="A5736" i="1"/>
  <c r="A5737" i="1" s="1"/>
  <c r="A5738" i="1" s="1"/>
  <c r="A5739" i="1" s="1"/>
  <c r="A5734" i="1"/>
  <c r="A5707" i="1"/>
  <c r="A5708" i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06" i="1"/>
  <c r="A5675" i="1"/>
  <c r="A5676" i="1"/>
  <c r="A5677" i="1" s="1"/>
  <c r="A5678" i="1" s="1"/>
  <c r="A5674" i="1"/>
  <c r="A5632" i="1"/>
  <c r="A5633" i="1"/>
  <c r="A5634" i="1" s="1"/>
  <c r="A5635" i="1" s="1"/>
  <c r="A5636" i="1" s="1"/>
  <c r="A5637" i="1" s="1"/>
  <c r="A5638" i="1" s="1"/>
  <c r="A5639" i="1" s="1"/>
  <c r="A5631" i="1"/>
  <c r="A5623" i="1"/>
  <c r="A5624" i="1"/>
  <c r="A5625" i="1" s="1"/>
  <c r="A5626" i="1" s="1"/>
  <c r="A5627" i="1" s="1"/>
  <c r="A5628" i="1" s="1"/>
  <c r="A5622" i="1"/>
  <c r="A5611" i="1"/>
  <c r="A5612" i="1"/>
  <c r="A5613" i="1" s="1"/>
  <c r="A5614" i="1" s="1"/>
  <c r="A5615" i="1" s="1"/>
  <c r="A5616" i="1" s="1"/>
  <c r="A5617" i="1" s="1"/>
  <c r="A5618" i="1" s="1"/>
  <c r="A5619" i="1" s="1"/>
  <c r="A5610" i="1"/>
  <c r="A5602" i="1"/>
  <c r="A5603" i="1"/>
  <c r="A5604" i="1" s="1"/>
  <c r="A5601" i="1"/>
  <c r="A5594" i="1"/>
  <c r="A5595" i="1"/>
  <c r="A5596" i="1"/>
  <c r="A5597" i="1"/>
  <c r="A5598" i="1" s="1"/>
  <c r="A5593" i="1"/>
  <c r="A5578" i="1"/>
  <c r="A5579" i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77" i="1"/>
  <c r="A5571" i="1"/>
  <c r="A5572" i="1"/>
  <c r="A5573" i="1" s="1"/>
  <c r="A5574" i="1" s="1"/>
  <c r="A5570" i="1"/>
  <c r="A5565" i="1"/>
  <c r="A5566" i="1"/>
  <c r="A5567" i="1" s="1"/>
  <c r="A5564" i="1"/>
  <c r="A5553" i="1"/>
  <c r="A5554" i="1"/>
  <c r="A5552" i="1"/>
  <c r="A5541" i="1"/>
  <c r="A5542" i="1"/>
  <c r="A5543" i="1" s="1"/>
  <c r="A5544" i="1" s="1"/>
  <c r="A5545" i="1" s="1"/>
  <c r="A5546" i="1" s="1"/>
  <c r="A5547" i="1" s="1"/>
  <c r="A5548" i="1" s="1"/>
  <c r="A5540" i="1"/>
  <c r="A5533" i="1"/>
  <c r="A5534" i="1"/>
  <c r="A5535" i="1" s="1"/>
  <c r="A5532" i="1"/>
  <c r="A5516" i="1"/>
  <c r="A5509" i="1"/>
  <c r="A5508" i="1"/>
  <c r="A5507" i="1"/>
  <c r="A5496" i="1"/>
  <c r="A5497" i="1"/>
  <c r="A5498" i="1" s="1"/>
  <c r="A5495" i="1"/>
  <c r="A5479" i="1"/>
  <c r="A5480" i="1"/>
  <c r="A5481" i="1" s="1"/>
  <c r="A5482" i="1" s="1"/>
  <c r="A5483" i="1" s="1"/>
  <c r="A5484" i="1" s="1"/>
  <c r="A5485" i="1" s="1"/>
  <c r="A5486" i="1" s="1"/>
  <c r="A5487" i="1" s="1"/>
  <c r="A5488" i="1" s="1"/>
  <c r="A5478" i="1"/>
  <c r="A5462" i="1"/>
  <c r="A5463" i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61" i="1"/>
  <c r="A5435" i="1"/>
  <c r="A5436" i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34" i="1"/>
  <c r="A5411" i="1"/>
  <c r="A5412" i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10" i="1"/>
  <c r="A5402" i="1"/>
  <c r="A5403" i="1"/>
  <c r="A5404" i="1" s="1"/>
  <c r="A5401" i="1"/>
  <c r="A5396" i="1"/>
  <c r="A5395" i="1"/>
  <c r="A5388" i="1"/>
  <c r="A5389" i="1"/>
  <c r="A5390" i="1" s="1"/>
  <c r="A5391" i="1" s="1"/>
  <c r="A5387" i="1"/>
  <c r="A5377" i="1"/>
  <c r="A5378" i="1"/>
  <c r="A5376" i="1"/>
  <c r="A5369" i="1"/>
  <c r="A5370" i="1"/>
  <c r="A5371" i="1" s="1"/>
  <c r="A5372" i="1" s="1"/>
  <c r="A5368" i="1"/>
  <c r="A5365" i="1"/>
  <c r="A5354" i="1"/>
  <c r="A5355" i="1"/>
  <c r="A5356" i="1" s="1"/>
  <c r="A5357" i="1" s="1"/>
  <c r="A5358" i="1" s="1"/>
  <c r="A5359" i="1" s="1"/>
  <c r="A5360" i="1" s="1"/>
  <c r="A5361" i="1" s="1"/>
  <c r="A5362" i="1" s="1"/>
  <c r="A5363" i="1" s="1"/>
  <c r="A5353" i="1"/>
  <c r="A5347" i="1"/>
  <c r="A5348" i="1"/>
  <c r="A5349" i="1" s="1"/>
  <c r="A5346" i="1"/>
  <c r="A5342" i="1"/>
  <c r="A5343" i="1"/>
  <c r="A5341" i="1"/>
  <c r="A5335" i="1"/>
  <c r="A5336" i="1"/>
  <c r="A5337" i="1" s="1"/>
  <c r="A5338" i="1" s="1"/>
  <c r="A5334" i="1"/>
  <c r="A5328" i="1"/>
  <c r="A5329" i="1"/>
  <c r="A5330" i="1" s="1"/>
  <c r="A5331" i="1" s="1"/>
  <c r="A5327" i="1"/>
  <c r="A5324" i="1"/>
  <c r="A5323" i="1"/>
  <c r="A5319" i="1"/>
  <c r="A5320" i="1"/>
  <c r="A5318" i="1"/>
  <c r="A5311" i="1"/>
  <c r="A5312" i="1"/>
  <c r="A5310" i="1"/>
  <c r="A5302" i="1"/>
  <c r="A5301" i="1"/>
  <c r="A5284" i="1"/>
  <c r="A5285" i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83" i="1"/>
  <c r="A5269" i="1"/>
  <c r="A5270" i="1"/>
  <c r="A5271" i="1" s="1"/>
  <c r="A5272" i="1" s="1"/>
  <c r="A5273" i="1" s="1"/>
  <c r="A5268" i="1"/>
  <c r="A5254" i="1"/>
  <c r="A5255" i="1"/>
  <c r="A5253" i="1"/>
  <c r="A5246" i="1"/>
  <c r="A5247" i="1"/>
  <c r="A5244" i="1"/>
  <c r="A5245" i="1"/>
  <c r="A5243" i="1"/>
  <c r="A5210" i="1"/>
  <c r="A5211" i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04" i="1"/>
  <c r="A5205" i="1"/>
  <c r="A5206" i="1" s="1"/>
  <c r="A5207" i="1" s="1"/>
  <c r="A5208" i="1" s="1"/>
  <c r="A5209" i="1" s="1"/>
  <c r="A5203" i="1"/>
  <c r="A5194" i="1"/>
  <c r="A5195" i="1"/>
  <c r="A5196" i="1" s="1"/>
  <c r="A5197" i="1" s="1"/>
  <c r="A5198" i="1" s="1"/>
  <c r="A5193" i="1"/>
  <c r="A5177" i="1"/>
  <c r="A5178" i="1"/>
  <c r="A5179" i="1" s="1"/>
  <c r="A5180" i="1" s="1"/>
  <c r="A5181" i="1" s="1"/>
  <c r="A5182" i="1" s="1"/>
  <c r="A5183" i="1" s="1"/>
  <c r="A5184" i="1" s="1"/>
  <c r="A5176" i="1"/>
  <c r="A5161" i="1"/>
  <c r="A5162" i="1"/>
  <c r="A5163" i="1" s="1"/>
  <c r="A5164" i="1" s="1"/>
  <c r="A5165" i="1" s="1"/>
  <c r="A5166" i="1" s="1"/>
  <c r="A5167" i="1" s="1"/>
  <c r="A5168" i="1" s="1"/>
  <c r="A5169" i="1" s="1"/>
  <c r="A5160" i="1"/>
  <c r="A5152" i="1"/>
  <c r="A5153" i="1"/>
  <c r="A5154" i="1" s="1"/>
  <c r="A5155" i="1" s="1"/>
  <c r="A5156" i="1" s="1"/>
  <c r="A5157" i="1" s="1"/>
  <c r="A5151" i="1"/>
  <c r="A5143" i="1"/>
  <c r="A5144" i="1"/>
  <c r="A5145" i="1" s="1"/>
  <c r="A5146" i="1" s="1"/>
  <c r="A5147" i="1" s="1"/>
  <c r="A5142" i="1"/>
  <c r="A5133" i="1"/>
  <c r="A5134" i="1"/>
  <c r="A5135" i="1"/>
  <c r="A5136" i="1"/>
  <c r="A5137" i="1" s="1"/>
  <c r="A5138" i="1" s="1"/>
  <c r="A5139" i="1" s="1"/>
  <c r="A5132" i="1"/>
  <c r="A5108" i="1"/>
  <c r="A5109" i="1"/>
  <c r="A5110" i="1" s="1"/>
  <c r="A5111" i="1" s="1"/>
  <c r="A5107" i="1"/>
  <c r="A5079" i="1"/>
  <c r="A5080" i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78" i="1"/>
  <c r="A5071" i="1"/>
  <c r="A5072" i="1"/>
  <c r="A5073" i="1" s="1"/>
  <c r="A5074" i="1" s="1"/>
  <c r="A5075" i="1" s="1"/>
  <c r="A5070" i="1"/>
  <c r="A5066" i="1"/>
  <c r="A5065" i="1"/>
  <c r="A5050" i="1"/>
  <c r="A5051" i="1"/>
  <c r="A5052" i="1" s="1"/>
  <c r="A5053" i="1" s="1"/>
  <c r="A5054" i="1" s="1"/>
  <c r="A5055" i="1" s="1"/>
  <c r="A5056" i="1" s="1"/>
  <c r="A5057" i="1" s="1"/>
  <c r="A5049" i="1"/>
  <c r="A5031" i="1"/>
  <c r="A5032" i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30" i="1"/>
  <c r="A5022" i="1"/>
  <c r="A5023" i="1" s="1"/>
  <c r="A5024" i="1" s="1"/>
  <c r="A5025" i="1" s="1"/>
  <c r="A5026" i="1" s="1"/>
  <c r="A5027" i="1" s="1"/>
  <c r="A5021" i="1"/>
  <c r="A5018" i="1"/>
  <c r="A5017" i="1"/>
  <c r="A5005" i="1"/>
  <c r="A5006" i="1"/>
  <c r="A5007" i="1" s="1"/>
  <c r="A5008" i="1" s="1"/>
  <c r="A5009" i="1" s="1"/>
  <c r="A5010" i="1" s="1"/>
  <c r="A5011" i="1" s="1"/>
  <c r="A5012" i="1" s="1"/>
  <c r="A5013" i="1" s="1"/>
  <c r="A5004" i="1"/>
  <c r="A4995" i="1"/>
  <c r="A4996" i="1"/>
  <c r="A4997" i="1" s="1"/>
  <c r="A4998" i="1" s="1"/>
  <c r="A4994" i="1"/>
  <c r="A4983" i="1"/>
  <c r="A4984" i="1"/>
  <c r="A4985" i="1" s="1"/>
  <c r="A4986" i="1" s="1"/>
  <c r="A4987" i="1" s="1"/>
  <c r="A4988" i="1" s="1"/>
  <c r="A4989" i="1" s="1"/>
  <c r="A4990" i="1" s="1"/>
  <c r="A4982" i="1"/>
  <c r="A4981" i="1"/>
  <c r="A4956" i="1"/>
  <c r="A4953" i="1"/>
  <c r="A4928" i="1"/>
  <c r="A4929" i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27" i="1"/>
  <c r="A4924" i="1"/>
  <c r="A4921" i="1"/>
  <c r="A4894" i="1"/>
  <c r="A4895" i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893" i="1"/>
  <c r="A4870" i="1"/>
  <c r="A4871" i="1"/>
  <c r="A4872" i="1"/>
  <c r="A4873" i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69" i="1"/>
  <c r="A4866" i="1"/>
  <c r="A4865" i="1"/>
  <c r="A4857" i="1"/>
  <c r="A4858" i="1"/>
  <c r="A4859" i="1" s="1"/>
  <c r="A4860" i="1" s="1"/>
  <c r="A4861" i="1" s="1"/>
  <c r="A4856" i="1"/>
  <c r="A4846" i="1"/>
  <c r="A4847" i="1"/>
  <c r="A4848" i="1" s="1"/>
  <c r="A4849" i="1" s="1"/>
  <c r="A4850" i="1" s="1"/>
  <c r="A4851" i="1" s="1"/>
  <c r="A4852" i="1" s="1"/>
  <c r="A4845" i="1"/>
  <c r="A4840" i="1"/>
  <c r="A4841" i="1"/>
  <c r="A4842" i="1"/>
  <c r="A4839" i="1"/>
  <c r="A4835" i="1"/>
  <c r="A4836" i="1"/>
  <c r="A4834" i="1"/>
  <c r="A4818" i="1"/>
  <c r="A4819" i="1" s="1"/>
  <c r="A4820" i="1" s="1"/>
  <c r="A4821" i="1" s="1"/>
  <c r="A4817" i="1"/>
  <c r="A4813" i="1" l="1"/>
  <c r="A4814" i="1"/>
  <c r="A4812" i="1"/>
  <c r="A4795" i="1"/>
  <c r="A4796" i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794" i="1"/>
  <c r="A4785" i="1"/>
  <c r="A4786" i="1"/>
  <c r="A4787" i="1" s="1"/>
  <c r="A4788" i="1" s="1"/>
  <c r="A4789" i="1" s="1"/>
  <c r="A4790" i="1" s="1"/>
  <c r="A4791" i="1" s="1"/>
  <c r="A4784" i="1"/>
  <c r="A4772" i="1"/>
  <c r="A4773" i="1"/>
  <c r="A4774" i="1" s="1"/>
  <c r="A4775" i="1" s="1"/>
  <c r="A4776" i="1" s="1"/>
  <c r="A4777" i="1" s="1"/>
  <c r="A4778" i="1" s="1"/>
  <c r="A4779" i="1" s="1"/>
  <c r="A4780" i="1" s="1"/>
  <c r="A4781" i="1" s="1"/>
  <c r="A4762" i="1"/>
  <c r="A4763" i="1"/>
  <c r="A4764" i="1" s="1"/>
  <c r="A4765" i="1" s="1"/>
  <c r="A4766" i="1" s="1"/>
  <c r="A4767" i="1" s="1"/>
  <c r="A4768" i="1" s="1"/>
  <c r="A4769" i="1" s="1"/>
  <c r="A4770" i="1" s="1"/>
  <c r="A4771" i="1" s="1"/>
  <c r="A4761" i="1"/>
  <c r="A4753" i="1"/>
  <c r="A4754" i="1"/>
  <c r="A4755" i="1" s="1"/>
  <c r="A4752" i="1"/>
  <c r="A4744" i="1"/>
  <c r="A4745" i="1"/>
  <c r="A4746" i="1" s="1"/>
  <c r="A4747" i="1" s="1"/>
  <c r="A4748" i="1" s="1"/>
  <c r="A4749" i="1" s="1"/>
  <c r="A4743" i="1"/>
  <c r="A4736" i="1"/>
  <c r="A4737" i="1"/>
  <c r="A4738" i="1" s="1"/>
  <c r="A4739" i="1" s="1"/>
  <c r="A4740" i="1" s="1"/>
  <c r="A4735" i="1"/>
  <c r="A4731" i="1"/>
  <c r="A4730" i="1"/>
  <c r="A4722" i="1"/>
  <c r="A4723" i="1"/>
  <c r="A4721" i="1"/>
  <c r="A4716" i="1"/>
  <c r="A4717" i="1"/>
  <c r="A4718" i="1" s="1"/>
  <c r="A4715" i="1"/>
  <c r="A4700" i="1"/>
  <c r="A4701" i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699" i="1"/>
  <c r="A4684" i="1"/>
  <c r="A4685" i="1"/>
  <c r="A4686" i="1" s="1"/>
  <c r="A4687" i="1" s="1"/>
  <c r="A4683" i="1"/>
  <c r="A4680" i="1"/>
  <c r="A4679" i="1"/>
  <c r="A4675" i="1"/>
  <c r="A4676" i="1"/>
  <c r="A4674" i="1"/>
  <c r="A4664" i="1"/>
  <c r="A4665" i="1"/>
  <c r="A4666" i="1" s="1"/>
  <c r="A4667" i="1" s="1"/>
  <c r="A4668" i="1" s="1"/>
  <c r="A4669" i="1" s="1"/>
  <c r="A4663" i="1"/>
  <c r="A4653" i="1"/>
  <c r="A4654" i="1"/>
  <c r="A4652" i="1"/>
  <c r="A4639" i="1"/>
  <c r="A4640" i="1"/>
  <c r="A4641" i="1" s="1"/>
  <c r="A4642" i="1" s="1"/>
  <c r="A4638" i="1"/>
  <c r="A4623" i="1"/>
  <c r="A4624" i="1"/>
  <c r="A4625" i="1" s="1"/>
  <c r="A4626" i="1" s="1"/>
  <c r="A4627" i="1" s="1"/>
  <c r="A4628" i="1" s="1"/>
  <c r="A4629" i="1" s="1"/>
  <c r="A4630" i="1" s="1"/>
  <c r="A4631" i="1" s="1"/>
  <c r="A4632" i="1" s="1"/>
  <c r="A4633" i="1" s="1"/>
  <c r="A4622" i="1"/>
  <c r="A4611" i="1"/>
  <c r="A4612" i="1"/>
  <c r="A4613" i="1" s="1"/>
  <c r="A4614" i="1" s="1"/>
  <c r="A4615" i="1" s="1"/>
  <c r="A4616" i="1" s="1"/>
  <c r="A4610" i="1"/>
  <c r="A4604" i="1"/>
  <c r="A4601" i="1"/>
  <c r="A4602" i="1"/>
  <c r="A4603" i="1" s="1"/>
  <c r="A4600" i="1"/>
  <c r="A4583" i="1"/>
  <c r="A4584" i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82" i="1"/>
  <c r="A4571" i="1"/>
  <c r="A4572" i="1"/>
  <c r="A4573" i="1" s="1"/>
  <c r="A4574" i="1" s="1"/>
  <c r="A4575" i="1" s="1"/>
  <c r="A4576" i="1" s="1"/>
  <c r="A4577" i="1" s="1"/>
  <c r="A4578" i="1" s="1"/>
  <c r="A4579" i="1" s="1"/>
  <c r="A4570" i="1"/>
  <c r="A4567" i="1"/>
  <c r="A4566" i="1"/>
  <c r="A4558" i="1"/>
  <c r="A4559" i="1"/>
  <c r="A4557" i="1"/>
  <c r="A4551" i="1"/>
  <c r="A4552" i="1"/>
  <c r="A4553" i="1" s="1"/>
  <c r="A4554" i="1" s="1"/>
  <c r="A4550" i="1"/>
  <c r="A4544" i="1"/>
  <c r="A4545" i="1"/>
  <c r="A4546" i="1" s="1"/>
  <c r="A4547" i="1" s="1"/>
  <c r="A4543" i="1"/>
  <c r="A4533" i="1"/>
  <c r="A4534" i="1"/>
  <c r="A4535" i="1" s="1"/>
  <c r="A4536" i="1" s="1"/>
  <c r="A4537" i="1" s="1"/>
  <c r="A4538" i="1" s="1"/>
  <c r="A4532" i="1"/>
  <c r="A4522" i="1"/>
  <c r="A4523" i="1"/>
  <c r="A4524" i="1" s="1"/>
  <c r="A4525" i="1" s="1"/>
  <c r="A4526" i="1" s="1"/>
  <c r="A4527" i="1" s="1"/>
  <c r="A4528" i="1" s="1"/>
  <c r="A4529" i="1" s="1"/>
  <c r="A4521" i="1"/>
  <c r="A4500" i="1"/>
  <c r="A4501" i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499" i="1"/>
  <c r="A4462" i="1"/>
  <c r="A4463" i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61" i="1"/>
  <c r="A4442" i="1"/>
  <c r="A4443" i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41" i="1"/>
  <c r="A4426" i="1"/>
  <c r="A4427" i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25" i="1"/>
  <c r="A4420" i="1"/>
  <c r="A4421" i="1"/>
  <c r="A4422" i="1" s="1"/>
  <c r="A4419" i="1"/>
  <c r="A4411" i="1"/>
  <c r="A4412" i="1"/>
  <c r="A4413" i="1" s="1"/>
  <c r="A4414" i="1" s="1"/>
  <c r="A4415" i="1" s="1"/>
  <c r="A4416" i="1" s="1"/>
  <c r="A4406" i="1"/>
  <c r="A4407" i="1"/>
  <c r="A4408" i="1" s="1"/>
  <c r="A4409" i="1" s="1"/>
  <c r="A4410" i="1" s="1"/>
  <c r="A4405" i="1"/>
  <c r="A4395" i="1"/>
  <c r="A4396" i="1"/>
  <c r="A4394" i="1"/>
  <c r="A4382" i="1"/>
  <c r="A4383" i="1"/>
  <c r="A4384" i="1" s="1"/>
  <c r="A4385" i="1" s="1"/>
  <c r="A4386" i="1" s="1"/>
  <c r="A4387" i="1" s="1"/>
  <c r="A4381" i="1"/>
  <c r="A4367" i="1"/>
  <c r="A4368" i="1"/>
  <c r="A4369" i="1" s="1"/>
  <c r="A4366" i="1"/>
  <c r="A4356" i="1"/>
  <c r="A4357" i="1"/>
  <c r="A4358" i="1" s="1"/>
  <c r="A4359" i="1" s="1"/>
  <c r="A4360" i="1" s="1"/>
  <c r="A4361" i="1" s="1"/>
  <c r="A4362" i="1" s="1"/>
  <c r="A4363" i="1" s="1"/>
  <c r="A4350" i="1"/>
  <c r="A4351" i="1"/>
  <c r="A4352" i="1" s="1"/>
  <c r="A4353" i="1" s="1"/>
  <c r="A4354" i="1" s="1"/>
  <c r="A4355" i="1" s="1"/>
  <c r="A4349" i="1"/>
  <c r="A4343" i="1"/>
  <c r="A4344" i="1"/>
  <c r="A4345" i="1" s="1"/>
  <c r="A4346" i="1" s="1"/>
  <c r="A4342" i="1"/>
  <c r="A4325" i="1"/>
  <c r="A4326" i="1"/>
  <c r="A4327" i="1" s="1"/>
  <c r="A4328" i="1" s="1"/>
  <c r="A4329" i="1" s="1"/>
  <c r="A4330" i="1" s="1"/>
  <c r="A4331" i="1" s="1"/>
  <c r="A4332" i="1" s="1"/>
  <c r="A4324" i="1"/>
  <c r="A4305" i="1"/>
  <c r="A4306" i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04" i="1"/>
  <c r="A4295" i="1"/>
  <c r="A4296" i="1"/>
  <c r="A4297" i="1" s="1"/>
  <c r="A4298" i="1" s="1"/>
  <c r="A4299" i="1" s="1"/>
  <c r="A4300" i="1" s="1"/>
  <c r="A4301" i="1" s="1"/>
  <c r="A4294" i="1"/>
  <c r="A4277" i="1"/>
  <c r="A4278" i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76" i="1"/>
  <c r="A4272" i="1"/>
  <c r="A4273" i="1"/>
  <c r="A4271" i="1"/>
  <c r="A4233" i="1"/>
  <c r="A4234" i="1"/>
  <c r="A4235" i="1"/>
  <c r="A4236" i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32" i="1"/>
  <c r="A4226" i="1"/>
  <c r="A4217" i="1"/>
  <c r="A4218" i="1"/>
  <c r="A4219" i="1" s="1"/>
  <c r="A4220" i="1" s="1"/>
  <c r="A4221" i="1" s="1"/>
  <c r="A4222" i="1" s="1"/>
  <c r="A4223" i="1" s="1"/>
  <c r="A4224" i="1" s="1"/>
  <c r="A4225" i="1" s="1"/>
  <c r="A4216" i="1"/>
  <c r="A4207" i="1"/>
  <c r="A4208" i="1"/>
  <c r="A4206" i="1"/>
  <c r="A4200" i="1"/>
  <c r="A4201" i="1"/>
  <c r="A4202" i="1" s="1"/>
  <c r="A4199" i="1"/>
  <c r="A4193" i="1"/>
  <c r="A4194" i="1"/>
  <c r="A4195" i="1" s="1"/>
  <c r="A4196" i="1" s="1"/>
  <c r="A4192" i="1"/>
  <c r="A4175" i="1"/>
  <c r="A4176" i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74" i="1"/>
  <c r="A4161" i="1"/>
  <c r="A4162" i="1"/>
  <c r="A4163" i="1" s="1"/>
  <c r="A4164" i="1" s="1"/>
  <c r="A4165" i="1" s="1"/>
  <c r="A4166" i="1" s="1"/>
  <c r="A4167" i="1" s="1"/>
  <c r="A4160" i="1"/>
  <c r="A4149" i="1"/>
  <c r="A4150" i="1"/>
  <c r="A4151" i="1" s="1"/>
  <c r="A4152" i="1" s="1"/>
  <c r="A4153" i="1" s="1"/>
  <c r="A4154" i="1" s="1"/>
  <c r="A4148" i="1"/>
  <c r="A4143" i="1"/>
  <c r="A4144" i="1"/>
  <c r="A4145" i="1" s="1"/>
  <c r="A4138" i="1"/>
  <c r="A4139" i="1"/>
  <c r="A4140" i="1" s="1"/>
  <c r="A4141" i="1" s="1"/>
  <c r="A4142" i="1" s="1"/>
  <c r="A4134" i="1"/>
  <c r="A4135" i="1"/>
  <c r="A4136" i="1" s="1"/>
  <c r="A4137" i="1" s="1"/>
  <c r="A4133" i="1"/>
  <c r="A4126" i="1"/>
  <c r="A4127" i="1"/>
  <c r="A4128" i="1" s="1"/>
  <c r="A4129" i="1" s="1"/>
  <c r="A4125" i="1"/>
  <c r="A4111" i="1"/>
  <c r="A4112" i="1"/>
  <c r="A4110" i="1"/>
  <c r="A4106" i="1"/>
  <c r="A4107" i="1"/>
  <c r="A4105" i="1"/>
  <c r="A4100" i="1"/>
  <c r="A4101" i="1"/>
  <c r="A4099" i="1"/>
  <c r="A4069" i="1"/>
  <c r="A4070" i="1"/>
  <c r="A4071" i="1" s="1"/>
  <c r="A4072" i="1" s="1"/>
  <c r="A4073" i="1" s="1"/>
  <c r="A4074" i="1" s="1"/>
  <c r="A4075" i="1" s="1"/>
  <c r="A4076" i="1" s="1"/>
  <c r="A4077" i="1" s="1"/>
  <c r="A4068" i="1"/>
  <c r="A4060" i="1"/>
  <c r="A4061" i="1"/>
  <c r="A4062" i="1" s="1"/>
  <c r="A4059" i="1"/>
  <c r="A4045" i="1"/>
  <c r="A4046" i="1"/>
  <c r="A4047" i="1" s="1"/>
  <c r="A4048" i="1" s="1"/>
  <c r="A4049" i="1" s="1"/>
  <c r="A4050" i="1" s="1"/>
  <c r="A4051" i="1" s="1"/>
  <c r="A4041" i="1"/>
  <c r="A4042" i="1"/>
  <c r="A4043" i="1" s="1"/>
  <c r="A4044" i="1" s="1"/>
  <c r="A4035" i="1"/>
  <c r="A4036" i="1"/>
  <c r="A4037" i="1" s="1"/>
  <c r="A4038" i="1" s="1"/>
  <c r="A4039" i="1" s="1"/>
  <c r="A4040" i="1" s="1"/>
  <c r="A4032" i="1"/>
  <c r="A4033" i="1"/>
  <c r="A4034" i="1" s="1"/>
  <c r="A4031" i="1"/>
  <c r="A4024" i="1"/>
  <c r="A4025" i="1"/>
  <c r="A4026" i="1" s="1"/>
  <c r="A4027" i="1" s="1"/>
  <c r="A4028" i="1" s="1"/>
  <c r="A4023" i="1"/>
  <c r="A4004" i="1"/>
  <c r="A4005" i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03" i="1"/>
  <c r="A3988" i="1"/>
  <c r="A3989" i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3987" i="1"/>
  <c r="A3974" i="1"/>
  <c r="A3975" i="1"/>
  <c r="A3976" i="1" s="1"/>
  <c r="A3977" i="1" s="1"/>
  <c r="A3973" i="1"/>
  <c r="A3970" i="1"/>
  <c r="A3969" i="1"/>
  <c r="A3968" i="1"/>
  <c r="A3962" i="1"/>
  <c r="A3963" i="1"/>
  <c r="A3964" i="1" s="1"/>
  <c r="A3965" i="1" s="1"/>
  <c r="A3956" i="1"/>
  <c r="A3957" i="1"/>
  <c r="A3958" i="1" s="1"/>
  <c r="A3959" i="1" s="1"/>
  <c r="A3960" i="1" s="1"/>
  <c r="A3961" i="1" s="1"/>
  <c r="A3948" i="1"/>
  <c r="A3949" i="1"/>
  <c r="A3950" i="1" s="1"/>
  <c r="A3951" i="1" s="1"/>
  <c r="A3952" i="1" s="1"/>
  <c r="A3953" i="1" s="1"/>
  <c r="A3954" i="1" s="1"/>
  <c r="A3955" i="1" s="1"/>
  <c r="A3942" i="1"/>
  <c r="A3943" i="1"/>
  <c r="A3944" i="1" s="1"/>
  <c r="A3945" i="1" s="1"/>
  <c r="A3946" i="1" s="1"/>
  <c r="A3947" i="1" s="1"/>
  <c r="A3936" i="1"/>
  <c r="A3937" i="1"/>
  <c r="A3938" i="1" s="1"/>
  <c r="A3939" i="1" s="1"/>
  <c r="A3940" i="1" s="1"/>
  <c r="A3941" i="1" s="1"/>
  <c r="A3926" i="1"/>
  <c r="A3927" i="1"/>
  <c r="A3928" i="1" s="1"/>
  <c r="A3929" i="1" s="1"/>
  <c r="A3930" i="1" s="1"/>
  <c r="A3931" i="1" s="1"/>
  <c r="A3932" i="1" s="1"/>
  <c r="A3933" i="1" s="1"/>
  <c r="A3934" i="1" s="1"/>
  <c r="A3935" i="1" s="1"/>
  <c r="A3922" i="1"/>
  <c r="A3923" i="1"/>
  <c r="A3924" i="1" s="1"/>
  <c r="A3925" i="1" s="1"/>
  <c r="A3921" i="1"/>
  <c r="A3909" i="1"/>
  <c r="A3910" i="1"/>
  <c r="A3911" i="1" s="1"/>
  <c r="A3912" i="1" s="1"/>
  <c r="A3913" i="1" s="1"/>
  <c r="A3914" i="1" s="1"/>
  <c r="A3915" i="1" s="1"/>
  <c r="A3916" i="1" s="1"/>
  <c r="A3908" i="1"/>
  <c r="A3897" i="1"/>
  <c r="A3898" i="1"/>
  <c r="A3899" i="1" s="1"/>
  <c r="A3900" i="1" s="1"/>
  <c r="A3901" i="1" s="1"/>
  <c r="A3902" i="1" s="1"/>
  <c r="A3883" i="1"/>
  <c r="A3884" i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82" i="1"/>
  <c r="A3867" i="1"/>
  <c r="A3868" i="1"/>
  <c r="A3869" i="1" s="1"/>
  <c r="A3870" i="1" s="1"/>
  <c r="A3871" i="1" s="1"/>
  <c r="A3872" i="1" s="1"/>
  <c r="A3866" i="1"/>
  <c r="A3846" i="1"/>
  <c r="A3847" i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45" i="1"/>
  <c r="A3834" i="1"/>
  <c r="A3835" i="1"/>
  <c r="A3836" i="1" s="1"/>
  <c r="A3833" i="1"/>
  <c r="A3821" i="1"/>
  <c r="A3822" i="1"/>
  <c r="A3823" i="1" s="1"/>
  <c r="A3824" i="1" s="1"/>
  <c r="A3825" i="1" s="1"/>
  <c r="A3826" i="1" s="1"/>
  <c r="A3827" i="1" s="1"/>
  <c r="A3828" i="1" s="1"/>
  <c r="A3829" i="1" s="1"/>
  <c r="A3830" i="1" s="1"/>
  <c r="A3820" i="1"/>
  <c r="A3810" i="1"/>
  <c r="A3811" i="1"/>
  <c r="A3812" i="1" s="1"/>
  <c r="A3813" i="1" s="1"/>
  <c r="A3814" i="1" s="1"/>
  <c r="A3815" i="1" s="1"/>
  <c r="A3816" i="1" s="1"/>
  <c r="A3817" i="1" s="1"/>
  <c r="A3809" i="1"/>
  <c r="A3790" i="1"/>
  <c r="A3791" i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789" i="1"/>
  <c r="A3774" i="1"/>
  <c r="A3775" i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73" i="1"/>
  <c r="A3767" i="1"/>
  <c r="A3761" i="1"/>
  <c r="A3762" i="1"/>
  <c r="A3763" i="1" s="1"/>
  <c r="A3764" i="1" s="1"/>
  <c r="A3765" i="1" s="1"/>
  <c r="A3766" i="1" s="1"/>
  <c r="A3760" i="1"/>
  <c r="A3745" i="1"/>
  <c r="A3746" i="1"/>
  <c r="A3747" i="1" s="1"/>
  <c r="A3748" i="1" s="1"/>
  <c r="A3749" i="1" s="1"/>
  <c r="A3750" i="1" s="1"/>
  <c r="A3751" i="1" s="1"/>
  <c r="A3744" i="1"/>
  <c r="A3736" i="1"/>
  <c r="A3737" i="1"/>
  <c r="A3738" i="1" s="1"/>
  <c r="A3739" i="1" s="1"/>
  <c r="A3740" i="1" s="1"/>
  <c r="A3735" i="1"/>
  <c r="A3714" i="1"/>
  <c r="A3715" i="1"/>
  <c r="A3716" i="1" s="1"/>
  <c r="A3713" i="1"/>
  <c r="A3696" i="1"/>
  <c r="A3697" i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695" i="1"/>
  <c r="A3678" i="1"/>
  <c r="A3679" i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77" i="1"/>
  <c r="A3630" i="1"/>
  <c r="A3631" i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29" i="1"/>
  <c r="A3622" i="1"/>
  <c r="A3623" i="1"/>
  <c r="A3624" i="1" s="1"/>
  <c r="A3625" i="1" s="1"/>
  <c r="A3621" i="1"/>
  <c r="A3600" i="1"/>
  <c r="A3601" i="1"/>
  <c r="A3602" i="1" s="1"/>
  <c r="A3603" i="1" s="1"/>
  <c r="A3604" i="1" s="1"/>
  <c r="A3605" i="1" s="1"/>
  <c r="A3606" i="1" s="1"/>
  <c r="A3607" i="1" s="1"/>
  <c r="A3608" i="1" s="1"/>
  <c r="A3599" i="1"/>
  <c r="A3592" i="1"/>
  <c r="A3593" i="1"/>
  <c r="A3591" i="1"/>
  <c r="A3585" i="1"/>
  <c r="A3586" i="1"/>
  <c r="A3587" i="1" s="1"/>
  <c r="A3588" i="1" s="1"/>
  <c r="A3584" i="1"/>
  <c r="A3561" i="1"/>
  <c r="A3562" i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19" i="1"/>
  <c r="A3520" i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18" i="1"/>
  <c r="A3503" i="1"/>
  <c r="A3504" i="1"/>
  <c r="A3505" i="1" s="1"/>
  <c r="A3506" i="1" s="1"/>
  <c r="A3507" i="1" s="1"/>
  <c r="A3508" i="1" s="1"/>
  <c r="A3509" i="1" s="1"/>
  <c r="A3502" i="1"/>
  <c r="A3492" i="1"/>
  <c r="A3493" i="1"/>
  <c r="A3494" i="1" s="1"/>
  <c r="A3495" i="1" s="1"/>
  <c r="A3496" i="1" s="1"/>
  <c r="A3497" i="1" s="1"/>
  <c r="A3491" i="1"/>
  <c r="A3482" i="1"/>
  <c r="A3483" i="1"/>
  <c r="A3484" i="1" s="1"/>
  <c r="A3485" i="1" s="1"/>
  <c r="A3486" i="1" s="1"/>
  <c r="A3481" i="1"/>
  <c r="A3478" i="1"/>
  <c r="A3477" i="1"/>
  <c r="A3466" i="1"/>
  <c r="A3467" i="1"/>
  <c r="A3468" i="1" s="1"/>
  <c r="A3469" i="1" s="1"/>
  <c r="A3470" i="1" s="1"/>
  <c r="A3471" i="1" s="1"/>
  <c r="A3472" i="1" s="1"/>
  <c r="A3473" i="1" s="1"/>
  <c r="A3474" i="1" s="1"/>
  <c r="A3458" i="1"/>
  <c r="A3459" i="1"/>
  <c r="A3460" i="1" s="1"/>
  <c r="A3461" i="1" s="1"/>
  <c r="A3462" i="1" s="1"/>
  <c r="A3463" i="1" s="1"/>
  <c r="A3464" i="1" s="1"/>
  <c r="A3465" i="1" s="1"/>
  <c r="A3445" i="1"/>
  <c r="A3446" i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44" i="1"/>
  <c r="A3427" i="1"/>
  <c r="A3428" i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26" i="1"/>
  <c r="A3423" i="1"/>
  <c r="A3417" i="1"/>
  <c r="A3418" i="1"/>
  <c r="A3419" i="1" s="1"/>
  <c r="A3420" i="1" s="1"/>
  <c r="A3416" i="1"/>
  <c r="A3406" i="1"/>
  <c r="A3407" i="1"/>
  <c r="A3408" i="1" s="1"/>
  <c r="A3409" i="1" s="1"/>
  <c r="A3410" i="1" s="1"/>
  <c r="A3411" i="1" s="1"/>
  <c r="A3412" i="1" s="1"/>
  <c r="A3413" i="1" s="1"/>
  <c r="A3405" i="1"/>
  <c r="A3401" i="1"/>
  <c r="A3395" i="1"/>
  <c r="A3396" i="1"/>
  <c r="A3391" i="1"/>
  <c r="A3392" i="1"/>
  <c r="A3393" i="1" s="1"/>
  <c r="A3394" i="1" s="1"/>
  <c r="A3383" i="1"/>
  <c r="A3384" i="1"/>
  <c r="A3385" i="1" s="1"/>
  <c r="A3386" i="1" s="1"/>
  <c r="A3387" i="1" s="1"/>
  <c r="A3388" i="1" s="1"/>
  <c r="A3389" i="1" s="1"/>
  <c r="A3390" i="1" s="1"/>
  <c r="A3382" i="1"/>
  <c r="A3372" i="1"/>
  <c r="A3373" i="1"/>
  <c r="A3371" i="1"/>
  <c r="A3362" i="1"/>
  <c r="A3363" i="1"/>
  <c r="A3364" i="1"/>
  <c r="A3365" i="1"/>
  <c r="A3366" i="1" s="1"/>
  <c r="A3367" i="1" s="1"/>
  <c r="A3361" i="1"/>
  <c r="A3346" i="1"/>
  <c r="A3347" i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39" i="1"/>
  <c r="A3340" i="1"/>
  <c r="A3341" i="1"/>
  <c r="A3342" i="1"/>
  <c r="A3343" i="1" s="1"/>
  <c r="A3344" i="1" s="1"/>
  <c r="A3345" i="1" s="1"/>
  <c r="A3338" i="1"/>
  <c r="A3333" i="1"/>
  <c r="A3332" i="1"/>
  <c r="A3326" i="1"/>
  <c r="A3325" i="1"/>
  <c r="A3314" i="1"/>
  <c r="A3315" i="1"/>
  <c r="A3316" i="1" s="1"/>
  <c r="A3317" i="1" s="1"/>
  <c r="A3318" i="1" s="1"/>
  <c r="A3319" i="1" s="1"/>
  <c r="A3320" i="1" s="1"/>
  <c r="A3321" i="1" s="1"/>
  <c r="A3313" i="1"/>
  <c r="A3288" i="1"/>
  <c r="A3289" i="1"/>
  <c r="A3290" i="1"/>
  <c r="A3291" i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287" i="1"/>
  <c r="A3284" i="1"/>
  <c r="A3264" i="1"/>
  <c r="A3265" i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63" i="1"/>
  <c r="A3255" i="1"/>
  <c r="A3256" i="1"/>
  <c r="A3257" i="1" s="1"/>
  <c r="A3258" i="1" s="1"/>
  <c r="A3259" i="1" s="1"/>
  <c r="A3254" i="1"/>
  <c r="A3248" i="1"/>
  <c r="A3249" i="1"/>
  <c r="A3250" i="1" s="1"/>
  <c r="A3246" i="1"/>
  <c r="A3247" i="1"/>
  <c r="A3245" i="1"/>
  <c r="A3240" i="1"/>
  <c r="A3217" i="1"/>
  <c r="A3218" i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09" i="1"/>
  <c r="A3210" i="1"/>
  <c r="A3211" i="1" s="1"/>
  <c r="A3212" i="1" s="1"/>
  <c r="A3213" i="1" s="1"/>
  <c r="A3214" i="1" s="1"/>
  <c r="A3215" i="1" s="1"/>
  <c r="A3216" i="1" s="1"/>
  <c r="A3201" i="1"/>
  <c r="A3202" i="1"/>
  <c r="A3203" i="1" s="1"/>
  <c r="A3204" i="1" s="1"/>
  <c r="A3205" i="1" s="1"/>
  <c r="A3206" i="1" s="1"/>
  <c r="A3207" i="1" s="1"/>
  <c r="A3208" i="1" s="1"/>
  <c r="A3195" i="1"/>
  <c r="A3196" i="1"/>
  <c r="A3197" i="1" s="1"/>
  <c r="A3198" i="1" s="1"/>
  <c r="A3199" i="1" s="1"/>
  <c r="A3200" i="1" s="1"/>
  <c r="A3183" i="1"/>
  <c r="A3184" i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82" i="1"/>
  <c r="AM2582" i="1" l="1"/>
  <c r="AK2582" i="1"/>
  <c r="AJ2582" i="1"/>
  <c r="Q2582" i="1"/>
  <c r="S2582" i="1" s="1"/>
  <c r="AK2581" i="1"/>
  <c r="AJ2581" i="1"/>
  <c r="AM2581" i="1" s="1"/>
  <c r="Q2581" i="1"/>
  <c r="S2581" i="1" s="1"/>
  <c r="AK2580" i="1"/>
  <c r="AJ2580" i="1"/>
  <c r="AM2580" i="1" s="1"/>
  <c r="Q2580" i="1"/>
  <c r="S2580" i="1" s="1"/>
  <c r="AK2579" i="1"/>
  <c r="AJ2579" i="1"/>
  <c r="AM2579" i="1" s="1"/>
  <c r="Q2579" i="1"/>
  <c r="S2579" i="1" s="1"/>
  <c r="AK2578" i="1"/>
  <c r="AJ2578" i="1"/>
  <c r="AM2578" i="1" s="1"/>
  <c r="Q2578" i="1"/>
  <c r="S2578" i="1" s="1"/>
  <c r="AK2577" i="1"/>
  <c r="AJ2577" i="1"/>
  <c r="AM2577" i="1" s="1"/>
  <c r="Q2577" i="1"/>
  <c r="S2577" i="1" s="1"/>
  <c r="AN2577" i="1" s="1"/>
  <c r="AP2577" i="1" s="1"/>
  <c r="AJ2576" i="1"/>
  <c r="AM2576" i="1" s="1"/>
  <c r="Q2576" i="1"/>
  <c r="AJ2575" i="1"/>
  <c r="AM2575" i="1" s="1"/>
  <c r="Q2575" i="1"/>
  <c r="AK2574" i="1"/>
  <c r="AJ2574" i="1"/>
  <c r="AM2574" i="1" s="1"/>
  <c r="Q2574" i="1"/>
  <c r="S2574" i="1" s="1"/>
  <c r="AG2573" i="1"/>
  <c r="AJ2573" i="1" s="1"/>
  <c r="AM2573" i="1" s="1"/>
  <c r="Q2573" i="1"/>
  <c r="S2573" i="1" s="1"/>
  <c r="AG2572" i="1"/>
  <c r="AJ2572" i="1" s="1"/>
  <c r="AM2572" i="1" s="1"/>
  <c r="Q2572" i="1"/>
  <c r="S2572" i="1" s="1"/>
  <c r="AG2571" i="1"/>
  <c r="AJ2571" i="1" s="1"/>
  <c r="AM2571" i="1" s="1"/>
  <c r="Q2571" i="1"/>
  <c r="S2571" i="1" s="1"/>
  <c r="AN2571" i="1" s="1"/>
  <c r="AP2571" i="1" s="1"/>
  <c r="AG2570" i="1"/>
  <c r="AJ2570" i="1" s="1"/>
  <c r="AM2570" i="1" s="1"/>
  <c r="Q2570" i="1"/>
  <c r="S2570" i="1" s="1"/>
  <c r="AG2569" i="1"/>
  <c r="AJ2569" i="1" s="1"/>
  <c r="AM2569" i="1" s="1"/>
  <c r="Q2569" i="1"/>
  <c r="S2569" i="1" s="1"/>
  <c r="AG2568" i="1"/>
  <c r="AJ2568" i="1" s="1"/>
  <c r="AM2568" i="1" s="1"/>
  <c r="Q2568" i="1"/>
  <c r="S2568" i="1" s="1"/>
  <c r="AG2567" i="1"/>
  <c r="AJ2567" i="1" s="1"/>
  <c r="AM2567" i="1" s="1"/>
  <c r="AB2567" i="1"/>
  <c r="Q2567" i="1"/>
  <c r="S2567" i="1" s="1"/>
  <c r="AG2566" i="1"/>
  <c r="AJ2566" i="1" s="1"/>
  <c r="AM2566" i="1" s="1"/>
  <c r="Q2566" i="1"/>
  <c r="S2566" i="1" s="1"/>
  <c r="K2566" i="1"/>
  <c r="AG2564" i="1"/>
  <c r="AJ2564" i="1" s="1"/>
  <c r="AM2564" i="1" s="1"/>
  <c r="Q2564" i="1"/>
  <c r="S2564" i="1" s="1"/>
  <c r="AG2563" i="1"/>
  <c r="AJ2563" i="1" s="1"/>
  <c r="AM2563" i="1" s="1"/>
  <c r="Q2563" i="1"/>
  <c r="S2563" i="1" s="1"/>
  <c r="AG2562" i="1"/>
  <c r="AJ2562" i="1" s="1"/>
  <c r="AM2562" i="1" s="1"/>
  <c r="Q2562" i="1"/>
  <c r="S2562" i="1" s="1"/>
  <c r="K2562" i="1"/>
  <c r="AG2561" i="1"/>
  <c r="AJ2561" i="1" s="1"/>
  <c r="AM2561" i="1" s="1"/>
  <c r="Q2561" i="1"/>
  <c r="S2561" i="1" s="1"/>
  <c r="AG2560" i="1"/>
  <c r="AJ2560" i="1" s="1"/>
  <c r="AM2560" i="1" s="1"/>
  <c r="Q2560" i="1"/>
  <c r="S2560" i="1" s="1"/>
  <c r="K2560" i="1"/>
  <c r="AG2559" i="1"/>
  <c r="AJ2559" i="1" s="1"/>
  <c r="AM2559" i="1" s="1"/>
  <c r="S2559" i="1"/>
  <c r="Q2559" i="1"/>
  <c r="AG2558" i="1"/>
  <c r="AJ2558" i="1" s="1"/>
  <c r="AM2558" i="1" s="1"/>
  <c r="Q2558" i="1"/>
  <c r="S2558" i="1" s="1"/>
  <c r="AN2558" i="1" s="1"/>
  <c r="AP2558" i="1" s="1"/>
  <c r="AG2557" i="1"/>
  <c r="AJ2557" i="1" s="1"/>
  <c r="AM2557" i="1" s="1"/>
  <c r="Q2557" i="1"/>
  <c r="S2557" i="1" s="1"/>
  <c r="K2557" i="1"/>
  <c r="AG2556" i="1"/>
  <c r="AJ2556" i="1" s="1"/>
  <c r="AM2556" i="1" s="1"/>
  <c r="Q2556" i="1"/>
  <c r="S2556" i="1" s="1"/>
  <c r="AG2555" i="1"/>
  <c r="AJ2555" i="1" s="1"/>
  <c r="AM2555" i="1" s="1"/>
  <c r="Q2555" i="1"/>
  <c r="S2555" i="1" s="1"/>
  <c r="AG2554" i="1"/>
  <c r="AJ2554" i="1" s="1"/>
  <c r="AM2554" i="1" s="1"/>
  <c r="Q2554" i="1"/>
  <c r="S2554" i="1" s="1"/>
  <c r="K2554" i="1"/>
  <c r="AG2553" i="1"/>
  <c r="AJ2553" i="1" s="1"/>
  <c r="AM2553" i="1" s="1"/>
  <c r="Q2553" i="1"/>
  <c r="S2553" i="1" s="1"/>
  <c r="K2553" i="1"/>
  <c r="AG2552" i="1"/>
  <c r="AJ2552" i="1" s="1"/>
  <c r="AM2552" i="1" s="1"/>
  <c r="Q2552" i="1"/>
  <c r="S2552" i="1" s="1"/>
  <c r="AG2551" i="1"/>
  <c r="AJ2551" i="1" s="1"/>
  <c r="AM2551" i="1" s="1"/>
  <c r="Q2551" i="1"/>
  <c r="S2551" i="1" s="1"/>
  <c r="AN2551" i="1" s="1"/>
  <c r="AP2551" i="1" s="1"/>
  <c r="AG2550" i="1"/>
  <c r="AJ2550" i="1" s="1"/>
  <c r="AM2550" i="1" s="1"/>
  <c r="AB2550" i="1"/>
  <c r="Q2550" i="1"/>
  <c r="S2550" i="1" s="1"/>
  <c r="AG2549" i="1"/>
  <c r="AJ2549" i="1" s="1"/>
  <c r="AM2549" i="1" s="1"/>
  <c r="Q2549" i="1"/>
  <c r="S2549" i="1" s="1"/>
  <c r="AG2548" i="1"/>
  <c r="AJ2548" i="1" s="1"/>
  <c r="AM2548" i="1" s="1"/>
  <c r="Q2548" i="1"/>
  <c r="S2548" i="1" s="1"/>
  <c r="AG2547" i="1"/>
  <c r="AJ2547" i="1" s="1"/>
  <c r="AM2547" i="1" s="1"/>
  <c r="Q2547" i="1"/>
  <c r="S2547" i="1" s="1"/>
  <c r="AN2547" i="1" s="1"/>
  <c r="AP2547" i="1" s="1"/>
  <c r="AS2546" i="1"/>
  <c r="AG2546" i="1"/>
  <c r="AJ2546" i="1" s="1"/>
  <c r="AM2546" i="1" s="1"/>
  <c r="Q2546" i="1"/>
  <c r="S2546" i="1" s="1"/>
  <c r="K2546" i="1"/>
  <c r="AG2545" i="1"/>
  <c r="AJ2545" i="1" s="1"/>
  <c r="AM2545" i="1" s="1"/>
  <c r="Q2545" i="1"/>
  <c r="S2545" i="1" s="1"/>
  <c r="K2545" i="1"/>
  <c r="AG2544" i="1"/>
  <c r="AJ2544" i="1" s="1"/>
  <c r="AM2544" i="1" s="1"/>
  <c r="Q2544" i="1"/>
  <c r="S2544" i="1" s="1"/>
  <c r="K2544" i="1"/>
  <c r="AK2543" i="1"/>
  <c r="AJ2543" i="1"/>
  <c r="AM2543" i="1" s="1"/>
  <c r="Q2543" i="1"/>
  <c r="S2543" i="1" s="1"/>
  <c r="AG2542" i="1"/>
  <c r="AJ2542" i="1" s="1"/>
  <c r="AM2542" i="1" s="1"/>
  <c r="S2542" i="1"/>
  <c r="Q2542" i="1"/>
  <c r="AG2541" i="1"/>
  <c r="AJ2541" i="1" s="1"/>
  <c r="AM2541" i="1" s="1"/>
  <c r="Q2541" i="1"/>
  <c r="S2541" i="1" s="1"/>
  <c r="AG2540" i="1"/>
  <c r="AJ2540" i="1" s="1"/>
  <c r="AM2540" i="1" s="1"/>
  <c r="Q2540" i="1"/>
  <c r="S2540" i="1" s="1"/>
  <c r="AG2539" i="1"/>
  <c r="AJ2539" i="1" s="1"/>
  <c r="AM2539" i="1" s="1"/>
  <c r="Q2539" i="1"/>
  <c r="S2539" i="1" s="1"/>
  <c r="AG2538" i="1"/>
  <c r="AJ2538" i="1" s="1"/>
  <c r="AM2538" i="1" s="1"/>
  <c r="Q2538" i="1"/>
  <c r="S2538" i="1" s="1"/>
  <c r="AG2536" i="1"/>
  <c r="AJ2536" i="1" s="1"/>
  <c r="AM2536" i="1" s="1"/>
  <c r="Q2536" i="1"/>
  <c r="S2536" i="1" s="1"/>
  <c r="AG2535" i="1"/>
  <c r="AJ2535" i="1" s="1"/>
  <c r="AM2535" i="1" s="1"/>
  <c r="Q2535" i="1"/>
  <c r="S2535" i="1" s="1"/>
  <c r="AG2534" i="1"/>
  <c r="AJ2534" i="1" s="1"/>
  <c r="AM2534" i="1" s="1"/>
  <c r="Q2534" i="1"/>
  <c r="S2534" i="1" s="1"/>
  <c r="K2534" i="1"/>
  <c r="AG2533" i="1"/>
  <c r="AJ2533" i="1" s="1"/>
  <c r="AM2533" i="1" s="1"/>
  <c r="Q2533" i="1"/>
  <c r="S2533" i="1" s="1"/>
  <c r="AG2532" i="1"/>
  <c r="AJ2532" i="1" s="1"/>
  <c r="AM2532" i="1" s="1"/>
  <c r="Q2532" i="1"/>
  <c r="S2532" i="1" s="1"/>
  <c r="AG2531" i="1"/>
  <c r="AJ2531" i="1" s="1"/>
  <c r="AM2531" i="1" s="1"/>
  <c r="AB2531" i="1"/>
  <c r="Q2531" i="1"/>
  <c r="S2531" i="1" s="1"/>
  <c r="AG2530" i="1"/>
  <c r="AJ2530" i="1" s="1"/>
  <c r="AM2530" i="1" s="1"/>
  <c r="AB2530" i="1"/>
  <c r="Q2530" i="1"/>
  <c r="S2530" i="1" s="1"/>
  <c r="AG2529" i="1"/>
  <c r="AJ2529" i="1" s="1"/>
  <c r="AM2529" i="1" s="1"/>
  <c r="Q2529" i="1"/>
  <c r="S2529" i="1" s="1"/>
  <c r="AG2528" i="1"/>
  <c r="AJ2528" i="1" s="1"/>
  <c r="AM2528" i="1" s="1"/>
  <c r="Q2528" i="1"/>
  <c r="S2528" i="1" s="1"/>
  <c r="AG2527" i="1"/>
  <c r="AJ2527" i="1" s="1"/>
  <c r="AM2527" i="1" s="1"/>
  <c r="Q2527" i="1"/>
  <c r="S2527" i="1" s="1"/>
  <c r="AG2526" i="1"/>
  <c r="AJ2526" i="1" s="1"/>
  <c r="AM2526" i="1" s="1"/>
  <c r="Q2526" i="1"/>
  <c r="S2526" i="1" s="1"/>
  <c r="AG2525" i="1"/>
  <c r="AJ2525" i="1" s="1"/>
  <c r="AM2525" i="1" s="1"/>
  <c r="Q2525" i="1"/>
  <c r="S2525" i="1" s="1"/>
  <c r="AG2524" i="1"/>
  <c r="AJ2524" i="1" s="1"/>
  <c r="AM2524" i="1" s="1"/>
  <c r="Q2524" i="1"/>
  <c r="S2524" i="1" s="1"/>
  <c r="AG2523" i="1"/>
  <c r="AJ2523" i="1" s="1"/>
  <c r="AM2523" i="1" s="1"/>
  <c r="Q2523" i="1"/>
  <c r="S2523" i="1" s="1"/>
  <c r="AJ2522" i="1"/>
  <c r="AM2522" i="1" s="1"/>
  <c r="AG2522" i="1"/>
  <c r="Q2522" i="1"/>
  <c r="S2522" i="1" s="1"/>
  <c r="AG2521" i="1"/>
  <c r="AJ2521" i="1" s="1"/>
  <c r="AM2521" i="1" s="1"/>
  <c r="Q2521" i="1"/>
  <c r="S2521" i="1" s="1"/>
  <c r="Q2520" i="1"/>
  <c r="AG2519" i="1"/>
  <c r="AJ2519" i="1" s="1"/>
  <c r="AM2519" i="1" s="1"/>
  <c r="AN2519" i="1" s="1"/>
  <c r="AP2519" i="1" s="1"/>
  <c r="Q2519" i="1"/>
  <c r="S2519" i="1" s="1"/>
  <c r="AG2518" i="1"/>
  <c r="AJ2518" i="1" s="1"/>
  <c r="AM2518" i="1" s="1"/>
  <c r="AB2518" i="1"/>
  <c r="S2518" i="1"/>
  <c r="AN2518" i="1" s="1"/>
  <c r="AP2518" i="1" s="1"/>
  <c r="Q2518" i="1"/>
  <c r="AG2517" i="1"/>
  <c r="AJ2517" i="1" s="1"/>
  <c r="AM2517" i="1" s="1"/>
  <c r="AB2517" i="1"/>
  <c r="Q2517" i="1"/>
  <c r="S2517" i="1" s="1"/>
  <c r="AG2516" i="1"/>
  <c r="AJ2516" i="1" s="1"/>
  <c r="AM2516" i="1" s="1"/>
  <c r="Q2516" i="1"/>
  <c r="S2516" i="1" s="1"/>
  <c r="AG2515" i="1"/>
  <c r="AJ2515" i="1" s="1"/>
  <c r="AM2515" i="1" s="1"/>
  <c r="Q2515" i="1"/>
  <c r="S2515" i="1" s="1"/>
  <c r="AG2514" i="1"/>
  <c r="AJ2514" i="1" s="1"/>
  <c r="AM2514" i="1" s="1"/>
  <c r="AB2514" i="1"/>
  <c r="Q2514" i="1"/>
  <c r="S2514" i="1" s="1"/>
  <c r="AG2513" i="1"/>
  <c r="AJ2513" i="1" s="1"/>
  <c r="AM2513" i="1" s="1"/>
  <c r="Q2513" i="1"/>
  <c r="S2513" i="1" s="1"/>
  <c r="AG2512" i="1"/>
  <c r="AJ2512" i="1" s="1"/>
  <c r="AM2512" i="1" s="1"/>
  <c r="Q2512" i="1"/>
  <c r="S2512" i="1" s="1"/>
  <c r="AG2509" i="1"/>
  <c r="AJ2509" i="1" s="1"/>
  <c r="AM2509" i="1" s="1"/>
  <c r="Q2509" i="1"/>
  <c r="S2509" i="1" s="1"/>
  <c r="K2509" i="1"/>
  <c r="AG2508" i="1"/>
  <c r="AJ2508" i="1" s="1"/>
  <c r="AM2508" i="1" s="1"/>
  <c r="Q2508" i="1"/>
  <c r="S2508" i="1" s="1"/>
  <c r="AN2508" i="1" s="1"/>
  <c r="AP2508" i="1" s="1"/>
  <c r="AJ2507" i="1"/>
  <c r="AM2507" i="1" s="1"/>
  <c r="AG2507" i="1"/>
  <c r="Q2507" i="1"/>
  <c r="S2507" i="1" s="1"/>
  <c r="AG2506" i="1"/>
  <c r="AJ2506" i="1" s="1"/>
  <c r="AM2506" i="1" s="1"/>
  <c r="S2506" i="1"/>
  <c r="Q2506" i="1"/>
  <c r="AG2505" i="1"/>
  <c r="AJ2505" i="1" s="1"/>
  <c r="AM2505" i="1" s="1"/>
  <c r="S2505" i="1"/>
  <c r="Q2505" i="1"/>
  <c r="K2505" i="1"/>
  <c r="AG2504" i="1"/>
  <c r="AJ2504" i="1" s="1"/>
  <c r="AM2504" i="1" s="1"/>
  <c r="Q2504" i="1"/>
  <c r="S2504" i="1" s="1"/>
  <c r="K2504" i="1"/>
  <c r="AG2503" i="1"/>
  <c r="AJ2503" i="1" s="1"/>
  <c r="AM2503" i="1" s="1"/>
  <c r="Q2503" i="1"/>
  <c r="S2503" i="1" s="1"/>
  <c r="AG2502" i="1"/>
  <c r="AJ2502" i="1" s="1"/>
  <c r="AM2502" i="1" s="1"/>
  <c r="AB2502" i="1"/>
  <c r="Q2502" i="1"/>
  <c r="S2502" i="1" s="1"/>
  <c r="L2502" i="1"/>
  <c r="K2502" i="1" s="1"/>
  <c r="AG2501" i="1"/>
  <c r="AJ2501" i="1" s="1"/>
  <c r="AM2501" i="1" s="1"/>
  <c r="AB2501" i="1"/>
  <c r="Q2501" i="1"/>
  <c r="S2501" i="1" s="1"/>
  <c r="AG2500" i="1"/>
  <c r="AJ2500" i="1" s="1"/>
  <c r="AM2500" i="1" s="1"/>
  <c r="S2500" i="1"/>
  <c r="Q2500" i="1"/>
  <c r="AG2499" i="1"/>
  <c r="AJ2499" i="1" s="1"/>
  <c r="AM2499" i="1" s="1"/>
  <c r="Q2499" i="1"/>
  <c r="S2499" i="1" s="1"/>
  <c r="AG2498" i="1"/>
  <c r="AJ2498" i="1" s="1"/>
  <c r="AM2498" i="1" s="1"/>
  <c r="Q2498" i="1"/>
  <c r="S2498" i="1" s="1"/>
  <c r="AG2497" i="1"/>
  <c r="AJ2497" i="1" s="1"/>
  <c r="AM2497" i="1" s="1"/>
  <c r="Q2497" i="1"/>
  <c r="S2497" i="1" s="1"/>
  <c r="AG2496" i="1"/>
  <c r="AJ2496" i="1" s="1"/>
  <c r="AM2496" i="1" s="1"/>
  <c r="Q2496" i="1"/>
  <c r="S2496" i="1" s="1"/>
  <c r="AN2496" i="1" s="1"/>
  <c r="AP2496" i="1" s="1"/>
  <c r="AG2495" i="1"/>
  <c r="AJ2495" i="1" s="1"/>
  <c r="AM2495" i="1" s="1"/>
  <c r="Q2495" i="1"/>
  <c r="S2495" i="1" s="1"/>
  <c r="AG2494" i="1"/>
  <c r="AJ2494" i="1" s="1"/>
  <c r="AM2494" i="1" s="1"/>
  <c r="Q2494" i="1"/>
  <c r="S2494" i="1" s="1"/>
  <c r="AG2493" i="1"/>
  <c r="AJ2493" i="1" s="1"/>
  <c r="AM2493" i="1" s="1"/>
  <c r="AB2493" i="1"/>
  <c r="Q2493" i="1"/>
  <c r="S2493" i="1" s="1"/>
  <c r="AG2492" i="1"/>
  <c r="AJ2492" i="1" s="1"/>
  <c r="AM2492" i="1" s="1"/>
  <c r="Q2492" i="1"/>
  <c r="S2492" i="1" s="1"/>
  <c r="AG2491" i="1"/>
  <c r="AJ2491" i="1" s="1"/>
  <c r="AM2491" i="1" s="1"/>
  <c r="AB2491" i="1"/>
  <c r="Q2491" i="1"/>
  <c r="S2491" i="1" s="1"/>
  <c r="AN2491" i="1" s="1"/>
  <c r="AP2491" i="1" s="1"/>
  <c r="AG2489" i="1"/>
  <c r="AJ2489" i="1" s="1"/>
  <c r="AM2489" i="1" s="1"/>
  <c r="Q2489" i="1"/>
  <c r="S2489" i="1" s="1"/>
  <c r="AG2488" i="1"/>
  <c r="AJ2488" i="1" s="1"/>
  <c r="AM2488" i="1" s="1"/>
  <c r="Q2488" i="1"/>
  <c r="S2488" i="1" s="1"/>
  <c r="AG2487" i="1"/>
  <c r="AJ2487" i="1" s="1"/>
  <c r="AM2487" i="1" s="1"/>
  <c r="Q2487" i="1"/>
  <c r="S2487" i="1" s="1"/>
  <c r="AG2486" i="1"/>
  <c r="AJ2486" i="1" s="1"/>
  <c r="AM2486" i="1" s="1"/>
  <c r="Q2486" i="1"/>
  <c r="S2486" i="1" s="1"/>
  <c r="AG2485" i="1"/>
  <c r="AJ2485" i="1" s="1"/>
  <c r="AM2485" i="1" s="1"/>
  <c r="Q2485" i="1"/>
  <c r="S2485" i="1" s="1"/>
  <c r="AG2484" i="1"/>
  <c r="AJ2484" i="1" s="1"/>
  <c r="AM2484" i="1" s="1"/>
  <c r="Q2484" i="1"/>
  <c r="S2484" i="1" s="1"/>
  <c r="AJ2483" i="1"/>
  <c r="AM2483" i="1" s="1"/>
  <c r="AG2483" i="1"/>
  <c r="Q2483" i="1"/>
  <c r="S2483" i="1" s="1"/>
  <c r="AG2482" i="1"/>
  <c r="AJ2482" i="1" s="1"/>
  <c r="AM2482" i="1" s="1"/>
  <c r="Q2482" i="1"/>
  <c r="S2482" i="1" s="1"/>
  <c r="AG2481" i="1"/>
  <c r="AJ2481" i="1" s="1"/>
  <c r="AM2481" i="1" s="1"/>
  <c r="Q2481" i="1"/>
  <c r="S2481" i="1" s="1"/>
  <c r="AN2481" i="1" s="1"/>
  <c r="AP2481" i="1" s="1"/>
  <c r="AG2480" i="1"/>
  <c r="AJ2480" i="1" s="1"/>
  <c r="AM2480" i="1" s="1"/>
  <c r="Q2480" i="1"/>
  <c r="S2480" i="1" s="1"/>
  <c r="AG2479" i="1"/>
  <c r="AJ2479" i="1" s="1"/>
  <c r="AM2479" i="1" s="1"/>
  <c r="Q2479" i="1"/>
  <c r="S2479" i="1" s="1"/>
  <c r="AG2478" i="1"/>
  <c r="AJ2478" i="1" s="1"/>
  <c r="AM2478" i="1" s="1"/>
  <c r="Q2478" i="1"/>
  <c r="S2478" i="1" s="1"/>
  <c r="AG2477" i="1"/>
  <c r="AJ2477" i="1" s="1"/>
  <c r="AM2477" i="1" s="1"/>
  <c r="AB2477" i="1"/>
  <c r="Q2477" i="1"/>
  <c r="S2477" i="1" s="1"/>
  <c r="AG2476" i="1"/>
  <c r="AJ2476" i="1" s="1"/>
  <c r="AM2476" i="1" s="1"/>
  <c r="AB2476" i="1"/>
  <c r="Q2476" i="1"/>
  <c r="S2476" i="1" s="1"/>
  <c r="AG2475" i="1"/>
  <c r="AJ2475" i="1" s="1"/>
  <c r="AM2475" i="1" s="1"/>
  <c r="AB2475" i="1"/>
  <c r="S2475" i="1"/>
  <c r="Q2475" i="1"/>
  <c r="AG2474" i="1"/>
  <c r="AJ2474" i="1" s="1"/>
  <c r="AM2474" i="1" s="1"/>
  <c r="S2474" i="1"/>
  <c r="AN2474" i="1" s="1"/>
  <c r="AP2474" i="1" s="1"/>
  <c r="Q2474" i="1"/>
  <c r="AG2473" i="1"/>
  <c r="AJ2473" i="1" s="1"/>
  <c r="AM2473" i="1" s="1"/>
  <c r="AB2473" i="1"/>
  <c r="S2473" i="1"/>
  <c r="AN2473" i="1" s="1"/>
  <c r="AP2473" i="1" s="1"/>
  <c r="Q2473" i="1"/>
  <c r="AG2472" i="1"/>
  <c r="AJ2472" i="1" s="1"/>
  <c r="AM2472" i="1" s="1"/>
  <c r="Q2472" i="1"/>
  <c r="S2472" i="1" s="1"/>
  <c r="K2472" i="1"/>
  <c r="AG2471" i="1"/>
  <c r="AJ2471" i="1" s="1"/>
  <c r="AM2471" i="1" s="1"/>
  <c r="Q2471" i="1"/>
  <c r="S2471" i="1" s="1"/>
  <c r="AG2470" i="1"/>
  <c r="AJ2470" i="1" s="1"/>
  <c r="AM2470" i="1" s="1"/>
  <c r="Q2470" i="1"/>
  <c r="S2470" i="1" s="1"/>
  <c r="AG2469" i="1"/>
  <c r="AJ2469" i="1" s="1"/>
  <c r="AM2469" i="1" s="1"/>
  <c r="Q2469" i="1"/>
  <c r="S2469" i="1" s="1"/>
  <c r="AG2468" i="1"/>
  <c r="AJ2468" i="1" s="1"/>
  <c r="AM2468" i="1" s="1"/>
  <c r="AB2468" i="1"/>
  <c r="Q2468" i="1"/>
  <c r="S2468" i="1" s="1"/>
  <c r="AG2467" i="1"/>
  <c r="AJ2467" i="1" s="1"/>
  <c r="AM2467" i="1" s="1"/>
  <c r="AB2467" i="1"/>
  <c r="Q2467" i="1"/>
  <c r="S2467" i="1" s="1"/>
  <c r="AG2466" i="1"/>
  <c r="AJ2466" i="1" s="1"/>
  <c r="AM2466" i="1" s="1"/>
  <c r="AB2466" i="1"/>
  <c r="Q2466" i="1"/>
  <c r="S2466" i="1" s="1"/>
  <c r="AG2465" i="1"/>
  <c r="AJ2465" i="1" s="1"/>
  <c r="AM2465" i="1" s="1"/>
  <c r="AB2465" i="1"/>
  <c r="Q2465" i="1"/>
  <c r="S2465" i="1" s="1"/>
  <c r="AG2464" i="1"/>
  <c r="AJ2464" i="1" s="1"/>
  <c r="AM2464" i="1" s="1"/>
  <c r="Q2464" i="1"/>
  <c r="S2464" i="1" s="1"/>
  <c r="AG2462" i="1"/>
  <c r="AJ2462" i="1" s="1"/>
  <c r="AM2462" i="1" s="1"/>
  <c r="AB2462" i="1"/>
  <c r="Q2462" i="1"/>
  <c r="S2462" i="1" s="1"/>
  <c r="L2462" i="1"/>
  <c r="K2462" i="1" s="1"/>
  <c r="AG2461" i="1"/>
  <c r="AJ2461" i="1" s="1"/>
  <c r="AM2461" i="1" s="1"/>
  <c r="AN2461" i="1" s="1"/>
  <c r="AP2461" i="1" s="1"/>
  <c r="Q2461" i="1"/>
  <c r="S2461" i="1" s="1"/>
  <c r="AG2460" i="1"/>
  <c r="AJ2460" i="1" s="1"/>
  <c r="AM2460" i="1" s="1"/>
  <c r="Q2460" i="1"/>
  <c r="S2460" i="1" s="1"/>
  <c r="AG2459" i="1"/>
  <c r="AJ2459" i="1" s="1"/>
  <c r="AM2459" i="1" s="1"/>
  <c r="Q2459" i="1"/>
  <c r="S2459" i="1" s="1"/>
  <c r="AG2458" i="1"/>
  <c r="AJ2458" i="1" s="1"/>
  <c r="AM2458" i="1" s="1"/>
  <c r="AN2458" i="1" s="1"/>
  <c r="AP2458" i="1" s="1"/>
  <c r="Q2458" i="1"/>
  <c r="S2458" i="1" s="1"/>
  <c r="AG2457" i="1"/>
  <c r="AJ2457" i="1" s="1"/>
  <c r="AM2457" i="1" s="1"/>
  <c r="AN2457" i="1" s="1"/>
  <c r="AP2457" i="1" s="1"/>
  <c r="Q2457" i="1"/>
  <c r="S2457" i="1" s="1"/>
  <c r="AG2456" i="1"/>
  <c r="AJ2456" i="1" s="1"/>
  <c r="AM2456" i="1" s="1"/>
  <c r="Q2456" i="1"/>
  <c r="S2456" i="1" s="1"/>
  <c r="AJ2455" i="1"/>
  <c r="AM2455" i="1" s="1"/>
  <c r="AG2455" i="1"/>
  <c r="Q2455" i="1"/>
  <c r="S2455" i="1" s="1"/>
  <c r="AG2454" i="1"/>
  <c r="AJ2454" i="1" s="1"/>
  <c r="AM2454" i="1" s="1"/>
  <c r="Q2454" i="1"/>
  <c r="S2454" i="1" s="1"/>
  <c r="AG2453" i="1"/>
  <c r="AJ2453" i="1" s="1"/>
  <c r="AM2453" i="1" s="1"/>
  <c r="Q2453" i="1"/>
  <c r="S2453" i="1" s="1"/>
  <c r="AG2452" i="1"/>
  <c r="AJ2452" i="1" s="1"/>
  <c r="AM2452" i="1" s="1"/>
  <c r="Q2452" i="1"/>
  <c r="S2452" i="1" s="1"/>
  <c r="AJ2451" i="1"/>
  <c r="AM2451" i="1" s="1"/>
  <c r="Q2451" i="1"/>
  <c r="S2451" i="1" s="1"/>
  <c r="AG2450" i="1"/>
  <c r="AJ2450" i="1" s="1"/>
  <c r="AM2450" i="1" s="1"/>
  <c r="Q2450" i="1"/>
  <c r="S2450" i="1" s="1"/>
  <c r="AG2449" i="1"/>
  <c r="AJ2449" i="1" s="1"/>
  <c r="AM2449" i="1" s="1"/>
  <c r="Q2449" i="1"/>
  <c r="S2449" i="1" s="1"/>
  <c r="AG2448" i="1"/>
  <c r="AJ2448" i="1" s="1"/>
  <c r="AM2448" i="1" s="1"/>
  <c r="Q2448" i="1"/>
  <c r="S2448" i="1" s="1"/>
  <c r="AJ2447" i="1"/>
  <c r="AM2447" i="1" s="1"/>
  <c r="W2447" i="1"/>
  <c r="AJ2446" i="1"/>
  <c r="AM2446" i="1" s="1"/>
  <c r="AJ2445" i="1"/>
  <c r="AM2445" i="1" s="1"/>
  <c r="AJ2444" i="1"/>
  <c r="AM2444" i="1" s="1"/>
  <c r="W2444" i="1"/>
  <c r="AG2443" i="1"/>
  <c r="AJ2443" i="1" s="1"/>
  <c r="AM2443" i="1" s="1"/>
  <c r="W2443" i="1"/>
  <c r="AG2442" i="1"/>
  <c r="AJ2442" i="1" s="1"/>
  <c r="AM2442" i="1" s="1"/>
  <c r="AG2441" i="1"/>
  <c r="AJ2441" i="1" s="1"/>
  <c r="AM2441" i="1" s="1"/>
  <c r="AG2440" i="1"/>
  <c r="AJ2440" i="1" s="1"/>
  <c r="AM2440" i="1" s="1"/>
  <c r="AB2440" i="1"/>
  <c r="W2440" i="1"/>
  <c r="AG2439" i="1"/>
  <c r="AJ2439" i="1" s="1"/>
  <c r="AM2439" i="1" s="1"/>
  <c r="W2439" i="1"/>
  <c r="AJ2438" i="1"/>
  <c r="AM2438" i="1" s="1"/>
  <c r="AB2438" i="1"/>
  <c r="W2438" i="1"/>
  <c r="AJ2437" i="1"/>
  <c r="AM2437" i="1" s="1"/>
  <c r="AJ2436" i="1"/>
  <c r="AM2436" i="1" s="1"/>
  <c r="W2436" i="1"/>
  <c r="AJ2435" i="1"/>
  <c r="AM2435" i="1" s="1"/>
  <c r="AE2435" i="1"/>
  <c r="AJ2434" i="1"/>
  <c r="AM2434" i="1" s="1"/>
  <c r="AB2434" i="1"/>
  <c r="Z2434" i="1"/>
  <c r="Y2434" i="1"/>
  <c r="W2434" i="1"/>
  <c r="AR2433" i="1"/>
  <c r="AS2433" i="1" s="1"/>
  <c r="AG2433" i="1"/>
  <c r="AJ2433" i="1" s="1"/>
  <c r="AM2433" i="1" s="1"/>
  <c r="AE2433" i="1"/>
  <c r="AB2433" i="1"/>
  <c r="Y2433" i="1"/>
  <c r="Q2433" i="1"/>
  <c r="AM2432" i="1"/>
  <c r="AG2432" i="1"/>
  <c r="AJ2432" i="1" s="1"/>
  <c r="Q2432" i="1"/>
  <c r="S2432" i="1" s="1"/>
  <c r="K2432" i="1"/>
  <c r="AG2431" i="1"/>
  <c r="AJ2431" i="1" s="1"/>
  <c r="AM2431" i="1" s="1"/>
  <c r="Q2431" i="1"/>
  <c r="S2431" i="1" s="1"/>
  <c r="AG2429" i="1"/>
  <c r="AJ2429" i="1" s="1"/>
  <c r="AM2429" i="1" s="1"/>
  <c r="Q2429" i="1"/>
  <c r="S2429" i="1" s="1"/>
  <c r="AM2428" i="1"/>
  <c r="AG2428" i="1"/>
  <c r="AJ2428" i="1" s="1"/>
  <c r="Q2428" i="1"/>
  <c r="S2428" i="1" s="1"/>
  <c r="AS2427" i="1"/>
  <c r="AG2427" i="1"/>
  <c r="AJ2427" i="1" s="1"/>
  <c r="AM2427" i="1" s="1"/>
  <c r="Q2427" i="1"/>
  <c r="S2427" i="1" s="1"/>
  <c r="AG2426" i="1"/>
  <c r="AJ2426" i="1" s="1"/>
  <c r="AM2426" i="1" s="1"/>
  <c r="S2426" i="1"/>
  <c r="Q2426" i="1"/>
  <c r="K2426" i="1"/>
  <c r="AG2425" i="1"/>
  <c r="AJ2425" i="1" s="1"/>
  <c r="AM2425" i="1" s="1"/>
  <c r="Q2425" i="1"/>
  <c r="S2425" i="1" s="1"/>
  <c r="AG2424" i="1"/>
  <c r="AJ2424" i="1" s="1"/>
  <c r="AM2424" i="1" s="1"/>
  <c r="Q2424" i="1"/>
  <c r="S2424" i="1" s="1"/>
  <c r="AG2423" i="1"/>
  <c r="AJ2423" i="1" s="1"/>
  <c r="AM2423" i="1" s="1"/>
  <c r="Q2423" i="1"/>
  <c r="S2423" i="1" s="1"/>
  <c r="AJ2422" i="1"/>
  <c r="AM2422" i="1" s="1"/>
  <c r="AG2422" i="1"/>
  <c r="Q2422" i="1"/>
  <c r="S2422" i="1" s="1"/>
  <c r="K2422" i="1"/>
  <c r="AJ2421" i="1"/>
  <c r="AM2421" i="1" s="1"/>
  <c r="AG2421" i="1"/>
  <c r="Q2421" i="1"/>
  <c r="S2421" i="1" s="1"/>
  <c r="AG2420" i="1"/>
  <c r="AJ2420" i="1" s="1"/>
  <c r="AM2420" i="1" s="1"/>
  <c r="Q2420" i="1"/>
  <c r="S2420" i="1" s="1"/>
  <c r="AJ2419" i="1"/>
  <c r="AM2419" i="1" s="1"/>
  <c r="AD2419" i="1"/>
  <c r="AB2419" i="1"/>
  <c r="Q2419" i="1"/>
  <c r="S2419" i="1" s="1"/>
  <c r="AG2418" i="1"/>
  <c r="AJ2418" i="1" s="1"/>
  <c r="AM2418" i="1" s="1"/>
  <c r="AD2418" i="1"/>
  <c r="Q2418" i="1"/>
  <c r="S2418" i="1" s="1"/>
  <c r="AG2417" i="1"/>
  <c r="AJ2417" i="1" s="1"/>
  <c r="AM2417" i="1" s="1"/>
  <c r="AD2417" i="1"/>
  <c r="Q2417" i="1"/>
  <c r="S2417" i="1" s="1"/>
  <c r="AG2416" i="1"/>
  <c r="AJ2416" i="1" s="1"/>
  <c r="AM2416" i="1" s="1"/>
  <c r="AD2416" i="1"/>
  <c r="AB2416" i="1"/>
  <c r="Q2416" i="1"/>
  <c r="S2416" i="1" s="1"/>
  <c r="AG2415" i="1"/>
  <c r="AJ2415" i="1" s="1"/>
  <c r="AM2415" i="1" s="1"/>
  <c r="AE2415" i="1"/>
  <c r="AD2415" i="1"/>
  <c r="AB2415" i="1"/>
  <c r="Q2415" i="1"/>
  <c r="S2415" i="1" s="1"/>
  <c r="AJ2414" i="1"/>
  <c r="AM2414" i="1" s="1"/>
  <c r="AJ2413" i="1"/>
  <c r="AM2413" i="1" s="1"/>
  <c r="AD2413" i="1"/>
  <c r="AB2413" i="1"/>
  <c r="Q2413" i="1"/>
  <c r="S2413" i="1" s="1"/>
  <c r="AJ2412" i="1"/>
  <c r="AM2412" i="1" s="1"/>
  <c r="AD2412" i="1"/>
  <c r="AB2412" i="1"/>
  <c r="Q2412" i="1"/>
  <c r="S2412" i="1" s="1"/>
  <c r="AJ2411" i="1"/>
  <c r="AM2411" i="1" s="1"/>
  <c r="AN2411" i="1" s="1"/>
  <c r="AP2411" i="1" s="1"/>
  <c r="W2411" i="1"/>
  <c r="AJ2410" i="1"/>
  <c r="AM2410" i="1" s="1"/>
  <c r="AN2410" i="1" s="1"/>
  <c r="AP2410" i="1" s="1"/>
  <c r="W2410" i="1"/>
  <c r="AJ2409" i="1"/>
  <c r="AM2409" i="1" s="1"/>
  <c r="AN2409" i="1" s="1"/>
  <c r="AP2409" i="1" s="1"/>
  <c r="W2409" i="1"/>
  <c r="AM2408" i="1"/>
  <c r="S2408" i="1"/>
  <c r="AJ2407" i="1"/>
  <c r="AM2407" i="1" s="1"/>
  <c r="S2407" i="1"/>
  <c r="AE2406" i="1"/>
  <c r="S2406" i="1"/>
  <c r="Q2405" i="1"/>
  <c r="S2405" i="1" s="1"/>
  <c r="M2405" i="1"/>
  <c r="K2405" i="1" s="1"/>
  <c r="AG2404" i="1"/>
  <c r="AJ2404" i="1" s="1"/>
  <c r="AM2404" i="1" s="1"/>
  <c r="Q2404" i="1"/>
  <c r="S2404" i="1" s="1"/>
  <c r="AJ2403" i="1"/>
  <c r="AM2403" i="1" s="1"/>
  <c r="AG2402" i="1"/>
  <c r="AJ2402" i="1" s="1"/>
  <c r="AM2402" i="1" s="1"/>
  <c r="AE2402" i="1"/>
  <c r="Q2402" i="1"/>
  <c r="S2402" i="1" s="1"/>
  <c r="AG2401" i="1"/>
  <c r="AJ2401" i="1" s="1"/>
  <c r="AM2401" i="1" s="1"/>
  <c r="Q2401" i="1"/>
  <c r="S2401" i="1" s="1"/>
  <c r="AG2400" i="1"/>
  <c r="AJ2400" i="1" s="1"/>
  <c r="AM2400" i="1" s="1"/>
  <c r="Q2400" i="1"/>
  <c r="S2400" i="1" s="1"/>
  <c r="K2400" i="1"/>
  <c r="AG2399" i="1"/>
  <c r="AJ2399" i="1" s="1"/>
  <c r="AM2399" i="1" s="1"/>
  <c r="Q2399" i="1"/>
  <c r="S2399" i="1" s="1"/>
  <c r="AG2398" i="1"/>
  <c r="AJ2398" i="1" s="1"/>
  <c r="AM2398" i="1" s="1"/>
  <c r="AN2398" i="1" s="1"/>
  <c r="AP2398" i="1" s="1"/>
  <c r="Q2398" i="1"/>
  <c r="S2398" i="1" s="1"/>
  <c r="AG2397" i="1"/>
  <c r="AJ2397" i="1" s="1"/>
  <c r="AM2397" i="1" s="1"/>
  <c r="Q2397" i="1"/>
  <c r="S2397" i="1" s="1"/>
  <c r="AG2396" i="1"/>
  <c r="AJ2396" i="1" s="1"/>
  <c r="AM2396" i="1" s="1"/>
  <c r="Q2396" i="1"/>
  <c r="S2396" i="1" s="1"/>
  <c r="AG2395" i="1"/>
  <c r="AJ2395" i="1" s="1"/>
  <c r="AM2395" i="1" s="1"/>
  <c r="Q2395" i="1"/>
  <c r="S2395" i="1" s="1"/>
  <c r="AG2394" i="1"/>
  <c r="AJ2394" i="1" s="1"/>
  <c r="AM2394" i="1" s="1"/>
  <c r="AN2394" i="1" s="1"/>
  <c r="AP2394" i="1" s="1"/>
  <c r="Q2394" i="1"/>
  <c r="S2394" i="1" s="1"/>
  <c r="AG2393" i="1"/>
  <c r="AJ2393" i="1" s="1"/>
  <c r="AM2393" i="1" s="1"/>
  <c r="Q2393" i="1"/>
  <c r="S2393" i="1" s="1"/>
  <c r="AG2391" i="1"/>
  <c r="AJ2391" i="1" s="1"/>
  <c r="AM2391" i="1" s="1"/>
  <c r="Q2391" i="1"/>
  <c r="S2391" i="1" s="1"/>
  <c r="AG2390" i="1"/>
  <c r="AJ2390" i="1" s="1"/>
  <c r="AM2390" i="1" s="1"/>
  <c r="Q2390" i="1"/>
  <c r="S2390" i="1" s="1"/>
  <c r="AG2389" i="1"/>
  <c r="AJ2389" i="1" s="1"/>
  <c r="AM2389" i="1" s="1"/>
  <c r="Q2389" i="1"/>
  <c r="S2389" i="1" s="1"/>
  <c r="AG2388" i="1"/>
  <c r="AJ2388" i="1" s="1"/>
  <c r="AM2388" i="1" s="1"/>
  <c r="Q2388" i="1"/>
  <c r="S2388" i="1" s="1"/>
  <c r="AG2387" i="1"/>
  <c r="AJ2387" i="1" s="1"/>
  <c r="AM2387" i="1" s="1"/>
  <c r="Q2387" i="1"/>
  <c r="S2387" i="1" s="1"/>
  <c r="AG2386" i="1"/>
  <c r="AJ2386" i="1" s="1"/>
  <c r="AM2386" i="1" s="1"/>
  <c r="Q2386" i="1"/>
  <c r="S2386" i="1" s="1"/>
  <c r="AG2385" i="1"/>
  <c r="AJ2385" i="1" s="1"/>
  <c r="AM2385" i="1" s="1"/>
  <c r="Q2385" i="1"/>
  <c r="S2385" i="1" s="1"/>
  <c r="AG2384" i="1"/>
  <c r="AJ2384" i="1" s="1"/>
  <c r="AM2384" i="1" s="1"/>
  <c r="AB2384" i="1"/>
  <c r="Q2384" i="1"/>
  <c r="S2384" i="1" s="1"/>
  <c r="AG2383" i="1"/>
  <c r="AJ2383" i="1" s="1"/>
  <c r="AM2383" i="1" s="1"/>
  <c r="AB2383" i="1"/>
  <c r="Q2383" i="1"/>
  <c r="S2383" i="1" s="1"/>
  <c r="AG2382" i="1"/>
  <c r="AJ2382" i="1" s="1"/>
  <c r="AM2382" i="1" s="1"/>
  <c r="Q2382" i="1"/>
  <c r="S2382" i="1" s="1"/>
  <c r="K2382" i="1"/>
  <c r="AG2381" i="1"/>
  <c r="AJ2381" i="1" s="1"/>
  <c r="AM2381" i="1" s="1"/>
  <c r="Q2381" i="1"/>
  <c r="S2381" i="1" s="1"/>
  <c r="AM2379" i="1"/>
  <c r="AG2379" i="1"/>
  <c r="AJ2379" i="1" s="1"/>
  <c r="Q2379" i="1"/>
  <c r="S2379" i="1" s="1"/>
  <c r="AG2376" i="1"/>
  <c r="AJ2376" i="1" s="1"/>
  <c r="AM2376" i="1" s="1"/>
  <c r="Q2376" i="1"/>
  <c r="S2376" i="1" s="1"/>
  <c r="AG2375" i="1"/>
  <c r="AJ2375" i="1" s="1"/>
  <c r="AM2375" i="1" s="1"/>
  <c r="Q2375" i="1"/>
  <c r="S2375" i="1" s="1"/>
  <c r="K2375" i="1"/>
  <c r="AG2373" i="1"/>
  <c r="AJ2373" i="1" s="1"/>
  <c r="AM2373" i="1" s="1"/>
  <c r="AB2373" i="1"/>
  <c r="Q2373" i="1"/>
  <c r="S2373" i="1" s="1"/>
  <c r="AG2369" i="1"/>
  <c r="AJ2369" i="1" s="1"/>
  <c r="AM2369" i="1" s="1"/>
  <c r="Q2369" i="1"/>
  <c r="S2369" i="1" s="1"/>
  <c r="AG2368" i="1"/>
  <c r="AJ2368" i="1" s="1"/>
  <c r="AM2368" i="1" s="1"/>
  <c r="Q2368" i="1"/>
  <c r="S2368" i="1" s="1"/>
  <c r="AJ2367" i="1"/>
  <c r="AM2367" i="1" s="1"/>
  <c r="AN2367" i="1" s="1"/>
  <c r="AP2367" i="1" s="1"/>
  <c r="AE2367" i="1"/>
  <c r="AG2366" i="1"/>
  <c r="AJ2366" i="1" s="1"/>
  <c r="AM2366" i="1" s="1"/>
  <c r="AN2366" i="1" s="1"/>
  <c r="AP2366" i="1" s="1"/>
  <c r="AE2366" i="1"/>
  <c r="AB2366" i="1"/>
  <c r="AJ2365" i="1"/>
  <c r="AM2365" i="1" s="1"/>
  <c r="AE2365" i="1"/>
  <c r="AG2364" i="1"/>
  <c r="AJ2364" i="1" s="1"/>
  <c r="AM2364" i="1" s="1"/>
  <c r="AB2364" i="1"/>
  <c r="AG2363" i="1"/>
  <c r="AJ2363" i="1" s="1"/>
  <c r="AM2363" i="1" s="1"/>
  <c r="AB2363" i="1"/>
  <c r="AG2362" i="1"/>
  <c r="AJ2362" i="1" s="1"/>
  <c r="AM2362" i="1" s="1"/>
  <c r="AB2362" i="1"/>
  <c r="AG2361" i="1"/>
  <c r="AJ2361" i="1" s="1"/>
  <c r="AM2361" i="1" s="1"/>
  <c r="AB2361" i="1"/>
  <c r="AG2360" i="1"/>
  <c r="AJ2360" i="1" s="1"/>
  <c r="AM2360" i="1" s="1"/>
  <c r="AB2360" i="1"/>
  <c r="Q2360" i="1"/>
  <c r="S2360" i="1" s="1"/>
  <c r="AN2360" i="1" s="1"/>
  <c r="AP2360" i="1" s="1"/>
  <c r="AG2359" i="1"/>
  <c r="AJ2359" i="1" s="1"/>
  <c r="AM2359" i="1" s="1"/>
  <c r="Q2359" i="1"/>
  <c r="S2359" i="1" s="1"/>
  <c r="K2359" i="1"/>
  <c r="AS2358" i="1"/>
  <c r="AG2358" i="1"/>
  <c r="AJ2358" i="1" s="1"/>
  <c r="AM2358" i="1" s="1"/>
  <c r="AB2358" i="1"/>
  <c r="Q2358" i="1"/>
  <c r="S2358" i="1" s="1"/>
  <c r="AG2357" i="1"/>
  <c r="AJ2357" i="1" s="1"/>
  <c r="AM2357" i="1" s="1"/>
  <c r="Q2357" i="1"/>
  <c r="S2357" i="1" s="1"/>
  <c r="AG2356" i="1"/>
  <c r="AJ2356" i="1" s="1"/>
  <c r="AM2356" i="1" s="1"/>
  <c r="Q2356" i="1"/>
  <c r="S2356" i="1" s="1"/>
  <c r="AG2355" i="1"/>
  <c r="AJ2355" i="1" s="1"/>
  <c r="AM2355" i="1" s="1"/>
  <c r="Q2355" i="1"/>
  <c r="S2355" i="1" s="1"/>
  <c r="AG2354" i="1"/>
  <c r="AJ2354" i="1" s="1"/>
  <c r="AM2354" i="1" s="1"/>
  <c r="AB2354" i="1"/>
  <c r="Q2354" i="1"/>
  <c r="S2354" i="1" s="1"/>
  <c r="AG2353" i="1"/>
  <c r="AJ2353" i="1" s="1"/>
  <c r="AM2353" i="1" s="1"/>
  <c r="AB2353" i="1"/>
  <c r="Q2353" i="1"/>
  <c r="S2353" i="1" s="1"/>
  <c r="AG2352" i="1"/>
  <c r="AJ2352" i="1" s="1"/>
  <c r="AM2352" i="1" s="1"/>
  <c r="AB2352" i="1"/>
  <c r="Q2352" i="1"/>
  <c r="S2352" i="1" s="1"/>
  <c r="AG2351" i="1"/>
  <c r="AJ2351" i="1" s="1"/>
  <c r="AM2351" i="1" s="1"/>
  <c r="AB2351" i="1"/>
  <c r="Q2351" i="1"/>
  <c r="S2351" i="1" s="1"/>
  <c r="L2351" i="1"/>
  <c r="K2351" i="1" s="1"/>
  <c r="AG2350" i="1"/>
  <c r="AJ2350" i="1" s="1"/>
  <c r="AM2350" i="1" s="1"/>
  <c r="Q2350" i="1"/>
  <c r="S2350" i="1" s="1"/>
  <c r="AJ2348" i="1"/>
  <c r="AM2348" i="1" s="1"/>
  <c r="AG2348" i="1"/>
  <c r="Q2348" i="1"/>
  <c r="S2348" i="1" s="1"/>
  <c r="AG2347" i="1"/>
  <c r="AJ2347" i="1" s="1"/>
  <c r="AM2347" i="1" s="1"/>
  <c r="Q2347" i="1"/>
  <c r="S2347" i="1" s="1"/>
  <c r="AG2346" i="1"/>
  <c r="AJ2346" i="1" s="1"/>
  <c r="AM2346" i="1" s="1"/>
  <c r="Q2346" i="1"/>
  <c r="S2346" i="1" s="1"/>
  <c r="AG2345" i="1"/>
  <c r="AJ2345" i="1" s="1"/>
  <c r="AM2345" i="1" s="1"/>
  <c r="AB2345" i="1"/>
  <c r="Q2345" i="1"/>
  <c r="S2345" i="1" s="1"/>
  <c r="AN2345" i="1" s="1"/>
  <c r="AP2345" i="1" s="1"/>
  <c r="AG2344" i="1"/>
  <c r="AJ2344" i="1" s="1"/>
  <c r="AM2344" i="1" s="1"/>
  <c r="AB2344" i="1"/>
  <c r="Q2344" i="1"/>
  <c r="S2344" i="1" s="1"/>
  <c r="AG2343" i="1"/>
  <c r="AJ2343" i="1" s="1"/>
  <c r="AM2343" i="1" s="1"/>
  <c r="AB2343" i="1"/>
  <c r="Q2343" i="1"/>
  <c r="S2343" i="1" s="1"/>
  <c r="K2343" i="1"/>
  <c r="AG2342" i="1"/>
  <c r="AJ2342" i="1" s="1"/>
  <c r="AM2342" i="1" s="1"/>
  <c r="Q2342" i="1"/>
  <c r="S2342" i="1" s="1"/>
  <c r="AG2341" i="1"/>
  <c r="AJ2341" i="1" s="1"/>
  <c r="AM2341" i="1" s="1"/>
  <c r="Q2341" i="1"/>
  <c r="S2341" i="1" s="1"/>
  <c r="AG2340" i="1"/>
  <c r="AJ2340" i="1" s="1"/>
  <c r="AM2340" i="1" s="1"/>
  <c r="Q2340" i="1"/>
  <c r="S2340" i="1" s="1"/>
  <c r="AG2339" i="1"/>
  <c r="AJ2339" i="1" s="1"/>
  <c r="AM2339" i="1" s="1"/>
  <c r="AB2339" i="1"/>
  <c r="Q2339" i="1"/>
  <c r="S2339" i="1" s="1"/>
  <c r="AN2339" i="1" s="1"/>
  <c r="AP2339" i="1" s="1"/>
  <c r="L2339" i="1"/>
  <c r="K2339" i="1" s="1"/>
  <c r="AG2338" i="1"/>
  <c r="AJ2338" i="1" s="1"/>
  <c r="AM2338" i="1" s="1"/>
  <c r="AB2338" i="1"/>
  <c r="Q2338" i="1"/>
  <c r="S2338" i="1" s="1"/>
  <c r="AN2338" i="1" s="1"/>
  <c r="AP2338" i="1" s="1"/>
  <c r="K2338" i="1"/>
  <c r="AG2337" i="1"/>
  <c r="AJ2337" i="1" s="1"/>
  <c r="AM2337" i="1" s="1"/>
  <c r="Q2337" i="1"/>
  <c r="S2337" i="1" s="1"/>
  <c r="AG2336" i="1"/>
  <c r="AJ2336" i="1" s="1"/>
  <c r="AM2336" i="1" s="1"/>
  <c r="AB2336" i="1"/>
  <c r="Q2336" i="1"/>
  <c r="S2336" i="1" s="1"/>
  <c r="L2336" i="1"/>
  <c r="K2336" i="1" s="1"/>
  <c r="AG2335" i="1"/>
  <c r="AJ2335" i="1" s="1"/>
  <c r="AM2335" i="1" s="1"/>
  <c r="AB2335" i="1"/>
  <c r="Q2335" i="1"/>
  <c r="S2335" i="1" s="1"/>
  <c r="L2335" i="1"/>
  <c r="K2335" i="1" s="1"/>
  <c r="AG2334" i="1"/>
  <c r="AJ2334" i="1" s="1"/>
  <c r="AM2334" i="1" s="1"/>
  <c r="Q2334" i="1"/>
  <c r="S2334" i="1" s="1"/>
  <c r="AG2333" i="1"/>
  <c r="AJ2333" i="1" s="1"/>
  <c r="AM2333" i="1" s="1"/>
  <c r="Q2333" i="1"/>
  <c r="S2333" i="1" s="1"/>
  <c r="AG2332" i="1"/>
  <c r="AJ2332" i="1" s="1"/>
  <c r="AM2332" i="1" s="1"/>
  <c r="Q2332" i="1"/>
  <c r="S2332" i="1" s="1"/>
  <c r="AJ2331" i="1"/>
  <c r="AM2331" i="1" s="1"/>
  <c r="AG2331" i="1"/>
  <c r="AG2330" i="1"/>
  <c r="AJ2330" i="1" s="1"/>
  <c r="AM2330" i="1" s="1"/>
  <c r="AE2330" i="1"/>
  <c r="S2329" i="1"/>
  <c r="AN2331" i="1" s="1"/>
  <c r="AP2331" i="1" s="1"/>
  <c r="Q2328" i="1"/>
  <c r="S2328" i="1" s="1"/>
  <c r="Q2327" i="1"/>
  <c r="S2327" i="1" s="1"/>
  <c r="K2327" i="1"/>
  <c r="AG2326" i="1"/>
  <c r="AJ2326" i="1" s="1"/>
  <c r="AM2326" i="1" s="1"/>
  <c r="Q2326" i="1"/>
  <c r="S2326" i="1" s="1"/>
  <c r="AG2325" i="1"/>
  <c r="AJ2325" i="1" s="1"/>
  <c r="AM2325" i="1" s="1"/>
  <c r="Q2325" i="1"/>
  <c r="S2325" i="1" s="1"/>
  <c r="AG2324" i="1"/>
  <c r="AJ2324" i="1" s="1"/>
  <c r="AM2324" i="1" s="1"/>
  <c r="Q2324" i="1"/>
  <c r="S2324" i="1" s="1"/>
  <c r="AG2323" i="1"/>
  <c r="AJ2323" i="1" s="1"/>
  <c r="AM2323" i="1" s="1"/>
  <c r="Q2323" i="1"/>
  <c r="S2323" i="1" s="1"/>
  <c r="AG2322" i="1"/>
  <c r="AJ2322" i="1" s="1"/>
  <c r="AM2322" i="1" s="1"/>
  <c r="Q2322" i="1"/>
  <c r="S2322" i="1" s="1"/>
  <c r="AG2321" i="1"/>
  <c r="AJ2321" i="1" s="1"/>
  <c r="AM2321" i="1" s="1"/>
  <c r="Q2321" i="1"/>
  <c r="S2321" i="1" s="1"/>
  <c r="AG2320" i="1"/>
  <c r="AJ2320" i="1" s="1"/>
  <c r="AM2320" i="1" s="1"/>
  <c r="Q2320" i="1"/>
  <c r="S2320" i="1" s="1"/>
  <c r="K2320" i="1"/>
  <c r="AG2319" i="1"/>
  <c r="AJ2319" i="1" s="1"/>
  <c r="AM2319" i="1" s="1"/>
  <c r="Q2319" i="1"/>
  <c r="S2319" i="1" s="1"/>
  <c r="AG2318" i="1"/>
  <c r="AJ2318" i="1" s="1"/>
  <c r="AM2318" i="1" s="1"/>
  <c r="Q2318" i="1"/>
  <c r="S2318" i="1" s="1"/>
  <c r="AG2317" i="1"/>
  <c r="AJ2317" i="1" s="1"/>
  <c r="AM2317" i="1" s="1"/>
  <c r="Q2317" i="1"/>
  <c r="S2317" i="1" s="1"/>
  <c r="AG2316" i="1"/>
  <c r="AJ2316" i="1" s="1"/>
  <c r="AM2316" i="1" s="1"/>
  <c r="AB2316" i="1"/>
  <c r="Q2316" i="1"/>
  <c r="S2316" i="1" s="1"/>
  <c r="AN2316" i="1" s="1"/>
  <c r="AP2316" i="1" s="1"/>
  <c r="L2316" i="1"/>
  <c r="K2316" i="1" s="1"/>
  <c r="AG2315" i="1"/>
  <c r="AJ2315" i="1" s="1"/>
  <c r="AM2315" i="1" s="1"/>
  <c r="Q2315" i="1"/>
  <c r="S2315" i="1" s="1"/>
  <c r="AG2314" i="1"/>
  <c r="AJ2314" i="1" s="1"/>
  <c r="AM2314" i="1" s="1"/>
  <c r="Q2314" i="1"/>
  <c r="S2314" i="1" s="1"/>
  <c r="AG2313" i="1"/>
  <c r="AJ2313" i="1" s="1"/>
  <c r="AM2313" i="1" s="1"/>
  <c r="Q2313" i="1"/>
  <c r="S2313" i="1" s="1"/>
  <c r="K2313" i="1"/>
  <c r="AJ2312" i="1"/>
  <c r="AM2312" i="1" s="1"/>
  <c r="AG2312" i="1"/>
  <c r="Q2312" i="1"/>
  <c r="S2312" i="1" s="1"/>
  <c r="AG2311" i="1"/>
  <c r="AJ2311" i="1" s="1"/>
  <c r="AM2311" i="1" s="1"/>
  <c r="Q2311" i="1"/>
  <c r="S2311" i="1" s="1"/>
  <c r="AG2310" i="1"/>
  <c r="AJ2310" i="1" s="1"/>
  <c r="AM2310" i="1" s="1"/>
  <c r="AB2310" i="1"/>
  <c r="Q2310" i="1"/>
  <c r="S2310" i="1" s="1"/>
  <c r="L2310" i="1"/>
  <c r="K2310" i="1" s="1"/>
  <c r="AG2309" i="1"/>
  <c r="AJ2309" i="1" s="1"/>
  <c r="AM2309" i="1" s="1"/>
  <c r="S2309" i="1"/>
  <c r="Q2309" i="1"/>
  <c r="K2309" i="1"/>
  <c r="AG2308" i="1"/>
  <c r="AJ2308" i="1" s="1"/>
  <c r="AM2308" i="1" s="1"/>
  <c r="Q2308" i="1"/>
  <c r="S2308" i="1" s="1"/>
  <c r="AJ2307" i="1"/>
  <c r="AM2307" i="1" s="1"/>
  <c r="AG2307" i="1"/>
  <c r="Q2307" i="1"/>
  <c r="S2307" i="1" s="1"/>
  <c r="K2307" i="1"/>
  <c r="AM2306" i="1"/>
  <c r="AG2306" i="1"/>
  <c r="AJ2306" i="1" s="1"/>
  <c r="Q2306" i="1"/>
  <c r="S2306" i="1" s="1"/>
  <c r="AM2305" i="1"/>
  <c r="AG2305" i="1"/>
  <c r="AJ2305" i="1" s="1"/>
  <c r="Q2305" i="1"/>
  <c r="S2305" i="1" s="1"/>
  <c r="AG2304" i="1"/>
  <c r="AJ2304" i="1" s="1"/>
  <c r="AM2304" i="1" s="1"/>
  <c r="S2304" i="1"/>
  <c r="Q2304" i="1"/>
  <c r="K2304" i="1"/>
  <c r="AG2303" i="1"/>
  <c r="AJ2303" i="1" s="1"/>
  <c r="AM2303" i="1" s="1"/>
  <c r="S2303" i="1"/>
  <c r="Q2303" i="1"/>
  <c r="AG2302" i="1"/>
  <c r="AJ2302" i="1" s="1"/>
  <c r="AM2302" i="1" s="1"/>
  <c r="Q2302" i="1"/>
  <c r="S2302" i="1" s="1"/>
  <c r="AN2302" i="1" s="1"/>
  <c r="AP2302" i="1" s="1"/>
  <c r="AG2301" i="1"/>
  <c r="AJ2301" i="1" s="1"/>
  <c r="AM2301" i="1" s="1"/>
  <c r="AN2301" i="1" s="1"/>
  <c r="AP2301" i="1" s="1"/>
  <c r="AB2301" i="1"/>
  <c r="Q2301" i="1"/>
  <c r="S2301" i="1" s="1"/>
  <c r="AG2300" i="1"/>
  <c r="AJ2300" i="1" s="1"/>
  <c r="AM2300" i="1" s="1"/>
  <c r="Q2300" i="1"/>
  <c r="S2300" i="1" s="1"/>
  <c r="AG2299" i="1"/>
  <c r="AJ2299" i="1" s="1"/>
  <c r="AM2299" i="1" s="1"/>
  <c r="Q2299" i="1"/>
  <c r="S2299" i="1" s="1"/>
  <c r="AG2298" i="1"/>
  <c r="AJ2298" i="1" s="1"/>
  <c r="AM2298" i="1" s="1"/>
  <c r="Q2298" i="1"/>
  <c r="S2298" i="1" s="1"/>
  <c r="AG2297" i="1"/>
  <c r="AJ2297" i="1" s="1"/>
  <c r="AM2297" i="1" s="1"/>
  <c r="AB2297" i="1"/>
  <c r="Q2297" i="1"/>
  <c r="S2297" i="1" s="1"/>
  <c r="AG2296" i="1"/>
  <c r="AJ2296" i="1" s="1"/>
  <c r="AM2296" i="1" s="1"/>
  <c r="Q2296" i="1"/>
  <c r="S2296" i="1" s="1"/>
  <c r="AG2294" i="1"/>
  <c r="AJ2294" i="1" s="1"/>
  <c r="AM2294" i="1" s="1"/>
  <c r="Q2294" i="1"/>
  <c r="S2294" i="1" s="1"/>
  <c r="AG2293" i="1"/>
  <c r="AJ2293" i="1" s="1"/>
  <c r="AM2293" i="1" s="1"/>
  <c r="AB2293" i="1"/>
  <c r="Q2293" i="1"/>
  <c r="S2293" i="1" s="1"/>
  <c r="AG2292" i="1"/>
  <c r="AJ2292" i="1" s="1"/>
  <c r="AM2292" i="1" s="1"/>
  <c r="Q2292" i="1"/>
  <c r="S2292" i="1" s="1"/>
  <c r="AG2291" i="1"/>
  <c r="AJ2291" i="1" s="1"/>
  <c r="AM2291" i="1" s="1"/>
  <c r="Q2291" i="1"/>
  <c r="S2291" i="1" s="1"/>
  <c r="K2291" i="1"/>
  <c r="AG2290" i="1"/>
  <c r="AJ2290" i="1" s="1"/>
  <c r="AM2290" i="1" s="1"/>
  <c r="Q2290" i="1"/>
  <c r="S2290" i="1" s="1"/>
  <c r="AG2289" i="1"/>
  <c r="AJ2289" i="1" s="1"/>
  <c r="AM2289" i="1" s="1"/>
  <c r="AB2289" i="1"/>
  <c r="Q2289" i="1"/>
  <c r="S2289" i="1" s="1"/>
  <c r="AG2288" i="1"/>
  <c r="AJ2288" i="1" s="1"/>
  <c r="AM2288" i="1" s="1"/>
  <c r="Q2288" i="1"/>
  <c r="S2288" i="1" s="1"/>
  <c r="AG2287" i="1"/>
  <c r="AJ2287" i="1" s="1"/>
  <c r="AM2287" i="1" s="1"/>
  <c r="Q2287" i="1"/>
  <c r="S2287" i="1" s="1"/>
  <c r="AG2286" i="1"/>
  <c r="AJ2286" i="1" s="1"/>
  <c r="AM2286" i="1" s="1"/>
  <c r="Q2286" i="1"/>
  <c r="S2286" i="1" s="1"/>
  <c r="AG2285" i="1"/>
  <c r="AJ2285" i="1" s="1"/>
  <c r="AM2285" i="1" s="1"/>
  <c r="Q2285" i="1"/>
  <c r="S2285" i="1" s="1"/>
  <c r="K2285" i="1"/>
  <c r="AG2284" i="1"/>
  <c r="AJ2284" i="1" s="1"/>
  <c r="AM2284" i="1" s="1"/>
  <c r="AN2284" i="1" s="1"/>
  <c r="AP2284" i="1" s="1"/>
  <c r="AB2284" i="1"/>
  <c r="AJ2283" i="1"/>
  <c r="AM2283" i="1" s="1"/>
  <c r="AN2283" i="1" s="1"/>
  <c r="AP2283" i="1" s="1"/>
  <c r="AJ2282" i="1"/>
  <c r="AM2282" i="1" s="1"/>
  <c r="AN2282" i="1" s="1"/>
  <c r="AP2282" i="1" s="1"/>
  <c r="AS2281" i="1"/>
  <c r="AR2281" i="1"/>
  <c r="Q2281" i="1"/>
  <c r="S2281" i="1" s="1"/>
  <c r="AG2279" i="1"/>
  <c r="AJ2279" i="1" s="1"/>
  <c r="AM2279" i="1" s="1"/>
  <c r="Q2279" i="1"/>
  <c r="S2279" i="1" s="1"/>
  <c r="AJ2278" i="1"/>
  <c r="AM2278" i="1" s="1"/>
  <c r="AG2278" i="1"/>
  <c r="Q2278" i="1"/>
  <c r="S2278" i="1" s="1"/>
  <c r="AG2277" i="1"/>
  <c r="AJ2277" i="1" s="1"/>
  <c r="AM2277" i="1" s="1"/>
  <c r="Q2277" i="1"/>
  <c r="S2277" i="1" s="1"/>
  <c r="AG2272" i="1"/>
  <c r="AJ2272" i="1" s="1"/>
  <c r="AM2272" i="1" s="1"/>
  <c r="S2272" i="1"/>
  <c r="Q2272" i="1"/>
  <c r="AG2271" i="1"/>
  <c r="AJ2271" i="1" s="1"/>
  <c r="AM2271" i="1" s="1"/>
  <c r="Q2271" i="1"/>
  <c r="S2271" i="1" s="1"/>
  <c r="AG2269" i="1"/>
  <c r="AJ2269" i="1" s="1"/>
  <c r="AM2269" i="1" s="1"/>
  <c r="Q2269" i="1"/>
  <c r="S2269" i="1" s="1"/>
  <c r="AG2268" i="1"/>
  <c r="AJ2268" i="1" s="1"/>
  <c r="AM2268" i="1" s="1"/>
  <c r="Q2268" i="1"/>
  <c r="S2268" i="1" s="1"/>
  <c r="AG2267" i="1"/>
  <c r="AJ2267" i="1" s="1"/>
  <c r="AM2267" i="1" s="1"/>
  <c r="Q2267" i="1"/>
  <c r="S2267" i="1" s="1"/>
  <c r="AG2266" i="1"/>
  <c r="AJ2266" i="1" s="1"/>
  <c r="AM2266" i="1" s="1"/>
  <c r="AB2266" i="1"/>
  <c r="Q2266" i="1"/>
  <c r="S2266" i="1" s="1"/>
  <c r="AG2265" i="1"/>
  <c r="AJ2265" i="1" s="1"/>
  <c r="AM2265" i="1" s="1"/>
  <c r="Q2265" i="1"/>
  <c r="S2265" i="1" s="1"/>
  <c r="AG2264" i="1"/>
  <c r="AJ2264" i="1" s="1"/>
  <c r="AM2264" i="1" s="1"/>
  <c r="Q2264" i="1"/>
  <c r="S2264" i="1" s="1"/>
  <c r="AG2263" i="1"/>
  <c r="AJ2263" i="1" s="1"/>
  <c r="AM2263" i="1" s="1"/>
  <c r="S2263" i="1"/>
  <c r="Q2263" i="1"/>
  <c r="AG2260" i="1"/>
  <c r="AJ2260" i="1" s="1"/>
  <c r="AM2260" i="1" s="1"/>
  <c r="Q2260" i="1"/>
  <c r="S2260" i="1" s="1"/>
  <c r="AG2259" i="1"/>
  <c r="AJ2259" i="1" s="1"/>
  <c r="AM2259" i="1" s="1"/>
  <c r="S2259" i="1"/>
  <c r="Q2259" i="1"/>
  <c r="AG2258" i="1"/>
  <c r="AJ2258" i="1" s="1"/>
  <c r="AM2258" i="1" s="1"/>
  <c r="Q2258" i="1"/>
  <c r="S2258" i="1" s="1"/>
  <c r="AG2257" i="1"/>
  <c r="AJ2257" i="1" s="1"/>
  <c r="AM2257" i="1" s="1"/>
  <c r="Q2257" i="1"/>
  <c r="S2257" i="1" s="1"/>
  <c r="AN2257" i="1" s="1"/>
  <c r="AP2257" i="1" s="1"/>
  <c r="AG2255" i="1"/>
  <c r="AJ2255" i="1" s="1"/>
  <c r="AM2255" i="1" s="1"/>
  <c r="Q2255" i="1"/>
  <c r="S2255" i="1" s="1"/>
  <c r="AJ2254" i="1"/>
  <c r="AM2254" i="1" s="1"/>
  <c r="AG2253" i="1"/>
  <c r="AJ2253" i="1" s="1"/>
  <c r="AM2253" i="1" s="1"/>
  <c r="AE2253" i="1"/>
  <c r="AB2253" i="1"/>
  <c r="Q2253" i="1"/>
  <c r="S2253" i="1" s="1"/>
  <c r="AG2252" i="1"/>
  <c r="AJ2252" i="1" s="1"/>
  <c r="AM2252" i="1" s="1"/>
  <c r="Q2252" i="1"/>
  <c r="S2252" i="1" s="1"/>
  <c r="AG2251" i="1"/>
  <c r="AJ2251" i="1" s="1"/>
  <c r="AM2251" i="1" s="1"/>
  <c r="S2251" i="1"/>
  <c r="Q2251" i="1"/>
  <c r="K2251" i="1"/>
  <c r="AG2250" i="1"/>
  <c r="AJ2250" i="1" s="1"/>
  <c r="AM2250" i="1" s="1"/>
  <c r="Q2250" i="1"/>
  <c r="S2250" i="1" s="1"/>
  <c r="AG2248" i="1"/>
  <c r="AJ2248" i="1" s="1"/>
  <c r="AM2248" i="1" s="1"/>
  <c r="S2248" i="1"/>
  <c r="Q2248" i="1"/>
  <c r="AS2247" i="1"/>
  <c r="AG2247" i="1"/>
  <c r="AJ2247" i="1" s="1"/>
  <c r="AM2247" i="1" s="1"/>
  <c r="Q2247" i="1"/>
  <c r="S2247" i="1" s="1"/>
  <c r="AN2247" i="1" s="1"/>
  <c r="AP2247" i="1" s="1"/>
  <c r="AG2245" i="1"/>
  <c r="AJ2245" i="1" s="1"/>
  <c r="AM2245" i="1" s="1"/>
  <c r="Q2245" i="1"/>
  <c r="S2245" i="1" s="1"/>
  <c r="AM2244" i="1"/>
  <c r="AG2244" i="1"/>
  <c r="AJ2244" i="1" s="1"/>
  <c r="Q2244" i="1"/>
  <c r="S2244" i="1" s="1"/>
  <c r="AJ2243" i="1"/>
  <c r="AM2243" i="1" s="1"/>
  <c r="AG2243" i="1"/>
  <c r="Q2243" i="1"/>
  <c r="S2243" i="1" s="1"/>
  <c r="AG2241" i="1"/>
  <c r="AJ2241" i="1" s="1"/>
  <c r="AM2241" i="1" s="1"/>
  <c r="AB2241" i="1"/>
  <c r="S2241" i="1"/>
  <c r="Q2241" i="1"/>
  <c r="AG2240" i="1"/>
  <c r="AJ2240" i="1" s="1"/>
  <c r="AM2240" i="1" s="1"/>
  <c r="Q2240" i="1"/>
  <c r="S2240" i="1" s="1"/>
  <c r="AS2239" i="1"/>
  <c r="AG2239" i="1"/>
  <c r="AJ2239" i="1" s="1"/>
  <c r="AM2239" i="1" s="1"/>
  <c r="Q2239" i="1"/>
  <c r="S2239" i="1" s="1"/>
  <c r="AN2239" i="1" s="1"/>
  <c r="AP2239" i="1" s="1"/>
  <c r="AG2238" i="1"/>
  <c r="AJ2238" i="1" s="1"/>
  <c r="AM2238" i="1" s="1"/>
  <c r="Q2238" i="1"/>
  <c r="S2238" i="1" s="1"/>
  <c r="AG2237" i="1"/>
  <c r="AJ2237" i="1" s="1"/>
  <c r="AM2237" i="1" s="1"/>
  <c r="AB2237" i="1"/>
  <c r="Q2237" i="1"/>
  <c r="S2237" i="1" s="1"/>
  <c r="L2237" i="1"/>
  <c r="K2237" i="1" s="1"/>
  <c r="AG2236" i="1"/>
  <c r="AJ2236" i="1" s="1"/>
  <c r="AM2236" i="1" s="1"/>
  <c r="Q2236" i="1"/>
  <c r="S2236" i="1" s="1"/>
  <c r="AG2234" i="1"/>
  <c r="AJ2234" i="1" s="1"/>
  <c r="AM2234" i="1" s="1"/>
  <c r="Q2234" i="1"/>
  <c r="S2234" i="1" s="1"/>
  <c r="AG2232" i="1"/>
  <c r="AJ2232" i="1" s="1"/>
  <c r="AM2232" i="1" s="1"/>
  <c r="Q2232" i="1"/>
  <c r="S2232" i="1" s="1"/>
  <c r="AG2231" i="1"/>
  <c r="AJ2231" i="1" s="1"/>
  <c r="AM2231" i="1" s="1"/>
  <c r="Q2231" i="1"/>
  <c r="S2231" i="1" s="1"/>
  <c r="K2231" i="1"/>
  <c r="AJ2230" i="1"/>
  <c r="AM2230" i="1" s="1"/>
  <c r="AG2230" i="1"/>
  <c r="Q2230" i="1"/>
  <c r="S2230" i="1" s="1"/>
  <c r="AG2229" i="1"/>
  <c r="AJ2229" i="1" s="1"/>
  <c r="AM2229" i="1" s="1"/>
  <c r="S2229" i="1"/>
  <c r="Q2229" i="1"/>
  <c r="AG2228" i="1"/>
  <c r="AJ2228" i="1" s="1"/>
  <c r="AM2228" i="1" s="1"/>
  <c r="Q2228" i="1"/>
  <c r="S2228" i="1" s="1"/>
  <c r="AG2227" i="1"/>
  <c r="AJ2227" i="1" s="1"/>
  <c r="AM2227" i="1" s="1"/>
  <c r="Q2227" i="1"/>
  <c r="S2227" i="1" s="1"/>
  <c r="AG2226" i="1"/>
  <c r="AJ2226" i="1" s="1"/>
  <c r="AM2226" i="1" s="1"/>
  <c r="S2226" i="1"/>
  <c r="Q2226" i="1"/>
  <c r="AG2225" i="1"/>
  <c r="AJ2225" i="1" s="1"/>
  <c r="AM2225" i="1" s="1"/>
  <c r="Q2225" i="1"/>
  <c r="S2225" i="1" s="1"/>
  <c r="L2225" i="1"/>
  <c r="K2225" i="1" s="1"/>
  <c r="AG2224" i="1"/>
  <c r="AJ2224" i="1" s="1"/>
  <c r="AM2224" i="1" s="1"/>
  <c r="Q2224" i="1"/>
  <c r="S2224" i="1" s="1"/>
  <c r="AG2223" i="1"/>
  <c r="AJ2223" i="1" s="1"/>
  <c r="AM2223" i="1" s="1"/>
  <c r="Q2223" i="1"/>
  <c r="S2223" i="1" s="1"/>
  <c r="AJ2222" i="1"/>
  <c r="AM2222" i="1" s="1"/>
  <c r="AG2222" i="1"/>
  <c r="Q2222" i="1"/>
  <c r="S2222" i="1" s="1"/>
  <c r="K2222" i="1"/>
  <c r="AG2221" i="1"/>
  <c r="AJ2221" i="1" s="1"/>
  <c r="AM2221" i="1" s="1"/>
  <c r="Q2221" i="1"/>
  <c r="S2221" i="1" s="1"/>
  <c r="AG2220" i="1"/>
  <c r="AJ2220" i="1" s="1"/>
  <c r="AM2220" i="1" s="1"/>
  <c r="Q2220" i="1"/>
  <c r="S2220" i="1" s="1"/>
  <c r="AN2220" i="1" s="1"/>
  <c r="AP2220" i="1" s="1"/>
  <c r="AG2219" i="1"/>
  <c r="AJ2219" i="1" s="1"/>
  <c r="AM2219" i="1" s="1"/>
  <c r="Q2219" i="1"/>
  <c r="S2219" i="1" s="1"/>
  <c r="AG2218" i="1"/>
  <c r="AJ2218" i="1" s="1"/>
  <c r="AM2218" i="1" s="1"/>
  <c r="S2218" i="1"/>
  <c r="Q2218" i="1"/>
  <c r="AG2217" i="1"/>
  <c r="AJ2217" i="1" s="1"/>
  <c r="AM2217" i="1" s="1"/>
  <c r="Q2217" i="1"/>
  <c r="S2217" i="1" s="1"/>
  <c r="K2217" i="1"/>
  <c r="AG2216" i="1"/>
  <c r="AJ2216" i="1" s="1"/>
  <c r="AM2216" i="1" s="1"/>
  <c r="Q2216" i="1"/>
  <c r="S2216" i="1" s="1"/>
  <c r="AG2215" i="1"/>
  <c r="AJ2215" i="1" s="1"/>
  <c r="AM2215" i="1" s="1"/>
  <c r="Q2215" i="1"/>
  <c r="S2215" i="1" s="1"/>
  <c r="AG2214" i="1"/>
  <c r="AJ2214" i="1" s="1"/>
  <c r="AM2214" i="1" s="1"/>
  <c r="Q2214" i="1"/>
  <c r="S2214" i="1" s="1"/>
  <c r="AG2213" i="1"/>
  <c r="AJ2213" i="1" s="1"/>
  <c r="AM2213" i="1" s="1"/>
  <c r="Q2213" i="1"/>
  <c r="S2213" i="1" s="1"/>
  <c r="AG2212" i="1"/>
  <c r="AJ2212" i="1" s="1"/>
  <c r="AM2212" i="1" s="1"/>
  <c r="AB2212" i="1"/>
  <c r="Q2212" i="1"/>
  <c r="S2212" i="1" s="1"/>
  <c r="AJ2211" i="1"/>
  <c r="AM2211" i="1" s="1"/>
  <c r="AG2211" i="1"/>
  <c r="Q2211" i="1"/>
  <c r="S2211" i="1" s="1"/>
  <c r="K2211" i="1"/>
  <c r="AG2210" i="1"/>
  <c r="AJ2210" i="1" s="1"/>
  <c r="AM2210" i="1" s="1"/>
  <c r="AN2210" i="1" s="1"/>
  <c r="AP2210" i="1" s="1"/>
  <c r="AB2210" i="1"/>
  <c r="Q2210" i="1"/>
  <c r="S2210" i="1" s="1"/>
  <c r="AG2209" i="1"/>
  <c r="AJ2209" i="1" s="1"/>
  <c r="AM2209" i="1" s="1"/>
  <c r="AN2209" i="1" s="1"/>
  <c r="AP2209" i="1" s="1"/>
  <c r="Q2209" i="1"/>
  <c r="S2209" i="1" s="1"/>
  <c r="AG2208" i="1"/>
  <c r="AJ2208" i="1" s="1"/>
  <c r="AM2208" i="1" s="1"/>
  <c r="Q2208" i="1"/>
  <c r="S2208" i="1" s="1"/>
  <c r="K2208" i="1"/>
  <c r="AG2207" i="1"/>
  <c r="AJ2207" i="1" s="1"/>
  <c r="AM2207" i="1" s="1"/>
  <c r="AB2207" i="1"/>
  <c r="Q2207" i="1"/>
  <c r="S2207" i="1" s="1"/>
  <c r="AG2206" i="1"/>
  <c r="AJ2206" i="1" s="1"/>
  <c r="AM2206" i="1" s="1"/>
  <c r="Q2206" i="1"/>
  <c r="S2206" i="1" s="1"/>
  <c r="AG2205" i="1"/>
  <c r="AJ2205" i="1" s="1"/>
  <c r="AM2205" i="1" s="1"/>
  <c r="Q2205" i="1"/>
  <c r="S2205" i="1" s="1"/>
  <c r="AJ2204" i="1"/>
  <c r="AM2204" i="1" s="1"/>
  <c r="AE2203" i="1"/>
  <c r="Y2203" i="1"/>
  <c r="AG2203" i="1" s="1"/>
  <c r="AJ2203" i="1" s="1"/>
  <c r="AM2203" i="1" s="1"/>
  <c r="Q2203" i="1"/>
  <c r="S2203" i="1" s="1"/>
  <c r="AG2202" i="1"/>
  <c r="AJ2202" i="1" s="1"/>
  <c r="AM2202" i="1" s="1"/>
  <c r="Q2202" i="1"/>
  <c r="S2202" i="1" s="1"/>
  <c r="K2202" i="1"/>
  <c r="AG2201" i="1"/>
  <c r="AJ2201" i="1" s="1"/>
  <c r="AM2201" i="1" s="1"/>
  <c r="Q2201" i="1"/>
  <c r="S2201" i="1" s="1"/>
  <c r="AG2200" i="1"/>
  <c r="AJ2200" i="1" s="1"/>
  <c r="AM2200" i="1" s="1"/>
  <c r="Q2200" i="1"/>
  <c r="S2200" i="1" s="1"/>
  <c r="AJ2199" i="1"/>
  <c r="AM2199" i="1" s="1"/>
  <c r="AG2199" i="1"/>
  <c r="Q2199" i="1"/>
  <c r="S2199" i="1" s="1"/>
  <c r="AG2198" i="1"/>
  <c r="AJ2198" i="1" s="1"/>
  <c r="AM2198" i="1" s="1"/>
  <c r="AB2198" i="1"/>
  <c r="Q2198" i="1"/>
  <c r="S2198" i="1" s="1"/>
  <c r="AJ2197" i="1"/>
  <c r="AM2197" i="1" s="1"/>
  <c r="AG2197" i="1"/>
  <c r="AB2197" i="1"/>
  <c r="Q2197" i="1"/>
  <c r="S2197" i="1" s="1"/>
  <c r="K2197" i="1"/>
  <c r="AG2196" i="1"/>
  <c r="AJ2196" i="1" s="1"/>
  <c r="AM2196" i="1" s="1"/>
  <c r="AB2196" i="1"/>
  <c r="Q2196" i="1"/>
  <c r="S2196" i="1" s="1"/>
  <c r="AG2195" i="1"/>
  <c r="AJ2195" i="1" s="1"/>
  <c r="AM2195" i="1" s="1"/>
  <c r="AB2195" i="1"/>
  <c r="Q2195" i="1"/>
  <c r="S2195" i="1" s="1"/>
  <c r="AG2194" i="1"/>
  <c r="AJ2194" i="1" s="1"/>
  <c r="AM2194" i="1" s="1"/>
  <c r="Q2194" i="1"/>
  <c r="S2194" i="1" s="1"/>
  <c r="AN2194" i="1" s="1"/>
  <c r="AP2194" i="1" s="1"/>
  <c r="AK2193" i="1"/>
  <c r="AJ2193" i="1"/>
  <c r="AM2193" i="1" s="1"/>
  <c r="Q2193" i="1"/>
  <c r="S2193" i="1" s="1"/>
  <c r="AG2192" i="1"/>
  <c r="AJ2192" i="1" s="1"/>
  <c r="AM2192" i="1" s="1"/>
  <c r="Q2192" i="1"/>
  <c r="S2192" i="1" s="1"/>
  <c r="AG2191" i="1"/>
  <c r="AJ2191" i="1" s="1"/>
  <c r="AM2191" i="1" s="1"/>
  <c r="Q2191" i="1"/>
  <c r="S2191" i="1" s="1"/>
  <c r="K2191" i="1"/>
  <c r="AG2190" i="1"/>
  <c r="AJ2190" i="1" s="1"/>
  <c r="AM2190" i="1" s="1"/>
  <c r="AB2190" i="1"/>
  <c r="S2190" i="1"/>
  <c r="Q2190" i="1"/>
  <c r="L2190" i="1"/>
  <c r="K2190" i="1" s="1"/>
  <c r="AJ2189" i="1"/>
  <c r="AM2189" i="1" s="1"/>
  <c r="AG2189" i="1"/>
  <c r="AB2189" i="1"/>
  <c r="Q2189" i="1"/>
  <c r="S2189" i="1" s="1"/>
  <c r="AN2189" i="1" s="1"/>
  <c r="AP2189" i="1" s="1"/>
  <c r="AG2188" i="1"/>
  <c r="AJ2188" i="1" s="1"/>
  <c r="AM2188" i="1" s="1"/>
  <c r="Q2188" i="1"/>
  <c r="S2188" i="1" s="1"/>
  <c r="AG2187" i="1"/>
  <c r="AJ2187" i="1" s="1"/>
  <c r="AM2187" i="1" s="1"/>
  <c r="Q2187" i="1"/>
  <c r="S2187" i="1" s="1"/>
  <c r="AG2186" i="1"/>
  <c r="AJ2186" i="1" s="1"/>
  <c r="AM2186" i="1" s="1"/>
  <c r="Q2186" i="1"/>
  <c r="S2186" i="1" s="1"/>
  <c r="AN2186" i="1" s="1"/>
  <c r="AP2186" i="1" s="1"/>
  <c r="AG2185" i="1"/>
  <c r="AJ2185" i="1" s="1"/>
  <c r="AM2185" i="1" s="1"/>
  <c r="AB2185" i="1"/>
  <c r="Q2185" i="1"/>
  <c r="S2185" i="1" s="1"/>
  <c r="K2185" i="1"/>
  <c r="AG2184" i="1"/>
  <c r="AJ2184" i="1" s="1"/>
  <c r="AM2184" i="1" s="1"/>
  <c r="Q2184" i="1"/>
  <c r="S2184" i="1" s="1"/>
  <c r="K2184" i="1"/>
  <c r="AK2183" i="1"/>
  <c r="AJ2183" i="1"/>
  <c r="AM2183" i="1" s="1"/>
  <c r="Q2183" i="1"/>
  <c r="S2183" i="1" s="1"/>
  <c r="AJ2182" i="1"/>
  <c r="AM2182" i="1" s="1"/>
  <c r="AG2182" i="1"/>
  <c r="Q2182" i="1"/>
  <c r="S2182" i="1" s="1"/>
  <c r="AG2181" i="1"/>
  <c r="AJ2181" i="1" s="1"/>
  <c r="AM2181" i="1" s="1"/>
  <c r="Q2181" i="1"/>
  <c r="S2181" i="1" s="1"/>
  <c r="AJ2179" i="1"/>
  <c r="AM2179" i="1" s="1"/>
  <c r="AG2179" i="1"/>
  <c r="Q2179" i="1"/>
  <c r="S2179" i="1" s="1"/>
  <c r="AG2178" i="1"/>
  <c r="AJ2178" i="1" s="1"/>
  <c r="AM2178" i="1" s="1"/>
  <c r="Q2178" i="1"/>
  <c r="S2178" i="1" s="1"/>
  <c r="AJ2177" i="1"/>
  <c r="AM2177" i="1" s="1"/>
  <c r="AG2177" i="1"/>
  <c r="Q2177" i="1"/>
  <c r="S2177" i="1" s="1"/>
  <c r="AG2176" i="1"/>
  <c r="AJ2176" i="1" s="1"/>
  <c r="AM2176" i="1" s="1"/>
  <c r="Q2176" i="1"/>
  <c r="S2176" i="1" s="1"/>
  <c r="AG2174" i="1"/>
  <c r="AJ2174" i="1" s="1"/>
  <c r="AM2174" i="1" s="1"/>
  <c r="Q2174" i="1"/>
  <c r="S2174" i="1" s="1"/>
  <c r="AG2173" i="1"/>
  <c r="AJ2173" i="1" s="1"/>
  <c r="AM2173" i="1" s="1"/>
  <c r="Q2173" i="1"/>
  <c r="S2173" i="1" s="1"/>
  <c r="AG2172" i="1"/>
  <c r="AJ2172" i="1" s="1"/>
  <c r="AM2172" i="1" s="1"/>
  <c r="Q2172" i="1"/>
  <c r="S2172" i="1" s="1"/>
  <c r="K2172" i="1"/>
  <c r="AB2171" i="1"/>
  <c r="Y2171" i="1"/>
  <c r="AG2171" i="1" s="1"/>
  <c r="AJ2171" i="1" s="1"/>
  <c r="AM2171" i="1" s="1"/>
  <c r="Q2171" i="1"/>
  <c r="S2171" i="1" s="1"/>
  <c r="AJ2170" i="1"/>
  <c r="AM2170" i="1" s="1"/>
  <c r="AG2170" i="1"/>
  <c r="Q2170" i="1"/>
  <c r="S2170" i="1" s="1"/>
  <c r="AG2169" i="1"/>
  <c r="AJ2169" i="1" s="1"/>
  <c r="AM2169" i="1" s="1"/>
  <c r="Q2169" i="1"/>
  <c r="S2169" i="1" s="1"/>
  <c r="AG2168" i="1"/>
  <c r="AJ2168" i="1" s="1"/>
  <c r="AM2168" i="1" s="1"/>
  <c r="AB2168" i="1"/>
  <c r="Q2168" i="1"/>
  <c r="S2168" i="1" s="1"/>
  <c r="AG2167" i="1"/>
  <c r="AJ2167" i="1" s="1"/>
  <c r="AM2167" i="1" s="1"/>
  <c r="Q2167" i="1"/>
  <c r="S2167" i="1" s="1"/>
  <c r="AG2166" i="1"/>
  <c r="AJ2166" i="1" s="1"/>
  <c r="AM2166" i="1" s="1"/>
  <c r="Q2166" i="1"/>
  <c r="S2166" i="1" s="1"/>
  <c r="K2166" i="1"/>
  <c r="AG2165" i="1"/>
  <c r="AJ2165" i="1" s="1"/>
  <c r="AM2165" i="1" s="1"/>
  <c r="Q2165" i="1"/>
  <c r="S2165" i="1" s="1"/>
  <c r="AG2164" i="1"/>
  <c r="AJ2164" i="1" s="1"/>
  <c r="AM2164" i="1" s="1"/>
  <c r="Q2164" i="1"/>
  <c r="S2164" i="1" s="1"/>
  <c r="K2164" i="1"/>
  <c r="AG2163" i="1"/>
  <c r="AJ2163" i="1" s="1"/>
  <c r="AM2163" i="1" s="1"/>
  <c r="Q2163" i="1"/>
  <c r="S2163" i="1" s="1"/>
  <c r="AG2162" i="1"/>
  <c r="AJ2162" i="1" s="1"/>
  <c r="AM2162" i="1" s="1"/>
  <c r="AB2162" i="1"/>
  <c r="Q2162" i="1"/>
  <c r="S2162" i="1" s="1"/>
  <c r="AG2161" i="1"/>
  <c r="AJ2161" i="1" s="1"/>
  <c r="AM2161" i="1" s="1"/>
  <c r="Q2161" i="1"/>
  <c r="S2161" i="1" s="1"/>
  <c r="AG2160" i="1"/>
  <c r="AJ2160" i="1" s="1"/>
  <c r="AM2160" i="1" s="1"/>
  <c r="Q2160" i="1"/>
  <c r="S2160" i="1" s="1"/>
  <c r="K2160" i="1"/>
  <c r="AG2159" i="1"/>
  <c r="AJ2159" i="1" s="1"/>
  <c r="AM2159" i="1" s="1"/>
  <c r="Q2159" i="1"/>
  <c r="S2159" i="1" s="1"/>
  <c r="AN2159" i="1" s="1"/>
  <c r="AP2159" i="1" s="1"/>
  <c r="AG2158" i="1"/>
  <c r="AJ2158" i="1" s="1"/>
  <c r="AM2158" i="1" s="1"/>
  <c r="Q2158" i="1"/>
  <c r="S2158" i="1" s="1"/>
  <c r="AJ2157" i="1"/>
  <c r="AM2157" i="1" s="1"/>
  <c r="Q2157" i="1"/>
  <c r="S2157" i="1" s="1"/>
  <c r="AJ2156" i="1"/>
  <c r="AM2156" i="1" s="1"/>
  <c r="Q2156" i="1"/>
  <c r="S2156" i="1" s="1"/>
  <c r="AJ2155" i="1"/>
  <c r="AM2155" i="1" s="1"/>
  <c r="AS2154" i="1"/>
  <c r="AJ2154" i="1"/>
  <c r="AM2154" i="1" s="1"/>
  <c r="Z2154" i="1"/>
  <c r="W2154" i="1"/>
  <c r="Q2154" i="1"/>
  <c r="S2154" i="1" s="1"/>
  <c r="AG2153" i="1"/>
  <c r="AJ2153" i="1" s="1"/>
  <c r="AM2153" i="1" s="1"/>
  <c r="Q2153" i="1"/>
  <c r="S2153" i="1" s="1"/>
  <c r="AG2152" i="1"/>
  <c r="AJ2152" i="1" s="1"/>
  <c r="AM2152" i="1" s="1"/>
  <c r="Q2152" i="1"/>
  <c r="S2152" i="1" s="1"/>
  <c r="AG2151" i="1"/>
  <c r="AJ2151" i="1" s="1"/>
  <c r="AM2151" i="1" s="1"/>
  <c r="Q2151" i="1"/>
  <c r="S2151" i="1" s="1"/>
  <c r="AG2150" i="1"/>
  <c r="AJ2150" i="1" s="1"/>
  <c r="AM2150" i="1" s="1"/>
  <c r="Q2150" i="1"/>
  <c r="S2150" i="1" s="1"/>
  <c r="AG2149" i="1"/>
  <c r="AJ2149" i="1" s="1"/>
  <c r="AM2149" i="1" s="1"/>
  <c r="Q2149" i="1"/>
  <c r="S2149" i="1" s="1"/>
  <c r="AG2148" i="1"/>
  <c r="AJ2148" i="1" s="1"/>
  <c r="AM2148" i="1" s="1"/>
  <c r="Q2148" i="1"/>
  <c r="S2148" i="1" s="1"/>
  <c r="AM2147" i="1"/>
  <c r="AG2147" i="1"/>
  <c r="AJ2147" i="1" s="1"/>
  <c r="Q2147" i="1"/>
  <c r="S2147" i="1" s="1"/>
  <c r="AG2146" i="1"/>
  <c r="AJ2146" i="1" s="1"/>
  <c r="AM2146" i="1" s="1"/>
  <c r="AB2146" i="1"/>
  <c r="Q2146" i="1"/>
  <c r="S2146" i="1" s="1"/>
  <c r="AG2145" i="1"/>
  <c r="AJ2145" i="1" s="1"/>
  <c r="AM2145" i="1" s="1"/>
  <c r="Q2145" i="1"/>
  <c r="S2145" i="1" s="1"/>
  <c r="AG2144" i="1"/>
  <c r="AJ2144" i="1" s="1"/>
  <c r="AM2144" i="1" s="1"/>
  <c r="AB2144" i="1"/>
  <c r="Q2144" i="1"/>
  <c r="S2144" i="1" s="1"/>
  <c r="L2144" i="1"/>
  <c r="K2144" i="1" s="1"/>
  <c r="AG2143" i="1"/>
  <c r="AJ2143" i="1" s="1"/>
  <c r="AM2143" i="1" s="1"/>
  <c r="AB2143" i="1"/>
  <c r="Q2143" i="1"/>
  <c r="S2143" i="1" s="1"/>
  <c r="AG2142" i="1"/>
  <c r="AJ2142" i="1" s="1"/>
  <c r="AM2142" i="1" s="1"/>
  <c r="Q2142" i="1"/>
  <c r="S2142" i="1" s="1"/>
  <c r="AG2141" i="1"/>
  <c r="AJ2141" i="1" s="1"/>
  <c r="AM2141" i="1" s="1"/>
  <c r="AB2141" i="1"/>
  <c r="Y2141" i="1"/>
  <c r="Q2141" i="1"/>
  <c r="S2141" i="1" s="1"/>
  <c r="AG2140" i="1"/>
  <c r="AJ2140" i="1" s="1"/>
  <c r="AM2140" i="1" s="1"/>
  <c r="AN2140" i="1" s="1"/>
  <c r="AP2140" i="1" s="1"/>
  <c r="Q2140" i="1"/>
  <c r="S2140" i="1" s="1"/>
  <c r="AG2139" i="1"/>
  <c r="AJ2139" i="1" s="1"/>
  <c r="AM2139" i="1" s="1"/>
  <c r="Q2139" i="1"/>
  <c r="S2139" i="1" s="1"/>
  <c r="AG2138" i="1"/>
  <c r="AJ2138" i="1" s="1"/>
  <c r="AM2138" i="1" s="1"/>
  <c r="Q2138" i="1"/>
  <c r="S2138" i="1" s="1"/>
  <c r="AG2137" i="1"/>
  <c r="AJ2137" i="1" s="1"/>
  <c r="AM2137" i="1" s="1"/>
  <c r="Q2137" i="1"/>
  <c r="S2137" i="1" s="1"/>
  <c r="AM2136" i="1"/>
  <c r="AN2136" i="1" s="1"/>
  <c r="AP2136" i="1" s="1"/>
  <c r="AG2136" i="1"/>
  <c r="AJ2136" i="1" s="1"/>
  <c r="Q2136" i="1"/>
  <c r="S2136" i="1" s="1"/>
  <c r="AG2135" i="1"/>
  <c r="AJ2135" i="1" s="1"/>
  <c r="AM2135" i="1" s="1"/>
  <c r="Q2135" i="1"/>
  <c r="S2135" i="1" s="1"/>
  <c r="AG2134" i="1"/>
  <c r="AJ2134" i="1" s="1"/>
  <c r="AM2134" i="1" s="1"/>
  <c r="Q2134" i="1"/>
  <c r="S2134" i="1" s="1"/>
  <c r="AN2134" i="1" s="1"/>
  <c r="AP2134" i="1" s="1"/>
  <c r="AK2133" i="1"/>
  <c r="AJ2133" i="1"/>
  <c r="AM2133" i="1" s="1"/>
  <c r="Q2133" i="1"/>
  <c r="S2133" i="1" s="1"/>
  <c r="AM2132" i="1"/>
  <c r="AG2132" i="1"/>
  <c r="AJ2132" i="1" s="1"/>
  <c r="Q2132" i="1"/>
  <c r="S2132" i="1" s="1"/>
  <c r="AG2130" i="1"/>
  <c r="AJ2130" i="1" s="1"/>
  <c r="AM2130" i="1" s="1"/>
  <c r="AB2130" i="1"/>
  <c r="S2130" i="1"/>
  <c r="Q2130" i="1"/>
  <c r="AG2129" i="1"/>
  <c r="AJ2129" i="1" s="1"/>
  <c r="AM2129" i="1" s="1"/>
  <c r="Q2129" i="1"/>
  <c r="S2129" i="1" s="1"/>
  <c r="AG2128" i="1"/>
  <c r="AJ2128" i="1" s="1"/>
  <c r="AM2128" i="1" s="1"/>
  <c r="Q2128" i="1"/>
  <c r="S2128" i="1" s="1"/>
  <c r="AG2127" i="1"/>
  <c r="AJ2127" i="1" s="1"/>
  <c r="AM2127" i="1" s="1"/>
  <c r="Q2127" i="1"/>
  <c r="S2127" i="1" s="1"/>
  <c r="AG2126" i="1"/>
  <c r="AJ2126" i="1" s="1"/>
  <c r="AM2126" i="1" s="1"/>
  <c r="Q2126" i="1"/>
  <c r="S2126" i="1" s="1"/>
  <c r="AG2125" i="1"/>
  <c r="AJ2125" i="1" s="1"/>
  <c r="AM2125" i="1" s="1"/>
  <c r="Q2125" i="1"/>
  <c r="S2125" i="1" s="1"/>
  <c r="AG2124" i="1"/>
  <c r="AJ2124" i="1" s="1"/>
  <c r="AM2124" i="1" s="1"/>
  <c r="Q2124" i="1"/>
  <c r="S2124" i="1" s="1"/>
  <c r="AG2123" i="1"/>
  <c r="AJ2123" i="1" s="1"/>
  <c r="AM2123" i="1" s="1"/>
  <c r="Q2123" i="1"/>
  <c r="S2123" i="1" s="1"/>
  <c r="AG2122" i="1"/>
  <c r="AJ2122" i="1" s="1"/>
  <c r="AM2122" i="1" s="1"/>
  <c r="S2122" i="1"/>
  <c r="Q2122" i="1"/>
  <c r="AG2121" i="1"/>
  <c r="AJ2121" i="1" s="1"/>
  <c r="AM2121" i="1" s="1"/>
  <c r="Q2121" i="1"/>
  <c r="S2121" i="1" s="1"/>
  <c r="AG2120" i="1"/>
  <c r="AJ2120" i="1" s="1"/>
  <c r="AM2120" i="1" s="1"/>
  <c r="Q2120" i="1"/>
  <c r="S2120" i="1" s="1"/>
  <c r="AG2119" i="1"/>
  <c r="AJ2119" i="1" s="1"/>
  <c r="AM2119" i="1" s="1"/>
  <c r="AB2119" i="1"/>
  <c r="Q2119" i="1"/>
  <c r="S2119" i="1" s="1"/>
  <c r="AJ2118" i="1"/>
  <c r="AM2118" i="1" s="1"/>
  <c r="Q2118" i="1"/>
  <c r="S2118" i="1" s="1"/>
  <c r="AG2117" i="1"/>
  <c r="AJ2117" i="1" s="1"/>
  <c r="AM2117" i="1" s="1"/>
  <c r="Q2117" i="1"/>
  <c r="S2117" i="1" s="1"/>
  <c r="AB2116" i="1"/>
  <c r="Y2116" i="1"/>
  <c r="AG2116" i="1" s="1"/>
  <c r="AJ2116" i="1" s="1"/>
  <c r="AM2116" i="1" s="1"/>
  <c r="Q2116" i="1"/>
  <c r="S2116" i="1" s="1"/>
  <c r="AG2115" i="1"/>
  <c r="AJ2115" i="1" s="1"/>
  <c r="AM2115" i="1" s="1"/>
  <c r="Q2115" i="1"/>
  <c r="S2115" i="1" s="1"/>
  <c r="AG2114" i="1"/>
  <c r="AJ2114" i="1" s="1"/>
  <c r="AM2114" i="1" s="1"/>
  <c r="Q2114" i="1"/>
  <c r="S2114" i="1" s="1"/>
  <c r="AG2113" i="1"/>
  <c r="AJ2113" i="1" s="1"/>
  <c r="AM2113" i="1" s="1"/>
  <c r="Q2113" i="1"/>
  <c r="S2113" i="1" s="1"/>
  <c r="K2113" i="1"/>
  <c r="AG2112" i="1"/>
  <c r="AJ2112" i="1" s="1"/>
  <c r="AM2112" i="1" s="1"/>
  <c r="Q2112" i="1"/>
  <c r="S2112" i="1" s="1"/>
  <c r="K2112" i="1"/>
  <c r="AG2111" i="1"/>
  <c r="AJ2111" i="1" s="1"/>
  <c r="AM2111" i="1" s="1"/>
  <c r="Q2111" i="1"/>
  <c r="S2111" i="1" s="1"/>
  <c r="AG2108" i="1"/>
  <c r="AJ2108" i="1" s="1"/>
  <c r="AM2108" i="1" s="1"/>
  <c r="Q2108" i="1"/>
  <c r="S2108" i="1" s="1"/>
  <c r="AG2107" i="1"/>
  <c r="AJ2107" i="1" s="1"/>
  <c r="AM2107" i="1" s="1"/>
  <c r="Q2107" i="1"/>
  <c r="S2107" i="1" s="1"/>
  <c r="AG2105" i="1"/>
  <c r="AJ2105" i="1" s="1"/>
  <c r="AM2105" i="1" s="1"/>
  <c r="Q2105" i="1"/>
  <c r="S2105" i="1" s="1"/>
  <c r="AJ2104" i="1"/>
  <c r="AM2104" i="1" s="1"/>
  <c r="AG2104" i="1"/>
  <c r="AB2104" i="1"/>
  <c r="Q2104" i="1"/>
  <c r="S2104" i="1" s="1"/>
  <c r="AM2103" i="1"/>
  <c r="AG2103" i="1"/>
  <c r="AJ2103" i="1" s="1"/>
  <c r="Q2103" i="1"/>
  <c r="S2103" i="1" s="1"/>
  <c r="AG2102" i="1"/>
  <c r="AJ2102" i="1" s="1"/>
  <c r="AM2102" i="1" s="1"/>
  <c r="Q2102" i="1"/>
  <c r="S2102" i="1" s="1"/>
  <c r="AJ2101" i="1"/>
  <c r="AM2101" i="1" s="1"/>
  <c r="AG2101" i="1"/>
  <c r="Q2101" i="1"/>
  <c r="S2101" i="1" s="1"/>
  <c r="AG2100" i="1"/>
  <c r="AJ2100" i="1" s="1"/>
  <c r="AM2100" i="1" s="1"/>
  <c r="Q2100" i="1"/>
  <c r="S2100" i="1" s="1"/>
  <c r="AG2099" i="1"/>
  <c r="AJ2099" i="1" s="1"/>
  <c r="AM2099" i="1" s="1"/>
  <c r="Q2099" i="1"/>
  <c r="S2099" i="1" s="1"/>
  <c r="AJ2098" i="1"/>
  <c r="AM2098" i="1" s="1"/>
  <c r="AG2098" i="1"/>
  <c r="Q2098" i="1"/>
  <c r="S2098" i="1" s="1"/>
  <c r="AG2096" i="1"/>
  <c r="AJ2096" i="1" s="1"/>
  <c r="AM2096" i="1" s="1"/>
  <c r="Q2096" i="1"/>
  <c r="S2096" i="1" s="1"/>
  <c r="AG2095" i="1"/>
  <c r="AJ2095" i="1" s="1"/>
  <c r="AM2095" i="1" s="1"/>
  <c r="Q2095" i="1"/>
  <c r="S2095" i="1" s="1"/>
  <c r="AG2092" i="1"/>
  <c r="AJ2092" i="1" s="1"/>
  <c r="AM2092" i="1" s="1"/>
  <c r="Q2092" i="1"/>
  <c r="S2092" i="1" s="1"/>
  <c r="AG2091" i="1"/>
  <c r="AJ2091" i="1" s="1"/>
  <c r="AM2091" i="1" s="1"/>
  <c r="Q2091" i="1"/>
  <c r="S2091" i="1" s="1"/>
  <c r="AG2090" i="1"/>
  <c r="AJ2090" i="1" s="1"/>
  <c r="AM2090" i="1" s="1"/>
  <c r="Q2090" i="1"/>
  <c r="S2090" i="1" s="1"/>
  <c r="AG2089" i="1"/>
  <c r="AJ2089" i="1" s="1"/>
  <c r="AM2089" i="1" s="1"/>
  <c r="Q2089" i="1"/>
  <c r="S2089" i="1" s="1"/>
  <c r="AG2088" i="1"/>
  <c r="AJ2088" i="1" s="1"/>
  <c r="AM2088" i="1" s="1"/>
  <c r="Q2088" i="1"/>
  <c r="S2088" i="1" s="1"/>
  <c r="AG2087" i="1"/>
  <c r="AJ2087" i="1" s="1"/>
  <c r="AM2087" i="1" s="1"/>
  <c r="Q2087" i="1"/>
  <c r="S2087" i="1" s="1"/>
  <c r="AG2086" i="1"/>
  <c r="AJ2086" i="1" s="1"/>
  <c r="AM2086" i="1" s="1"/>
  <c r="Q2086" i="1"/>
  <c r="S2086" i="1" s="1"/>
  <c r="AJ2085" i="1"/>
  <c r="AM2085" i="1" s="1"/>
  <c r="AG2085" i="1"/>
  <c r="Q2085" i="1"/>
  <c r="S2085" i="1" s="1"/>
  <c r="AG2084" i="1"/>
  <c r="AJ2084" i="1" s="1"/>
  <c r="AM2084" i="1" s="1"/>
  <c r="Q2084" i="1"/>
  <c r="S2084" i="1" s="1"/>
  <c r="AG2083" i="1"/>
  <c r="AJ2083" i="1" s="1"/>
  <c r="AM2083" i="1" s="1"/>
  <c r="Q2083" i="1"/>
  <c r="S2083" i="1" s="1"/>
  <c r="AG2082" i="1"/>
  <c r="AJ2082" i="1" s="1"/>
  <c r="AM2082" i="1" s="1"/>
  <c r="AB2082" i="1"/>
  <c r="S2082" i="1"/>
  <c r="AN2082" i="1" s="1"/>
  <c r="AP2082" i="1" s="1"/>
  <c r="Q2082" i="1"/>
  <c r="AG2080" i="1"/>
  <c r="AJ2080" i="1" s="1"/>
  <c r="AM2080" i="1" s="1"/>
  <c r="AB2080" i="1"/>
  <c r="S2080" i="1"/>
  <c r="Q2080" i="1"/>
  <c r="L2080" i="1"/>
  <c r="K2080" i="1" s="1"/>
  <c r="AG2079" i="1"/>
  <c r="AJ2079" i="1" s="1"/>
  <c r="AM2079" i="1" s="1"/>
  <c r="Q2079" i="1"/>
  <c r="S2079" i="1" s="1"/>
  <c r="AG2078" i="1"/>
  <c r="AJ2078" i="1" s="1"/>
  <c r="AM2078" i="1" s="1"/>
  <c r="AB2078" i="1"/>
  <c r="Q2078" i="1"/>
  <c r="S2078" i="1" s="1"/>
  <c r="AG2077" i="1"/>
  <c r="AJ2077" i="1" s="1"/>
  <c r="AM2077" i="1" s="1"/>
  <c r="AB2077" i="1"/>
  <c r="S2077" i="1"/>
  <c r="Q2077" i="1"/>
  <c r="AG2076" i="1"/>
  <c r="AJ2076" i="1" s="1"/>
  <c r="AM2076" i="1" s="1"/>
  <c r="Q2076" i="1"/>
  <c r="S2076" i="1" s="1"/>
  <c r="AG2075" i="1"/>
  <c r="AJ2075" i="1" s="1"/>
  <c r="AM2075" i="1" s="1"/>
  <c r="AB2075" i="1"/>
  <c r="Q2075" i="1"/>
  <c r="S2075" i="1" s="1"/>
  <c r="AN2075" i="1" s="1"/>
  <c r="AP2075" i="1" s="1"/>
  <c r="AG2074" i="1"/>
  <c r="AJ2074" i="1" s="1"/>
  <c r="AM2074" i="1" s="1"/>
  <c r="Q2074" i="1"/>
  <c r="S2074" i="1" s="1"/>
  <c r="AG2073" i="1"/>
  <c r="AJ2073" i="1" s="1"/>
  <c r="AM2073" i="1" s="1"/>
  <c r="AB2073" i="1"/>
  <c r="Q2073" i="1"/>
  <c r="S2073" i="1" s="1"/>
  <c r="AG2072" i="1"/>
  <c r="AJ2072" i="1" s="1"/>
  <c r="AM2072" i="1" s="1"/>
  <c r="Q2072" i="1"/>
  <c r="S2072" i="1" s="1"/>
  <c r="AG2071" i="1"/>
  <c r="AJ2071" i="1" s="1"/>
  <c r="AM2071" i="1" s="1"/>
  <c r="Q2071" i="1"/>
  <c r="S2071" i="1" s="1"/>
  <c r="AG2070" i="1"/>
  <c r="AJ2070" i="1" s="1"/>
  <c r="AM2070" i="1" s="1"/>
  <c r="Q2070" i="1"/>
  <c r="S2070" i="1" s="1"/>
  <c r="AM2069" i="1"/>
  <c r="AG2069" i="1"/>
  <c r="AJ2069" i="1" s="1"/>
  <c r="Q2069" i="1"/>
  <c r="S2069" i="1" s="1"/>
  <c r="AG2068" i="1"/>
  <c r="AJ2068" i="1" s="1"/>
  <c r="AM2068" i="1" s="1"/>
  <c r="Q2068" i="1"/>
  <c r="S2068" i="1" s="1"/>
  <c r="AG2067" i="1"/>
  <c r="AJ2067" i="1" s="1"/>
  <c r="AM2067" i="1" s="1"/>
  <c r="Q2067" i="1"/>
  <c r="S2067" i="1" s="1"/>
  <c r="AM2066" i="1"/>
  <c r="AG2066" i="1"/>
  <c r="AJ2066" i="1" s="1"/>
  <c r="AB2066" i="1"/>
  <c r="Q2066" i="1"/>
  <c r="S2066" i="1" s="1"/>
  <c r="AN2066" i="1" s="1"/>
  <c r="AP2066" i="1" s="1"/>
  <c r="AG2064" i="1"/>
  <c r="AJ2064" i="1" s="1"/>
  <c r="AM2064" i="1" s="1"/>
  <c r="Q2064" i="1"/>
  <c r="S2064" i="1" s="1"/>
  <c r="AB2063" i="1"/>
  <c r="Y2063" i="1"/>
  <c r="AG2063" i="1" s="1"/>
  <c r="AJ2063" i="1" s="1"/>
  <c r="AM2063" i="1" s="1"/>
  <c r="Q2063" i="1"/>
  <c r="S2063" i="1" s="1"/>
  <c r="AG2062" i="1"/>
  <c r="AJ2062" i="1" s="1"/>
  <c r="AM2062" i="1" s="1"/>
  <c r="Q2062" i="1"/>
  <c r="S2062" i="1" s="1"/>
  <c r="AG2061" i="1"/>
  <c r="AJ2061" i="1" s="1"/>
  <c r="AM2061" i="1" s="1"/>
  <c r="Q2061" i="1"/>
  <c r="S2061" i="1" s="1"/>
  <c r="AJ2060" i="1"/>
  <c r="AM2060" i="1" s="1"/>
  <c r="AG2060" i="1"/>
  <c r="Q2060" i="1"/>
  <c r="S2060" i="1" s="1"/>
  <c r="AG2059" i="1"/>
  <c r="AJ2059" i="1" s="1"/>
  <c r="AM2059" i="1" s="1"/>
  <c r="Q2059" i="1"/>
  <c r="S2059" i="1" s="1"/>
  <c r="AG2058" i="1"/>
  <c r="AJ2058" i="1" s="1"/>
  <c r="AM2058" i="1" s="1"/>
  <c r="AB2058" i="1"/>
  <c r="Q2058" i="1"/>
  <c r="S2058" i="1" s="1"/>
  <c r="AG2057" i="1"/>
  <c r="AJ2057" i="1" s="1"/>
  <c r="AM2057" i="1" s="1"/>
  <c r="Q2057" i="1"/>
  <c r="S2057" i="1" s="1"/>
  <c r="AG2056" i="1"/>
  <c r="AJ2056" i="1" s="1"/>
  <c r="AM2056" i="1" s="1"/>
  <c r="Q2056" i="1"/>
  <c r="S2056" i="1" s="1"/>
  <c r="AM2055" i="1"/>
  <c r="AG2055" i="1"/>
  <c r="AJ2055" i="1" s="1"/>
  <c r="Q2055" i="1"/>
  <c r="S2055" i="1" s="1"/>
  <c r="AJ2054" i="1"/>
  <c r="AM2054" i="1" s="1"/>
  <c r="AH2054" i="1"/>
  <c r="AH2053" i="1"/>
  <c r="AJ2053" i="1" s="1"/>
  <c r="AM2053" i="1" s="1"/>
  <c r="W2053" i="1"/>
  <c r="Q2053" i="1"/>
  <c r="S2053" i="1" s="1"/>
  <c r="AN2053" i="1" s="1"/>
  <c r="AP2053" i="1" s="1"/>
  <c r="AG2052" i="1"/>
  <c r="AJ2052" i="1" s="1"/>
  <c r="AM2052" i="1" s="1"/>
  <c r="Q2052" i="1"/>
  <c r="S2052" i="1" s="1"/>
  <c r="AG2051" i="1"/>
  <c r="AJ2051" i="1" s="1"/>
  <c r="AM2051" i="1" s="1"/>
  <c r="Q2051" i="1"/>
  <c r="S2051" i="1" s="1"/>
  <c r="AG2049" i="1"/>
  <c r="AJ2049" i="1" s="1"/>
  <c r="AM2049" i="1" s="1"/>
  <c r="AB2049" i="1"/>
  <c r="Q2049" i="1"/>
  <c r="S2049" i="1" s="1"/>
  <c r="AG2048" i="1"/>
  <c r="AJ2048" i="1" s="1"/>
  <c r="AM2048" i="1" s="1"/>
  <c r="Q2048" i="1"/>
  <c r="S2048" i="1" s="1"/>
  <c r="AJ2047" i="1"/>
  <c r="AM2047" i="1" s="1"/>
  <c r="AG2047" i="1"/>
  <c r="Q2047" i="1"/>
  <c r="S2047" i="1" s="1"/>
  <c r="AG2046" i="1"/>
  <c r="AJ2046" i="1" s="1"/>
  <c r="AM2046" i="1" s="1"/>
  <c r="Q2046" i="1"/>
  <c r="S2046" i="1" s="1"/>
  <c r="AG2045" i="1"/>
  <c r="AJ2045" i="1" s="1"/>
  <c r="AM2045" i="1" s="1"/>
  <c r="Q2045" i="1"/>
  <c r="S2045" i="1" s="1"/>
  <c r="AG2044" i="1"/>
  <c r="AJ2044" i="1" s="1"/>
  <c r="AM2044" i="1" s="1"/>
  <c r="AB2044" i="1"/>
  <c r="Q2044" i="1"/>
  <c r="S2044" i="1" s="1"/>
  <c r="AG2043" i="1"/>
  <c r="AJ2043" i="1" s="1"/>
  <c r="AM2043" i="1" s="1"/>
  <c r="AB2043" i="1"/>
  <c r="Q2043" i="1"/>
  <c r="S2043" i="1" s="1"/>
  <c r="AG2042" i="1"/>
  <c r="AJ2042" i="1" s="1"/>
  <c r="AM2042" i="1" s="1"/>
  <c r="Q2042" i="1"/>
  <c r="S2042" i="1" s="1"/>
  <c r="AG2041" i="1"/>
  <c r="AJ2041" i="1" s="1"/>
  <c r="AM2041" i="1" s="1"/>
  <c r="AB2041" i="1"/>
  <c r="Q2041" i="1"/>
  <c r="S2041" i="1" s="1"/>
  <c r="AG2040" i="1"/>
  <c r="AJ2040" i="1" s="1"/>
  <c r="AM2040" i="1" s="1"/>
  <c r="AB2040" i="1"/>
  <c r="Q2040" i="1"/>
  <c r="S2040" i="1" s="1"/>
  <c r="AG2038" i="1"/>
  <c r="AJ2038" i="1" s="1"/>
  <c r="AM2038" i="1" s="1"/>
  <c r="Q2038" i="1"/>
  <c r="S2038" i="1" s="1"/>
  <c r="AG2037" i="1"/>
  <c r="AJ2037" i="1" s="1"/>
  <c r="AM2037" i="1" s="1"/>
  <c r="Q2037" i="1"/>
  <c r="S2037" i="1" s="1"/>
  <c r="AG2036" i="1"/>
  <c r="AJ2036" i="1" s="1"/>
  <c r="AM2036" i="1" s="1"/>
  <c r="AB2036" i="1"/>
  <c r="Q2036" i="1"/>
  <c r="S2036" i="1" s="1"/>
  <c r="AG2035" i="1"/>
  <c r="AJ2035" i="1" s="1"/>
  <c r="AM2035" i="1" s="1"/>
  <c r="Q2035" i="1"/>
  <c r="S2035" i="1" s="1"/>
  <c r="AG2034" i="1"/>
  <c r="AJ2034" i="1" s="1"/>
  <c r="AM2034" i="1" s="1"/>
  <c r="Q2034" i="1"/>
  <c r="S2034" i="1" s="1"/>
  <c r="AG2033" i="1"/>
  <c r="AJ2033" i="1" s="1"/>
  <c r="AM2033" i="1" s="1"/>
  <c r="Q2033" i="1"/>
  <c r="S2033" i="1" s="1"/>
  <c r="AG2032" i="1"/>
  <c r="AJ2032" i="1" s="1"/>
  <c r="AM2032" i="1" s="1"/>
  <c r="Q2032" i="1"/>
  <c r="S2032" i="1" s="1"/>
  <c r="AG2031" i="1"/>
  <c r="AJ2031" i="1" s="1"/>
  <c r="AM2031" i="1" s="1"/>
  <c r="AB2031" i="1"/>
  <c r="Q2031" i="1"/>
  <c r="S2031" i="1" s="1"/>
  <c r="AN2031" i="1" s="1"/>
  <c r="AP2031" i="1" s="1"/>
  <c r="AG2030" i="1"/>
  <c r="AJ2030" i="1" s="1"/>
  <c r="AM2030" i="1" s="1"/>
  <c r="AB2030" i="1"/>
  <c r="Q2030" i="1"/>
  <c r="S2030" i="1" s="1"/>
  <c r="AN2030" i="1" s="1"/>
  <c r="AP2030" i="1" s="1"/>
  <c r="AG2029" i="1"/>
  <c r="AJ2029" i="1" s="1"/>
  <c r="AM2029" i="1" s="1"/>
  <c r="Q2029" i="1"/>
  <c r="S2029" i="1" s="1"/>
  <c r="AG2028" i="1"/>
  <c r="AJ2028" i="1" s="1"/>
  <c r="AM2028" i="1" s="1"/>
  <c r="Q2028" i="1"/>
  <c r="S2028" i="1" s="1"/>
  <c r="AG2027" i="1"/>
  <c r="AJ2027" i="1" s="1"/>
  <c r="AM2027" i="1" s="1"/>
  <c r="Q2027" i="1"/>
  <c r="S2027" i="1" s="1"/>
  <c r="AG2026" i="1"/>
  <c r="AJ2026" i="1" s="1"/>
  <c r="AM2026" i="1" s="1"/>
  <c r="Q2026" i="1"/>
  <c r="S2026" i="1" s="1"/>
  <c r="AJ2025" i="1"/>
  <c r="AM2025" i="1" s="1"/>
  <c r="AG2025" i="1"/>
  <c r="Q2025" i="1"/>
  <c r="S2025" i="1" s="1"/>
  <c r="AG2024" i="1"/>
  <c r="AJ2024" i="1" s="1"/>
  <c r="AM2024" i="1" s="1"/>
  <c r="Q2024" i="1"/>
  <c r="S2024" i="1" s="1"/>
  <c r="AG2023" i="1"/>
  <c r="AJ2023" i="1" s="1"/>
  <c r="AM2023" i="1" s="1"/>
  <c r="Q2023" i="1"/>
  <c r="S2023" i="1" s="1"/>
  <c r="AG2022" i="1"/>
  <c r="AJ2022" i="1" s="1"/>
  <c r="AM2022" i="1" s="1"/>
  <c r="Q2022" i="1"/>
  <c r="S2022" i="1" s="1"/>
  <c r="AG2021" i="1"/>
  <c r="AJ2021" i="1" s="1"/>
  <c r="AM2021" i="1" s="1"/>
  <c r="Q2021" i="1"/>
  <c r="S2021" i="1" s="1"/>
  <c r="AJ2020" i="1"/>
  <c r="AM2020" i="1" s="1"/>
  <c r="AG2020" i="1"/>
  <c r="Q2020" i="1"/>
  <c r="S2020" i="1" s="1"/>
  <c r="AG2019" i="1"/>
  <c r="AJ2019" i="1" s="1"/>
  <c r="AM2019" i="1" s="1"/>
  <c r="Q2019" i="1"/>
  <c r="S2019" i="1" s="1"/>
  <c r="AG2018" i="1"/>
  <c r="AJ2018" i="1" s="1"/>
  <c r="AM2018" i="1" s="1"/>
  <c r="Q2018" i="1"/>
  <c r="S2018" i="1" s="1"/>
  <c r="AG2017" i="1"/>
  <c r="AJ2017" i="1" s="1"/>
  <c r="AM2017" i="1" s="1"/>
  <c r="Q2017" i="1"/>
  <c r="S2017" i="1" s="1"/>
  <c r="AG2016" i="1"/>
  <c r="AJ2016" i="1" s="1"/>
  <c r="AM2016" i="1" s="1"/>
  <c r="Q2016" i="1"/>
  <c r="S2016" i="1" s="1"/>
  <c r="AG2015" i="1"/>
  <c r="AJ2015" i="1" s="1"/>
  <c r="AM2015" i="1" s="1"/>
  <c r="Q2015" i="1"/>
  <c r="S2015" i="1" s="1"/>
  <c r="AG2014" i="1"/>
  <c r="AJ2014" i="1" s="1"/>
  <c r="AM2014" i="1" s="1"/>
  <c r="AB2014" i="1"/>
  <c r="Q2014" i="1"/>
  <c r="S2014" i="1" s="1"/>
  <c r="AG2013" i="1"/>
  <c r="AJ2013" i="1" s="1"/>
  <c r="AM2013" i="1" s="1"/>
  <c r="Q2013" i="1"/>
  <c r="S2013" i="1" s="1"/>
  <c r="AN2013" i="1" s="1"/>
  <c r="AP2013" i="1" s="1"/>
  <c r="AG2012" i="1"/>
  <c r="AJ2012" i="1" s="1"/>
  <c r="AM2012" i="1" s="1"/>
  <c r="Q2012" i="1"/>
  <c r="S2012" i="1" s="1"/>
  <c r="AG2009" i="1"/>
  <c r="AJ2009" i="1" s="1"/>
  <c r="AM2009" i="1" s="1"/>
  <c r="Q2009" i="1"/>
  <c r="S2009" i="1" s="1"/>
  <c r="K2009" i="1"/>
  <c r="AG2008" i="1"/>
  <c r="AJ2008" i="1" s="1"/>
  <c r="AM2008" i="1" s="1"/>
  <c r="Q2008" i="1"/>
  <c r="S2008" i="1" s="1"/>
  <c r="AG2007" i="1"/>
  <c r="AJ2007" i="1" s="1"/>
  <c r="AM2007" i="1" s="1"/>
  <c r="AB2007" i="1"/>
  <c r="Q2007" i="1"/>
  <c r="S2007" i="1" s="1"/>
  <c r="AJ2006" i="1"/>
  <c r="AM2006" i="1" s="1"/>
  <c r="W2006" i="1"/>
  <c r="Q2006" i="1"/>
  <c r="S2006" i="1" s="1"/>
  <c r="AJ2005" i="1"/>
  <c r="AM2005" i="1" s="1"/>
  <c r="W2005" i="1"/>
  <c r="AJ2004" i="1"/>
  <c r="AM2004" i="1" s="1"/>
  <c r="W2004" i="1"/>
  <c r="AJ2003" i="1"/>
  <c r="AM2003" i="1" s="1"/>
  <c r="W2003" i="1"/>
  <c r="AJ2002" i="1"/>
  <c r="AM2002" i="1" s="1"/>
  <c r="W2002" i="1"/>
  <c r="Q2002" i="1"/>
  <c r="S2002" i="1" s="1"/>
  <c r="AG2001" i="1"/>
  <c r="AJ2001" i="1" s="1"/>
  <c r="AM2001" i="1" s="1"/>
  <c r="Q2001" i="1"/>
  <c r="S2001" i="1" s="1"/>
  <c r="AG2000" i="1"/>
  <c r="AJ2000" i="1" s="1"/>
  <c r="AM2000" i="1" s="1"/>
  <c r="Q2000" i="1"/>
  <c r="S2000" i="1" s="1"/>
  <c r="AG1999" i="1"/>
  <c r="AJ1999" i="1" s="1"/>
  <c r="AM1999" i="1" s="1"/>
  <c r="Q1999" i="1"/>
  <c r="S1999" i="1" s="1"/>
  <c r="AG1998" i="1"/>
  <c r="AJ1998" i="1" s="1"/>
  <c r="AM1998" i="1" s="1"/>
  <c r="AB1998" i="1"/>
  <c r="Q1998" i="1"/>
  <c r="S1998" i="1" s="1"/>
  <c r="AG1997" i="1"/>
  <c r="AJ1997" i="1" s="1"/>
  <c r="AM1997" i="1" s="1"/>
  <c r="AB1997" i="1"/>
  <c r="Q1997" i="1"/>
  <c r="S1997" i="1" s="1"/>
  <c r="AG1996" i="1"/>
  <c r="AJ1996" i="1" s="1"/>
  <c r="AM1996" i="1" s="1"/>
  <c r="AB1996" i="1"/>
  <c r="Q1996" i="1"/>
  <c r="S1996" i="1" s="1"/>
  <c r="AG1995" i="1"/>
  <c r="AJ1995" i="1" s="1"/>
  <c r="AM1995" i="1" s="1"/>
  <c r="Q1995" i="1"/>
  <c r="S1995" i="1" s="1"/>
  <c r="AG1994" i="1"/>
  <c r="AJ1994" i="1" s="1"/>
  <c r="AM1994" i="1" s="1"/>
  <c r="W1994" i="1"/>
  <c r="Q1994" i="1"/>
  <c r="S1994" i="1" s="1"/>
  <c r="AG1993" i="1"/>
  <c r="AJ1993" i="1" s="1"/>
  <c r="AM1993" i="1" s="1"/>
  <c r="S1993" i="1"/>
  <c r="AN1993" i="1" s="1"/>
  <c r="AP1993" i="1" s="1"/>
  <c r="Q1993" i="1"/>
  <c r="AG1992" i="1"/>
  <c r="AJ1992" i="1" s="1"/>
  <c r="AM1992" i="1" s="1"/>
  <c r="Q1992" i="1"/>
  <c r="S1992" i="1" s="1"/>
  <c r="AG1990" i="1"/>
  <c r="AJ1990" i="1" s="1"/>
  <c r="AM1990" i="1" s="1"/>
  <c r="Q1990" i="1"/>
  <c r="S1990" i="1" s="1"/>
  <c r="AG1989" i="1"/>
  <c r="AJ1989" i="1" s="1"/>
  <c r="AM1989" i="1" s="1"/>
  <c r="Q1989" i="1"/>
  <c r="S1989" i="1" s="1"/>
  <c r="K1989" i="1"/>
  <c r="AG1988" i="1"/>
  <c r="AJ1988" i="1" s="1"/>
  <c r="AM1988" i="1" s="1"/>
  <c r="Q1988" i="1"/>
  <c r="S1988" i="1" s="1"/>
  <c r="AG1987" i="1"/>
  <c r="AJ1987" i="1" s="1"/>
  <c r="AM1987" i="1" s="1"/>
  <c r="Q1987" i="1"/>
  <c r="S1987" i="1" s="1"/>
  <c r="AN1987" i="1" s="1"/>
  <c r="AP1987" i="1" s="1"/>
  <c r="K1987" i="1"/>
  <c r="AB1986" i="1"/>
  <c r="Y1986" i="1"/>
  <c r="AG1986" i="1" s="1"/>
  <c r="AJ1986" i="1" s="1"/>
  <c r="AM1986" i="1" s="1"/>
  <c r="Q1986" i="1"/>
  <c r="S1986" i="1" s="1"/>
  <c r="AG1985" i="1"/>
  <c r="AJ1985" i="1" s="1"/>
  <c r="AM1985" i="1" s="1"/>
  <c r="AB1985" i="1"/>
  <c r="Q1985" i="1"/>
  <c r="S1985" i="1" s="1"/>
  <c r="AG1984" i="1"/>
  <c r="AJ1984" i="1" s="1"/>
  <c r="AM1984" i="1" s="1"/>
  <c r="Q1984" i="1"/>
  <c r="S1984" i="1" s="1"/>
  <c r="AG1983" i="1"/>
  <c r="AJ1983" i="1" s="1"/>
  <c r="AM1983" i="1" s="1"/>
  <c r="Q1983" i="1"/>
  <c r="S1983" i="1" s="1"/>
  <c r="AG1982" i="1"/>
  <c r="AJ1982" i="1" s="1"/>
  <c r="AM1982" i="1" s="1"/>
  <c r="Q1982" i="1"/>
  <c r="S1982" i="1" s="1"/>
  <c r="AG1981" i="1"/>
  <c r="AJ1981" i="1" s="1"/>
  <c r="AM1981" i="1" s="1"/>
  <c r="AB1981" i="1"/>
  <c r="Q1981" i="1"/>
  <c r="S1981" i="1" s="1"/>
  <c r="L1981" i="1"/>
  <c r="K1981" i="1" s="1"/>
  <c r="AG1980" i="1"/>
  <c r="AJ1980" i="1" s="1"/>
  <c r="AM1980" i="1" s="1"/>
  <c r="Q1980" i="1"/>
  <c r="S1980" i="1" s="1"/>
  <c r="AG1979" i="1"/>
  <c r="AJ1979" i="1" s="1"/>
  <c r="AM1979" i="1" s="1"/>
  <c r="Q1979" i="1"/>
  <c r="S1979" i="1" s="1"/>
  <c r="AN1978" i="1"/>
  <c r="AP1978" i="1" s="1"/>
  <c r="AG1978" i="1"/>
  <c r="AJ1978" i="1" s="1"/>
  <c r="AM1978" i="1" s="1"/>
  <c r="AB1978" i="1"/>
  <c r="Q1978" i="1"/>
  <c r="S1978" i="1" s="1"/>
  <c r="AG1977" i="1"/>
  <c r="AJ1977" i="1" s="1"/>
  <c r="AM1977" i="1" s="1"/>
  <c r="AB1977" i="1"/>
  <c r="Q1977" i="1"/>
  <c r="S1977" i="1" s="1"/>
  <c r="AG1976" i="1"/>
  <c r="AJ1976" i="1" s="1"/>
  <c r="AM1976" i="1" s="1"/>
  <c r="Q1976" i="1"/>
  <c r="S1976" i="1" s="1"/>
  <c r="AG1975" i="1"/>
  <c r="AJ1975" i="1" s="1"/>
  <c r="AM1975" i="1" s="1"/>
  <c r="Q1975" i="1"/>
  <c r="S1975" i="1" s="1"/>
  <c r="AG1974" i="1"/>
  <c r="AJ1974" i="1" s="1"/>
  <c r="AM1974" i="1" s="1"/>
  <c r="Q1974" i="1"/>
  <c r="S1974" i="1" s="1"/>
  <c r="AG1973" i="1"/>
  <c r="AJ1973" i="1" s="1"/>
  <c r="AM1973" i="1" s="1"/>
  <c r="Q1973" i="1"/>
  <c r="S1973" i="1" s="1"/>
  <c r="AG1972" i="1"/>
  <c r="AJ1972" i="1" s="1"/>
  <c r="AM1972" i="1" s="1"/>
  <c r="Q1972" i="1"/>
  <c r="S1972" i="1" s="1"/>
  <c r="AG1971" i="1"/>
  <c r="AJ1971" i="1" s="1"/>
  <c r="AM1971" i="1" s="1"/>
  <c r="Q1971" i="1"/>
  <c r="S1971" i="1" s="1"/>
  <c r="AG1970" i="1"/>
  <c r="AJ1970" i="1" s="1"/>
  <c r="AM1970" i="1" s="1"/>
  <c r="Q1970" i="1"/>
  <c r="S1970" i="1" s="1"/>
  <c r="AG1969" i="1"/>
  <c r="AJ1969" i="1" s="1"/>
  <c r="AM1969" i="1" s="1"/>
  <c r="Q1969" i="1"/>
  <c r="S1969" i="1" s="1"/>
  <c r="AG1968" i="1"/>
  <c r="AJ1968" i="1" s="1"/>
  <c r="AM1968" i="1" s="1"/>
  <c r="Q1968" i="1"/>
  <c r="S1968" i="1" s="1"/>
  <c r="AG1967" i="1"/>
  <c r="AJ1967" i="1" s="1"/>
  <c r="AM1967" i="1" s="1"/>
  <c r="AB1967" i="1"/>
  <c r="Q1967" i="1"/>
  <c r="S1967" i="1" s="1"/>
  <c r="AG1966" i="1"/>
  <c r="AJ1966" i="1" s="1"/>
  <c r="AM1966" i="1" s="1"/>
  <c r="Q1966" i="1"/>
  <c r="S1966" i="1" s="1"/>
  <c r="AG1964" i="1"/>
  <c r="AJ1964" i="1" s="1"/>
  <c r="AM1964" i="1" s="1"/>
  <c r="AB1964" i="1"/>
  <c r="Q1964" i="1"/>
  <c r="S1964" i="1" s="1"/>
  <c r="AG1963" i="1"/>
  <c r="AJ1963" i="1" s="1"/>
  <c r="AM1963" i="1" s="1"/>
  <c r="AB1963" i="1"/>
  <c r="S1963" i="1"/>
  <c r="Q1963" i="1"/>
  <c r="AG1962" i="1"/>
  <c r="AJ1962" i="1" s="1"/>
  <c r="AM1962" i="1" s="1"/>
  <c r="Q1962" i="1"/>
  <c r="S1962" i="1" s="1"/>
  <c r="K1962" i="1"/>
  <c r="AG1961" i="1"/>
  <c r="AJ1961" i="1" s="1"/>
  <c r="AM1961" i="1" s="1"/>
  <c r="Q1961" i="1"/>
  <c r="S1961" i="1" s="1"/>
  <c r="AG1960" i="1"/>
  <c r="AJ1960" i="1" s="1"/>
  <c r="AM1960" i="1" s="1"/>
  <c r="AB1960" i="1"/>
  <c r="Q1960" i="1"/>
  <c r="S1960" i="1" s="1"/>
  <c r="AG1959" i="1"/>
  <c r="AJ1959" i="1" s="1"/>
  <c r="AM1959" i="1" s="1"/>
  <c r="Q1959" i="1"/>
  <c r="S1959" i="1" s="1"/>
  <c r="AG1958" i="1"/>
  <c r="AJ1958" i="1" s="1"/>
  <c r="AM1958" i="1" s="1"/>
  <c r="Q1958" i="1"/>
  <c r="S1958" i="1" s="1"/>
  <c r="K1958" i="1"/>
  <c r="AG1957" i="1"/>
  <c r="AJ1957" i="1" s="1"/>
  <c r="AM1957" i="1" s="1"/>
  <c r="AB1957" i="1"/>
  <c r="Q1957" i="1"/>
  <c r="S1957" i="1" s="1"/>
  <c r="AG1956" i="1"/>
  <c r="AJ1956" i="1" s="1"/>
  <c r="AM1956" i="1" s="1"/>
  <c r="Q1956" i="1"/>
  <c r="S1956" i="1" s="1"/>
  <c r="AG1955" i="1"/>
  <c r="AJ1955" i="1" s="1"/>
  <c r="AM1955" i="1" s="1"/>
  <c r="Q1955" i="1"/>
  <c r="S1955" i="1" s="1"/>
  <c r="AN1955" i="1" s="1"/>
  <c r="AP1955" i="1" s="1"/>
  <c r="AG1954" i="1"/>
  <c r="AJ1954" i="1" s="1"/>
  <c r="AM1954" i="1" s="1"/>
  <c r="S1954" i="1"/>
  <c r="Q1954" i="1"/>
  <c r="K1954" i="1"/>
  <c r="AG1953" i="1"/>
  <c r="AJ1953" i="1" s="1"/>
  <c r="AM1953" i="1" s="1"/>
  <c r="AB1953" i="1"/>
  <c r="Q1953" i="1"/>
  <c r="S1953" i="1" s="1"/>
  <c r="AJ1952" i="1"/>
  <c r="AM1952" i="1" s="1"/>
  <c r="AG1952" i="1"/>
  <c r="Q1952" i="1"/>
  <c r="S1952" i="1" s="1"/>
  <c r="AG1951" i="1"/>
  <c r="AJ1951" i="1" s="1"/>
  <c r="AM1951" i="1" s="1"/>
  <c r="AB1951" i="1"/>
  <c r="Q1951" i="1"/>
  <c r="S1951" i="1" s="1"/>
  <c r="AN1951" i="1" s="1"/>
  <c r="AP1951" i="1" s="1"/>
  <c r="AS1950" i="1"/>
  <c r="AG1950" i="1"/>
  <c r="AJ1950" i="1" s="1"/>
  <c r="AM1950" i="1" s="1"/>
  <c r="S1950" i="1"/>
  <c r="Q1950" i="1"/>
  <c r="AG1948" i="1"/>
  <c r="AJ1948" i="1" s="1"/>
  <c r="AM1948" i="1" s="1"/>
  <c r="Q1948" i="1"/>
  <c r="S1948" i="1" s="1"/>
  <c r="K1948" i="1"/>
  <c r="AG1947" i="1"/>
  <c r="AJ1947" i="1" s="1"/>
  <c r="AM1947" i="1" s="1"/>
  <c r="Q1947" i="1"/>
  <c r="S1947" i="1" s="1"/>
  <c r="AG1946" i="1"/>
  <c r="AJ1946" i="1" s="1"/>
  <c r="AM1946" i="1" s="1"/>
  <c r="Q1946" i="1"/>
  <c r="S1946" i="1" s="1"/>
  <c r="AG1944" i="1"/>
  <c r="AJ1944" i="1" s="1"/>
  <c r="AM1944" i="1" s="1"/>
  <c r="Q1944" i="1"/>
  <c r="S1944" i="1" s="1"/>
  <c r="AG1943" i="1"/>
  <c r="AJ1943" i="1" s="1"/>
  <c r="AM1943" i="1" s="1"/>
  <c r="Q1943" i="1"/>
  <c r="S1943" i="1" s="1"/>
  <c r="K1943" i="1"/>
  <c r="AG1942" i="1"/>
  <c r="AJ1942" i="1" s="1"/>
  <c r="AM1942" i="1" s="1"/>
  <c r="Q1942" i="1"/>
  <c r="S1942" i="1" s="1"/>
  <c r="AG1941" i="1"/>
  <c r="AJ1941" i="1" s="1"/>
  <c r="AM1941" i="1" s="1"/>
  <c r="S1941" i="1"/>
  <c r="Q1941" i="1"/>
  <c r="AG1940" i="1"/>
  <c r="AJ1940" i="1" s="1"/>
  <c r="AM1940" i="1" s="1"/>
  <c r="Q1940" i="1"/>
  <c r="S1940" i="1" s="1"/>
  <c r="AG1937" i="1"/>
  <c r="AJ1937" i="1" s="1"/>
  <c r="AM1937" i="1" s="1"/>
  <c r="Q1937" i="1"/>
  <c r="S1937" i="1" s="1"/>
  <c r="AG1936" i="1"/>
  <c r="AJ1936" i="1" s="1"/>
  <c r="AM1936" i="1" s="1"/>
  <c r="Q1936" i="1"/>
  <c r="S1936" i="1" s="1"/>
  <c r="AN1936" i="1" s="1"/>
  <c r="AP1936" i="1" s="1"/>
  <c r="AG1935" i="1"/>
  <c r="AJ1935" i="1" s="1"/>
  <c r="AM1935" i="1" s="1"/>
  <c r="Q1935" i="1"/>
  <c r="S1935" i="1" s="1"/>
  <c r="AG1934" i="1"/>
  <c r="AJ1934" i="1" s="1"/>
  <c r="AM1934" i="1" s="1"/>
  <c r="Q1934" i="1"/>
  <c r="S1934" i="1" s="1"/>
  <c r="AG1933" i="1"/>
  <c r="AJ1933" i="1" s="1"/>
  <c r="AM1933" i="1" s="1"/>
  <c r="S1933" i="1"/>
  <c r="AN1933" i="1" s="1"/>
  <c r="AP1933" i="1" s="1"/>
  <c r="Q1933" i="1"/>
  <c r="AG1932" i="1"/>
  <c r="AJ1932" i="1" s="1"/>
  <c r="AM1932" i="1" s="1"/>
  <c r="Q1932" i="1"/>
  <c r="S1932" i="1" s="1"/>
  <c r="K1932" i="1"/>
  <c r="AG1931" i="1"/>
  <c r="AJ1931" i="1" s="1"/>
  <c r="AM1931" i="1" s="1"/>
  <c r="AB1931" i="1"/>
  <c r="Q1931" i="1"/>
  <c r="S1931" i="1" s="1"/>
  <c r="AG1930" i="1"/>
  <c r="AJ1930" i="1" s="1"/>
  <c r="AM1930" i="1" s="1"/>
  <c r="Q1930" i="1"/>
  <c r="S1930" i="1" s="1"/>
  <c r="AG1929" i="1"/>
  <c r="AJ1929" i="1" s="1"/>
  <c r="AM1929" i="1" s="1"/>
  <c r="Q1929" i="1"/>
  <c r="S1929" i="1" s="1"/>
  <c r="K1929" i="1"/>
  <c r="AG1927" i="1"/>
  <c r="AJ1927" i="1" s="1"/>
  <c r="AM1927" i="1" s="1"/>
  <c r="Q1927" i="1"/>
  <c r="S1927" i="1" s="1"/>
  <c r="AG1926" i="1"/>
  <c r="AJ1926" i="1" s="1"/>
  <c r="AM1926" i="1" s="1"/>
  <c r="S1926" i="1"/>
  <c r="Q1926" i="1"/>
  <c r="AG1925" i="1"/>
  <c r="AJ1925" i="1" s="1"/>
  <c r="AM1925" i="1" s="1"/>
  <c r="Q1925" i="1"/>
  <c r="S1925" i="1" s="1"/>
  <c r="AG1924" i="1"/>
  <c r="AJ1924" i="1" s="1"/>
  <c r="AM1924" i="1" s="1"/>
  <c r="Q1924" i="1"/>
  <c r="S1924" i="1" s="1"/>
  <c r="K1924" i="1"/>
  <c r="AG1923" i="1"/>
  <c r="AJ1923" i="1" s="1"/>
  <c r="AM1923" i="1" s="1"/>
  <c r="AB1923" i="1"/>
  <c r="Q1923" i="1"/>
  <c r="S1923" i="1" s="1"/>
  <c r="AN1923" i="1" s="1"/>
  <c r="AP1923" i="1" s="1"/>
  <c r="AG1919" i="1"/>
  <c r="AJ1919" i="1" s="1"/>
  <c r="AM1919" i="1" s="1"/>
  <c r="Q1919" i="1"/>
  <c r="S1919" i="1" s="1"/>
  <c r="K1919" i="1"/>
  <c r="AJ1918" i="1"/>
  <c r="AM1918" i="1" s="1"/>
  <c r="AG1918" i="1"/>
  <c r="Q1918" i="1"/>
  <c r="S1918" i="1" s="1"/>
  <c r="AJ1917" i="1"/>
  <c r="AM1917" i="1" s="1"/>
  <c r="AM1916" i="1"/>
  <c r="AJ1916" i="1"/>
  <c r="Q1915" i="1"/>
  <c r="S1915" i="1" s="1"/>
  <c r="AJ1914" i="1"/>
  <c r="AM1914" i="1" s="1"/>
  <c r="AG1914" i="1"/>
  <c r="AB1914" i="1"/>
  <c r="Q1914" i="1"/>
  <c r="S1914" i="1" s="1"/>
  <c r="AN1914" i="1" s="1"/>
  <c r="AP1914" i="1" s="1"/>
  <c r="AG1913" i="1"/>
  <c r="AJ1913" i="1" s="1"/>
  <c r="AB1913" i="1"/>
  <c r="AM1912" i="1"/>
  <c r="S1912" i="1"/>
  <c r="Q1912" i="1"/>
  <c r="Q1911" i="1"/>
  <c r="AS1910" i="1"/>
  <c r="AG1910" i="1"/>
  <c r="AJ1910" i="1" s="1"/>
  <c r="AM1910" i="1" s="1"/>
  <c r="Q1910" i="1"/>
  <c r="S1910" i="1" s="1"/>
  <c r="AG1909" i="1"/>
  <c r="AJ1909" i="1" s="1"/>
  <c r="AM1909" i="1" s="1"/>
  <c r="Q1909" i="1"/>
  <c r="S1909" i="1" s="1"/>
  <c r="AJ1908" i="1"/>
  <c r="AM1908" i="1" s="1"/>
  <c r="AN1907" i="1"/>
  <c r="AP1907" i="1" s="1"/>
  <c r="AG1907" i="1"/>
  <c r="AJ1907" i="1" s="1"/>
  <c r="AM1907" i="1" s="1"/>
  <c r="AB1907" i="1"/>
  <c r="AG1906" i="1"/>
  <c r="AJ1906" i="1" s="1"/>
  <c r="AM1906" i="1" s="1"/>
  <c r="AN1906" i="1" s="1"/>
  <c r="AP1906" i="1" s="1"/>
  <c r="AB1906" i="1"/>
  <c r="AG1905" i="1"/>
  <c r="AJ1905" i="1" s="1"/>
  <c r="AM1905" i="1" s="1"/>
  <c r="AE1905" i="1"/>
  <c r="AB1905" i="1"/>
  <c r="Q1905" i="1"/>
  <c r="S1905" i="1" s="1"/>
  <c r="AG1904" i="1"/>
  <c r="AJ1904" i="1" s="1"/>
  <c r="AM1904" i="1" s="1"/>
  <c r="Q1904" i="1"/>
  <c r="S1904" i="1" s="1"/>
  <c r="AN1904" i="1" s="1"/>
  <c r="AP1904" i="1" s="1"/>
  <c r="AG1903" i="1"/>
  <c r="AJ1903" i="1" s="1"/>
  <c r="AM1903" i="1" s="1"/>
  <c r="Q1903" i="1"/>
  <c r="S1903" i="1" s="1"/>
  <c r="AG1902" i="1"/>
  <c r="AJ1902" i="1" s="1"/>
  <c r="AM1902" i="1" s="1"/>
  <c r="AB1902" i="1"/>
  <c r="S1902" i="1"/>
  <c r="Q1902" i="1"/>
  <c r="AG1901" i="1"/>
  <c r="AJ1901" i="1" s="1"/>
  <c r="AM1901" i="1" s="1"/>
  <c r="Q1901" i="1"/>
  <c r="S1901" i="1" s="1"/>
  <c r="AN1901" i="1" s="1"/>
  <c r="AP1901" i="1" s="1"/>
  <c r="K1901" i="1"/>
  <c r="AG1900" i="1"/>
  <c r="AJ1900" i="1" s="1"/>
  <c r="AM1900" i="1" s="1"/>
  <c r="AB1900" i="1"/>
  <c r="Q1900" i="1"/>
  <c r="S1900" i="1" s="1"/>
  <c r="K1900" i="1"/>
  <c r="AG1899" i="1"/>
  <c r="AJ1899" i="1" s="1"/>
  <c r="AM1899" i="1" s="1"/>
  <c r="Q1899" i="1"/>
  <c r="S1899" i="1" s="1"/>
  <c r="AG1898" i="1"/>
  <c r="AJ1898" i="1" s="1"/>
  <c r="AM1898" i="1" s="1"/>
  <c r="AB1898" i="1"/>
  <c r="Q1898" i="1"/>
  <c r="S1898" i="1" s="1"/>
  <c r="AG1897" i="1"/>
  <c r="AJ1897" i="1" s="1"/>
  <c r="AM1897" i="1" s="1"/>
  <c r="AB1897" i="1"/>
  <c r="Q1897" i="1"/>
  <c r="S1897" i="1" s="1"/>
  <c r="L1897" i="1"/>
  <c r="K1897" i="1" s="1"/>
  <c r="AG1896" i="1"/>
  <c r="AJ1896" i="1" s="1"/>
  <c r="AM1896" i="1" s="1"/>
  <c r="S1896" i="1"/>
  <c r="AN1896" i="1" s="1"/>
  <c r="AP1896" i="1" s="1"/>
  <c r="Q1896" i="1"/>
  <c r="K1896" i="1"/>
  <c r="AG1895" i="1"/>
  <c r="AJ1895" i="1" s="1"/>
  <c r="AM1895" i="1" s="1"/>
  <c r="AB1895" i="1"/>
  <c r="Q1895" i="1"/>
  <c r="S1895" i="1" s="1"/>
  <c r="AG1894" i="1"/>
  <c r="AJ1894" i="1" s="1"/>
  <c r="AM1894" i="1" s="1"/>
  <c r="Q1894" i="1"/>
  <c r="S1894" i="1" s="1"/>
  <c r="AG1893" i="1"/>
  <c r="AJ1893" i="1" s="1"/>
  <c r="AM1893" i="1" s="1"/>
  <c r="AB1893" i="1"/>
  <c r="Q1893" i="1"/>
  <c r="S1893" i="1" s="1"/>
  <c r="AG1892" i="1"/>
  <c r="AJ1892" i="1" s="1"/>
  <c r="AM1892" i="1" s="1"/>
  <c r="Q1892" i="1"/>
  <c r="S1892" i="1" s="1"/>
  <c r="AJ1891" i="1"/>
  <c r="AM1891" i="1" s="1"/>
  <c r="AG1891" i="1"/>
  <c r="S1891" i="1"/>
  <c r="Q1891" i="1"/>
  <c r="AG1890" i="1"/>
  <c r="AJ1890" i="1" s="1"/>
  <c r="AM1890" i="1" s="1"/>
  <c r="AB1890" i="1"/>
  <c r="S1890" i="1"/>
  <c r="Q1890" i="1"/>
  <c r="L1890" i="1"/>
  <c r="K1890" i="1" s="1"/>
  <c r="AG1889" i="1"/>
  <c r="AJ1889" i="1" s="1"/>
  <c r="AM1889" i="1" s="1"/>
  <c r="AB1889" i="1"/>
  <c r="Q1889" i="1"/>
  <c r="S1889" i="1" s="1"/>
  <c r="L1889" i="1"/>
  <c r="K1889" i="1" s="1"/>
  <c r="AG1888" i="1"/>
  <c r="AJ1888" i="1" s="1"/>
  <c r="AM1888" i="1" s="1"/>
  <c r="Q1888" i="1"/>
  <c r="S1888" i="1" s="1"/>
  <c r="AG1887" i="1"/>
  <c r="AJ1887" i="1" s="1"/>
  <c r="AM1887" i="1" s="1"/>
  <c r="Q1887" i="1"/>
  <c r="S1887" i="1" s="1"/>
  <c r="K1887" i="1"/>
  <c r="AG1886" i="1"/>
  <c r="AJ1886" i="1" s="1"/>
  <c r="AM1886" i="1" s="1"/>
  <c r="Q1886" i="1"/>
  <c r="S1886" i="1" s="1"/>
  <c r="AG1885" i="1"/>
  <c r="AJ1885" i="1" s="1"/>
  <c r="AM1885" i="1" s="1"/>
  <c r="Q1885" i="1"/>
  <c r="S1885" i="1" s="1"/>
  <c r="AJ1884" i="1"/>
  <c r="AM1884" i="1" s="1"/>
  <c r="AG1884" i="1"/>
  <c r="Q1884" i="1"/>
  <c r="S1884" i="1" s="1"/>
  <c r="AG1883" i="1"/>
  <c r="AJ1883" i="1" s="1"/>
  <c r="AM1883" i="1" s="1"/>
  <c r="Q1883" i="1"/>
  <c r="S1883" i="1" s="1"/>
  <c r="AG1882" i="1"/>
  <c r="AJ1882" i="1" s="1"/>
  <c r="AM1882" i="1" s="1"/>
  <c r="Q1882" i="1"/>
  <c r="S1882" i="1" s="1"/>
  <c r="AG1881" i="1"/>
  <c r="AJ1881" i="1" s="1"/>
  <c r="AM1881" i="1" s="1"/>
  <c r="Q1881" i="1"/>
  <c r="S1881" i="1" s="1"/>
  <c r="AG1880" i="1"/>
  <c r="AJ1880" i="1" s="1"/>
  <c r="AM1880" i="1" s="1"/>
  <c r="Q1880" i="1"/>
  <c r="S1880" i="1" s="1"/>
  <c r="AG1879" i="1"/>
  <c r="AJ1879" i="1" s="1"/>
  <c r="AM1879" i="1" s="1"/>
  <c r="Q1879" i="1"/>
  <c r="S1879" i="1" s="1"/>
  <c r="K1879" i="1"/>
  <c r="AG1878" i="1"/>
  <c r="AJ1878" i="1" s="1"/>
  <c r="AM1878" i="1" s="1"/>
  <c r="AB1878" i="1"/>
  <c r="Q1878" i="1"/>
  <c r="S1878" i="1" s="1"/>
  <c r="AN1878" i="1" s="1"/>
  <c r="AP1878" i="1" s="1"/>
  <c r="AG1877" i="1"/>
  <c r="AJ1877" i="1" s="1"/>
  <c r="AM1877" i="1" s="1"/>
  <c r="Q1877" i="1"/>
  <c r="S1877" i="1" s="1"/>
  <c r="AN1877" i="1" s="1"/>
  <c r="AP1877" i="1" s="1"/>
  <c r="K1877" i="1"/>
  <c r="AG1876" i="1"/>
  <c r="AJ1876" i="1" s="1"/>
  <c r="AM1876" i="1" s="1"/>
  <c r="Q1876" i="1"/>
  <c r="S1876" i="1" s="1"/>
  <c r="AJ1875" i="1"/>
  <c r="AM1875" i="1" s="1"/>
  <c r="AJ1874" i="1"/>
  <c r="AM1874" i="1" s="1"/>
  <c r="AJ1873" i="1"/>
  <c r="AM1873" i="1" s="1"/>
  <c r="AJ1872" i="1"/>
  <c r="AM1872" i="1" s="1"/>
  <c r="AE1872" i="1"/>
  <c r="AJ1871" i="1"/>
  <c r="AM1871" i="1" s="1"/>
  <c r="AM1870" i="1"/>
  <c r="AJ1870" i="1"/>
  <c r="AE1870" i="1"/>
  <c r="AJ1869" i="1"/>
  <c r="AM1869" i="1" s="1"/>
  <c r="AE1869" i="1"/>
  <c r="AJ1868" i="1"/>
  <c r="AM1868" i="1" s="1"/>
  <c r="AE1868" i="1"/>
  <c r="AB1868" i="1"/>
  <c r="AJ1867" i="1"/>
  <c r="AM1867" i="1" s="1"/>
  <c r="Q1867" i="1"/>
  <c r="S1867" i="1" s="1"/>
  <c r="AG1865" i="1"/>
  <c r="AJ1865" i="1" s="1"/>
  <c r="AM1865" i="1" s="1"/>
  <c r="Q1865" i="1"/>
  <c r="S1865" i="1" s="1"/>
  <c r="K1865" i="1"/>
  <c r="AG1864" i="1"/>
  <c r="AJ1864" i="1" s="1"/>
  <c r="AM1864" i="1" s="1"/>
  <c r="Q1864" i="1"/>
  <c r="S1864" i="1" s="1"/>
  <c r="K1864" i="1"/>
  <c r="AG1863" i="1"/>
  <c r="AJ1863" i="1" s="1"/>
  <c r="AM1863" i="1" s="1"/>
  <c r="Q1863" i="1"/>
  <c r="S1863" i="1" s="1"/>
  <c r="AG1862" i="1"/>
  <c r="AJ1862" i="1" s="1"/>
  <c r="AM1862" i="1" s="1"/>
  <c r="Q1862" i="1"/>
  <c r="S1862" i="1" s="1"/>
  <c r="AJ1861" i="1"/>
  <c r="AM1861" i="1" s="1"/>
  <c r="AG1861" i="1"/>
  <c r="Q1861" i="1"/>
  <c r="S1861" i="1" s="1"/>
  <c r="AG1860" i="1"/>
  <c r="AJ1860" i="1" s="1"/>
  <c r="AM1860" i="1" s="1"/>
  <c r="Q1860" i="1"/>
  <c r="S1860" i="1" s="1"/>
  <c r="AG1859" i="1"/>
  <c r="AJ1859" i="1" s="1"/>
  <c r="AM1859" i="1" s="1"/>
  <c r="Q1859" i="1"/>
  <c r="S1859" i="1" s="1"/>
  <c r="AG1858" i="1"/>
  <c r="AJ1858" i="1" s="1"/>
  <c r="AM1858" i="1" s="1"/>
  <c r="Q1858" i="1"/>
  <c r="S1858" i="1" s="1"/>
  <c r="Y1857" i="1"/>
  <c r="AG1857" i="1" s="1"/>
  <c r="AJ1857" i="1" s="1"/>
  <c r="AM1857" i="1" s="1"/>
  <c r="Q1857" i="1"/>
  <c r="S1857" i="1" s="1"/>
  <c r="AG1856" i="1"/>
  <c r="AJ1856" i="1" s="1"/>
  <c r="AM1856" i="1" s="1"/>
  <c r="Q1856" i="1"/>
  <c r="S1856" i="1" s="1"/>
  <c r="AG1855" i="1"/>
  <c r="AJ1855" i="1" s="1"/>
  <c r="AM1855" i="1" s="1"/>
  <c r="W1855" i="1"/>
  <c r="Q1855" i="1"/>
  <c r="S1855" i="1" s="1"/>
  <c r="AG1854" i="1"/>
  <c r="AJ1854" i="1" s="1"/>
  <c r="AM1854" i="1" s="1"/>
  <c r="Q1854" i="1"/>
  <c r="S1854" i="1" s="1"/>
  <c r="AN1854" i="1" s="1"/>
  <c r="AP1854" i="1" s="1"/>
  <c r="AG1853" i="1"/>
  <c r="AJ1853" i="1" s="1"/>
  <c r="AM1853" i="1" s="1"/>
  <c r="Q1853" i="1"/>
  <c r="S1853" i="1" s="1"/>
  <c r="Q1852" i="1"/>
  <c r="S1852" i="1" s="1"/>
  <c r="Q1851" i="1"/>
  <c r="S1851" i="1" s="1"/>
  <c r="AG1850" i="1"/>
  <c r="AJ1850" i="1" s="1"/>
  <c r="AM1850" i="1" s="1"/>
  <c r="Q1850" i="1"/>
  <c r="S1850" i="1" s="1"/>
  <c r="AG1849" i="1"/>
  <c r="AJ1849" i="1" s="1"/>
  <c r="AM1849" i="1" s="1"/>
  <c r="W1849" i="1"/>
  <c r="Q1849" i="1"/>
  <c r="S1849" i="1" s="1"/>
  <c r="AG1847" i="1"/>
  <c r="AJ1847" i="1" s="1"/>
  <c r="AM1847" i="1" s="1"/>
  <c r="Q1847" i="1"/>
  <c r="S1847" i="1" s="1"/>
  <c r="AG1846" i="1"/>
  <c r="AJ1846" i="1" s="1"/>
  <c r="AM1846" i="1" s="1"/>
  <c r="Q1846" i="1"/>
  <c r="S1846" i="1" s="1"/>
  <c r="AG1845" i="1"/>
  <c r="AJ1845" i="1" s="1"/>
  <c r="AM1845" i="1" s="1"/>
  <c r="Q1845" i="1"/>
  <c r="S1845" i="1" s="1"/>
  <c r="AG1844" i="1"/>
  <c r="AJ1844" i="1" s="1"/>
  <c r="AM1844" i="1" s="1"/>
  <c r="Q1844" i="1"/>
  <c r="S1844" i="1" s="1"/>
  <c r="AG1843" i="1"/>
  <c r="AJ1843" i="1" s="1"/>
  <c r="AM1843" i="1" s="1"/>
  <c r="Q1843" i="1"/>
  <c r="S1843" i="1" s="1"/>
  <c r="AG1842" i="1"/>
  <c r="AJ1842" i="1" s="1"/>
  <c r="AM1842" i="1" s="1"/>
  <c r="AB1842" i="1"/>
  <c r="Q1842" i="1"/>
  <c r="S1842" i="1" s="1"/>
  <c r="AG1841" i="1"/>
  <c r="AJ1841" i="1" s="1"/>
  <c r="AM1841" i="1" s="1"/>
  <c r="Q1841" i="1"/>
  <c r="S1841" i="1" s="1"/>
  <c r="AG1840" i="1"/>
  <c r="AJ1840" i="1" s="1"/>
  <c r="AM1840" i="1" s="1"/>
  <c r="Q1840" i="1"/>
  <c r="S1840" i="1" s="1"/>
  <c r="AG1839" i="1"/>
  <c r="AJ1839" i="1" s="1"/>
  <c r="AM1839" i="1" s="1"/>
  <c r="Q1839" i="1"/>
  <c r="S1839" i="1" s="1"/>
  <c r="AG1838" i="1"/>
  <c r="AJ1838" i="1" s="1"/>
  <c r="AM1838" i="1" s="1"/>
  <c r="AB1838" i="1"/>
  <c r="Q1838" i="1"/>
  <c r="S1838" i="1" s="1"/>
  <c r="AG1837" i="1"/>
  <c r="AJ1837" i="1" s="1"/>
  <c r="AM1837" i="1" s="1"/>
  <c r="Q1837" i="1"/>
  <c r="S1837" i="1" s="1"/>
  <c r="K1837" i="1"/>
  <c r="AG1836" i="1"/>
  <c r="AJ1836" i="1" s="1"/>
  <c r="AM1836" i="1" s="1"/>
  <c r="Q1836" i="1"/>
  <c r="S1836" i="1" s="1"/>
  <c r="AN1836" i="1" s="1"/>
  <c r="AP1836" i="1" s="1"/>
  <c r="AG1835" i="1"/>
  <c r="AJ1835" i="1" s="1"/>
  <c r="AM1835" i="1" s="1"/>
  <c r="AB1835" i="1"/>
  <c r="Q1835" i="1"/>
  <c r="S1835" i="1" s="1"/>
  <c r="AG1834" i="1"/>
  <c r="AJ1834" i="1" s="1"/>
  <c r="AM1834" i="1" s="1"/>
  <c r="S1834" i="1"/>
  <c r="Q1834" i="1"/>
  <c r="AG1833" i="1"/>
  <c r="AJ1833" i="1" s="1"/>
  <c r="AM1833" i="1" s="1"/>
  <c r="S1833" i="1"/>
  <c r="Q1833" i="1"/>
  <c r="AG1832" i="1"/>
  <c r="AJ1832" i="1" s="1"/>
  <c r="AM1832" i="1" s="1"/>
  <c r="Q1832" i="1"/>
  <c r="S1832" i="1" s="1"/>
  <c r="AN1832" i="1" s="1"/>
  <c r="AP1832" i="1" s="1"/>
  <c r="K1832" i="1"/>
  <c r="AG1831" i="1"/>
  <c r="AJ1831" i="1" s="1"/>
  <c r="AM1831" i="1" s="1"/>
  <c r="Q1831" i="1"/>
  <c r="S1831" i="1" s="1"/>
  <c r="AG1830" i="1"/>
  <c r="AJ1830" i="1" s="1"/>
  <c r="AM1830" i="1" s="1"/>
  <c r="Q1830" i="1"/>
  <c r="S1830" i="1" s="1"/>
  <c r="AG1829" i="1"/>
  <c r="AJ1829" i="1" s="1"/>
  <c r="AM1829" i="1" s="1"/>
  <c r="AB1829" i="1"/>
  <c r="Q1829" i="1"/>
  <c r="S1829" i="1" s="1"/>
  <c r="AJ1828" i="1"/>
  <c r="AM1828" i="1" s="1"/>
  <c r="AG1828" i="1"/>
  <c r="Q1828" i="1"/>
  <c r="S1828" i="1" s="1"/>
  <c r="AG1827" i="1"/>
  <c r="AJ1827" i="1" s="1"/>
  <c r="AM1827" i="1" s="1"/>
  <c r="Q1827" i="1"/>
  <c r="S1827" i="1" s="1"/>
  <c r="AG1826" i="1"/>
  <c r="AJ1826" i="1" s="1"/>
  <c r="AM1826" i="1" s="1"/>
  <c r="Q1826" i="1"/>
  <c r="S1826" i="1" s="1"/>
  <c r="AG1825" i="1"/>
  <c r="AJ1825" i="1" s="1"/>
  <c r="AM1825" i="1" s="1"/>
  <c r="Q1825" i="1"/>
  <c r="S1825" i="1" s="1"/>
  <c r="AG1824" i="1"/>
  <c r="AJ1824" i="1" s="1"/>
  <c r="AM1824" i="1" s="1"/>
  <c r="Q1824" i="1"/>
  <c r="S1824" i="1" s="1"/>
  <c r="AG1823" i="1"/>
  <c r="AJ1823" i="1" s="1"/>
  <c r="AM1823" i="1" s="1"/>
  <c r="Q1823" i="1"/>
  <c r="S1823" i="1" s="1"/>
  <c r="AG1822" i="1"/>
  <c r="AJ1822" i="1" s="1"/>
  <c r="AM1822" i="1" s="1"/>
  <c r="Q1822" i="1"/>
  <c r="S1822" i="1" s="1"/>
  <c r="AG1821" i="1"/>
  <c r="AJ1821" i="1" s="1"/>
  <c r="AM1821" i="1" s="1"/>
  <c r="Q1821" i="1"/>
  <c r="S1821" i="1" s="1"/>
  <c r="AG1820" i="1"/>
  <c r="AJ1820" i="1" s="1"/>
  <c r="AM1820" i="1" s="1"/>
  <c r="Q1820" i="1"/>
  <c r="S1820" i="1" s="1"/>
  <c r="AM1819" i="1"/>
  <c r="AG1819" i="1"/>
  <c r="AJ1819" i="1" s="1"/>
  <c r="AB1819" i="1"/>
  <c r="Q1819" i="1"/>
  <c r="S1819" i="1" s="1"/>
  <c r="AG1818" i="1"/>
  <c r="AJ1818" i="1" s="1"/>
  <c r="AM1818" i="1" s="1"/>
  <c r="Q1818" i="1"/>
  <c r="S1818" i="1" s="1"/>
  <c r="AG1817" i="1"/>
  <c r="AJ1817" i="1" s="1"/>
  <c r="AM1817" i="1" s="1"/>
  <c r="AB1817" i="1"/>
  <c r="Q1817" i="1"/>
  <c r="S1817" i="1" s="1"/>
  <c r="AG1816" i="1"/>
  <c r="AJ1816" i="1" s="1"/>
  <c r="AM1816" i="1" s="1"/>
  <c r="Q1816" i="1"/>
  <c r="S1816" i="1" s="1"/>
  <c r="AG1815" i="1"/>
  <c r="AJ1815" i="1" s="1"/>
  <c r="AM1815" i="1" s="1"/>
  <c r="S1815" i="1"/>
  <c r="Q1815" i="1"/>
  <c r="AG1814" i="1"/>
  <c r="AJ1814" i="1" s="1"/>
  <c r="AM1814" i="1" s="1"/>
  <c r="Q1814" i="1"/>
  <c r="S1814" i="1" s="1"/>
  <c r="AJ1813" i="1"/>
  <c r="AM1813" i="1" s="1"/>
  <c r="AG1813" i="1"/>
  <c r="AB1813" i="1"/>
  <c r="Q1813" i="1"/>
  <c r="S1813" i="1" s="1"/>
  <c r="AK1812" i="1"/>
  <c r="AJ1812" i="1"/>
  <c r="AM1812" i="1" s="1"/>
  <c r="Q1812" i="1"/>
  <c r="S1812" i="1" s="1"/>
  <c r="AK1811" i="1"/>
  <c r="AJ1811" i="1"/>
  <c r="AM1811" i="1" s="1"/>
  <c r="Q1811" i="1"/>
  <c r="S1811" i="1" s="1"/>
  <c r="AG1810" i="1"/>
  <c r="AJ1810" i="1" s="1"/>
  <c r="AM1810" i="1" s="1"/>
  <c r="Q1810" i="1"/>
  <c r="S1810" i="1" s="1"/>
  <c r="AG1809" i="1"/>
  <c r="AJ1809" i="1" s="1"/>
  <c r="AM1809" i="1" s="1"/>
  <c r="AB1809" i="1"/>
  <c r="Q1809" i="1"/>
  <c r="S1809" i="1" s="1"/>
  <c r="AG1808" i="1"/>
  <c r="AJ1808" i="1" s="1"/>
  <c r="AM1808" i="1" s="1"/>
  <c r="Q1808" i="1"/>
  <c r="S1808" i="1" s="1"/>
  <c r="AG1807" i="1"/>
  <c r="AJ1807" i="1" s="1"/>
  <c r="AM1807" i="1" s="1"/>
  <c r="AB1807" i="1"/>
  <c r="Q1807" i="1"/>
  <c r="S1807" i="1" s="1"/>
  <c r="AG1806" i="1"/>
  <c r="AJ1806" i="1" s="1"/>
  <c r="AM1806" i="1" s="1"/>
  <c r="AB1806" i="1"/>
  <c r="Q1806" i="1"/>
  <c r="S1806" i="1" s="1"/>
  <c r="L1806" i="1"/>
  <c r="K1806" i="1" s="1"/>
  <c r="AM1805" i="1"/>
  <c r="AG1805" i="1"/>
  <c r="AJ1805" i="1" s="1"/>
  <c r="Q1805" i="1"/>
  <c r="S1805" i="1" s="1"/>
  <c r="AJ1804" i="1"/>
  <c r="AM1804" i="1" s="1"/>
  <c r="AG1804" i="1"/>
  <c r="AB1804" i="1"/>
  <c r="Q1804" i="1"/>
  <c r="S1804" i="1" s="1"/>
  <c r="AG1803" i="1"/>
  <c r="AJ1803" i="1" s="1"/>
  <c r="AM1803" i="1" s="1"/>
  <c r="Q1803" i="1"/>
  <c r="S1803" i="1" s="1"/>
  <c r="AG1802" i="1"/>
  <c r="AJ1802" i="1" s="1"/>
  <c r="AM1802" i="1" s="1"/>
  <c r="Q1802" i="1"/>
  <c r="S1802" i="1" s="1"/>
  <c r="AG1800" i="1"/>
  <c r="AJ1800" i="1" s="1"/>
  <c r="AM1800" i="1" s="1"/>
  <c r="AB1800" i="1"/>
  <c r="Q1800" i="1"/>
  <c r="S1800" i="1" s="1"/>
  <c r="AG1799" i="1"/>
  <c r="AJ1799" i="1" s="1"/>
  <c r="AM1799" i="1" s="1"/>
  <c r="AB1799" i="1"/>
  <c r="Q1799" i="1"/>
  <c r="S1799" i="1" s="1"/>
  <c r="AG1798" i="1"/>
  <c r="AJ1798" i="1" s="1"/>
  <c r="AM1798" i="1" s="1"/>
  <c r="AB1798" i="1"/>
  <c r="Q1798" i="1"/>
  <c r="S1798" i="1" s="1"/>
  <c r="L1798" i="1"/>
  <c r="K1798" i="1" s="1"/>
  <c r="AG1797" i="1"/>
  <c r="AJ1797" i="1" s="1"/>
  <c r="AM1797" i="1" s="1"/>
  <c r="Q1797" i="1"/>
  <c r="S1797" i="1" s="1"/>
  <c r="AG1796" i="1"/>
  <c r="AJ1796" i="1" s="1"/>
  <c r="AM1796" i="1" s="1"/>
  <c r="S1796" i="1"/>
  <c r="Q1796" i="1"/>
  <c r="AG1795" i="1"/>
  <c r="AJ1795" i="1" s="1"/>
  <c r="AM1795" i="1" s="1"/>
  <c r="Q1795" i="1"/>
  <c r="S1795" i="1" s="1"/>
  <c r="AG1794" i="1"/>
  <c r="AJ1794" i="1" s="1"/>
  <c r="AM1794" i="1" s="1"/>
  <c r="Q1794" i="1"/>
  <c r="S1794" i="1" s="1"/>
  <c r="AG1793" i="1"/>
  <c r="AJ1793" i="1" s="1"/>
  <c r="AM1793" i="1" s="1"/>
  <c r="Q1793" i="1"/>
  <c r="S1793" i="1" s="1"/>
  <c r="K1793" i="1"/>
  <c r="AG1792" i="1"/>
  <c r="AJ1792" i="1" s="1"/>
  <c r="AM1792" i="1" s="1"/>
  <c r="Q1792" i="1"/>
  <c r="S1792" i="1" s="1"/>
  <c r="AJ1791" i="1"/>
  <c r="AM1791" i="1" s="1"/>
  <c r="AG1791" i="1"/>
  <c r="AB1791" i="1"/>
  <c r="Q1791" i="1"/>
  <c r="S1791" i="1" s="1"/>
  <c r="L1791" i="1"/>
  <c r="K1791" i="1" s="1"/>
  <c r="AG1790" i="1"/>
  <c r="AJ1790" i="1" s="1"/>
  <c r="AM1790" i="1" s="1"/>
  <c r="Q1790" i="1"/>
  <c r="S1790" i="1" s="1"/>
  <c r="K1790" i="1"/>
  <c r="AJ1789" i="1"/>
  <c r="AM1789" i="1" s="1"/>
  <c r="AG1789" i="1"/>
  <c r="Q1789" i="1"/>
  <c r="S1789" i="1" s="1"/>
  <c r="AG1788" i="1"/>
  <c r="AJ1788" i="1" s="1"/>
  <c r="AM1788" i="1" s="1"/>
  <c r="AB1788" i="1"/>
  <c r="Q1788" i="1"/>
  <c r="S1788" i="1" s="1"/>
  <c r="AG1787" i="1"/>
  <c r="AJ1787" i="1" s="1"/>
  <c r="AM1787" i="1" s="1"/>
  <c r="Q1787" i="1"/>
  <c r="S1787" i="1" s="1"/>
  <c r="AJ1786" i="1"/>
  <c r="AM1786" i="1" s="1"/>
  <c r="AG1786" i="1"/>
  <c r="Q1786" i="1"/>
  <c r="S1786" i="1" s="1"/>
  <c r="AG1785" i="1"/>
  <c r="AJ1785" i="1" s="1"/>
  <c r="AM1785" i="1" s="1"/>
  <c r="Q1785" i="1"/>
  <c r="S1785" i="1" s="1"/>
  <c r="AG1784" i="1"/>
  <c r="AJ1784" i="1" s="1"/>
  <c r="AM1784" i="1" s="1"/>
  <c r="Q1784" i="1"/>
  <c r="S1784" i="1" s="1"/>
  <c r="AN1784" i="1" s="1"/>
  <c r="AP1784" i="1" s="1"/>
  <c r="AG1782" i="1"/>
  <c r="AJ1782" i="1" s="1"/>
  <c r="AM1782" i="1" s="1"/>
  <c r="Q1782" i="1"/>
  <c r="S1782" i="1" s="1"/>
  <c r="AJ1781" i="1"/>
  <c r="AM1781" i="1" s="1"/>
  <c r="AG1781" i="1"/>
  <c r="Q1781" i="1"/>
  <c r="S1781" i="1" s="1"/>
  <c r="AG1780" i="1"/>
  <c r="AJ1780" i="1" s="1"/>
  <c r="AM1780" i="1" s="1"/>
  <c r="AB1780" i="1"/>
  <c r="Q1780" i="1"/>
  <c r="S1780" i="1" s="1"/>
  <c r="AN1780" i="1" s="1"/>
  <c r="AP1780" i="1" s="1"/>
  <c r="AG1779" i="1"/>
  <c r="AJ1779" i="1" s="1"/>
  <c r="AM1779" i="1" s="1"/>
  <c r="Q1779" i="1"/>
  <c r="S1779" i="1" s="1"/>
  <c r="AG1778" i="1"/>
  <c r="AJ1778" i="1" s="1"/>
  <c r="AM1778" i="1" s="1"/>
  <c r="Q1778" i="1"/>
  <c r="S1778" i="1" s="1"/>
  <c r="AN1778" i="1" s="1"/>
  <c r="AP1778" i="1" s="1"/>
  <c r="AG1777" i="1"/>
  <c r="AJ1777" i="1" s="1"/>
  <c r="AM1777" i="1" s="1"/>
  <c r="Q1777" i="1"/>
  <c r="S1777" i="1" s="1"/>
  <c r="AG1776" i="1"/>
  <c r="AJ1776" i="1" s="1"/>
  <c r="AM1776" i="1" s="1"/>
  <c r="Q1776" i="1"/>
  <c r="S1776" i="1" s="1"/>
  <c r="AN1776" i="1" s="1"/>
  <c r="AP1776" i="1" s="1"/>
  <c r="AG1775" i="1"/>
  <c r="AJ1775" i="1" s="1"/>
  <c r="AM1775" i="1" s="1"/>
  <c r="Q1775" i="1"/>
  <c r="S1775" i="1" s="1"/>
  <c r="AG1774" i="1"/>
  <c r="AJ1774" i="1" s="1"/>
  <c r="AM1774" i="1" s="1"/>
  <c r="Q1774" i="1"/>
  <c r="S1774" i="1" s="1"/>
  <c r="AN1774" i="1" s="1"/>
  <c r="AP1774" i="1" s="1"/>
  <c r="AG1773" i="1"/>
  <c r="AJ1773" i="1" s="1"/>
  <c r="AM1773" i="1" s="1"/>
  <c r="Q1773" i="1"/>
  <c r="S1773" i="1" s="1"/>
  <c r="K1773" i="1"/>
  <c r="AG1772" i="1"/>
  <c r="AJ1772" i="1" s="1"/>
  <c r="AM1772" i="1" s="1"/>
  <c r="Q1772" i="1"/>
  <c r="S1772" i="1" s="1"/>
  <c r="AG1771" i="1"/>
  <c r="AJ1771" i="1" s="1"/>
  <c r="AM1771" i="1" s="1"/>
  <c r="S1771" i="1"/>
  <c r="Q1771" i="1"/>
  <c r="AB1770" i="1"/>
  <c r="Y1770" i="1"/>
  <c r="AG1770" i="1" s="1"/>
  <c r="AJ1770" i="1" s="1"/>
  <c r="AM1770" i="1" s="1"/>
  <c r="Q1770" i="1"/>
  <c r="S1770" i="1" s="1"/>
  <c r="AG1769" i="1"/>
  <c r="AJ1769" i="1" s="1"/>
  <c r="AM1769" i="1" s="1"/>
  <c r="Q1769" i="1"/>
  <c r="S1769" i="1" s="1"/>
  <c r="AG1768" i="1"/>
  <c r="AJ1768" i="1" s="1"/>
  <c r="AM1768" i="1" s="1"/>
  <c r="S1768" i="1"/>
  <c r="Q1768" i="1"/>
  <c r="AG1767" i="1"/>
  <c r="AJ1767" i="1" s="1"/>
  <c r="AM1767" i="1" s="1"/>
  <c r="AB1767" i="1"/>
  <c r="Q1767" i="1"/>
  <c r="S1767" i="1" s="1"/>
  <c r="AG1766" i="1"/>
  <c r="AJ1766" i="1" s="1"/>
  <c r="AM1766" i="1" s="1"/>
  <c r="Q1766" i="1"/>
  <c r="S1766" i="1" s="1"/>
  <c r="K1766" i="1"/>
  <c r="AG1765" i="1"/>
  <c r="AJ1765" i="1" s="1"/>
  <c r="AM1765" i="1" s="1"/>
  <c r="Q1765" i="1"/>
  <c r="S1765" i="1" s="1"/>
  <c r="AN1765" i="1" s="1"/>
  <c r="AP1765" i="1" s="1"/>
  <c r="AG1764" i="1"/>
  <c r="AJ1764" i="1" s="1"/>
  <c r="AM1764" i="1" s="1"/>
  <c r="AB1764" i="1"/>
  <c r="Q1764" i="1"/>
  <c r="S1764" i="1" s="1"/>
  <c r="AG1763" i="1"/>
  <c r="AJ1763" i="1" s="1"/>
  <c r="AM1763" i="1" s="1"/>
  <c r="Q1763" i="1"/>
  <c r="S1763" i="1" s="1"/>
  <c r="AG1762" i="1"/>
  <c r="AJ1762" i="1" s="1"/>
  <c r="AM1762" i="1" s="1"/>
  <c r="Q1762" i="1"/>
  <c r="S1762" i="1" s="1"/>
  <c r="AG1761" i="1"/>
  <c r="AJ1761" i="1" s="1"/>
  <c r="AM1761" i="1" s="1"/>
  <c r="Q1761" i="1"/>
  <c r="S1761" i="1" s="1"/>
  <c r="AM1760" i="1"/>
  <c r="AG1760" i="1"/>
  <c r="AJ1760" i="1" s="1"/>
  <c r="Q1760" i="1"/>
  <c r="S1760" i="1" s="1"/>
  <c r="AG1759" i="1"/>
  <c r="AJ1759" i="1" s="1"/>
  <c r="AM1759" i="1" s="1"/>
  <c r="Q1759" i="1"/>
  <c r="S1759" i="1" s="1"/>
  <c r="K1759" i="1"/>
  <c r="AG1758" i="1"/>
  <c r="AJ1758" i="1" s="1"/>
  <c r="AM1758" i="1" s="1"/>
  <c r="Q1758" i="1"/>
  <c r="S1758" i="1" s="1"/>
  <c r="AG1757" i="1"/>
  <c r="AJ1757" i="1" s="1"/>
  <c r="AM1757" i="1" s="1"/>
  <c r="Q1757" i="1"/>
  <c r="S1757" i="1" s="1"/>
  <c r="AG1756" i="1"/>
  <c r="AJ1756" i="1" s="1"/>
  <c r="AM1756" i="1" s="1"/>
  <c r="Q1756" i="1"/>
  <c r="S1756" i="1" s="1"/>
  <c r="AG1755" i="1"/>
  <c r="AJ1755" i="1" s="1"/>
  <c r="AM1755" i="1" s="1"/>
  <c r="Q1755" i="1"/>
  <c r="S1755" i="1" s="1"/>
  <c r="AG1754" i="1"/>
  <c r="AJ1754" i="1" s="1"/>
  <c r="AM1754" i="1" s="1"/>
  <c r="Q1754" i="1"/>
  <c r="S1754" i="1" s="1"/>
  <c r="AG1753" i="1"/>
  <c r="AJ1753" i="1" s="1"/>
  <c r="AM1753" i="1" s="1"/>
  <c r="Q1753" i="1"/>
  <c r="S1753" i="1" s="1"/>
  <c r="AG1752" i="1"/>
  <c r="AJ1752" i="1" s="1"/>
  <c r="AM1752" i="1" s="1"/>
  <c r="AB1752" i="1"/>
  <c r="Q1752" i="1"/>
  <c r="S1752" i="1" s="1"/>
  <c r="AG1751" i="1"/>
  <c r="AJ1751" i="1" s="1"/>
  <c r="AM1751" i="1" s="1"/>
  <c r="S1751" i="1"/>
  <c r="Q1751" i="1"/>
  <c r="AG1750" i="1"/>
  <c r="AJ1750" i="1" s="1"/>
  <c r="AM1750" i="1" s="1"/>
  <c r="Q1750" i="1"/>
  <c r="S1750" i="1" s="1"/>
  <c r="AG1749" i="1"/>
  <c r="AJ1749" i="1" s="1"/>
  <c r="AM1749" i="1" s="1"/>
  <c r="Q1749" i="1"/>
  <c r="S1749" i="1" s="1"/>
  <c r="AG1748" i="1"/>
  <c r="AJ1748" i="1" s="1"/>
  <c r="AM1748" i="1" s="1"/>
  <c r="AB1748" i="1"/>
  <c r="Q1748" i="1"/>
  <c r="S1748" i="1" s="1"/>
  <c r="AB1747" i="1"/>
  <c r="AM1746" i="1"/>
  <c r="S1746" i="1"/>
  <c r="AM1745" i="1"/>
  <c r="S1745" i="1"/>
  <c r="Q1744" i="1"/>
  <c r="S1744" i="1" s="1"/>
  <c r="L1744" i="1"/>
  <c r="K1744" i="1" s="1"/>
  <c r="AG1743" i="1"/>
  <c r="AJ1743" i="1" s="1"/>
  <c r="AM1743" i="1" s="1"/>
  <c r="Q1743" i="1"/>
  <c r="S1743" i="1" s="1"/>
  <c r="AG1742" i="1"/>
  <c r="AJ1742" i="1" s="1"/>
  <c r="AM1742" i="1" s="1"/>
  <c r="AB1742" i="1"/>
  <c r="Q1742" i="1"/>
  <c r="S1742" i="1" s="1"/>
  <c r="AG1741" i="1"/>
  <c r="AJ1741" i="1" s="1"/>
  <c r="AM1741" i="1" s="1"/>
  <c r="AB1741" i="1"/>
  <c r="Q1741" i="1"/>
  <c r="S1741" i="1" s="1"/>
  <c r="AJ1740" i="1"/>
  <c r="AM1740" i="1" s="1"/>
  <c r="AG1740" i="1"/>
  <c r="AB1740" i="1"/>
  <c r="Q1740" i="1"/>
  <c r="S1740" i="1" s="1"/>
  <c r="AJ1739" i="1"/>
  <c r="AM1739" i="1" s="1"/>
  <c r="AG1739" i="1"/>
  <c r="AB1739" i="1"/>
  <c r="Q1739" i="1"/>
  <c r="S1739" i="1" s="1"/>
  <c r="K1739" i="1"/>
  <c r="AG1738" i="1"/>
  <c r="AJ1738" i="1" s="1"/>
  <c r="AM1738" i="1" s="1"/>
  <c r="Q1738" i="1"/>
  <c r="S1738" i="1" s="1"/>
  <c r="K1738" i="1"/>
  <c r="AG1737" i="1"/>
  <c r="AJ1737" i="1" s="1"/>
  <c r="AM1737" i="1" s="1"/>
  <c r="Q1737" i="1"/>
  <c r="S1737" i="1" s="1"/>
  <c r="K1737" i="1"/>
  <c r="AG1736" i="1"/>
  <c r="AJ1736" i="1" s="1"/>
  <c r="AM1736" i="1" s="1"/>
  <c r="Q1736" i="1"/>
  <c r="S1736" i="1" s="1"/>
  <c r="AJ1735" i="1"/>
  <c r="AM1735" i="1" s="1"/>
  <c r="AJ1734" i="1"/>
  <c r="AM1734" i="1" s="1"/>
  <c r="AE1734" i="1"/>
  <c r="Q1734" i="1"/>
  <c r="S1734" i="1" s="1"/>
  <c r="AG1733" i="1"/>
  <c r="AJ1733" i="1" s="1"/>
  <c r="AM1733" i="1" s="1"/>
  <c r="Q1733" i="1"/>
  <c r="S1733" i="1" s="1"/>
  <c r="AG1732" i="1"/>
  <c r="AJ1732" i="1" s="1"/>
  <c r="AM1732" i="1" s="1"/>
  <c r="Q1732" i="1"/>
  <c r="S1732" i="1" s="1"/>
  <c r="K1732" i="1"/>
  <c r="AG1731" i="1"/>
  <c r="AJ1731" i="1" s="1"/>
  <c r="AM1731" i="1" s="1"/>
  <c r="AN1731" i="1" s="1"/>
  <c r="AP1731" i="1" s="1"/>
  <c r="Q1731" i="1"/>
  <c r="S1731" i="1" s="1"/>
  <c r="AG1730" i="1"/>
  <c r="AJ1730" i="1" s="1"/>
  <c r="AM1730" i="1" s="1"/>
  <c r="Q1730" i="1"/>
  <c r="S1730" i="1" s="1"/>
  <c r="AG1729" i="1"/>
  <c r="AJ1729" i="1" s="1"/>
  <c r="AM1729" i="1" s="1"/>
  <c r="AB1729" i="1"/>
  <c r="Q1729" i="1"/>
  <c r="S1729" i="1" s="1"/>
  <c r="AJ1728" i="1"/>
  <c r="AM1728" i="1" s="1"/>
  <c r="AG1728" i="1"/>
  <c r="AB1728" i="1"/>
  <c r="Q1728" i="1"/>
  <c r="S1728" i="1" s="1"/>
  <c r="AG1727" i="1"/>
  <c r="AJ1727" i="1" s="1"/>
  <c r="AM1727" i="1" s="1"/>
  <c r="AB1727" i="1"/>
  <c r="S1727" i="1"/>
  <c r="Q1727" i="1"/>
  <c r="L1727" i="1"/>
  <c r="K1727" i="1" s="1"/>
  <c r="AG1726" i="1"/>
  <c r="AJ1726" i="1" s="1"/>
  <c r="AM1726" i="1" s="1"/>
  <c r="Q1726" i="1"/>
  <c r="S1726" i="1" s="1"/>
  <c r="AJ1725" i="1"/>
  <c r="AM1725" i="1" s="1"/>
  <c r="AG1725" i="1"/>
  <c r="Q1725" i="1"/>
  <c r="S1725" i="1" s="1"/>
  <c r="AG1724" i="1"/>
  <c r="AJ1724" i="1" s="1"/>
  <c r="AM1724" i="1" s="1"/>
  <c r="Q1724" i="1"/>
  <c r="S1724" i="1" s="1"/>
  <c r="AG1723" i="1"/>
  <c r="AJ1723" i="1" s="1"/>
  <c r="AM1723" i="1" s="1"/>
  <c r="Q1723" i="1"/>
  <c r="S1723" i="1" s="1"/>
  <c r="AG1722" i="1"/>
  <c r="AJ1722" i="1" s="1"/>
  <c r="AM1722" i="1" s="1"/>
  <c r="Q1722" i="1"/>
  <c r="S1722" i="1" s="1"/>
  <c r="K1722" i="1"/>
  <c r="AG1721" i="1"/>
  <c r="AJ1721" i="1" s="1"/>
  <c r="AM1721" i="1" s="1"/>
  <c r="AB1721" i="1"/>
  <c r="Q1721" i="1"/>
  <c r="S1721" i="1" s="1"/>
  <c r="AG1720" i="1"/>
  <c r="AJ1720" i="1" s="1"/>
  <c r="AM1720" i="1" s="1"/>
  <c r="Q1720" i="1"/>
  <c r="S1720" i="1" s="1"/>
  <c r="AG1719" i="1"/>
  <c r="AJ1719" i="1" s="1"/>
  <c r="AM1719" i="1" s="1"/>
  <c r="Q1719" i="1"/>
  <c r="S1719" i="1" s="1"/>
  <c r="AG1718" i="1"/>
  <c r="AJ1718" i="1" s="1"/>
  <c r="AM1718" i="1" s="1"/>
  <c r="Q1718" i="1"/>
  <c r="S1718" i="1" s="1"/>
  <c r="AG1717" i="1"/>
  <c r="AJ1717" i="1" s="1"/>
  <c r="AM1717" i="1" s="1"/>
  <c r="AB1717" i="1"/>
  <c r="Q1717" i="1"/>
  <c r="S1717" i="1" s="1"/>
  <c r="L1717" i="1"/>
  <c r="K1717" i="1" s="1"/>
  <c r="AG1716" i="1"/>
  <c r="AJ1716" i="1" s="1"/>
  <c r="AM1716" i="1" s="1"/>
  <c r="Q1716" i="1"/>
  <c r="S1716" i="1" s="1"/>
  <c r="AN1716" i="1" s="1"/>
  <c r="AP1716" i="1" s="1"/>
  <c r="K1716" i="1"/>
  <c r="AG1715" i="1"/>
  <c r="AJ1715" i="1" s="1"/>
  <c r="AM1715" i="1" s="1"/>
  <c r="Q1715" i="1"/>
  <c r="S1715" i="1" s="1"/>
  <c r="AG1714" i="1"/>
  <c r="AJ1714" i="1" s="1"/>
  <c r="AM1714" i="1" s="1"/>
  <c r="Q1714" i="1"/>
  <c r="S1714" i="1" s="1"/>
  <c r="AG1713" i="1"/>
  <c r="AJ1713" i="1" s="1"/>
  <c r="AM1713" i="1" s="1"/>
  <c r="Q1713" i="1"/>
  <c r="S1713" i="1" s="1"/>
  <c r="AG1712" i="1"/>
  <c r="AJ1712" i="1" s="1"/>
  <c r="AM1712" i="1" s="1"/>
  <c r="Q1712" i="1"/>
  <c r="S1712" i="1" s="1"/>
  <c r="AG1711" i="1"/>
  <c r="AJ1711" i="1" s="1"/>
  <c r="AM1711" i="1" s="1"/>
  <c r="AN1711" i="1" s="1"/>
  <c r="AP1711" i="1" s="1"/>
  <c r="Q1711" i="1"/>
  <c r="S1711" i="1" s="1"/>
  <c r="AG1710" i="1"/>
  <c r="AJ1710" i="1" s="1"/>
  <c r="AM1710" i="1" s="1"/>
  <c r="Q1710" i="1"/>
  <c r="S1710" i="1" s="1"/>
  <c r="AG1709" i="1"/>
  <c r="AJ1709" i="1" s="1"/>
  <c r="AM1709" i="1" s="1"/>
  <c r="Q1709" i="1"/>
  <c r="S1709" i="1" s="1"/>
  <c r="AG1708" i="1"/>
  <c r="AJ1708" i="1" s="1"/>
  <c r="AM1708" i="1" s="1"/>
  <c r="Q1708" i="1"/>
  <c r="S1708" i="1" s="1"/>
  <c r="AG1707" i="1"/>
  <c r="AJ1707" i="1" s="1"/>
  <c r="AM1707" i="1" s="1"/>
  <c r="AN1707" i="1" s="1"/>
  <c r="AP1707" i="1" s="1"/>
  <c r="Q1707" i="1"/>
  <c r="S1707" i="1" s="1"/>
  <c r="K1707" i="1"/>
  <c r="AS1706" i="1"/>
  <c r="AM1706" i="1"/>
  <c r="AG1706" i="1"/>
  <c r="AJ1706" i="1" s="1"/>
  <c r="Q1706" i="1"/>
  <c r="S1706" i="1" s="1"/>
  <c r="K1706" i="1"/>
  <c r="AG1705" i="1"/>
  <c r="AJ1705" i="1" s="1"/>
  <c r="AM1705" i="1" s="1"/>
  <c r="Q1705" i="1"/>
  <c r="S1705" i="1" s="1"/>
  <c r="AG1704" i="1"/>
  <c r="AJ1704" i="1" s="1"/>
  <c r="AM1704" i="1" s="1"/>
  <c r="Q1704" i="1"/>
  <c r="S1704" i="1" s="1"/>
  <c r="AG1703" i="1"/>
  <c r="AJ1703" i="1" s="1"/>
  <c r="AM1703" i="1" s="1"/>
  <c r="S1703" i="1"/>
  <c r="AN1703" i="1" s="1"/>
  <c r="AP1703" i="1" s="1"/>
  <c r="Q1703" i="1"/>
  <c r="AG1702" i="1"/>
  <c r="AJ1702" i="1" s="1"/>
  <c r="AM1702" i="1" s="1"/>
  <c r="Q1702" i="1"/>
  <c r="S1702" i="1" s="1"/>
  <c r="AJ1701" i="1"/>
  <c r="AM1701" i="1" s="1"/>
  <c r="AG1701" i="1"/>
  <c r="Q1701" i="1"/>
  <c r="S1701" i="1" s="1"/>
  <c r="AG1700" i="1"/>
  <c r="AJ1700" i="1" s="1"/>
  <c r="AM1700" i="1" s="1"/>
  <c r="S1700" i="1"/>
  <c r="AN1700" i="1" s="1"/>
  <c r="AP1700" i="1" s="1"/>
  <c r="Q1700" i="1"/>
  <c r="K1700" i="1"/>
  <c r="AG1699" i="1"/>
  <c r="AJ1699" i="1" s="1"/>
  <c r="AM1699" i="1" s="1"/>
  <c r="S1699" i="1"/>
  <c r="AN1699" i="1" s="1"/>
  <c r="AP1699" i="1" s="1"/>
  <c r="Q1699" i="1"/>
  <c r="AG1698" i="1"/>
  <c r="AJ1698" i="1" s="1"/>
  <c r="AM1698" i="1" s="1"/>
  <c r="AB1698" i="1"/>
  <c r="S1698" i="1"/>
  <c r="AN1698" i="1" s="1"/>
  <c r="AP1698" i="1" s="1"/>
  <c r="Q1698" i="1"/>
  <c r="AG1697" i="1"/>
  <c r="AJ1697" i="1" s="1"/>
  <c r="AM1697" i="1" s="1"/>
  <c r="AN1697" i="1" s="1"/>
  <c r="AP1697" i="1" s="1"/>
  <c r="Q1697" i="1"/>
  <c r="S1697" i="1" s="1"/>
  <c r="AG1696" i="1"/>
  <c r="AJ1696" i="1" s="1"/>
  <c r="AM1696" i="1" s="1"/>
  <c r="Q1696" i="1"/>
  <c r="S1696" i="1" s="1"/>
  <c r="AG1695" i="1"/>
  <c r="AJ1695" i="1" s="1"/>
  <c r="AM1695" i="1" s="1"/>
  <c r="Q1695" i="1"/>
  <c r="S1695" i="1" s="1"/>
  <c r="AG1694" i="1"/>
  <c r="AJ1694" i="1" s="1"/>
  <c r="AM1694" i="1" s="1"/>
  <c r="Q1694" i="1"/>
  <c r="S1694" i="1" s="1"/>
  <c r="AJ1693" i="1"/>
  <c r="AM1693" i="1" s="1"/>
  <c r="AG1693" i="1"/>
  <c r="Q1693" i="1"/>
  <c r="S1693" i="1" s="1"/>
  <c r="K1693" i="1"/>
  <c r="AG1692" i="1"/>
  <c r="AJ1692" i="1" s="1"/>
  <c r="AM1692" i="1" s="1"/>
  <c r="Q1692" i="1"/>
  <c r="S1692" i="1" s="1"/>
  <c r="AG1691" i="1"/>
  <c r="AJ1691" i="1" s="1"/>
  <c r="AM1691" i="1" s="1"/>
  <c r="AB1691" i="1"/>
  <c r="S1691" i="1"/>
  <c r="Q1691" i="1"/>
  <c r="AM1690" i="1"/>
  <c r="AG1690" i="1"/>
  <c r="AJ1690" i="1" s="1"/>
  <c r="Q1690" i="1"/>
  <c r="S1690" i="1" s="1"/>
  <c r="AG1689" i="1"/>
  <c r="AJ1689" i="1" s="1"/>
  <c r="AM1689" i="1" s="1"/>
  <c r="Q1689" i="1"/>
  <c r="S1689" i="1" s="1"/>
  <c r="AG1688" i="1"/>
  <c r="AJ1688" i="1" s="1"/>
  <c r="AM1688" i="1" s="1"/>
  <c r="Q1688" i="1"/>
  <c r="S1688" i="1" s="1"/>
  <c r="AG1687" i="1"/>
  <c r="AJ1687" i="1" s="1"/>
  <c r="AM1687" i="1" s="1"/>
  <c r="Q1687" i="1"/>
  <c r="S1687" i="1" s="1"/>
  <c r="AM1686" i="1"/>
  <c r="AK1686" i="1"/>
  <c r="AJ1686" i="1"/>
  <c r="Q1686" i="1"/>
  <c r="S1686" i="1" s="1"/>
  <c r="AM1685" i="1"/>
  <c r="AG1685" i="1"/>
  <c r="AJ1685" i="1" s="1"/>
  <c r="Q1685" i="1"/>
  <c r="S1685" i="1" s="1"/>
  <c r="AG1684" i="1"/>
  <c r="AJ1684" i="1" s="1"/>
  <c r="AM1684" i="1" s="1"/>
  <c r="Q1684" i="1"/>
  <c r="S1684" i="1" s="1"/>
  <c r="AG1683" i="1"/>
  <c r="AJ1683" i="1" s="1"/>
  <c r="AM1683" i="1" s="1"/>
  <c r="Q1683" i="1"/>
  <c r="S1683" i="1" s="1"/>
  <c r="AG1682" i="1"/>
  <c r="AJ1682" i="1" s="1"/>
  <c r="AM1682" i="1" s="1"/>
  <c r="AB1682" i="1"/>
  <c r="Q1682" i="1"/>
  <c r="S1682" i="1" s="1"/>
  <c r="AG1681" i="1"/>
  <c r="AJ1681" i="1" s="1"/>
  <c r="AM1681" i="1" s="1"/>
  <c r="AB1681" i="1"/>
  <c r="Q1681" i="1"/>
  <c r="S1681" i="1" s="1"/>
  <c r="AN1681" i="1" s="1"/>
  <c r="AP1681" i="1" s="1"/>
  <c r="AG1680" i="1"/>
  <c r="AJ1680" i="1" s="1"/>
  <c r="AM1680" i="1" s="1"/>
  <c r="Q1680" i="1"/>
  <c r="S1680" i="1" s="1"/>
  <c r="AJ1679" i="1"/>
  <c r="AM1679" i="1" s="1"/>
  <c r="AG1679" i="1"/>
  <c r="AB1679" i="1"/>
  <c r="Q1679" i="1"/>
  <c r="S1679" i="1" s="1"/>
  <c r="AJ1678" i="1"/>
  <c r="AM1678" i="1" s="1"/>
  <c r="AG1678" i="1"/>
  <c r="AB1678" i="1"/>
  <c r="Q1678" i="1"/>
  <c r="S1678" i="1" s="1"/>
  <c r="AJ1677" i="1"/>
  <c r="AM1677" i="1" s="1"/>
  <c r="AG1677" i="1"/>
  <c r="AB1677" i="1"/>
  <c r="Q1677" i="1"/>
  <c r="S1677" i="1" s="1"/>
  <c r="L1677" i="1"/>
  <c r="K1677" i="1" s="1"/>
  <c r="AG1676" i="1"/>
  <c r="AJ1676" i="1" s="1"/>
  <c r="AM1676" i="1" s="1"/>
  <c r="Q1676" i="1"/>
  <c r="S1676" i="1" s="1"/>
  <c r="K1676" i="1"/>
  <c r="AG1675" i="1"/>
  <c r="AJ1675" i="1" s="1"/>
  <c r="AM1675" i="1" s="1"/>
  <c r="Q1675" i="1"/>
  <c r="S1675" i="1" s="1"/>
  <c r="AG1674" i="1"/>
  <c r="AJ1674" i="1" s="1"/>
  <c r="AM1674" i="1" s="1"/>
  <c r="Q1674" i="1"/>
  <c r="S1674" i="1" s="1"/>
  <c r="K1674" i="1"/>
  <c r="AG1673" i="1"/>
  <c r="AJ1673" i="1" s="1"/>
  <c r="AM1673" i="1" s="1"/>
  <c r="Q1673" i="1"/>
  <c r="S1673" i="1" s="1"/>
  <c r="AG1672" i="1"/>
  <c r="AJ1672" i="1" s="1"/>
  <c r="AM1672" i="1" s="1"/>
  <c r="Q1672" i="1"/>
  <c r="S1672" i="1" s="1"/>
  <c r="K1672" i="1"/>
  <c r="AG1671" i="1"/>
  <c r="AJ1671" i="1" s="1"/>
  <c r="AM1671" i="1" s="1"/>
  <c r="AB1671" i="1"/>
  <c r="Q1671" i="1"/>
  <c r="S1671" i="1" s="1"/>
  <c r="L1671" i="1"/>
  <c r="AG1670" i="1"/>
  <c r="AJ1670" i="1" s="1"/>
  <c r="AM1670" i="1" s="1"/>
  <c r="Q1670" i="1"/>
  <c r="S1670" i="1" s="1"/>
  <c r="AJ1669" i="1"/>
  <c r="AM1669" i="1" s="1"/>
  <c r="AG1669" i="1"/>
  <c r="Q1669" i="1"/>
  <c r="S1669" i="1" s="1"/>
  <c r="AG1668" i="1"/>
  <c r="AJ1668" i="1" s="1"/>
  <c r="AM1668" i="1" s="1"/>
  <c r="Q1668" i="1"/>
  <c r="S1668" i="1" s="1"/>
  <c r="AM1667" i="1"/>
  <c r="AG1667" i="1"/>
  <c r="AJ1667" i="1" s="1"/>
  <c r="Q1667" i="1"/>
  <c r="S1667" i="1" s="1"/>
  <c r="K1667" i="1"/>
  <c r="AG1666" i="1"/>
  <c r="AJ1666" i="1" s="1"/>
  <c r="AM1666" i="1" s="1"/>
  <c r="Q1666" i="1"/>
  <c r="S1666" i="1" s="1"/>
  <c r="AG1665" i="1"/>
  <c r="AJ1665" i="1" s="1"/>
  <c r="AM1665" i="1" s="1"/>
  <c r="Q1665" i="1"/>
  <c r="S1665" i="1" s="1"/>
  <c r="AM1664" i="1"/>
  <c r="AG1664" i="1"/>
  <c r="AJ1664" i="1" s="1"/>
  <c r="Q1664" i="1"/>
  <c r="S1664" i="1" s="1"/>
  <c r="AG1663" i="1"/>
  <c r="AJ1663" i="1" s="1"/>
  <c r="AM1663" i="1" s="1"/>
  <c r="S1663" i="1"/>
  <c r="Q1663" i="1"/>
  <c r="AG1662" i="1"/>
  <c r="AJ1662" i="1" s="1"/>
  <c r="AM1662" i="1" s="1"/>
  <c r="Q1662" i="1"/>
  <c r="S1662" i="1" s="1"/>
  <c r="AG1661" i="1"/>
  <c r="AJ1661" i="1" s="1"/>
  <c r="AM1661" i="1" s="1"/>
  <c r="Q1661" i="1"/>
  <c r="S1661" i="1" s="1"/>
  <c r="K1661" i="1"/>
  <c r="AG1660" i="1"/>
  <c r="AJ1660" i="1" s="1"/>
  <c r="AM1660" i="1" s="1"/>
  <c r="Q1660" i="1"/>
  <c r="S1660" i="1" s="1"/>
  <c r="K1660" i="1"/>
  <c r="AB1659" i="1"/>
  <c r="Y1659" i="1"/>
  <c r="AG1659" i="1" s="1"/>
  <c r="AJ1659" i="1" s="1"/>
  <c r="AM1659" i="1" s="1"/>
  <c r="Q1659" i="1"/>
  <c r="S1659" i="1" s="1"/>
  <c r="L1659" i="1"/>
  <c r="K1659" i="1" s="1"/>
  <c r="AG1658" i="1"/>
  <c r="AJ1658" i="1" s="1"/>
  <c r="AM1658" i="1" s="1"/>
  <c r="Q1658" i="1"/>
  <c r="S1658" i="1" s="1"/>
  <c r="K1658" i="1"/>
  <c r="AG1657" i="1"/>
  <c r="AJ1657" i="1" s="1"/>
  <c r="AM1657" i="1" s="1"/>
  <c r="AB1657" i="1"/>
  <c r="Q1657" i="1"/>
  <c r="S1657" i="1" s="1"/>
  <c r="AG1656" i="1"/>
  <c r="AJ1656" i="1" s="1"/>
  <c r="AM1656" i="1" s="1"/>
  <c r="Q1656" i="1"/>
  <c r="S1656" i="1" s="1"/>
  <c r="K1656" i="1"/>
  <c r="AG1655" i="1"/>
  <c r="AJ1655" i="1" s="1"/>
  <c r="AM1655" i="1" s="1"/>
  <c r="Q1655" i="1"/>
  <c r="S1655" i="1" s="1"/>
  <c r="K1655" i="1"/>
  <c r="AG1654" i="1"/>
  <c r="AJ1654" i="1" s="1"/>
  <c r="AM1654" i="1" s="1"/>
  <c r="Q1654" i="1"/>
  <c r="S1654" i="1" s="1"/>
  <c r="AJ1653" i="1"/>
  <c r="AM1653" i="1" s="1"/>
  <c r="AG1653" i="1"/>
  <c r="Q1653" i="1"/>
  <c r="S1653" i="1" s="1"/>
  <c r="K1653" i="1"/>
  <c r="AM1652" i="1"/>
  <c r="AG1652" i="1"/>
  <c r="AJ1652" i="1" s="1"/>
  <c r="Q1652" i="1"/>
  <c r="S1652" i="1" s="1"/>
  <c r="K1652" i="1"/>
  <c r="AG1651" i="1"/>
  <c r="AJ1651" i="1" s="1"/>
  <c r="AM1651" i="1" s="1"/>
  <c r="Q1651" i="1"/>
  <c r="S1651" i="1" s="1"/>
  <c r="AG1650" i="1"/>
  <c r="AJ1650" i="1" s="1"/>
  <c r="AM1650" i="1" s="1"/>
  <c r="Q1650" i="1"/>
  <c r="S1650" i="1" s="1"/>
  <c r="AG1649" i="1"/>
  <c r="AJ1649" i="1" s="1"/>
  <c r="AM1649" i="1" s="1"/>
  <c r="AB1649" i="1"/>
  <c r="Y1649" i="1"/>
  <c r="Q1649" i="1"/>
  <c r="S1649" i="1" s="1"/>
  <c r="AG1648" i="1"/>
  <c r="AJ1648" i="1" s="1"/>
  <c r="AM1648" i="1" s="1"/>
  <c r="Q1648" i="1"/>
  <c r="S1648" i="1" s="1"/>
  <c r="AG1647" i="1"/>
  <c r="AJ1647" i="1" s="1"/>
  <c r="AM1647" i="1" s="1"/>
  <c r="Q1647" i="1"/>
  <c r="S1647" i="1" s="1"/>
  <c r="AM1646" i="1"/>
  <c r="AG1646" i="1"/>
  <c r="AJ1646" i="1" s="1"/>
  <c r="Q1646" i="1"/>
  <c r="S1646" i="1" s="1"/>
  <c r="AG1645" i="1"/>
  <c r="AJ1645" i="1" s="1"/>
  <c r="AM1645" i="1" s="1"/>
  <c r="Q1645" i="1"/>
  <c r="S1645" i="1" s="1"/>
  <c r="AG1644" i="1"/>
  <c r="AJ1644" i="1" s="1"/>
  <c r="AM1644" i="1" s="1"/>
  <c r="Q1644" i="1"/>
  <c r="S1644" i="1" s="1"/>
  <c r="AG1643" i="1"/>
  <c r="AJ1643" i="1" s="1"/>
  <c r="AM1643" i="1" s="1"/>
  <c r="Q1643" i="1"/>
  <c r="S1643" i="1" s="1"/>
  <c r="AG1642" i="1"/>
  <c r="AJ1642" i="1" s="1"/>
  <c r="AM1642" i="1" s="1"/>
  <c r="Q1642" i="1"/>
  <c r="S1642" i="1" s="1"/>
  <c r="AJ1641" i="1"/>
  <c r="AM1641" i="1" s="1"/>
  <c r="AG1641" i="1"/>
  <c r="Q1641" i="1"/>
  <c r="S1641" i="1" s="1"/>
  <c r="AG1640" i="1"/>
  <c r="AJ1640" i="1" s="1"/>
  <c r="AM1640" i="1" s="1"/>
  <c r="AB1640" i="1"/>
  <c r="Q1640" i="1"/>
  <c r="S1640" i="1" s="1"/>
  <c r="L1640" i="1"/>
  <c r="K1640" i="1" s="1"/>
  <c r="AG1639" i="1"/>
  <c r="AJ1639" i="1" s="1"/>
  <c r="AM1639" i="1" s="1"/>
  <c r="Q1639" i="1"/>
  <c r="S1639" i="1" s="1"/>
  <c r="AG1638" i="1"/>
  <c r="AJ1638" i="1" s="1"/>
  <c r="AM1638" i="1" s="1"/>
  <c r="Q1638" i="1"/>
  <c r="S1638" i="1" s="1"/>
  <c r="AJ1637" i="1"/>
  <c r="AM1637" i="1" s="1"/>
  <c r="AP1637" i="1" s="1"/>
  <c r="AM1636" i="1"/>
  <c r="Q1636" i="1"/>
  <c r="S1636" i="1" s="1"/>
  <c r="AN1636" i="1" s="1"/>
  <c r="AP1636" i="1" s="1"/>
  <c r="AG1635" i="1"/>
  <c r="AJ1635" i="1" s="1"/>
  <c r="AM1635" i="1" s="1"/>
  <c r="Q1635" i="1"/>
  <c r="S1635" i="1" s="1"/>
  <c r="AB1634" i="1"/>
  <c r="Y1634" i="1"/>
  <c r="AG1634" i="1" s="1"/>
  <c r="AJ1634" i="1" s="1"/>
  <c r="AM1634" i="1" s="1"/>
  <c r="Q1634" i="1"/>
  <c r="S1634" i="1" s="1"/>
  <c r="AG1633" i="1"/>
  <c r="AJ1633" i="1" s="1"/>
  <c r="AM1633" i="1" s="1"/>
  <c r="Q1633" i="1"/>
  <c r="S1633" i="1" s="1"/>
  <c r="AG1632" i="1"/>
  <c r="AJ1632" i="1" s="1"/>
  <c r="AM1632" i="1" s="1"/>
  <c r="Q1632" i="1"/>
  <c r="S1632" i="1" s="1"/>
  <c r="AG1631" i="1"/>
  <c r="AJ1631" i="1" s="1"/>
  <c r="AM1631" i="1" s="1"/>
  <c r="Q1631" i="1"/>
  <c r="S1631" i="1" s="1"/>
  <c r="AG1630" i="1"/>
  <c r="AJ1630" i="1" s="1"/>
  <c r="AM1630" i="1" s="1"/>
  <c r="AB1630" i="1"/>
  <c r="Q1630" i="1"/>
  <c r="S1630" i="1" s="1"/>
  <c r="AG1629" i="1"/>
  <c r="AJ1629" i="1" s="1"/>
  <c r="AM1629" i="1" s="1"/>
  <c r="Q1629" i="1"/>
  <c r="S1629" i="1" s="1"/>
  <c r="AG1628" i="1"/>
  <c r="AJ1628" i="1" s="1"/>
  <c r="AM1628" i="1" s="1"/>
  <c r="AB1628" i="1"/>
  <c r="Q1628" i="1"/>
  <c r="S1628" i="1" s="1"/>
  <c r="L1628" i="1"/>
  <c r="K1628" i="1" s="1"/>
  <c r="AG1627" i="1"/>
  <c r="AJ1627" i="1" s="1"/>
  <c r="AM1627" i="1" s="1"/>
  <c r="Q1627" i="1"/>
  <c r="S1627" i="1" s="1"/>
  <c r="AG1626" i="1"/>
  <c r="AJ1626" i="1" s="1"/>
  <c r="AM1626" i="1" s="1"/>
  <c r="Q1626" i="1"/>
  <c r="S1626" i="1" s="1"/>
  <c r="K1626" i="1"/>
  <c r="AG1625" i="1"/>
  <c r="AJ1625" i="1" s="1"/>
  <c r="AM1625" i="1" s="1"/>
  <c r="Q1625" i="1"/>
  <c r="S1625" i="1" s="1"/>
  <c r="AG1624" i="1"/>
  <c r="AJ1624" i="1" s="1"/>
  <c r="AM1624" i="1" s="1"/>
  <c r="Q1624" i="1"/>
  <c r="S1624" i="1" s="1"/>
  <c r="AG1623" i="1"/>
  <c r="AJ1623" i="1" s="1"/>
  <c r="AM1623" i="1" s="1"/>
  <c r="Q1623" i="1"/>
  <c r="S1623" i="1" s="1"/>
  <c r="AM1622" i="1"/>
  <c r="AG1622" i="1"/>
  <c r="AJ1622" i="1" s="1"/>
  <c r="Q1622" i="1"/>
  <c r="S1622" i="1" s="1"/>
  <c r="K1622" i="1"/>
  <c r="AJ1621" i="1"/>
  <c r="AM1621" i="1" s="1"/>
  <c r="AG1621" i="1"/>
  <c r="Q1621" i="1"/>
  <c r="S1621" i="1" s="1"/>
  <c r="AG1620" i="1"/>
  <c r="AJ1620" i="1" s="1"/>
  <c r="AM1620" i="1" s="1"/>
  <c r="Q1620" i="1"/>
  <c r="S1620" i="1" s="1"/>
  <c r="AG1619" i="1"/>
  <c r="AJ1619" i="1" s="1"/>
  <c r="AM1619" i="1" s="1"/>
  <c r="Q1619" i="1"/>
  <c r="S1619" i="1" s="1"/>
  <c r="AG1618" i="1"/>
  <c r="AJ1618" i="1" s="1"/>
  <c r="AM1618" i="1" s="1"/>
  <c r="Q1618" i="1"/>
  <c r="S1618" i="1" s="1"/>
  <c r="AG1617" i="1"/>
  <c r="AJ1617" i="1" s="1"/>
  <c r="AM1617" i="1" s="1"/>
  <c r="Q1617" i="1"/>
  <c r="S1617" i="1" s="1"/>
  <c r="AG1616" i="1"/>
  <c r="AJ1616" i="1" s="1"/>
  <c r="AM1616" i="1" s="1"/>
  <c r="Q1616" i="1"/>
  <c r="S1616" i="1" s="1"/>
  <c r="AJ1615" i="1"/>
  <c r="AM1615" i="1" s="1"/>
  <c r="AG1615" i="1"/>
  <c r="Q1615" i="1"/>
  <c r="S1615" i="1" s="1"/>
  <c r="K1615" i="1"/>
  <c r="AG1614" i="1"/>
  <c r="AJ1614" i="1" s="1"/>
  <c r="AM1614" i="1" s="1"/>
  <c r="Q1614" i="1"/>
  <c r="S1614" i="1" s="1"/>
  <c r="K1614" i="1"/>
  <c r="AG1613" i="1"/>
  <c r="AJ1613" i="1" s="1"/>
  <c r="AM1613" i="1" s="1"/>
  <c r="Q1613" i="1"/>
  <c r="S1613" i="1" s="1"/>
  <c r="AG1612" i="1"/>
  <c r="AJ1612" i="1" s="1"/>
  <c r="AM1612" i="1" s="1"/>
  <c r="Q1612" i="1"/>
  <c r="S1612" i="1" s="1"/>
  <c r="AB1611" i="1"/>
  <c r="Y1611" i="1"/>
  <c r="AG1611" i="1" s="1"/>
  <c r="AJ1611" i="1" s="1"/>
  <c r="AM1611" i="1" s="1"/>
  <c r="Q1611" i="1"/>
  <c r="S1611" i="1" s="1"/>
  <c r="L1611" i="1"/>
  <c r="K1611" i="1" s="1"/>
  <c r="AG1610" i="1"/>
  <c r="AJ1610" i="1" s="1"/>
  <c r="AM1610" i="1" s="1"/>
  <c r="S1610" i="1"/>
  <c r="Q1610" i="1"/>
  <c r="K1610" i="1"/>
  <c r="AG1609" i="1"/>
  <c r="AJ1609" i="1" s="1"/>
  <c r="AM1609" i="1" s="1"/>
  <c r="Q1609" i="1"/>
  <c r="S1609" i="1" s="1"/>
  <c r="AK1608" i="1"/>
  <c r="AJ1608" i="1"/>
  <c r="AM1608" i="1" s="1"/>
  <c r="Q1608" i="1"/>
  <c r="S1608" i="1" s="1"/>
  <c r="AB1607" i="1"/>
  <c r="Y1607" i="1"/>
  <c r="AG1607" i="1" s="1"/>
  <c r="AJ1607" i="1" s="1"/>
  <c r="AM1607" i="1" s="1"/>
  <c r="S1607" i="1"/>
  <c r="Q1607" i="1"/>
  <c r="AG1606" i="1"/>
  <c r="AJ1606" i="1" s="1"/>
  <c r="AM1606" i="1" s="1"/>
  <c r="Q1606" i="1"/>
  <c r="S1606" i="1" s="1"/>
  <c r="AG1605" i="1"/>
  <c r="AJ1605" i="1" s="1"/>
  <c r="AM1605" i="1" s="1"/>
  <c r="Q1605" i="1"/>
  <c r="S1605" i="1" s="1"/>
  <c r="AG1604" i="1"/>
  <c r="AJ1604" i="1" s="1"/>
  <c r="AM1604" i="1" s="1"/>
  <c r="Q1604" i="1"/>
  <c r="S1604" i="1" s="1"/>
  <c r="K1604" i="1"/>
  <c r="AG1603" i="1"/>
  <c r="AJ1603" i="1" s="1"/>
  <c r="AM1603" i="1" s="1"/>
  <c r="Q1603" i="1"/>
  <c r="S1603" i="1" s="1"/>
  <c r="K1603" i="1"/>
  <c r="AG1602" i="1"/>
  <c r="AJ1602" i="1" s="1"/>
  <c r="AM1602" i="1" s="1"/>
  <c r="Q1602" i="1"/>
  <c r="S1602" i="1" s="1"/>
  <c r="K1602" i="1"/>
  <c r="AG1601" i="1"/>
  <c r="AJ1601" i="1" s="1"/>
  <c r="AM1601" i="1" s="1"/>
  <c r="Q1601" i="1"/>
  <c r="S1601" i="1" s="1"/>
  <c r="AG1600" i="1"/>
  <c r="AJ1600" i="1" s="1"/>
  <c r="AM1600" i="1" s="1"/>
  <c r="Q1600" i="1"/>
  <c r="S1600" i="1" s="1"/>
  <c r="AG1599" i="1"/>
  <c r="AJ1599" i="1" s="1"/>
  <c r="AM1599" i="1" s="1"/>
  <c r="AB1599" i="1"/>
  <c r="S1599" i="1"/>
  <c r="Q1599" i="1"/>
  <c r="AG1598" i="1"/>
  <c r="AJ1598" i="1" s="1"/>
  <c r="AM1598" i="1" s="1"/>
  <c r="AB1598" i="1"/>
  <c r="S1598" i="1"/>
  <c r="AN1598" i="1" s="1"/>
  <c r="AP1598" i="1" s="1"/>
  <c r="Q1598" i="1"/>
  <c r="AG1597" i="1"/>
  <c r="AJ1597" i="1" s="1"/>
  <c r="AM1597" i="1" s="1"/>
  <c r="AB1597" i="1"/>
  <c r="Q1597" i="1"/>
  <c r="S1597" i="1" s="1"/>
  <c r="L1597" i="1"/>
  <c r="K1597" i="1" s="1"/>
  <c r="AG1596" i="1"/>
  <c r="AJ1596" i="1" s="1"/>
  <c r="AM1596" i="1" s="1"/>
  <c r="Q1596" i="1"/>
  <c r="S1596" i="1" s="1"/>
  <c r="AG1595" i="1"/>
  <c r="AJ1595" i="1" s="1"/>
  <c r="AM1595" i="1" s="1"/>
  <c r="Q1595" i="1"/>
  <c r="S1595" i="1" s="1"/>
  <c r="AG1594" i="1"/>
  <c r="AJ1594" i="1" s="1"/>
  <c r="AM1594" i="1" s="1"/>
  <c r="Q1594" i="1"/>
  <c r="S1594" i="1" s="1"/>
  <c r="AG1593" i="1"/>
  <c r="AJ1593" i="1" s="1"/>
  <c r="AM1593" i="1" s="1"/>
  <c r="Q1593" i="1"/>
  <c r="S1593" i="1" s="1"/>
  <c r="AN1593" i="1" s="1"/>
  <c r="AP1593" i="1" s="1"/>
  <c r="AG1592" i="1"/>
  <c r="AJ1592" i="1" s="1"/>
  <c r="AM1592" i="1" s="1"/>
  <c r="Q1592" i="1"/>
  <c r="S1592" i="1" s="1"/>
  <c r="AB1591" i="1"/>
  <c r="Y1591" i="1"/>
  <c r="AG1591" i="1" s="1"/>
  <c r="AJ1591" i="1" s="1"/>
  <c r="AM1591" i="1" s="1"/>
  <c r="Q1591" i="1"/>
  <c r="S1591" i="1" s="1"/>
  <c r="K1591" i="1"/>
  <c r="AJ1590" i="1"/>
  <c r="AM1590" i="1" s="1"/>
  <c r="AG1590" i="1"/>
  <c r="Q1590" i="1"/>
  <c r="S1590" i="1" s="1"/>
  <c r="K1590" i="1"/>
  <c r="AG1589" i="1"/>
  <c r="AJ1589" i="1" s="1"/>
  <c r="AM1589" i="1" s="1"/>
  <c r="Q1589" i="1"/>
  <c r="S1589" i="1" s="1"/>
  <c r="K1589" i="1"/>
  <c r="AG1588" i="1"/>
  <c r="AJ1588" i="1" s="1"/>
  <c r="AM1588" i="1" s="1"/>
  <c r="Q1588" i="1"/>
  <c r="S1588" i="1" s="1"/>
  <c r="AB1587" i="1"/>
  <c r="Y1587" i="1"/>
  <c r="AG1587" i="1" s="1"/>
  <c r="AJ1587" i="1" s="1"/>
  <c r="AM1587" i="1" s="1"/>
  <c r="Q1587" i="1"/>
  <c r="S1587" i="1" s="1"/>
  <c r="AG1586" i="1"/>
  <c r="AJ1586" i="1" s="1"/>
  <c r="AM1586" i="1" s="1"/>
  <c r="Q1586" i="1"/>
  <c r="S1586" i="1" s="1"/>
  <c r="AJ1585" i="1"/>
  <c r="AM1585" i="1" s="1"/>
  <c r="AG1585" i="1"/>
  <c r="Q1585" i="1"/>
  <c r="S1585" i="1" s="1"/>
  <c r="AG1584" i="1"/>
  <c r="AJ1584" i="1" s="1"/>
  <c r="AM1584" i="1" s="1"/>
  <c r="Q1584" i="1"/>
  <c r="S1584" i="1" s="1"/>
  <c r="AJ1583" i="1"/>
  <c r="AM1583" i="1" s="1"/>
  <c r="AG1583" i="1"/>
  <c r="Q1583" i="1"/>
  <c r="S1583" i="1" s="1"/>
  <c r="AG1582" i="1"/>
  <c r="AJ1582" i="1" s="1"/>
  <c r="AM1582" i="1" s="1"/>
  <c r="S1582" i="1"/>
  <c r="Q1582" i="1"/>
  <c r="AG1581" i="1"/>
  <c r="AJ1581" i="1" s="1"/>
  <c r="AM1581" i="1" s="1"/>
  <c r="Q1581" i="1"/>
  <c r="S1581" i="1" s="1"/>
  <c r="AG1580" i="1"/>
  <c r="AJ1580" i="1" s="1"/>
  <c r="AM1580" i="1" s="1"/>
  <c r="Q1580" i="1"/>
  <c r="S1580" i="1" s="1"/>
  <c r="AG1579" i="1"/>
  <c r="AJ1579" i="1" s="1"/>
  <c r="AM1579" i="1" s="1"/>
  <c r="AB1579" i="1"/>
  <c r="S1579" i="1"/>
  <c r="Q1579" i="1"/>
  <c r="AG1578" i="1"/>
  <c r="AJ1578" i="1" s="1"/>
  <c r="AM1578" i="1" s="1"/>
  <c r="Q1578" i="1"/>
  <c r="S1578" i="1" s="1"/>
  <c r="AG1577" i="1"/>
  <c r="AJ1577" i="1" s="1"/>
  <c r="AM1577" i="1" s="1"/>
  <c r="Q1577" i="1"/>
  <c r="S1577" i="1" s="1"/>
  <c r="AG1576" i="1"/>
  <c r="AJ1576" i="1" s="1"/>
  <c r="AM1576" i="1" s="1"/>
  <c r="Q1576" i="1"/>
  <c r="S1576" i="1" s="1"/>
  <c r="AG1575" i="1"/>
  <c r="AJ1575" i="1" s="1"/>
  <c r="AM1575" i="1" s="1"/>
  <c r="Q1575" i="1"/>
  <c r="S1575" i="1" s="1"/>
  <c r="AG1574" i="1"/>
  <c r="AJ1574" i="1" s="1"/>
  <c r="AM1574" i="1" s="1"/>
  <c r="Q1574" i="1"/>
  <c r="S1574" i="1" s="1"/>
  <c r="AG1573" i="1"/>
  <c r="AJ1573" i="1" s="1"/>
  <c r="AM1573" i="1" s="1"/>
  <c r="Q1573" i="1"/>
  <c r="S1573" i="1" s="1"/>
  <c r="AN1573" i="1" s="1"/>
  <c r="AP1573" i="1" s="1"/>
  <c r="AG1572" i="1"/>
  <c r="AJ1572" i="1" s="1"/>
  <c r="AM1572" i="1" s="1"/>
  <c r="Q1572" i="1"/>
  <c r="S1572" i="1" s="1"/>
  <c r="AS1571" i="1"/>
  <c r="AG1571" i="1"/>
  <c r="AJ1571" i="1" s="1"/>
  <c r="AM1571" i="1" s="1"/>
  <c r="Q1571" i="1"/>
  <c r="S1571" i="1" s="1"/>
  <c r="AG1570" i="1"/>
  <c r="AJ1570" i="1" s="1"/>
  <c r="AM1570" i="1" s="1"/>
  <c r="Q1570" i="1"/>
  <c r="S1570" i="1" s="1"/>
  <c r="AG1569" i="1"/>
  <c r="AJ1569" i="1" s="1"/>
  <c r="AM1569" i="1" s="1"/>
  <c r="S1569" i="1"/>
  <c r="Q1569" i="1"/>
  <c r="AJ1568" i="1"/>
  <c r="AM1568" i="1" s="1"/>
  <c r="AG1568" i="1"/>
  <c r="S1568" i="1"/>
  <c r="Q1568" i="1"/>
  <c r="AG1567" i="1"/>
  <c r="AJ1567" i="1" s="1"/>
  <c r="AM1567" i="1" s="1"/>
  <c r="Q1567" i="1"/>
  <c r="S1567" i="1" s="1"/>
  <c r="AG1566" i="1"/>
  <c r="AJ1566" i="1" s="1"/>
  <c r="AM1566" i="1" s="1"/>
  <c r="Q1566" i="1"/>
  <c r="S1566" i="1" s="1"/>
  <c r="AG1565" i="1"/>
  <c r="AJ1565" i="1" s="1"/>
  <c r="AM1565" i="1" s="1"/>
  <c r="Q1565" i="1"/>
  <c r="S1565" i="1" s="1"/>
  <c r="AG1564" i="1"/>
  <c r="AJ1564" i="1" s="1"/>
  <c r="AM1564" i="1" s="1"/>
  <c r="S1564" i="1"/>
  <c r="Q1564" i="1"/>
  <c r="AG1563" i="1"/>
  <c r="AJ1563" i="1" s="1"/>
  <c r="AM1563" i="1" s="1"/>
  <c r="Q1563" i="1"/>
  <c r="S1563" i="1" s="1"/>
  <c r="AJ1562" i="1"/>
  <c r="AM1562" i="1" s="1"/>
  <c r="AG1562" i="1"/>
  <c r="AB1562" i="1"/>
  <c r="Q1562" i="1"/>
  <c r="S1562" i="1" s="1"/>
  <c r="L1562" i="1"/>
  <c r="K1562" i="1" s="1"/>
  <c r="AG1561" i="1"/>
  <c r="AJ1561" i="1" s="1"/>
  <c r="AM1561" i="1" s="1"/>
  <c r="Q1561" i="1"/>
  <c r="S1561" i="1" s="1"/>
  <c r="AG1559" i="1"/>
  <c r="AJ1559" i="1" s="1"/>
  <c r="AM1559" i="1" s="1"/>
  <c r="S1559" i="1"/>
  <c r="Q1559" i="1"/>
  <c r="AG1558" i="1"/>
  <c r="AJ1558" i="1" s="1"/>
  <c r="AM1558" i="1" s="1"/>
  <c r="Q1558" i="1"/>
  <c r="S1558" i="1" s="1"/>
  <c r="AG1557" i="1"/>
  <c r="AJ1557" i="1" s="1"/>
  <c r="AM1557" i="1" s="1"/>
  <c r="AB1557" i="1"/>
  <c r="Q1557" i="1"/>
  <c r="S1557" i="1" s="1"/>
  <c r="AG1556" i="1"/>
  <c r="AJ1556" i="1" s="1"/>
  <c r="AM1556" i="1" s="1"/>
  <c r="Q1556" i="1"/>
  <c r="S1556" i="1" s="1"/>
  <c r="AG1555" i="1"/>
  <c r="AJ1555" i="1" s="1"/>
  <c r="AM1555" i="1" s="1"/>
  <c r="Q1555" i="1"/>
  <c r="S1555" i="1" s="1"/>
  <c r="K1555" i="1"/>
  <c r="AJ1554" i="1"/>
  <c r="AM1554" i="1" s="1"/>
  <c r="AG1554" i="1"/>
  <c r="Q1554" i="1"/>
  <c r="S1554" i="1" s="1"/>
  <c r="AG1553" i="1"/>
  <c r="AJ1553" i="1" s="1"/>
  <c r="AM1553" i="1" s="1"/>
  <c r="AB1553" i="1"/>
  <c r="Q1553" i="1"/>
  <c r="S1553" i="1" s="1"/>
  <c r="L1553" i="1"/>
  <c r="K1553" i="1" s="1"/>
  <c r="AG1552" i="1"/>
  <c r="AJ1552" i="1" s="1"/>
  <c r="AM1552" i="1" s="1"/>
  <c r="Q1552" i="1"/>
  <c r="S1552" i="1" s="1"/>
  <c r="K1552" i="1"/>
  <c r="AG1551" i="1"/>
  <c r="AJ1551" i="1" s="1"/>
  <c r="AM1551" i="1" s="1"/>
  <c r="Q1551" i="1"/>
  <c r="S1551" i="1" s="1"/>
  <c r="AJ1550" i="1"/>
  <c r="AM1550" i="1" s="1"/>
  <c r="Q1550" i="1"/>
  <c r="AG1549" i="1"/>
  <c r="AJ1549" i="1" s="1"/>
  <c r="AM1549" i="1" s="1"/>
  <c r="W1549" i="1"/>
  <c r="Q1549" i="1"/>
  <c r="S1549" i="1" s="1"/>
  <c r="L1549" i="1"/>
  <c r="AG1548" i="1"/>
  <c r="AJ1548" i="1" s="1"/>
  <c r="AM1548" i="1" s="1"/>
  <c r="Q1548" i="1"/>
  <c r="S1548" i="1" s="1"/>
  <c r="L1548" i="1"/>
  <c r="K1548" i="1" s="1"/>
  <c r="AG1547" i="1"/>
  <c r="AJ1547" i="1" s="1"/>
  <c r="AM1547" i="1" s="1"/>
  <c r="S1547" i="1"/>
  <c r="AN1547" i="1" s="1"/>
  <c r="AP1547" i="1" s="1"/>
  <c r="Q1547" i="1"/>
  <c r="AG1546" i="1"/>
  <c r="AJ1546" i="1" s="1"/>
  <c r="AM1546" i="1" s="1"/>
  <c r="Q1546" i="1"/>
  <c r="S1546" i="1" s="1"/>
  <c r="AN1545" i="1"/>
  <c r="AP1545" i="1" s="1"/>
  <c r="AG1545" i="1"/>
  <c r="AJ1545" i="1" s="1"/>
  <c r="AM1545" i="1" s="1"/>
  <c r="Q1545" i="1"/>
  <c r="S1545" i="1" s="1"/>
  <c r="AG1544" i="1"/>
  <c r="AJ1544" i="1" s="1"/>
  <c r="AM1544" i="1" s="1"/>
  <c r="Q1544" i="1"/>
  <c r="S1544" i="1" s="1"/>
  <c r="AG1543" i="1"/>
  <c r="AJ1543" i="1" s="1"/>
  <c r="AM1543" i="1" s="1"/>
  <c r="Q1543" i="1"/>
  <c r="S1543" i="1" s="1"/>
  <c r="AN1543" i="1" s="1"/>
  <c r="AP1543" i="1" s="1"/>
  <c r="AG1542" i="1"/>
  <c r="AJ1542" i="1" s="1"/>
  <c r="AM1542" i="1" s="1"/>
  <c r="Q1542" i="1"/>
  <c r="S1542" i="1" s="1"/>
  <c r="AG1541" i="1"/>
  <c r="AJ1541" i="1" s="1"/>
  <c r="AM1541" i="1" s="1"/>
  <c r="S1541" i="1"/>
  <c r="Q1541" i="1"/>
  <c r="AG1540" i="1"/>
  <c r="AJ1540" i="1" s="1"/>
  <c r="AM1540" i="1" s="1"/>
  <c r="Q1540" i="1"/>
  <c r="S1540" i="1" s="1"/>
  <c r="AG1539" i="1"/>
  <c r="AJ1539" i="1" s="1"/>
  <c r="AM1539" i="1" s="1"/>
  <c r="Q1539" i="1"/>
  <c r="S1539" i="1" s="1"/>
  <c r="AG1538" i="1"/>
  <c r="AJ1538" i="1" s="1"/>
  <c r="AM1538" i="1" s="1"/>
  <c r="Q1538" i="1"/>
  <c r="S1538" i="1" s="1"/>
  <c r="AG1537" i="1"/>
  <c r="AJ1537" i="1" s="1"/>
  <c r="AM1537" i="1" s="1"/>
  <c r="Q1537" i="1"/>
  <c r="S1537" i="1" s="1"/>
  <c r="AG1536" i="1"/>
  <c r="AJ1536" i="1" s="1"/>
  <c r="AM1536" i="1" s="1"/>
  <c r="Q1536" i="1"/>
  <c r="S1536" i="1" s="1"/>
  <c r="K1536" i="1"/>
  <c r="AG1535" i="1"/>
  <c r="AJ1535" i="1" s="1"/>
  <c r="AM1535" i="1" s="1"/>
  <c r="Q1535" i="1"/>
  <c r="S1535" i="1" s="1"/>
  <c r="K1535" i="1"/>
  <c r="AG1534" i="1"/>
  <c r="AJ1534" i="1" s="1"/>
  <c r="AM1534" i="1" s="1"/>
  <c r="Q1534" i="1"/>
  <c r="S1534" i="1" s="1"/>
  <c r="AG1533" i="1"/>
  <c r="AJ1533" i="1" s="1"/>
  <c r="AM1533" i="1" s="1"/>
  <c r="Q1533" i="1"/>
  <c r="S1533" i="1" s="1"/>
  <c r="AK1532" i="1"/>
  <c r="AJ1532" i="1"/>
  <c r="AM1532" i="1" s="1"/>
  <c r="Q1532" i="1"/>
  <c r="S1532" i="1" s="1"/>
  <c r="AG1531" i="1"/>
  <c r="AJ1531" i="1" s="1"/>
  <c r="AM1531" i="1" s="1"/>
  <c r="Q1531" i="1"/>
  <c r="S1531" i="1" s="1"/>
  <c r="AG1530" i="1"/>
  <c r="AJ1530" i="1" s="1"/>
  <c r="AM1530" i="1" s="1"/>
  <c r="Q1530" i="1"/>
  <c r="S1530" i="1" s="1"/>
  <c r="AG1529" i="1"/>
  <c r="AJ1529" i="1" s="1"/>
  <c r="AM1529" i="1" s="1"/>
  <c r="Q1529" i="1"/>
  <c r="S1529" i="1" s="1"/>
  <c r="AG1528" i="1"/>
  <c r="AJ1528" i="1" s="1"/>
  <c r="AM1528" i="1" s="1"/>
  <c r="Q1528" i="1"/>
  <c r="S1528" i="1" s="1"/>
  <c r="AG1527" i="1"/>
  <c r="AJ1527" i="1" s="1"/>
  <c r="AM1527" i="1" s="1"/>
  <c r="Q1527" i="1"/>
  <c r="S1527" i="1" s="1"/>
  <c r="AG1526" i="1"/>
  <c r="AJ1526" i="1" s="1"/>
  <c r="AM1526" i="1" s="1"/>
  <c r="Q1526" i="1"/>
  <c r="S1526" i="1" s="1"/>
  <c r="K1526" i="1"/>
  <c r="AG1525" i="1"/>
  <c r="AJ1525" i="1" s="1"/>
  <c r="AM1525" i="1" s="1"/>
  <c r="Q1525" i="1"/>
  <c r="S1525" i="1" s="1"/>
  <c r="AG1524" i="1"/>
  <c r="AJ1524" i="1" s="1"/>
  <c r="AM1524" i="1" s="1"/>
  <c r="Q1524" i="1"/>
  <c r="S1524" i="1" s="1"/>
  <c r="AG1523" i="1"/>
  <c r="AJ1523" i="1" s="1"/>
  <c r="AM1523" i="1" s="1"/>
  <c r="Q1523" i="1"/>
  <c r="S1523" i="1" s="1"/>
  <c r="AG1522" i="1"/>
  <c r="AJ1522" i="1" s="1"/>
  <c r="AM1522" i="1" s="1"/>
  <c r="Q1522" i="1"/>
  <c r="S1522" i="1" s="1"/>
  <c r="AG1521" i="1"/>
  <c r="AJ1521" i="1" s="1"/>
  <c r="AM1521" i="1" s="1"/>
  <c r="Q1521" i="1"/>
  <c r="S1521" i="1" s="1"/>
  <c r="K1521" i="1"/>
  <c r="AG1519" i="1"/>
  <c r="AJ1519" i="1" s="1"/>
  <c r="AM1519" i="1" s="1"/>
  <c r="Q1519" i="1"/>
  <c r="S1519" i="1" s="1"/>
  <c r="AN1519" i="1" s="1"/>
  <c r="AP1519" i="1" s="1"/>
  <c r="AG1518" i="1"/>
  <c r="AJ1518" i="1" s="1"/>
  <c r="AM1518" i="1" s="1"/>
  <c r="Q1518" i="1"/>
  <c r="S1518" i="1" s="1"/>
  <c r="AG1517" i="1"/>
  <c r="AJ1517" i="1" s="1"/>
  <c r="AM1517" i="1" s="1"/>
  <c r="Q1517" i="1"/>
  <c r="S1517" i="1" s="1"/>
  <c r="AG1516" i="1"/>
  <c r="AJ1516" i="1" s="1"/>
  <c r="AM1516" i="1" s="1"/>
  <c r="S1516" i="1"/>
  <c r="Q1516" i="1"/>
  <c r="AG1514" i="1"/>
  <c r="AJ1514" i="1" s="1"/>
  <c r="AM1514" i="1" s="1"/>
  <c r="Q1514" i="1"/>
  <c r="S1514" i="1" s="1"/>
  <c r="AG1513" i="1"/>
  <c r="AJ1513" i="1" s="1"/>
  <c r="AM1513" i="1" s="1"/>
  <c r="Q1513" i="1"/>
  <c r="S1513" i="1" s="1"/>
  <c r="AG1512" i="1"/>
  <c r="AJ1512" i="1" s="1"/>
  <c r="AM1512" i="1" s="1"/>
  <c r="Q1512" i="1"/>
  <c r="S1512" i="1" s="1"/>
  <c r="AM1511" i="1"/>
  <c r="AG1511" i="1"/>
  <c r="AJ1511" i="1" s="1"/>
  <c r="Q1511" i="1"/>
  <c r="S1511" i="1" s="1"/>
  <c r="AG1510" i="1"/>
  <c r="AJ1510" i="1" s="1"/>
  <c r="AM1510" i="1" s="1"/>
  <c r="Q1510" i="1"/>
  <c r="S1510" i="1" s="1"/>
  <c r="AG1509" i="1"/>
  <c r="AJ1509" i="1" s="1"/>
  <c r="AM1509" i="1" s="1"/>
  <c r="Q1509" i="1"/>
  <c r="S1509" i="1" s="1"/>
  <c r="AJ1508" i="1"/>
  <c r="AM1508" i="1" s="1"/>
  <c r="AG1508" i="1"/>
  <c r="Q1508" i="1"/>
  <c r="S1508" i="1" s="1"/>
  <c r="AG1507" i="1"/>
  <c r="AJ1507" i="1" s="1"/>
  <c r="AM1507" i="1" s="1"/>
  <c r="Q1507" i="1"/>
  <c r="S1507" i="1" s="1"/>
  <c r="AJ1506" i="1"/>
  <c r="AM1506" i="1" s="1"/>
  <c r="AG1506" i="1"/>
  <c r="Q1506" i="1"/>
  <c r="S1506" i="1" s="1"/>
  <c r="K1506" i="1"/>
  <c r="AG1505" i="1"/>
  <c r="AJ1505" i="1" s="1"/>
  <c r="AM1505" i="1" s="1"/>
  <c r="Q1505" i="1"/>
  <c r="S1505" i="1" s="1"/>
  <c r="AG1504" i="1"/>
  <c r="AJ1504" i="1" s="1"/>
  <c r="AM1504" i="1" s="1"/>
  <c r="Q1504" i="1"/>
  <c r="S1504" i="1" s="1"/>
  <c r="AM1503" i="1"/>
  <c r="AG1503" i="1"/>
  <c r="AJ1503" i="1" s="1"/>
  <c r="Q1503" i="1"/>
  <c r="S1503" i="1" s="1"/>
  <c r="AM1502" i="1"/>
  <c r="AG1502" i="1"/>
  <c r="AJ1502" i="1" s="1"/>
  <c r="Q1502" i="1"/>
  <c r="S1502" i="1" s="1"/>
  <c r="K1502" i="1"/>
  <c r="AG1501" i="1"/>
  <c r="AJ1501" i="1" s="1"/>
  <c r="AM1501" i="1" s="1"/>
  <c r="Q1501" i="1"/>
  <c r="S1501" i="1" s="1"/>
  <c r="AN1501" i="1" s="1"/>
  <c r="AP1501" i="1" s="1"/>
  <c r="AG1500" i="1"/>
  <c r="AJ1500" i="1" s="1"/>
  <c r="AM1500" i="1" s="1"/>
  <c r="Q1500" i="1"/>
  <c r="S1500" i="1" s="1"/>
  <c r="AN1500" i="1" s="1"/>
  <c r="AP1500" i="1" s="1"/>
  <c r="AG1499" i="1"/>
  <c r="AJ1499" i="1" s="1"/>
  <c r="AM1499" i="1" s="1"/>
  <c r="Q1499" i="1"/>
  <c r="S1499" i="1" s="1"/>
  <c r="K1499" i="1"/>
  <c r="AJ1498" i="1"/>
  <c r="AM1498" i="1" s="1"/>
  <c r="AG1498" i="1"/>
  <c r="S1498" i="1"/>
  <c r="Q1498" i="1"/>
  <c r="K1498" i="1"/>
  <c r="AG1497" i="1"/>
  <c r="AJ1497" i="1" s="1"/>
  <c r="AM1497" i="1" s="1"/>
  <c r="Q1497" i="1"/>
  <c r="S1497" i="1" s="1"/>
  <c r="AG1496" i="1"/>
  <c r="AJ1496" i="1" s="1"/>
  <c r="AM1496" i="1" s="1"/>
  <c r="Q1496" i="1"/>
  <c r="S1496" i="1" s="1"/>
  <c r="AG1495" i="1"/>
  <c r="AJ1495" i="1" s="1"/>
  <c r="AM1495" i="1" s="1"/>
  <c r="Q1495" i="1"/>
  <c r="S1495" i="1" s="1"/>
  <c r="AJ1494" i="1"/>
  <c r="AM1494" i="1" s="1"/>
  <c r="AG1494" i="1"/>
  <c r="Q1494" i="1"/>
  <c r="S1494" i="1" s="1"/>
  <c r="AG1493" i="1"/>
  <c r="AJ1493" i="1" s="1"/>
  <c r="AM1493" i="1" s="1"/>
  <c r="Q1493" i="1"/>
  <c r="S1493" i="1" s="1"/>
  <c r="AG1492" i="1"/>
  <c r="AJ1492" i="1" s="1"/>
  <c r="AM1492" i="1" s="1"/>
  <c r="Q1492" i="1"/>
  <c r="S1492" i="1" s="1"/>
  <c r="AM1491" i="1"/>
  <c r="AG1491" i="1"/>
  <c r="AJ1491" i="1" s="1"/>
  <c r="Q1491" i="1"/>
  <c r="S1491" i="1" s="1"/>
  <c r="AJ1490" i="1"/>
  <c r="AM1490" i="1" s="1"/>
  <c r="AG1490" i="1"/>
  <c r="Q1490" i="1"/>
  <c r="S1490" i="1" s="1"/>
  <c r="K1490" i="1"/>
  <c r="AG1488" i="1"/>
  <c r="AJ1488" i="1" s="1"/>
  <c r="AM1488" i="1" s="1"/>
  <c r="Q1488" i="1"/>
  <c r="S1488" i="1" s="1"/>
  <c r="K1488" i="1"/>
  <c r="AG1487" i="1"/>
  <c r="AJ1487" i="1" s="1"/>
  <c r="AM1487" i="1" s="1"/>
  <c r="Q1487" i="1"/>
  <c r="S1487" i="1" s="1"/>
  <c r="AG1486" i="1"/>
  <c r="AJ1486" i="1" s="1"/>
  <c r="AM1486" i="1" s="1"/>
  <c r="Q1486" i="1"/>
  <c r="S1486" i="1" s="1"/>
  <c r="K1486" i="1"/>
  <c r="AG1485" i="1"/>
  <c r="AJ1485" i="1" s="1"/>
  <c r="AM1485" i="1" s="1"/>
  <c r="Q1485" i="1"/>
  <c r="S1485" i="1" s="1"/>
  <c r="AG1484" i="1"/>
  <c r="AJ1484" i="1" s="1"/>
  <c r="AM1484" i="1" s="1"/>
  <c r="Q1484" i="1"/>
  <c r="S1484" i="1" s="1"/>
  <c r="AG1483" i="1"/>
  <c r="AJ1483" i="1" s="1"/>
  <c r="AM1483" i="1" s="1"/>
  <c r="S1483" i="1"/>
  <c r="Q1483" i="1"/>
  <c r="K1483" i="1"/>
  <c r="AG1482" i="1"/>
  <c r="AJ1482" i="1" s="1"/>
  <c r="AM1482" i="1" s="1"/>
  <c r="Q1482" i="1"/>
  <c r="S1482" i="1" s="1"/>
  <c r="K1482" i="1"/>
  <c r="AJ1481" i="1"/>
  <c r="AM1481" i="1" s="1"/>
  <c r="AG1481" i="1"/>
  <c r="Q1481" i="1"/>
  <c r="S1481" i="1" s="1"/>
  <c r="AG1480" i="1"/>
  <c r="AJ1480" i="1" s="1"/>
  <c r="AM1480" i="1" s="1"/>
  <c r="Q1480" i="1"/>
  <c r="S1480" i="1" s="1"/>
  <c r="K1480" i="1"/>
  <c r="AG1479" i="1"/>
  <c r="AJ1479" i="1" s="1"/>
  <c r="AM1479" i="1" s="1"/>
  <c r="AB1479" i="1"/>
  <c r="Q1479" i="1"/>
  <c r="S1479" i="1" s="1"/>
  <c r="L1479" i="1"/>
  <c r="K1479" i="1" s="1"/>
  <c r="AG1478" i="1"/>
  <c r="AJ1478" i="1" s="1"/>
  <c r="AM1478" i="1" s="1"/>
  <c r="Q1478" i="1"/>
  <c r="S1478" i="1" s="1"/>
  <c r="AG1477" i="1"/>
  <c r="AJ1477" i="1" s="1"/>
  <c r="AM1477" i="1" s="1"/>
  <c r="Q1477" i="1"/>
  <c r="S1477" i="1" s="1"/>
  <c r="K1477" i="1"/>
  <c r="AG1476" i="1"/>
  <c r="AJ1476" i="1" s="1"/>
  <c r="AM1476" i="1" s="1"/>
  <c r="Q1476" i="1"/>
  <c r="S1476" i="1" s="1"/>
  <c r="AG1474" i="1"/>
  <c r="AJ1474" i="1" s="1"/>
  <c r="AM1474" i="1" s="1"/>
  <c r="Q1474" i="1"/>
  <c r="S1474" i="1" s="1"/>
  <c r="AG1473" i="1"/>
  <c r="AJ1473" i="1" s="1"/>
  <c r="AM1473" i="1" s="1"/>
  <c r="Q1473" i="1"/>
  <c r="S1473" i="1" s="1"/>
  <c r="AG1472" i="1"/>
  <c r="AJ1472" i="1" s="1"/>
  <c r="AM1472" i="1" s="1"/>
  <c r="Q1472" i="1"/>
  <c r="S1472" i="1" s="1"/>
  <c r="AN1472" i="1" s="1"/>
  <c r="AP1472" i="1" s="1"/>
  <c r="AG1469" i="1"/>
  <c r="AJ1469" i="1" s="1"/>
  <c r="AM1469" i="1" s="1"/>
  <c r="Q1469" i="1"/>
  <c r="S1469" i="1" s="1"/>
  <c r="AN1469" i="1" s="1"/>
  <c r="AP1469" i="1" s="1"/>
  <c r="AG1468" i="1"/>
  <c r="AJ1468" i="1" s="1"/>
  <c r="AM1468" i="1" s="1"/>
  <c r="Q1468" i="1"/>
  <c r="S1468" i="1" s="1"/>
  <c r="K1468" i="1"/>
  <c r="AG1467" i="1"/>
  <c r="AJ1467" i="1" s="1"/>
  <c r="AM1467" i="1" s="1"/>
  <c r="Q1467" i="1"/>
  <c r="S1467" i="1" s="1"/>
  <c r="AG1466" i="1"/>
  <c r="AJ1466" i="1" s="1"/>
  <c r="AM1466" i="1" s="1"/>
  <c r="Q1466" i="1"/>
  <c r="S1466" i="1" s="1"/>
  <c r="AG1465" i="1"/>
  <c r="AJ1465" i="1" s="1"/>
  <c r="AM1465" i="1" s="1"/>
  <c r="Q1465" i="1"/>
  <c r="S1465" i="1" s="1"/>
  <c r="K1465" i="1"/>
  <c r="AG1464" i="1"/>
  <c r="AJ1464" i="1" s="1"/>
  <c r="AM1464" i="1" s="1"/>
  <c r="Q1464" i="1"/>
  <c r="S1464" i="1" s="1"/>
  <c r="AG1463" i="1"/>
  <c r="AJ1463" i="1" s="1"/>
  <c r="AM1463" i="1" s="1"/>
  <c r="Q1463" i="1"/>
  <c r="S1463" i="1" s="1"/>
  <c r="AG1462" i="1"/>
  <c r="AJ1462" i="1" s="1"/>
  <c r="AM1462" i="1" s="1"/>
  <c r="Q1462" i="1"/>
  <c r="S1462" i="1" s="1"/>
  <c r="K1462" i="1"/>
  <c r="AG1461" i="1"/>
  <c r="AJ1461" i="1" s="1"/>
  <c r="AM1461" i="1" s="1"/>
  <c r="Q1461" i="1"/>
  <c r="S1461" i="1" s="1"/>
  <c r="AG1460" i="1"/>
  <c r="AJ1460" i="1" s="1"/>
  <c r="AM1460" i="1" s="1"/>
  <c r="Q1460" i="1"/>
  <c r="S1460" i="1" s="1"/>
  <c r="K1460" i="1"/>
  <c r="AG1459" i="1"/>
  <c r="AJ1459" i="1" s="1"/>
  <c r="AM1459" i="1" s="1"/>
  <c r="S1459" i="1"/>
  <c r="Q1459" i="1"/>
  <c r="AG1457" i="1"/>
  <c r="AJ1457" i="1" s="1"/>
  <c r="AM1457" i="1" s="1"/>
  <c r="Q1457" i="1"/>
  <c r="S1457" i="1" s="1"/>
  <c r="AN1457" i="1" s="1"/>
  <c r="AP1457" i="1" s="1"/>
  <c r="AG1455" i="1"/>
  <c r="AJ1455" i="1" s="1"/>
  <c r="AM1455" i="1" s="1"/>
  <c r="Q1455" i="1"/>
  <c r="S1455" i="1" s="1"/>
  <c r="AG1454" i="1"/>
  <c r="AJ1454" i="1" s="1"/>
  <c r="AM1454" i="1" s="1"/>
  <c r="S1454" i="1"/>
  <c r="Q1454" i="1"/>
  <c r="AG1453" i="1"/>
  <c r="AJ1453" i="1" s="1"/>
  <c r="AM1453" i="1" s="1"/>
  <c r="Q1453" i="1"/>
  <c r="S1453" i="1" s="1"/>
  <c r="K1453" i="1"/>
  <c r="AG1452" i="1"/>
  <c r="AJ1452" i="1" s="1"/>
  <c r="AM1452" i="1" s="1"/>
  <c r="Q1452" i="1"/>
  <c r="S1452" i="1" s="1"/>
  <c r="AG1451" i="1"/>
  <c r="AJ1451" i="1" s="1"/>
  <c r="AM1451" i="1" s="1"/>
  <c r="Q1451" i="1"/>
  <c r="S1451" i="1" s="1"/>
  <c r="AG1450" i="1"/>
  <c r="AJ1450" i="1" s="1"/>
  <c r="AM1450" i="1" s="1"/>
  <c r="Q1450" i="1"/>
  <c r="S1450" i="1" s="1"/>
  <c r="K1450" i="1"/>
  <c r="AG1449" i="1"/>
  <c r="AJ1449" i="1" s="1"/>
  <c r="AM1449" i="1" s="1"/>
  <c r="Q1449" i="1"/>
  <c r="S1449" i="1" s="1"/>
  <c r="AM1448" i="1"/>
  <c r="AG1448" i="1"/>
  <c r="AJ1448" i="1" s="1"/>
  <c r="Q1448" i="1"/>
  <c r="S1448" i="1" s="1"/>
  <c r="AG1447" i="1"/>
  <c r="AJ1447" i="1" s="1"/>
  <c r="AM1447" i="1" s="1"/>
  <c r="Q1447" i="1"/>
  <c r="S1447" i="1" s="1"/>
  <c r="K1447" i="1"/>
  <c r="AG1446" i="1"/>
  <c r="AJ1446" i="1" s="1"/>
  <c r="AM1446" i="1" s="1"/>
  <c r="Q1446" i="1"/>
  <c r="S1446" i="1" s="1"/>
  <c r="AG1445" i="1"/>
  <c r="AJ1445" i="1" s="1"/>
  <c r="AM1445" i="1" s="1"/>
  <c r="S1445" i="1"/>
  <c r="AN1445" i="1" s="1"/>
  <c r="AP1445" i="1" s="1"/>
  <c r="Q1445" i="1"/>
  <c r="AG1444" i="1"/>
  <c r="AJ1444" i="1" s="1"/>
  <c r="AM1444" i="1" s="1"/>
  <c r="Q1444" i="1"/>
  <c r="S1444" i="1" s="1"/>
  <c r="AJ1443" i="1"/>
  <c r="AM1443" i="1" s="1"/>
  <c r="AG1443" i="1"/>
  <c r="S1443" i="1"/>
  <c r="Q1443" i="1"/>
  <c r="AG1442" i="1"/>
  <c r="AJ1442" i="1" s="1"/>
  <c r="AM1442" i="1" s="1"/>
  <c r="Q1442" i="1"/>
  <c r="S1442" i="1" s="1"/>
  <c r="AG1441" i="1"/>
  <c r="AJ1441" i="1" s="1"/>
  <c r="AM1441" i="1" s="1"/>
  <c r="Q1441" i="1"/>
  <c r="S1441" i="1" s="1"/>
  <c r="AM1440" i="1"/>
  <c r="AG1440" i="1"/>
  <c r="AJ1440" i="1" s="1"/>
  <c r="Q1440" i="1"/>
  <c r="S1440" i="1" s="1"/>
  <c r="AG1439" i="1"/>
  <c r="AJ1439" i="1" s="1"/>
  <c r="AM1439" i="1" s="1"/>
  <c r="W1439" i="1"/>
  <c r="S1439" i="1"/>
  <c r="Q1439" i="1"/>
  <c r="AN1438" i="1"/>
  <c r="AP1438" i="1" s="1"/>
  <c r="AG1438" i="1"/>
  <c r="AJ1438" i="1" s="1"/>
  <c r="AM1438" i="1" s="1"/>
  <c r="Q1438" i="1"/>
  <c r="S1438" i="1" s="1"/>
  <c r="AG1437" i="1"/>
  <c r="AJ1437" i="1" s="1"/>
  <c r="AM1437" i="1" s="1"/>
  <c r="S1437" i="1"/>
  <c r="AN1437" i="1" s="1"/>
  <c r="AP1437" i="1" s="1"/>
  <c r="Q1437" i="1"/>
  <c r="AG1436" i="1"/>
  <c r="AJ1436" i="1" s="1"/>
  <c r="AM1436" i="1" s="1"/>
  <c r="Q1436" i="1"/>
  <c r="S1436" i="1" s="1"/>
  <c r="AK1435" i="1"/>
  <c r="AJ1435" i="1"/>
  <c r="AM1435" i="1" s="1"/>
  <c r="S1435" i="1"/>
  <c r="Q1435" i="1"/>
  <c r="AG1434" i="1"/>
  <c r="AJ1434" i="1" s="1"/>
  <c r="AM1434" i="1" s="1"/>
  <c r="Q1434" i="1"/>
  <c r="S1434" i="1" s="1"/>
  <c r="K1434" i="1"/>
  <c r="AG1433" i="1"/>
  <c r="AJ1433" i="1" s="1"/>
  <c r="AM1433" i="1" s="1"/>
  <c r="S1433" i="1"/>
  <c r="Q1433" i="1"/>
  <c r="K1433" i="1"/>
  <c r="AG1431" i="1"/>
  <c r="AJ1431" i="1" s="1"/>
  <c r="AM1431" i="1" s="1"/>
  <c r="Q1431" i="1"/>
  <c r="S1431" i="1" s="1"/>
  <c r="K1431" i="1"/>
  <c r="AG1430" i="1"/>
  <c r="AJ1430" i="1" s="1"/>
  <c r="AM1430" i="1" s="1"/>
  <c r="Q1430" i="1"/>
  <c r="S1430" i="1" s="1"/>
  <c r="K1430" i="1"/>
  <c r="AS1429" i="1"/>
  <c r="AG1429" i="1"/>
  <c r="AJ1429" i="1" s="1"/>
  <c r="AM1429" i="1" s="1"/>
  <c r="Q1429" i="1"/>
  <c r="S1429" i="1" s="1"/>
  <c r="K1429" i="1"/>
  <c r="AJ1428" i="1"/>
  <c r="AM1428" i="1" s="1"/>
  <c r="AG1428" i="1"/>
  <c r="Q1428" i="1"/>
  <c r="S1428" i="1" s="1"/>
  <c r="K1428" i="1"/>
  <c r="AG1427" i="1"/>
  <c r="AJ1427" i="1" s="1"/>
  <c r="AM1427" i="1" s="1"/>
  <c r="Q1427" i="1"/>
  <c r="S1427" i="1" s="1"/>
  <c r="AG1426" i="1"/>
  <c r="AJ1426" i="1" s="1"/>
  <c r="AM1426" i="1" s="1"/>
  <c r="Q1426" i="1"/>
  <c r="S1426" i="1" s="1"/>
  <c r="AG1425" i="1"/>
  <c r="AJ1425" i="1" s="1"/>
  <c r="AM1425" i="1" s="1"/>
  <c r="Q1425" i="1"/>
  <c r="S1425" i="1" s="1"/>
  <c r="AN1425" i="1" s="1"/>
  <c r="AP1425" i="1" s="1"/>
  <c r="K1425" i="1"/>
  <c r="AG1424" i="1"/>
  <c r="AJ1424" i="1" s="1"/>
  <c r="AM1424" i="1" s="1"/>
  <c r="Q1424" i="1"/>
  <c r="S1424" i="1" s="1"/>
  <c r="K1424" i="1"/>
  <c r="AG1423" i="1"/>
  <c r="AJ1423" i="1" s="1"/>
  <c r="AM1423" i="1" s="1"/>
  <c r="Q1423" i="1"/>
  <c r="S1423" i="1" s="1"/>
  <c r="K1423" i="1"/>
  <c r="AG1422" i="1"/>
  <c r="AJ1422" i="1" s="1"/>
  <c r="AM1422" i="1" s="1"/>
  <c r="Q1422" i="1"/>
  <c r="S1422" i="1" s="1"/>
  <c r="AG1421" i="1"/>
  <c r="AJ1421" i="1" s="1"/>
  <c r="AM1421" i="1" s="1"/>
  <c r="Q1421" i="1"/>
  <c r="S1421" i="1" s="1"/>
  <c r="AJ1420" i="1"/>
  <c r="AM1420" i="1" s="1"/>
  <c r="AG1420" i="1"/>
  <c r="Q1420" i="1"/>
  <c r="S1420" i="1" s="1"/>
  <c r="AG1419" i="1"/>
  <c r="AJ1419" i="1" s="1"/>
  <c r="AM1419" i="1" s="1"/>
  <c r="Q1419" i="1"/>
  <c r="S1419" i="1" s="1"/>
  <c r="AJ1418" i="1"/>
  <c r="AM1418" i="1" s="1"/>
  <c r="AG1418" i="1"/>
  <c r="S1418" i="1"/>
  <c r="Q1418" i="1"/>
  <c r="AG1417" i="1"/>
  <c r="AJ1417" i="1" s="1"/>
  <c r="AM1417" i="1" s="1"/>
  <c r="Q1417" i="1"/>
  <c r="S1417" i="1" s="1"/>
  <c r="AG1416" i="1"/>
  <c r="AJ1416" i="1" s="1"/>
  <c r="AM1416" i="1" s="1"/>
  <c r="Q1416" i="1"/>
  <c r="S1416" i="1" s="1"/>
  <c r="AM1415" i="1"/>
  <c r="AG1415" i="1"/>
  <c r="AJ1415" i="1" s="1"/>
  <c r="Q1415" i="1"/>
  <c r="S1415" i="1" s="1"/>
  <c r="AG1414" i="1"/>
  <c r="AJ1414" i="1" s="1"/>
  <c r="AM1414" i="1" s="1"/>
  <c r="Q1414" i="1"/>
  <c r="S1414" i="1" s="1"/>
  <c r="AN1414" i="1" s="1"/>
  <c r="AP1414" i="1" s="1"/>
  <c r="AG1413" i="1"/>
  <c r="AJ1413" i="1" s="1"/>
  <c r="AM1413" i="1" s="1"/>
  <c r="Q1413" i="1"/>
  <c r="S1413" i="1" s="1"/>
  <c r="AG1412" i="1"/>
  <c r="AJ1412" i="1" s="1"/>
  <c r="AM1412" i="1" s="1"/>
  <c r="Q1412" i="1"/>
  <c r="S1412" i="1" s="1"/>
  <c r="AG1411" i="1"/>
  <c r="AJ1411" i="1" s="1"/>
  <c r="AM1411" i="1" s="1"/>
  <c r="Q1411" i="1"/>
  <c r="S1411" i="1" s="1"/>
  <c r="AG1409" i="1"/>
  <c r="AJ1409" i="1" s="1"/>
  <c r="AM1409" i="1" s="1"/>
  <c r="S1409" i="1"/>
  <c r="Q1409" i="1"/>
  <c r="AG1408" i="1"/>
  <c r="AJ1408" i="1" s="1"/>
  <c r="AM1408" i="1" s="1"/>
  <c r="Q1408" i="1"/>
  <c r="S1408" i="1" s="1"/>
  <c r="K1408" i="1"/>
  <c r="AG1407" i="1"/>
  <c r="AJ1407" i="1" s="1"/>
  <c r="AM1407" i="1" s="1"/>
  <c r="Q1407" i="1"/>
  <c r="S1407" i="1" s="1"/>
  <c r="AJ1406" i="1"/>
  <c r="AM1406" i="1" s="1"/>
  <c r="AN1406" i="1" s="1"/>
  <c r="AP1406" i="1" s="1"/>
  <c r="AE1406" i="1"/>
  <c r="AJ1405" i="1"/>
  <c r="AM1405" i="1" s="1"/>
  <c r="AN1405" i="1" s="1"/>
  <c r="AP1405" i="1" s="1"/>
  <c r="Q1405" i="1"/>
  <c r="S1405" i="1" s="1"/>
  <c r="AM1404" i="1"/>
  <c r="AG1404" i="1"/>
  <c r="AJ1404" i="1" s="1"/>
  <c r="Q1404" i="1"/>
  <c r="S1404" i="1" s="1"/>
  <c r="AJ1403" i="1"/>
  <c r="AM1403" i="1" s="1"/>
  <c r="AG1403" i="1"/>
  <c r="Q1403" i="1"/>
  <c r="S1403" i="1" s="1"/>
  <c r="AG1402" i="1"/>
  <c r="AJ1402" i="1" s="1"/>
  <c r="AM1402" i="1" s="1"/>
  <c r="Q1402" i="1"/>
  <c r="S1402" i="1" s="1"/>
  <c r="AG1401" i="1"/>
  <c r="AJ1401" i="1" s="1"/>
  <c r="AM1401" i="1" s="1"/>
  <c r="Q1401" i="1"/>
  <c r="S1401" i="1" s="1"/>
  <c r="K1401" i="1"/>
  <c r="AJ1400" i="1"/>
  <c r="AM1400" i="1" s="1"/>
  <c r="AG1400" i="1"/>
  <c r="S1400" i="1"/>
  <c r="Q1400" i="1"/>
  <c r="AG1399" i="1"/>
  <c r="AJ1399" i="1" s="1"/>
  <c r="AM1399" i="1" s="1"/>
  <c r="Q1399" i="1"/>
  <c r="S1399" i="1" s="1"/>
  <c r="AG1398" i="1"/>
  <c r="AJ1398" i="1" s="1"/>
  <c r="AM1398" i="1" s="1"/>
  <c r="Q1398" i="1"/>
  <c r="S1398" i="1" s="1"/>
  <c r="AG1397" i="1"/>
  <c r="AJ1397" i="1" s="1"/>
  <c r="AM1397" i="1" s="1"/>
  <c r="Q1397" i="1"/>
  <c r="S1397" i="1" s="1"/>
  <c r="AM1396" i="1"/>
  <c r="AG1396" i="1"/>
  <c r="AJ1396" i="1" s="1"/>
  <c r="Q1396" i="1"/>
  <c r="S1396" i="1" s="1"/>
  <c r="K1396" i="1"/>
  <c r="AG1395" i="1"/>
  <c r="AJ1395" i="1" s="1"/>
  <c r="AM1395" i="1" s="1"/>
  <c r="Q1395" i="1"/>
  <c r="S1395" i="1" s="1"/>
  <c r="AN1395" i="1" s="1"/>
  <c r="AP1395" i="1" s="1"/>
  <c r="AG1394" i="1"/>
  <c r="AJ1394" i="1" s="1"/>
  <c r="AM1394" i="1" s="1"/>
  <c r="Q1394" i="1"/>
  <c r="S1394" i="1" s="1"/>
  <c r="AG1393" i="1"/>
  <c r="AJ1393" i="1" s="1"/>
  <c r="AM1393" i="1" s="1"/>
  <c r="Q1393" i="1"/>
  <c r="S1393" i="1" s="1"/>
  <c r="AN1393" i="1" s="1"/>
  <c r="AP1393" i="1" s="1"/>
  <c r="AG1392" i="1"/>
  <c r="AJ1392" i="1" s="1"/>
  <c r="AM1392" i="1" s="1"/>
  <c r="Q1392" i="1"/>
  <c r="S1392" i="1" s="1"/>
  <c r="K1392" i="1"/>
  <c r="AG1391" i="1"/>
  <c r="AJ1391" i="1" s="1"/>
  <c r="AM1391" i="1" s="1"/>
  <c r="Q1391" i="1"/>
  <c r="S1391" i="1" s="1"/>
  <c r="AJ1390" i="1"/>
  <c r="AM1390" i="1" s="1"/>
  <c r="AG1390" i="1"/>
  <c r="Q1390" i="1"/>
  <c r="S1390" i="1" s="1"/>
  <c r="K1390" i="1"/>
  <c r="AJ1389" i="1"/>
  <c r="AM1389" i="1" s="1"/>
  <c r="AG1389" i="1"/>
  <c r="Q1389" i="1"/>
  <c r="S1389" i="1" s="1"/>
  <c r="K1389" i="1"/>
  <c r="AM1388" i="1"/>
  <c r="AG1388" i="1"/>
  <c r="AJ1388" i="1" s="1"/>
  <c r="Q1388" i="1"/>
  <c r="S1388" i="1" s="1"/>
  <c r="K1388" i="1"/>
  <c r="AG1387" i="1"/>
  <c r="AJ1387" i="1" s="1"/>
  <c r="AM1387" i="1" s="1"/>
  <c r="Q1387" i="1"/>
  <c r="S1387" i="1" s="1"/>
  <c r="K1387" i="1"/>
  <c r="AG1386" i="1"/>
  <c r="AJ1386" i="1" s="1"/>
  <c r="AM1386" i="1" s="1"/>
  <c r="Q1386" i="1"/>
  <c r="S1386" i="1" s="1"/>
  <c r="AN1386" i="1" s="1"/>
  <c r="AP1386" i="1" s="1"/>
  <c r="K1386" i="1"/>
  <c r="AJ1385" i="1"/>
  <c r="AM1385" i="1" s="1"/>
  <c r="AG1385" i="1"/>
  <c r="Q1385" i="1"/>
  <c r="S1385" i="1" s="1"/>
  <c r="K1385" i="1"/>
  <c r="AM1384" i="1"/>
  <c r="AG1384" i="1"/>
  <c r="AJ1384" i="1" s="1"/>
  <c r="Q1384" i="1"/>
  <c r="S1384" i="1" s="1"/>
  <c r="AG1383" i="1"/>
  <c r="AJ1383" i="1" s="1"/>
  <c r="AM1383" i="1" s="1"/>
  <c r="S1383" i="1"/>
  <c r="Q1383" i="1"/>
  <c r="K1383" i="1"/>
  <c r="AG1381" i="1"/>
  <c r="AJ1381" i="1" s="1"/>
  <c r="AM1381" i="1" s="1"/>
  <c r="Q1381" i="1"/>
  <c r="S1381" i="1" s="1"/>
  <c r="K1381" i="1"/>
  <c r="AG1380" i="1"/>
  <c r="AJ1380" i="1" s="1"/>
  <c r="AM1380" i="1" s="1"/>
  <c r="Q1380" i="1"/>
  <c r="S1380" i="1" s="1"/>
  <c r="K1380" i="1"/>
  <c r="AJ1379" i="1"/>
  <c r="AM1379" i="1" s="1"/>
  <c r="AG1379" i="1"/>
  <c r="Q1379" i="1"/>
  <c r="S1379" i="1" s="1"/>
  <c r="K1379" i="1"/>
  <c r="AG1378" i="1"/>
  <c r="AJ1378" i="1" s="1"/>
  <c r="AM1378" i="1" s="1"/>
  <c r="Q1378" i="1"/>
  <c r="S1378" i="1" s="1"/>
  <c r="AM1377" i="1"/>
  <c r="AG1377" i="1"/>
  <c r="AJ1377" i="1" s="1"/>
  <c r="Q1377" i="1"/>
  <c r="S1377" i="1" s="1"/>
  <c r="AM1376" i="1"/>
  <c r="AG1376" i="1"/>
  <c r="AJ1376" i="1" s="1"/>
  <c r="Q1376" i="1"/>
  <c r="S1376" i="1" s="1"/>
  <c r="AG1375" i="1"/>
  <c r="AJ1375" i="1" s="1"/>
  <c r="AM1375" i="1" s="1"/>
  <c r="Q1375" i="1"/>
  <c r="S1375" i="1" s="1"/>
  <c r="AN1375" i="1" s="1"/>
  <c r="AP1375" i="1" s="1"/>
  <c r="AG1374" i="1"/>
  <c r="AJ1374" i="1" s="1"/>
  <c r="AM1374" i="1" s="1"/>
  <c r="Q1374" i="1"/>
  <c r="S1374" i="1" s="1"/>
  <c r="AG1373" i="1"/>
  <c r="AJ1373" i="1" s="1"/>
  <c r="AM1373" i="1" s="1"/>
  <c r="Q1373" i="1"/>
  <c r="S1373" i="1" s="1"/>
  <c r="AG1372" i="1"/>
  <c r="AJ1372" i="1" s="1"/>
  <c r="AM1372" i="1" s="1"/>
  <c r="Q1372" i="1"/>
  <c r="S1372" i="1" s="1"/>
  <c r="AG1371" i="1"/>
  <c r="AJ1371" i="1" s="1"/>
  <c r="AM1371" i="1" s="1"/>
  <c r="Q1371" i="1"/>
  <c r="S1371" i="1" s="1"/>
  <c r="AG1370" i="1"/>
  <c r="AJ1370" i="1" s="1"/>
  <c r="AM1370" i="1" s="1"/>
  <c r="Q1370" i="1"/>
  <c r="S1370" i="1" s="1"/>
  <c r="AJ1369" i="1"/>
  <c r="AM1369" i="1" s="1"/>
  <c r="AG1369" i="1"/>
  <c r="Q1369" i="1"/>
  <c r="S1369" i="1" s="1"/>
  <c r="AG1368" i="1"/>
  <c r="AJ1368" i="1" s="1"/>
  <c r="AM1368" i="1" s="1"/>
  <c r="Q1368" i="1"/>
  <c r="S1368" i="1" s="1"/>
  <c r="AG1367" i="1"/>
  <c r="AJ1367" i="1" s="1"/>
  <c r="AM1367" i="1" s="1"/>
  <c r="Q1367" i="1"/>
  <c r="S1367" i="1" s="1"/>
  <c r="AG1366" i="1"/>
  <c r="AJ1366" i="1" s="1"/>
  <c r="AM1366" i="1" s="1"/>
  <c r="Q1366" i="1"/>
  <c r="S1366" i="1" s="1"/>
  <c r="AG1365" i="1"/>
  <c r="AJ1365" i="1" s="1"/>
  <c r="AM1365" i="1" s="1"/>
  <c r="S1365" i="1"/>
  <c r="Q1365" i="1"/>
  <c r="AG1363" i="1"/>
  <c r="AJ1363" i="1" s="1"/>
  <c r="AM1363" i="1" s="1"/>
  <c r="Q1363" i="1"/>
  <c r="S1363" i="1" s="1"/>
  <c r="AG1362" i="1"/>
  <c r="AJ1362" i="1" s="1"/>
  <c r="AM1362" i="1" s="1"/>
  <c r="Q1362" i="1"/>
  <c r="S1362" i="1" s="1"/>
  <c r="AJ1361" i="1"/>
  <c r="AM1361" i="1" s="1"/>
  <c r="AG1361" i="1"/>
  <c r="Q1361" i="1"/>
  <c r="S1361" i="1" s="1"/>
  <c r="AG1360" i="1"/>
  <c r="AJ1360" i="1" s="1"/>
  <c r="AM1360" i="1" s="1"/>
  <c r="Q1360" i="1"/>
  <c r="S1360" i="1" s="1"/>
  <c r="AG1359" i="1"/>
  <c r="AJ1359" i="1" s="1"/>
  <c r="AM1359" i="1" s="1"/>
  <c r="S1359" i="1"/>
  <c r="AN1359" i="1" s="1"/>
  <c r="AP1359" i="1" s="1"/>
  <c r="Q1359" i="1"/>
  <c r="AG1358" i="1"/>
  <c r="AJ1358" i="1" s="1"/>
  <c r="AM1358" i="1" s="1"/>
  <c r="Q1358" i="1"/>
  <c r="S1358" i="1" s="1"/>
  <c r="AJ1357" i="1"/>
  <c r="AM1357" i="1" s="1"/>
  <c r="AG1357" i="1"/>
  <c r="Q1357" i="1"/>
  <c r="S1357" i="1" s="1"/>
  <c r="AG1356" i="1"/>
  <c r="AJ1356" i="1" s="1"/>
  <c r="AM1356" i="1" s="1"/>
  <c r="Q1356" i="1"/>
  <c r="S1356" i="1" s="1"/>
  <c r="AG1355" i="1"/>
  <c r="AJ1355" i="1" s="1"/>
  <c r="AM1355" i="1" s="1"/>
  <c r="Q1355" i="1"/>
  <c r="S1355" i="1" s="1"/>
  <c r="AN1355" i="1" s="1"/>
  <c r="AP1355" i="1" s="1"/>
  <c r="AJ1354" i="1"/>
  <c r="AM1354" i="1" s="1"/>
  <c r="AG1354" i="1"/>
  <c r="Q1354" i="1"/>
  <c r="S1354" i="1" s="1"/>
  <c r="AJ1353" i="1"/>
  <c r="AM1353" i="1" s="1"/>
  <c r="AG1353" i="1"/>
  <c r="S1353" i="1"/>
  <c r="AN1353" i="1" s="1"/>
  <c r="AP1353" i="1" s="1"/>
  <c r="Q1353" i="1"/>
  <c r="AS1352" i="1"/>
  <c r="AG1352" i="1"/>
  <c r="AJ1352" i="1" s="1"/>
  <c r="AM1352" i="1" s="1"/>
  <c r="S1352" i="1"/>
  <c r="AN1352" i="1" s="1"/>
  <c r="AP1352" i="1" s="1"/>
  <c r="Q1352" i="1"/>
  <c r="AG1351" i="1"/>
  <c r="AJ1351" i="1" s="1"/>
  <c r="AM1351" i="1" s="1"/>
  <c r="Q1351" i="1"/>
  <c r="S1351" i="1" s="1"/>
  <c r="AG1350" i="1"/>
  <c r="AJ1350" i="1" s="1"/>
  <c r="AM1350" i="1" s="1"/>
  <c r="Q1350" i="1"/>
  <c r="S1350" i="1" s="1"/>
  <c r="AG1349" i="1"/>
  <c r="AJ1349" i="1" s="1"/>
  <c r="AM1349" i="1" s="1"/>
  <c r="AN1349" i="1" s="1"/>
  <c r="AP1349" i="1" s="1"/>
  <c r="Q1349" i="1"/>
  <c r="S1349" i="1" s="1"/>
  <c r="AG1348" i="1"/>
  <c r="AJ1348" i="1" s="1"/>
  <c r="AM1348" i="1" s="1"/>
  <c r="Q1348" i="1"/>
  <c r="S1348" i="1" s="1"/>
  <c r="AG1347" i="1"/>
  <c r="AJ1347" i="1" s="1"/>
  <c r="AM1347" i="1" s="1"/>
  <c r="Q1347" i="1"/>
  <c r="S1347" i="1" s="1"/>
  <c r="AG1346" i="1"/>
  <c r="AJ1346" i="1" s="1"/>
  <c r="AM1346" i="1" s="1"/>
  <c r="Q1346" i="1"/>
  <c r="S1346" i="1" s="1"/>
  <c r="AG1345" i="1"/>
  <c r="AJ1345" i="1" s="1"/>
  <c r="AM1345" i="1" s="1"/>
  <c r="S1345" i="1"/>
  <c r="Q1345" i="1"/>
  <c r="AG1344" i="1"/>
  <c r="AJ1344" i="1" s="1"/>
  <c r="AM1344" i="1" s="1"/>
  <c r="Q1344" i="1"/>
  <c r="S1344" i="1" s="1"/>
  <c r="AG1343" i="1"/>
  <c r="AJ1343" i="1" s="1"/>
  <c r="AM1343" i="1" s="1"/>
  <c r="Q1343" i="1"/>
  <c r="S1343" i="1" s="1"/>
  <c r="AG1342" i="1"/>
  <c r="AJ1342" i="1" s="1"/>
  <c r="AM1342" i="1" s="1"/>
  <c r="Q1342" i="1"/>
  <c r="S1342" i="1" s="1"/>
  <c r="AG1341" i="1"/>
  <c r="AJ1341" i="1" s="1"/>
  <c r="AM1341" i="1" s="1"/>
  <c r="Q1341" i="1"/>
  <c r="S1341" i="1" s="1"/>
  <c r="AG1340" i="1"/>
  <c r="AJ1340" i="1" s="1"/>
  <c r="AM1340" i="1" s="1"/>
  <c r="Q1340" i="1"/>
  <c r="S1340" i="1" s="1"/>
  <c r="AG1339" i="1"/>
  <c r="AJ1339" i="1" s="1"/>
  <c r="AM1339" i="1" s="1"/>
  <c r="Q1339" i="1"/>
  <c r="S1339" i="1" s="1"/>
  <c r="AG1338" i="1"/>
  <c r="AJ1338" i="1" s="1"/>
  <c r="AM1338" i="1" s="1"/>
  <c r="Q1338" i="1"/>
  <c r="S1338" i="1" s="1"/>
  <c r="AG1337" i="1"/>
  <c r="AJ1337" i="1" s="1"/>
  <c r="AM1337" i="1" s="1"/>
  <c r="Q1337" i="1"/>
  <c r="S1337" i="1" s="1"/>
  <c r="AG1336" i="1"/>
  <c r="AJ1336" i="1" s="1"/>
  <c r="AM1336" i="1" s="1"/>
  <c r="Q1336" i="1"/>
  <c r="S1336" i="1" s="1"/>
  <c r="AG1335" i="1"/>
  <c r="AJ1335" i="1" s="1"/>
  <c r="AM1335" i="1" s="1"/>
  <c r="Q1335" i="1"/>
  <c r="S1335" i="1" s="1"/>
  <c r="AG1334" i="1"/>
  <c r="AJ1334" i="1" s="1"/>
  <c r="AM1334" i="1" s="1"/>
  <c r="Q1334" i="1"/>
  <c r="S1334" i="1" s="1"/>
  <c r="AG1333" i="1"/>
  <c r="AJ1333" i="1" s="1"/>
  <c r="AM1333" i="1" s="1"/>
  <c r="Q1333" i="1"/>
  <c r="S1333" i="1" s="1"/>
  <c r="AG1332" i="1"/>
  <c r="AJ1332" i="1" s="1"/>
  <c r="AM1332" i="1" s="1"/>
  <c r="Q1332" i="1"/>
  <c r="S1332" i="1" s="1"/>
  <c r="AN1332" i="1" s="1"/>
  <c r="AP1332" i="1" s="1"/>
  <c r="AG1331" i="1"/>
  <c r="AJ1331" i="1" s="1"/>
  <c r="AM1331" i="1" s="1"/>
  <c r="Q1331" i="1"/>
  <c r="S1331" i="1" s="1"/>
  <c r="K1331" i="1"/>
  <c r="AJ1330" i="1"/>
  <c r="AM1330" i="1" s="1"/>
  <c r="AG1330" i="1"/>
  <c r="S1330" i="1"/>
  <c r="Q1330" i="1"/>
  <c r="AG1329" i="1"/>
  <c r="AJ1329" i="1" s="1"/>
  <c r="AM1329" i="1" s="1"/>
  <c r="Q1329" i="1"/>
  <c r="S1329" i="1" s="1"/>
  <c r="AJ1328" i="1"/>
  <c r="AM1328" i="1" s="1"/>
  <c r="AG1328" i="1"/>
  <c r="Q1328" i="1"/>
  <c r="S1328" i="1" s="1"/>
  <c r="AG1327" i="1"/>
  <c r="AJ1327" i="1" s="1"/>
  <c r="AM1327" i="1" s="1"/>
  <c r="S1327" i="1"/>
  <c r="Q1327" i="1"/>
  <c r="AG1326" i="1"/>
  <c r="AJ1326" i="1" s="1"/>
  <c r="AM1326" i="1" s="1"/>
  <c r="Q1326" i="1"/>
  <c r="S1326" i="1" s="1"/>
  <c r="K1326" i="1"/>
  <c r="AG1325" i="1"/>
  <c r="AJ1325" i="1" s="1"/>
  <c r="AM1325" i="1" s="1"/>
  <c r="Q1325" i="1"/>
  <c r="S1325" i="1" s="1"/>
  <c r="K1325" i="1"/>
  <c r="AG1324" i="1"/>
  <c r="AJ1324" i="1" s="1"/>
  <c r="AM1324" i="1" s="1"/>
  <c r="Q1324" i="1"/>
  <c r="S1324" i="1" s="1"/>
  <c r="AG1323" i="1"/>
  <c r="AJ1323" i="1" s="1"/>
  <c r="AM1323" i="1" s="1"/>
  <c r="AB1323" i="1"/>
  <c r="Q1323" i="1"/>
  <c r="S1323" i="1" s="1"/>
  <c r="AG1322" i="1"/>
  <c r="AJ1322" i="1" s="1"/>
  <c r="AM1322" i="1" s="1"/>
  <c r="S1322" i="1"/>
  <c r="Q1322" i="1"/>
  <c r="AG1321" i="1"/>
  <c r="AJ1321" i="1" s="1"/>
  <c r="AM1321" i="1" s="1"/>
  <c r="Q1321" i="1"/>
  <c r="S1321" i="1" s="1"/>
  <c r="AG1320" i="1"/>
  <c r="AJ1320" i="1" s="1"/>
  <c r="AM1320" i="1" s="1"/>
  <c r="Q1320" i="1"/>
  <c r="S1320" i="1" s="1"/>
  <c r="K1320" i="1"/>
  <c r="AG1319" i="1"/>
  <c r="AJ1319" i="1" s="1"/>
  <c r="AM1319" i="1" s="1"/>
  <c r="AB1319" i="1"/>
  <c r="Q1319" i="1"/>
  <c r="S1319" i="1" s="1"/>
  <c r="AG1317" i="1"/>
  <c r="AJ1317" i="1" s="1"/>
  <c r="AM1317" i="1" s="1"/>
  <c r="Q1317" i="1"/>
  <c r="S1317" i="1" s="1"/>
  <c r="AJ1316" i="1"/>
  <c r="AM1316" i="1" s="1"/>
  <c r="AG1316" i="1"/>
  <c r="Q1316" i="1"/>
  <c r="S1316" i="1" s="1"/>
  <c r="AG1315" i="1"/>
  <c r="AJ1315" i="1" s="1"/>
  <c r="AM1315" i="1" s="1"/>
  <c r="Q1315" i="1"/>
  <c r="S1315" i="1" s="1"/>
  <c r="AG1314" i="1"/>
  <c r="AJ1314" i="1" s="1"/>
  <c r="AM1314" i="1" s="1"/>
  <c r="Q1314" i="1"/>
  <c r="S1314" i="1" s="1"/>
  <c r="AG1313" i="1"/>
  <c r="AJ1313" i="1" s="1"/>
  <c r="AM1313" i="1" s="1"/>
  <c r="Q1313" i="1"/>
  <c r="S1313" i="1" s="1"/>
  <c r="K1313" i="1"/>
  <c r="AJ1312" i="1"/>
  <c r="AM1312" i="1" s="1"/>
  <c r="AG1312" i="1"/>
  <c r="Q1312" i="1"/>
  <c r="S1312" i="1" s="1"/>
  <c r="AJ1311" i="1"/>
  <c r="AM1311" i="1" s="1"/>
  <c r="AG1311" i="1"/>
  <c r="Q1311" i="1"/>
  <c r="S1311" i="1" s="1"/>
  <c r="AG1310" i="1"/>
  <c r="AJ1310" i="1" s="1"/>
  <c r="AM1310" i="1" s="1"/>
  <c r="Q1310" i="1"/>
  <c r="S1310" i="1" s="1"/>
  <c r="AG1309" i="1"/>
  <c r="AJ1309" i="1" s="1"/>
  <c r="AM1309" i="1" s="1"/>
  <c r="Q1309" i="1"/>
  <c r="S1309" i="1" s="1"/>
  <c r="AG1308" i="1"/>
  <c r="AJ1308" i="1" s="1"/>
  <c r="AM1308" i="1" s="1"/>
  <c r="Q1308" i="1"/>
  <c r="S1308" i="1" s="1"/>
  <c r="AG1307" i="1"/>
  <c r="AJ1307" i="1" s="1"/>
  <c r="AM1307" i="1" s="1"/>
  <c r="Q1307" i="1"/>
  <c r="S1307" i="1" s="1"/>
  <c r="AN1307" i="1" s="1"/>
  <c r="AP1307" i="1" s="1"/>
  <c r="K1307" i="1"/>
  <c r="AG1306" i="1"/>
  <c r="AJ1306" i="1" s="1"/>
  <c r="AM1306" i="1" s="1"/>
  <c r="Q1306" i="1"/>
  <c r="S1306" i="1" s="1"/>
  <c r="AN1306" i="1" s="1"/>
  <c r="AP1306" i="1" s="1"/>
  <c r="AG1305" i="1"/>
  <c r="AJ1305" i="1" s="1"/>
  <c r="AM1305" i="1" s="1"/>
  <c r="Q1305" i="1"/>
  <c r="S1305" i="1" s="1"/>
  <c r="AG1304" i="1"/>
  <c r="AJ1304" i="1" s="1"/>
  <c r="AM1304" i="1" s="1"/>
  <c r="Q1304" i="1"/>
  <c r="S1304" i="1" s="1"/>
  <c r="AG1303" i="1"/>
  <c r="AJ1303" i="1" s="1"/>
  <c r="AM1303" i="1" s="1"/>
  <c r="Q1303" i="1"/>
  <c r="S1303" i="1" s="1"/>
  <c r="AG1302" i="1"/>
  <c r="AJ1302" i="1" s="1"/>
  <c r="AM1302" i="1" s="1"/>
  <c r="S1302" i="1"/>
  <c r="AN1302" i="1" s="1"/>
  <c r="AP1302" i="1" s="1"/>
  <c r="Q1302" i="1"/>
  <c r="AG1301" i="1"/>
  <c r="AJ1301" i="1" s="1"/>
  <c r="AM1301" i="1" s="1"/>
  <c r="Q1301" i="1"/>
  <c r="S1301" i="1" s="1"/>
  <c r="AG1300" i="1"/>
  <c r="AJ1300" i="1" s="1"/>
  <c r="AM1300" i="1" s="1"/>
  <c r="Q1300" i="1"/>
  <c r="S1300" i="1" s="1"/>
  <c r="K1300" i="1"/>
  <c r="AG1299" i="1"/>
  <c r="AJ1299" i="1" s="1"/>
  <c r="AM1299" i="1" s="1"/>
  <c r="Q1299" i="1"/>
  <c r="S1299" i="1" s="1"/>
  <c r="AS1298" i="1"/>
  <c r="AG1298" i="1"/>
  <c r="AJ1298" i="1" s="1"/>
  <c r="AM1298" i="1" s="1"/>
  <c r="Q1298" i="1"/>
  <c r="S1298" i="1" s="1"/>
  <c r="K1298" i="1"/>
  <c r="AG1297" i="1"/>
  <c r="AJ1297" i="1" s="1"/>
  <c r="AM1297" i="1" s="1"/>
  <c r="Q1297" i="1"/>
  <c r="S1297" i="1" s="1"/>
  <c r="AG1296" i="1"/>
  <c r="AJ1296" i="1" s="1"/>
  <c r="AM1296" i="1" s="1"/>
  <c r="Q1296" i="1"/>
  <c r="S1296" i="1" s="1"/>
  <c r="AG1295" i="1"/>
  <c r="AJ1295" i="1" s="1"/>
  <c r="AM1295" i="1" s="1"/>
  <c r="Q1295" i="1"/>
  <c r="S1295" i="1" s="1"/>
  <c r="AJ1294" i="1"/>
  <c r="AM1294" i="1" s="1"/>
  <c r="AG1294" i="1"/>
  <c r="Q1294" i="1"/>
  <c r="S1294" i="1" s="1"/>
  <c r="AG1293" i="1"/>
  <c r="AJ1293" i="1" s="1"/>
  <c r="AM1293" i="1" s="1"/>
  <c r="Q1293" i="1"/>
  <c r="S1293" i="1" s="1"/>
  <c r="K1293" i="1"/>
  <c r="AG1292" i="1"/>
  <c r="AJ1292" i="1" s="1"/>
  <c r="AM1292" i="1" s="1"/>
  <c r="Q1292" i="1"/>
  <c r="S1292" i="1" s="1"/>
  <c r="AG1291" i="1"/>
  <c r="AJ1291" i="1" s="1"/>
  <c r="AM1291" i="1" s="1"/>
  <c r="S1291" i="1"/>
  <c r="Q1291" i="1"/>
  <c r="K1291" i="1"/>
  <c r="AG1290" i="1"/>
  <c r="AJ1290" i="1" s="1"/>
  <c r="AM1290" i="1" s="1"/>
  <c r="S1290" i="1"/>
  <c r="Q1290" i="1"/>
  <c r="AG1289" i="1"/>
  <c r="AJ1289" i="1" s="1"/>
  <c r="AM1289" i="1" s="1"/>
  <c r="Q1289" i="1"/>
  <c r="S1289" i="1" s="1"/>
  <c r="AG1288" i="1"/>
  <c r="AJ1288" i="1" s="1"/>
  <c r="AM1288" i="1" s="1"/>
  <c r="Q1288" i="1"/>
  <c r="S1288" i="1" s="1"/>
  <c r="AG1287" i="1"/>
  <c r="AJ1287" i="1" s="1"/>
  <c r="AM1287" i="1" s="1"/>
  <c r="W1287" i="1"/>
  <c r="Q1287" i="1"/>
  <c r="S1287" i="1" s="1"/>
  <c r="AG1286" i="1"/>
  <c r="AJ1286" i="1" s="1"/>
  <c r="AM1286" i="1" s="1"/>
  <c r="Q1286" i="1"/>
  <c r="S1286" i="1" s="1"/>
  <c r="AG1285" i="1"/>
  <c r="AJ1285" i="1" s="1"/>
  <c r="AM1285" i="1" s="1"/>
  <c r="Q1285" i="1"/>
  <c r="S1285" i="1" s="1"/>
  <c r="AJ1284" i="1"/>
  <c r="AM1284" i="1" s="1"/>
  <c r="AG1284" i="1"/>
  <c r="Q1284" i="1"/>
  <c r="S1284" i="1" s="1"/>
  <c r="AG1283" i="1"/>
  <c r="AJ1283" i="1" s="1"/>
  <c r="AM1283" i="1" s="1"/>
  <c r="Q1283" i="1"/>
  <c r="S1283" i="1" s="1"/>
  <c r="AG1281" i="1"/>
  <c r="AJ1281" i="1" s="1"/>
  <c r="AM1281" i="1" s="1"/>
  <c r="Q1281" i="1"/>
  <c r="S1281" i="1" s="1"/>
  <c r="AM1280" i="1"/>
  <c r="AK1280" i="1"/>
  <c r="AJ1280" i="1"/>
  <c r="W1280" i="1"/>
  <c r="S1280" i="1"/>
  <c r="AN1280" i="1" s="1"/>
  <c r="AP1280" i="1" s="1"/>
  <c r="Q1280" i="1"/>
  <c r="AG1279" i="1"/>
  <c r="AJ1279" i="1" s="1"/>
  <c r="AM1279" i="1" s="1"/>
  <c r="Q1279" i="1"/>
  <c r="S1279" i="1" s="1"/>
  <c r="AG1278" i="1"/>
  <c r="AJ1278" i="1" s="1"/>
  <c r="AM1278" i="1" s="1"/>
  <c r="Q1278" i="1"/>
  <c r="S1278" i="1" s="1"/>
  <c r="K1278" i="1"/>
  <c r="AG1277" i="1"/>
  <c r="AJ1277" i="1" s="1"/>
  <c r="AM1277" i="1" s="1"/>
  <c r="S1277" i="1"/>
  <c r="Q1277" i="1"/>
  <c r="AG1276" i="1"/>
  <c r="AJ1276" i="1" s="1"/>
  <c r="AM1276" i="1" s="1"/>
  <c r="Q1276" i="1"/>
  <c r="S1276" i="1" s="1"/>
  <c r="AJ1275" i="1"/>
  <c r="AM1275" i="1" s="1"/>
  <c r="AE1274" i="1"/>
  <c r="Y1274" i="1"/>
  <c r="AG1274" i="1" s="1"/>
  <c r="AJ1274" i="1" s="1"/>
  <c r="AM1274" i="1" s="1"/>
  <c r="Q1274" i="1"/>
  <c r="S1274" i="1" s="1"/>
  <c r="AG1273" i="1"/>
  <c r="AJ1273" i="1" s="1"/>
  <c r="AM1273" i="1" s="1"/>
  <c r="Q1273" i="1"/>
  <c r="S1273" i="1" s="1"/>
  <c r="AG1272" i="1"/>
  <c r="AJ1272" i="1" s="1"/>
  <c r="AM1272" i="1" s="1"/>
  <c r="Q1272" i="1"/>
  <c r="S1272" i="1" s="1"/>
  <c r="AM1271" i="1"/>
  <c r="AG1271" i="1"/>
  <c r="AJ1271" i="1" s="1"/>
  <c r="Q1271" i="1"/>
  <c r="S1271" i="1" s="1"/>
  <c r="AG1270" i="1"/>
  <c r="AJ1270" i="1" s="1"/>
  <c r="AM1270" i="1" s="1"/>
  <c r="S1270" i="1"/>
  <c r="Q1270" i="1"/>
  <c r="AG1269" i="1"/>
  <c r="AJ1269" i="1" s="1"/>
  <c r="AM1269" i="1" s="1"/>
  <c r="Q1269" i="1"/>
  <c r="S1269" i="1" s="1"/>
  <c r="AK1268" i="1"/>
  <c r="AJ1268" i="1"/>
  <c r="AM1268" i="1" s="1"/>
  <c r="AN1268" i="1" s="1"/>
  <c r="AP1268" i="1" s="1"/>
  <c r="AE1268" i="1"/>
  <c r="AM1267" i="1"/>
  <c r="AN1267" i="1" s="1"/>
  <c r="AP1267" i="1" s="1"/>
  <c r="S1267" i="1"/>
  <c r="AK1266" i="1"/>
  <c r="AJ1266" i="1"/>
  <c r="AM1266" i="1" s="1"/>
  <c r="Q1266" i="1"/>
  <c r="S1266" i="1" s="1"/>
  <c r="AG1265" i="1"/>
  <c r="AJ1265" i="1" s="1"/>
  <c r="AM1265" i="1" s="1"/>
  <c r="Q1265" i="1"/>
  <c r="S1265" i="1" s="1"/>
  <c r="AJ1264" i="1"/>
  <c r="AM1264" i="1" s="1"/>
  <c r="AG1264" i="1"/>
  <c r="Q1264" i="1"/>
  <c r="S1264" i="1" s="1"/>
  <c r="AG1263" i="1"/>
  <c r="AJ1263" i="1" s="1"/>
  <c r="AM1263" i="1" s="1"/>
  <c r="Q1263" i="1"/>
  <c r="S1263" i="1" s="1"/>
  <c r="AJ1262" i="1"/>
  <c r="AM1262" i="1" s="1"/>
  <c r="AG1262" i="1"/>
  <c r="Q1262" i="1"/>
  <c r="S1262" i="1" s="1"/>
  <c r="AG1259" i="1"/>
  <c r="AJ1259" i="1" s="1"/>
  <c r="AM1259" i="1" s="1"/>
  <c r="Q1259" i="1"/>
  <c r="S1259" i="1" s="1"/>
  <c r="AN1259" i="1" s="1"/>
  <c r="AP1259" i="1" s="1"/>
  <c r="AG1258" i="1"/>
  <c r="AJ1258" i="1" s="1"/>
  <c r="AM1258" i="1" s="1"/>
  <c r="Q1258" i="1"/>
  <c r="S1258" i="1" s="1"/>
  <c r="AG1257" i="1"/>
  <c r="AJ1257" i="1" s="1"/>
  <c r="AM1257" i="1" s="1"/>
  <c r="Q1257" i="1"/>
  <c r="S1257" i="1" s="1"/>
  <c r="AN1257" i="1" s="1"/>
  <c r="AP1257" i="1" s="1"/>
  <c r="K1257" i="1"/>
  <c r="AG1256" i="1"/>
  <c r="AJ1256" i="1" s="1"/>
  <c r="AM1256" i="1" s="1"/>
  <c r="Q1256" i="1"/>
  <c r="S1256" i="1" s="1"/>
  <c r="K1256" i="1"/>
  <c r="AG1255" i="1"/>
  <c r="AJ1255" i="1" s="1"/>
  <c r="AM1255" i="1" s="1"/>
  <c r="S1255" i="1"/>
  <c r="Q1255" i="1"/>
  <c r="AS1254" i="1"/>
  <c r="AG1254" i="1"/>
  <c r="AJ1254" i="1" s="1"/>
  <c r="AM1254" i="1" s="1"/>
  <c r="Q1254" i="1"/>
  <c r="S1254" i="1" s="1"/>
  <c r="AG1253" i="1"/>
  <c r="AJ1253" i="1" s="1"/>
  <c r="AM1253" i="1" s="1"/>
  <c r="Q1253" i="1"/>
  <c r="S1253" i="1" s="1"/>
  <c r="AG1252" i="1"/>
  <c r="AJ1252" i="1" s="1"/>
  <c r="AM1252" i="1" s="1"/>
  <c r="Q1252" i="1"/>
  <c r="S1252" i="1" s="1"/>
  <c r="AG1251" i="1"/>
  <c r="AJ1251" i="1" s="1"/>
  <c r="AM1251" i="1" s="1"/>
  <c r="Q1251" i="1"/>
  <c r="S1251" i="1" s="1"/>
  <c r="AN1251" i="1" s="1"/>
  <c r="AP1251" i="1" s="1"/>
  <c r="AG1250" i="1"/>
  <c r="AJ1250" i="1" s="1"/>
  <c r="AM1250" i="1" s="1"/>
  <c r="Q1250" i="1"/>
  <c r="S1250" i="1" s="1"/>
  <c r="AG1249" i="1"/>
  <c r="AJ1249" i="1" s="1"/>
  <c r="AM1249" i="1" s="1"/>
  <c r="Q1249" i="1"/>
  <c r="S1249" i="1" s="1"/>
  <c r="AG1248" i="1"/>
  <c r="AJ1248" i="1" s="1"/>
  <c r="AM1248" i="1" s="1"/>
  <c r="Q1248" i="1"/>
  <c r="S1248" i="1" s="1"/>
  <c r="AG1247" i="1"/>
  <c r="AJ1247" i="1" s="1"/>
  <c r="AM1247" i="1" s="1"/>
  <c r="Q1247" i="1"/>
  <c r="S1247" i="1" s="1"/>
  <c r="K1247" i="1"/>
  <c r="AG1246" i="1"/>
  <c r="AJ1246" i="1" s="1"/>
  <c r="AM1246" i="1" s="1"/>
  <c r="Q1246" i="1"/>
  <c r="S1246" i="1" s="1"/>
  <c r="AG1244" i="1"/>
  <c r="AJ1244" i="1" s="1"/>
  <c r="AM1244" i="1" s="1"/>
  <c r="Q1244" i="1"/>
  <c r="S1244" i="1" s="1"/>
  <c r="AG1243" i="1"/>
  <c r="AJ1243" i="1" s="1"/>
  <c r="AM1243" i="1" s="1"/>
  <c r="Q1243" i="1"/>
  <c r="S1243" i="1" s="1"/>
  <c r="AG1242" i="1"/>
  <c r="AJ1242" i="1" s="1"/>
  <c r="AM1242" i="1" s="1"/>
  <c r="Q1242" i="1"/>
  <c r="S1242" i="1" s="1"/>
  <c r="AG1241" i="1"/>
  <c r="AJ1241" i="1" s="1"/>
  <c r="AM1241" i="1" s="1"/>
  <c r="Q1241" i="1"/>
  <c r="S1241" i="1" s="1"/>
  <c r="AJ1240" i="1"/>
  <c r="AM1240" i="1" s="1"/>
  <c r="AG1240" i="1"/>
  <c r="Q1240" i="1"/>
  <c r="S1240" i="1" s="1"/>
  <c r="AG1239" i="1"/>
  <c r="AJ1239" i="1" s="1"/>
  <c r="AM1239" i="1" s="1"/>
  <c r="Q1239" i="1"/>
  <c r="S1239" i="1" s="1"/>
  <c r="K1239" i="1"/>
  <c r="AG1238" i="1"/>
  <c r="AJ1238" i="1" s="1"/>
  <c r="AM1238" i="1" s="1"/>
  <c r="Q1238" i="1"/>
  <c r="S1238" i="1" s="1"/>
  <c r="AN1238" i="1" s="1"/>
  <c r="AP1238" i="1" s="1"/>
  <c r="K1238" i="1"/>
  <c r="AG1237" i="1"/>
  <c r="AJ1237" i="1" s="1"/>
  <c r="AM1237" i="1" s="1"/>
  <c r="Q1237" i="1"/>
  <c r="S1237" i="1" s="1"/>
  <c r="K1237" i="1"/>
  <c r="AG1236" i="1"/>
  <c r="AJ1236" i="1" s="1"/>
  <c r="AM1236" i="1" s="1"/>
  <c r="Q1236" i="1"/>
  <c r="S1236" i="1" s="1"/>
  <c r="AG1235" i="1"/>
  <c r="AJ1235" i="1" s="1"/>
  <c r="AM1235" i="1" s="1"/>
  <c r="Q1235" i="1"/>
  <c r="S1235" i="1" s="1"/>
  <c r="AM1234" i="1"/>
  <c r="AJ1234" i="1"/>
  <c r="Q1234" i="1"/>
  <c r="S1234" i="1" s="1"/>
  <c r="K1234" i="1"/>
  <c r="AJ1233" i="1"/>
  <c r="AM1233" i="1" s="1"/>
  <c r="AJ1232" i="1"/>
  <c r="AM1232" i="1" s="1"/>
  <c r="X1232" i="1"/>
  <c r="Q1232" i="1"/>
  <c r="S1232" i="1" s="1"/>
  <c r="AJ1231" i="1"/>
  <c r="AM1231" i="1" s="1"/>
  <c r="AG1231" i="1"/>
  <c r="Q1231" i="1"/>
  <c r="S1231" i="1" s="1"/>
  <c r="AG1230" i="1"/>
  <c r="AJ1230" i="1" s="1"/>
  <c r="AM1230" i="1" s="1"/>
  <c r="Q1230" i="1"/>
  <c r="S1230" i="1" s="1"/>
  <c r="AS1229" i="1"/>
  <c r="AG1229" i="1"/>
  <c r="AJ1229" i="1" s="1"/>
  <c r="AM1229" i="1" s="1"/>
  <c r="Q1229" i="1"/>
  <c r="S1229" i="1" s="1"/>
  <c r="K1229" i="1"/>
  <c r="AK1228" i="1"/>
  <c r="AJ1228" i="1"/>
  <c r="AM1228" i="1" s="1"/>
  <c r="Q1228" i="1"/>
  <c r="S1228" i="1" s="1"/>
  <c r="AN1228" i="1" s="1"/>
  <c r="AP1228" i="1" s="1"/>
  <c r="AK1227" i="1"/>
  <c r="AJ1227" i="1"/>
  <c r="AM1227" i="1" s="1"/>
  <c r="Q1227" i="1"/>
  <c r="S1227" i="1" s="1"/>
  <c r="AG1226" i="1"/>
  <c r="AJ1226" i="1" s="1"/>
  <c r="AM1226" i="1" s="1"/>
  <c r="Q1226" i="1"/>
  <c r="S1226" i="1" s="1"/>
  <c r="AG1225" i="1"/>
  <c r="AJ1225" i="1" s="1"/>
  <c r="AM1225" i="1" s="1"/>
  <c r="Q1225" i="1"/>
  <c r="S1225" i="1" s="1"/>
  <c r="AN1225" i="1" s="1"/>
  <c r="AP1225" i="1" s="1"/>
  <c r="AG1224" i="1"/>
  <c r="AJ1224" i="1" s="1"/>
  <c r="AM1224" i="1" s="1"/>
  <c r="Q1224" i="1"/>
  <c r="S1224" i="1" s="1"/>
  <c r="AJ1223" i="1"/>
  <c r="AM1223" i="1" s="1"/>
  <c r="AN1223" i="1" s="1"/>
  <c r="AP1223" i="1" s="1"/>
  <c r="AJ1222" i="1"/>
  <c r="AM1222" i="1" s="1"/>
  <c r="AN1222" i="1" s="1"/>
  <c r="AP1222" i="1" s="1"/>
  <c r="AJ1221" i="1"/>
  <c r="AM1221" i="1" s="1"/>
  <c r="Q1221" i="1"/>
  <c r="S1221" i="1" s="1"/>
  <c r="AS1220" i="1"/>
  <c r="AG1220" i="1"/>
  <c r="AJ1220" i="1" s="1"/>
  <c r="AM1220" i="1" s="1"/>
  <c r="S1220" i="1"/>
  <c r="Q1220" i="1"/>
  <c r="K1220" i="1"/>
  <c r="AG1218" i="1"/>
  <c r="AJ1218" i="1" s="1"/>
  <c r="AM1218" i="1" s="1"/>
  <c r="Q1218" i="1"/>
  <c r="S1218" i="1" s="1"/>
  <c r="K1218" i="1"/>
  <c r="AG1217" i="1"/>
  <c r="AJ1217" i="1" s="1"/>
  <c r="AM1217" i="1" s="1"/>
  <c r="Q1217" i="1"/>
  <c r="S1217" i="1" s="1"/>
  <c r="K1217" i="1"/>
  <c r="AG1216" i="1"/>
  <c r="AJ1216" i="1" s="1"/>
  <c r="AM1216" i="1" s="1"/>
  <c r="Q1216" i="1"/>
  <c r="S1216" i="1" s="1"/>
  <c r="K1216" i="1"/>
  <c r="AG1215" i="1"/>
  <c r="AJ1215" i="1" s="1"/>
  <c r="AM1215" i="1" s="1"/>
  <c r="Q1215" i="1"/>
  <c r="S1215" i="1" s="1"/>
  <c r="K1215" i="1"/>
  <c r="AG1214" i="1"/>
  <c r="AJ1214" i="1" s="1"/>
  <c r="AM1214" i="1" s="1"/>
  <c r="Q1214" i="1"/>
  <c r="S1214" i="1" s="1"/>
  <c r="K1214" i="1"/>
  <c r="AG1213" i="1"/>
  <c r="AJ1213" i="1" s="1"/>
  <c r="AM1213" i="1" s="1"/>
  <c r="Q1213" i="1"/>
  <c r="S1213" i="1" s="1"/>
  <c r="K1213" i="1"/>
  <c r="AG1212" i="1"/>
  <c r="AJ1212" i="1" s="1"/>
  <c r="AM1212" i="1" s="1"/>
  <c r="Q1212" i="1"/>
  <c r="S1212" i="1" s="1"/>
  <c r="K1212" i="1"/>
  <c r="AG1211" i="1"/>
  <c r="AJ1211" i="1" s="1"/>
  <c r="AM1211" i="1" s="1"/>
  <c r="Q1211" i="1"/>
  <c r="S1211" i="1" s="1"/>
  <c r="K1211" i="1"/>
  <c r="AG1210" i="1"/>
  <c r="AJ1210" i="1" s="1"/>
  <c r="AM1210" i="1" s="1"/>
  <c r="Q1210" i="1"/>
  <c r="S1210" i="1" s="1"/>
  <c r="K1210" i="1"/>
  <c r="AG1208" i="1"/>
  <c r="AJ1208" i="1" s="1"/>
  <c r="AM1208" i="1" s="1"/>
  <c r="Q1208" i="1"/>
  <c r="S1208" i="1" s="1"/>
  <c r="K1208" i="1"/>
  <c r="Q1207" i="1"/>
  <c r="AJ1206" i="1"/>
  <c r="AM1206" i="1" s="1"/>
  <c r="W1206" i="1"/>
  <c r="Q1206" i="1"/>
  <c r="S1206" i="1" s="1"/>
  <c r="AG1205" i="1"/>
  <c r="AJ1205" i="1" s="1"/>
  <c r="AM1205" i="1" s="1"/>
  <c r="S1205" i="1"/>
  <c r="AN1205" i="1" s="1"/>
  <c r="AP1205" i="1" s="1"/>
  <c r="Q1205" i="1"/>
  <c r="AG1204" i="1"/>
  <c r="AJ1204" i="1" s="1"/>
  <c r="AM1204" i="1" s="1"/>
  <c r="Q1204" i="1"/>
  <c r="S1204" i="1" s="1"/>
  <c r="AJ1203" i="1"/>
  <c r="AM1203" i="1" s="1"/>
  <c r="AG1203" i="1"/>
  <c r="W1203" i="1"/>
  <c r="Q1203" i="1"/>
  <c r="S1203" i="1" s="1"/>
  <c r="AJ1202" i="1"/>
  <c r="AM1202" i="1" s="1"/>
  <c r="AG1202" i="1"/>
  <c r="Q1202" i="1"/>
  <c r="S1202" i="1" s="1"/>
  <c r="K1202" i="1"/>
  <c r="AM1201" i="1"/>
  <c r="AG1201" i="1"/>
  <c r="AJ1201" i="1" s="1"/>
  <c r="Q1201" i="1"/>
  <c r="S1201" i="1" s="1"/>
  <c r="K1201" i="1"/>
  <c r="AG1200" i="1"/>
  <c r="AJ1200" i="1" s="1"/>
  <c r="AM1200" i="1" s="1"/>
  <c r="Q1200" i="1"/>
  <c r="S1200" i="1" s="1"/>
  <c r="K1200" i="1"/>
  <c r="AG1199" i="1"/>
  <c r="AJ1199" i="1" s="1"/>
  <c r="AM1199" i="1" s="1"/>
  <c r="Q1199" i="1"/>
  <c r="S1199" i="1" s="1"/>
  <c r="AG1197" i="1"/>
  <c r="AJ1197" i="1" s="1"/>
  <c r="AM1197" i="1" s="1"/>
  <c r="Q1197" i="1"/>
  <c r="S1197" i="1" s="1"/>
  <c r="AJ1196" i="1"/>
  <c r="AM1196" i="1" s="1"/>
  <c r="AG1196" i="1"/>
  <c r="Q1196" i="1"/>
  <c r="S1196" i="1" s="1"/>
  <c r="K1196" i="1"/>
  <c r="AG1195" i="1"/>
  <c r="AJ1195" i="1" s="1"/>
  <c r="AM1195" i="1" s="1"/>
  <c r="Q1195" i="1"/>
  <c r="S1195" i="1" s="1"/>
  <c r="K1195" i="1"/>
  <c r="AG1194" i="1"/>
  <c r="AJ1194" i="1" s="1"/>
  <c r="AM1194" i="1" s="1"/>
  <c r="Q1194" i="1"/>
  <c r="S1194" i="1" s="1"/>
  <c r="AG1193" i="1"/>
  <c r="AJ1193" i="1" s="1"/>
  <c r="AM1193" i="1" s="1"/>
  <c r="Q1193" i="1"/>
  <c r="S1193" i="1" s="1"/>
  <c r="AG1192" i="1"/>
  <c r="AJ1192" i="1" s="1"/>
  <c r="AM1192" i="1" s="1"/>
  <c r="Q1192" i="1"/>
  <c r="S1192" i="1" s="1"/>
  <c r="AN1192" i="1" s="1"/>
  <c r="AP1192" i="1" s="1"/>
  <c r="AG1191" i="1"/>
  <c r="AJ1191" i="1" s="1"/>
  <c r="AM1191" i="1" s="1"/>
  <c r="Q1191" i="1"/>
  <c r="S1191" i="1" s="1"/>
  <c r="AG1190" i="1"/>
  <c r="AJ1190" i="1" s="1"/>
  <c r="AM1190" i="1" s="1"/>
  <c r="S1190" i="1"/>
  <c r="Q1190" i="1"/>
  <c r="K1190" i="1"/>
  <c r="Q1189" i="1"/>
  <c r="AS1188" i="1"/>
  <c r="AG1188" i="1"/>
  <c r="AJ1188" i="1" s="1"/>
  <c r="AM1188" i="1" s="1"/>
  <c r="Q1188" i="1"/>
  <c r="S1188" i="1" s="1"/>
  <c r="K1188" i="1"/>
  <c r="AG1187" i="1"/>
  <c r="AJ1187" i="1" s="1"/>
  <c r="AM1187" i="1" s="1"/>
  <c r="Q1187" i="1"/>
  <c r="S1187" i="1" s="1"/>
  <c r="Q1184" i="1"/>
  <c r="S1184" i="1" s="1"/>
  <c r="Q1183" i="1"/>
  <c r="S1183" i="1" s="1"/>
  <c r="AG1182" i="1"/>
  <c r="AJ1182" i="1" s="1"/>
  <c r="AM1182" i="1" s="1"/>
  <c r="Q1182" i="1"/>
  <c r="S1182" i="1" s="1"/>
  <c r="AG1181" i="1"/>
  <c r="AJ1181" i="1" s="1"/>
  <c r="AM1181" i="1" s="1"/>
  <c r="Q1181" i="1"/>
  <c r="S1181" i="1" s="1"/>
  <c r="K1181" i="1"/>
  <c r="AS1180" i="1"/>
  <c r="AG1180" i="1"/>
  <c r="AJ1180" i="1" s="1"/>
  <c r="AM1180" i="1" s="1"/>
  <c r="Q1180" i="1"/>
  <c r="S1180" i="1" s="1"/>
  <c r="K1180" i="1"/>
  <c r="AG1179" i="1"/>
  <c r="AJ1179" i="1" s="1"/>
  <c r="AM1179" i="1" s="1"/>
  <c r="Q1179" i="1"/>
  <c r="S1179" i="1" s="1"/>
  <c r="K1179" i="1"/>
  <c r="AG1178" i="1"/>
  <c r="AJ1178" i="1" s="1"/>
  <c r="AM1178" i="1" s="1"/>
  <c r="Q1178" i="1"/>
  <c r="S1178" i="1" s="1"/>
  <c r="K1178" i="1"/>
  <c r="AG1177" i="1"/>
  <c r="AJ1177" i="1" s="1"/>
  <c r="AM1177" i="1" s="1"/>
  <c r="Q1177" i="1"/>
  <c r="S1177" i="1" s="1"/>
  <c r="AG1176" i="1"/>
  <c r="AJ1176" i="1" s="1"/>
  <c r="AM1176" i="1" s="1"/>
  <c r="Q1176" i="1"/>
  <c r="S1176" i="1" s="1"/>
  <c r="AG1175" i="1"/>
  <c r="AJ1175" i="1" s="1"/>
  <c r="AM1175" i="1" s="1"/>
  <c r="Q1175" i="1"/>
  <c r="S1175" i="1" s="1"/>
  <c r="K1175" i="1"/>
  <c r="AG1174" i="1"/>
  <c r="AJ1174" i="1" s="1"/>
  <c r="AM1174" i="1" s="1"/>
  <c r="S1174" i="1"/>
  <c r="Q1174" i="1"/>
  <c r="K1174" i="1"/>
  <c r="AG1173" i="1"/>
  <c r="AJ1173" i="1" s="1"/>
  <c r="AM1173" i="1" s="1"/>
  <c r="Q1173" i="1"/>
  <c r="S1173" i="1" s="1"/>
  <c r="K1173" i="1"/>
  <c r="AG1172" i="1"/>
  <c r="AJ1172" i="1" s="1"/>
  <c r="AM1172" i="1" s="1"/>
  <c r="Q1172" i="1"/>
  <c r="S1172" i="1" s="1"/>
  <c r="AG1171" i="1"/>
  <c r="AJ1171" i="1" s="1"/>
  <c r="AM1171" i="1" s="1"/>
  <c r="Q1171" i="1"/>
  <c r="S1171" i="1" s="1"/>
  <c r="AS1170" i="1"/>
  <c r="AG1170" i="1"/>
  <c r="AJ1170" i="1" s="1"/>
  <c r="AM1170" i="1" s="1"/>
  <c r="Q1170" i="1"/>
  <c r="S1170" i="1" s="1"/>
  <c r="K1170" i="1"/>
  <c r="AG1169" i="1"/>
  <c r="AJ1169" i="1" s="1"/>
  <c r="AM1169" i="1" s="1"/>
  <c r="S1169" i="1"/>
  <c r="Q1169" i="1"/>
  <c r="K1169" i="1"/>
  <c r="AG1168" i="1"/>
  <c r="AJ1168" i="1" s="1"/>
  <c r="AM1168" i="1" s="1"/>
  <c r="S1168" i="1"/>
  <c r="Q1168" i="1"/>
  <c r="K1168" i="1"/>
  <c r="AG1167" i="1"/>
  <c r="AJ1167" i="1" s="1"/>
  <c r="AM1167" i="1" s="1"/>
  <c r="Q1167" i="1"/>
  <c r="S1167" i="1" s="1"/>
  <c r="K1167" i="1"/>
  <c r="AG1166" i="1"/>
  <c r="AJ1166" i="1" s="1"/>
  <c r="AM1166" i="1" s="1"/>
  <c r="Q1166" i="1"/>
  <c r="S1166" i="1" s="1"/>
  <c r="K1166" i="1"/>
  <c r="AG1165" i="1"/>
  <c r="AJ1165" i="1" s="1"/>
  <c r="AM1165" i="1" s="1"/>
  <c r="Q1165" i="1"/>
  <c r="S1165" i="1" s="1"/>
  <c r="K1165" i="1"/>
  <c r="AG1164" i="1"/>
  <c r="AJ1164" i="1" s="1"/>
  <c r="AM1164" i="1" s="1"/>
  <c r="Q1164" i="1"/>
  <c r="S1164" i="1" s="1"/>
  <c r="AG1163" i="1"/>
  <c r="AJ1163" i="1" s="1"/>
  <c r="AM1163" i="1" s="1"/>
  <c r="S1163" i="1"/>
  <c r="Q1163" i="1"/>
  <c r="AG1162" i="1"/>
  <c r="AJ1162" i="1" s="1"/>
  <c r="AM1162" i="1" s="1"/>
  <c r="Q1162" i="1"/>
  <c r="S1162" i="1" s="1"/>
  <c r="AG1161" i="1"/>
  <c r="AJ1161" i="1" s="1"/>
  <c r="AM1161" i="1" s="1"/>
  <c r="S1161" i="1"/>
  <c r="Q1161" i="1"/>
  <c r="K1161" i="1"/>
  <c r="AG1160" i="1"/>
  <c r="AJ1160" i="1" s="1"/>
  <c r="AM1160" i="1" s="1"/>
  <c r="Q1160" i="1"/>
  <c r="S1160" i="1" s="1"/>
  <c r="K1160" i="1"/>
  <c r="AG1159" i="1"/>
  <c r="AJ1159" i="1" s="1"/>
  <c r="AM1159" i="1" s="1"/>
  <c r="Q1159" i="1"/>
  <c r="S1159" i="1" s="1"/>
  <c r="AG1158" i="1"/>
  <c r="AJ1158" i="1" s="1"/>
  <c r="AM1158" i="1" s="1"/>
  <c r="Q1158" i="1"/>
  <c r="S1158" i="1" s="1"/>
  <c r="AG1157" i="1"/>
  <c r="AJ1157" i="1" s="1"/>
  <c r="AM1157" i="1" s="1"/>
  <c r="Q1157" i="1"/>
  <c r="S1157" i="1" s="1"/>
  <c r="K1157" i="1"/>
  <c r="AG1156" i="1"/>
  <c r="AJ1156" i="1" s="1"/>
  <c r="AM1156" i="1" s="1"/>
  <c r="Q1156" i="1"/>
  <c r="S1156" i="1" s="1"/>
  <c r="K1156" i="1"/>
  <c r="AG1155" i="1"/>
  <c r="AJ1155" i="1" s="1"/>
  <c r="AM1155" i="1" s="1"/>
  <c r="Q1155" i="1"/>
  <c r="S1155" i="1" s="1"/>
  <c r="K1155" i="1"/>
  <c r="AG1154" i="1"/>
  <c r="AJ1154" i="1" s="1"/>
  <c r="AM1154" i="1" s="1"/>
  <c r="Q1154" i="1"/>
  <c r="S1154" i="1" s="1"/>
  <c r="K1154" i="1"/>
  <c r="AG1153" i="1"/>
  <c r="AJ1153" i="1" s="1"/>
  <c r="AM1153" i="1" s="1"/>
  <c r="Q1153" i="1"/>
  <c r="S1153" i="1" s="1"/>
  <c r="K1153" i="1"/>
  <c r="AG1152" i="1"/>
  <c r="AJ1152" i="1" s="1"/>
  <c r="AM1152" i="1" s="1"/>
  <c r="Q1152" i="1"/>
  <c r="S1152" i="1" s="1"/>
  <c r="AG1151" i="1"/>
  <c r="AJ1151" i="1" s="1"/>
  <c r="AM1151" i="1" s="1"/>
  <c r="Q1151" i="1"/>
  <c r="S1151" i="1" s="1"/>
  <c r="K1151" i="1"/>
  <c r="AG1150" i="1"/>
  <c r="AJ1150" i="1" s="1"/>
  <c r="AM1150" i="1" s="1"/>
  <c r="S1150" i="1"/>
  <c r="Q1150" i="1"/>
  <c r="K1150" i="1"/>
  <c r="AG1149" i="1"/>
  <c r="AJ1149" i="1" s="1"/>
  <c r="AM1149" i="1" s="1"/>
  <c r="Q1149" i="1"/>
  <c r="S1149" i="1" s="1"/>
  <c r="AN1149" i="1" s="1"/>
  <c r="AP1149" i="1" s="1"/>
  <c r="K1149" i="1"/>
  <c r="AG1148" i="1"/>
  <c r="AJ1148" i="1" s="1"/>
  <c r="AM1148" i="1" s="1"/>
  <c r="Q1148" i="1"/>
  <c r="S1148" i="1" s="1"/>
  <c r="K1148" i="1"/>
  <c r="AG1147" i="1"/>
  <c r="AJ1147" i="1" s="1"/>
  <c r="AM1147" i="1" s="1"/>
  <c r="Q1147" i="1"/>
  <c r="S1147" i="1" s="1"/>
  <c r="K1147" i="1"/>
  <c r="AG1145" i="1"/>
  <c r="AJ1145" i="1" s="1"/>
  <c r="AM1145" i="1" s="1"/>
  <c r="Q1145" i="1"/>
  <c r="S1145" i="1" s="1"/>
  <c r="AN1145" i="1" s="1"/>
  <c r="AP1145" i="1" s="1"/>
  <c r="AG1144" i="1"/>
  <c r="AJ1144" i="1" s="1"/>
  <c r="AM1144" i="1" s="1"/>
  <c r="Q1144" i="1"/>
  <c r="S1144" i="1" s="1"/>
  <c r="K1144" i="1"/>
  <c r="AJ1143" i="1"/>
  <c r="AM1143" i="1" s="1"/>
  <c r="AG1143" i="1"/>
  <c r="Q1143" i="1"/>
  <c r="S1143" i="1" s="1"/>
  <c r="K1143" i="1"/>
  <c r="AG1142" i="1"/>
  <c r="AJ1142" i="1" s="1"/>
  <c r="AM1142" i="1" s="1"/>
  <c r="S1142" i="1"/>
  <c r="Q1142" i="1"/>
  <c r="K1142" i="1"/>
  <c r="AS1141" i="1"/>
  <c r="AG1141" i="1"/>
  <c r="AJ1141" i="1" s="1"/>
  <c r="AM1141" i="1" s="1"/>
  <c r="Q1141" i="1"/>
  <c r="S1141" i="1" s="1"/>
  <c r="K1141" i="1"/>
  <c r="AJ1140" i="1"/>
  <c r="AM1140" i="1" s="1"/>
  <c r="AG1140" i="1"/>
  <c r="Q1140" i="1"/>
  <c r="S1140" i="1" s="1"/>
  <c r="K1140" i="1"/>
  <c r="AM1139" i="1"/>
  <c r="AG1139" i="1"/>
  <c r="AJ1139" i="1" s="1"/>
  <c r="Q1139" i="1"/>
  <c r="S1139" i="1" s="1"/>
  <c r="K1139" i="1"/>
  <c r="AG1138" i="1"/>
  <c r="AJ1138" i="1" s="1"/>
  <c r="AM1138" i="1" s="1"/>
  <c r="AN1138" i="1" s="1"/>
  <c r="AP1138" i="1" s="1"/>
  <c r="S1138" i="1"/>
  <c r="Q1138" i="1"/>
  <c r="K1138" i="1"/>
  <c r="AG1137" i="1"/>
  <c r="AJ1137" i="1" s="1"/>
  <c r="AM1137" i="1" s="1"/>
  <c r="Q1137" i="1"/>
  <c r="S1137" i="1" s="1"/>
  <c r="K1137" i="1"/>
  <c r="AG1136" i="1"/>
  <c r="AJ1136" i="1" s="1"/>
  <c r="AM1136" i="1" s="1"/>
  <c r="Q1136" i="1"/>
  <c r="S1136" i="1" s="1"/>
  <c r="AG1135" i="1"/>
  <c r="AJ1135" i="1" s="1"/>
  <c r="AM1135" i="1" s="1"/>
  <c r="Q1135" i="1"/>
  <c r="S1135" i="1" s="1"/>
  <c r="K1135" i="1"/>
  <c r="AG1134" i="1"/>
  <c r="AJ1134" i="1" s="1"/>
  <c r="AM1134" i="1" s="1"/>
  <c r="S1134" i="1"/>
  <c r="Q1134" i="1"/>
  <c r="K1134" i="1"/>
  <c r="AG1133" i="1"/>
  <c r="AJ1133" i="1" s="1"/>
  <c r="AM1133" i="1" s="1"/>
  <c r="S1133" i="1"/>
  <c r="Q1133" i="1"/>
  <c r="K1133" i="1"/>
  <c r="AG1132" i="1"/>
  <c r="AJ1132" i="1" s="1"/>
  <c r="AM1132" i="1" s="1"/>
  <c r="Q1132" i="1"/>
  <c r="S1132" i="1" s="1"/>
  <c r="K1132" i="1"/>
  <c r="AG1131" i="1"/>
  <c r="AJ1131" i="1" s="1"/>
  <c r="AM1131" i="1" s="1"/>
  <c r="Q1131" i="1"/>
  <c r="S1131" i="1" s="1"/>
  <c r="K1131" i="1"/>
  <c r="AS1130" i="1"/>
  <c r="AG1130" i="1"/>
  <c r="AJ1130" i="1" s="1"/>
  <c r="AM1130" i="1" s="1"/>
  <c r="Q1130" i="1"/>
  <c r="S1130" i="1" s="1"/>
  <c r="K1130" i="1"/>
  <c r="AG1128" i="1"/>
  <c r="AJ1128" i="1" s="1"/>
  <c r="AM1128" i="1" s="1"/>
  <c r="Q1128" i="1"/>
  <c r="S1128" i="1" s="1"/>
  <c r="AG1127" i="1"/>
  <c r="AJ1127" i="1" s="1"/>
  <c r="AM1127" i="1" s="1"/>
  <c r="Q1127" i="1"/>
  <c r="S1127" i="1" s="1"/>
  <c r="K1127" i="1"/>
  <c r="AG1126" i="1"/>
  <c r="AJ1126" i="1" s="1"/>
  <c r="AM1126" i="1" s="1"/>
  <c r="Q1126" i="1"/>
  <c r="S1126" i="1" s="1"/>
  <c r="K1126" i="1"/>
  <c r="AG1125" i="1"/>
  <c r="AJ1125" i="1" s="1"/>
  <c r="AM1125" i="1" s="1"/>
  <c r="Q1125" i="1"/>
  <c r="S1125" i="1" s="1"/>
  <c r="K1125" i="1"/>
  <c r="AG1124" i="1"/>
  <c r="AJ1124" i="1" s="1"/>
  <c r="AM1124" i="1" s="1"/>
  <c r="Q1124" i="1"/>
  <c r="S1124" i="1" s="1"/>
  <c r="K1124" i="1"/>
  <c r="AG1123" i="1"/>
  <c r="AJ1123" i="1" s="1"/>
  <c r="AM1123" i="1" s="1"/>
  <c r="Q1123" i="1"/>
  <c r="S1123" i="1" s="1"/>
  <c r="AG1122" i="1"/>
  <c r="AJ1122" i="1" s="1"/>
  <c r="AM1122" i="1" s="1"/>
  <c r="Q1122" i="1"/>
  <c r="S1122" i="1" s="1"/>
  <c r="AJ1121" i="1"/>
  <c r="AM1121" i="1" s="1"/>
  <c r="AG1121" i="1"/>
  <c r="Q1121" i="1"/>
  <c r="S1121" i="1" s="1"/>
  <c r="AS1120" i="1"/>
  <c r="AG1120" i="1"/>
  <c r="AJ1120" i="1" s="1"/>
  <c r="AM1120" i="1" s="1"/>
  <c r="Q1120" i="1"/>
  <c r="S1120" i="1" s="1"/>
  <c r="AN1120" i="1" s="1"/>
  <c r="AP1120" i="1" s="1"/>
  <c r="K1120" i="1"/>
  <c r="AG1119" i="1"/>
  <c r="AJ1119" i="1" s="1"/>
  <c r="AM1119" i="1" s="1"/>
  <c r="Q1119" i="1"/>
  <c r="S1119" i="1" s="1"/>
  <c r="AG1118" i="1"/>
  <c r="AJ1118" i="1" s="1"/>
  <c r="AM1118" i="1" s="1"/>
  <c r="Q1118" i="1"/>
  <c r="S1118" i="1" s="1"/>
  <c r="K1118" i="1"/>
  <c r="AG1117" i="1"/>
  <c r="AJ1117" i="1" s="1"/>
  <c r="AM1117" i="1" s="1"/>
  <c r="Q1117" i="1"/>
  <c r="S1117" i="1" s="1"/>
  <c r="K1117" i="1"/>
  <c r="AG1116" i="1"/>
  <c r="AJ1116" i="1" s="1"/>
  <c r="AM1116" i="1" s="1"/>
  <c r="Q1116" i="1"/>
  <c r="S1116" i="1" s="1"/>
  <c r="K1116" i="1"/>
  <c r="AG1115" i="1"/>
  <c r="AJ1115" i="1" s="1"/>
  <c r="AM1115" i="1" s="1"/>
  <c r="Q1115" i="1"/>
  <c r="S1115" i="1" s="1"/>
  <c r="K1115" i="1"/>
  <c r="AJ1114" i="1"/>
  <c r="AM1114" i="1" s="1"/>
  <c r="AG1114" i="1"/>
  <c r="Q1114" i="1"/>
  <c r="S1114" i="1" s="1"/>
  <c r="K1114" i="1"/>
  <c r="AG1113" i="1"/>
  <c r="AJ1113" i="1" s="1"/>
  <c r="AM1113" i="1" s="1"/>
  <c r="Q1113" i="1"/>
  <c r="S1113" i="1" s="1"/>
  <c r="K1113" i="1"/>
  <c r="AG1112" i="1"/>
  <c r="AJ1112" i="1" s="1"/>
  <c r="AM1112" i="1" s="1"/>
  <c r="Q1112" i="1"/>
  <c r="S1112" i="1" s="1"/>
  <c r="AN1112" i="1" s="1"/>
  <c r="AP1112" i="1" s="1"/>
  <c r="K1112" i="1"/>
  <c r="AG1111" i="1"/>
  <c r="AJ1111" i="1" s="1"/>
  <c r="AM1111" i="1" s="1"/>
  <c r="Q1111" i="1"/>
  <c r="S1111" i="1" s="1"/>
  <c r="K1111" i="1"/>
  <c r="AG1110" i="1"/>
  <c r="AJ1110" i="1" s="1"/>
  <c r="AM1110" i="1" s="1"/>
  <c r="Q1110" i="1"/>
  <c r="S1110" i="1" s="1"/>
  <c r="AG1109" i="1"/>
  <c r="AJ1109" i="1" s="1"/>
  <c r="AM1109" i="1" s="1"/>
  <c r="Q1109" i="1"/>
  <c r="S1109" i="1" s="1"/>
  <c r="AN1109" i="1" s="1"/>
  <c r="AP1109" i="1" s="1"/>
  <c r="AG1108" i="1"/>
  <c r="AJ1108" i="1" s="1"/>
  <c r="AM1108" i="1" s="1"/>
  <c r="Q1108" i="1"/>
  <c r="S1108" i="1" s="1"/>
  <c r="K1108" i="1"/>
  <c r="AJ1107" i="1"/>
  <c r="AM1107" i="1" s="1"/>
  <c r="AG1107" i="1"/>
  <c r="Q1107" i="1"/>
  <c r="S1107" i="1" s="1"/>
  <c r="K1107" i="1"/>
  <c r="AM1106" i="1"/>
  <c r="AG1106" i="1"/>
  <c r="AJ1106" i="1" s="1"/>
  <c r="Q1106" i="1"/>
  <c r="S1106" i="1" s="1"/>
  <c r="K1106" i="1"/>
  <c r="AG1105" i="1"/>
  <c r="AJ1105" i="1" s="1"/>
  <c r="AM1105" i="1" s="1"/>
  <c r="AN1105" i="1" s="1"/>
  <c r="AP1105" i="1" s="1"/>
  <c r="Q1105" i="1"/>
  <c r="S1105" i="1" s="1"/>
  <c r="AG1104" i="1"/>
  <c r="AJ1104" i="1" s="1"/>
  <c r="AM1104" i="1" s="1"/>
  <c r="Q1104" i="1"/>
  <c r="S1104" i="1" s="1"/>
  <c r="K1104" i="1"/>
  <c r="AG1103" i="1"/>
  <c r="AJ1103" i="1" s="1"/>
  <c r="AM1103" i="1" s="1"/>
  <c r="Q1103" i="1"/>
  <c r="S1103" i="1" s="1"/>
  <c r="K1103" i="1"/>
  <c r="AG1102" i="1"/>
  <c r="AJ1102" i="1" s="1"/>
  <c r="AM1102" i="1" s="1"/>
  <c r="Q1102" i="1"/>
  <c r="S1102" i="1" s="1"/>
  <c r="K1102" i="1"/>
  <c r="AG1101" i="1"/>
  <c r="AJ1101" i="1" s="1"/>
  <c r="AM1101" i="1" s="1"/>
  <c r="S1101" i="1"/>
  <c r="Q1101" i="1"/>
  <c r="K1101" i="1"/>
  <c r="AG1100" i="1"/>
  <c r="AJ1100" i="1" s="1"/>
  <c r="AM1100" i="1" s="1"/>
  <c r="Q1100" i="1"/>
  <c r="S1100" i="1" s="1"/>
  <c r="K1100" i="1"/>
  <c r="AG1099" i="1"/>
  <c r="AJ1099" i="1" s="1"/>
  <c r="AM1099" i="1" s="1"/>
  <c r="Q1099" i="1"/>
  <c r="S1099" i="1" s="1"/>
  <c r="K1099" i="1"/>
  <c r="AG1098" i="1"/>
  <c r="AJ1098" i="1" s="1"/>
  <c r="AM1098" i="1" s="1"/>
  <c r="Q1098" i="1"/>
  <c r="S1098" i="1" s="1"/>
  <c r="AS1097" i="1"/>
  <c r="AG1097" i="1"/>
  <c r="AJ1097" i="1" s="1"/>
  <c r="AM1097" i="1" s="1"/>
  <c r="Q1097" i="1"/>
  <c r="S1097" i="1" s="1"/>
  <c r="AG1096" i="1"/>
  <c r="AJ1096" i="1" s="1"/>
  <c r="AM1096" i="1" s="1"/>
  <c r="S1096" i="1"/>
  <c r="Q1096" i="1"/>
  <c r="AG1095" i="1"/>
  <c r="AJ1095" i="1" s="1"/>
  <c r="AM1095" i="1" s="1"/>
  <c r="Q1095" i="1"/>
  <c r="S1095" i="1" s="1"/>
  <c r="AG1094" i="1"/>
  <c r="AJ1094" i="1" s="1"/>
  <c r="AM1094" i="1" s="1"/>
  <c r="Q1094" i="1"/>
  <c r="S1094" i="1" s="1"/>
  <c r="K1094" i="1"/>
  <c r="AG1093" i="1"/>
  <c r="AJ1093" i="1" s="1"/>
  <c r="AM1093" i="1" s="1"/>
  <c r="Q1093" i="1"/>
  <c r="S1093" i="1" s="1"/>
  <c r="K1093" i="1"/>
  <c r="AG1092" i="1"/>
  <c r="AJ1092" i="1" s="1"/>
  <c r="AM1092" i="1" s="1"/>
  <c r="Q1092" i="1"/>
  <c r="S1092" i="1" s="1"/>
  <c r="K1092" i="1"/>
  <c r="AG1091" i="1"/>
  <c r="AJ1091" i="1" s="1"/>
  <c r="AM1091" i="1" s="1"/>
  <c r="Q1091" i="1"/>
  <c r="S1091" i="1" s="1"/>
  <c r="K1091" i="1"/>
  <c r="AG1090" i="1"/>
  <c r="AJ1090" i="1" s="1"/>
  <c r="AM1090" i="1" s="1"/>
  <c r="Q1090" i="1"/>
  <c r="S1090" i="1" s="1"/>
  <c r="K1090" i="1"/>
  <c r="AG1089" i="1"/>
  <c r="AJ1089" i="1" s="1"/>
  <c r="AM1089" i="1" s="1"/>
  <c r="Q1089" i="1"/>
  <c r="S1089" i="1" s="1"/>
  <c r="K1089" i="1"/>
  <c r="AG1086" i="1"/>
  <c r="AJ1086" i="1" s="1"/>
  <c r="AM1086" i="1" s="1"/>
  <c r="Q1086" i="1"/>
  <c r="S1086" i="1" s="1"/>
  <c r="K1086" i="1"/>
  <c r="AM1085" i="1"/>
  <c r="AG1085" i="1"/>
  <c r="AJ1085" i="1" s="1"/>
  <c r="Q1085" i="1"/>
  <c r="S1085" i="1" s="1"/>
  <c r="K1085" i="1"/>
  <c r="AG1084" i="1"/>
  <c r="AJ1084" i="1" s="1"/>
  <c r="AM1084" i="1" s="1"/>
  <c r="Q1084" i="1"/>
  <c r="S1084" i="1" s="1"/>
  <c r="K1084" i="1"/>
  <c r="AG1083" i="1"/>
  <c r="AJ1083" i="1" s="1"/>
  <c r="AM1083" i="1" s="1"/>
  <c r="Q1083" i="1"/>
  <c r="S1083" i="1" s="1"/>
  <c r="K1083" i="1"/>
  <c r="AG1082" i="1"/>
  <c r="AJ1082" i="1" s="1"/>
  <c r="AM1082" i="1" s="1"/>
  <c r="Q1082" i="1"/>
  <c r="S1082" i="1" s="1"/>
  <c r="AG1081" i="1"/>
  <c r="AJ1081" i="1" s="1"/>
  <c r="AM1081" i="1" s="1"/>
  <c r="Q1081" i="1"/>
  <c r="S1081" i="1" s="1"/>
  <c r="AG1080" i="1"/>
  <c r="AJ1080" i="1" s="1"/>
  <c r="AM1080" i="1" s="1"/>
  <c r="Q1080" i="1"/>
  <c r="S1080" i="1" s="1"/>
  <c r="K1080" i="1"/>
  <c r="AG1079" i="1"/>
  <c r="AJ1079" i="1" s="1"/>
  <c r="AM1079" i="1" s="1"/>
  <c r="Q1079" i="1"/>
  <c r="S1079" i="1" s="1"/>
  <c r="AG1078" i="1"/>
  <c r="AJ1078" i="1" s="1"/>
  <c r="AM1078" i="1" s="1"/>
  <c r="Q1078" i="1"/>
  <c r="S1078" i="1" s="1"/>
  <c r="K1078" i="1"/>
  <c r="AG1077" i="1"/>
  <c r="AJ1077" i="1" s="1"/>
  <c r="AM1077" i="1" s="1"/>
  <c r="Q1077" i="1"/>
  <c r="S1077" i="1" s="1"/>
  <c r="K1077" i="1"/>
  <c r="AG1076" i="1"/>
  <c r="AJ1076" i="1" s="1"/>
  <c r="AM1076" i="1" s="1"/>
  <c r="Q1076" i="1"/>
  <c r="S1076" i="1" s="1"/>
  <c r="K1076" i="1"/>
  <c r="AG1075" i="1"/>
  <c r="AJ1075" i="1" s="1"/>
  <c r="AM1075" i="1" s="1"/>
  <c r="Q1075" i="1"/>
  <c r="S1075" i="1" s="1"/>
  <c r="K1075" i="1"/>
  <c r="AG1074" i="1"/>
  <c r="AJ1074" i="1" s="1"/>
  <c r="AM1074" i="1" s="1"/>
  <c r="Q1074" i="1"/>
  <c r="S1074" i="1" s="1"/>
  <c r="AG1073" i="1"/>
  <c r="AJ1073" i="1" s="1"/>
  <c r="AM1073" i="1" s="1"/>
  <c r="Q1073" i="1"/>
  <c r="S1073" i="1" s="1"/>
  <c r="AG1072" i="1"/>
  <c r="AJ1072" i="1" s="1"/>
  <c r="AM1072" i="1" s="1"/>
  <c r="Q1072" i="1"/>
  <c r="S1072" i="1" s="1"/>
  <c r="K1072" i="1"/>
  <c r="AG1071" i="1"/>
  <c r="AJ1071" i="1" s="1"/>
  <c r="AM1071" i="1" s="1"/>
  <c r="Q1071" i="1"/>
  <c r="S1071" i="1" s="1"/>
  <c r="AG1069" i="1"/>
  <c r="AJ1069" i="1" s="1"/>
  <c r="AM1069" i="1" s="1"/>
  <c r="S1069" i="1"/>
  <c r="Q1069" i="1"/>
  <c r="AG1068" i="1"/>
  <c r="AJ1068" i="1" s="1"/>
  <c r="AM1068" i="1" s="1"/>
  <c r="Q1068" i="1"/>
  <c r="S1068" i="1" s="1"/>
  <c r="AJ1067" i="1"/>
  <c r="AM1067" i="1" s="1"/>
  <c r="AJ1066" i="1"/>
  <c r="AM1066" i="1" s="1"/>
  <c r="Y1066" i="1"/>
  <c r="Q1066" i="1"/>
  <c r="S1066" i="1" s="1"/>
  <c r="AG1065" i="1"/>
  <c r="AJ1065" i="1" s="1"/>
  <c r="AM1065" i="1" s="1"/>
  <c r="Q1065" i="1"/>
  <c r="S1065" i="1" s="1"/>
  <c r="AJ1064" i="1"/>
  <c r="AM1064" i="1" s="1"/>
  <c r="AG1064" i="1"/>
  <c r="Q1064" i="1"/>
  <c r="S1064" i="1" s="1"/>
  <c r="K1064" i="1"/>
  <c r="AG1063" i="1"/>
  <c r="AJ1063" i="1" s="1"/>
  <c r="AM1063" i="1" s="1"/>
  <c r="Q1063" i="1"/>
  <c r="S1063" i="1" s="1"/>
  <c r="AG1062" i="1"/>
  <c r="AJ1062" i="1" s="1"/>
  <c r="AM1062" i="1" s="1"/>
  <c r="Q1062" i="1"/>
  <c r="S1062" i="1" s="1"/>
  <c r="Q1061" i="1"/>
  <c r="AS1060" i="1"/>
  <c r="AG1060" i="1"/>
  <c r="AJ1060" i="1" s="1"/>
  <c r="AM1060" i="1" s="1"/>
  <c r="Q1060" i="1"/>
  <c r="S1060" i="1" s="1"/>
  <c r="K1060" i="1"/>
  <c r="AG1059" i="1"/>
  <c r="AJ1059" i="1" s="1"/>
  <c r="AM1059" i="1" s="1"/>
  <c r="Q1059" i="1"/>
  <c r="S1059" i="1" s="1"/>
  <c r="AG1058" i="1"/>
  <c r="AJ1058" i="1" s="1"/>
  <c r="AM1058" i="1" s="1"/>
  <c r="Q1058" i="1"/>
  <c r="S1058" i="1" s="1"/>
  <c r="AG1054" i="1"/>
  <c r="AJ1054" i="1" s="1"/>
  <c r="AM1054" i="1" s="1"/>
  <c r="Q1054" i="1"/>
  <c r="S1054" i="1" s="1"/>
  <c r="AG1052" i="1"/>
  <c r="AJ1052" i="1" s="1"/>
  <c r="AM1052" i="1" s="1"/>
  <c r="Q1052" i="1"/>
  <c r="S1052" i="1" s="1"/>
  <c r="K1052" i="1"/>
  <c r="AG1051" i="1"/>
  <c r="AJ1051" i="1" s="1"/>
  <c r="AM1051" i="1" s="1"/>
  <c r="S1051" i="1"/>
  <c r="AN1051" i="1" s="1"/>
  <c r="AP1051" i="1" s="1"/>
  <c r="Q1051" i="1"/>
  <c r="K1051" i="1"/>
  <c r="AS1050" i="1"/>
  <c r="AG1050" i="1"/>
  <c r="AJ1050" i="1" s="1"/>
  <c r="AM1050" i="1" s="1"/>
  <c r="Q1050" i="1"/>
  <c r="S1050" i="1" s="1"/>
  <c r="Y1048" i="1"/>
  <c r="AG1048" i="1" s="1"/>
  <c r="AJ1048" i="1" s="1"/>
  <c r="AM1048" i="1" s="1"/>
  <c r="Q1048" i="1"/>
  <c r="S1048" i="1" s="1"/>
  <c r="AG1047" i="1"/>
  <c r="AJ1047" i="1" s="1"/>
  <c r="AM1047" i="1" s="1"/>
  <c r="Q1047" i="1"/>
  <c r="S1047" i="1" s="1"/>
  <c r="L1047" i="1"/>
  <c r="K1047" i="1" s="1"/>
  <c r="AG1046" i="1"/>
  <c r="AJ1046" i="1" s="1"/>
  <c r="AM1046" i="1" s="1"/>
  <c r="Q1046" i="1"/>
  <c r="S1046" i="1" s="1"/>
  <c r="AG1045" i="1"/>
  <c r="AJ1045" i="1" s="1"/>
  <c r="AM1045" i="1" s="1"/>
  <c r="Q1045" i="1"/>
  <c r="S1045" i="1" s="1"/>
  <c r="AN1045" i="1" s="1"/>
  <c r="AP1045" i="1" s="1"/>
  <c r="K1045" i="1"/>
  <c r="AJ1044" i="1"/>
  <c r="AM1044" i="1" s="1"/>
  <c r="AG1044" i="1"/>
  <c r="Q1044" i="1"/>
  <c r="S1044" i="1" s="1"/>
  <c r="K1044" i="1"/>
  <c r="AG1043" i="1"/>
  <c r="AJ1043" i="1" s="1"/>
  <c r="AM1043" i="1" s="1"/>
  <c r="Q1043" i="1"/>
  <c r="S1043" i="1" s="1"/>
  <c r="AJ1042" i="1"/>
  <c r="AM1042" i="1" s="1"/>
  <c r="AG1042" i="1"/>
  <c r="Q1042" i="1"/>
  <c r="S1042" i="1" s="1"/>
  <c r="AG1041" i="1"/>
  <c r="AJ1041" i="1" s="1"/>
  <c r="AM1041" i="1" s="1"/>
  <c r="Q1041" i="1"/>
  <c r="S1041" i="1" s="1"/>
  <c r="K1041" i="1"/>
  <c r="AM1040" i="1"/>
  <c r="AG1040" i="1"/>
  <c r="AJ1040" i="1" s="1"/>
  <c r="Q1040" i="1"/>
  <c r="S1040" i="1" s="1"/>
  <c r="K1040" i="1"/>
  <c r="AG1039" i="1"/>
  <c r="AJ1039" i="1" s="1"/>
  <c r="AM1039" i="1" s="1"/>
  <c r="Q1039" i="1"/>
  <c r="S1039" i="1" s="1"/>
  <c r="K1039" i="1"/>
  <c r="AK995" i="1"/>
  <c r="AJ995" i="1"/>
  <c r="AM995" i="1" s="1"/>
  <c r="Q995" i="1"/>
  <c r="S995" i="1" s="1"/>
  <c r="AG993" i="1"/>
  <c r="AJ993" i="1" s="1"/>
  <c r="AM993" i="1" s="1"/>
  <c r="Q993" i="1"/>
  <c r="S993" i="1" s="1"/>
  <c r="AG992" i="1"/>
  <c r="AJ992" i="1" s="1"/>
  <c r="AM992" i="1" s="1"/>
  <c r="Q992" i="1"/>
  <c r="S992" i="1" s="1"/>
  <c r="K992" i="1"/>
  <c r="AG991" i="1"/>
  <c r="AJ991" i="1" s="1"/>
  <c r="AM991" i="1" s="1"/>
  <c r="Q991" i="1"/>
  <c r="S991" i="1" s="1"/>
  <c r="AG990" i="1"/>
  <c r="AJ990" i="1" s="1"/>
  <c r="AM990" i="1" s="1"/>
  <c r="Q990" i="1"/>
  <c r="S990" i="1" s="1"/>
  <c r="AG989" i="1"/>
  <c r="AJ989" i="1" s="1"/>
  <c r="AM989" i="1" s="1"/>
  <c r="Q989" i="1"/>
  <c r="S989" i="1" s="1"/>
  <c r="K989" i="1"/>
  <c r="Q988" i="1"/>
  <c r="AK987" i="1"/>
  <c r="AJ987" i="1"/>
  <c r="AM987" i="1" s="1"/>
  <c r="Q987" i="1"/>
  <c r="S987" i="1" s="1"/>
  <c r="AG986" i="1"/>
  <c r="AJ986" i="1" s="1"/>
  <c r="AM986" i="1" s="1"/>
  <c r="Q986" i="1"/>
  <c r="S986" i="1" s="1"/>
  <c r="AN986" i="1" s="1"/>
  <c r="AP986" i="1" s="1"/>
  <c r="AG985" i="1"/>
  <c r="AJ985" i="1" s="1"/>
  <c r="AM985" i="1" s="1"/>
  <c r="Q985" i="1"/>
  <c r="S985" i="1" s="1"/>
  <c r="AG984" i="1"/>
  <c r="AJ984" i="1" s="1"/>
  <c r="AM984" i="1" s="1"/>
  <c r="Q984" i="1"/>
  <c r="S984" i="1" s="1"/>
  <c r="AG983" i="1"/>
  <c r="AJ983" i="1" s="1"/>
  <c r="AM983" i="1" s="1"/>
  <c r="AN983" i="1" s="1"/>
  <c r="AP983" i="1" s="1"/>
  <c r="Q983" i="1"/>
  <c r="S983" i="1" s="1"/>
  <c r="AG982" i="1"/>
  <c r="AJ982" i="1" s="1"/>
  <c r="AM982" i="1" s="1"/>
  <c r="S982" i="1"/>
  <c r="AN982" i="1" s="1"/>
  <c r="AP982" i="1" s="1"/>
  <c r="Q982" i="1"/>
  <c r="L982" i="1"/>
  <c r="K982" i="1" s="1"/>
  <c r="AG981" i="1"/>
  <c r="AJ981" i="1" s="1"/>
  <c r="AM981" i="1" s="1"/>
  <c r="Q981" i="1"/>
  <c r="S981" i="1" s="1"/>
  <c r="AG980" i="1"/>
  <c r="AJ980" i="1" s="1"/>
  <c r="AM980" i="1" s="1"/>
  <c r="Q980" i="1"/>
  <c r="S980" i="1" s="1"/>
  <c r="K980" i="1"/>
  <c r="AG979" i="1"/>
  <c r="AJ979" i="1" s="1"/>
  <c r="AM979" i="1" s="1"/>
  <c r="Q979" i="1"/>
  <c r="S979" i="1" s="1"/>
  <c r="K979" i="1"/>
  <c r="AG978" i="1"/>
  <c r="AJ978" i="1" s="1"/>
  <c r="AM978" i="1" s="1"/>
  <c r="Q978" i="1"/>
  <c r="S978" i="1" s="1"/>
  <c r="K978" i="1"/>
  <c r="AG977" i="1"/>
  <c r="AJ977" i="1" s="1"/>
  <c r="AM977" i="1" s="1"/>
  <c r="Q977" i="1"/>
  <c r="S977" i="1" s="1"/>
  <c r="AG976" i="1"/>
  <c r="AJ976" i="1" s="1"/>
  <c r="AM976" i="1" s="1"/>
  <c r="Q976" i="1"/>
  <c r="S976" i="1" s="1"/>
  <c r="AJ975" i="1"/>
  <c r="AM975" i="1" s="1"/>
  <c r="AJ974" i="1"/>
  <c r="AM974" i="1" s="1"/>
  <c r="Q974" i="1"/>
  <c r="S974" i="1" s="1"/>
  <c r="AG973" i="1"/>
  <c r="AJ973" i="1" s="1"/>
  <c r="AM973" i="1" s="1"/>
  <c r="Q973" i="1"/>
  <c r="S973" i="1" s="1"/>
  <c r="AG972" i="1"/>
  <c r="AJ972" i="1" s="1"/>
  <c r="AM972" i="1" s="1"/>
  <c r="Q972" i="1"/>
  <c r="S972" i="1" s="1"/>
  <c r="AG971" i="1"/>
  <c r="AJ971" i="1" s="1"/>
  <c r="AM971" i="1" s="1"/>
  <c r="Q971" i="1"/>
  <c r="S971" i="1" s="1"/>
  <c r="K971" i="1"/>
  <c r="AG970" i="1"/>
  <c r="AJ970" i="1" s="1"/>
  <c r="AM970" i="1" s="1"/>
  <c r="Q970" i="1"/>
  <c r="S970" i="1" s="1"/>
  <c r="K970" i="1"/>
  <c r="AG969" i="1"/>
  <c r="AJ969" i="1" s="1"/>
  <c r="AM969" i="1" s="1"/>
  <c r="Q969" i="1"/>
  <c r="S969" i="1" s="1"/>
  <c r="AN969" i="1" s="1"/>
  <c r="AP969" i="1" s="1"/>
  <c r="K969" i="1"/>
  <c r="AG968" i="1"/>
  <c r="AJ968" i="1" s="1"/>
  <c r="AM968" i="1" s="1"/>
  <c r="Q968" i="1"/>
  <c r="S968" i="1" s="1"/>
  <c r="K968" i="1"/>
  <c r="AG967" i="1"/>
  <c r="AJ967" i="1" s="1"/>
  <c r="AM967" i="1" s="1"/>
  <c r="Q967" i="1"/>
  <c r="S967" i="1" s="1"/>
  <c r="K967" i="1"/>
  <c r="AJ966" i="1"/>
  <c r="AM966" i="1" s="1"/>
  <c r="Y965" i="1"/>
  <c r="AG965" i="1" s="1"/>
  <c r="AJ965" i="1" s="1"/>
  <c r="AM965" i="1" s="1"/>
  <c r="S965" i="1"/>
  <c r="Q964" i="1"/>
  <c r="S964" i="1" s="1"/>
  <c r="Q963" i="1"/>
  <c r="S963" i="1" s="1"/>
  <c r="AG962" i="1"/>
  <c r="AJ962" i="1" s="1"/>
  <c r="AM962" i="1" s="1"/>
  <c r="Q962" i="1"/>
  <c r="S962" i="1" s="1"/>
  <c r="AG961" i="1"/>
  <c r="AJ961" i="1" s="1"/>
  <c r="AM961" i="1" s="1"/>
  <c r="Q961" i="1"/>
  <c r="S961" i="1" s="1"/>
  <c r="AG960" i="1"/>
  <c r="AJ960" i="1" s="1"/>
  <c r="AM960" i="1" s="1"/>
  <c r="Q960" i="1"/>
  <c r="S960" i="1" s="1"/>
  <c r="AG959" i="1"/>
  <c r="AJ959" i="1" s="1"/>
  <c r="AM959" i="1" s="1"/>
  <c r="Q959" i="1"/>
  <c r="S959" i="1" s="1"/>
  <c r="AG958" i="1"/>
  <c r="AJ958" i="1" s="1"/>
  <c r="AM958" i="1" s="1"/>
  <c r="Q958" i="1"/>
  <c r="S958" i="1" s="1"/>
  <c r="L958" i="1"/>
  <c r="K958" i="1" s="1"/>
  <c r="AG957" i="1"/>
  <c r="AJ957" i="1" s="1"/>
  <c r="AM957" i="1" s="1"/>
  <c r="Q957" i="1"/>
  <c r="S957" i="1" s="1"/>
  <c r="K957" i="1"/>
  <c r="AG956" i="1"/>
  <c r="AJ956" i="1" s="1"/>
  <c r="AM956" i="1" s="1"/>
  <c r="Q956" i="1"/>
  <c r="S956" i="1" s="1"/>
  <c r="K956" i="1"/>
  <c r="AG955" i="1"/>
  <c r="AJ955" i="1" s="1"/>
  <c r="AM955" i="1" s="1"/>
  <c r="Q955" i="1"/>
  <c r="S955" i="1" s="1"/>
  <c r="K955" i="1"/>
  <c r="AG954" i="1"/>
  <c r="AJ954" i="1" s="1"/>
  <c r="AM954" i="1" s="1"/>
  <c r="S954" i="1"/>
  <c r="Q954" i="1"/>
  <c r="AG953" i="1"/>
  <c r="AJ953" i="1" s="1"/>
  <c r="AM953" i="1" s="1"/>
  <c r="Q953" i="1"/>
  <c r="S953" i="1" s="1"/>
  <c r="AG952" i="1"/>
  <c r="AJ952" i="1" s="1"/>
  <c r="AM952" i="1" s="1"/>
  <c r="Q952" i="1"/>
  <c r="S952" i="1" s="1"/>
  <c r="AG951" i="1"/>
  <c r="AJ951" i="1" s="1"/>
  <c r="AM951" i="1" s="1"/>
  <c r="Q951" i="1"/>
  <c r="S951" i="1" s="1"/>
  <c r="AG950" i="1"/>
  <c r="AJ950" i="1" s="1"/>
  <c r="AM950" i="1" s="1"/>
  <c r="Q950" i="1"/>
  <c r="S950" i="1" s="1"/>
  <c r="AG949" i="1"/>
  <c r="AJ949" i="1" s="1"/>
  <c r="AM949" i="1" s="1"/>
  <c r="Q949" i="1"/>
  <c r="S949" i="1" s="1"/>
  <c r="AG948" i="1"/>
  <c r="AJ948" i="1" s="1"/>
  <c r="AM948" i="1" s="1"/>
  <c r="S948" i="1"/>
  <c r="Q948" i="1"/>
  <c r="AG947" i="1"/>
  <c r="AJ947" i="1" s="1"/>
  <c r="AM947" i="1" s="1"/>
  <c r="Q947" i="1"/>
  <c r="S947" i="1" s="1"/>
  <c r="AG946" i="1"/>
  <c r="AJ946" i="1" s="1"/>
  <c r="AM946" i="1" s="1"/>
  <c r="Q946" i="1"/>
  <c r="S946" i="1" s="1"/>
  <c r="AG945" i="1"/>
  <c r="AJ945" i="1" s="1"/>
  <c r="AM945" i="1" s="1"/>
  <c r="Q945" i="1"/>
  <c r="S945" i="1" s="1"/>
  <c r="AG944" i="1"/>
  <c r="AJ944" i="1" s="1"/>
  <c r="AM944" i="1" s="1"/>
  <c r="Q944" i="1"/>
  <c r="S944" i="1" s="1"/>
  <c r="AG943" i="1"/>
  <c r="AJ943" i="1" s="1"/>
  <c r="AM943" i="1" s="1"/>
  <c r="Q943" i="1"/>
  <c r="S943" i="1" s="1"/>
  <c r="AG942" i="1"/>
  <c r="AJ942" i="1" s="1"/>
  <c r="AM942" i="1" s="1"/>
  <c r="Q942" i="1"/>
  <c r="S942" i="1" s="1"/>
  <c r="AG941" i="1"/>
  <c r="AJ941" i="1" s="1"/>
  <c r="AM941" i="1" s="1"/>
  <c r="S941" i="1"/>
  <c r="Q941" i="1"/>
  <c r="AG940" i="1"/>
  <c r="AJ940" i="1" s="1"/>
  <c r="AM940" i="1" s="1"/>
  <c r="Q940" i="1"/>
  <c r="S940" i="1" s="1"/>
  <c r="AN940" i="1" s="1"/>
  <c r="AP940" i="1" s="1"/>
  <c r="AG939" i="1"/>
  <c r="AJ939" i="1" s="1"/>
  <c r="AM939" i="1" s="1"/>
  <c r="Q939" i="1"/>
  <c r="S939" i="1" s="1"/>
  <c r="AG938" i="1"/>
  <c r="AJ938" i="1" s="1"/>
  <c r="AM938" i="1" s="1"/>
  <c r="Q938" i="1"/>
  <c r="S938" i="1" s="1"/>
  <c r="AN938" i="1" s="1"/>
  <c r="AP938" i="1" s="1"/>
  <c r="AG937" i="1"/>
  <c r="AJ937" i="1" s="1"/>
  <c r="AM937" i="1" s="1"/>
  <c r="S937" i="1"/>
  <c r="Q937" i="1"/>
  <c r="AH936" i="1"/>
  <c r="AJ936" i="1" s="1"/>
  <c r="AM936" i="1" s="1"/>
  <c r="AH935" i="1"/>
  <c r="AJ935" i="1" s="1"/>
  <c r="AM935" i="1" s="1"/>
  <c r="Q935" i="1"/>
  <c r="S935" i="1" s="1"/>
  <c r="AG934" i="1"/>
  <c r="AJ934" i="1" s="1"/>
  <c r="AM934" i="1" s="1"/>
  <c r="Q934" i="1"/>
  <c r="S934" i="1" s="1"/>
  <c r="AM933" i="1"/>
  <c r="AG933" i="1"/>
  <c r="AJ933" i="1" s="1"/>
  <c r="Q933" i="1"/>
  <c r="S933" i="1" s="1"/>
  <c r="AJ932" i="1"/>
  <c r="AM932" i="1" s="1"/>
  <c r="AG932" i="1"/>
  <c r="Q932" i="1"/>
  <c r="S932" i="1" s="1"/>
  <c r="AG931" i="1"/>
  <c r="AJ931" i="1" s="1"/>
  <c r="AM931" i="1" s="1"/>
  <c r="Q931" i="1"/>
  <c r="S931" i="1" s="1"/>
  <c r="AG930" i="1"/>
  <c r="AJ930" i="1" s="1"/>
  <c r="AM930" i="1" s="1"/>
  <c r="Q930" i="1"/>
  <c r="S930" i="1" s="1"/>
  <c r="AG929" i="1"/>
  <c r="AJ929" i="1" s="1"/>
  <c r="AM929" i="1" s="1"/>
  <c r="Q929" i="1"/>
  <c r="S929" i="1" s="1"/>
  <c r="AN929" i="1" s="1"/>
  <c r="AP929" i="1" s="1"/>
  <c r="K929" i="1"/>
  <c r="AG928" i="1"/>
  <c r="AJ928" i="1" s="1"/>
  <c r="AM928" i="1" s="1"/>
  <c r="Q928" i="1"/>
  <c r="S928" i="1" s="1"/>
  <c r="AJ927" i="1"/>
  <c r="AM927" i="1" s="1"/>
  <c r="AG927" i="1"/>
  <c r="Q927" i="1"/>
  <c r="S927" i="1" s="1"/>
  <c r="AG926" i="1"/>
  <c r="AJ926" i="1" s="1"/>
  <c r="AM926" i="1" s="1"/>
  <c r="Q926" i="1"/>
  <c r="S926" i="1" s="1"/>
  <c r="AJ925" i="1"/>
  <c r="AM925" i="1" s="1"/>
  <c r="AG925" i="1"/>
  <c r="Q925" i="1"/>
  <c r="S925" i="1" s="1"/>
  <c r="AG924" i="1"/>
  <c r="AJ924" i="1" s="1"/>
  <c r="AM924" i="1" s="1"/>
  <c r="Q924" i="1"/>
  <c r="S924" i="1" s="1"/>
  <c r="AG923" i="1"/>
  <c r="AJ923" i="1" s="1"/>
  <c r="AM923" i="1" s="1"/>
  <c r="Q923" i="1"/>
  <c r="S923" i="1" s="1"/>
  <c r="AG922" i="1"/>
  <c r="AJ922" i="1" s="1"/>
  <c r="AM922" i="1" s="1"/>
  <c r="Q922" i="1"/>
  <c r="S922" i="1" s="1"/>
  <c r="AG921" i="1"/>
  <c r="AJ921" i="1" s="1"/>
  <c r="AM921" i="1" s="1"/>
  <c r="Q921" i="1"/>
  <c r="S921" i="1" s="1"/>
  <c r="AG920" i="1"/>
  <c r="AJ920" i="1" s="1"/>
  <c r="AM920" i="1" s="1"/>
  <c r="Q920" i="1"/>
  <c r="S920" i="1" s="1"/>
  <c r="AG919" i="1"/>
  <c r="AJ919" i="1" s="1"/>
  <c r="AM919" i="1" s="1"/>
  <c r="Q919" i="1"/>
  <c r="S919" i="1" s="1"/>
  <c r="AJ918" i="1"/>
  <c r="AM918" i="1" s="1"/>
  <c r="AG918" i="1"/>
  <c r="Q918" i="1"/>
  <c r="S918" i="1" s="1"/>
  <c r="AJ917" i="1"/>
  <c r="AM917" i="1" s="1"/>
  <c r="AG917" i="1"/>
  <c r="Q917" i="1"/>
  <c r="S917" i="1" s="1"/>
  <c r="K917" i="1"/>
  <c r="AG916" i="1"/>
  <c r="AJ916" i="1" s="1"/>
  <c r="AM916" i="1" s="1"/>
  <c r="Q916" i="1"/>
  <c r="S916" i="1" s="1"/>
  <c r="AG915" i="1"/>
  <c r="AJ915" i="1" s="1"/>
  <c r="AM915" i="1" s="1"/>
  <c r="Q915" i="1"/>
  <c r="S915" i="1" s="1"/>
  <c r="AG914" i="1"/>
  <c r="AJ914" i="1" s="1"/>
  <c r="AM914" i="1" s="1"/>
  <c r="AN914" i="1" s="1"/>
  <c r="AP914" i="1" s="1"/>
  <c r="Q914" i="1"/>
  <c r="S914" i="1" s="1"/>
  <c r="AG913" i="1"/>
  <c r="AJ913" i="1" s="1"/>
  <c r="AM913" i="1" s="1"/>
  <c r="Q913" i="1"/>
  <c r="S913" i="1" s="1"/>
  <c r="AN913" i="1" s="1"/>
  <c r="AP913" i="1" s="1"/>
  <c r="K913" i="1"/>
  <c r="AG912" i="1"/>
  <c r="AJ912" i="1" s="1"/>
  <c r="AM912" i="1" s="1"/>
  <c r="Q912" i="1"/>
  <c r="S912" i="1" s="1"/>
  <c r="AG911" i="1"/>
  <c r="AJ911" i="1" s="1"/>
  <c r="AM911" i="1" s="1"/>
  <c r="S911" i="1"/>
  <c r="Q911" i="1"/>
  <c r="AG910" i="1"/>
  <c r="AJ910" i="1" s="1"/>
  <c r="AM910" i="1" s="1"/>
  <c r="Q910" i="1"/>
  <c r="S910" i="1" s="1"/>
  <c r="AN910" i="1" s="1"/>
  <c r="AP910" i="1" s="1"/>
  <c r="AG909" i="1"/>
  <c r="AJ909" i="1" s="1"/>
  <c r="AM909" i="1" s="1"/>
  <c r="Q909" i="1"/>
  <c r="S909" i="1" s="1"/>
  <c r="AG908" i="1"/>
  <c r="AJ908" i="1" s="1"/>
  <c r="AM908" i="1" s="1"/>
  <c r="Q908" i="1"/>
  <c r="S908" i="1" s="1"/>
  <c r="AN908" i="1" s="1"/>
  <c r="AP908" i="1" s="1"/>
  <c r="AG907" i="1"/>
  <c r="AJ907" i="1" s="1"/>
  <c r="AM907" i="1" s="1"/>
  <c r="Q907" i="1"/>
  <c r="S907" i="1" s="1"/>
  <c r="K907" i="1"/>
  <c r="AJ906" i="1"/>
  <c r="AM906" i="1" s="1"/>
  <c r="AG906" i="1"/>
  <c r="Q906" i="1"/>
  <c r="S906" i="1" s="1"/>
  <c r="AG905" i="1"/>
  <c r="AJ905" i="1" s="1"/>
  <c r="AM905" i="1" s="1"/>
  <c r="Q905" i="1"/>
  <c r="S905" i="1" s="1"/>
  <c r="AG904" i="1"/>
  <c r="AJ904" i="1" s="1"/>
  <c r="AM904" i="1" s="1"/>
  <c r="Q904" i="1"/>
  <c r="S904" i="1" s="1"/>
  <c r="AG903" i="1"/>
  <c r="AJ903" i="1" s="1"/>
  <c r="AM903" i="1" s="1"/>
  <c r="Q903" i="1"/>
  <c r="S903" i="1" s="1"/>
  <c r="AJ902" i="1"/>
  <c r="AM902" i="1" s="1"/>
  <c r="AG902" i="1"/>
  <c r="Q902" i="1"/>
  <c r="S902" i="1" s="1"/>
  <c r="AG901" i="1"/>
  <c r="AJ901" i="1" s="1"/>
  <c r="AM901" i="1" s="1"/>
  <c r="Q901" i="1"/>
  <c r="S901" i="1" s="1"/>
  <c r="K901" i="1"/>
  <c r="AG900" i="1"/>
  <c r="AJ900" i="1" s="1"/>
  <c r="AM900" i="1" s="1"/>
  <c r="Q900" i="1"/>
  <c r="S900" i="1" s="1"/>
  <c r="AG899" i="1"/>
  <c r="AJ899" i="1" s="1"/>
  <c r="AM899" i="1" s="1"/>
  <c r="Q899" i="1"/>
  <c r="S899" i="1" s="1"/>
  <c r="K899" i="1"/>
  <c r="AG897" i="1"/>
  <c r="AJ897" i="1" s="1"/>
  <c r="AM897" i="1" s="1"/>
  <c r="Q897" i="1"/>
  <c r="S897" i="1" s="1"/>
  <c r="AG896" i="1"/>
  <c r="AJ896" i="1" s="1"/>
  <c r="AM896" i="1" s="1"/>
  <c r="Q896" i="1"/>
  <c r="S896" i="1" s="1"/>
  <c r="AG895" i="1"/>
  <c r="AJ895" i="1" s="1"/>
  <c r="AM895" i="1" s="1"/>
  <c r="Q895" i="1"/>
  <c r="S895" i="1" s="1"/>
  <c r="AG894" i="1"/>
  <c r="AJ894" i="1" s="1"/>
  <c r="AM894" i="1" s="1"/>
  <c r="Q894" i="1"/>
  <c r="S894" i="1" s="1"/>
  <c r="AG893" i="1"/>
  <c r="AJ893" i="1" s="1"/>
  <c r="AM893" i="1" s="1"/>
  <c r="Q893" i="1"/>
  <c r="S893" i="1" s="1"/>
  <c r="AG892" i="1"/>
  <c r="AJ892" i="1" s="1"/>
  <c r="AM892" i="1" s="1"/>
  <c r="Q892" i="1"/>
  <c r="S892" i="1" s="1"/>
  <c r="AG891" i="1"/>
  <c r="AJ891" i="1" s="1"/>
  <c r="AM891" i="1" s="1"/>
  <c r="Q891" i="1"/>
  <c r="S891" i="1" s="1"/>
  <c r="AG890" i="1"/>
  <c r="AJ890" i="1" s="1"/>
  <c r="AM890" i="1" s="1"/>
  <c r="AN890" i="1" s="1"/>
  <c r="AP890" i="1" s="1"/>
  <c r="Q890" i="1"/>
  <c r="S890" i="1" s="1"/>
  <c r="AG889" i="1"/>
  <c r="AJ889" i="1" s="1"/>
  <c r="AM889" i="1" s="1"/>
  <c r="Q889" i="1"/>
  <c r="S889" i="1" s="1"/>
  <c r="AG888" i="1"/>
  <c r="AJ888" i="1" s="1"/>
  <c r="AM888" i="1" s="1"/>
  <c r="Q888" i="1"/>
  <c r="S888" i="1" s="1"/>
  <c r="AG887" i="1"/>
  <c r="AJ887" i="1" s="1"/>
  <c r="AM887" i="1" s="1"/>
  <c r="Q887" i="1"/>
  <c r="S887" i="1" s="1"/>
  <c r="AG886" i="1"/>
  <c r="AJ886" i="1" s="1"/>
  <c r="AM886" i="1" s="1"/>
  <c r="AN886" i="1" s="1"/>
  <c r="AP886" i="1" s="1"/>
  <c r="Q886" i="1"/>
  <c r="S886" i="1" s="1"/>
  <c r="AG885" i="1"/>
  <c r="AJ885" i="1" s="1"/>
  <c r="AM885" i="1" s="1"/>
  <c r="Q885" i="1"/>
  <c r="S885" i="1" s="1"/>
  <c r="AG884" i="1"/>
  <c r="AJ884" i="1" s="1"/>
  <c r="AM884" i="1" s="1"/>
  <c r="Q884" i="1"/>
  <c r="S884" i="1" s="1"/>
  <c r="AN884" i="1" s="1"/>
  <c r="AP884" i="1" s="1"/>
  <c r="AG883" i="1"/>
  <c r="AJ883" i="1" s="1"/>
  <c r="AM883" i="1" s="1"/>
  <c r="Q883" i="1"/>
  <c r="S883" i="1" s="1"/>
  <c r="AJ882" i="1"/>
  <c r="AM882" i="1" s="1"/>
  <c r="AP882" i="1" s="1"/>
  <c r="W882" i="1"/>
  <c r="AJ881" i="1"/>
  <c r="AM881" i="1" s="1"/>
  <c r="AP881" i="1" s="1"/>
  <c r="W881" i="1"/>
  <c r="S880" i="1"/>
  <c r="AN880" i="1" s="1"/>
  <c r="AP880" i="1" s="1"/>
  <c r="S879" i="1"/>
  <c r="AN879" i="1" s="1"/>
  <c r="AP879" i="1" s="1"/>
  <c r="Q878" i="1"/>
  <c r="S878" i="1" s="1"/>
  <c r="AM877" i="1"/>
  <c r="Q877" i="1"/>
  <c r="S877" i="1" s="1"/>
  <c r="AM876" i="1"/>
  <c r="S876" i="1"/>
  <c r="Q876" i="1"/>
  <c r="AG875" i="1"/>
  <c r="AJ875" i="1" s="1"/>
  <c r="AM875" i="1" s="1"/>
  <c r="AP875" i="1" s="1"/>
  <c r="W875" i="1"/>
  <c r="AM874" i="1"/>
  <c r="Q874" i="1"/>
  <c r="S874" i="1" s="1"/>
  <c r="AG873" i="1"/>
  <c r="AJ873" i="1" s="1"/>
  <c r="AM873" i="1" s="1"/>
  <c r="AN873" i="1" s="1"/>
  <c r="AP873" i="1" s="1"/>
  <c r="Q873" i="1"/>
  <c r="S873" i="1" s="1"/>
  <c r="AG872" i="1"/>
  <c r="AJ872" i="1" s="1"/>
  <c r="AM872" i="1" s="1"/>
  <c r="Q872" i="1"/>
  <c r="S872" i="1" s="1"/>
  <c r="AG871" i="1"/>
  <c r="AJ871" i="1" s="1"/>
  <c r="AM871" i="1" s="1"/>
  <c r="Q871" i="1"/>
  <c r="S871" i="1" s="1"/>
  <c r="AG870" i="1"/>
  <c r="AJ870" i="1" s="1"/>
  <c r="AM870" i="1" s="1"/>
  <c r="Q870" i="1"/>
  <c r="S870" i="1" s="1"/>
  <c r="AG869" i="1"/>
  <c r="AJ869" i="1" s="1"/>
  <c r="AM869" i="1" s="1"/>
  <c r="Q869" i="1"/>
  <c r="S869" i="1" s="1"/>
  <c r="AG868" i="1"/>
  <c r="AJ868" i="1" s="1"/>
  <c r="AM868" i="1" s="1"/>
  <c r="Q868" i="1"/>
  <c r="S868" i="1" s="1"/>
  <c r="AG867" i="1"/>
  <c r="AJ867" i="1" s="1"/>
  <c r="AM867" i="1" s="1"/>
  <c r="Q867" i="1"/>
  <c r="S867" i="1" s="1"/>
  <c r="AG866" i="1"/>
  <c r="AJ866" i="1" s="1"/>
  <c r="AM866" i="1" s="1"/>
  <c r="Q866" i="1"/>
  <c r="S866" i="1" s="1"/>
  <c r="AG865" i="1"/>
  <c r="AJ865" i="1" s="1"/>
  <c r="AM865" i="1" s="1"/>
  <c r="Q865" i="1"/>
  <c r="S865" i="1" s="1"/>
  <c r="AG864" i="1"/>
  <c r="AJ864" i="1" s="1"/>
  <c r="AM864" i="1" s="1"/>
  <c r="Q864" i="1"/>
  <c r="S864" i="1" s="1"/>
  <c r="AN864" i="1" s="1"/>
  <c r="AP864" i="1" s="1"/>
  <c r="AG863" i="1"/>
  <c r="AJ863" i="1" s="1"/>
  <c r="AM863" i="1" s="1"/>
  <c r="Q863" i="1"/>
  <c r="S863" i="1" s="1"/>
  <c r="AG862" i="1"/>
  <c r="AJ862" i="1" s="1"/>
  <c r="AM862" i="1" s="1"/>
  <c r="Q862" i="1"/>
  <c r="S862" i="1" s="1"/>
  <c r="AG861" i="1"/>
  <c r="AJ861" i="1" s="1"/>
  <c r="AM861" i="1" s="1"/>
  <c r="Q861" i="1"/>
  <c r="S861" i="1" s="1"/>
  <c r="AG860" i="1"/>
  <c r="AJ860" i="1" s="1"/>
  <c r="AM860" i="1" s="1"/>
  <c r="Q860" i="1"/>
  <c r="S860" i="1" s="1"/>
  <c r="AG859" i="1"/>
  <c r="AJ859" i="1" s="1"/>
  <c r="AM859" i="1" s="1"/>
  <c r="S859" i="1"/>
  <c r="Q859" i="1"/>
  <c r="AJ858" i="1"/>
  <c r="AM858" i="1" s="1"/>
  <c r="AG858" i="1"/>
  <c r="Q858" i="1"/>
  <c r="S858" i="1" s="1"/>
  <c r="AG857" i="1"/>
  <c r="AJ857" i="1" s="1"/>
  <c r="AM857" i="1" s="1"/>
  <c r="Q857" i="1"/>
  <c r="S857" i="1" s="1"/>
  <c r="AG856" i="1"/>
  <c r="AJ856" i="1" s="1"/>
  <c r="AM856" i="1" s="1"/>
  <c r="Q856" i="1"/>
  <c r="S856" i="1" s="1"/>
  <c r="K856" i="1"/>
  <c r="AG855" i="1"/>
  <c r="AJ855" i="1" s="1"/>
  <c r="AM855" i="1" s="1"/>
  <c r="Q855" i="1"/>
  <c r="S855" i="1" s="1"/>
  <c r="K855" i="1"/>
  <c r="AM851" i="1"/>
  <c r="AG851" i="1"/>
  <c r="AJ851" i="1" s="1"/>
  <c r="Q851" i="1"/>
  <c r="S851" i="1" s="1"/>
  <c r="AM850" i="1"/>
  <c r="AG850" i="1"/>
  <c r="AJ850" i="1" s="1"/>
  <c r="Q850" i="1"/>
  <c r="S850" i="1" s="1"/>
  <c r="AG849" i="1"/>
  <c r="AJ849" i="1" s="1"/>
  <c r="AM849" i="1" s="1"/>
  <c r="S849" i="1"/>
  <c r="Q849" i="1"/>
  <c r="AG847" i="1"/>
  <c r="AJ847" i="1" s="1"/>
  <c r="AM847" i="1" s="1"/>
  <c r="Q847" i="1"/>
  <c r="S847" i="1" s="1"/>
  <c r="AG845" i="1"/>
  <c r="AJ845" i="1" s="1"/>
  <c r="AM845" i="1" s="1"/>
  <c r="Q845" i="1"/>
  <c r="S845" i="1" s="1"/>
  <c r="AG844" i="1"/>
  <c r="AJ844" i="1" s="1"/>
  <c r="AM844" i="1" s="1"/>
  <c r="Q844" i="1"/>
  <c r="S844" i="1" s="1"/>
  <c r="AG843" i="1"/>
  <c r="AJ843" i="1" s="1"/>
  <c r="AM843" i="1" s="1"/>
  <c r="Q843" i="1"/>
  <c r="S843" i="1" s="1"/>
  <c r="AG842" i="1"/>
  <c r="AJ842" i="1" s="1"/>
  <c r="AM842" i="1" s="1"/>
  <c r="Q842" i="1"/>
  <c r="S842" i="1" s="1"/>
  <c r="AG841" i="1"/>
  <c r="AJ841" i="1" s="1"/>
  <c r="AM841" i="1" s="1"/>
  <c r="Q841" i="1"/>
  <c r="S841" i="1" s="1"/>
  <c r="AG839" i="1"/>
  <c r="AJ839" i="1" s="1"/>
  <c r="AM839" i="1" s="1"/>
  <c r="S839" i="1"/>
  <c r="Q839" i="1"/>
  <c r="AJ838" i="1"/>
  <c r="AM838" i="1" s="1"/>
  <c r="AG838" i="1"/>
  <c r="Q838" i="1"/>
  <c r="S838" i="1" s="1"/>
  <c r="AG836" i="1"/>
  <c r="AJ836" i="1" s="1"/>
  <c r="AM836" i="1" s="1"/>
  <c r="S836" i="1"/>
  <c r="Q836" i="1"/>
  <c r="AG835" i="1"/>
  <c r="AJ835" i="1" s="1"/>
  <c r="AM835" i="1" s="1"/>
  <c r="Q835" i="1"/>
  <c r="S835" i="1" s="1"/>
  <c r="K835" i="1"/>
  <c r="AG834" i="1"/>
  <c r="AJ834" i="1" s="1"/>
  <c r="AM834" i="1" s="1"/>
  <c r="S834" i="1"/>
  <c r="Q834" i="1"/>
  <c r="K834" i="1"/>
  <c r="AG833" i="1"/>
  <c r="AJ833" i="1" s="1"/>
  <c r="AM833" i="1" s="1"/>
  <c r="Q833" i="1"/>
  <c r="S833" i="1" s="1"/>
  <c r="AG832" i="1"/>
  <c r="AJ832" i="1" s="1"/>
  <c r="AM832" i="1" s="1"/>
  <c r="Q832" i="1"/>
  <c r="S832" i="1" s="1"/>
  <c r="K832" i="1"/>
  <c r="AG831" i="1"/>
  <c r="AJ831" i="1" s="1"/>
  <c r="AM831" i="1" s="1"/>
  <c r="Q831" i="1"/>
  <c r="S831" i="1" s="1"/>
  <c r="K831" i="1"/>
  <c r="AG830" i="1"/>
  <c r="AJ830" i="1" s="1"/>
  <c r="AM830" i="1" s="1"/>
  <c r="Q830" i="1"/>
  <c r="S830" i="1" s="1"/>
  <c r="K830" i="1"/>
  <c r="AG829" i="1"/>
  <c r="AJ829" i="1" s="1"/>
  <c r="AM829" i="1" s="1"/>
  <c r="Q829" i="1"/>
  <c r="S829" i="1" s="1"/>
  <c r="K829" i="1"/>
  <c r="AG828" i="1"/>
  <c r="AJ828" i="1" s="1"/>
  <c r="AM828" i="1" s="1"/>
  <c r="Q828" i="1"/>
  <c r="S828" i="1" s="1"/>
  <c r="K828" i="1"/>
  <c r="AG827" i="1"/>
  <c r="AJ827" i="1" s="1"/>
  <c r="AM827" i="1" s="1"/>
  <c r="Q827" i="1"/>
  <c r="S827" i="1" s="1"/>
  <c r="K827" i="1"/>
  <c r="AG826" i="1"/>
  <c r="AJ826" i="1" s="1"/>
  <c r="AM826" i="1" s="1"/>
  <c r="Q826" i="1"/>
  <c r="S826" i="1" s="1"/>
  <c r="AS825" i="1"/>
  <c r="AJ825" i="1"/>
  <c r="AM825" i="1" s="1"/>
  <c r="AG825" i="1"/>
  <c r="Q825" i="1"/>
  <c r="S825" i="1" s="1"/>
  <c r="AG824" i="1"/>
  <c r="AJ824" i="1" s="1"/>
  <c r="AM824" i="1" s="1"/>
  <c r="S824" i="1"/>
  <c r="Q824" i="1"/>
  <c r="AJ823" i="1"/>
  <c r="AM823" i="1" s="1"/>
  <c r="AG823" i="1"/>
  <c r="Q823" i="1"/>
  <c r="S823" i="1" s="1"/>
  <c r="AG822" i="1"/>
  <c r="AJ822" i="1" s="1"/>
  <c r="AM822" i="1" s="1"/>
  <c r="Q822" i="1"/>
  <c r="S822" i="1" s="1"/>
  <c r="K822" i="1"/>
  <c r="AJ821" i="1"/>
  <c r="AM821" i="1" s="1"/>
  <c r="AG821" i="1"/>
  <c r="Q821" i="1"/>
  <c r="S821" i="1" s="1"/>
  <c r="K821" i="1"/>
  <c r="AG820" i="1"/>
  <c r="AJ820" i="1" s="1"/>
  <c r="AM820" i="1" s="1"/>
  <c r="Q820" i="1"/>
  <c r="S820" i="1" s="1"/>
  <c r="K820" i="1"/>
  <c r="AG819" i="1"/>
  <c r="AJ819" i="1" s="1"/>
  <c r="AM819" i="1" s="1"/>
  <c r="Q819" i="1"/>
  <c r="S819" i="1" s="1"/>
  <c r="AG818" i="1"/>
  <c r="AJ818" i="1" s="1"/>
  <c r="AM818" i="1" s="1"/>
  <c r="S818" i="1"/>
  <c r="Q818" i="1"/>
  <c r="K818" i="1"/>
  <c r="AG817" i="1"/>
  <c r="AJ817" i="1" s="1"/>
  <c r="AM817" i="1" s="1"/>
  <c r="Q817" i="1"/>
  <c r="S817" i="1" s="1"/>
  <c r="AG816" i="1"/>
  <c r="AJ816" i="1" s="1"/>
  <c r="AM816" i="1" s="1"/>
  <c r="Q816" i="1"/>
  <c r="S816" i="1" s="1"/>
  <c r="AG815" i="1"/>
  <c r="AJ815" i="1" s="1"/>
  <c r="AM815" i="1" s="1"/>
  <c r="Q815" i="1"/>
  <c r="S815" i="1" s="1"/>
  <c r="AG814" i="1"/>
  <c r="AJ814" i="1" s="1"/>
  <c r="AM814" i="1" s="1"/>
  <c r="Q814" i="1"/>
  <c r="S814" i="1" s="1"/>
  <c r="AS813" i="1"/>
  <c r="AG813" i="1"/>
  <c r="AJ813" i="1" s="1"/>
  <c r="AM813" i="1" s="1"/>
  <c r="Q813" i="1"/>
  <c r="S813" i="1" s="1"/>
  <c r="AG812" i="1"/>
  <c r="AJ812" i="1" s="1"/>
  <c r="AM812" i="1" s="1"/>
  <c r="Q812" i="1"/>
  <c r="S812" i="1" s="1"/>
  <c r="K812" i="1"/>
  <c r="AG811" i="1"/>
  <c r="AJ811" i="1" s="1"/>
  <c r="AM811" i="1" s="1"/>
  <c r="Q811" i="1"/>
  <c r="S811" i="1" s="1"/>
  <c r="AG810" i="1"/>
  <c r="AJ810" i="1" s="1"/>
  <c r="AM810" i="1" s="1"/>
  <c r="Q810" i="1"/>
  <c r="S810" i="1" s="1"/>
  <c r="AN810" i="1" s="1"/>
  <c r="AP810" i="1" s="1"/>
  <c r="AG809" i="1"/>
  <c r="AJ809" i="1" s="1"/>
  <c r="AM809" i="1" s="1"/>
  <c r="S809" i="1"/>
  <c r="Q809" i="1"/>
  <c r="K809" i="1"/>
  <c r="AG808" i="1"/>
  <c r="AJ808" i="1" s="1"/>
  <c r="AM808" i="1" s="1"/>
  <c r="S808" i="1"/>
  <c r="Q808" i="1"/>
  <c r="AG807" i="1"/>
  <c r="AJ807" i="1" s="1"/>
  <c r="AM807" i="1" s="1"/>
  <c r="Q807" i="1"/>
  <c r="S807" i="1" s="1"/>
  <c r="AG806" i="1"/>
  <c r="AJ806" i="1" s="1"/>
  <c r="AM806" i="1" s="1"/>
  <c r="Q806" i="1"/>
  <c r="S806" i="1" s="1"/>
  <c r="K806" i="1"/>
  <c r="AG805" i="1"/>
  <c r="AJ805" i="1" s="1"/>
  <c r="AM805" i="1" s="1"/>
  <c r="Q805" i="1"/>
  <c r="S805" i="1" s="1"/>
  <c r="K805" i="1"/>
  <c r="AG804" i="1"/>
  <c r="AJ804" i="1" s="1"/>
  <c r="AB804" i="1"/>
  <c r="AG803" i="1"/>
  <c r="AJ803" i="1" s="1"/>
  <c r="AM803" i="1" s="1"/>
  <c r="S803" i="1"/>
  <c r="AG802" i="1"/>
  <c r="AJ802" i="1" s="1"/>
  <c r="AM802" i="1" s="1"/>
  <c r="S802" i="1"/>
  <c r="Q801" i="1"/>
  <c r="S801" i="1" s="1"/>
  <c r="L801" i="1"/>
  <c r="K801" i="1" s="1"/>
  <c r="AG800" i="1"/>
  <c r="AJ800" i="1" s="1"/>
  <c r="AM800" i="1" s="1"/>
  <c r="Q800" i="1"/>
  <c r="S800" i="1" s="1"/>
  <c r="AG799" i="1"/>
  <c r="AJ799" i="1" s="1"/>
  <c r="AM799" i="1" s="1"/>
  <c r="Q799" i="1"/>
  <c r="S799" i="1" s="1"/>
  <c r="AG797" i="1"/>
  <c r="AJ797" i="1" s="1"/>
  <c r="AM797" i="1" s="1"/>
  <c r="Q797" i="1"/>
  <c r="S797" i="1" s="1"/>
  <c r="AN797" i="1" s="1"/>
  <c r="AP797" i="1" s="1"/>
  <c r="AG796" i="1"/>
  <c r="AJ796" i="1" s="1"/>
  <c r="AM796" i="1" s="1"/>
  <c r="S796" i="1"/>
  <c r="Q796" i="1"/>
  <c r="AG795" i="1"/>
  <c r="AJ795" i="1" s="1"/>
  <c r="AM795" i="1" s="1"/>
  <c r="Q795" i="1"/>
  <c r="S795" i="1" s="1"/>
  <c r="K795" i="1"/>
  <c r="AG794" i="1"/>
  <c r="AJ794" i="1" s="1"/>
  <c r="AM794" i="1" s="1"/>
  <c r="Q794" i="1"/>
  <c r="S794" i="1" s="1"/>
  <c r="AG793" i="1"/>
  <c r="AJ793" i="1" s="1"/>
  <c r="AM793" i="1" s="1"/>
  <c r="Q793" i="1"/>
  <c r="S793" i="1" s="1"/>
  <c r="AJ792" i="1"/>
  <c r="AM792" i="1" s="1"/>
  <c r="Q792" i="1"/>
  <c r="S792" i="1" s="1"/>
  <c r="AG791" i="1"/>
  <c r="AJ791" i="1" s="1"/>
  <c r="AM791" i="1" s="1"/>
  <c r="Q791" i="1"/>
  <c r="S791" i="1" s="1"/>
  <c r="AG790" i="1"/>
  <c r="AJ790" i="1" s="1"/>
  <c r="AM790" i="1" s="1"/>
  <c r="S790" i="1"/>
  <c r="Q790" i="1"/>
  <c r="AG789" i="1"/>
  <c r="AJ789" i="1" s="1"/>
  <c r="AM789" i="1" s="1"/>
  <c r="Q789" i="1"/>
  <c r="S789" i="1" s="1"/>
  <c r="AJ788" i="1"/>
  <c r="AM788" i="1" s="1"/>
  <c r="AB788" i="1"/>
  <c r="Z788" i="1"/>
  <c r="Q788" i="1"/>
  <c r="S788" i="1" s="1"/>
  <c r="AG787" i="1"/>
  <c r="AJ787" i="1" s="1"/>
  <c r="AM787" i="1" s="1"/>
  <c r="S787" i="1"/>
  <c r="Q787" i="1"/>
  <c r="AG786" i="1"/>
  <c r="AJ786" i="1" s="1"/>
  <c r="AM786" i="1" s="1"/>
  <c r="Q786" i="1"/>
  <c r="S786" i="1" s="1"/>
  <c r="AJ785" i="1"/>
  <c r="AM785" i="1" s="1"/>
  <c r="AG785" i="1"/>
  <c r="Q785" i="1"/>
  <c r="S785" i="1" s="1"/>
  <c r="AG784" i="1"/>
  <c r="AJ784" i="1" s="1"/>
  <c r="AM784" i="1" s="1"/>
  <c r="Q784" i="1"/>
  <c r="S784" i="1" s="1"/>
  <c r="AG783" i="1"/>
  <c r="AJ783" i="1" s="1"/>
  <c r="AM783" i="1" s="1"/>
  <c r="Q783" i="1"/>
  <c r="S783" i="1" s="1"/>
  <c r="AG782" i="1"/>
  <c r="AJ782" i="1" s="1"/>
  <c r="AM782" i="1" s="1"/>
  <c r="Q782" i="1"/>
  <c r="S782" i="1" s="1"/>
  <c r="AG781" i="1"/>
  <c r="AJ781" i="1" s="1"/>
  <c r="AM781" i="1" s="1"/>
  <c r="Q781" i="1"/>
  <c r="S781" i="1" s="1"/>
  <c r="AG780" i="1"/>
  <c r="AJ780" i="1" s="1"/>
  <c r="AM780" i="1" s="1"/>
  <c r="Q780" i="1"/>
  <c r="S780" i="1" s="1"/>
  <c r="AG779" i="1"/>
  <c r="AJ779" i="1" s="1"/>
  <c r="AM779" i="1" s="1"/>
  <c r="Q779" i="1"/>
  <c r="S779" i="1" s="1"/>
  <c r="AJ778" i="1"/>
  <c r="AM778" i="1" s="1"/>
  <c r="AN778" i="1" s="1"/>
  <c r="AP778" i="1" s="1"/>
  <c r="AJ777" i="1"/>
  <c r="AM777" i="1" s="1"/>
  <c r="AN777" i="1" s="1"/>
  <c r="AP777" i="1" s="1"/>
  <c r="AE777" i="1"/>
  <c r="AM776" i="1"/>
  <c r="Q776" i="1"/>
  <c r="S776" i="1" s="1"/>
  <c r="AM775" i="1"/>
  <c r="AG775" i="1"/>
  <c r="AJ775" i="1" s="1"/>
  <c r="Q775" i="1"/>
  <c r="S775" i="1" s="1"/>
  <c r="AJ774" i="1"/>
  <c r="AM774" i="1" s="1"/>
  <c r="AG774" i="1"/>
  <c r="Q774" i="1"/>
  <c r="S774" i="1" s="1"/>
  <c r="AG773" i="1"/>
  <c r="AJ773" i="1" s="1"/>
  <c r="AM773" i="1" s="1"/>
  <c r="Q773" i="1"/>
  <c r="S773" i="1" s="1"/>
  <c r="AG772" i="1"/>
  <c r="AJ772" i="1" s="1"/>
  <c r="AM772" i="1" s="1"/>
  <c r="Q772" i="1"/>
  <c r="S772" i="1" s="1"/>
  <c r="AG771" i="1"/>
  <c r="AJ771" i="1" s="1"/>
  <c r="AM771" i="1" s="1"/>
  <c r="Q771" i="1"/>
  <c r="S771" i="1" s="1"/>
  <c r="AG770" i="1"/>
  <c r="AJ770" i="1" s="1"/>
  <c r="AM770" i="1" s="1"/>
  <c r="Q770" i="1"/>
  <c r="S770" i="1" s="1"/>
  <c r="K770" i="1"/>
  <c r="AG769" i="1"/>
  <c r="AJ769" i="1" s="1"/>
  <c r="AM769" i="1" s="1"/>
  <c r="Q769" i="1"/>
  <c r="S769" i="1" s="1"/>
  <c r="K769" i="1"/>
  <c r="AG768" i="1"/>
  <c r="AJ768" i="1" s="1"/>
  <c r="AM768" i="1" s="1"/>
  <c r="Q768" i="1"/>
  <c r="S768" i="1" s="1"/>
  <c r="K768" i="1"/>
  <c r="AG767" i="1"/>
  <c r="AJ767" i="1" s="1"/>
  <c r="AM767" i="1" s="1"/>
  <c r="Q767" i="1"/>
  <c r="S767" i="1" s="1"/>
  <c r="K767" i="1"/>
  <c r="AG766" i="1"/>
  <c r="AJ766" i="1" s="1"/>
  <c r="AM766" i="1" s="1"/>
  <c r="Q766" i="1"/>
  <c r="S766" i="1" s="1"/>
  <c r="K766" i="1"/>
  <c r="AG765" i="1"/>
  <c r="AJ765" i="1" s="1"/>
  <c r="AM765" i="1" s="1"/>
  <c r="Q765" i="1"/>
  <c r="S765" i="1" s="1"/>
  <c r="AG764" i="1"/>
  <c r="AJ764" i="1" s="1"/>
  <c r="AM764" i="1" s="1"/>
  <c r="Q764" i="1"/>
  <c r="S764" i="1" s="1"/>
  <c r="AG763" i="1"/>
  <c r="AJ763" i="1" s="1"/>
  <c r="AM763" i="1" s="1"/>
  <c r="Q763" i="1"/>
  <c r="S763" i="1" s="1"/>
  <c r="K763" i="1"/>
  <c r="AG762" i="1"/>
  <c r="AJ762" i="1" s="1"/>
  <c r="AM762" i="1" s="1"/>
  <c r="Q762" i="1"/>
  <c r="S762" i="1" s="1"/>
  <c r="K762" i="1"/>
  <c r="AJ760" i="1"/>
  <c r="AM760" i="1" s="1"/>
  <c r="AG760" i="1"/>
  <c r="Q760" i="1"/>
  <c r="S760" i="1" s="1"/>
  <c r="AG759" i="1"/>
  <c r="AJ759" i="1" s="1"/>
  <c r="AM759" i="1" s="1"/>
  <c r="Q759" i="1"/>
  <c r="S759" i="1" s="1"/>
  <c r="AG758" i="1"/>
  <c r="AJ758" i="1" s="1"/>
  <c r="AM758" i="1" s="1"/>
  <c r="Q758" i="1"/>
  <c r="S758" i="1" s="1"/>
  <c r="K758" i="1"/>
  <c r="AJ757" i="1"/>
  <c r="AM757" i="1" s="1"/>
  <c r="AN757" i="1" s="1"/>
  <c r="AP757" i="1" s="1"/>
  <c r="AB757" i="1"/>
  <c r="W757" i="1"/>
  <c r="AJ756" i="1"/>
  <c r="AM756" i="1" s="1"/>
  <c r="S756" i="1"/>
  <c r="Q754" i="1"/>
  <c r="K754" i="1"/>
  <c r="AG753" i="1"/>
  <c r="AJ753" i="1" s="1"/>
  <c r="AM753" i="1" s="1"/>
  <c r="Q753" i="1"/>
  <c r="S753" i="1" s="1"/>
  <c r="K753" i="1"/>
  <c r="AG752" i="1"/>
  <c r="AJ752" i="1" s="1"/>
  <c r="AM752" i="1" s="1"/>
  <c r="Q752" i="1"/>
  <c r="S752" i="1" s="1"/>
  <c r="K752" i="1"/>
  <c r="AJ751" i="1"/>
  <c r="AM751" i="1" s="1"/>
  <c r="AG751" i="1"/>
  <c r="Q751" i="1"/>
  <c r="S751" i="1" s="1"/>
  <c r="K751" i="1"/>
  <c r="AG750" i="1"/>
  <c r="AJ750" i="1" s="1"/>
  <c r="AM750" i="1" s="1"/>
  <c r="Q750" i="1"/>
  <c r="S750" i="1" s="1"/>
  <c r="AN750" i="1" s="1"/>
  <c r="AP750" i="1" s="1"/>
  <c r="K750" i="1"/>
  <c r="AG749" i="1"/>
  <c r="AJ749" i="1" s="1"/>
  <c r="AM749" i="1" s="1"/>
  <c r="Q749" i="1"/>
  <c r="S749" i="1" s="1"/>
  <c r="AG748" i="1"/>
  <c r="AJ748" i="1" s="1"/>
  <c r="AM748" i="1" s="1"/>
  <c r="Q748" i="1"/>
  <c r="S748" i="1" s="1"/>
  <c r="AG747" i="1"/>
  <c r="AJ747" i="1" s="1"/>
  <c r="AM747" i="1" s="1"/>
  <c r="Q747" i="1"/>
  <c r="S747" i="1" s="1"/>
  <c r="AN747" i="1" s="1"/>
  <c r="AP747" i="1" s="1"/>
  <c r="AG746" i="1"/>
  <c r="AJ746" i="1" s="1"/>
  <c r="AM746" i="1" s="1"/>
  <c r="S746" i="1"/>
  <c r="Q746" i="1"/>
  <c r="AG745" i="1"/>
  <c r="AJ745" i="1" s="1"/>
  <c r="AM745" i="1" s="1"/>
  <c r="Q745" i="1"/>
  <c r="S745" i="1" s="1"/>
  <c r="AG744" i="1"/>
  <c r="AJ744" i="1" s="1"/>
  <c r="AM744" i="1" s="1"/>
  <c r="Q744" i="1"/>
  <c r="S744" i="1" s="1"/>
  <c r="AN744" i="1" s="1"/>
  <c r="AP744" i="1" s="1"/>
  <c r="AR743" i="1"/>
  <c r="AS743" i="1" s="1"/>
  <c r="AG743" i="1"/>
  <c r="AJ743" i="1" s="1"/>
  <c r="AM743" i="1" s="1"/>
  <c r="Q743" i="1"/>
  <c r="S743" i="1" s="1"/>
  <c r="K743" i="1"/>
  <c r="AJ742" i="1"/>
  <c r="AM742" i="1" s="1"/>
  <c r="AG742" i="1"/>
  <c r="Q742" i="1"/>
  <c r="S742" i="1" s="1"/>
  <c r="K742" i="1"/>
  <c r="AG741" i="1"/>
  <c r="AJ741" i="1" s="1"/>
  <c r="AM741" i="1" s="1"/>
  <c r="Q741" i="1"/>
  <c r="S741" i="1" s="1"/>
  <c r="K741" i="1"/>
  <c r="AG740" i="1"/>
  <c r="AJ740" i="1" s="1"/>
  <c r="AM740" i="1" s="1"/>
  <c r="Q740" i="1"/>
  <c r="S740" i="1" s="1"/>
  <c r="K740" i="1"/>
  <c r="AG738" i="1"/>
  <c r="AJ738" i="1" s="1"/>
  <c r="AM738" i="1" s="1"/>
  <c r="Q738" i="1"/>
  <c r="S738" i="1" s="1"/>
  <c r="K738" i="1"/>
  <c r="AG737" i="1"/>
  <c r="AJ737" i="1" s="1"/>
  <c r="AM737" i="1" s="1"/>
  <c r="Q737" i="1"/>
  <c r="S737" i="1" s="1"/>
  <c r="AG736" i="1"/>
  <c r="AJ736" i="1" s="1"/>
  <c r="AM736" i="1" s="1"/>
  <c r="Q736" i="1"/>
  <c r="S736" i="1" s="1"/>
  <c r="AG735" i="1"/>
  <c r="AJ735" i="1" s="1"/>
  <c r="AM735" i="1" s="1"/>
  <c r="Q735" i="1"/>
  <c r="S735" i="1" s="1"/>
  <c r="AG733" i="1"/>
  <c r="AJ733" i="1" s="1"/>
  <c r="AM733" i="1" s="1"/>
  <c r="Q733" i="1"/>
  <c r="S733" i="1" s="1"/>
  <c r="AG732" i="1"/>
  <c r="AJ732" i="1" s="1"/>
  <c r="AM732" i="1" s="1"/>
  <c r="Q732" i="1"/>
  <c r="S732" i="1" s="1"/>
  <c r="AG731" i="1"/>
  <c r="AJ731" i="1" s="1"/>
  <c r="AM731" i="1" s="1"/>
  <c r="Q731" i="1"/>
  <c r="S731" i="1" s="1"/>
  <c r="AG730" i="1"/>
  <c r="AJ730" i="1" s="1"/>
  <c r="AM730" i="1" s="1"/>
  <c r="Q730" i="1"/>
  <c r="S730" i="1" s="1"/>
  <c r="AN730" i="1" s="1"/>
  <c r="AP730" i="1" s="1"/>
  <c r="AG725" i="1"/>
  <c r="AJ725" i="1" s="1"/>
  <c r="AM725" i="1" s="1"/>
  <c r="Q725" i="1"/>
  <c r="S725" i="1" s="1"/>
  <c r="AG724" i="1"/>
  <c r="AJ724" i="1" s="1"/>
  <c r="AM724" i="1" s="1"/>
  <c r="Q724" i="1"/>
  <c r="S724" i="1" s="1"/>
  <c r="AJ723" i="1"/>
  <c r="AM723" i="1" s="1"/>
  <c r="AG723" i="1"/>
  <c r="Q723" i="1"/>
  <c r="S723" i="1" s="1"/>
  <c r="AJ722" i="1"/>
  <c r="AM722" i="1" s="1"/>
  <c r="AG722" i="1"/>
  <c r="Q722" i="1"/>
  <c r="S722" i="1" s="1"/>
  <c r="AG721" i="1"/>
  <c r="AJ721" i="1" s="1"/>
  <c r="AM721" i="1" s="1"/>
  <c r="Q721" i="1"/>
  <c r="S721" i="1" s="1"/>
  <c r="AG720" i="1"/>
  <c r="AJ720" i="1" s="1"/>
  <c r="AM720" i="1" s="1"/>
  <c r="Q720" i="1"/>
  <c r="S720" i="1" s="1"/>
  <c r="AG719" i="1"/>
  <c r="AJ719" i="1" s="1"/>
  <c r="AM719" i="1" s="1"/>
  <c r="Q719" i="1"/>
  <c r="S719" i="1" s="1"/>
  <c r="AG718" i="1"/>
  <c r="AJ718" i="1" s="1"/>
  <c r="AM718" i="1" s="1"/>
  <c r="Q718" i="1"/>
  <c r="S718" i="1" s="1"/>
  <c r="AG717" i="1"/>
  <c r="AJ717" i="1" s="1"/>
  <c r="AM717" i="1" s="1"/>
  <c r="Q717" i="1"/>
  <c r="S717" i="1" s="1"/>
  <c r="AG716" i="1"/>
  <c r="AJ716" i="1" s="1"/>
  <c r="AM716" i="1" s="1"/>
  <c r="Q716" i="1"/>
  <c r="S716" i="1" s="1"/>
  <c r="AJ715" i="1"/>
  <c r="AM715" i="1" s="1"/>
  <c r="AG715" i="1"/>
  <c r="Q715" i="1"/>
  <c r="S715" i="1" s="1"/>
  <c r="AG714" i="1"/>
  <c r="AJ714" i="1" s="1"/>
  <c r="AM714" i="1" s="1"/>
  <c r="Q714" i="1"/>
  <c r="S714" i="1" s="1"/>
  <c r="AG713" i="1"/>
  <c r="AJ713" i="1" s="1"/>
  <c r="AM713" i="1" s="1"/>
  <c r="Q713" i="1"/>
  <c r="S713" i="1" s="1"/>
  <c r="AG712" i="1"/>
  <c r="AJ712" i="1" s="1"/>
  <c r="AM712" i="1" s="1"/>
  <c r="Q712" i="1"/>
  <c r="S712" i="1" s="1"/>
  <c r="AG711" i="1"/>
  <c r="AJ711" i="1" s="1"/>
  <c r="AM711" i="1" s="1"/>
  <c r="Q711" i="1"/>
  <c r="S711" i="1" s="1"/>
  <c r="AG710" i="1"/>
  <c r="AJ710" i="1" s="1"/>
  <c r="AM710" i="1" s="1"/>
  <c r="Q710" i="1"/>
  <c r="S710" i="1" s="1"/>
  <c r="AG709" i="1"/>
  <c r="AJ709" i="1" s="1"/>
  <c r="AM709" i="1" s="1"/>
  <c r="Q709" i="1"/>
  <c r="S709" i="1" s="1"/>
  <c r="AG708" i="1"/>
  <c r="AJ708" i="1" s="1"/>
  <c r="AM708" i="1" s="1"/>
  <c r="Q708" i="1"/>
  <c r="S708" i="1" s="1"/>
  <c r="AJ707" i="1"/>
  <c r="AM707" i="1" s="1"/>
  <c r="AG707" i="1"/>
  <c r="Q707" i="1"/>
  <c r="S707" i="1" s="1"/>
  <c r="AG706" i="1"/>
  <c r="AJ706" i="1" s="1"/>
  <c r="AM706" i="1" s="1"/>
  <c r="Q706" i="1"/>
  <c r="S706" i="1" s="1"/>
  <c r="AJ705" i="1"/>
  <c r="AM705" i="1" s="1"/>
  <c r="AG705" i="1"/>
  <c r="Q705" i="1"/>
  <c r="S705" i="1" s="1"/>
  <c r="AG704" i="1"/>
  <c r="AJ704" i="1" s="1"/>
  <c r="AM704" i="1" s="1"/>
  <c r="Q704" i="1"/>
  <c r="S704" i="1" s="1"/>
  <c r="K704" i="1"/>
  <c r="AG703" i="1"/>
  <c r="AJ703" i="1" s="1"/>
  <c r="AM703" i="1" s="1"/>
  <c r="Q703" i="1"/>
  <c r="S703" i="1" s="1"/>
  <c r="K703" i="1"/>
  <c r="AG702" i="1"/>
  <c r="AJ702" i="1" s="1"/>
  <c r="AM702" i="1" s="1"/>
  <c r="Q702" i="1"/>
  <c r="S702" i="1" s="1"/>
  <c r="AN702" i="1" s="1"/>
  <c r="AP702" i="1" s="1"/>
  <c r="AG701" i="1"/>
  <c r="AJ701" i="1" s="1"/>
  <c r="AM701" i="1" s="1"/>
  <c r="Q701" i="1"/>
  <c r="S701" i="1" s="1"/>
  <c r="AJ698" i="1"/>
  <c r="AM698" i="1" s="1"/>
  <c r="AE698" i="1"/>
  <c r="S698" i="1"/>
  <c r="AJ697" i="1"/>
  <c r="AM697" i="1" s="1"/>
  <c r="S697" i="1"/>
  <c r="AG694" i="1"/>
  <c r="AJ694" i="1" s="1"/>
  <c r="AM694" i="1" s="1"/>
  <c r="Q694" i="1"/>
  <c r="S694" i="1" s="1"/>
  <c r="AG693" i="1"/>
  <c r="AJ693" i="1" s="1"/>
  <c r="AM693" i="1" s="1"/>
  <c r="Q693" i="1"/>
  <c r="S693" i="1" s="1"/>
  <c r="AG692" i="1"/>
  <c r="AJ692" i="1" s="1"/>
  <c r="AM692" i="1" s="1"/>
  <c r="Q692" i="1"/>
  <c r="S692" i="1" s="1"/>
  <c r="AJ691" i="1"/>
  <c r="AM691" i="1" s="1"/>
  <c r="AG691" i="1"/>
  <c r="Q691" i="1"/>
  <c r="S691" i="1" s="1"/>
  <c r="AS690" i="1"/>
  <c r="AM690" i="1"/>
  <c r="AG690" i="1"/>
  <c r="AJ690" i="1" s="1"/>
  <c r="Q690" i="1"/>
  <c r="S690" i="1" s="1"/>
  <c r="AG689" i="1"/>
  <c r="AJ689" i="1" s="1"/>
  <c r="AM689" i="1" s="1"/>
  <c r="S689" i="1"/>
  <c r="Q689" i="1"/>
  <c r="AG688" i="1"/>
  <c r="AJ688" i="1" s="1"/>
  <c r="AM688" i="1" s="1"/>
  <c r="Q688" i="1"/>
  <c r="S688" i="1" s="1"/>
  <c r="AG687" i="1"/>
  <c r="AJ687" i="1" s="1"/>
  <c r="AM687" i="1" s="1"/>
  <c r="Q687" i="1"/>
  <c r="S687" i="1" s="1"/>
  <c r="AG686" i="1"/>
  <c r="AJ686" i="1" s="1"/>
  <c r="AM686" i="1" s="1"/>
  <c r="Q686" i="1"/>
  <c r="S686" i="1" s="1"/>
  <c r="AG685" i="1"/>
  <c r="AJ685" i="1" s="1"/>
  <c r="AM685" i="1" s="1"/>
  <c r="Q685" i="1"/>
  <c r="S685" i="1" s="1"/>
  <c r="AK684" i="1"/>
  <c r="AJ684" i="1"/>
  <c r="AM684" i="1" s="1"/>
  <c r="Q684" i="1"/>
  <c r="S684" i="1" s="1"/>
  <c r="AM683" i="1"/>
  <c r="AG683" i="1"/>
  <c r="AJ683" i="1" s="1"/>
  <c r="S683" i="1"/>
  <c r="AG682" i="1"/>
  <c r="AJ682" i="1" s="1"/>
  <c r="AM682" i="1" s="1"/>
  <c r="S682" i="1"/>
  <c r="AG681" i="1"/>
  <c r="AJ681" i="1" s="1"/>
  <c r="AM681" i="1" s="1"/>
  <c r="S681" i="1"/>
  <c r="AG680" i="1"/>
  <c r="AJ680" i="1" s="1"/>
  <c r="AM680" i="1" s="1"/>
  <c r="Q680" i="1"/>
  <c r="S680" i="1" s="1"/>
  <c r="AG679" i="1"/>
  <c r="AJ679" i="1" s="1"/>
  <c r="AM679" i="1" s="1"/>
  <c r="Q679" i="1"/>
  <c r="S679" i="1" s="1"/>
  <c r="AG678" i="1"/>
  <c r="AJ678" i="1" s="1"/>
  <c r="AM678" i="1" s="1"/>
  <c r="S678" i="1"/>
  <c r="AG677" i="1"/>
  <c r="AJ677" i="1" s="1"/>
  <c r="AM677" i="1" s="1"/>
  <c r="Q677" i="1"/>
  <c r="S677" i="1" s="1"/>
  <c r="AG676" i="1"/>
  <c r="AJ676" i="1" s="1"/>
  <c r="AM676" i="1" s="1"/>
  <c r="Q676" i="1"/>
  <c r="S676" i="1" s="1"/>
  <c r="AG675" i="1"/>
  <c r="AJ675" i="1" s="1"/>
  <c r="AM675" i="1" s="1"/>
  <c r="Q675" i="1"/>
  <c r="S675" i="1" s="1"/>
  <c r="AS674" i="1"/>
  <c r="AG674" i="1"/>
  <c r="AJ674" i="1" s="1"/>
  <c r="AM674" i="1" s="1"/>
  <c r="Q674" i="1"/>
  <c r="S674" i="1" s="1"/>
  <c r="AN674" i="1" s="1"/>
  <c r="AP674" i="1" s="1"/>
  <c r="AG673" i="1"/>
  <c r="AJ673" i="1" s="1"/>
  <c r="AM673" i="1" s="1"/>
  <c r="Q673" i="1"/>
  <c r="S673" i="1" s="1"/>
  <c r="AG672" i="1"/>
  <c r="AJ672" i="1" s="1"/>
  <c r="AM672" i="1" s="1"/>
  <c r="Q672" i="1"/>
  <c r="S672" i="1" s="1"/>
  <c r="AG670" i="1"/>
  <c r="AJ670" i="1" s="1"/>
  <c r="AM670" i="1" s="1"/>
  <c r="Q670" i="1"/>
  <c r="S670" i="1" s="1"/>
  <c r="AN670" i="1" s="1"/>
  <c r="AP670" i="1" s="1"/>
  <c r="AG669" i="1"/>
  <c r="AJ669" i="1" s="1"/>
  <c r="AM669" i="1" s="1"/>
  <c r="Q669" i="1"/>
  <c r="S669" i="1" s="1"/>
  <c r="AG668" i="1"/>
  <c r="AJ668" i="1" s="1"/>
  <c r="AM668" i="1" s="1"/>
  <c r="Q668" i="1"/>
  <c r="S668" i="1" s="1"/>
  <c r="AG666" i="1"/>
  <c r="AJ666" i="1" s="1"/>
  <c r="AM666" i="1" s="1"/>
  <c r="Q666" i="1"/>
  <c r="S666" i="1" s="1"/>
  <c r="AG665" i="1"/>
  <c r="AJ665" i="1" s="1"/>
  <c r="AM665" i="1" s="1"/>
  <c r="L665" i="1"/>
  <c r="Q665" i="1" s="1"/>
  <c r="S665" i="1" s="1"/>
  <c r="AG664" i="1"/>
  <c r="AJ664" i="1" s="1"/>
  <c r="AM664" i="1" s="1"/>
  <c r="S664" i="1"/>
  <c r="K664" i="1"/>
  <c r="AS663" i="1"/>
  <c r="AG663" i="1"/>
  <c r="AJ663" i="1" s="1"/>
  <c r="AM663" i="1" s="1"/>
  <c r="S663" i="1"/>
  <c r="K663" i="1"/>
  <c r="AG662" i="1"/>
  <c r="AJ662" i="1" s="1"/>
  <c r="AM662" i="1" s="1"/>
  <c r="S662" i="1"/>
  <c r="K662" i="1"/>
  <c r="AG661" i="1"/>
  <c r="AJ661" i="1" s="1"/>
  <c r="AM661" i="1" s="1"/>
  <c r="S661" i="1"/>
  <c r="AJ660" i="1"/>
  <c r="AM660" i="1" s="1"/>
  <c r="AG660" i="1"/>
  <c r="S660" i="1"/>
  <c r="AG659" i="1"/>
  <c r="AJ659" i="1" s="1"/>
  <c r="AM659" i="1" s="1"/>
  <c r="S659" i="1"/>
  <c r="AG658" i="1"/>
  <c r="AJ658" i="1" s="1"/>
  <c r="AM658" i="1" s="1"/>
  <c r="AN658" i="1" s="1"/>
  <c r="AP658" i="1" s="1"/>
  <c r="S658" i="1"/>
  <c r="AG657" i="1"/>
  <c r="AJ657" i="1" s="1"/>
  <c r="AM657" i="1" s="1"/>
  <c r="Q657" i="1"/>
  <c r="S657" i="1" s="1"/>
  <c r="AG656" i="1"/>
  <c r="AJ656" i="1" s="1"/>
  <c r="AM656" i="1" s="1"/>
  <c r="Q656" i="1"/>
  <c r="S656" i="1" s="1"/>
  <c r="AG655" i="1"/>
  <c r="AJ655" i="1" s="1"/>
  <c r="AM655" i="1" s="1"/>
  <c r="Q655" i="1"/>
  <c r="S655" i="1" s="1"/>
  <c r="AJ654" i="1"/>
  <c r="AM654" i="1" s="1"/>
  <c r="AG654" i="1"/>
  <c r="Q654" i="1"/>
  <c r="S654" i="1" s="1"/>
  <c r="AG653" i="1"/>
  <c r="AJ653" i="1" s="1"/>
  <c r="AM653" i="1" s="1"/>
  <c r="Q653" i="1"/>
  <c r="S653" i="1" s="1"/>
  <c r="AG652" i="1"/>
  <c r="AJ652" i="1" s="1"/>
  <c r="AM652" i="1" s="1"/>
  <c r="Q652" i="1"/>
  <c r="S652" i="1" s="1"/>
  <c r="AG651" i="1"/>
  <c r="AJ651" i="1" s="1"/>
  <c r="AM651" i="1" s="1"/>
  <c r="Q651" i="1"/>
  <c r="S651" i="1" s="1"/>
  <c r="AG650" i="1"/>
  <c r="AJ650" i="1" s="1"/>
  <c r="AM650" i="1" s="1"/>
  <c r="Q650" i="1"/>
  <c r="S650" i="1" s="1"/>
  <c r="AG649" i="1"/>
  <c r="AJ649" i="1" s="1"/>
  <c r="AM649" i="1" s="1"/>
  <c r="Q649" i="1"/>
  <c r="S649" i="1" s="1"/>
  <c r="AG648" i="1"/>
  <c r="AJ648" i="1" s="1"/>
  <c r="AM648" i="1" s="1"/>
  <c r="Q648" i="1"/>
  <c r="S648" i="1" s="1"/>
  <c r="AG647" i="1"/>
  <c r="AJ647" i="1" s="1"/>
  <c r="AM647" i="1" s="1"/>
  <c r="Q647" i="1"/>
  <c r="S647" i="1" s="1"/>
  <c r="AJ646" i="1"/>
  <c r="AM646" i="1" s="1"/>
  <c r="AG646" i="1"/>
  <c r="Q646" i="1"/>
  <c r="S646" i="1" s="1"/>
  <c r="AG645" i="1"/>
  <c r="AJ645" i="1" s="1"/>
  <c r="AM645" i="1" s="1"/>
  <c r="Q645" i="1"/>
  <c r="S645" i="1" s="1"/>
  <c r="AJ644" i="1"/>
  <c r="AM644" i="1" s="1"/>
  <c r="AG644" i="1"/>
  <c r="Q644" i="1"/>
  <c r="S644" i="1" s="1"/>
  <c r="AG643" i="1"/>
  <c r="AJ643" i="1" s="1"/>
  <c r="AM643" i="1" s="1"/>
  <c r="S643" i="1"/>
  <c r="AG642" i="1"/>
  <c r="AJ642" i="1" s="1"/>
  <c r="AM642" i="1" s="1"/>
  <c r="S642" i="1"/>
  <c r="AG641" i="1"/>
  <c r="AJ641" i="1" s="1"/>
  <c r="AM641" i="1" s="1"/>
  <c r="S641" i="1"/>
  <c r="AG640" i="1"/>
  <c r="AJ640" i="1" s="1"/>
  <c r="AM640" i="1" s="1"/>
  <c r="S640" i="1"/>
  <c r="AJ639" i="1"/>
  <c r="AM639" i="1" s="1"/>
  <c r="AG639" i="1"/>
  <c r="S639" i="1"/>
  <c r="AG638" i="1"/>
  <c r="AJ638" i="1" s="1"/>
  <c r="AM638" i="1" s="1"/>
  <c r="S638" i="1"/>
  <c r="AN638" i="1" s="1"/>
  <c r="AP638" i="1" s="1"/>
  <c r="AG637" i="1"/>
  <c r="AJ637" i="1" s="1"/>
  <c r="AM637" i="1" s="1"/>
  <c r="S637" i="1"/>
  <c r="AG636" i="1"/>
  <c r="AJ636" i="1" s="1"/>
  <c r="AM636" i="1" s="1"/>
  <c r="S636" i="1"/>
  <c r="AN636" i="1" s="1"/>
  <c r="AP636" i="1" s="1"/>
  <c r="AG635" i="1"/>
  <c r="AJ635" i="1" s="1"/>
  <c r="AM635" i="1" s="1"/>
  <c r="S635" i="1"/>
  <c r="AG634" i="1"/>
  <c r="AJ634" i="1" s="1"/>
  <c r="AM634" i="1" s="1"/>
  <c r="S634" i="1"/>
  <c r="AG633" i="1"/>
  <c r="AJ633" i="1" s="1"/>
  <c r="AM633" i="1" s="1"/>
  <c r="S633" i="1"/>
  <c r="AG632" i="1"/>
  <c r="AJ632" i="1" s="1"/>
  <c r="AM632" i="1" s="1"/>
  <c r="Q632" i="1"/>
  <c r="S632" i="1" s="1"/>
  <c r="AG631" i="1"/>
  <c r="AJ631" i="1" s="1"/>
  <c r="AM631" i="1" s="1"/>
  <c r="Q631" i="1"/>
  <c r="S631" i="1" s="1"/>
  <c r="AG630" i="1"/>
  <c r="AJ630" i="1" s="1"/>
  <c r="AM630" i="1" s="1"/>
  <c r="Q630" i="1"/>
  <c r="S630" i="1" s="1"/>
  <c r="AG629" i="1"/>
  <c r="AJ629" i="1" s="1"/>
  <c r="AM629" i="1" s="1"/>
  <c r="Q629" i="1"/>
  <c r="S629" i="1" s="1"/>
  <c r="AG628" i="1"/>
  <c r="AJ628" i="1" s="1"/>
  <c r="AM628" i="1" s="1"/>
  <c r="Q628" i="1"/>
  <c r="S628" i="1" s="1"/>
  <c r="AG627" i="1"/>
  <c r="AJ627" i="1" s="1"/>
  <c r="AM627" i="1" s="1"/>
  <c r="Q627" i="1"/>
  <c r="S627" i="1" s="1"/>
  <c r="AG626" i="1"/>
  <c r="AJ626" i="1" s="1"/>
  <c r="AM626" i="1" s="1"/>
  <c r="Q626" i="1"/>
  <c r="S626" i="1" s="1"/>
  <c r="AG625" i="1"/>
  <c r="AJ625" i="1" s="1"/>
  <c r="AM625" i="1" s="1"/>
  <c r="Q625" i="1"/>
  <c r="S625" i="1" s="1"/>
  <c r="AG624" i="1"/>
  <c r="AJ624" i="1" s="1"/>
  <c r="AM624" i="1" s="1"/>
  <c r="Q624" i="1"/>
  <c r="S624" i="1" s="1"/>
  <c r="AG623" i="1"/>
  <c r="AJ623" i="1" s="1"/>
  <c r="AM623" i="1" s="1"/>
  <c r="S623" i="1"/>
  <c r="AG621" i="1"/>
  <c r="AJ621" i="1" s="1"/>
  <c r="AM621" i="1" s="1"/>
  <c r="Q621" i="1"/>
  <c r="S621" i="1" s="1"/>
  <c r="AG620" i="1"/>
  <c r="AJ620" i="1" s="1"/>
  <c r="AM620" i="1" s="1"/>
  <c r="Q620" i="1"/>
  <c r="S620" i="1" s="1"/>
  <c r="AG619" i="1"/>
  <c r="AJ619" i="1" s="1"/>
  <c r="AM619" i="1" s="1"/>
  <c r="Q619" i="1"/>
  <c r="S619" i="1" s="1"/>
  <c r="AG618" i="1"/>
  <c r="AJ618" i="1" s="1"/>
  <c r="AM618" i="1" s="1"/>
  <c r="Q618" i="1"/>
  <c r="S618" i="1" s="1"/>
  <c r="AG617" i="1"/>
  <c r="AJ617" i="1" s="1"/>
  <c r="AM617" i="1" s="1"/>
  <c r="Q617" i="1"/>
  <c r="S617" i="1" s="1"/>
  <c r="AG616" i="1"/>
  <c r="AJ616" i="1" s="1"/>
  <c r="AM616" i="1" s="1"/>
  <c r="Q616" i="1"/>
  <c r="S616" i="1" s="1"/>
  <c r="AG615" i="1"/>
  <c r="AJ615" i="1" s="1"/>
  <c r="AM615" i="1" s="1"/>
  <c r="Q615" i="1"/>
  <c r="S615" i="1" s="1"/>
  <c r="AS614" i="1"/>
  <c r="AG614" i="1"/>
  <c r="AJ614" i="1" s="1"/>
  <c r="AM614" i="1" s="1"/>
  <c r="Q614" i="1"/>
  <c r="S614" i="1" s="1"/>
  <c r="AG613" i="1"/>
  <c r="AJ613" i="1" s="1"/>
  <c r="AM613" i="1" s="1"/>
  <c r="S613" i="1"/>
  <c r="AG612" i="1"/>
  <c r="AJ612" i="1" s="1"/>
  <c r="AM612" i="1" s="1"/>
  <c r="Q612" i="1"/>
  <c r="S612" i="1" s="1"/>
  <c r="AG611" i="1"/>
  <c r="AJ611" i="1" s="1"/>
  <c r="AM611" i="1" s="1"/>
  <c r="Q611" i="1"/>
  <c r="S611" i="1" s="1"/>
  <c r="AG610" i="1"/>
  <c r="AJ610" i="1" s="1"/>
  <c r="AM610" i="1" s="1"/>
  <c r="Q610" i="1"/>
  <c r="S610" i="1" s="1"/>
  <c r="AG609" i="1"/>
  <c r="AJ609" i="1" s="1"/>
  <c r="AM609" i="1" s="1"/>
  <c r="Q609" i="1"/>
  <c r="S609" i="1" s="1"/>
  <c r="AG608" i="1"/>
  <c r="AJ608" i="1" s="1"/>
  <c r="AM608" i="1" s="1"/>
  <c r="Q608" i="1"/>
  <c r="S608" i="1" s="1"/>
  <c r="AG607" i="1"/>
  <c r="AJ607" i="1" s="1"/>
  <c r="AM607" i="1" s="1"/>
  <c r="S607" i="1"/>
  <c r="AG606" i="1"/>
  <c r="AJ606" i="1" s="1"/>
  <c r="AM606" i="1" s="1"/>
  <c r="Q606" i="1"/>
  <c r="S606" i="1" s="1"/>
  <c r="AG605" i="1"/>
  <c r="AJ605" i="1" s="1"/>
  <c r="AM605" i="1" s="1"/>
  <c r="Q605" i="1"/>
  <c r="S605" i="1" s="1"/>
  <c r="AG604" i="1"/>
  <c r="AJ604" i="1" s="1"/>
  <c r="AM604" i="1" s="1"/>
  <c r="K604" i="1"/>
  <c r="Q604" i="1" s="1"/>
  <c r="S604" i="1" s="1"/>
  <c r="AG603" i="1"/>
  <c r="AJ603" i="1" s="1"/>
  <c r="AM603" i="1" s="1"/>
  <c r="Q603" i="1"/>
  <c r="S603" i="1" s="1"/>
  <c r="AG602" i="1"/>
  <c r="AJ602" i="1" s="1"/>
  <c r="AM602" i="1" s="1"/>
  <c r="Q602" i="1"/>
  <c r="S602" i="1" s="1"/>
  <c r="AG601" i="1"/>
  <c r="AJ601" i="1" s="1"/>
  <c r="AM601" i="1" s="1"/>
  <c r="Q601" i="1"/>
  <c r="S601" i="1" s="1"/>
  <c r="AG600" i="1"/>
  <c r="AJ600" i="1" s="1"/>
  <c r="AM600" i="1" s="1"/>
  <c r="Q600" i="1"/>
  <c r="S600" i="1" s="1"/>
  <c r="AG599" i="1"/>
  <c r="AJ599" i="1" s="1"/>
  <c r="AM599" i="1" s="1"/>
  <c r="Q599" i="1"/>
  <c r="S599" i="1" s="1"/>
  <c r="AG598" i="1"/>
  <c r="AJ598" i="1" s="1"/>
  <c r="AM598" i="1" s="1"/>
  <c r="Q598" i="1"/>
  <c r="S598" i="1" s="1"/>
  <c r="AM596" i="1"/>
  <c r="AG596" i="1"/>
  <c r="AJ596" i="1" s="1"/>
  <c r="Q596" i="1"/>
  <c r="S596" i="1" s="1"/>
  <c r="AG594" i="1"/>
  <c r="AJ594" i="1" s="1"/>
  <c r="AM594" i="1" s="1"/>
  <c r="Q594" i="1"/>
  <c r="S594" i="1" s="1"/>
  <c r="AG593" i="1"/>
  <c r="AJ593" i="1" s="1"/>
  <c r="AM593" i="1" s="1"/>
  <c r="Q593" i="1"/>
  <c r="S593" i="1" s="1"/>
  <c r="AG592" i="1"/>
  <c r="AJ592" i="1" s="1"/>
  <c r="AM592" i="1" s="1"/>
  <c r="S592" i="1"/>
  <c r="AG591" i="1"/>
  <c r="AJ591" i="1" s="1"/>
  <c r="AM591" i="1" s="1"/>
  <c r="Q591" i="1"/>
  <c r="S591" i="1" s="1"/>
  <c r="AG590" i="1"/>
  <c r="AJ590" i="1" s="1"/>
  <c r="AM590" i="1" s="1"/>
  <c r="Q590" i="1"/>
  <c r="S590" i="1" s="1"/>
  <c r="AG589" i="1"/>
  <c r="AJ589" i="1" s="1"/>
  <c r="AM589" i="1" s="1"/>
  <c r="Q589" i="1"/>
  <c r="S589" i="1" s="1"/>
  <c r="AJ588" i="1"/>
  <c r="AM588" i="1" s="1"/>
  <c r="AG588" i="1"/>
  <c r="Q588" i="1"/>
  <c r="S588" i="1" s="1"/>
  <c r="AG587" i="1"/>
  <c r="AJ587" i="1" s="1"/>
  <c r="AM587" i="1" s="1"/>
  <c r="Q587" i="1"/>
  <c r="S587" i="1" s="1"/>
  <c r="AG586" i="1"/>
  <c r="AJ586" i="1" s="1"/>
  <c r="AM586" i="1" s="1"/>
  <c r="Q586" i="1"/>
  <c r="S586" i="1" s="1"/>
  <c r="AG584" i="1"/>
  <c r="AJ584" i="1" s="1"/>
  <c r="AM584" i="1" s="1"/>
  <c r="Q584" i="1"/>
  <c r="S584" i="1" s="1"/>
  <c r="AG583" i="1"/>
  <c r="AJ583" i="1" s="1"/>
  <c r="AM583" i="1" s="1"/>
  <c r="Q583" i="1"/>
  <c r="S583" i="1" s="1"/>
  <c r="AG581" i="1"/>
  <c r="AJ581" i="1" s="1"/>
  <c r="AM581" i="1" s="1"/>
  <c r="Q581" i="1"/>
  <c r="S581" i="1" s="1"/>
  <c r="AJ580" i="1"/>
  <c r="AM580" i="1" s="1"/>
  <c r="AG580" i="1"/>
  <c r="Q580" i="1"/>
  <c r="S580" i="1" s="1"/>
  <c r="AG579" i="1"/>
  <c r="AJ579" i="1" s="1"/>
  <c r="AM579" i="1" s="1"/>
  <c r="Q579" i="1"/>
  <c r="S579" i="1" s="1"/>
  <c r="AG578" i="1"/>
  <c r="AJ578" i="1" s="1"/>
  <c r="AM578" i="1" s="1"/>
  <c r="Q578" i="1"/>
  <c r="S578" i="1" s="1"/>
  <c r="AG576" i="1"/>
  <c r="AJ576" i="1" s="1"/>
  <c r="AM576" i="1" s="1"/>
  <c r="Q576" i="1"/>
  <c r="S576" i="1" s="1"/>
  <c r="AG575" i="1"/>
  <c r="AJ575" i="1" s="1"/>
  <c r="AM575" i="1" s="1"/>
  <c r="S575" i="1"/>
  <c r="AG574" i="1"/>
  <c r="AJ574" i="1" s="1"/>
  <c r="AM574" i="1" s="1"/>
  <c r="S574" i="1"/>
  <c r="AG573" i="1"/>
  <c r="AJ573" i="1" s="1"/>
  <c r="AM573" i="1" s="1"/>
  <c r="S573" i="1"/>
  <c r="AG572" i="1"/>
  <c r="AJ572" i="1" s="1"/>
  <c r="AM572" i="1" s="1"/>
  <c r="S572" i="1"/>
  <c r="AN572" i="1" s="1"/>
  <c r="AP572" i="1" s="1"/>
  <c r="AG571" i="1"/>
  <c r="AJ571" i="1" s="1"/>
  <c r="AM571" i="1" s="1"/>
  <c r="S571" i="1"/>
  <c r="AG570" i="1"/>
  <c r="AJ570" i="1" s="1"/>
  <c r="AM570" i="1" s="1"/>
  <c r="S570" i="1"/>
  <c r="AG569" i="1"/>
  <c r="AJ569" i="1" s="1"/>
  <c r="AM569" i="1" s="1"/>
  <c r="S569" i="1"/>
  <c r="AG568" i="1"/>
  <c r="AJ568" i="1" s="1"/>
  <c r="AM568" i="1" s="1"/>
  <c r="S568" i="1"/>
  <c r="AG567" i="1"/>
  <c r="AJ567" i="1" s="1"/>
  <c r="AM567" i="1" s="1"/>
  <c r="S567" i="1"/>
  <c r="AG566" i="1"/>
  <c r="AJ566" i="1" s="1"/>
  <c r="AM566" i="1" s="1"/>
  <c r="S566" i="1"/>
  <c r="AG565" i="1"/>
  <c r="AJ565" i="1" s="1"/>
  <c r="AM565" i="1" s="1"/>
  <c r="S565" i="1"/>
  <c r="AG564" i="1"/>
  <c r="AJ564" i="1" s="1"/>
  <c r="AM564" i="1" s="1"/>
  <c r="S564" i="1"/>
  <c r="AG563" i="1"/>
  <c r="AJ563" i="1" s="1"/>
  <c r="AM563" i="1" s="1"/>
  <c r="S563" i="1"/>
  <c r="AG562" i="1"/>
  <c r="AJ562" i="1" s="1"/>
  <c r="AM562" i="1" s="1"/>
  <c r="S562" i="1"/>
  <c r="AG561" i="1"/>
  <c r="AJ561" i="1" s="1"/>
  <c r="AM561" i="1" s="1"/>
  <c r="S561" i="1"/>
  <c r="AN561" i="1" s="1"/>
  <c r="AP561" i="1" s="1"/>
  <c r="AG560" i="1"/>
  <c r="AJ560" i="1" s="1"/>
  <c r="AM560" i="1" s="1"/>
  <c r="S560" i="1"/>
  <c r="AG559" i="1"/>
  <c r="AJ559" i="1" s="1"/>
  <c r="AM559" i="1" s="1"/>
  <c r="S559" i="1"/>
  <c r="AG558" i="1"/>
  <c r="AJ558" i="1" s="1"/>
  <c r="AM558" i="1" s="1"/>
  <c r="S558" i="1"/>
  <c r="AG557" i="1"/>
  <c r="AJ557" i="1" s="1"/>
  <c r="AM557" i="1" s="1"/>
  <c r="Q557" i="1"/>
  <c r="S557" i="1" s="1"/>
  <c r="AG556" i="1"/>
  <c r="AJ556" i="1" s="1"/>
  <c r="AM556" i="1" s="1"/>
  <c r="Q556" i="1"/>
  <c r="S556" i="1" s="1"/>
  <c r="AG555" i="1"/>
  <c r="AJ555" i="1" s="1"/>
  <c r="AM555" i="1" s="1"/>
  <c r="Q555" i="1"/>
  <c r="S555" i="1" s="1"/>
  <c r="AG554" i="1"/>
  <c r="AJ554" i="1" s="1"/>
  <c r="AM554" i="1" s="1"/>
  <c r="Q554" i="1"/>
  <c r="S554" i="1" s="1"/>
  <c r="AG553" i="1"/>
  <c r="AJ553" i="1" s="1"/>
  <c r="AM553" i="1" s="1"/>
  <c r="Q553" i="1"/>
  <c r="S553" i="1" s="1"/>
  <c r="AG552" i="1"/>
  <c r="AJ552" i="1" s="1"/>
  <c r="AM552" i="1" s="1"/>
  <c r="S552" i="1"/>
  <c r="Q552" i="1"/>
  <c r="AG551" i="1"/>
  <c r="AJ551" i="1" s="1"/>
  <c r="AM551" i="1" s="1"/>
  <c r="Q551" i="1"/>
  <c r="S551" i="1" s="1"/>
  <c r="AG550" i="1"/>
  <c r="AJ550" i="1" s="1"/>
  <c r="AM550" i="1" s="1"/>
  <c r="Q550" i="1"/>
  <c r="S550" i="1" s="1"/>
  <c r="AG549" i="1"/>
  <c r="AJ549" i="1" s="1"/>
  <c r="AM549" i="1" s="1"/>
  <c r="Q549" i="1"/>
  <c r="S549" i="1" s="1"/>
  <c r="AG548" i="1"/>
  <c r="AJ548" i="1" s="1"/>
  <c r="AM548" i="1" s="1"/>
  <c r="Q548" i="1"/>
  <c r="S548" i="1" s="1"/>
  <c r="AG547" i="1"/>
  <c r="AJ547" i="1" s="1"/>
  <c r="AM547" i="1" s="1"/>
  <c r="Q547" i="1"/>
  <c r="S547" i="1" s="1"/>
  <c r="AG546" i="1"/>
  <c r="AJ546" i="1" s="1"/>
  <c r="AM546" i="1" s="1"/>
  <c r="Q546" i="1"/>
  <c r="S546" i="1" s="1"/>
  <c r="AG545" i="1"/>
  <c r="AJ545" i="1" s="1"/>
  <c r="AM545" i="1" s="1"/>
  <c r="Q545" i="1"/>
  <c r="S545" i="1" s="1"/>
  <c r="AG544" i="1"/>
  <c r="AJ544" i="1" s="1"/>
  <c r="AM544" i="1" s="1"/>
  <c r="S544" i="1"/>
  <c r="Q544" i="1"/>
  <c r="AG543" i="1"/>
  <c r="AJ543" i="1" s="1"/>
  <c r="AM543" i="1" s="1"/>
  <c r="Q543" i="1"/>
  <c r="S543" i="1" s="1"/>
  <c r="AG542" i="1"/>
  <c r="AJ542" i="1" s="1"/>
  <c r="AM542" i="1" s="1"/>
  <c r="Q542" i="1"/>
  <c r="S542" i="1" s="1"/>
  <c r="AG541" i="1"/>
  <c r="AJ541" i="1" s="1"/>
  <c r="AM541" i="1" s="1"/>
  <c r="Q541" i="1"/>
  <c r="S541" i="1" s="1"/>
  <c r="AG540" i="1"/>
  <c r="AJ540" i="1" s="1"/>
  <c r="AM540" i="1" s="1"/>
  <c r="Q540" i="1"/>
  <c r="S540" i="1" s="1"/>
  <c r="AG539" i="1"/>
  <c r="AJ539" i="1" s="1"/>
  <c r="AM539" i="1" s="1"/>
  <c r="Q539" i="1"/>
  <c r="S539" i="1" s="1"/>
  <c r="AG538" i="1"/>
  <c r="AJ538" i="1" s="1"/>
  <c r="AM538" i="1" s="1"/>
  <c r="Q538" i="1"/>
  <c r="S538" i="1" s="1"/>
  <c r="AG537" i="1"/>
  <c r="AJ537" i="1" s="1"/>
  <c r="AM537" i="1" s="1"/>
  <c r="Q537" i="1"/>
  <c r="S537" i="1" s="1"/>
  <c r="AG536" i="1"/>
  <c r="AJ536" i="1" s="1"/>
  <c r="AM536" i="1" s="1"/>
  <c r="S536" i="1"/>
  <c r="Q536" i="1"/>
  <c r="AG535" i="1"/>
  <c r="AJ535" i="1" s="1"/>
  <c r="AM535" i="1" s="1"/>
  <c r="Q535" i="1"/>
  <c r="S535" i="1" s="1"/>
  <c r="AG534" i="1"/>
  <c r="AJ534" i="1" s="1"/>
  <c r="AM534" i="1" s="1"/>
  <c r="Q534" i="1"/>
  <c r="S534" i="1" s="1"/>
  <c r="AG533" i="1"/>
  <c r="AJ533" i="1" s="1"/>
  <c r="AM533" i="1" s="1"/>
  <c r="Q533" i="1"/>
  <c r="S533" i="1" s="1"/>
  <c r="AG530" i="1"/>
  <c r="AJ530" i="1" s="1"/>
  <c r="AM530" i="1" s="1"/>
  <c r="Q530" i="1"/>
  <c r="S530" i="1" s="1"/>
  <c r="AG529" i="1"/>
  <c r="AJ529" i="1" s="1"/>
  <c r="AM529" i="1" s="1"/>
  <c r="Q529" i="1"/>
  <c r="S529" i="1" s="1"/>
  <c r="AG528" i="1"/>
  <c r="AJ528" i="1" s="1"/>
  <c r="AM528" i="1" s="1"/>
  <c r="Q528" i="1"/>
  <c r="S528" i="1" s="1"/>
  <c r="AG527" i="1"/>
  <c r="AJ527" i="1" s="1"/>
  <c r="AM527" i="1" s="1"/>
  <c r="Q527" i="1"/>
  <c r="S527" i="1" s="1"/>
  <c r="AG526" i="1"/>
  <c r="AJ526" i="1" s="1"/>
  <c r="AM526" i="1" s="1"/>
  <c r="Q526" i="1"/>
  <c r="S526" i="1" s="1"/>
  <c r="AG525" i="1"/>
  <c r="AJ525" i="1" s="1"/>
  <c r="AM525" i="1" s="1"/>
  <c r="Q525" i="1"/>
  <c r="S525" i="1" s="1"/>
  <c r="AG524" i="1"/>
  <c r="AJ524" i="1" s="1"/>
  <c r="AM524" i="1" s="1"/>
  <c r="Q524" i="1"/>
  <c r="S524" i="1" s="1"/>
  <c r="AG523" i="1"/>
  <c r="AJ523" i="1" s="1"/>
  <c r="AM523" i="1" s="1"/>
  <c r="Q523" i="1"/>
  <c r="S523" i="1" s="1"/>
  <c r="AG522" i="1"/>
  <c r="AJ522" i="1" s="1"/>
  <c r="AM522" i="1" s="1"/>
  <c r="Q522" i="1"/>
  <c r="S522" i="1" s="1"/>
  <c r="AG521" i="1"/>
  <c r="AJ521" i="1" s="1"/>
  <c r="AM521" i="1" s="1"/>
  <c r="Q521" i="1"/>
  <c r="S521" i="1" s="1"/>
  <c r="AG520" i="1"/>
  <c r="AJ520" i="1" s="1"/>
  <c r="AM520" i="1" s="1"/>
  <c r="S520" i="1"/>
  <c r="Q520" i="1"/>
  <c r="AG519" i="1"/>
  <c r="AJ519" i="1" s="1"/>
  <c r="AM519" i="1" s="1"/>
  <c r="Q519" i="1"/>
  <c r="S519" i="1" s="1"/>
  <c r="AG518" i="1"/>
  <c r="AJ518" i="1" s="1"/>
  <c r="AM518" i="1" s="1"/>
  <c r="Q518" i="1"/>
  <c r="S518" i="1" s="1"/>
  <c r="AG517" i="1"/>
  <c r="AJ517" i="1" s="1"/>
  <c r="AM517" i="1" s="1"/>
  <c r="Q517" i="1"/>
  <c r="S517" i="1" s="1"/>
  <c r="AG516" i="1"/>
  <c r="AJ516" i="1" s="1"/>
  <c r="AM516" i="1" s="1"/>
  <c r="S516" i="1"/>
  <c r="Q516" i="1"/>
  <c r="AG515" i="1"/>
  <c r="AJ515" i="1" s="1"/>
  <c r="AM515" i="1" s="1"/>
  <c r="Q515" i="1"/>
  <c r="S515" i="1" s="1"/>
  <c r="AG514" i="1"/>
  <c r="AJ514" i="1" s="1"/>
  <c r="AM514" i="1" s="1"/>
  <c r="Q514" i="1"/>
  <c r="S514" i="1" s="1"/>
  <c r="AG513" i="1"/>
  <c r="AJ513" i="1" s="1"/>
  <c r="AM513" i="1" s="1"/>
  <c r="Q513" i="1"/>
  <c r="S513" i="1" s="1"/>
  <c r="AG512" i="1"/>
  <c r="AJ512" i="1" s="1"/>
  <c r="AM512" i="1" s="1"/>
  <c r="S512" i="1"/>
  <c r="Q512" i="1"/>
  <c r="AG511" i="1"/>
  <c r="AJ511" i="1" s="1"/>
  <c r="AM511" i="1" s="1"/>
  <c r="Q511" i="1"/>
  <c r="S511" i="1" s="1"/>
  <c r="AG510" i="1"/>
  <c r="AJ510" i="1" s="1"/>
  <c r="AM510" i="1" s="1"/>
  <c r="Q510" i="1"/>
  <c r="S510" i="1" s="1"/>
  <c r="AG509" i="1"/>
  <c r="AJ509" i="1" s="1"/>
  <c r="AM509" i="1" s="1"/>
  <c r="Q509" i="1"/>
  <c r="S509" i="1" s="1"/>
  <c r="AG508" i="1"/>
  <c r="AJ508" i="1" s="1"/>
  <c r="AM508" i="1" s="1"/>
  <c r="Q508" i="1"/>
  <c r="S508" i="1" s="1"/>
  <c r="AG507" i="1"/>
  <c r="AJ507" i="1" s="1"/>
  <c r="AM507" i="1" s="1"/>
  <c r="K507" i="1"/>
  <c r="Q507" i="1" s="1"/>
  <c r="S507" i="1" s="1"/>
  <c r="AG506" i="1"/>
  <c r="AJ506" i="1" s="1"/>
  <c r="K506" i="1"/>
  <c r="Q506" i="1" s="1"/>
  <c r="S506" i="1" s="1"/>
  <c r="AJ505" i="1"/>
  <c r="AM505" i="1" s="1"/>
  <c r="AG505" i="1"/>
  <c r="K505" i="1"/>
  <c r="Q505" i="1" s="1"/>
  <c r="S505" i="1" s="1"/>
  <c r="AG504" i="1"/>
  <c r="AJ504" i="1" s="1"/>
  <c r="AM504" i="1" s="1"/>
  <c r="Q504" i="1"/>
  <c r="S504" i="1" s="1"/>
  <c r="AN504" i="1" s="1"/>
  <c r="AP504" i="1" s="1"/>
  <c r="K504" i="1"/>
  <c r="AG503" i="1"/>
  <c r="AJ503" i="1" s="1"/>
  <c r="AM503" i="1" s="1"/>
  <c r="Q503" i="1"/>
  <c r="S503" i="1" s="1"/>
  <c r="AG502" i="1"/>
  <c r="AJ502" i="1" s="1"/>
  <c r="AM502" i="1" s="1"/>
  <c r="Q502" i="1"/>
  <c r="S502" i="1" s="1"/>
  <c r="AG501" i="1"/>
  <c r="AJ501" i="1" s="1"/>
  <c r="AM501" i="1" s="1"/>
  <c r="Q501" i="1"/>
  <c r="S501" i="1" s="1"/>
  <c r="AG500" i="1"/>
  <c r="AJ500" i="1" s="1"/>
  <c r="AM500" i="1" s="1"/>
  <c r="Q500" i="1"/>
  <c r="S500" i="1" s="1"/>
  <c r="AG499" i="1"/>
  <c r="AJ499" i="1" s="1"/>
  <c r="AM499" i="1" s="1"/>
  <c r="Q499" i="1"/>
  <c r="S499" i="1" s="1"/>
  <c r="AG498" i="1"/>
  <c r="AJ498" i="1" s="1"/>
  <c r="AM498" i="1" s="1"/>
  <c r="Q498" i="1"/>
  <c r="S498" i="1" s="1"/>
  <c r="AG497" i="1"/>
  <c r="AJ497" i="1" s="1"/>
  <c r="AM497" i="1" s="1"/>
  <c r="Q497" i="1"/>
  <c r="S497" i="1" s="1"/>
  <c r="AJ496" i="1"/>
  <c r="AM496" i="1" s="1"/>
  <c r="AG495" i="1"/>
  <c r="AJ495" i="1" s="1"/>
  <c r="AM495" i="1" s="1"/>
  <c r="Q495" i="1"/>
  <c r="S495" i="1" s="1"/>
  <c r="AJ494" i="1"/>
  <c r="AM494" i="1" s="1"/>
  <c r="AJ493" i="1"/>
  <c r="AM493" i="1" s="1"/>
  <c r="Q493" i="1"/>
  <c r="S493" i="1" s="1"/>
  <c r="AG492" i="1"/>
  <c r="AJ492" i="1" s="1"/>
  <c r="AM492" i="1" s="1"/>
  <c r="Q492" i="1"/>
  <c r="S492" i="1" s="1"/>
  <c r="AG491" i="1"/>
  <c r="AJ491" i="1" s="1"/>
  <c r="AM491" i="1" s="1"/>
  <c r="Q491" i="1"/>
  <c r="S491" i="1" s="1"/>
  <c r="AG490" i="1"/>
  <c r="AJ490" i="1" s="1"/>
  <c r="AM490" i="1" s="1"/>
  <c r="Q490" i="1"/>
  <c r="S490" i="1" s="1"/>
  <c r="AN490" i="1" s="1"/>
  <c r="AP490" i="1" s="1"/>
  <c r="AT489" i="1"/>
  <c r="AG489" i="1"/>
  <c r="AJ489" i="1" s="1"/>
  <c r="AM489" i="1" s="1"/>
  <c r="K489" i="1"/>
  <c r="Q489" i="1" s="1"/>
  <c r="S489" i="1" s="1"/>
  <c r="AN489" i="1" s="1"/>
  <c r="AP489" i="1" s="1"/>
  <c r="AG488" i="1"/>
  <c r="AJ488" i="1" s="1"/>
  <c r="AM488" i="1" s="1"/>
  <c r="K488" i="1"/>
  <c r="Q488" i="1" s="1"/>
  <c r="S488" i="1" s="1"/>
  <c r="AS487" i="1"/>
  <c r="AG487" i="1"/>
  <c r="AJ487" i="1" s="1"/>
  <c r="AM487" i="1" s="1"/>
  <c r="Q487" i="1"/>
  <c r="S487" i="1" s="1"/>
  <c r="AN487" i="1" s="1"/>
  <c r="AP487" i="1" s="1"/>
  <c r="AG486" i="1"/>
  <c r="AJ486" i="1" s="1"/>
  <c r="AM486" i="1" s="1"/>
  <c r="Q486" i="1"/>
  <c r="S486" i="1" s="1"/>
  <c r="AG485" i="1"/>
  <c r="AJ485" i="1" s="1"/>
  <c r="AM485" i="1" s="1"/>
  <c r="S485" i="1"/>
  <c r="AN485" i="1" s="1"/>
  <c r="AP485" i="1" s="1"/>
  <c r="Q485" i="1"/>
  <c r="AG484" i="1"/>
  <c r="AJ484" i="1" s="1"/>
  <c r="AM484" i="1" s="1"/>
  <c r="Q484" i="1"/>
  <c r="S484" i="1" s="1"/>
  <c r="AG483" i="1"/>
  <c r="AJ483" i="1" s="1"/>
  <c r="AM483" i="1" s="1"/>
  <c r="Q483" i="1"/>
  <c r="S483" i="1" s="1"/>
  <c r="AG482" i="1"/>
  <c r="AJ482" i="1" s="1"/>
  <c r="AM482" i="1" s="1"/>
  <c r="Q482" i="1"/>
  <c r="S482" i="1" s="1"/>
  <c r="AN482" i="1" s="1"/>
  <c r="AP482" i="1" s="1"/>
  <c r="AG481" i="1"/>
  <c r="AJ481" i="1" s="1"/>
  <c r="AM481" i="1" s="1"/>
  <c r="K481" i="1"/>
  <c r="Q481" i="1" s="1"/>
  <c r="S481" i="1" s="1"/>
  <c r="AG480" i="1"/>
  <c r="AJ480" i="1" s="1"/>
  <c r="AM480" i="1" s="1"/>
  <c r="Q480" i="1"/>
  <c r="S480" i="1" s="1"/>
  <c r="AG479" i="1"/>
  <c r="AJ479" i="1" s="1"/>
  <c r="AM479" i="1" s="1"/>
  <c r="Q479" i="1"/>
  <c r="S479" i="1" s="1"/>
  <c r="AJ478" i="1"/>
  <c r="AM478" i="1" s="1"/>
  <c r="AP478" i="1" s="1"/>
  <c r="AG476" i="1"/>
  <c r="AJ476" i="1" s="1"/>
  <c r="AM476" i="1" s="1"/>
  <c r="W476" i="1"/>
  <c r="Q475" i="1"/>
  <c r="S475" i="1" s="1"/>
  <c r="AN477" i="1" s="1"/>
  <c r="AP477" i="1" s="1"/>
  <c r="AG474" i="1"/>
  <c r="AJ474" i="1" s="1"/>
  <c r="AM474" i="1" s="1"/>
  <c r="Q474" i="1"/>
  <c r="S474" i="1" s="1"/>
  <c r="AG473" i="1"/>
  <c r="AJ473" i="1" s="1"/>
  <c r="AM473" i="1" s="1"/>
  <c r="Q473" i="1"/>
  <c r="S473" i="1" s="1"/>
  <c r="AG472" i="1"/>
  <c r="AJ472" i="1" s="1"/>
  <c r="AM472" i="1" s="1"/>
  <c r="K472" i="1"/>
  <c r="Q472" i="1" s="1"/>
  <c r="S472" i="1" s="1"/>
  <c r="AG471" i="1"/>
  <c r="AJ471" i="1" s="1"/>
  <c r="AM471" i="1" s="1"/>
  <c r="Q471" i="1"/>
  <c r="S471" i="1" s="1"/>
  <c r="AG470" i="1"/>
  <c r="AJ470" i="1" s="1"/>
  <c r="AM470" i="1" s="1"/>
  <c r="Q470" i="1"/>
  <c r="S470" i="1" s="1"/>
  <c r="AG469" i="1"/>
  <c r="AJ469" i="1" s="1"/>
  <c r="AM469" i="1" s="1"/>
  <c r="Q469" i="1"/>
  <c r="S469" i="1" s="1"/>
  <c r="AG468" i="1"/>
  <c r="AJ468" i="1" s="1"/>
  <c r="AM468" i="1" s="1"/>
  <c r="Q468" i="1"/>
  <c r="S468" i="1" s="1"/>
  <c r="AG467" i="1"/>
  <c r="AJ467" i="1" s="1"/>
  <c r="AM467" i="1" s="1"/>
  <c r="Q467" i="1"/>
  <c r="S467" i="1" s="1"/>
  <c r="AG466" i="1"/>
  <c r="AJ466" i="1" s="1"/>
  <c r="AM466" i="1" s="1"/>
  <c r="Q466" i="1"/>
  <c r="S466" i="1" s="1"/>
  <c r="AJ465" i="1"/>
  <c r="AM465" i="1" s="1"/>
  <c r="AG465" i="1"/>
  <c r="Q465" i="1"/>
  <c r="S465" i="1" s="1"/>
  <c r="AG464" i="1"/>
  <c r="AJ464" i="1" s="1"/>
  <c r="AM464" i="1" s="1"/>
  <c r="Q464" i="1"/>
  <c r="S464" i="1" s="1"/>
  <c r="AG463" i="1"/>
  <c r="AJ463" i="1" s="1"/>
  <c r="AM463" i="1" s="1"/>
  <c r="S463" i="1"/>
  <c r="AG462" i="1"/>
  <c r="AJ462" i="1" s="1"/>
  <c r="AM462" i="1" s="1"/>
  <c r="S462" i="1"/>
  <c r="K462" i="1"/>
  <c r="Y461" i="1"/>
  <c r="AG461" i="1" s="1"/>
  <c r="AJ461" i="1" s="1"/>
  <c r="AM461" i="1" s="1"/>
  <c r="S461" i="1"/>
  <c r="AG460" i="1"/>
  <c r="AJ460" i="1" s="1"/>
  <c r="AM460" i="1" s="1"/>
  <c r="Q460" i="1"/>
  <c r="S460" i="1" s="1"/>
  <c r="AJ459" i="1"/>
  <c r="AM459" i="1" s="1"/>
  <c r="Q459" i="1"/>
  <c r="S459" i="1" s="1"/>
  <c r="AG458" i="1"/>
  <c r="AJ458" i="1" s="1"/>
  <c r="AM458" i="1" s="1"/>
  <c r="Q458" i="1"/>
  <c r="S458" i="1" s="1"/>
  <c r="AG457" i="1"/>
  <c r="AJ457" i="1" s="1"/>
  <c r="AM457" i="1" s="1"/>
  <c r="K457" i="1"/>
  <c r="Q457" i="1" s="1"/>
  <c r="S457" i="1" s="1"/>
  <c r="AG456" i="1"/>
  <c r="AJ456" i="1" s="1"/>
  <c r="AM456" i="1" s="1"/>
  <c r="Q456" i="1"/>
  <c r="S456" i="1" s="1"/>
  <c r="AG455" i="1"/>
  <c r="AJ455" i="1" s="1"/>
  <c r="AM455" i="1" s="1"/>
  <c r="Q455" i="1"/>
  <c r="S455" i="1" s="1"/>
  <c r="AG454" i="1"/>
  <c r="AJ454" i="1" s="1"/>
  <c r="AM454" i="1" s="1"/>
  <c r="Q454" i="1"/>
  <c r="S454" i="1" s="1"/>
  <c r="AG453" i="1"/>
  <c r="AJ453" i="1" s="1"/>
  <c r="AM453" i="1" s="1"/>
  <c r="Q453" i="1"/>
  <c r="S453" i="1" s="1"/>
  <c r="AG451" i="1"/>
  <c r="AJ451" i="1" s="1"/>
  <c r="AM451" i="1" s="1"/>
  <c r="AB451" i="1"/>
  <c r="S451" i="1"/>
  <c r="AG450" i="1"/>
  <c r="AJ450" i="1" s="1"/>
  <c r="AM450" i="1" s="1"/>
  <c r="Q450" i="1"/>
  <c r="S450" i="1" s="1"/>
  <c r="AG449" i="1"/>
  <c r="AJ449" i="1" s="1"/>
  <c r="AM449" i="1" s="1"/>
  <c r="Q449" i="1"/>
  <c r="S449" i="1" s="1"/>
  <c r="AG448" i="1"/>
  <c r="AJ448" i="1" s="1"/>
  <c r="AM448" i="1" s="1"/>
  <c r="Q448" i="1"/>
  <c r="S448" i="1" s="1"/>
  <c r="AN448" i="1" s="1"/>
  <c r="AP448" i="1" s="1"/>
  <c r="AG447" i="1"/>
  <c r="AJ447" i="1" s="1"/>
  <c r="AM447" i="1" s="1"/>
  <c r="AB447" i="1"/>
  <c r="Q447" i="1"/>
  <c r="S447" i="1" s="1"/>
  <c r="AG446" i="1"/>
  <c r="AJ446" i="1" s="1"/>
  <c r="AM446" i="1" s="1"/>
  <c r="K446" i="1"/>
  <c r="Q446" i="1" s="1"/>
  <c r="S446" i="1" s="1"/>
  <c r="AG445" i="1"/>
  <c r="AJ445" i="1" s="1"/>
  <c r="AM445" i="1" s="1"/>
  <c r="Q445" i="1"/>
  <c r="S445" i="1" s="1"/>
  <c r="AJ444" i="1"/>
  <c r="AM444" i="1" s="1"/>
  <c r="AG444" i="1"/>
  <c r="S444" i="1"/>
  <c r="AG443" i="1"/>
  <c r="AJ443" i="1" s="1"/>
  <c r="AM443" i="1" s="1"/>
  <c r="S443" i="1"/>
  <c r="AN443" i="1" s="1"/>
  <c r="AP443" i="1" s="1"/>
  <c r="Q443" i="1"/>
  <c r="AG442" i="1"/>
  <c r="AJ442" i="1" s="1"/>
  <c r="AM442" i="1" s="1"/>
  <c r="Q442" i="1"/>
  <c r="S442" i="1" s="1"/>
  <c r="AG441" i="1"/>
  <c r="AJ441" i="1" s="1"/>
  <c r="AM441" i="1" s="1"/>
  <c r="Q441" i="1"/>
  <c r="S441" i="1" s="1"/>
  <c r="AG440" i="1"/>
  <c r="AJ440" i="1" s="1"/>
  <c r="AM440" i="1" s="1"/>
  <c r="AN440" i="1" s="1"/>
  <c r="AP440" i="1" s="1"/>
  <c r="AB440" i="1"/>
  <c r="AJ439" i="1"/>
  <c r="AM439" i="1" s="1"/>
  <c r="AN439" i="1" s="1"/>
  <c r="AP439" i="1" s="1"/>
  <c r="S438" i="1"/>
  <c r="K438" i="1"/>
  <c r="AG437" i="1"/>
  <c r="AJ437" i="1" s="1"/>
  <c r="AM437" i="1" s="1"/>
  <c r="S437" i="1"/>
  <c r="AN437" i="1" s="1"/>
  <c r="AP437" i="1" s="1"/>
  <c r="Q437" i="1"/>
  <c r="AG436" i="1"/>
  <c r="AJ436" i="1" s="1"/>
  <c r="AM436" i="1" s="1"/>
  <c r="Q436" i="1"/>
  <c r="S436" i="1" s="1"/>
  <c r="AG435" i="1"/>
  <c r="AJ435" i="1" s="1"/>
  <c r="AM435" i="1" s="1"/>
  <c r="Q435" i="1"/>
  <c r="S435" i="1" s="1"/>
  <c r="AG434" i="1"/>
  <c r="AJ434" i="1" s="1"/>
  <c r="AM434" i="1" s="1"/>
  <c r="Q434" i="1"/>
  <c r="S434" i="1" s="1"/>
  <c r="AN434" i="1" s="1"/>
  <c r="AP434" i="1" s="1"/>
  <c r="AG432" i="1"/>
  <c r="AJ432" i="1" s="1"/>
  <c r="AM432" i="1" s="1"/>
  <c r="S432" i="1"/>
  <c r="AG431" i="1"/>
  <c r="AJ431" i="1" s="1"/>
  <c r="AM431" i="1" s="1"/>
  <c r="Q431" i="1"/>
  <c r="S431" i="1" s="1"/>
  <c r="AG430" i="1"/>
  <c r="AJ430" i="1" s="1"/>
  <c r="AM430" i="1" s="1"/>
  <c r="Q430" i="1"/>
  <c r="S430" i="1" s="1"/>
  <c r="AG429" i="1"/>
  <c r="AJ429" i="1" s="1"/>
  <c r="AM429" i="1" s="1"/>
  <c r="Q429" i="1"/>
  <c r="S429" i="1" s="1"/>
  <c r="AG428" i="1"/>
  <c r="AJ428" i="1" s="1"/>
  <c r="AM428" i="1" s="1"/>
  <c r="K428" i="1"/>
  <c r="Q428" i="1" s="1"/>
  <c r="S428" i="1" s="1"/>
  <c r="AG427" i="1"/>
  <c r="AJ427" i="1" s="1"/>
  <c r="AM427" i="1" s="1"/>
  <c r="K427" i="1"/>
  <c r="Q427" i="1" s="1"/>
  <c r="S427" i="1" s="1"/>
  <c r="AG426" i="1"/>
  <c r="AJ426" i="1" s="1"/>
  <c r="AM426" i="1" s="1"/>
  <c r="Q426" i="1"/>
  <c r="S426" i="1" s="1"/>
  <c r="AG425" i="1"/>
  <c r="AJ425" i="1" s="1"/>
  <c r="AM425" i="1" s="1"/>
  <c r="Q425" i="1"/>
  <c r="S425" i="1" s="1"/>
  <c r="AG424" i="1"/>
  <c r="AJ424" i="1" s="1"/>
  <c r="AM424" i="1" s="1"/>
  <c r="Q424" i="1"/>
  <c r="S424" i="1" s="1"/>
  <c r="AG423" i="1"/>
  <c r="AJ423" i="1" s="1"/>
  <c r="AM423" i="1" s="1"/>
  <c r="Q423" i="1"/>
  <c r="S423" i="1" s="1"/>
  <c r="AJ422" i="1"/>
  <c r="AM422" i="1" s="1"/>
  <c r="AG422" i="1"/>
  <c r="Q422" i="1"/>
  <c r="S422" i="1" s="1"/>
  <c r="AG421" i="1"/>
  <c r="AJ421" i="1" s="1"/>
  <c r="AM421" i="1" s="1"/>
  <c r="Q421" i="1"/>
  <c r="S421" i="1" s="1"/>
  <c r="AJ420" i="1"/>
  <c r="AM420" i="1" s="1"/>
  <c r="W420" i="1"/>
  <c r="Q420" i="1"/>
  <c r="S420" i="1" s="1"/>
  <c r="AG418" i="1"/>
  <c r="AJ418" i="1" s="1"/>
  <c r="AM418" i="1" s="1"/>
  <c r="Q418" i="1"/>
  <c r="S418" i="1" s="1"/>
  <c r="AG417" i="1"/>
  <c r="AJ417" i="1" s="1"/>
  <c r="AM417" i="1" s="1"/>
  <c r="Q417" i="1"/>
  <c r="S417" i="1" s="1"/>
  <c r="AG416" i="1"/>
  <c r="AJ416" i="1" s="1"/>
  <c r="AM416" i="1" s="1"/>
  <c r="AB416" i="1"/>
  <c r="S416" i="1"/>
  <c r="K416" i="1"/>
  <c r="AG415" i="1"/>
  <c r="AJ415" i="1" s="1"/>
  <c r="AM415" i="1" s="1"/>
  <c r="Q415" i="1"/>
  <c r="S415" i="1" s="1"/>
  <c r="AG414" i="1"/>
  <c r="AJ414" i="1" s="1"/>
  <c r="AM414" i="1" s="1"/>
  <c r="K414" i="1"/>
  <c r="Q414" i="1" s="1"/>
  <c r="S414" i="1" s="1"/>
  <c r="AK413" i="1"/>
  <c r="AJ413" i="1"/>
  <c r="AM413" i="1" s="1"/>
  <c r="Q413" i="1"/>
  <c r="S413" i="1" s="1"/>
  <c r="AN413" i="1" s="1"/>
  <c r="AP413" i="1" s="1"/>
  <c r="AG412" i="1"/>
  <c r="AJ412" i="1" s="1"/>
  <c r="AM412" i="1" s="1"/>
  <c r="K412" i="1"/>
  <c r="Q412" i="1" s="1"/>
  <c r="S412" i="1" s="1"/>
  <c r="AN412" i="1" s="1"/>
  <c r="AP412" i="1" s="1"/>
  <c r="AG411" i="1"/>
  <c r="AJ411" i="1" s="1"/>
  <c r="AM411" i="1" s="1"/>
  <c r="AB411" i="1"/>
  <c r="Q411" i="1"/>
  <c r="S411" i="1" s="1"/>
  <c r="AG410" i="1"/>
  <c r="AJ410" i="1" s="1"/>
  <c r="Q410" i="1"/>
  <c r="S410" i="1" s="1"/>
  <c r="AN410" i="1" s="1"/>
  <c r="AP410" i="1" s="1"/>
  <c r="AG409" i="1"/>
  <c r="AJ409" i="1" s="1"/>
  <c r="S409" i="1"/>
  <c r="AN409" i="1" s="1"/>
  <c r="AP409" i="1" s="1"/>
  <c r="W408" i="1"/>
  <c r="AG407" i="1"/>
  <c r="AJ407" i="1" s="1"/>
  <c r="Q407" i="1"/>
  <c r="S407" i="1" s="1"/>
  <c r="AN407" i="1" s="1"/>
  <c r="AP407" i="1" s="1"/>
  <c r="AG406" i="1"/>
  <c r="AJ406" i="1" s="1"/>
  <c r="AM406" i="1" s="1"/>
  <c r="K406" i="1"/>
  <c r="Q406" i="1" s="1"/>
  <c r="S406" i="1" s="1"/>
  <c r="AG405" i="1"/>
  <c r="AJ405" i="1" s="1"/>
  <c r="AM405" i="1" s="1"/>
  <c r="K405" i="1"/>
  <c r="Q405" i="1" s="1"/>
  <c r="S405" i="1" s="1"/>
  <c r="AG404" i="1"/>
  <c r="AJ404" i="1" s="1"/>
  <c r="AM404" i="1" s="1"/>
  <c r="K404" i="1"/>
  <c r="Q404" i="1" s="1"/>
  <c r="S404" i="1" s="1"/>
  <c r="AG403" i="1"/>
  <c r="AJ403" i="1" s="1"/>
  <c r="AM403" i="1" s="1"/>
  <c r="K403" i="1"/>
  <c r="Q403" i="1" s="1"/>
  <c r="S403" i="1" s="1"/>
  <c r="AG402" i="1"/>
  <c r="AJ402" i="1" s="1"/>
  <c r="AM402" i="1" s="1"/>
  <c r="K402" i="1"/>
  <c r="Q402" i="1" s="1"/>
  <c r="S402" i="1" s="1"/>
  <c r="AN402" i="1" s="1"/>
  <c r="AP402" i="1" s="1"/>
  <c r="AG401" i="1"/>
  <c r="AJ401" i="1" s="1"/>
  <c r="AM401" i="1" s="1"/>
  <c r="K401" i="1"/>
  <c r="Q401" i="1" s="1"/>
  <c r="S401" i="1" s="1"/>
  <c r="AG400" i="1"/>
  <c r="AJ400" i="1" s="1"/>
  <c r="AM400" i="1" s="1"/>
  <c r="K400" i="1"/>
  <c r="Q400" i="1" s="1"/>
  <c r="S400" i="1" s="1"/>
  <c r="AG399" i="1"/>
  <c r="AJ399" i="1" s="1"/>
  <c r="AM399" i="1" s="1"/>
  <c r="K399" i="1"/>
  <c r="Q399" i="1" s="1"/>
  <c r="S399" i="1" s="1"/>
  <c r="AG398" i="1"/>
  <c r="AJ398" i="1" s="1"/>
  <c r="AM398" i="1" s="1"/>
  <c r="K398" i="1"/>
  <c r="Q398" i="1" s="1"/>
  <c r="S398" i="1" s="1"/>
  <c r="AG397" i="1"/>
  <c r="AJ397" i="1" s="1"/>
  <c r="AM397" i="1" s="1"/>
  <c r="Q397" i="1"/>
  <c r="S397" i="1" s="1"/>
  <c r="AG396" i="1"/>
  <c r="AJ396" i="1" s="1"/>
  <c r="AM396" i="1" s="1"/>
  <c r="Q396" i="1"/>
  <c r="S396" i="1" s="1"/>
  <c r="AN396" i="1" s="1"/>
  <c r="AP396" i="1" s="1"/>
  <c r="AS395" i="1"/>
  <c r="AK395" i="1"/>
  <c r="AJ395" i="1"/>
  <c r="AM395" i="1" s="1"/>
  <c r="Q395" i="1"/>
  <c r="S395" i="1" s="1"/>
  <c r="AG394" i="1"/>
  <c r="AJ394" i="1" s="1"/>
  <c r="AM394" i="1" s="1"/>
  <c r="Q394" i="1"/>
  <c r="S394" i="1" s="1"/>
  <c r="AG393" i="1"/>
  <c r="AJ393" i="1" s="1"/>
  <c r="AM393" i="1" s="1"/>
  <c r="S393" i="1"/>
  <c r="AG392" i="1"/>
  <c r="AJ392" i="1" s="1"/>
  <c r="AM392" i="1" s="1"/>
  <c r="AN392" i="1" s="1"/>
  <c r="AP392" i="1" s="1"/>
  <c r="AG391" i="1"/>
  <c r="AJ391" i="1" s="1"/>
  <c r="AM391" i="1" s="1"/>
  <c r="AB391" i="1"/>
  <c r="AG390" i="1"/>
  <c r="AJ390" i="1" s="1"/>
  <c r="AM390" i="1" s="1"/>
  <c r="AB390" i="1"/>
  <c r="Q389" i="1"/>
  <c r="S389" i="1" s="1"/>
  <c r="K389" i="1"/>
  <c r="AJ388" i="1"/>
  <c r="AM388" i="1" s="1"/>
  <c r="AG388" i="1"/>
  <c r="S388" i="1"/>
  <c r="AG387" i="1"/>
  <c r="AJ387" i="1" s="1"/>
  <c r="AM387" i="1" s="1"/>
  <c r="S387" i="1"/>
  <c r="Q387" i="1"/>
  <c r="AG386" i="1"/>
  <c r="AJ386" i="1" s="1"/>
  <c r="AM386" i="1" s="1"/>
  <c r="Q386" i="1"/>
  <c r="S386" i="1" s="1"/>
  <c r="AG385" i="1"/>
  <c r="AJ385" i="1" s="1"/>
  <c r="AM385" i="1" s="1"/>
  <c r="AB385" i="1"/>
  <c r="Q385" i="1"/>
  <c r="S385" i="1" s="1"/>
  <c r="AG384" i="1"/>
  <c r="AJ384" i="1" s="1"/>
  <c r="AM384" i="1" s="1"/>
  <c r="Q384" i="1"/>
  <c r="S384" i="1" s="1"/>
  <c r="AG383" i="1"/>
  <c r="AJ383" i="1" s="1"/>
  <c r="AM383" i="1" s="1"/>
  <c r="Q383" i="1"/>
  <c r="S383" i="1" s="1"/>
  <c r="AG382" i="1"/>
  <c r="AJ382" i="1" s="1"/>
  <c r="AM382" i="1" s="1"/>
  <c r="S382" i="1"/>
  <c r="AG381" i="1"/>
  <c r="AJ381" i="1" s="1"/>
  <c r="AM381" i="1" s="1"/>
  <c r="K381" i="1"/>
  <c r="Q381" i="1" s="1"/>
  <c r="S381" i="1" s="1"/>
  <c r="AG380" i="1"/>
  <c r="AJ380" i="1" s="1"/>
  <c r="AM380" i="1" s="1"/>
  <c r="Q380" i="1"/>
  <c r="S380" i="1" s="1"/>
  <c r="AN380" i="1" s="1"/>
  <c r="AP380" i="1" s="1"/>
  <c r="AG379" i="1"/>
  <c r="AJ379" i="1" s="1"/>
  <c r="AM379" i="1" s="1"/>
  <c r="AB379" i="1"/>
  <c r="Q379" i="1"/>
  <c r="S379" i="1" s="1"/>
  <c r="AJ378" i="1"/>
  <c r="AM378" i="1" s="1"/>
  <c r="AG378" i="1"/>
  <c r="Q378" i="1"/>
  <c r="S378" i="1" s="1"/>
  <c r="AG377" i="1"/>
  <c r="AJ377" i="1" s="1"/>
  <c r="AM377" i="1" s="1"/>
  <c r="Q377" i="1"/>
  <c r="S377" i="1" s="1"/>
  <c r="AG376" i="1"/>
  <c r="AJ376" i="1" s="1"/>
  <c r="AM376" i="1" s="1"/>
  <c r="Q376" i="1"/>
  <c r="S376" i="1" s="1"/>
  <c r="AG375" i="1"/>
  <c r="AJ375" i="1" s="1"/>
  <c r="AM375" i="1" s="1"/>
  <c r="Q375" i="1"/>
  <c r="S375" i="1" s="1"/>
  <c r="AG374" i="1"/>
  <c r="AJ374" i="1" s="1"/>
  <c r="AM374" i="1" s="1"/>
  <c r="Q374" i="1"/>
  <c r="S374" i="1" s="1"/>
  <c r="AN374" i="1" s="1"/>
  <c r="AP374" i="1" s="1"/>
  <c r="AG373" i="1"/>
  <c r="AJ373" i="1" s="1"/>
  <c r="AM373" i="1" s="1"/>
  <c r="Q373" i="1"/>
  <c r="S373" i="1" s="1"/>
  <c r="AG372" i="1"/>
  <c r="AJ372" i="1" s="1"/>
  <c r="AM372" i="1" s="1"/>
  <c r="Q372" i="1"/>
  <c r="S372" i="1" s="1"/>
  <c r="AG371" i="1"/>
  <c r="AJ371" i="1" s="1"/>
  <c r="AM371" i="1" s="1"/>
  <c r="Q371" i="1"/>
  <c r="S371" i="1" s="1"/>
  <c r="AG370" i="1"/>
  <c r="AJ370" i="1" s="1"/>
  <c r="AM370" i="1" s="1"/>
  <c r="Q370" i="1"/>
  <c r="S370" i="1" s="1"/>
  <c r="AN370" i="1" s="1"/>
  <c r="AP370" i="1" s="1"/>
  <c r="AG369" i="1"/>
  <c r="AJ369" i="1" s="1"/>
  <c r="AM369" i="1" s="1"/>
  <c r="Q369" i="1"/>
  <c r="S369" i="1" s="1"/>
  <c r="AG368" i="1"/>
  <c r="AJ368" i="1" s="1"/>
  <c r="AM368" i="1" s="1"/>
  <c r="Q368" i="1"/>
  <c r="S368" i="1" s="1"/>
  <c r="AG367" i="1"/>
  <c r="AJ367" i="1" s="1"/>
  <c r="AM367" i="1" s="1"/>
  <c r="AB367" i="1"/>
  <c r="AJ366" i="1"/>
  <c r="AM366" i="1" s="1"/>
  <c r="Q365" i="1"/>
  <c r="S365" i="1" s="1"/>
  <c r="AG364" i="1"/>
  <c r="AJ364" i="1" s="1"/>
  <c r="AM364" i="1" s="1"/>
  <c r="Q364" i="1"/>
  <c r="S364" i="1" s="1"/>
  <c r="AG363" i="1"/>
  <c r="AJ363" i="1" s="1"/>
  <c r="AM363" i="1" s="1"/>
  <c r="AB363" i="1"/>
  <c r="Q363" i="1"/>
  <c r="S363" i="1" s="1"/>
  <c r="AG360" i="1"/>
  <c r="AJ360" i="1" s="1"/>
  <c r="AM360" i="1" s="1"/>
  <c r="Q360" i="1"/>
  <c r="S360" i="1" s="1"/>
  <c r="AG359" i="1"/>
  <c r="AJ359" i="1" s="1"/>
  <c r="AM359" i="1" s="1"/>
  <c r="Q359" i="1"/>
  <c r="S359" i="1" s="1"/>
  <c r="AJ358" i="1"/>
  <c r="AM358" i="1" s="1"/>
  <c r="AG358" i="1"/>
  <c r="Q358" i="1"/>
  <c r="S358" i="1" s="1"/>
  <c r="AG357" i="1"/>
  <c r="AJ357" i="1" s="1"/>
  <c r="AM357" i="1" s="1"/>
  <c r="Q357" i="1"/>
  <c r="S357" i="1" s="1"/>
  <c r="AG356" i="1"/>
  <c r="AJ356" i="1" s="1"/>
  <c r="AM356" i="1" s="1"/>
  <c r="Q356" i="1"/>
  <c r="S356" i="1" s="1"/>
  <c r="AN356" i="1" s="1"/>
  <c r="AP356" i="1" s="1"/>
  <c r="AG354" i="1"/>
  <c r="AJ354" i="1" s="1"/>
  <c r="AM354" i="1" s="1"/>
  <c r="Q354" i="1"/>
  <c r="S354" i="1" s="1"/>
  <c r="AG353" i="1"/>
  <c r="AJ353" i="1" s="1"/>
  <c r="AM353" i="1" s="1"/>
  <c r="Q353" i="1"/>
  <c r="S353" i="1" s="1"/>
  <c r="AG352" i="1"/>
  <c r="AJ352" i="1" s="1"/>
  <c r="AM352" i="1" s="1"/>
  <c r="Q352" i="1"/>
  <c r="S352" i="1" s="1"/>
  <c r="AG351" i="1"/>
  <c r="AJ351" i="1" s="1"/>
  <c r="AM351" i="1" s="1"/>
  <c r="Q351" i="1"/>
  <c r="S351" i="1" s="1"/>
  <c r="AG350" i="1"/>
  <c r="AJ350" i="1" s="1"/>
  <c r="AM350" i="1" s="1"/>
  <c r="Q350" i="1"/>
  <c r="S350" i="1" s="1"/>
  <c r="AG349" i="1"/>
  <c r="AJ349" i="1" s="1"/>
  <c r="AM349" i="1" s="1"/>
  <c r="Q349" i="1"/>
  <c r="S349" i="1" s="1"/>
  <c r="AG348" i="1"/>
  <c r="AJ348" i="1" s="1"/>
  <c r="AM348" i="1" s="1"/>
  <c r="Q348" i="1"/>
  <c r="S348" i="1" s="1"/>
  <c r="AG345" i="1"/>
  <c r="AJ345" i="1" s="1"/>
  <c r="AM345" i="1" s="1"/>
  <c r="Q345" i="1"/>
  <c r="S345" i="1" s="1"/>
  <c r="AG344" i="1"/>
  <c r="AJ344" i="1" s="1"/>
  <c r="AM344" i="1" s="1"/>
  <c r="Q344" i="1"/>
  <c r="S344" i="1" s="1"/>
  <c r="AG343" i="1"/>
  <c r="AJ343" i="1" s="1"/>
  <c r="AM343" i="1" s="1"/>
  <c r="Q343" i="1"/>
  <c r="S343" i="1" s="1"/>
  <c r="AG342" i="1"/>
  <c r="AJ342" i="1" s="1"/>
  <c r="AM342" i="1" s="1"/>
  <c r="Q342" i="1"/>
  <c r="S342" i="1" s="1"/>
  <c r="AG341" i="1"/>
  <c r="AJ341" i="1" s="1"/>
  <c r="AM341" i="1" s="1"/>
  <c r="Q341" i="1"/>
  <c r="S341" i="1" s="1"/>
  <c r="AG340" i="1"/>
  <c r="AJ340" i="1" s="1"/>
  <c r="AM340" i="1" s="1"/>
  <c r="Q340" i="1"/>
  <c r="S340" i="1" s="1"/>
  <c r="AG339" i="1"/>
  <c r="AJ339" i="1" s="1"/>
  <c r="AM339" i="1" s="1"/>
  <c r="Q339" i="1"/>
  <c r="S339" i="1" s="1"/>
  <c r="AJ338" i="1"/>
  <c r="AM338" i="1" s="1"/>
  <c r="AG338" i="1"/>
  <c r="Q338" i="1"/>
  <c r="S338" i="1" s="1"/>
  <c r="AG337" i="1"/>
  <c r="AJ337" i="1" s="1"/>
  <c r="AM337" i="1" s="1"/>
  <c r="Q337" i="1"/>
  <c r="S337" i="1" s="1"/>
  <c r="AG336" i="1"/>
  <c r="AJ336" i="1" s="1"/>
  <c r="AM336" i="1" s="1"/>
  <c r="Q336" i="1"/>
  <c r="S336" i="1" s="1"/>
  <c r="AG335" i="1"/>
  <c r="AJ335" i="1" s="1"/>
  <c r="AM335" i="1" s="1"/>
  <c r="Q335" i="1"/>
  <c r="S335" i="1" s="1"/>
  <c r="AN335" i="1" s="1"/>
  <c r="AP335" i="1" s="1"/>
  <c r="AG334" i="1"/>
  <c r="AJ334" i="1" s="1"/>
  <c r="AM334" i="1" s="1"/>
  <c r="Q334" i="1"/>
  <c r="S334" i="1" s="1"/>
  <c r="AG333" i="1"/>
  <c r="AJ333" i="1" s="1"/>
  <c r="AM333" i="1" s="1"/>
  <c r="Q333" i="1"/>
  <c r="S333" i="1" s="1"/>
  <c r="AG332" i="1"/>
  <c r="AJ332" i="1" s="1"/>
  <c r="AM332" i="1" s="1"/>
  <c r="Q332" i="1"/>
  <c r="S332" i="1" s="1"/>
  <c r="AG331" i="1"/>
  <c r="AJ331" i="1" s="1"/>
  <c r="AM331" i="1" s="1"/>
  <c r="Q331" i="1"/>
  <c r="S331" i="1" s="1"/>
  <c r="AN331" i="1" s="1"/>
  <c r="AP331" i="1" s="1"/>
  <c r="AG330" i="1"/>
  <c r="AJ330" i="1" s="1"/>
  <c r="AM330" i="1" s="1"/>
  <c r="Q330" i="1"/>
  <c r="S330" i="1" s="1"/>
  <c r="AG329" i="1"/>
  <c r="AJ329" i="1" s="1"/>
  <c r="AM329" i="1" s="1"/>
  <c r="Q329" i="1"/>
  <c r="S329" i="1" s="1"/>
  <c r="AG328" i="1"/>
  <c r="AJ328" i="1" s="1"/>
  <c r="AM328" i="1" s="1"/>
  <c r="Q328" i="1"/>
  <c r="S328" i="1" s="1"/>
  <c r="AG327" i="1"/>
  <c r="AJ327" i="1" s="1"/>
  <c r="AM327" i="1" s="1"/>
  <c r="Q327" i="1"/>
  <c r="S327" i="1" s="1"/>
  <c r="AG326" i="1"/>
  <c r="AJ326" i="1" s="1"/>
  <c r="AM326" i="1" s="1"/>
  <c r="Q326" i="1"/>
  <c r="S326" i="1" s="1"/>
  <c r="AG325" i="1"/>
  <c r="AJ325" i="1" s="1"/>
  <c r="AM325" i="1" s="1"/>
  <c r="Q325" i="1"/>
  <c r="S325" i="1" s="1"/>
  <c r="AS324" i="1"/>
  <c r="AM324" i="1"/>
  <c r="S324" i="1"/>
  <c r="AG323" i="1"/>
  <c r="AJ323" i="1" s="1"/>
  <c r="AM323" i="1" s="1"/>
  <c r="Q323" i="1"/>
  <c r="S323" i="1" s="1"/>
  <c r="AG322" i="1"/>
  <c r="AJ322" i="1" s="1"/>
  <c r="AM322" i="1" s="1"/>
  <c r="Q322" i="1"/>
  <c r="S322" i="1" s="1"/>
  <c r="AJ321" i="1"/>
  <c r="AM321" i="1" s="1"/>
  <c r="AN321" i="1" s="1"/>
  <c r="AP321" i="1" s="1"/>
  <c r="AJ320" i="1"/>
  <c r="AM320" i="1" s="1"/>
  <c r="AE320" i="1"/>
  <c r="W320" i="1"/>
  <c r="Q320" i="1"/>
  <c r="S320" i="1" s="1"/>
  <c r="AG319" i="1"/>
  <c r="AJ319" i="1" s="1"/>
  <c r="AM319" i="1" s="1"/>
  <c r="AB319" i="1"/>
  <c r="Q319" i="1"/>
  <c r="S319" i="1" s="1"/>
  <c r="AJ318" i="1"/>
  <c r="AM318" i="1" s="1"/>
  <c r="W318" i="1"/>
  <c r="Q318" i="1"/>
  <c r="S318" i="1" s="1"/>
  <c r="AG317" i="1"/>
  <c r="AJ317" i="1" s="1"/>
  <c r="AM317" i="1" s="1"/>
  <c r="Q317" i="1"/>
  <c r="S317" i="1" s="1"/>
  <c r="AG316" i="1"/>
  <c r="AJ316" i="1" s="1"/>
  <c r="AM316" i="1" s="1"/>
  <c r="Q316" i="1"/>
  <c r="S316" i="1" s="1"/>
  <c r="AG315" i="1"/>
  <c r="AJ315" i="1" s="1"/>
  <c r="AM315" i="1" s="1"/>
  <c r="Q315" i="1"/>
  <c r="S315" i="1" s="1"/>
  <c r="AG314" i="1"/>
  <c r="AJ314" i="1" s="1"/>
  <c r="AM314" i="1" s="1"/>
  <c r="Q314" i="1"/>
  <c r="S314" i="1" s="1"/>
  <c r="AJ313" i="1"/>
  <c r="AM313" i="1" s="1"/>
  <c r="AM312" i="1"/>
  <c r="AG312" i="1"/>
  <c r="AJ312" i="1" s="1"/>
  <c r="Q312" i="1"/>
  <c r="S312" i="1" s="1"/>
  <c r="AJ311" i="1"/>
  <c r="AM311" i="1" s="1"/>
  <c r="AB311" i="1"/>
  <c r="AK311" i="1" s="1"/>
  <c r="Q311" i="1"/>
  <c r="S311" i="1" s="1"/>
  <c r="AG310" i="1"/>
  <c r="AJ310" i="1" s="1"/>
  <c r="AM310" i="1" s="1"/>
  <c r="Q310" i="1"/>
  <c r="S310" i="1" s="1"/>
  <c r="AG309" i="1"/>
  <c r="AJ309" i="1" s="1"/>
  <c r="AM309" i="1" s="1"/>
  <c r="Q309" i="1"/>
  <c r="S309" i="1" s="1"/>
  <c r="AG308" i="1"/>
  <c r="AJ308" i="1" s="1"/>
  <c r="AM308" i="1" s="1"/>
  <c r="Q308" i="1"/>
  <c r="S308" i="1" s="1"/>
  <c r="AN308" i="1" s="1"/>
  <c r="AP308" i="1" s="1"/>
  <c r="AG307" i="1"/>
  <c r="AJ307" i="1" s="1"/>
  <c r="AM307" i="1" s="1"/>
  <c r="Q307" i="1"/>
  <c r="S307" i="1" s="1"/>
  <c r="AG306" i="1"/>
  <c r="AJ306" i="1" s="1"/>
  <c r="AM306" i="1" s="1"/>
  <c r="Q306" i="1"/>
  <c r="S306" i="1" s="1"/>
  <c r="AG305" i="1"/>
  <c r="AJ305" i="1" s="1"/>
  <c r="AM305" i="1" s="1"/>
  <c r="Q305" i="1"/>
  <c r="S305" i="1" s="1"/>
  <c r="AG304" i="1"/>
  <c r="AJ304" i="1" s="1"/>
  <c r="AM304" i="1" s="1"/>
  <c r="Q304" i="1"/>
  <c r="S304" i="1" s="1"/>
  <c r="AG303" i="1"/>
  <c r="AJ303" i="1" s="1"/>
  <c r="AM303" i="1" s="1"/>
  <c r="Q303" i="1"/>
  <c r="S303" i="1" s="1"/>
  <c r="AJ302" i="1"/>
  <c r="AM302" i="1" s="1"/>
  <c r="S302" i="1"/>
  <c r="AG301" i="1"/>
  <c r="AJ301" i="1" s="1"/>
  <c r="AM301" i="1" s="1"/>
  <c r="AN301" i="1" s="1"/>
  <c r="AP301" i="1" s="1"/>
  <c r="S301" i="1"/>
  <c r="AS300" i="1"/>
  <c r="Q300" i="1"/>
  <c r="S300" i="1" s="1"/>
  <c r="AG299" i="1"/>
  <c r="AJ299" i="1" s="1"/>
  <c r="AM299" i="1" s="1"/>
  <c r="Q299" i="1"/>
  <c r="S299" i="1" s="1"/>
  <c r="AG296" i="1"/>
  <c r="AJ296" i="1" s="1"/>
  <c r="AM296" i="1" s="1"/>
  <c r="AJ295" i="1"/>
  <c r="AM295" i="1" s="1"/>
  <c r="S294" i="1"/>
  <c r="K294" i="1"/>
  <c r="AG293" i="1"/>
  <c r="AJ293" i="1" s="1"/>
  <c r="AM293" i="1" s="1"/>
  <c r="Q293" i="1"/>
  <c r="S293" i="1" s="1"/>
  <c r="AJ291" i="1"/>
  <c r="AM291" i="1" s="1"/>
  <c r="AJ290" i="1"/>
  <c r="AM290" i="1" s="1"/>
  <c r="AE290" i="1"/>
  <c r="W290" i="1"/>
  <c r="S290" i="1"/>
  <c r="AG289" i="1"/>
  <c r="AJ289" i="1" s="1"/>
  <c r="AM289" i="1" s="1"/>
  <c r="Q289" i="1"/>
  <c r="S289" i="1" s="1"/>
  <c r="AG288" i="1"/>
  <c r="AJ288" i="1" s="1"/>
  <c r="AM288" i="1" s="1"/>
  <c r="Q288" i="1"/>
  <c r="S288" i="1" s="1"/>
  <c r="AG287" i="1"/>
  <c r="AJ287" i="1" s="1"/>
  <c r="AM287" i="1" s="1"/>
  <c r="K287" i="1"/>
  <c r="Q287" i="1" s="1"/>
  <c r="S287" i="1" s="1"/>
  <c r="AG286" i="1"/>
  <c r="AJ286" i="1" s="1"/>
  <c r="AM286" i="1" s="1"/>
  <c r="Q286" i="1"/>
  <c r="S286" i="1" s="1"/>
  <c r="AJ285" i="1"/>
  <c r="AM285" i="1" s="1"/>
  <c r="AG285" i="1"/>
  <c r="Q285" i="1"/>
  <c r="S285" i="1" s="1"/>
  <c r="AG284" i="1"/>
  <c r="AJ284" i="1" s="1"/>
  <c r="AM284" i="1" s="1"/>
  <c r="Q284" i="1"/>
  <c r="S284" i="1" s="1"/>
  <c r="AG283" i="1"/>
  <c r="AJ283" i="1" s="1"/>
  <c r="AM283" i="1" s="1"/>
  <c r="Q283" i="1"/>
  <c r="S283" i="1" s="1"/>
  <c r="AG280" i="1"/>
  <c r="AJ280" i="1" s="1"/>
  <c r="AM280" i="1" s="1"/>
  <c r="AG279" i="1"/>
  <c r="AJ279" i="1" s="1"/>
  <c r="AM279" i="1" s="1"/>
  <c r="Q279" i="1"/>
  <c r="S279" i="1" s="1"/>
  <c r="AN279" i="1" s="1"/>
  <c r="AP279" i="1" s="1"/>
  <c r="AG278" i="1"/>
  <c r="AJ278" i="1" s="1"/>
  <c r="AM278" i="1" s="1"/>
  <c r="Q278" i="1"/>
  <c r="S278" i="1" s="1"/>
  <c r="AG277" i="1"/>
  <c r="AJ277" i="1" s="1"/>
  <c r="AM277" i="1" s="1"/>
  <c r="Q277" i="1"/>
  <c r="S277" i="1" s="1"/>
  <c r="AG276" i="1"/>
  <c r="AJ276" i="1" s="1"/>
  <c r="AM276" i="1" s="1"/>
  <c r="Q276" i="1"/>
  <c r="S276" i="1" s="1"/>
  <c r="AG275" i="1"/>
  <c r="AJ275" i="1" s="1"/>
  <c r="AM275" i="1" s="1"/>
  <c r="S275" i="1"/>
  <c r="AG274" i="1"/>
  <c r="AJ274" i="1" s="1"/>
  <c r="AM274" i="1" s="1"/>
  <c r="Q274" i="1"/>
  <c r="S274" i="1" s="1"/>
  <c r="AG273" i="1"/>
  <c r="AJ273" i="1" s="1"/>
  <c r="AM273" i="1" s="1"/>
  <c r="Q273" i="1"/>
  <c r="S273" i="1" s="1"/>
  <c r="AG272" i="1"/>
  <c r="AJ272" i="1" s="1"/>
  <c r="AM272" i="1" s="1"/>
  <c r="Q272" i="1"/>
  <c r="S272" i="1" s="1"/>
  <c r="AN272" i="1" s="1"/>
  <c r="AP272" i="1" s="1"/>
  <c r="AG270" i="1"/>
  <c r="AJ270" i="1" s="1"/>
  <c r="AM270" i="1" s="1"/>
  <c r="Q270" i="1"/>
  <c r="S270" i="1" s="1"/>
  <c r="AG269" i="1"/>
  <c r="AJ269" i="1" s="1"/>
  <c r="AM269" i="1" s="1"/>
  <c r="S269" i="1"/>
  <c r="Q269" i="1"/>
  <c r="AG268" i="1"/>
  <c r="AJ268" i="1" s="1"/>
  <c r="AM268" i="1" s="1"/>
  <c r="Q268" i="1"/>
  <c r="S268" i="1" s="1"/>
  <c r="AG266" i="1"/>
  <c r="AJ266" i="1" s="1"/>
  <c r="AM266" i="1" s="1"/>
  <c r="L266" i="1"/>
  <c r="Q266" i="1" s="1"/>
  <c r="S266" i="1" s="1"/>
  <c r="AG265" i="1"/>
  <c r="AJ265" i="1" s="1"/>
  <c r="AM265" i="1" s="1"/>
  <c r="Q265" i="1"/>
  <c r="S265" i="1" s="1"/>
  <c r="AG264" i="1"/>
  <c r="AJ264" i="1" s="1"/>
  <c r="AM264" i="1" s="1"/>
  <c r="Q264" i="1"/>
  <c r="S264" i="1" s="1"/>
  <c r="AG263" i="1"/>
  <c r="AJ263" i="1" s="1"/>
  <c r="AM263" i="1" s="1"/>
  <c r="Q263" i="1"/>
  <c r="S263" i="1" s="1"/>
  <c r="AG262" i="1"/>
  <c r="AJ262" i="1" s="1"/>
  <c r="AM262" i="1" s="1"/>
  <c r="S262" i="1"/>
  <c r="AG261" i="1"/>
  <c r="AJ261" i="1" s="1"/>
  <c r="AM261" i="1" s="1"/>
  <c r="S261" i="1"/>
  <c r="AG260" i="1"/>
  <c r="AJ260" i="1" s="1"/>
  <c r="AM260" i="1" s="1"/>
  <c r="S260" i="1"/>
  <c r="AG259" i="1"/>
  <c r="AJ259" i="1" s="1"/>
  <c r="AM259" i="1" s="1"/>
  <c r="S259" i="1"/>
  <c r="K259" i="1"/>
  <c r="AG258" i="1"/>
  <c r="AJ258" i="1" s="1"/>
  <c r="AM258" i="1" s="1"/>
  <c r="S258" i="1"/>
  <c r="AG257" i="1"/>
  <c r="AJ257" i="1" s="1"/>
  <c r="AM257" i="1" s="1"/>
  <c r="S257" i="1"/>
  <c r="AG256" i="1"/>
  <c r="AJ256" i="1" s="1"/>
  <c r="AM256" i="1" s="1"/>
  <c r="S256" i="1"/>
  <c r="AG254" i="1"/>
  <c r="AJ254" i="1" s="1"/>
  <c r="AM254" i="1" s="1"/>
  <c r="S254" i="1"/>
  <c r="AG253" i="1"/>
  <c r="AJ253" i="1" s="1"/>
  <c r="AM253" i="1" s="1"/>
  <c r="S253" i="1"/>
  <c r="AG252" i="1"/>
  <c r="AJ252" i="1" s="1"/>
  <c r="AM252" i="1" s="1"/>
  <c r="S252" i="1"/>
  <c r="AG251" i="1"/>
  <c r="AJ251" i="1" s="1"/>
  <c r="AM251" i="1" s="1"/>
  <c r="S251" i="1"/>
  <c r="AG250" i="1"/>
  <c r="AJ250" i="1" s="1"/>
  <c r="AM250" i="1" s="1"/>
  <c r="S250" i="1"/>
  <c r="AN250" i="1" s="1"/>
  <c r="AP250" i="1" s="1"/>
  <c r="AG249" i="1"/>
  <c r="AJ249" i="1" s="1"/>
  <c r="AM249" i="1" s="1"/>
  <c r="S249" i="1"/>
  <c r="AG248" i="1"/>
  <c r="AJ248" i="1" s="1"/>
  <c r="AM248" i="1" s="1"/>
  <c r="S248" i="1"/>
  <c r="AN248" i="1" s="1"/>
  <c r="AP248" i="1" s="1"/>
  <c r="AG247" i="1"/>
  <c r="AJ247" i="1" s="1"/>
  <c r="AM247" i="1" s="1"/>
  <c r="S247" i="1"/>
  <c r="AG246" i="1"/>
  <c r="AJ246" i="1" s="1"/>
  <c r="AM246" i="1" s="1"/>
  <c r="S246" i="1"/>
  <c r="AG245" i="1"/>
  <c r="AJ245" i="1" s="1"/>
  <c r="AM245" i="1" s="1"/>
  <c r="S245" i="1"/>
  <c r="AG244" i="1"/>
  <c r="AJ244" i="1" s="1"/>
  <c r="AM244" i="1" s="1"/>
  <c r="S244" i="1"/>
  <c r="AJ243" i="1"/>
  <c r="AM243" i="1" s="1"/>
  <c r="AG243" i="1"/>
  <c r="S243" i="1"/>
  <c r="AG242" i="1"/>
  <c r="AJ242" i="1" s="1"/>
  <c r="AM242" i="1" s="1"/>
  <c r="S242" i="1"/>
  <c r="AG241" i="1"/>
  <c r="AJ241" i="1" s="1"/>
  <c r="AM241" i="1" s="1"/>
  <c r="S241" i="1"/>
  <c r="AG240" i="1"/>
  <c r="AJ240" i="1" s="1"/>
  <c r="AM240" i="1" s="1"/>
  <c r="S240" i="1"/>
  <c r="AG239" i="1"/>
  <c r="AJ239" i="1" s="1"/>
  <c r="AM239" i="1" s="1"/>
  <c r="S239" i="1"/>
  <c r="AG238" i="1"/>
  <c r="AJ238" i="1" s="1"/>
  <c r="AM238" i="1" s="1"/>
  <c r="S238" i="1"/>
  <c r="K238" i="1"/>
  <c r="AG237" i="1"/>
  <c r="AJ237" i="1" s="1"/>
  <c r="AM237" i="1" s="1"/>
  <c r="S237" i="1"/>
  <c r="AN237" i="1" s="1"/>
  <c r="AP237" i="1" s="1"/>
  <c r="K237" i="1"/>
  <c r="AG236" i="1"/>
  <c r="AJ236" i="1" s="1"/>
  <c r="AM236" i="1" s="1"/>
  <c r="S236" i="1"/>
  <c r="AG235" i="1"/>
  <c r="AJ235" i="1" s="1"/>
  <c r="AM235" i="1" s="1"/>
  <c r="S235" i="1"/>
  <c r="AG234" i="1"/>
  <c r="AJ234" i="1" s="1"/>
  <c r="AM234" i="1" s="1"/>
  <c r="S234" i="1"/>
  <c r="AJ233" i="1"/>
  <c r="AM233" i="1" s="1"/>
  <c r="AG233" i="1"/>
  <c r="S233" i="1"/>
  <c r="AG232" i="1"/>
  <c r="AJ232" i="1" s="1"/>
  <c r="AM232" i="1" s="1"/>
  <c r="S232" i="1"/>
  <c r="AN232" i="1" s="1"/>
  <c r="AP232" i="1" s="1"/>
  <c r="AG231" i="1"/>
  <c r="AJ231" i="1" s="1"/>
  <c r="AM231" i="1" s="1"/>
  <c r="S231" i="1"/>
  <c r="AG230" i="1"/>
  <c r="AJ230" i="1" s="1"/>
  <c r="AM230" i="1" s="1"/>
  <c r="S230" i="1"/>
  <c r="AG229" i="1"/>
  <c r="AJ229" i="1" s="1"/>
  <c r="AM229" i="1" s="1"/>
  <c r="S229" i="1"/>
  <c r="AG228" i="1"/>
  <c r="AJ228" i="1" s="1"/>
  <c r="AM228" i="1" s="1"/>
  <c r="S228" i="1"/>
  <c r="AN228" i="1" s="1"/>
  <c r="AP228" i="1" s="1"/>
  <c r="AG227" i="1"/>
  <c r="AJ227" i="1" s="1"/>
  <c r="AM227" i="1" s="1"/>
  <c r="S227" i="1"/>
  <c r="AG226" i="1"/>
  <c r="AJ226" i="1" s="1"/>
  <c r="AM226" i="1" s="1"/>
  <c r="S226" i="1"/>
  <c r="AG225" i="1"/>
  <c r="AJ225" i="1" s="1"/>
  <c r="AM225" i="1" s="1"/>
  <c r="S225" i="1"/>
  <c r="AG223" i="1"/>
  <c r="AJ223" i="1" s="1"/>
  <c r="AM223" i="1" s="1"/>
  <c r="S223" i="1"/>
  <c r="AG222" i="1"/>
  <c r="AJ222" i="1" s="1"/>
  <c r="AM222" i="1" s="1"/>
  <c r="S222" i="1"/>
  <c r="AJ220" i="1"/>
  <c r="AM220" i="1" s="1"/>
  <c r="W220" i="1"/>
  <c r="S220" i="1"/>
  <c r="AG218" i="1"/>
  <c r="AJ218" i="1" s="1"/>
  <c r="AM218" i="1" s="1"/>
  <c r="W218" i="1"/>
  <c r="S218" i="1"/>
  <c r="AN218" i="1" s="1"/>
  <c r="AP218" i="1" s="1"/>
  <c r="AM217" i="1"/>
  <c r="AG217" i="1"/>
  <c r="AJ217" i="1" s="1"/>
  <c r="S217" i="1"/>
  <c r="AG216" i="1"/>
  <c r="AJ216" i="1" s="1"/>
  <c r="AM216" i="1" s="1"/>
  <c r="S216" i="1"/>
  <c r="K216" i="1"/>
  <c r="AG215" i="1"/>
  <c r="AJ215" i="1" s="1"/>
  <c r="AM215" i="1" s="1"/>
  <c r="S215" i="1"/>
  <c r="AG214" i="1"/>
  <c r="AJ214" i="1" s="1"/>
  <c r="AM214" i="1" s="1"/>
  <c r="S214" i="1"/>
  <c r="AG213" i="1"/>
  <c r="AJ213" i="1" s="1"/>
  <c r="AM213" i="1" s="1"/>
  <c r="S213" i="1"/>
  <c r="AG212" i="1"/>
  <c r="AJ212" i="1" s="1"/>
  <c r="AM212" i="1" s="1"/>
  <c r="AG211" i="1"/>
  <c r="AJ211" i="1" s="1"/>
  <c r="AM211" i="1" s="1"/>
  <c r="AN211" i="1" s="1"/>
  <c r="AP211" i="1" s="1"/>
  <c r="S210" i="1"/>
  <c r="K210" i="1"/>
  <c r="AN212" i="1" s="1"/>
  <c r="AP212" i="1" s="1"/>
  <c r="AG209" i="1"/>
  <c r="AJ209" i="1" s="1"/>
  <c r="AM209" i="1" s="1"/>
  <c r="S209" i="1"/>
  <c r="AN209" i="1" s="1"/>
  <c r="AP209" i="1" s="1"/>
  <c r="K209" i="1"/>
  <c r="AG208" i="1"/>
  <c r="AJ208" i="1" s="1"/>
  <c r="AM208" i="1" s="1"/>
  <c r="S208" i="1"/>
  <c r="AG207" i="1"/>
  <c r="AJ207" i="1" s="1"/>
  <c r="AM207" i="1" s="1"/>
  <c r="S207" i="1"/>
  <c r="AJ206" i="1"/>
  <c r="AM206" i="1" s="1"/>
  <c r="AG206" i="1"/>
  <c r="S206" i="1"/>
  <c r="AG205" i="1"/>
  <c r="AJ205" i="1" s="1"/>
  <c r="AM205" i="1" s="1"/>
  <c r="S205" i="1"/>
  <c r="K205" i="1"/>
  <c r="AG204" i="1"/>
  <c r="AJ204" i="1" s="1"/>
  <c r="AM204" i="1" s="1"/>
  <c r="AB204" i="1"/>
  <c r="S204" i="1"/>
  <c r="AG203" i="1"/>
  <c r="AJ203" i="1" s="1"/>
  <c r="AM203" i="1" s="1"/>
  <c r="W203" i="1"/>
  <c r="S203" i="1"/>
  <c r="AG202" i="1"/>
  <c r="AJ202" i="1" s="1"/>
  <c r="AM202" i="1" s="1"/>
  <c r="AN202" i="1" s="1"/>
  <c r="AP202" i="1" s="1"/>
  <c r="S202" i="1"/>
  <c r="AG201" i="1"/>
  <c r="AJ201" i="1" s="1"/>
  <c r="AM201" i="1" s="1"/>
  <c r="S201" i="1"/>
  <c r="AG200" i="1"/>
  <c r="AJ200" i="1" s="1"/>
  <c r="AM200" i="1" s="1"/>
  <c r="S200" i="1"/>
  <c r="AG199" i="1"/>
  <c r="AJ199" i="1" s="1"/>
  <c r="AM199" i="1" s="1"/>
  <c r="S199" i="1"/>
  <c r="AG198" i="1"/>
  <c r="AJ198" i="1" s="1"/>
  <c r="AM198" i="1" s="1"/>
  <c r="S198" i="1"/>
  <c r="AN198" i="1" s="1"/>
  <c r="AP198" i="1" s="1"/>
  <c r="AG197" i="1"/>
  <c r="AJ197" i="1" s="1"/>
  <c r="AM197" i="1" s="1"/>
  <c r="S197" i="1"/>
  <c r="AG196" i="1"/>
  <c r="AJ196" i="1" s="1"/>
  <c r="AM196" i="1" s="1"/>
  <c r="S196" i="1"/>
  <c r="AJ195" i="1"/>
  <c r="AM195" i="1" s="1"/>
  <c r="AG195" i="1"/>
  <c r="S195" i="1"/>
  <c r="AG194" i="1"/>
  <c r="AJ194" i="1" s="1"/>
  <c r="AM194" i="1" s="1"/>
  <c r="S194" i="1"/>
  <c r="AN194" i="1" s="1"/>
  <c r="AP194" i="1" s="1"/>
  <c r="AK193" i="1"/>
  <c r="AJ193" i="1"/>
  <c r="AM193" i="1" s="1"/>
  <c r="Q193" i="1"/>
  <c r="S193" i="1" s="1"/>
  <c r="AG192" i="1"/>
  <c r="AJ192" i="1" s="1"/>
  <c r="AM192" i="1" s="1"/>
  <c r="S192" i="1"/>
  <c r="AG191" i="1"/>
  <c r="AJ191" i="1" s="1"/>
  <c r="AM191" i="1" s="1"/>
  <c r="S191" i="1"/>
  <c r="AG190" i="1"/>
  <c r="AJ190" i="1" s="1"/>
  <c r="AM190" i="1" s="1"/>
  <c r="S190" i="1"/>
  <c r="AG189" i="1"/>
  <c r="AJ189" i="1" s="1"/>
  <c r="AM189" i="1" s="1"/>
  <c r="S189" i="1"/>
  <c r="AG188" i="1"/>
  <c r="AJ188" i="1" s="1"/>
  <c r="AM188" i="1" s="1"/>
  <c r="S188" i="1"/>
  <c r="AG187" i="1"/>
  <c r="AJ187" i="1" s="1"/>
  <c r="AM187" i="1" s="1"/>
  <c r="S187" i="1"/>
  <c r="AJ186" i="1"/>
  <c r="AM186" i="1" s="1"/>
  <c r="AN186" i="1" s="1"/>
  <c r="AP186" i="1" s="1"/>
  <c r="AJ185" i="1"/>
  <c r="AM185" i="1" s="1"/>
  <c r="AN185" i="1" s="1"/>
  <c r="AP185" i="1" s="1"/>
  <c r="Q184" i="1"/>
  <c r="S183" i="1"/>
  <c r="AG182" i="1"/>
  <c r="AJ182" i="1" s="1"/>
  <c r="AM182" i="1" s="1"/>
  <c r="S182" i="1"/>
  <c r="AG181" i="1"/>
  <c r="AJ181" i="1" s="1"/>
  <c r="AM181" i="1" s="1"/>
  <c r="S181" i="1"/>
  <c r="AG180" i="1"/>
  <c r="AJ180" i="1" s="1"/>
  <c r="AM180" i="1" s="1"/>
  <c r="S180" i="1"/>
  <c r="AJ179" i="1"/>
  <c r="AM179" i="1" s="1"/>
  <c r="S179" i="1"/>
  <c r="AJ178" i="1"/>
  <c r="AM178" i="1" s="1"/>
  <c r="S178" i="1"/>
  <c r="AG177" i="1"/>
  <c r="AJ177" i="1" s="1"/>
  <c r="AM177" i="1" s="1"/>
  <c r="S177" i="1"/>
  <c r="AG175" i="1"/>
  <c r="AJ175" i="1" s="1"/>
  <c r="AM175" i="1" s="1"/>
  <c r="S175" i="1"/>
  <c r="AG174" i="1"/>
  <c r="AJ174" i="1" s="1"/>
  <c r="AM174" i="1" s="1"/>
  <c r="S174" i="1"/>
  <c r="AG173" i="1"/>
  <c r="AJ173" i="1" s="1"/>
  <c r="AM173" i="1" s="1"/>
  <c r="S173" i="1"/>
  <c r="AG172" i="1"/>
  <c r="AJ172" i="1" s="1"/>
  <c r="AM172" i="1" s="1"/>
  <c r="S172" i="1"/>
  <c r="AG171" i="1"/>
  <c r="AJ171" i="1" s="1"/>
  <c r="AM171" i="1" s="1"/>
  <c r="S171" i="1"/>
  <c r="AG170" i="1"/>
  <c r="AJ170" i="1" s="1"/>
  <c r="AM170" i="1" s="1"/>
  <c r="S170" i="1"/>
  <c r="AG169" i="1"/>
  <c r="AJ169" i="1" s="1"/>
  <c r="AM169" i="1" s="1"/>
  <c r="S169" i="1"/>
  <c r="AG168" i="1"/>
  <c r="AJ168" i="1" s="1"/>
  <c r="AM168" i="1" s="1"/>
  <c r="S168" i="1"/>
  <c r="AG167" i="1"/>
  <c r="AJ167" i="1" s="1"/>
  <c r="AM167" i="1" s="1"/>
  <c r="S167" i="1"/>
  <c r="AG166" i="1"/>
  <c r="AJ166" i="1" s="1"/>
  <c r="AM166" i="1" s="1"/>
  <c r="S166" i="1"/>
  <c r="AG165" i="1"/>
  <c r="AJ165" i="1" s="1"/>
  <c r="AM165" i="1" s="1"/>
  <c r="S165" i="1"/>
  <c r="AG164" i="1"/>
  <c r="AJ164" i="1" s="1"/>
  <c r="AM164" i="1" s="1"/>
  <c r="S164" i="1"/>
  <c r="K164" i="1"/>
  <c r="AG163" i="1"/>
  <c r="AJ163" i="1" s="1"/>
  <c r="AM163" i="1" s="1"/>
  <c r="S163" i="1"/>
  <c r="AG162" i="1"/>
  <c r="AJ162" i="1" s="1"/>
  <c r="AM162" i="1" s="1"/>
  <c r="S162" i="1"/>
  <c r="AG160" i="1"/>
  <c r="AJ160" i="1" s="1"/>
  <c r="AM160" i="1" s="1"/>
  <c r="S160" i="1"/>
  <c r="Y159" i="1"/>
  <c r="AG159" i="1" s="1"/>
  <c r="AJ159" i="1" s="1"/>
  <c r="AM159" i="1" s="1"/>
  <c r="S159" i="1"/>
  <c r="AG158" i="1"/>
  <c r="AJ158" i="1" s="1"/>
  <c r="AM158" i="1" s="1"/>
  <c r="S158" i="1"/>
  <c r="AG157" i="1"/>
  <c r="AJ157" i="1" s="1"/>
  <c r="AM157" i="1" s="1"/>
  <c r="S157" i="1"/>
  <c r="AN156" i="1"/>
  <c r="AP156" i="1" s="1"/>
  <c r="AG156" i="1"/>
  <c r="AJ156" i="1" s="1"/>
  <c r="AM156" i="1" s="1"/>
  <c r="S156" i="1"/>
  <c r="AG155" i="1"/>
  <c r="AJ155" i="1" s="1"/>
  <c r="AM155" i="1" s="1"/>
  <c r="S155" i="1"/>
  <c r="AG154" i="1"/>
  <c r="AJ154" i="1" s="1"/>
  <c r="AM154" i="1" s="1"/>
  <c r="S154" i="1"/>
  <c r="AG153" i="1"/>
  <c r="AJ153" i="1" s="1"/>
  <c r="AM153" i="1" s="1"/>
  <c r="S153" i="1"/>
  <c r="AG152" i="1"/>
  <c r="AJ152" i="1" s="1"/>
  <c r="AM152" i="1" s="1"/>
  <c r="S152" i="1"/>
  <c r="K152" i="1"/>
  <c r="AG151" i="1"/>
  <c r="AJ151" i="1" s="1"/>
  <c r="AM151" i="1" s="1"/>
  <c r="S151" i="1"/>
  <c r="AJ150" i="1"/>
  <c r="AM150" i="1" s="1"/>
  <c r="AB150" i="1"/>
  <c r="S150" i="1"/>
  <c r="AJ149" i="1"/>
  <c r="AM149" i="1" s="1"/>
  <c r="AB149" i="1"/>
  <c r="S149" i="1"/>
  <c r="AJ148" i="1"/>
  <c r="AM148" i="1" s="1"/>
  <c r="AN148" i="1" s="1"/>
  <c r="AP148" i="1" s="1"/>
  <c r="S148" i="1"/>
  <c r="AJ147" i="1"/>
  <c r="AM147" i="1" s="1"/>
  <c r="S147" i="1"/>
  <c r="AJ146" i="1"/>
  <c r="AM146" i="1" s="1"/>
  <c r="S146" i="1"/>
  <c r="K146" i="1"/>
  <c r="AG145" i="1"/>
  <c r="AJ145" i="1" s="1"/>
  <c r="AM145" i="1" s="1"/>
  <c r="S145" i="1"/>
  <c r="AJ144" i="1"/>
  <c r="AM144" i="1" s="1"/>
  <c r="S144" i="1"/>
  <c r="AJ143" i="1"/>
  <c r="AM143" i="1" s="1"/>
  <c r="S143" i="1"/>
  <c r="AJ142" i="1"/>
  <c r="AM142" i="1" s="1"/>
  <c r="S142" i="1"/>
  <c r="AG141" i="1"/>
  <c r="AJ141" i="1" s="1"/>
  <c r="AM141" i="1" s="1"/>
  <c r="Q141" i="1"/>
  <c r="S141" i="1" s="1"/>
  <c r="AJ140" i="1"/>
  <c r="AM140" i="1" s="1"/>
  <c r="S140" i="1"/>
  <c r="AJ139" i="1"/>
  <c r="AM139" i="1" s="1"/>
  <c r="S139" i="1"/>
  <c r="K139" i="1"/>
  <c r="AJ138" i="1"/>
  <c r="AM138" i="1" s="1"/>
  <c r="S138" i="1"/>
  <c r="AJ137" i="1"/>
  <c r="AM137" i="1" s="1"/>
  <c r="S137" i="1"/>
  <c r="AN137" i="1" s="1"/>
  <c r="AP137" i="1" s="1"/>
  <c r="AJ136" i="1"/>
  <c r="AM136" i="1" s="1"/>
  <c r="W136" i="1"/>
  <c r="S136" i="1"/>
  <c r="AK135" i="1"/>
  <c r="AJ135" i="1"/>
  <c r="AM135" i="1" s="1"/>
  <c r="Q135" i="1"/>
  <c r="S135" i="1" s="1"/>
  <c r="AG134" i="1"/>
  <c r="AJ134" i="1" s="1"/>
  <c r="AM134" i="1" s="1"/>
  <c r="Q134" i="1"/>
  <c r="S134" i="1" s="1"/>
  <c r="AJ133" i="1"/>
  <c r="AM133" i="1" s="1"/>
  <c r="AN133" i="1" s="1"/>
  <c r="AP133" i="1" s="1"/>
  <c r="S133" i="1"/>
  <c r="K133" i="1"/>
  <c r="AJ132" i="1"/>
  <c r="AM132" i="1" s="1"/>
  <c r="S132" i="1"/>
  <c r="AM131" i="1"/>
  <c r="AN131" i="1" s="1"/>
  <c r="AP131" i="1" s="1"/>
  <c r="AJ131" i="1"/>
  <c r="S131" i="1"/>
  <c r="K131" i="1"/>
  <c r="AJ130" i="1"/>
  <c r="AM130" i="1" s="1"/>
  <c r="S130" i="1"/>
  <c r="K130" i="1"/>
  <c r="AJ128" i="1"/>
  <c r="AM128" i="1" s="1"/>
  <c r="S128" i="1"/>
  <c r="K128" i="1"/>
  <c r="AJ127" i="1"/>
  <c r="AM127" i="1" s="1"/>
  <c r="S127" i="1"/>
  <c r="K127" i="1"/>
  <c r="AS126" i="1"/>
  <c r="AJ126" i="1"/>
  <c r="AM126" i="1" s="1"/>
  <c r="S126" i="1"/>
  <c r="K126" i="1"/>
  <c r="AJ125" i="1"/>
  <c r="AM125" i="1" s="1"/>
  <c r="S125" i="1"/>
  <c r="AJ124" i="1"/>
  <c r="AM124" i="1" s="1"/>
  <c r="S124" i="1"/>
  <c r="AM123" i="1"/>
  <c r="AJ123" i="1"/>
  <c r="S123" i="1"/>
  <c r="AJ122" i="1"/>
  <c r="AM122" i="1" s="1"/>
  <c r="S122" i="1"/>
  <c r="AN122" i="1" s="1"/>
  <c r="AP122" i="1" s="1"/>
  <c r="S121" i="1"/>
  <c r="AJ119" i="1"/>
  <c r="AM119" i="1" s="1"/>
  <c r="AJ118" i="1"/>
  <c r="AM118" i="1" s="1"/>
  <c r="AE118" i="1"/>
  <c r="S118" i="1"/>
  <c r="AJ117" i="1"/>
  <c r="AM117" i="1" s="1"/>
  <c r="S117" i="1"/>
  <c r="AJ116" i="1"/>
  <c r="AM116" i="1" s="1"/>
  <c r="AN116" i="1" s="1"/>
  <c r="AP116" i="1" s="1"/>
  <c r="S116" i="1"/>
  <c r="AJ115" i="1"/>
  <c r="AM115" i="1" s="1"/>
  <c r="S115" i="1"/>
  <c r="AJ114" i="1"/>
  <c r="AM114" i="1" s="1"/>
  <c r="AN114" i="1" s="1"/>
  <c r="AP114" i="1" s="1"/>
  <c r="S114" i="1"/>
  <c r="AJ113" i="1"/>
  <c r="AM113" i="1" s="1"/>
  <c r="S113" i="1"/>
  <c r="AJ112" i="1"/>
  <c r="AM112" i="1" s="1"/>
  <c r="S112" i="1"/>
  <c r="K112" i="1"/>
  <c r="AJ111" i="1"/>
  <c r="AM111" i="1" s="1"/>
  <c r="S111" i="1"/>
  <c r="AJ110" i="1"/>
  <c r="AM110" i="1" s="1"/>
  <c r="S110" i="1"/>
  <c r="AJ109" i="1"/>
  <c r="AM109" i="1" s="1"/>
  <c r="S109" i="1"/>
  <c r="AK108" i="1"/>
  <c r="AJ108" i="1"/>
  <c r="AM108" i="1" s="1"/>
  <c r="AK107" i="1"/>
  <c r="AJ107" i="1"/>
  <c r="AM107" i="1" s="1"/>
  <c r="AK106" i="1"/>
  <c r="AJ106" i="1"/>
  <c r="AM106" i="1" s="1"/>
  <c r="S106" i="1"/>
  <c r="Q106" i="1"/>
  <c r="AK105" i="1"/>
  <c r="AJ105" i="1"/>
  <c r="AM105" i="1" s="1"/>
  <c r="Q105" i="1"/>
  <c r="S105" i="1" s="1"/>
  <c r="AN105" i="1" s="1"/>
  <c r="AP105" i="1" s="1"/>
  <c r="AJ104" i="1"/>
  <c r="AM104" i="1" s="1"/>
  <c r="S104" i="1"/>
  <c r="AJ103" i="1"/>
  <c r="AM103" i="1" s="1"/>
  <c r="S103" i="1"/>
  <c r="AS102" i="1"/>
  <c r="AJ102" i="1"/>
  <c r="AM102" i="1" s="1"/>
  <c r="S102" i="1"/>
  <c r="K102" i="1"/>
  <c r="AJ101" i="1"/>
  <c r="AM101" i="1" s="1"/>
  <c r="S101" i="1"/>
  <c r="K101" i="1"/>
  <c r="AG100" i="1"/>
  <c r="AJ100" i="1" s="1"/>
  <c r="AM100" i="1" s="1"/>
  <c r="S100" i="1"/>
  <c r="AJ99" i="1"/>
  <c r="AM99" i="1" s="1"/>
  <c r="S99" i="1"/>
  <c r="AJ98" i="1"/>
  <c r="AM98" i="1" s="1"/>
  <c r="S98" i="1"/>
  <c r="AJ97" i="1"/>
  <c r="AM97" i="1" s="1"/>
  <c r="AN97" i="1" s="1"/>
  <c r="AP97" i="1" s="1"/>
  <c r="S97" i="1"/>
  <c r="AJ96" i="1"/>
  <c r="AM96" i="1" s="1"/>
  <c r="AN96" i="1" s="1"/>
  <c r="AP96" i="1" s="1"/>
  <c r="S96" i="1"/>
  <c r="AJ95" i="1"/>
  <c r="Q95" i="1"/>
  <c r="S95" i="1" s="1"/>
  <c r="AN95" i="1" s="1"/>
  <c r="AP95" i="1" s="1"/>
  <c r="AJ94" i="1"/>
  <c r="AB94" i="1"/>
  <c r="Q94" i="1"/>
  <c r="S94" i="1" s="1"/>
  <c r="AN94" i="1" s="1"/>
  <c r="AP94" i="1" s="1"/>
  <c r="Q93" i="1"/>
  <c r="S93" i="1" s="1"/>
  <c r="AN93" i="1" s="1"/>
  <c r="AP93" i="1" s="1"/>
  <c r="S92" i="1"/>
  <c r="AN92" i="1" s="1"/>
  <c r="AP92" i="1" s="1"/>
  <c r="Q91" i="1"/>
  <c r="S91" i="1" s="1"/>
  <c r="AN91" i="1" s="1"/>
  <c r="AP91" i="1" s="1"/>
  <c r="L91" i="1"/>
  <c r="K91" i="1" s="1"/>
  <c r="AJ90" i="1"/>
  <c r="AM90" i="1" s="1"/>
  <c r="S90" i="1"/>
  <c r="AM88" i="1"/>
  <c r="AJ88" i="1"/>
  <c r="S88" i="1"/>
  <c r="AJ87" i="1"/>
  <c r="AM87" i="1" s="1"/>
  <c r="S87" i="1"/>
  <c r="AN87" i="1" s="1"/>
  <c r="AP87" i="1" s="1"/>
  <c r="AJ86" i="1"/>
  <c r="AM86" i="1" s="1"/>
  <c r="AB86" i="1"/>
  <c r="S86" i="1"/>
  <c r="AJ85" i="1"/>
  <c r="AM85" i="1" s="1"/>
  <c r="Y85" i="1"/>
  <c r="S85" i="1"/>
  <c r="K85" i="1"/>
  <c r="AM84" i="1"/>
  <c r="AJ84" i="1"/>
  <c r="S84" i="1"/>
  <c r="AJ83" i="1"/>
  <c r="AM83" i="1" s="1"/>
  <c r="AB83" i="1"/>
  <c r="Q83" i="1"/>
  <c r="S83" i="1" s="1"/>
  <c r="Q82" i="1"/>
  <c r="S82" i="1" s="1"/>
  <c r="Q81" i="1"/>
  <c r="S81" i="1" s="1"/>
  <c r="K81" i="1"/>
  <c r="AJ80" i="1"/>
  <c r="AM80" i="1" s="1"/>
  <c r="S80" i="1"/>
  <c r="K80" i="1"/>
  <c r="AJ79" i="1"/>
  <c r="AM79" i="1" s="1"/>
  <c r="S79" i="1"/>
  <c r="AJ78" i="1"/>
  <c r="AM78" i="1" s="1"/>
  <c r="S78" i="1"/>
  <c r="K78" i="1"/>
  <c r="AJ77" i="1"/>
  <c r="AM77" i="1" s="1"/>
  <c r="S77" i="1"/>
  <c r="K77" i="1"/>
  <c r="AJ76" i="1"/>
  <c r="AM76" i="1" s="1"/>
  <c r="S76" i="1"/>
  <c r="K76" i="1"/>
  <c r="AJ75" i="1"/>
  <c r="AM75" i="1" s="1"/>
  <c r="S75" i="1"/>
  <c r="K75" i="1"/>
  <c r="AJ74" i="1"/>
  <c r="AM74" i="1" s="1"/>
  <c r="S74" i="1"/>
  <c r="K74" i="1"/>
  <c r="AJ73" i="1"/>
  <c r="AM73" i="1" s="1"/>
  <c r="AN73" i="1" s="1"/>
  <c r="AP73" i="1" s="1"/>
  <c r="S73" i="1"/>
  <c r="AJ72" i="1"/>
  <c r="AM72" i="1" s="1"/>
  <c r="S72" i="1"/>
  <c r="K72" i="1"/>
  <c r="AJ71" i="1"/>
  <c r="AM71" i="1" s="1"/>
  <c r="S71" i="1"/>
  <c r="K71" i="1"/>
  <c r="AM70" i="1"/>
  <c r="AN70" i="1" s="1"/>
  <c r="AP70" i="1" s="1"/>
  <c r="AJ70" i="1"/>
  <c r="AB70" i="1"/>
  <c r="Q70" i="1"/>
  <c r="AM69" i="1"/>
  <c r="S69" i="1"/>
  <c r="AM68" i="1"/>
  <c r="S68" i="1"/>
  <c r="K68" i="1"/>
  <c r="AJ67" i="1"/>
  <c r="AM67" i="1" s="1"/>
  <c r="S67" i="1"/>
  <c r="AN67" i="1" s="1"/>
  <c r="AP67" i="1" s="1"/>
  <c r="K67" i="1"/>
  <c r="AM66" i="1"/>
  <c r="AN66" i="1" s="1"/>
  <c r="AP66" i="1" s="1"/>
  <c r="AJ66" i="1"/>
  <c r="S66" i="1"/>
  <c r="K66" i="1"/>
  <c r="AJ65" i="1"/>
  <c r="AM65" i="1" s="1"/>
  <c r="S65" i="1"/>
  <c r="AJ64" i="1"/>
  <c r="AM64" i="1" s="1"/>
  <c r="S64" i="1"/>
  <c r="K64" i="1"/>
  <c r="AJ63" i="1"/>
  <c r="AM63" i="1" s="1"/>
  <c r="AN63" i="1" s="1"/>
  <c r="AP63" i="1" s="1"/>
  <c r="AB63" i="1"/>
  <c r="AJ62" i="1"/>
  <c r="AM62" i="1" s="1"/>
  <c r="AN62" i="1" s="1"/>
  <c r="AP62" i="1" s="1"/>
  <c r="AB62" i="1"/>
  <c r="S61" i="1"/>
  <c r="L61" i="1"/>
  <c r="AJ60" i="1"/>
  <c r="AM60" i="1" s="1"/>
  <c r="S60" i="1"/>
  <c r="L60" i="1"/>
  <c r="AJ59" i="1"/>
  <c r="AM59" i="1" s="1"/>
  <c r="S59" i="1"/>
  <c r="AJ58" i="1"/>
  <c r="AM58" i="1" s="1"/>
  <c r="S58" i="1"/>
  <c r="K58" i="1"/>
  <c r="AJ57" i="1"/>
  <c r="AM57" i="1" s="1"/>
  <c r="S57" i="1"/>
  <c r="AJ56" i="1"/>
  <c r="AM56" i="1" s="1"/>
  <c r="AB56" i="1"/>
  <c r="S56" i="1"/>
  <c r="L56" i="1"/>
  <c r="AJ55" i="1"/>
  <c r="AM55" i="1" s="1"/>
  <c r="S55" i="1"/>
  <c r="K55" i="1"/>
  <c r="AJ54" i="1"/>
  <c r="AM54" i="1" s="1"/>
  <c r="S54" i="1"/>
  <c r="AJ53" i="1"/>
  <c r="AM53" i="1" s="1"/>
  <c r="S53" i="1"/>
  <c r="AJ52" i="1"/>
  <c r="AM52" i="1" s="1"/>
  <c r="S52" i="1"/>
  <c r="AJ51" i="1"/>
  <c r="AM51" i="1" s="1"/>
  <c r="AN51" i="1" s="1"/>
  <c r="AP51" i="1" s="1"/>
  <c r="S51" i="1"/>
  <c r="K51" i="1"/>
  <c r="AJ50" i="1"/>
  <c r="AM50" i="1" s="1"/>
  <c r="S50" i="1"/>
  <c r="K50" i="1"/>
  <c r="AJ49" i="1"/>
  <c r="AM49" i="1" s="1"/>
  <c r="AB49" i="1"/>
  <c r="S49" i="1"/>
  <c r="AJ48" i="1"/>
  <c r="AM48" i="1" s="1"/>
  <c r="S48" i="1"/>
  <c r="AJ47" i="1"/>
  <c r="AM47" i="1" s="1"/>
  <c r="S47" i="1"/>
  <c r="AJ46" i="1"/>
  <c r="AM46" i="1" s="1"/>
  <c r="S46" i="1"/>
  <c r="AJ45" i="1"/>
  <c r="AM45" i="1" s="1"/>
  <c r="S45" i="1"/>
  <c r="AJ44" i="1"/>
  <c r="AM44" i="1" s="1"/>
  <c r="S44" i="1"/>
  <c r="AJ43" i="1"/>
  <c r="AM43" i="1" s="1"/>
  <c r="S43" i="1"/>
  <c r="AJ42" i="1"/>
  <c r="AM42" i="1" s="1"/>
  <c r="S42" i="1"/>
  <c r="AJ41" i="1"/>
  <c r="AM41" i="1" s="1"/>
  <c r="S41" i="1"/>
  <c r="AJ40" i="1"/>
  <c r="AM40" i="1" s="1"/>
  <c r="S40" i="1"/>
  <c r="AJ39" i="1"/>
  <c r="AM39" i="1" s="1"/>
  <c r="S39" i="1"/>
  <c r="AJ38" i="1"/>
  <c r="AM38" i="1" s="1"/>
  <c r="S38" i="1"/>
  <c r="AJ37" i="1"/>
  <c r="AM37" i="1" s="1"/>
  <c r="S37" i="1"/>
  <c r="AJ36" i="1"/>
  <c r="AM36" i="1" s="1"/>
  <c r="S36" i="1"/>
  <c r="AM35" i="1"/>
  <c r="AN35" i="1" s="1"/>
  <c r="AP35" i="1" s="1"/>
  <c r="AJ35" i="1"/>
  <c r="S35" i="1"/>
  <c r="AJ34" i="1"/>
  <c r="AM34" i="1" s="1"/>
  <c r="S34" i="1"/>
  <c r="AJ33" i="1"/>
  <c r="AM33" i="1" s="1"/>
  <c r="S33" i="1"/>
  <c r="AM32" i="1"/>
  <c r="AJ32" i="1"/>
  <c r="S32" i="1"/>
  <c r="AJ31" i="1"/>
  <c r="AM31" i="1" s="1"/>
  <c r="S31" i="1"/>
  <c r="AJ30" i="1"/>
  <c r="AM30" i="1" s="1"/>
  <c r="S30" i="1"/>
  <c r="AJ29" i="1"/>
  <c r="AM29" i="1" s="1"/>
  <c r="S29" i="1"/>
  <c r="AJ28" i="1"/>
  <c r="AM28" i="1" s="1"/>
  <c r="S28" i="1"/>
  <c r="AJ27" i="1"/>
  <c r="AM27" i="1" s="1"/>
  <c r="S27" i="1"/>
  <c r="AM26" i="1"/>
  <c r="AJ26" i="1"/>
  <c r="S26" i="1"/>
  <c r="AJ25" i="1"/>
  <c r="AM25" i="1" s="1"/>
  <c r="S25" i="1"/>
  <c r="AJ24" i="1"/>
  <c r="AM24" i="1" s="1"/>
  <c r="S24" i="1"/>
  <c r="AJ23" i="1"/>
  <c r="AM23" i="1" s="1"/>
  <c r="S23" i="1"/>
  <c r="AJ22" i="1"/>
  <c r="AM22" i="1" s="1"/>
  <c r="S22" i="1"/>
  <c r="AM21" i="1"/>
  <c r="AJ21" i="1"/>
  <c r="S21" i="1"/>
  <c r="AJ20" i="1"/>
  <c r="AM20" i="1" s="1"/>
  <c r="S20" i="1"/>
  <c r="N20" i="1"/>
  <c r="AJ19" i="1"/>
  <c r="AM19" i="1" s="1"/>
  <c r="S19" i="1"/>
  <c r="AM18" i="1"/>
  <c r="AN18" i="1" s="1"/>
  <c r="AP18" i="1" s="1"/>
  <c r="AJ18" i="1"/>
  <c r="S18" i="1"/>
  <c r="AJ17" i="1"/>
  <c r="AM17" i="1" s="1"/>
  <c r="S17" i="1"/>
  <c r="Q17" i="1"/>
  <c r="K17" i="1"/>
  <c r="AJ16" i="1"/>
  <c r="AM16" i="1" s="1"/>
  <c r="AN16" i="1" s="1"/>
  <c r="AP16" i="1" s="1"/>
  <c r="W16" i="1"/>
  <c r="AJ15" i="1"/>
  <c r="AM15" i="1" s="1"/>
  <c r="AN15" i="1" s="1"/>
  <c r="AP15" i="1" s="1"/>
  <c r="W15" i="1"/>
  <c r="AJ14" i="1"/>
  <c r="AM14" i="1" s="1"/>
  <c r="AN14" i="1" s="1"/>
  <c r="AP14" i="1" s="1"/>
  <c r="W14" i="1"/>
  <c r="AJ13" i="1"/>
  <c r="AM13" i="1" s="1"/>
  <c r="AN13" i="1" s="1"/>
  <c r="AP13" i="1" s="1"/>
  <c r="W13" i="1"/>
  <c r="AJ12" i="1"/>
  <c r="AM12" i="1" s="1"/>
  <c r="AN12" i="1" s="1"/>
  <c r="AP12" i="1" s="1"/>
  <c r="AJ11" i="1"/>
  <c r="AM11" i="1" s="1"/>
  <c r="S11" i="1"/>
  <c r="AJ10" i="1"/>
  <c r="AM10" i="1" s="1"/>
  <c r="AN10" i="1" s="1"/>
  <c r="AP10" i="1" s="1"/>
  <c r="AJ9" i="1"/>
  <c r="AM9" i="1" s="1"/>
  <c r="AN9" i="1" s="1"/>
  <c r="AP9" i="1" s="1"/>
  <c r="AJ8" i="1"/>
  <c r="AM8" i="1" s="1"/>
  <c r="S8" i="1"/>
  <c r="S7" i="1"/>
  <c r="AN7" i="1" s="1"/>
  <c r="AP7" i="1" s="1"/>
  <c r="AN6" i="1"/>
  <c r="AP6" i="1" s="1"/>
  <c r="AJ6" i="1"/>
  <c r="AM6" i="1" s="1"/>
  <c r="S6" i="1"/>
  <c r="K6" i="1"/>
  <c r="AN142" i="1" l="1"/>
  <c r="AP142" i="1" s="1"/>
  <c r="AN159" i="1"/>
  <c r="AP159" i="1" s="1"/>
  <c r="AN1819" i="1"/>
  <c r="AP1819" i="1" s="1"/>
  <c r="AN33" i="1"/>
  <c r="AP33" i="1" s="1"/>
  <c r="AN39" i="1"/>
  <c r="AP39" i="1" s="1"/>
  <c r="AN48" i="1"/>
  <c r="AP48" i="1" s="1"/>
  <c r="AN99" i="1"/>
  <c r="AP99" i="1" s="1"/>
  <c r="AN101" i="1"/>
  <c r="AP101" i="1" s="1"/>
  <c r="AN117" i="1"/>
  <c r="AP117" i="1" s="1"/>
  <c r="AN136" i="1"/>
  <c r="AP136" i="1" s="1"/>
  <c r="AN241" i="1"/>
  <c r="AP241" i="1" s="1"/>
  <c r="AN247" i="1"/>
  <c r="AP247" i="1" s="1"/>
  <c r="AN336" i="1"/>
  <c r="AP336" i="1" s="1"/>
  <c r="AN381" i="1"/>
  <c r="AP381" i="1" s="1"/>
  <c r="AN397" i="1"/>
  <c r="AP397" i="1" s="1"/>
  <c r="AN423" i="1"/>
  <c r="AP423" i="1" s="1"/>
  <c r="AN659" i="1"/>
  <c r="AP659" i="1" s="1"/>
  <c r="AN847" i="1"/>
  <c r="AP847" i="1" s="1"/>
  <c r="AN889" i="1"/>
  <c r="AP889" i="1" s="1"/>
  <c r="AN954" i="1"/>
  <c r="AP954" i="1" s="1"/>
  <c r="AN1125" i="1"/>
  <c r="AP1125" i="1" s="1"/>
  <c r="AN45" i="1"/>
  <c r="AP45" i="1" s="1"/>
  <c r="AN57" i="1"/>
  <c r="AP57" i="1" s="1"/>
  <c r="AN153" i="1"/>
  <c r="AP153" i="1" s="1"/>
  <c r="AN257" i="1"/>
  <c r="AP257" i="1" s="1"/>
  <c r="AN269" i="1"/>
  <c r="AP269" i="1" s="1"/>
  <c r="AN280" i="1"/>
  <c r="AP280" i="1" s="1"/>
  <c r="AN401" i="1"/>
  <c r="AP401" i="1" s="1"/>
  <c r="AN689" i="1"/>
  <c r="AP689" i="1" s="1"/>
  <c r="AN762" i="1"/>
  <c r="AP762" i="1" s="1"/>
  <c r="AN768" i="1"/>
  <c r="AP768" i="1" s="1"/>
  <c r="AN403" i="1"/>
  <c r="AP403" i="1" s="1"/>
  <c r="AN428" i="1"/>
  <c r="AP428" i="1" s="1"/>
  <c r="AN430" i="1"/>
  <c r="AP430" i="1" s="1"/>
  <c r="AN435" i="1"/>
  <c r="AP435" i="1" s="1"/>
  <c r="AN481" i="1"/>
  <c r="AP481" i="1" s="1"/>
  <c r="AN486" i="1"/>
  <c r="AP486" i="1" s="1"/>
  <c r="AN496" i="1"/>
  <c r="AP496" i="1" s="1"/>
  <c r="AN673" i="1"/>
  <c r="AP673" i="1" s="1"/>
  <c r="AN732" i="1"/>
  <c r="AP732" i="1" s="1"/>
  <c r="AN791" i="1"/>
  <c r="AP791" i="1" s="1"/>
  <c r="AN888" i="1"/>
  <c r="AP888" i="1" s="1"/>
  <c r="AN907" i="1"/>
  <c r="AP907" i="1" s="1"/>
  <c r="AN944" i="1"/>
  <c r="AP944" i="1" s="1"/>
  <c r="AN946" i="1"/>
  <c r="AP946" i="1" s="1"/>
  <c r="AN978" i="1"/>
  <c r="AP978" i="1" s="1"/>
  <c r="AN1115" i="1"/>
  <c r="AP1115" i="1" s="1"/>
  <c r="AN1164" i="1"/>
  <c r="AP1164" i="1" s="1"/>
  <c r="AN1211" i="1"/>
  <c r="AP1211" i="1" s="1"/>
  <c r="AN1273" i="1"/>
  <c r="AP1273" i="1" s="1"/>
  <c r="AN1308" i="1"/>
  <c r="AP1308" i="1" s="1"/>
  <c r="AN1388" i="1"/>
  <c r="AP1388" i="1" s="1"/>
  <c r="AN1455" i="1"/>
  <c r="AP1455" i="1" s="1"/>
  <c r="AN1474" i="1"/>
  <c r="AP1474" i="1" s="1"/>
  <c r="AN1476" i="1"/>
  <c r="AP1476" i="1" s="1"/>
  <c r="AN1572" i="1"/>
  <c r="AP1572" i="1" s="1"/>
  <c r="AN1674" i="1"/>
  <c r="AP1674" i="1" s="1"/>
  <c r="AN1683" i="1"/>
  <c r="AP1683" i="1" s="1"/>
  <c r="AN1925" i="1"/>
  <c r="AP1925" i="1" s="1"/>
  <c r="AN491" i="1"/>
  <c r="AP491" i="1" s="1"/>
  <c r="AN564" i="1"/>
  <c r="AP564" i="1" s="1"/>
  <c r="AN633" i="1"/>
  <c r="AP633" i="1" s="1"/>
  <c r="AN637" i="1"/>
  <c r="AP637" i="1" s="1"/>
  <c r="AN666" i="1"/>
  <c r="AP666" i="1" s="1"/>
  <c r="AN678" i="1"/>
  <c r="AP678" i="1" s="1"/>
  <c r="AN811" i="1"/>
  <c r="AP811" i="1" s="1"/>
  <c r="AN819" i="1"/>
  <c r="AP819" i="1" s="1"/>
  <c r="AN823" i="1"/>
  <c r="AP823" i="1" s="1"/>
  <c r="AN836" i="1"/>
  <c r="AP836" i="1" s="1"/>
  <c r="AN850" i="1"/>
  <c r="AP850" i="1" s="1"/>
  <c r="AN876" i="1"/>
  <c r="AP876" i="1" s="1"/>
  <c r="AN939" i="1"/>
  <c r="AP939" i="1" s="1"/>
  <c r="AN948" i="1"/>
  <c r="AP948" i="1" s="1"/>
  <c r="AN987" i="1"/>
  <c r="AP987" i="1" s="1"/>
  <c r="AN1046" i="1"/>
  <c r="AP1046" i="1" s="1"/>
  <c r="AN1064" i="1"/>
  <c r="AP1064" i="1" s="1"/>
  <c r="AN1069" i="1"/>
  <c r="AP1069" i="1" s="1"/>
  <c r="AN1077" i="1"/>
  <c r="AP1077" i="1" s="1"/>
  <c r="AN1100" i="1"/>
  <c r="AP1100" i="1" s="1"/>
  <c r="AN1173" i="1"/>
  <c r="AP1173" i="1" s="1"/>
  <c r="AN1191" i="1"/>
  <c r="AP1191" i="1" s="1"/>
  <c r="AN1193" i="1"/>
  <c r="AP1193" i="1" s="1"/>
  <c r="AN1206" i="1"/>
  <c r="AP1206" i="1" s="1"/>
  <c r="AN1220" i="1"/>
  <c r="AP1220" i="1" s="1"/>
  <c r="AN1258" i="1"/>
  <c r="AP1258" i="1" s="1"/>
  <c r="AN1264" i="1"/>
  <c r="AP1264" i="1" s="1"/>
  <c r="AN1300" i="1"/>
  <c r="AP1300" i="1" s="1"/>
  <c r="AN1305" i="1"/>
  <c r="AP1305" i="1" s="1"/>
  <c r="AN1334" i="1"/>
  <c r="AP1334" i="1" s="1"/>
  <c r="AN1428" i="1"/>
  <c r="AP1428" i="1" s="1"/>
  <c r="AN1558" i="1"/>
  <c r="AP1558" i="1" s="1"/>
  <c r="AN1682" i="1"/>
  <c r="AP1682" i="1" s="1"/>
  <c r="AN1693" i="1"/>
  <c r="AP1693" i="1" s="1"/>
  <c r="AN2077" i="1"/>
  <c r="AP2077" i="1" s="1"/>
  <c r="AN1392" i="1"/>
  <c r="AP1392" i="1" s="1"/>
  <c r="AN1427" i="1"/>
  <c r="AP1427" i="1" s="1"/>
  <c r="AN1487" i="1"/>
  <c r="AP1487" i="1" s="1"/>
  <c r="AN1589" i="1"/>
  <c r="AP1589" i="1" s="1"/>
  <c r="AN1596" i="1"/>
  <c r="AP1596" i="1" s="1"/>
  <c r="AN1814" i="1"/>
  <c r="AP1814" i="1" s="1"/>
  <c r="AN1910" i="1"/>
  <c r="AP1910" i="1" s="1"/>
  <c r="AN1990" i="1"/>
  <c r="AP1990" i="1" s="1"/>
  <c r="AN1992" i="1"/>
  <c r="AP1992" i="1" s="1"/>
  <c r="AN2076" i="1"/>
  <c r="AP2076" i="1" s="1"/>
  <c r="AN2123" i="1"/>
  <c r="AP2123" i="1" s="1"/>
  <c r="AN2368" i="1"/>
  <c r="AP2368" i="1" s="1"/>
  <c r="AN2456" i="1"/>
  <c r="AP2456" i="1" s="1"/>
  <c r="AN2495" i="1"/>
  <c r="AP2495" i="1" s="1"/>
  <c r="AN1336" i="1"/>
  <c r="AP1336" i="1" s="1"/>
  <c r="AN1338" i="1"/>
  <c r="AP1338" i="1" s="1"/>
  <c r="AN1340" i="1"/>
  <c r="AP1340" i="1" s="1"/>
  <c r="AN1387" i="1"/>
  <c r="AP1387" i="1" s="1"/>
  <c r="AN1411" i="1"/>
  <c r="AP1411" i="1" s="1"/>
  <c r="AN1479" i="1"/>
  <c r="AP1479" i="1" s="1"/>
  <c r="AN1536" i="1"/>
  <c r="AP1536" i="1" s="1"/>
  <c r="AN1540" i="1"/>
  <c r="AP1540" i="1" s="1"/>
  <c r="AN1603" i="1"/>
  <c r="AP1603" i="1" s="1"/>
  <c r="AN1606" i="1"/>
  <c r="AP1606" i="1" s="1"/>
  <c r="AN1618" i="1"/>
  <c r="AP1618" i="1" s="1"/>
  <c r="AN1642" i="1"/>
  <c r="AP1642" i="1" s="1"/>
  <c r="AN1649" i="1"/>
  <c r="AP1649" i="1" s="1"/>
  <c r="AN1654" i="1"/>
  <c r="AP1654" i="1" s="1"/>
  <c r="AN1710" i="1"/>
  <c r="AP1710" i="1" s="1"/>
  <c r="AN1745" i="1"/>
  <c r="AP1745" i="1" s="1"/>
  <c r="AN1754" i="1"/>
  <c r="AP1754" i="1" s="1"/>
  <c r="AN1771" i="1"/>
  <c r="AP1771" i="1" s="1"/>
  <c r="AN1820" i="1"/>
  <c r="AP1820" i="1" s="1"/>
  <c r="AN1845" i="1"/>
  <c r="AP1845" i="1" s="1"/>
  <c r="AN1865" i="1"/>
  <c r="AP1865" i="1" s="1"/>
  <c r="AN1912" i="1"/>
  <c r="AP1912" i="1" s="1"/>
  <c r="AN2078" i="1"/>
  <c r="AP2078" i="1" s="1"/>
  <c r="AN2197" i="1"/>
  <c r="AP2197" i="1" s="1"/>
  <c r="AN2234" i="1"/>
  <c r="AP2234" i="1" s="1"/>
  <c r="AN2250" i="1"/>
  <c r="AP2250" i="1" s="1"/>
  <c r="AN2269" i="1"/>
  <c r="AP2269" i="1" s="1"/>
  <c r="AN2358" i="1"/>
  <c r="AP2358" i="1" s="1"/>
  <c r="AN2390" i="1"/>
  <c r="AP2390" i="1" s="1"/>
  <c r="AN2195" i="1"/>
  <c r="AP2195" i="1" s="1"/>
  <c r="AN2214" i="1"/>
  <c r="AP2214" i="1" s="1"/>
  <c r="AN2303" i="1"/>
  <c r="AP2303" i="1" s="1"/>
  <c r="AN2337" i="1"/>
  <c r="AP2337" i="1" s="1"/>
  <c r="AN2356" i="1"/>
  <c r="AP2356" i="1" s="1"/>
  <c r="AN2570" i="1"/>
  <c r="AP2570" i="1" s="1"/>
  <c r="AN1804" i="1"/>
  <c r="AP1804" i="1" s="1"/>
  <c r="AN1899" i="1"/>
  <c r="AP1899" i="1" s="1"/>
  <c r="AN1927" i="1"/>
  <c r="AP1927" i="1" s="1"/>
  <c r="AN1942" i="1"/>
  <c r="AP1942" i="1" s="1"/>
  <c r="AN1962" i="1"/>
  <c r="AP1962" i="1" s="1"/>
  <c r="AN2000" i="1"/>
  <c r="AP2000" i="1" s="1"/>
  <c r="AN2168" i="1"/>
  <c r="AP2168" i="1" s="1"/>
  <c r="AN2173" i="1"/>
  <c r="AP2173" i="1" s="1"/>
  <c r="AN2192" i="1"/>
  <c r="AP2192" i="1" s="1"/>
  <c r="AN2264" i="1"/>
  <c r="AP2264" i="1" s="1"/>
  <c r="AN2267" i="1"/>
  <c r="AP2267" i="1" s="1"/>
  <c r="AN2336" i="1"/>
  <c r="AP2336" i="1" s="1"/>
  <c r="AN2357" i="1"/>
  <c r="AP2357" i="1" s="1"/>
  <c r="AN2414" i="1"/>
  <c r="AP2414" i="1" s="1"/>
  <c r="AN2513" i="1"/>
  <c r="AP2513" i="1" s="1"/>
  <c r="AN2528" i="1"/>
  <c r="AP2528" i="1" s="1"/>
  <c r="AN2542" i="1"/>
  <c r="AP2542" i="1" s="1"/>
  <c r="AN2580" i="1"/>
  <c r="AP2580" i="1" s="1"/>
  <c r="AN25" i="1"/>
  <c r="AP25" i="1" s="1"/>
  <c r="AN79" i="1"/>
  <c r="AP79" i="1" s="1"/>
  <c r="AN109" i="1"/>
  <c r="AP109" i="1" s="1"/>
  <c r="AN315" i="1"/>
  <c r="AP315" i="1" s="1"/>
  <c r="AN371" i="1"/>
  <c r="AP371" i="1" s="1"/>
  <c r="AN375" i="1"/>
  <c r="AP375" i="1" s="1"/>
  <c r="AN492" i="1"/>
  <c r="AP492" i="1" s="1"/>
  <c r="AN675" i="1"/>
  <c r="AP675" i="1" s="1"/>
  <c r="AN741" i="1"/>
  <c r="AP741" i="1" s="1"/>
  <c r="AN748" i="1"/>
  <c r="AP748" i="1" s="1"/>
  <c r="AN795" i="1"/>
  <c r="AP795" i="1" s="1"/>
  <c r="AN800" i="1"/>
  <c r="AP800" i="1" s="1"/>
  <c r="AN807" i="1"/>
  <c r="AP807" i="1" s="1"/>
  <c r="AN816" i="1"/>
  <c r="AP816" i="1" s="1"/>
  <c r="AN912" i="1"/>
  <c r="AP912" i="1" s="1"/>
  <c r="AN947" i="1"/>
  <c r="AP947" i="1" s="1"/>
  <c r="AN84" i="1"/>
  <c r="AP84" i="1" s="1"/>
  <c r="AN123" i="1"/>
  <c r="AP123" i="1" s="1"/>
  <c r="AN390" i="1"/>
  <c r="AP390" i="1" s="1"/>
  <c r="AN446" i="1"/>
  <c r="AP446" i="1" s="1"/>
  <c r="AN677" i="1"/>
  <c r="AP677" i="1" s="1"/>
  <c r="AN683" i="1"/>
  <c r="AP683" i="1" s="1"/>
  <c r="AN1040" i="1"/>
  <c r="AP1040" i="1" s="1"/>
  <c r="AN47" i="1"/>
  <c r="AP47" i="1" s="1"/>
  <c r="AN296" i="1"/>
  <c r="AP296" i="1" s="1"/>
  <c r="AN505" i="1"/>
  <c r="AP505" i="1" s="1"/>
  <c r="AN736" i="1"/>
  <c r="AP736" i="1" s="1"/>
  <c r="AN826" i="1"/>
  <c r="AP826" i="1" s="1"/>
  <c r="AN842" i="1"/>
  <c r="AP842" i="1" s="1"/>
  <c r="AN949" i="1"/>
  <c r="AP949" i="1" s="1"/>
  <c r="AN1085" i="1"/>
  <c r="AP1085" i="1" s="1"/>
  <c r="AN135" i="1"/>
  <c r="AP135" i="1" s="1"/>
  <c r="AN158" i="1"/>
  <c r="AP158" i="1" s="1"/>
  <c r="AN200" i="1"/>
  <c r="AP200" i="1" s="1"/>
  <c r="AN230" i="1"/>
  <c r="AP230" i="1" s="1"/>
  <c r="AN236" i="1"/>
  <c r="AP236" i="1" s="1"/>
  <c r="AN253" i="1"/>
  <c r="AP253" i="1" s="1"/>
  <c r="AN309" i="1"/>
  <c r="AP309" i="1" s="1"/>
  <c r="AN324" i="1"/>
  <c r="AP324" i="1" s="1"/>
  <c r="AN333" i="1"/>
  <c r="AP333" i="1" s="1"/>
  <c r="AN340" i="1"/>
  <c r="AP340" i="1" s="1"/>
  <c r="AN360" i="1"/>
  <c r="AP360" i="1" s="1"/>
  <c r="AN399" i="1"/>
  <c r="AP399" i="1" s="1"/>
  <c r="AN436" i="1"/>
  <c r="AP436" i="1" s="1"/>
  <c r="AN442" i="1"/>
  <c r="AP442" i="1" s="1"/>
  <c r="AN484" i="1"/>
  <c r="AP484" i="1" s="1"/>
  <c r="AN493" i="1"/>
  <c r="AP493" i="1" s="1"/>
  <c r="AN573" i="1"/>
  <c r="AP573" i="1" s="1"/>
  <c r="AN672" i="1"/>
  <c r="AP672" i="1" s="1"/>
  <c r="AN679" i="1"/>
  <c r="AP679" i="1" s="1"/>
  <c r="AN693" i="1"/>
  <c r="AP693" i="1" s="1"/>
  <c r="AN764" i="1"/>
  <c r="AP764" i="1" s="1"/>
  <c r="AN776" i="1"/>
  <c r="AP776" i="1" s="1"/>
  <c r="AN796" i="1"/>
  <c r="AP796" i="1" s="1"/>
  <c r="AN828" i="1"/>
  <c r="AP828" i="1" s="1"/>
  <c r="AN893" i="1"/>
  <c r="AP893" i="1" s="1"/>
  <c r="AN937" i="1"/>
  <c r="AP937" i="1" s="1"/>
  <c r="AN950" i="1"/>
  <c r="AP950" i="1" s="1"/>
  <c r="AN952" i="1"/>
  <c r="AP952" i="1" s="1"/>
  <c r="AN984" i="1"/>
  <c r="AP984" i="1" s="1"/>
  <c r="AN1048" i="1"/>
  <c r="AP1048" i="1" s="1"/>
  <c r="AN1071" i="1"/>
  <c r="AP1071" i="1" s="1"/>
  <c r="AN1092" i="1"/>
  <c r="AP1092" i="1" s="1"/>
  <c r="AN1213" i="1"/>
  <c r="AP1213" i="1" s="1"/>
  <c r="AN1243" i="1"/>
  <c r="AP1243" i="1" s="1"/>
  <c r="AN1502" i="1"/>
  <c r="AP1502" i="1" s="1"/>
  <c r="AN2044" i="1"/>
  <c r="AP2044" i="1" s="1"/>
  <c r="AN2582" i="1"/>
  <c r="AP2582" i="1" s="1"/>
  <c r="AN1276" i="1"/>
  <c r="AP1276" i="1" s="1"/>
  <c r="AN1301" i="1"/>
  <c r="AP1301" i="1" s="1"/>
  <c r="AN1309" i="1"/>
  <c r="AP1309" i="1" s="1"/>
  <c r="AN1357" i="1"/>
  <c r="AP1357" i="1" s="1"/>
  <c r="AN27" i="1"/>
  <c r="AP27" i="1" s="1"/>
  <c r="AN43" i="1"/>
  <c r="AP43" i="1" s="1"/>
  <c r="AN58" i="1"/>
  <c r="AP58" i="1" s="1"/>
  <c r="AN90" i="1"/>
  <c r="AP90" i="1" s="1"/>
  <c r="AN103" i="1"/>
  <c r="AP103" i="1" s="1"/>
  <c r="AN138" i="1"/>
  <c r="AP138" i="1" s="1"/>
  <c r="AN144" i="1"/>
  <c r="AP144" i="1" s="1"/>
  <c r="AN196" i="1"/>
  <c r="AP196" i="1" s="1"/>
  <c r="AN215" i="1"/>
  <c r="AP215" i="1" s="1"/>
  <c r="AN245" i="1"/>
  <c r="AP245" i="1" s="1"/>
  <c r="AN274" i="1"/>
  <c r="AP274" i="1" s="1"/>
  <c r="AN302" i="1"/>
  <c r="AP302" i="1" s="1"/>
  <c r="AN350" i="1"/>
  <c r="AP350" i="1" s="1"/>
  <c r="AN359" i="1"/>
  <c r="AP359" i="1" s="1"/>
  <c r="AN398" i="1"/>
  <c r="AP398" i="1" s="1"/>
  <c r="AN414" i="1"/>
  <c r="AP414" i="1" s="1"/>
  <c r="AN441" i="1"/>
  <c r="AP441" i="1" s="1"/>
  <c r="AN451" i="1"/>
  <c r="AP451" i="1" s="1"/>
  <c r="AN623" i="1"/>
  <c r="AP623" i="1" s="1"/>
  <c r="AN686" i="1"/>
  <c r="AP686" i="1" s="1"/>
  <c r="AN697" i="1"/>
  <c r="AP697" i="1" s="1"/>
  <c r="AN763" i="1"/>
  <c r="AP763" i="1" s="1"/>
  <c r="AN769" i="1"/>
  <c r="AP769" i="1" s="1"/>
  <c r="AN830" i="1"/>
  <c r="AP830" i="1" s="1"/>
  <c r="AN835" i="1"/>
  <c r="AP835" i="1" s="1"/>
  <c r="AN871" i="1"/>
  <c r="AP871" i="1" s="1"/>
  <c r="AN877" i="1"/>
  <c r="AP877" i="1" s="1"/>
  <c r="AN943" i="1"/>
  <c r="AP943" i="1" s="1"/>
  <c r="AN951" i="1"/>
  <c r="AP951" i="1" s="1"/>
  <c r="AN979" i="1"/>
  <c r="AP979" i="1" s="1"/>
  <c r="AN985" i="1"/>
  <c r="AP985" i="1" s="1"/>
  <c r="AN1073" i="1"/>
  <c r="AP1073" i="1" s="1"/>
  <c r="AN1104" i="1"/>
  <c r="AP1104" i="1" s="1"/>
  <c r="AN1111" i="1"/>
  <c r="AP1111" i="1" s="1"/>
  <c r="AN1133" i="1"/>
  <c r="AP1133" i="1" s="1"/>
  <c r="AN1134" i="1"/>
  <c r="AP1134" i="1" s="1"/>
  <c r="AN1151" i="1"/>
  <c r="AP1151" i="1" s="1"/>
  <c r="AN1161" i="1"/>
  <c r="AP1161" i="1" s="1"/>
  <c r="AN1214" i="1"/>
  <c r="AP1214" i="1" s="1"/>
  <c r="AN1303" i="1"/>
  <c r="AP1303" i="1" s="1"/>
  <c r="AN1178" i="1"/>
  <c r="AP1178" i="1" s="1"/>
  <c r="AN1182" i="1"/>
  <c r="AP1182" i="1" s="1"/>
  <c r="AN1187" i="1"/>
  <c r="AP1187" i="1" s="1"/>
  <c r="AN1195" i="1"/>
  <c r="AP1195" i="1" s="1"/>
  <c r="AN1200" i="1"/>
  <c r="AP1200" i="1" s="1"/>
  <c r="AN1256" i="1"/>
  <c r="AP1256" i="1" s="1"/>
  <c r="AN1272" i="1"/>
  <c r="AP1272" i="1" s="1"/>
  <c r="AN1291" i="1"/>
  <c r="AP1291" i="1" s="1"/>
  <c r="AN1323" i="1"/>
  <c r="AP1323" i="1" s="1"/>
  <c r="AN1343" i="1"/>
  <c r="AP1343" i="1" s="1"/>
  <c r="AN1348" i="1"/>
  <c r="AP1348" i="1" s="1"/>
  <c r="AN1350" i="1"/>
  <c r="AP1350" i="1" s="1"/>
  <c r="AN1381" i="1"/>
  <c r="AP1381" i="1" s="1"/>
  <c r="AN1473" i="1"/>
  <c r="AP1473" i="1" s="1"/>
  <c r="AN1523" i="1"/>
  <c r="AP1523" i="1" s="1"/>
  <c r="AN1574" i="1"/>
  <c r="AP1574" i="1" s="1"/>
  <c r="AN1576" i="1"/>
  <c r="AP1576" i="1" s="1"/>
  <c r="AN1578" i="1"/>
  <c r="AP1578" i="1" s="1"/>
  <c r="AN1594" i="1"/>
  <c r="AP1594" i="1" s="1"/>
  <c r="AN1740" i="1"/>
  <c r="AP1740" i="1" s="1"/>
  <c r="AN1743" i="1"/>
  <c r="AP1743" i="1" s="1"/>
  <c r="AN1094" i="1"/>
  <c r="AP1094" i="1" s="1"/>
  <c r="AN1155" i="1"/>
  <c r="AP1155" i="1" s="1"/>
  <c r="AN1190" i="1"/>
  <c r="AP1190" i="1" s="1"/>
  <c r="AN1203" i="1"/>
  <c r="AP1203" i="1" s="1"/>
  <c r="AN1217" i="1"/>
  <c r="AP1217" i="1" s="1"/>
  <c r="AN1227" i="1"/>
  <c r="AP1227" i="1" s="1"/>
  <c r="AN1239" i="1"/>
  <c r="AP1239" i="1" s="1"/>
  <c r="AN1287" i="1"/>
  <c r="AP1287" i="1" s="1"/>
  <c r="AN1322" i="1"/>
  <c r="AP1322" i="1" s="1"/>
  <c r="AN1329" i="1"/>
  <c r="AP1329" i="1" s="1"/>
  <c r="AN1342" i="1"/>
  <c r="AP1342" i="1" s="1"/>
  <c r="AN1365" i="1"/>
  <c r="AP1365" i="1" s="1"/>
  <c r="AN1396" i="1"/>
  <c r="AP1396" i="1" s="1"/>
  <c r="AN1434" i="1"/>
  <c r="AP1434" i="1" s="1"/>
  <c r="AN1503" i="1"/>
  <c r="AP1503" i="1" s="1"/>
  <c r="AN1504" i="1"/>
  <c r="AP1504" i="1" s="1"/>
  <c r="AN1505" i="1"/>
  <c r="AP1505" i="1" s="1"/>
  <c r="AN1663" i="1"/>
  <c r="AP1663" i="1" s="1"/>
  <c r="AN1926" i="1"/>
  <c r="AP1926" i="1" s="1"/>
  <c r="AN1937" i="1"/>
  <c r="AP1937" i="1" s="1"/>
  <c r="AN2122" i="1"/>
  <c r="AP2122" i="1" s="1"/>
  <c r="AN2253" i="1"/>
  <c r="AP2253" i="1" s="1"/>
  <c r="AN1310" i="1"/>
  <c r="AP1310" i="1" s="1"/>
  <c r="AN1311" i="1"/>
  <c r="AP1311" i="1" s="1"/>
  <c r="AN1312" i="1"/>
  <c r="AP1312" i="1" s="1"/>
  <c r="AN1316" i="1"/>
  <c r="AP1316" i="1" s="1"/>
  <c r="AN1344" i="1"/>
  <c r="AP1344" i="1" s="1"/>
  <c r="AN1347" i="1"/>
  <c r="AP1347" i="1" s="1"/>
  <c r="AN1351" i="1"/>
  <c r="AP1351" i="1" s="1"/>
  <c r="AN1398" i="1"/>
  <c r="AP1398" i="1" s="1"/>
  <c r="AN1436" i="1"/>
  <c r="AP1436" i="1" s="1"/>
  <c r="AN1440" i="1"/>
  <c r="AP1440" i="1" s="1"/>
  <c r="AN1441" i="1"/>
  <c r="AP1441" i="1" s="1"/>
  <c r="AN1444" i="1"/>
  <c r="AP1444" i="1" s="1"/>
  <c r="AN1468" i="1"/>
  <c r="AP1468" i="1" s="1"/>
  <c r="AN1538" i="1"/>
  <c r="AP1538" i="1" s="1"/>
  <c r="AN1553" i="1"/>
  <c r="AP1553" i="1" s="1"/>
  <c r="AN1575" i="1"/>
  <c r="AP1575" i="1" s="1"/>
  <c r="AN1577" i="1"/>
  <c r="AP1577" i="1" s="1"/>
  <c r="AN1621" i="1"/>
  <c r="AP1621" i="1" s="1"/>
  <c r="AN1622" i="1"/>
  <c r="AP1622" i="1" s="1"/>
  <c r="AN1702" i="1"/>
  <c r="AP1702" i="1" s="1"/>
  <c r="AN1713" i="1"/>
  <c r="AP1713" i="1" s="1"/>
  <c r="AN1715" i="1"/>
  <c r="AP1715" i="1" s="1"/>
  <c r="AN1732" i="1"/>
  <c r="AP1732" i="1" s="1"/>
  <c r="AN1800" i="1"/>
  <c r="AP1800" i="1" s="1"/>
  <c r="AN1803" i="1"/>
  <c r="AP1803" i="1" s="1"/>
  <c r="AN1826" i="1"/>
  <c r="AP1826" i="1" s="1"/>
  <c r="AN1838" i="1"/>
  <c r="AP1838" i="1" s="1"/>
  <c r="AN1843" i="1"/>
  <c r="AP1843" i="1" s="1"/>
  <c r="AN1847" i="1"/>
  <c r="AP1847" i="1" s="1"/>
  <c r="AN1850" i="1"/>
  <c r="AP1850" i="1" s="1"/>
  <c r="AN1898" i="1"/>
  <c r="AP1898" i="1" s="1"/>
  <c r="AN1903" i="1"/>
  <c r="AP1903" i="1" s="1"/>
  <c r="AN1934" i="1"/>
  <c r="AP1934" i="1" s="1"/>
  <c r="AN1957" i="1"/>
  <c r="AP1957" i="1" s="1"/>
  <c r="AN1994" i="1"/>
  <c r="AP1994" i="1" s="1"/>
  <c r="AN2012" i="1"/>
  <c r="AP2012" i="1" s="1"/>
  <c r="AN2015" i="1"/>
  <c r="AP2015" i="1" s="1"/>
  <c r="AN2069" i="1"/>
  <c r="AP2069" i="1" s="1"/>
  <c r="AN2105" i="1"/>
  <c r="AP2105" i="1" s="1"/>
  <c r="AN2126" i="1"/>
  <c r="AP2126" i="1" s="1"/>
  <c r="AN2137" i="1"/>
  <c r="AP2137" i="1" s="1"/>
  <c r="AN2165" i="1"/>
  <c r="AP2165" i="1" s="1"/>
  <c r="AN2265" i="1"/>
  <c r="AP2265" i="1" s="1"/>
  <c r="AN2417" i="1"/>
  <c r="AP2417" i="1" s="1"/>
  <c r="AN2568" i="1"/>
  <c r="AP2568" i="1" s="1"/>
  <c r="AN1376" i="1"/>
  <c r="AP1376" i="1" s="1"/>
  <c r="AN1394" i="1"/>
  <c r="AP1394" i="1" s="1"/>
  <c r="AN1400" i="1"/>
  <c r="AP1400" i="1" s="1"/>
  <c r="AN1409" i="1"/>
  <c r="AP1409" i="1" s="1"/>
  <c r="AN1426" i="1"/>
  <c r="AP1426" i="1" s="1"/>
  <c r="AN1435" i="1"/>
  <c r="AP1435" i="1" s="1"/>
  <c r="AN1450" i="1"/>
  <c r="AP1450" i="1" s="1"/>
  <c r="AN1459" i="1"/>
  <c r="AP1459" i="1" s="1"/>
  <c r="AN1488" i="1"/>
  <c r="AP1488" i="1" s="1"/>
  <c r="AN1499" i="1"/>
  <c r="AP1499" i="1" s="1"/>
  <c r="AN1537" i="1"/>
  <c r="AP1537" i="1" s="1"/>
  <c r="AN1539" i="1"/>
  <c r="AP1539" i="1" s="1"/>
  <c r="AN1552" i="1"/>
  <c r="AP1552" i="1" s="1"/>
  <c r="AN1565" i="1"/>
  <c r="AP1565" i="1" s="1"/>
  <c r="AN1579" i="1"/>
  <c r="AP1579" i="1" s="1"/>
  <c r="AN1580" i="1"/>
  <c r="AP1580" i="1" s="1"/>
  <c r="AN1605" i="1"/>
  <c r="AP1605" i="1" s="1"/>
  <c r="AN1610" i="1"/>
  <c r="AP1610" i="1" s="1"/>
  <c r="AN1627" i="1"/>
  <c r="AP1627" i="1" s="1"/>
  <c r="AN1672" i="1"/>
  <c r="AP1672" i="1" s="1"/>
  <c r="AN1689" i="1"/>
  <c r="AP1689" i="1" s="1"/>
  <c r="AN1714" i="1"/>
  <c r="AP1714" i="1" s="1"/>
  <c r="AN1718" i="1"/>
  <c r="AP1718" i="1" s="1"/>
  <c r="AN1721" i="1"/>
  <c r="AP1721" i="1" s="1"/>
  <c r="AN1727" i="1"/>
  <c r="AP1727" i="1" s="1"/>
  <c r="AN1748" i="1"/>
  <c r="AP1748" i="1" s="1"/>
  <c r="AN1752" i="1"/>
  <c r="AP1752" i="1" s="1"/>
  <c r="AN1770" i="1"/>
  <c r="AP1770" i="1" s="1"/>
  <c r="AN1773" i="1"/>
  <c r="AP1773" i="1" s="1"/>
  <c r="AN1794" i="1"/>
  <c r="AP1794" i="1" s="1"/>
  <c r="AN1806" i="1"/>
  <c r="AP1806" i="1" s="1"/>
  <c r="AN1807" i="1"/>
  <c r="AP1807" i="1" s="1"/>
  <c r="AN1809" i="1"/>
  <c r="AP1809" i="1" s="1"/>
  <c r="AN1835" i="1"/>
  <c r="AP1835" i="1" s="1"/>
  <c r="AN1849" i="1"/>
  <c r="AP1849" i="1" s="1"/>
  <c r="AN1863" i="1"/>
  <c r="AP1863" i="1" s="1"/>
  <c r="AN1886" i="1"/>
  <c r="AP1886" i="1" s="1"/>
  <c r="AN1900" i="1"/>
  <c r="AP1900" i="1" s="1"/>
  <c r="AN1902" i="1"/>
  <c r="AP1902" i="1" s="1"/>
  <c r="AN1908" i="1"/>
  <c r="AP1908" i="1" s="1"/>
  <c r="AN1935" i="1"/>
  <c r="AP1935" i="1" s="1"/>
  <c r="AN1963" i="1"/>
  <c r="AP1963" i="1" s="1"/>
  <c r="AN2014" i="1"/>
  <c r="AP2014" i="1" s="1"/>
  <c r="AN2017" i="1"/>
  <c r="AP2017" i="1" s="1"/>
  <c r="AN2125" i="1"/>
  <c r="AP2125" i="1" s="1"/>
  <c r="AN2132" i="1"/>
  <c r="AP2132" i="1" s="1"/>
  <c r="AN2268" i="1"/>
  <c r="AP2268" i="1" s="1"/>
  <c r="AN2529" i="1"/>
  <c r="AP2529" i="1" s="1"/>
  <c r="AN2241" i="1"/>
  <c r="AP2241" i="1" s="1"/>
  <c r="AN2386" i="1"/>
  <c r="AP2386" i="1" s="1"/>
  <c r="AN2427" i="1"/>
  <c r="AP2427" i="1" s="1"/>
  <c r="AN2466" i="1"/>
  <c r="AP2466" i="1" s="1"/>
  <c r="AN2483" i="1"/>
  <c r="AP2483" i="1" s="1"/>
  <c r="AN1989" i="1"/>
  <c r="AP1989" i="1" s="1"/>
  <c r="AN1999" i="1"/>
  <c r="AP1999" i="1" s="1"/>
  <c r="AN2033" i="1"/>
  <c r="AP2033" i="1" s="1"/>
  <c r="AN2086" i="1"/>
  <c r="AP2086" i="1" s="1"/>
  <c r="AN2114" i="1"/>
  <c r="AP2114" i="1" s="1"/>
  <c r="AN2117" i="1"/>
  <c r="AP2117" i="1" s="1"/>
  <c r="AN2124" i="1"/>
  <c r="AP2124" i="1" s="1"/>
  <c r="AN2138" i="1"/>
  <c r="AP2138" i="1" s="1"/>
  <c r="AN2152" i="1"/>
  <c r="AP2152" i="1" s="1"/>
  <c r="AN2191" i="1"/>
  <c r="AP2191" i="1" s="1"/>
  <c r="AN2193" i="1"/>
  <c r="AP2193" i="1" s="1"/>
  <c r="AN2232" i="1"/>
  <c r="AP2232" i="1" s="1"/>
  <c r="AN2255" i="1"/>
  <c r="AP2255" i="1" s="1"/>
  <c r="AN2286" i="1"/>
  <c r="AP2286" i="1" s="1"/>
  <c r="AN2355" i="1"/>
  <c r="AP2355" i="1" s="1"/>
  <c r="AN2425" i="1"/>
  <c r="AP2425" i="1" s="1"/>
  <c r="AN2475" i="1"/>
  <c r="AP2475" i="1" s="1"/>
  <c r="AN2485" i="1"/>
  <c r="AP2485" i="1" s="1"/>
  <c r="AN2509" i="1"/>
  <c r="AP2509" i="1" s="1"/>
  <c r="AN2533" i="1"/>
  <c r="AP2533" i="1" s="1"/>
  <c r="AN2557" i="1"/>
  <c r="AP2557" i="1" s="1"/>
  <c r="AN2578" i="1"/>
  <c r="AP2578" i="1" s="1"/>
  <c r="AN2154" i="1"/>
  <c r="AP2154" i="1" s="1"/>
  <c r="AN2157" i="1"/>
  <c r="AP2157" i="1" s="1"/>
  <c r="AN2167" i="1"/>
  <c r="AP2167" i="1" s="1"/>
  <c r="AN2177" i="1"/>
  <c r="AP2177" i="1" s="1"/>
  <c r="AN2207" i="1"/>
  <c r="AP2207" i="1" s="1"/>
  <c r="AN2222" i="1"/>
  <c r="AP2222" i="1" s="1"/>
  <c r="AN2266" i="1"/>
  <c r="AP2266" i="1" s="1"/>
  <c r="AN2278" i="1"/>
  <c r="AP2278" i="1" s="1"/>
  <c r="AN2348" i="1"/>
  <c r="AP2348" i="1" s="1"/>
  <c r="AN2388" i="1"/>
  <c r="AP2388" i="1" s="1"/>
  <c r="AN2396" i="1"/>
  <c r="AP2396" i="1" s="1"/>
  <c r="AN2408" i="1"/>
  <c r="AP2408" i="1" s="1"/>
  <c r="AN2432" i="1"/>
  <c r="AP2432" i="1" s="1"/>
  <c r="AN2487" i="1"/>
  <c r="AP2487" i="1" s="1"/>
  <c r="AN2493" i="1"/>
  <c r="AP2493" i="1" s="1"/>
  <c r="AN2530" i="1"/>
  <c r="AP2530" i="1" s="1"/>
  <c r="AN2163" i="1"/>
  <c r="AP2163" i="1" s="1"/>
  <c r="AN2166" i="1"/>
  <c r="AP2166" i="1" s="1"/>
  <c r="AN2310" i="1"/>
  <c r="AP2310" i="1" s="1"/>
  <c r="AN2323" i="1"/>
  <c r="AP2323" i="1" s="1"/>
  <c r="AN2407" i="1"/>
  <c r="AP2407" i="1" s="1"/>
  <c r="AN2419" i="1"/>
  <c r="AP2419" i="1" s="1"/>
  <c r="AN2423" i="1"/>
  <c r="AP2423" i="1" s="1"/>
  <c r="AN2489" i="1"/>
  <c r="AP2489" i="1" s="1"/>
  <c r="AN2539" i="1"/>
  <c r="AP2539" i="1" s="1"/>
  <c r="AN614" i="1"/>
  <c r="AP614" i="1" s="1"/>
  <c r="AN110" i="1"/>
  <c r="AP110" i="1" s="1"/>
  <c r="AN134" i="1"/>
  <c r="AP134" i="1" s="1"/>
  <c r="AN173" i="1"/>
  <c r="AP173" i="1" s="1"/>
  <c r="AN189" i="1"/>
  <c r="AP189" i="1" s="1"/>
  <c r="AN193" i="1"/>
  <c r="AP193" i="1" s="1"/>
  <c r="AN204" i="1"/>
  <c r="AP204" i="1" s="1"/>
  <c r="AN214" i="1"/>
  <c r="AP214" i="1" s="1"/>
  <c r="AN220" i="1"/>
  <c r="AP220" i="1" s="1"/>
  <c r="AN223" i="1"/>
  <c r="AP223" i="1" s="1"/>
  <c r="AN225" i="1"/>
  <c r="AP225" i="1" s="1"/>
  <c r="AN226" i="1"/>
  <c r="AP226" i="1" s="1"/>
  <c r="AN252" i="1"/>
  <c r="AP252" i="1" s="1"/>
  <c r="AN266" i="1"/>
  <c r="AP266" i="1" s="1"/>
  <c r="AN270" i="1"/>
  <c r="AP270" i="1" s="1"/>
  <c r="AN290" i="1"/>
  <c r="AP290" i="1" s="1"/>
  <c r="AN293" i="1"/>
  <c r="AP293" i="1" s="1"/>
  <c r="AN334" i="1"/>
  <c r="AP334" i="1" s="1"/>
  <c r="AN338" i="1"/>
  <c r="AP338" i="1" s="1"/>
  <c r="AN339" i="1"/>
  <c r="AP339" i="1" s="1"/>
  <c r="AN353" i="1"/>
  <c r="AP353" i="1" s="1"/>
  <c r="AN354" i="1"/>
  <c r="AP354" i="1" s="1"/>
  <c r="AN368" i="1"/>
  <c r="AP368" i="1" s="1"/>
  <c r="AN387" i="1"/>
  <c r="AP387" i="1" s="1"/>
  <c r="AN405" i="1"/>
  <c r="AP405" i="1" s="1"/>
  <c r="AN425" i="1"/>
  <c r="AP425" i="1" s="1"/>
  <c r="AN429" i="1"/>
  <c r="AP429" i="1" s="1"/>
  <c r="AN432" i="1"/>
  <c r="AP432" i="1" s="1"/>
  <c r="AN483" i="1"/>
  <c r="AP483" i="1" s="1"/>
  <c r="AN559" i="1"/>
  <c r="AP559" i="1" s="1"/>
  <c r="AN569" i="1"/>
  <c r="AP569" i="1" s="1"/>
  <c r="AN575" i="1"/>
  <c r="AP575" i="1" s="1"/>
  <c r="AN579" i="1"/>
  <c r="AP579" i="1" s="1"/>
  <c r="AN613" i="1"/>
  <c r="AP613" i="1" s="1"/>
  <c r="AN629" i="1"/>
  <c r="AP629" i="1" s="1"/>
  <c r="AN632" i="1"/>
  <c r="AP632" i="1" s="1"/>
  <c r="AN641" i="1"/>
  <c r="AP641" i="1" s="1"/>
  <c r="AN644" i="1"/>
  <c r="AP644" i="1" s="1"/>
  <c r="AN665" i="1"/>
  <c r="AP665" i="1" s="1"/>
  <c r="AN669" i="1"/>
  <c r="AP669" i="1" s="1"/>
  <c r="AN676" i="1"/>
  <c r="AP676" i="1" s="1"/>
  <c r="AN685" i="1"/>
  <c r="AP685" i="1" s="1"/>
  <c r="AN738" i="1"/>
  <c r="AP738" i="1" s="1"/>
  <c r="AN787" i="1"/>
  <c r="AP787" i="1" s="1"/>
  <c r="AN825" i="1"/>
  <c r="AP825" i="1" s="1"/>
  <c r="AN857" i="1"/>
  <c r="AP857" i="1" s="1"/>
  <c r="AN861" i="1"/>
  <c r="AP861" i="1" s="1"/>
  <c r="AN883" i="1"/>
  <c r="AP883" i="1" s="1"/>
  <c r="AN972" i="1"/>
  <c r="AP972" i="1" s="1"/>
  <c r="AN1043" i="1"/>
  <c r="AP1043" i="1" s="1"/>
  <c r="AN1113" i="1"/>
  <c r="AP1113" i="1" s="1"/>
  <c r="AN1147" i="1"/>
  <c r="AP1147" i="1" s="1"/>
  <c r="AN1199" i="1"/>
  <c r="AP1199" i="1" s="1"/>
  <c r="AN1226" i="1"/>
  <c r="AP1226" i="1" s="1"/>
  <c r="AN1230" i="1"/>
  <c r="AP1230" i="1" s="1"/>
  <c r="AN1439" i="1"/>
  <c r="AP1439" i="1" s="1"/>
  <c r="AN1481" i="1"/>
  <c r="AP1481" i="1" s="1"/>
  <c r="AN1628" i="1"/>
  <c r="AP1628" i="1" s="1"/>
  <c r="AN76" i="1"/>
  <c r="AP76" i="1" s="1"/>
  <c r="AN77" i="1"/>
  <c r="AP77" i="1" s="1"/>
  <c r="AN78" i="1"/>
  <c r="AP78" i="1" s="1"/>
  <c r="AN41" i="1"/>
  <c r="AP41" i="1" s="1"/>
  <c r="AN55" i="1"/>
  <c r="AP55" i="1" s="1"/>
  <c r="AN56" i="1"/>
  <c r="AP56" i="1" s="1"/>
  <c r="AN72" i="1"/>
  <c r="AP72" i="1" s="1"/>
  <c r="AN74" i="1"/>
  <c r="AP74" i="1" s="1"/>
  <c r="AN102" i="1"/>
  <c r="AP102" i="1" s="1"/>
  <c r="AN125" i="1"/>
  <c r="AN145" i="1"/>
  <c r="AP145" i="1" s="1"/>
  <c r="AN150" i="1"/>
  <c r="AP150" i="1" s="1"/>
  <c r="AN167" i="1"/>
  <c r="AP167" i="1" s="1"/>
  <c r="AN172" i="1"/>
  <c r="AP172" i="1" s="1"/>
  <c r="AN238" i="1"/>
  <c r="AP238" i="1" s="1"/>
  <c r="AN268" i="1"/>
  <c r="AP268" i="1" s="1"/>
  <c r="AN291" i="1"/>
  <c r="AP291" i="1" s="1"/>
  <c r="AN386" i="1"/>
  <c r="AP386" i="1" s="1"/>
  <c r="AN395" i="1"/>
  <c r="AP395" i="1" s="1"/>
  <c r="AN431" i="1"/>
  <c r="AP431" i="1" s="1"/>
  <c r="AN568" i="1"/>
  <c r="AP568" i="1" s="1"/>
  <c r="AN583" i="1"/>
  <c r="AP583" i="1" s="1"/>
  <c r="AN587" i="1"/>
  <c r="AP587" i="1" s="1"/>
  <c r="AN631" i="1"/>
  <c r="AP631" i="1" s="1"/>
  <c r="AN648" i="1"/>
  <c r="AP648" i="1" s="1"/>
  <c r="AN652" i="1"/>
  <c r="AP652" i="1" s="1"/>
  <c r="AN1066" i="1"/>
  <c r="AP1066" i="1" s="1"/>
  <c r="AN1067" i="1"/>
  <c r="AP1067" i="1" s="1"/>
  <c r="AN21" i="1"/>
  <c r="AP21" i="1" s="1"/>
  <c r="AN24" i="1"/>
  <c r="AP24" i="1" s="1"/>
  <c r="AN40" i="1"/>
  <c r="AP40" i="1" s="1"/>
  <c r="AN85" i="1"/>
  <c r="AP85" i="1" s="1"/>
  <c r="AN88" i="1"/>
  <c r="AP88" i="1" s="1"/>
  <c r="AN119" i="1"/>
  <c r="AP119" i="1" s="1"/>
  <c r="AN140" i="1"/>
  <c r="AP140" i="1" s="1"/>
  <c r="AN146" i="1"/>
  <c r="AP146" i="1" s="1"/>
  <c r="AN166" i="1"/>
  <c r="AP166" i="1" s="1"/>
  <c r="AN169" i="1"/>
  <c r="AP169" i="1" s="1"/>
  <c r="AN170" i="1"/>
  <c r="AP170" i="1" s="1"/>
  <c r="AN174" i="1"/>
  <c r="AP174" i="1" s="1"/>
  <c r="AN175" i="1"/>
  <c r="AP175" i="1" s="1"/>
  <c r="AN201" i="1"/>
  <c r="AP201" i="1" s="1"/>
  <c r="AN229" i="1"/>
  <c r="AP229" i="1" s="1"/>
  <c r="AN254" i="1"/>
  <c r="AP254" i="1" s="1"/>
  <c r="AN261" i="1"/>
  <c r="AP261" i="1" s="1"/>
  <c r="AN262" i="1"/>
  <c r="AP262" i="1" s="1"/>
  <c r="AN288" i="1"/>
  <c r="AP288" i="1" s="1"/>
  <c r="AN318" i="1"/>
  <c r="AP318" i="1" s="1"/>
  <c r="AN319" i="1"/>
  <c r="AP319" i="1" s="1"/>
  <c r="AN320" i="1"/>
  <c r="AP320" i="1" s="1"/>
  <c r="AN343" i="1"/>
  <c r="AP343" i="1" s="1"/>
  <c r="AN369" i="1"/>
  <c r="AP369" i="1" s="1"/>
  <c r="AN373" i="1"/>
  <c r="AP373" i="1" s="1"/>
  <c r="AN379" i="1"/>
  <c r="AP379" i="1" s="1"/>
  <c r="AN391" i="1"/>
  <c r="AP391" i="1" s="1"/>
  <c r="AN400" i="1"/>
  <c r="AP400" i="1" s="1"/>
  <c r="AN426" i="1"/>
  <c r="AP426" i="1" s="1"/>
  <c r="AN567" i="1"/>
  <c r="AP567" i="1" s="1"/>
  <c r="AN591" i="1"/>
  <c r="AP591" i="1" s="1"/>
  <c r="AN611" i="1"/>
  <c r="AP611" i="1" s="1"/>
  <c r="AN627" i="1"/>
  <c r="AP627" i="1" s="1"/>
  <c r="AN656" i="1"/>
  <c r="AP656" i="1" s="1"/>
  <c r="AN668" i="1"/>
  <c r="AP668" i="1" s="1"/>
  <c r="AN788" i="1"/>
  <c r="AP788" i="1" s="1"/>
  <c r="AN1215" i="1"/>
  <c r="AP1215" i="1" s="1"/>
  <c r="AN1324" i="1"/>
  <c r="AP1324" i="1" s="1"/>
  <c r="AN11" i="1"/>
  <c r="AP11" i="1" s="1"/>
  <c r="AN31" i="1"/>
  <c r="AP31" i="1" s="1"/>
  <c r="AN37" i="1"/>
  <c r="AP37" i="1" s="1"/>
  <c r="AN49" i="1"/>
  <c r="AP49" i="1" s="1"/>
  <c r="AN53" i="1"/>
  <c r="AP53" i="1" s="1"/>
  <c r="AN59" i="1"/>
  <c r="AP59" i="1" s="1"/>
  <c r="AN83" i="1"/>
  <c r="AP83" i="1" s="1"/>
  <c r="AN106" i="1"/>
  <c r="AP106" i="1" s="1"/>
  <c r="AN132" i="1"/>
  <c r="AP132" i="1" s="1"/>
  <c r="AN160" i="1"/>
  <c r="AP160" i="1" s="1"/>
  <c r="AN163" i="1"/>
  <c r="AP163" i="1" s="1"/>
  <c r="AN179" i="1"/>
  <c r="AP179" i="1" s="1"/>
  <c r="AN190" i="1"/>
  <c r="AP190" i="1" s="1"/>
  <c r="AN217" i="1"/>
  <c r="AP217" i="1" s="1"/>
  <c r="AN233" i="1"/>
  <c r="AP233" i="1" s="1"/>
  <c r="AN234" i="1"/>
  <c r="AP234" i="1" s="1"/>
  <c r="AN273" i="1"/>
  <c r="AP273" i="1" s="1"/>
  <c r="AN311" i="1"/>
  <c r="AP311" i="1" s="1"/>
  <c r="AN317" i="1"/>
  <c r="AP317" i="1" s="1"/>
  <c r="AN358" i="1"/>
  <c r="AP358" i="1" s="1"/>
  <c r="AN372" i="1"/>
  <c r="AP372" i="1" s="1"/>
  <c r="AN384" i="1"/>
  <c r="AP384" i="1" s="1"/>
  <c r="AN385" i="1"/>
  <c r="AP385" i="1" s="1"/>
  <c r="AN404" i="1"/>
  <c r="AP404" i="1" s="1"/>
  <c r="AN447" i="1"/>
  <c r="AP447" i="1" s="1"/>
  <c r="AN457" i="1"/>
  <c r="AP457" i="1" s="1"/>
  <c r="AN461" i="1"/>
  <c r="AP461" i="1" s="1"/>
  <c r="AN476" i="1"/>
  <c r="AP476" i="1" s="1"/>
  <c r="AN560" i="1"/>
  <c r="AP560" i="1" s="1"/>
  <c r="AN565" i="1"/>
  <c r="AP565" i="1" s="1"/>
  <c r="AN599" i="1"/>
  <c r="AP599" i="1" s="1"/>
  <c r="AN603" i="1"/>
  <c r="AP603" i="1" s="1"/>
  <c r="AN604" i="1"/>
  <c r="AP604" i="1" s="1"/>
  <c r="AN617" i="1"/>
  <c r="AP617" i="1" s="1"/>
  <c r="AN640" i="1"/>
  <c r="AP640" i="1" s="1"/>
  <c r="AN936" i="1"/>
  <c r="AP936" i="1" s="1"/>
  <c r="AN1369" i="1"/>
  <c r="AP1369" i="1" s="1"/>
  <c r="AN1377" i="1"/>
  <c r="AP1377" i="1" s="1"/>
  <c r="AN1590" i="1"/>
  <c r="AP1590" i="1" s="1"/>
  <c r="AN1599" i="1"/>
  <c r="AP1599" i="1" s="1"/>
  <c r="AN1739" i="1"/>
  <c r="AP1739" i="1" s="1"/>
  <c r="AN709" i="1"/>
  <c r="AP709" i="1" s="1"/>
  <c r="AN717" i="1"/>
  <c r="AP717" i="1" s="1"/>
  <c r="AN725" i="1"/>
  <c r="AP725" i="1" s="1"/>
  <c r="AN737" i="1"/>
  <c r="AP737" i="1" s="1"/>
  <c r="AN746" i="1"/>
  <c r="AP746" i="1" s="1"/>
  <c r="AN749" i="1"/>
  <c r="AP749" i="1" s="1"/>
  <c r="AN753" i="1"/>
  <c r="AP753" i="1" s="1"/>
  <c r="AN767" i="1"/>
  <c r="AP767" i="1" s="1"/>
  <c r="AN771" i="1"/>
  <c r="AP771" i="1" s="1"/>
  <c r="AN780" i="1"/>
  <c r="AP780" i="1" s="1"/>
  <c r="AN790" i="1"/>
  <c r="AP790" i="1" s="1"/>
  <c r="AN808" i="1"/>
  <c r="AP808" i="1" s="1"/>
  <c r="AN814" i="1"/>
  <c r="AP814" i="1" s="1"/>
  <c r="AN818" i="1"/>
  <c r="AP818" i="1" s="1"/>
  <c r="AN820" i="1"/>
  <c r="AP820" i="1" s="1"/>
  <c r="AN827" i="1"/>
  <c r="AP827" i="1" s="1"/>
  <c r="AN831" i="1"/>
  <c r="AP831" i="1" s="1"/>
  <c r="AN839" i="1"/>
  <c r="AP839" i="1" s="1"/>
  <c r="AN841" i="1"/>
  <c r="AP841" i="1" s="1"/>
  <c r="AN855" i="1"/>
  <c r="AP855" i="1" s="1"/>
  <c r="AN859" i="1"/>
  <c r="AP859" i="1" s="1"/>
  <c r="AN860" i="1"/>
  <c r="AP860" i="1" s="1"/>
  <c r="AN894" i="1"/>
  <c r="AP894" i="1" s="1"/>
  <c r="AN904" i="1"/>
  <c r="AP904" i="1" s="1"/>
  <c r="AN911" i="1"/>
  <c r="AP911" i="1" s="1"/>
  <c r="AN921" i="1"/>
  <c r="AP921" i="1" s="1"/>
  <c r="AN942" i="1"/>
  <c r="AP942" i="1" s="1"/>
  <c r="AN945" i="1"/>
  <c r="AP945" i="1" s="1"/>
  <c r="AN955" i="1"/>
  <c r="AP955" i="1" s="1"/>
  <c r="AN957" i="1"/>
  <c r="AP957" i="1" s="1"/>
  <c r="AN968" i="1"/>
  <c r="AP968" i="1" s="1"/>
  <c r="AN991" i="1"/>
  <c r="AP991" i="1" s="1"/>
  <c r="AN995" i="1"/>
  <c r="AP995" i="1" s="1"/>
  <c r="AN1039" i="1"/>
  <c r="AP1039" i="1" s="1"/>
  <c r="AN1052" i="1"/>
  <c r="AP1052" i="1" s="1"/>
  <c r="AN1084" i="1"/>
  <c r="AP1084" i="1" s="1"/>
  <c r="AN1089" i="1"/>
  <c r="AP1089" i="1" s="1"/>
  <c r="AN1095" i="1"/>
  <c r="AP1095" i="1" s="1"/>
  <c r="AN1096" i="1"/>
  <c r="AP1096" i="1" s="1"/>
  <c r="AN1101" i="1"/>
  <c r="AP1101" i="1" s="1"/>
  <c r="AN1116" i="1"/>
  <c r="AP1116" i="1" s="1"/>
  <c r="AN1130" i="1"/>
  <c r="AP1130" i="1" s="1"/>
  <c r="AN1152" i="1"/>
  <c r="AP1152" i="1" s="1"/>
  <c r="AN1154" i="1"/>
  <c r="AP1154" i="1" s="1"/>
  <c r="AN1158" i="1"/>
  <c r="AP1158" i="1" s="1"/>
  <c r="AN1163" i="1"/>
  <c r="AP1163" i="1" s="1"/>
  <c r="AN1168" i="1"/>
  <c r="AP1168" i="1" s="1"/>
  <c r="AN1169" i="1"/>
  <c r="AP1169" i="1" s="1"/>
  <c r="AN1179" i="1"/>
  <c r="AP1179" i="1" s="1"/>
  <c r="AN1224" i="1"/>
  <c r="AP1224" i="1" s="1"/>
  <c r="AN1236" i="1"/>
  <c r="AP1236" i="1" s="1"/>
  <c r="AN1241" i="1"/>
  <c r="AP1241" i="1" s="1"/>
  <c r="AN1242" i="1"/>
  <c r="AP1242" i="1" s="1"/>
  <c r="AN1269" i="1"/>
  <c r="AP1269" i="1" s="1"/>
  <c r="AN1270" i="1"/>
  <c r="AP1270" i="1" s="1"/>
  <c r="AN1277" i="1"/>
  <c r="AP1277" i="1" s="1"/>
  <c r="AN1278" i="1"/>
  <c r="AP1278" i="1" s="1"/>
  <c r="AN1292" i="1"/>
  <c r="AP1292" i="1" s="1"/>
  <c r="AN1293" i="1"/>
  <c r="AP1293" i="1" s="1"/>
  <c r="AN1294" i="1"/>
  <c r="AP1294" i="1" s="1"/>
  <c r="AN1295" i="1"/>
  <c r="AP1295" i="1" s="1"/>
  <c r="AN1296" i="1"/>
  <c r="AP1296" i="1" s="1"/>
  <c r="AN1297" i="1"/>
  <c r="AP1297" i="1" s="1"/>
  <c r="AN1304" i="1"/>
  <c r="AP1304" i="1" s="1"/>
  <c r="AN1317" i="1"/>
  <c r="AP1317" i="1" s="1"/>
  <c r="AN1327" i="1"/>
  <c r="AP1327" i="1" s="1"/>
  <c r="AN1331" i="1"/>
  <c r="AP1331" i="1" s="1"/>
  <c r="AN1335" i="1"/>
  <c r="AP1335" i="1" s="1"/>
  <c r="AN1346" i="1"/>
  <c r="AP1346" i="1" s="1"/>
  <c r="AN1360" i="1"/>
  <c r="AP1360" i="1" s="1"/>
  <c r="AN1361" i="1"/>
  <c r="AP1361" i="1" s="1"/>
  <c r="AN1363" i="1"/>
  <c r="AP1363" i="1" s="1"/>
  <c r="AN1367" i="1"/>
  <c r="AP1367" i="1" s="1"/>
  <c r="AN1373" i="1"/>
  <c r="AP1373" i="1" s="1"/>
  <c r="AN1383" i="1"/>
  <c r="AP1383" i="1" s="1"/>
  <c r="AN1408" i="1"/>
  <c r="AP1408" i="1" s="1"/>
  <c r="AN1412" i="1"/>
  <c r="AP1412" i="1" s="1"/>
  <c r="AN1417" i="1"/>
  <c r="AP1417" i="1" s="1"/>
  <c r="AN1418" i="1"/>
  <c r="AP1418" i="1" s="1"/>
  <c r="AN1419" i="1"/>
  <c r="AP1419" i="1" s="1"/>
  <c r="AN1421" i="1"/>
  <c r="AP1421" i="1" s="1"/>
  <c r="AN1422" i="1"/>
  <c r="AP1422" i="1" s="1"/>
  <c r="AN1430" i="1"/>
  <c r="AP1430" i="1" s="1"/>
  <c r="AN1431" i="1"/>
  <c r="AP1431" i="1" s="1"/>
  <c r="AN1453" i="1"/>
  <c r="AP1453" i="1" s="1"/>
  <c r="AN1460" i="1"/>
  <c r="AP1460" i="1" s="1"/>
  <c r="AN1477" i="1"/>
  <c r="AP1477" i="1" s="1"/>
  <c r="AN1478" i="1"/>
  <c r="AP1478" i="1" s="1"/>
  <c r="AN1510" i="1"/>
  <c r="AP1510" i="1" s="1"/>
  <c r="AN1524" i="1"/>
  <c r="AP1524" i="1" s="1"/>
  <c r="AN1541" i="1"/>
  <c r="AP1541" i="1" s="1"/>
  <c r="AN1542" i="1"/>
  <c r="AP1542" i="1" s="1"/>
  <c r="AN1544" i="1"/>
  <c r="AP1544" i="1" s="1"/>
  <c r="AN1548" i="1"/>
  <c r="AP1548" i="1" s="1"/>
  <c r="AN1581" i="1"/>
  <c r="AP1581" i="1" s="1"/>
  <c r="AN1582" i="1"/>
  <c r="AP1582" i="1" s="1"/>
  <c r="AN1583" i="1"/>
  <c r="AP1583" i="1" s="1"/>
  <c r="AN1584" i="1"/>
  <c r="AP1584" i="1" s="1"/>
  <c r="AN1585" i="1"/>
  <c r="AP1585" i="1" s="1"/>
  <c r="AN1586" i="1"/>
  <c r="AP1586" i="1" s="1"/>
  <c r="AN1592" i="1"/>
  <c r="AP1592" i="1" s="1"/>
  <c r="AN1600" i="1"/>
  <c r="AP1600" i="1" s="1"/>
  <c r="AN1601" i="1"/>
  <c r="AP1601" i="1" s="1"/>
  <c r="AN1614" i="1"/>
  <c r="AP1614" i="1" s="1"/>
  <c r="AN1661" i="1"/>
  <c r="AP1661" i="1" s="1"/>
  <c r="AN1666" i="1"/>
  <c r="AP1666" i="1" s="1"/>
  <c r="AN1875" i="1"/>
  <c r="AP1875" i="1" s="1"/>
  <c r="AN1870" i="1"/>
  <c r="AP1870" i="1" s="1"/>
  <c r="AN1868" i="1"/>
  <c r="AP1868" i="1" s="1"/>
  <c r="AN1872" i="1"/>
  <c r="AP1872" i="1" s="1"/>
  <c r="AN887" i="1"/>
  <c r="AP887" i="1" s="1"/>
  <c r="AN905" i="1"/>
  <c r="AP905" i="1" s="1"/>
  <c r="AN917" i="1"/>
  <c r="AP917" i="1" s="1"/>
  <c r="AN925" i="1"/>
  <c r="AP925" i="1" s="1"/>
  <c r="AN933" i="1"/>
  <c r="AP933" i="1" s="1"/>
  <c r="AN941" i="1"/>
  <c r="AP941" i="1" s="1"/>
  <c r="AN958" i="1"/>
  <c r="AP958" i="1" s="1"/>
  <c r="AN962" i="1"/>
  <c r="AP962" i="1" s="1"/>
  <c r="AN1060" i="1"/>
  <c r="AP1060" i="1" s="1"/>
  <c r="AN1090" i="1"/>
  <c r="AP1090" i="1" s="1"/>
  <c r="AN1122" i="1"/>
  <c r="AP1122" i="1" s="1"/>
  <c r="AN1150" i="1"/>
  <c r="AP1150" i="1" s="1"/>
  <c r="AN1162" i="1"/>
  <c r="AP1162" i="1" s="1"/>
  <c r="AN1166" i="1"/>
  <c r="AP1166" i="1" s="1"/>
  <c r="AN1208" i="1"/>
  <c r="AP1208" i="1" s="1"/>
  <c r="AN1221" i="1"/>
  <c r="AP1221" i="1" s="1"/>
  <c r="AN1246" i="1"/>
  <c r="AP1246" i="1" s="1"/>
  <c r="AN1262" i="1"/>
  <c r="AP1262" i="1" s="1"/>
  <c r="AN1263" i="1"/>
  <c r="AP1263" i="1" s="1"/>
  <c r="AN1341" i="1"/>
  <c r="AP1341" i="1" s="1"/>
  <c r="AN1345" i="1"/>
  <c r="AP1345" i="1" s="1"/>
  <c r="AN1415" i="1"/>
  <c r="AP1415" i="1" s="1"/>
  <c r="AN1443" i="1"/>
  <c r="AP1443" i="1" s="1"/>
  <c r="AN1480" i="1"/>
  <c r="AP1480" i="1" s="1"/>
  <c r="AN1490" i="1"/>
  <c r="AP1490" i="1" s="1"/>
  <c r="AN1532" i="1"/>
  <c r="AP1532" i="1" s="1"/>
  <c r="AN1549" i="1"/>
  <c r="AP1549" i="1" s="1"/>
  <c r="AN1557" i="1"/>
  <c r="AP1557" i="1" s="1"/>
  <c r="AN1559" i="1"/>
  <c r="AP1559" i="1" s="1"/>
  <c r="AN1563" i="1"/>
  <c r="AP1563" i="1" s="1"/>
  <c r="AN1677" i="1"/>
  <c r="AP1677" i="1" s="1"/>
  <c r="AN1680" i="1"/>
  <c r="AP1680" i="1" s="1"/>
  <c r="AN1690" i="1"/>
  <c r="AP1690" i="1" s="1"/>
  <c r="AN1758" i="1"/>
  <c r="AP1758" i="1" s="1"/>
  <c r="AN1764" i="1"/>
  <c r="AP1764" i="1" s="1"/>
  <c r="AN1798" i="1"/>
  <c r="AP1798" i="1" s="1"/>
  <c r="AN1828" i="1"/>
  <c r="AP1828" i="1" s="1"/>
  <c r="AN1841" i="1"/>
  <c r="AP1841" i="1" s="1"/>
  <c r="AN682" i="1"/>
  <c r="AP682" i="1" s="1"/>
  <c r="AN684" i="1"/>
  <c r="AP684" i="1" s="1"/>
  <c r="AN690" i="1"/>
  <c r="AP690" i="1" s="1"/>
  <c r="AN701" i="1"/>
  <c r="AP701" i="1" s="1"/>
  <c r="AN705" i="1"/>
  <c r="AP705" i="1" s="1"/>
  <c r="AN713" i="1"/>
  <c r="AP713" i="1" s="1"/>
  <c r="AN721" i="1"/>
  <c r="AP721" i="1" s="1"/>
  <c r="AN745" i="1"/>
  <c r="AP745" i="1" s="1"/>
  <c r="AN775" i="1"/>
  <c r="AP775" i="1" s="1"/>
  <c r="AN789" i="1"/>
  <c r="AP789" i="1" s="1"/>
  <c r="AN851" i="1"/>
  <c r="AP851" i="1" s="1"/>
  <c r="AN870" i="1"/>
  <c r="AP870" i="1" s="1"/>
  <c r="AN23" i="1"/>
  <c r="AP23" i="1" s="1"/>
  <c r="AN29" i="1"/>
  <c r="AP29" i="1" s="1"/>
  <c r="AN32" i="1"/>
  <c r="AP32" i="1" s="1"/>
  <c r="AN100" i="1"/>
  <c r="AP100" i="1" s="1"/>
  <c r="AN104" i="1"/>
  <c r="AP104" i="1" s="1"/>
  <c r="AN128" i="1"/>
  <c r="AP128" i="1" s="1"/>
  <c r="AN130" i="1"/>
  <c r="AP130" i="1" s="1"/>
  <c r="AN143" i="1"/>
  <c r="AP143" i="1" s="1"/>
  <c r="AN154" i="1"/>
  <c r="AP154" i="1" s="1"/>
  <c r="AN164" i="1"/>
  <c r="AP164" i="1" s="1"/>
  <c r="AN181" i="1"/>
  <c r="AP181" i="1" s="1"/>
  <c r="AN187" i="1"/>
  <c r="AP187" i="1" s="1"/>
  <c r="AN188" i="1"/>
  <c r="AP188" i="1" s="1"/>
  <c r="AN203" i="1"/>
  <c r="AP203" i="1" s="1"/>
  <c r="AN216" i="1"/>
  <c r="AP216" i="1" s="1"/>
  <c r="AN239" i="1"/>
  <c r="AP239" i="1" s="1"/>
  <c r="AN242" i="1"/>
  <c r="AP242" i="1" s="1"/>
  <c r="AN244" i="1"/>
  <c r="AP244" i="1" s="1"/>
  <c r="AN251" i="1"/>
  <c r="AP251" i="1" s="1"/>
  <c r="AN258" i="1"/>
  <c r="AP258" i="1" s="1"/>
  <c r="AN259" i="1"/>
  <c r="AP259" i="1" s="1"/>
  <c r="AN260" i="1"/>
  <c r="AP260" i="1" s="1"/>
  <c r="AN303" i="1"/>
  <c r="AP303" i="1" s="1"/>
  <c r="AN304" i="1"/>
  <c r="AP304" i="1" s="1"/>
  <c r="AN305" i="1"/>
  <c r="AP305" i="1" s="1"/>
  <c r="AN306" i="1"/>
  <c r="AP306" i="1" s="1"/>
  <c r="AN307" i="1"/>
  <c r="AP307" i="1" s="1"/>
  <c r="AN337" i="1"/>
  <c r="AP337" i="1" s="1"/>
  <c r="AN352" i="1"/>
  <c r="AP352" i="1" s="1"/>
  <c r="AN357" i="1"/>
  <c r="AP357" i="1" s="1"/>
  <c r="AN383" i="1"/>
  <c r="AP383" i="1" s="1"/>
  <c r="AN416" i="1"/>
  <c r="AP416" i="1" s="1"/>
  <c r="AN458" i="1"/>
  <c r="AP458" i="1" s="1"/>
  <c r="AN488" i="1"/>
  <c r="AP488" i="1" s="1"/>
  <c r="AN562" i="1"/>
  <c r="AP562" i="1" s="1"/>
  <c r="AN570" i="1"/>
  <c r="AP570" i="1" s="1"/>
  <c r="AN607" i="1"/>
  <c r="AP607" i="1" s="1"/>
  <c r="AN621" i="1"/>
  <c r="AP621" i="1" s="1"/>
  <c r="AN628" i="1"/>
  <c r="AP628" i="1" s="1"/>
  <c r="AN680" i="1"/>
  <c r="AP680" i="1" s="1"/>
  <c r="AN735" i="1"/>
  <c r="AP735" i="1" s="1"/>
  <c r="AN759" i="1"/>
  <c r="AP759" i="1" s="1"/>
  <c r="AN784" i="1"/>
  <c r="AP784" i="1" s="1"/>
  <c r="AN802" i="1"/>
  <c r="AP802" i="1" s="1"/>
  <c r="AN806" i="1"/>
  <c r="AP806" i="1" s="1"/>
  <c r="AN838" i="1"/>
  <c r="AP838" i="1" s="1"/>
  <c r="AN858" i="1"/>
  <c r="AP858" i="1" s="1"/>
  <c r="AN865" i="1"/>
  <c r="AP865" i="1" s="1"/>
  <c r="AN869" i="1"/>
  <c r="AP869" i="1" s="1"/>
  <c r="AN874" i="1"/>
  <c r="AP874" i="1" s="1"/>
  <c r="AN901" i="1"/>
  <c r="AP901" i="1" s="1"/>
  <c r="AN909" i="1"/>
  <c r="AP909" i="1" s="1"/>
  <c r="AN953" i="1"/>
  <c r="AP953" i="1" s="1"/>
  <c r="AN1068" i="1"/>
  <c r="AP1068" i="1" s="1"/>
  <c r="AN1074" i="1"/>
  <c r="AP1074" i="1" s="1"/>
  <c r="AN1076" i="1"/>
  <c r="AP1076" i="1" s="1"/>
  <c r="AN1080" i="1"/>
  <c r="AP1080" i="1" s="1"/>
  <c r="AN1093" i="1"/>
  <c r="AP1093" i="1" s="1"/>
  <c r="AN1106" i="1"/>
  <c r="AP1106" i="1" s="1"/>
  <c r="AN1108" i="1"/>
  <c r="AP1108" i="1" s="1"/>
  <c r="AN1117" i="1"/>
  <c r="AP1117" i="1" s="1"/>
  <c r="AN1139" i="1"/>
  <c r="AP1139" i="1" s="1"/>
  <c r="AN1141" i="1"/>
  <c r="AP1141" i="1" s="1"/>
  <c r="AN1170" i="1"/>
  <c r="AP1170" i="1" s="1"/>
  <c r="AN1180" i="1"/>
  <c r="AP1180" i="1" s="1"/>
  <c r="AN1194" i="1"/>
  <c r="AP1194" i="1" s="1"/>
  <c r="AN1229" i="1"/>
  <c r="AP1229" i="1" s="1"/>
  <c r="AN1231" i="1"/>
  <c r="AP1231" i="1" s="1"/>
  <c r="AN1233" i="1"/>
  <c r="AP1233" i="1" s="1"/>
  <c r="AN1247" i="1"/>
  <c r="AP1247" i="1" s="1"/>
  <c r="AN1265" i="1"/>
  <c r="AP1265" i="1" s="1"/>
  <c r="AN1266" i="1"/>
  <c r="AP1266" i="1" s="1"/>
  <c r="AN1271" i="1"/>
  <c r="AP1271" i="1" s="1"/>
  <c r="AN1333" i="1"/>
  <c r="AP1333" i="1" s="1"/>
  <c r="AN1337" i="1"/>
  <c r="AP1337" i="1" s="1"/>
  <c r="AN1339" i="1"/>
  <c r="AP1339" i="1" s="1"/>
  <c r="AN1368" i="1"/>
  <c r="AP1368" i="1" s="1"/>
  <c r="AN1371" i="1"/>
  <c r="AP1371" i="1" s="1"/>
  <c r="AN1384" i="1"/>
  <c r="AP1384" i="1" s="1"/>
  <c r="AN1413" i="1"/>
  <c r="AP1413" i="1" s="1"/>
  <c r="AN1454" i="1"/>
  <c r="AP1454" i="1" s="1"/>
  <c r="AN1486" i="1"/>
  <c r="AP1486" i="1" s="1"/>
  <c r="AN1494" i="1"/>
  <c r="AP1494" i="1" s="1"/>
  <c r="AN1525" i="1"/>
  <c r="AP1525" i="1" s="1"/>
  <c r="AN1546" i="1"/>
  <c r="AP1546" i="1" s="1"/>
  <c r="AN1555" i="1"/>
  <c r="AP1555" i="1" s="1"/>
  <c r="AN1571" i="1"/>
  <c r="AP1571" i="1" s="1"/>
  <c r="AN1611" i="1"/>
  <c r="AP1611" i="1" s="1"/>
  <c r="AN1619" i="1"/>
  <c r="AP1619" i="1" s="1"/>
  <c r="AN1635" i="1"/>
  <c r="AP1635" i="1" s="1"/>
  <c r="AN1645" i="1"/>
  <c r="AP1645" i="1" s="1"/>
  <c r="AN1650" i="1"/>
  <c r="AP1650" i="1" s="1"/>
  <c r="AN1667" i="1"/>
  <c r="AP1667" i="1" s="1"/>
  <c r="AN1668" i="1"/>
  <c r="AP1668" i="1" s="1"/>
  <c r="AN1686" i="1"/>
  <c r="AP1686" i="1" s="1"/>
  <c r="AN1737" i="1"/>
  <c r="AP1737" i="1" s="1"/>
  <c r="AN1738" i="1"/>
  <c r="AP1738" i="1" s="1"/>
  <c r="AN1757" i="1"/>
  <c r="AP1757" i="1" s="1"/>
  <c r="AN1768" i="1"/>
  <c r="AP1768" i="1" s="1"/>
  <c r="AN1787" i="1"/>
  <c r="AP1787" i="1" s="1"/>
  <c r="AN1791" i="1"/>
  <c r="AP1791" i="1" s="1"/>
  <c r="AN1620" i="1"/>
  <c r="AP1620" i="1" s="1"/>
  <c r="AN1640" i="1"/>
  <c r="AP1640" i="1" s="1"/>
  <c r="AN1641" i="1"/>
  <c r="AP1641" i="1" s="1"/>
  <c r="AN1662" i="1"/>
  <c r="AP1662" i="1" s="1"/>
  <c r="AN1665" i="1"/>
  <c r="AP1665" i="1" s="1"/>
  <c r="AN1671" i="1"/>
  <c r="AP1671" i="1" s="1"/>
  <c r="AN1684" i="1"/>
  <c r="AP1684" i="1" s="1"/>
  <c r="AN1706" i="1"/>
  <c r="AP1706" i="1" s="1"/>
  <c r="AN1733" i="1"/>
  <c r="AP1733" i="1" s="1"/>
  <c r="AN1750" i="1"/>
  <c r="AP1750" i="1" s="1"/>
  <c r="AN1751" i="1"/>
  <c r="AP1751" i="1" s="1"/>
  <c r="AN1767" i="1"/>
  <c r="AP1767" i="1" s="1"/>
  <c r="AN1775" i="1"/>
  <c r="AP1775" i="1" s="1"/>
  <c r="AN1777" i="1"/>
  <c r="AP1777" i="1" s="1"/>
  <c r="AN1782" i="1"/>
  <c r="AP1782" i="1" s="1"/>
  <c r="AN1785" i="1"/>
  <c r="AP1785" i="1" s="1"/>
  <c r="AN1796" i="1"/>
  <c r="AP1796" i="1" s="1"/>
  <c r="AN1827" i="1"/>
  <c r="AP1827" i="1" s="1"/>
  <c r="AN1830" i="1"/>
  <c r="AP1830" i="1" s="1"/>
  <c r="AN1853" i="1"/>
  <c r="AP1853" i="1" s="1"/>
  <c r="AN1855" i="1"/>
  <c r="AP1855" i="1" s="1"/>
  <c r="AN1856" i="1"/>
  <c r="AP1856" i="1" s="1"/>
  <c r="AN1685" i="1"/>
  <c r="AP1685" i="1" s="1"/>
  <c r="AN1694" i="1"/>
  <c r="AP1694" i="1" s="1"/>
  <c r="AN1701" i="1"/>
  <c r="AP1701" i="1" s="1"/>
  <c r="AN1709" i="1"/>
  <c r="AP1709" i="1" s="1"/>
  <c r="AN1728" i="1"/>
  <c r="AP1728" i="1" s="1"/>
  <c r="AN1781" i="1"/>
  <c r="AP1781" i="1" s="1"/>
  <c r="AN1805" i="1"/>
  <c r="AP1805" i="1" s="1"/>
  <c r="AN1824" i="1"/>
  <c r="AP1824" i="1" s="1"/>
  <c r="AN1859" i="1"/>
  <c r="AP1859" i="1" s="1"/>
  <c r="AN1882" i="1"/>
  <c r="AP1882" i="1" s="1"/>
  <c r="AN1891" i="1"/>
  <c r="AP1891" i="1" s="1"/>
  <c r="AN1892" i="1"/>
  <c r="AP1892" i="1" s="1"/>
  <c r="AN1893" i="1"/>
  <c r="AP1893" i="1" s="1"/>
  <c r="AN1932" i="1"/>
  <c r="AP1932" i="1" s="1"/>
  <c r="AN1940" i="1"/>
  <c r="AP1940" i="1" s="1"/>
  <c r="AN1941" i="1"/>
  <c r="AP1941" i="1" s="1"/>
  <c r="AN1952" i="1"/>
  <c r="AP1952" i="1" s="1"/>
  <c r="AN1959" i="1"/>
  <c r="AP1959" i="1" s="1"/>
  <c r="AN1964" i="1"/>
  <c r="AP1964" i="1" s="1"/>
  <c r="AN1984" i="1"/>
  <c r="AP1984" i="1" s="1"/>
  <c r="AN1998" i="1"/>
  <c r="AP1998" i="1" s="1"/>
  <c r="AN2008" i="1"/>
  <c r="AP2008" i="1" s="1"/>
  <c r="AN2009" i="1"/>
  <c r="AP2009" i="1" s="1"/>
  <c r="AN2023" i="1"/>
  <c r="AP2023" i="1" s="1"/>
  <c r="AN2028" i="1"/>
  <c r="AP2028" i="1" s="1"/>
  <c r="AN2051" i="1"/>
  <c r="AP2051" i="1" s="1"/>
  <c r="AN2217" i="1"/>
  <c r="AP2217" i="1" s="1"/>
  <c r="AN2292" i="1"/>
  <c r="AP2292" i="1" s="1"/>
  <c r="AN2304" i="1"/>
  <c r="AP2304" i="1" s="1"/>
  <c r="AN2178" i="1"/>
  <c r="AP2178" i="1" s="1"/>
  <c r="AN2179" i="1"/>
  <c r="AP2179" i="1" s="1"/>
  <c r="AN2181" i="1"/>
  <c r="AP2181" i="1" s="1"/>
  <c r="AN2182" i="1"/>
  <c r="AP2182" i="1" s="1"/>
  <c r="AN2564" i="1"/>
  <c r="AP2564" i="1" s="1"/>
  <c r="AN1279" i="1"/>
  <c r="AP1279" i="1" s="1"/>
  <c r="AN1283" i="1"/>
  <c r="AP1283" i="1" s="1"/>
  <c r="AN1313" i="1"/>
  <c r="AP1313" i="1" s="1"/>
  <c r="AN1320" i="1"/>
  <c r="AP1320" i="1" s="1"/>
  <c r="AN1356" i="1"/>
  <c r="AP1356" i="1" s="1"/>
  <c r="AN1372" i="1"/>
  <c r="AP1372" i="1" s="1"/>
  <c r="AN1399" i="1"/>
  <c r="AP1399" i="1" s="1"/>
  <c r="AN1463" i="1"/>
  <c r="AP1463" i="1" s="1"/>
  <c r="AN1506" i="1"/>
  <c r="AP1506" i="1" s="1"/>
  <c r="AN1514" i="1"/>
  <c r="AP1514" i="1" s="1"/>
  <c r="AN1521" i="1"/>
  <c r="AP1521" i="1" s="1"/>
  <c r="AN1522" i="1"/>
  <c r="AP1522" i="1" s="1"/>
  <c r="AN1528" i="1"/>
  <c r="AP1528" i="1" s="1"/>
  <c r="AN1550" i="1"/>
  <c r="AP1550" i="1" s="1"/>
  <c r="AN1615" i="1"/>
  <c r="AP1615" i="1" s="1"/>
  <c r="AN1617" i="1"/>
  <c r="AP1617" i="1" s="1"/>
  <c r="AN1634" i="1"/>
  <c r="AP1634" i="1" s="1"/>
  <c r="AN1646" i="1"/>
  <c r="AP1646" i="1" s="1"/>
  <c r="AN1658" i="1"/>
  <c r="AP1658" i="1" s="1"/>
  <c r="AN1664" i="1"/>
  <c r="AP1664" i="1" s="1"/>
  <c r="AN1675" i="1"/>
  <c r="AP1675" i="1" s="1"/>
  <c r="AN1720" i="1"/>
  <c r="AP1720" i="1" s="1"/>
  <c r="AN1736" i="1"/>
  <c r="AP1736" i="1" s="1"/>
  <c r="AN1741" i="1"/>
  <c r="AP1741" i="1" s="1"/>
  <c r="AN1779" i="1"/>
  <c r="AP1779" i="1" s="1"/>
  <c r="AN1786" i="1"/>
  <c r="AP1786" i="1" s="1"/>
  <c r="AN1808" i="1"/>
  <c r="AP1808" i="1" s="1"/>
  <c r="AN1811" i="1"/>
  <c r="AP1811" i="1" s="1"/>
  <c r="AN1812" i="1"/>
  <c r="AP1812" i="1" s="1"/>
  <c r="AN1813" i="1"/>
  <c r="AP1813" i="1" s="1"/>
  <c r="AN1822" i="1"/>
  <c r="AP1822" i="1" s="1"/>
  <c r="AN1873" i="1"/>
  <c r="AP1873" i="1" s="1"/>
  <c r="AN1885" i="1"/>
  <c r="AP1885" i="1" s="1"/>
  <c r="AN1890" i="1"/>
  <c r="AP1890" i="1" s="1"/>
  <c r="AN1897" i="1"/>
  <c r="AP1897" i="1" s="1"/>
  <c r="AN1919" i="1"/>
  <c r="AP1919" i="1" s="1"/>
  <c r="AN1930" i="1"/>
  <c r="AP1930" i="1" s="1"/>
  <c r="AN1948" i="1"/>
  <c r="AP1948" i="1" s="1"/>
  <c r="AN1985" i="1"/>
  <c r="AP1985" i="1" s="1"/>
  <c r="AN2064" i="1"/>
  <c r="AP2064" i="1" s="1"/>
  <c r="AN2145" i="1"/>
  <c r="AP2145" i="1" s="1"/>
  <c r="AN2231" i="1"/>
  <c r="AP2231" i="1" s="1"/>
  <c r="AN2244" i="1"/>
  <c r="AP2244" i="1" s="1"/>
  <c r="AN2531" i="1"/>
  <c r="AP2531" i="1" s="1"/>
  <c r="AN1958" i="1"/>
  <c r="AP1958" i="1" s="1"/>
  <c r="AN1966" i="1"/>
  <c r="AP1966" i="1" s="1"/>
  <c r="AN1979" i="1"/>
  <c r="AP1979" i="1" s="1"/>
  <c r="AN2019" i="1"/>
  <c r="AP2019" i="1" s="1"/>
  <c r="AN2034" i="1"/>
  <c r="AP2034" i="1" s="1"/>
  <c r="AN2036" i="1"/>
  <c r="AP2036" i="1" s="1"/>
  <c r="AN2040" i="1"/>
  <c r="AP2040" i="1" s="1"/>
  <c r="AN2063" i="1"/>
  <c r="AP2063" i="1" s="1"/>
  <c r="AN2087" i="1"/>
  <c r="AP2087" i="1" s="1"/>
  <c r="AN2149" i="1"/>
  <c r="AP2149" i="1" s="1"/>
  <c r="AN2169" i="1"/>
  <c r="AP2169" i="1" s="1"/>
  <c r="AN2190" i="1"/>
  <c r="AP2190" i="1" s="1"/>
  <c r="AN2258" i="1"/>
  <c r="AP2258" i="1" s="1"/>
  <c r="AN2311" i="1"/>
  <c r="AP2311" i="1" s="1"/>
  <c r="AN2315" i="1"/>
  <c r="AP2315" i="1" s="1"/>
  <c r="AN2429" i="1"/>
  <c r="AP2429" i="1" s="1"/>
  <c r="AN1817" i="1"/>
  <c r="AP1817" i="1" s="1"/>
  <c r="AN1823" i="1"/>
  <c r="AP1823" i="1" s="1"/>
  <c r="AN1881" i="1"/>
  <c r="AP1881" i="1" s="1"/>
  <c r="AN1931" i="1"/>
  <c r="AP1931" i="1" s="1"/>
  <c r="AN2041" i="1"/>
  <c r="AP2041" i="1" s="1"/>
  <c r="AN2042" i="1"/>
  <c r="AP2042" i="1" s="1"/>
  <c r="AN2055" i="1"/>
  <c r="AP2055" i="1" s="1"/>
  <c r="AN2102" i="1"/>
  <c r="AP2102" i="1" s="1"/>
  <c r="AN2103" i="1"/>
  <c r="AP2103" i="1" s="1"/>
  <c r="AN2141" i="1"/>
  <c r="AP2141" i="1" s="1"/>
  <c r="AN2150" i="1"/>
  <c r="AP2150" i="1" s="1"/>
  <c r="AN2174" i="1"/>
  <c r="AP2174" i="1" s="1"/>
  <c r="AN2176" i="1"/>
  <c r="AP2176" i="1" s="1"/>
  <c r="AN2200" i="1"/>
  <c r="AP2200" i="1" s="1"/>
  <c r="AN2221" i="1"/>
  <c r="AP2221" i="1" s="1"/>
  <c r="AN2223" i="1"/>
  <c r="AP2223" i="1" s="1"/>
  <c r="AN2224" i="1"/>
  <c r="AP2224" i="1" s="1"/>
  <c r="AN2259" i="1"/>
  <c r="AP2259" i="1" s="1"/>
  <c r="AN2321" i="1"/>
  <c r="AP2321" i="1" s="1"/>
  <c r="AN2550" i="1"/>
  <c r="AP2550" i="1" s="1"/>
  <c r="AN2561" i="1"/>
  <c r="AP2561" i="1" s="1"/>
  <c r="AN2020" i="1"/>
  <c r="AP2020" i="1" s="1"/>
  <c r="AN2024" i="1"/>
  <c r="AP2024" i="1" s="1"/>
  <c r="AN2047" i="1"/>
  <c r="AP2047" i="1" s="1"/>
  <c r="AN2048" i="1"/>
  <c r="AP2048" i="1" s="1"/>
  <c r="AN2059" i="1"/>
  <c r="AP2059" i="1" s="1"/>
  <c r="AN2062" i="1"/>
  <c r="AP2062" i="1" s="1"/>
  <c r="AN2073" i="1"/>
  <c r="AP2073" i="1" s="1"/>
  <c r="AN2112" i="1"/>
  <c r="AP2112" i="1" s="1"/>
  <c r="AN2119" i="1"/>
  <c r="AP2119" i="1" s="1"/>
  <c r="AN2127" i="1"/>
  <c r="AP2127" i="1" s="1"/>
  <c r="AN2148" i="1"/>
  <c r="AP2148" i="1" s="1"/>
  <c r="AN2151" i="1"/>
  <c r="AP2151" i="1" s="1"/>
  <c r="AN2164" i="1"/>
  <c r="AP2164" i="1" s="1"/>
  <c r="AN2171" i="1"/>
  <c r="AP2171" i="1" s="1"/>
  <c r="AN2183" i="1"/>
  <c r="AP2183" i="1" s="1"/>
  <c r="AN2198" i="1"/>
  <c r="AP2198" i="1" s="1"/>
  <c r="AN2199" i="1"/>
  <c r="AP2199" i="1" s="1"/>
  <c r="AN2206" i="1"/>
  <c r="AP2206" i="1" s="1"/>
  <c r="AN2243" i="1"/>
  <c r="AP2243" i="1" s="1"/>
  <c r="AN2271" i="1"/>
  <c r="AP2271" i="1" s="1"/>
  <c r="AN2279" i="1"/>
  <c r="AP2279" i="1" s="1"/>
  <c r="AN2289" i="1"/>
  <c r="AP2289" i="1" s="1"/>
  <c r="AN2294" i="1"/>
  <c r="AP2294" i="1" s="1"/>
  <c r="AN2312" i="1"/>
  <c r="AP2312" i="1" s="1"/>
  <c r="AN2404" i="1"/>
  <c r="AP2404" i="1" s="1"/>
  <c r="AN2468" i="1"/>
  <c r="AP2468" i="1" s="1"/>
  <c r="AN2494" i="1"/>
  <c r="AP2494" i="1" s="1"/>
  <c r="AN2521" i="1"/>
  <c r="AP2521" i="1" s="1"/>
  <c r="AN2525" i="1"/>
  <c r="AP2525" i="1" s="1"/>
  <c r="AN2527" i="1"/>
  <c r="AP2527" i="1" s="1"/>
  <c r="AN2535" i="1"/>
  <c r="AP2535" i="1" s="1"/>
  <c r="AN2538" i="1"/>
  <c r="AP2538" i="1" s="1"/>
  <c r="AN2541" i="1"/>
  <c r="AP2541" i="1" s="1"/>
  <c r="AN2548" i="1"/>
  <c r="AP2548" i="1" s="1"/>
  <c r="AN2555" i="1"/>
  <c r="AP2555" i="1" s="1"/>
  <c r="AN2080" i="1"/>
  <c r="AP2080" i="1" s="1"/>
  <c r="AN2090" i="1"/>
  <c r="AP2090" i="1" s="1"/>
  <c r="AN2098" i="1"/>
  <c r="AP2098" i="1" s="1"/>
  <c r="AN2111" i="1"/>
  <c r="AP2111" i="1" s="1"/>
  <c r="AN2121" i="1"/>
  <c r="AP2121" i="1" s="1"/>
  <c r="AN2129" i="1"/>
  <c r="AP2129" i="1" s="1"/>
  <c r="AN2135" i="1"/>
  <c r="AP2135" i="1" s="1"/>
  <c r="AN2139" i="1"/>
  <c r="AP2139" i="1" s="1"/>
  <c r="AN2144" i="1"/>
  <c r="AP2144" i="1" s="1"/>
  <c r="AN2146" i="1"/>
  <c r="AP2146" i="1" s="1"/>
  <c r="AN2147" i="1"/>
  <c r="AP2147" i="1" s="1"/>
  <c r="AN2153" i="1"/>
  <c r="AP2153" i="1" s="1"/>
  <c r="AN2185" i="1"/>
  <c r="AP2185" i="1" s="1"/>
  <c r="AN2187" i="1"/>
  <c r="AP2187" i="1" s="1"/>
  <c r="AN2203" i="1"/>
  <c r="AP2203" i="1" s="1"/>
  <c r="AN2208" i="1"/>
  <c r="AP2208" i="1" s="1"/>
  <c r="AN2219" i="1"/>
  <c r="AP2219" i="1" s="1"/>
  <c r="AN2236" i="1"/>
  <c r="AP2236" i="1" s="1"/>
  <c r="AN2251" i="1"/>
  <c r="AP2251" i="1" s="1"/>
  <c r="AN2260" i="1"/>
  <c r="AP2260" i="1" s="1"/>
  <c r="AN2263" i="1"/>
  <c r="AP2263" i="1" s="1"/>
  <c r="AN2272" i="1"/>
  <c r="AP2272" i="1" s="1"/>
  <c r="AN2293" i="1"/>
  <c r="AP2293" i="1" s="1"/>
  <c r="AN2305" i="1"/>
  <c r="AP2305" i="1" s="1"/>
  <c r="AN2318" i="1"/>
  <c r="AP2318" i="1" s="1"/>
  <c r="AN2334" i="1"/>
  <c r="AP2334" i="1" s="1"/>
  <c r="AN2335" i="1"/>
  <c r="AP2335" i="1" s="1"/>
  <c r="AN2343" i="1"/>
  <c r="AP2343" i="1" s="1"/>
  <c r="AN2344" i="1"/>
  <c r="AP2344" i="1" s="1"/>
  <c r="AN2352" i="1"/>
  <c r="AP2352" i="1" s="1"/>
  <c r="AN2497" i="1"/>
  <c r="AP2497" i="1" s="1"/>
  <c r="AN2503" i="1"/>
  <c r="AP2503" i="1" s="1"/>
  <c r="AN2317" i="1"/>
  <c r="AP2317" i="1" s="1"/>
  <c r="AN2332" i="1"/>
  <c r="AP2332" i="1" s="1"/>
  <c r="AN2354" i="1"/>
  <c r="AP2354" i="1" s="1"/>
  <c r="AN2381" i="1"/>
  <c r="AP2381" i="1" s="1"/>
  <c r="AN2431" i="1"/>
  <c r="AP2431" i="1" s="1"/>
  <c r="AN2459" i="1"/>
  <c r="AP2459" i="1" s="1"/>
  <c r="AN2467" i="1"/>
  <c r="AP2467" i="1" s="1"/>
  <c r="AN2479" i="1"/>
  <c r="AP2479" i="1" s="1"/>
  <c r="AN2498" i="1"/>
  <c r="AP2498" i="1" s="1"/>
  <c r="AN2502" i="1"/>
  <c r="AP2502" i="1" s="1"/>
  <c r="AN2523" i="1"/>
  <c r="AP2523" i="1" s="1"/>
  <c r="AN2545" i="1"/>
  <c r="AP2545" i="1" s="1"/>
  <c r="AN2549" i="1"/>
  <c r="AP2549" i="1" s="1"/>
  <c r="AN2553" i="1"/>
  <c r="AP2553" i="1" s="1"/>
  <c r="AN2567" i="1"/>
  <c r="AP2567" i="1" s="1"/>
  <c r="AN2421" i="1"/>
  <c r="AP2421" i="1" s="1"/>
  <c r="AN2462" i="1"/>
  <c r="AP2462" i="1" s="1"/>
  <c r="AN2499" i="1"/>
  <c r="AP2499" i="1" s="1"/>
  <c r="AN2428" i="1"/>
  <c r="AP2428" i="1" s="1"/>
  <c r="AN2452" i="1"/>
  <c r="AP2452" i="1" s="1"/>
  <c r="AN2477" i="1"/>
  <c r="AP2477" i="1" s="1"/>
  <c r="AN2492" i="1"/>
  <c r="AP2492" i="1" s="1"/>
  <c r="AN2500" i="1"/>
  <c r="AP2500" i="1" s="1"/>
  <c r="AN2506" i="1"/>
  <c r="AP2506" i="1" s="1"/>
  <c r="AN2512" i="1"/>
  <c r="AP2512" i="1" s="1"/>
  <c r="AN2516" i="1"/>
  <c r="AP2516" i="1" s="1"/>
  <c r="AN2569" i="1"/>
  <c r="AP2569" i="1" s="1"/>
  <c r="AN2572" i="1"/>
  <c r="AP2572" i="1" s="1"/>
  <c r="AN2579" i="1"/>
  <c r="AP2579" i="1" s="1"/>
  <c r="AP125" i="1"/>
  <c r="AN22" i="1"/>
  <c r="AP22" i="1" s="1"/>
  <c r="AN30" i="1"/>
  <c r="AP30" i="1" s="1"/>
  <c r="AN64" i="1"/>
  <c r="AP64" i="1" s="1"/>
  <c r="AN151" i="1"/>
  <c r="AP151" i="1" s="1"/>
  <c r="AN182" i="1"/>
  <c r="AP182" i="1" s="1"/>
  <c r="AN195" i="1"/>
  <c r="AP195" i="1" s="1"/>
  <c r="AN197" i="1"/>
  <c r="AP197" i="1" s="1"/>
  <c r="AN278" i="1"/>
  <c r="AP278" i="1" s="1"/>
  <c r="AN286" i="1"/>
  <c r="AP286" i="1" s="1"/>
  <c r="AN328" i="1"/>
  <c r="AP328" i="1" s="1"/>
  <c r="AN330" i="1"/>
  <c r="AP330" i="1" s="1"/>
  <c r="AN348" i="1"/>
  <c r="AP348" i="1" s="1"/>
  <c r="AN420" i="1"/>
  <c r="AP420" i="1" s="1"/>
  <c r="AN421" i="1"/>
  <c r="AP421" i="1" s="1"/>
  <c r="AN427" i="1"/>
  <c r="AP427" i="1" s="1"/>
  <c r="AN862" i="1"/>
  <c r="AP862" i="1" s="1"/>
  <c r="AN1416" i="1"/>
  <c r="AP1416" i="1" s="1"/>
  <c r="AN1857" i="1"/>
  <c r="AP1857" i="1" s="1"/>
  <c r="AN1995" i="1"/>
  <c r="AP1995" i="1" s="1"/>
  <c r="AN8" i="1"/>
  <c r="AP8" i="1" s="1"/>
  <c r="AN17" i="1"/>
  <c r="AP17" i="1" s="1"/>
  <c r="AN19" i="1"/>
  <c r="AP19" i="1" s="1"/>
  <c r="AN26" i="1"/>
  <c r="AP26" i="1" s="1"/>
  <c r="AN34" i="1"/>
  <c r="AP34" i="1" s="1"/>
  <c r="AN42" i="1"/>
  <c r="AP42" i="1" s="1"/>
  <c r="AN60" i="1"/>
  <c r="AP60" i="1" s="1"/>
  <c r="AN69" i="1"/>
  <c r="AP69" i="1" s="1"/>
  <c r="AN111" i="1"/>
  <c r="AP111" i="1" s="1"/>
  <c r="AN113" i="1"/>
  <c r="AP113" i="1" s="1"/>
  <c r="AN115" i="1"/>
  <c r="AP115" i="1" s="1"/>
  <c r="AN126" i="1"/>
  <c r="AP126" i="1" s="1"/>
  <c r="AN147" i="1"/>
  <c r="AP147" i="1" s="1"/>
  <c r="AN155" i="1"/>
  <c r="AP155" i="1" s="1"/>
  <c r="AN157" i="1"/>
  <c r="AP157" i="1" s="1"/>
  <c r="AN168" i="1"/>
  <c r="AP168" i="1" s="1"/>
  <c r="AN191" i="1"/>
  <c r="AP191" i="1" s="1"/>
  <c r="AN206" i="1"/>
  <c r="AP206" i="1" s="1"/>
  <c r="AN207" i="1"/>
  <c r="AP207" i="1" s="1"/>
  <c r="AN227" i="1"/>
  <c r="AP227" i="1" s="1"/>
  <c r="AN231" i="1"/>
  <c r="AP231" i="1" s="1"/>
  <c r="AN235" i="1"/>
  <c r="AP235" i="1" s="1"/>
  <c r="AN256" i="1"/>
  <c r="AP256" i="1" s="1"/>
  <c r="AN264" i="1"/>
  <c r="AP264" i="1" s="1"/>
  <c r="AN277" i="1"/>
  <c r="AP277" i="1" s="1"/>
  <c r="AN283" i="1"/>
  <c r="AP283" i="1" s="1"/>
  <c r="AN284" i="1"/>
  <c r="AP284" i="1" s="1"/>
  <c r="AN287" i="1"/>
  <c r="AP287" i="1" s="1"/>
  <c r="AN295" i="1"/>
  <c r="AP295" i="1" s="1"/>
  <c r="AN316" i="1"/>
  <c r="AP316" i="1" s="1"/>
  <c r="AN322" i="1"/>
  <c r="AP322" i="1" s="1"/>
  <c r="AN327" i="1"/>
  <c r="AP327" i="1" s="1"/>
  <c r="AN332" i="1"/>
  <c r="AP332" i="1" s="1"/>
  <c r="AN342" i="1"/>
  <c r="AP342" i="1" s="1"/>
  <c r="AN345" i="1"/>
  <c r="AP345" i="1" s="1"/>
  <c r="AN351" i="1"/>
  <c r="AP351" i="1" s="1"/>
  <c r="AN377" i="1"/>
  <c r="AP377" i="1" s="1"/>
  <c r="AN378" i="1"/>
  <c r="AP378" i="1" s="1"/>
  <c r="AN382" i="1"/>
  <c r="AP382" i="1" s="1"/>
  <c r="AN388" i="1"/>
  <c r="AP388" i="1" s="1"/>
  <c r="AN393" i="1"/>
  <c r="AP393" i="1" s="1"/>
  <c r="AN394" i="1"/>
  <c r="AP394" i="1" s="1"/>
  <c r="AN411" i="1"/>
  <c r="AP411" i="1" s="1"/>
  <c r="AN415" i="1"/>
  <c r="AP415" i="1" s="1"/>
  <c r="AN418" i="1"/>
  <c r="AP418" i="1" s="1"/>
  <c r="AN424" i="1"/>
  <c r="AP424" i="1" s="1"/>
  <c r="AN445" i="1"/>
  <c r="AP445" i="1" s="1"/>
  <c r="AN449" i="1"/>
  <c r="AP449" i="1" s="1"/>
  <c r="AN450" i="1"/>
  <c r="AP450" i="1" s="1"/>
  <c r="AN453" i="1"/>
  <c r="AP453" i="1" s="1"/>
  <c r="AN454" i="1"/>
  <c r="AP454" i="1" s="1"/>
  <c r="AN455" i="1"/>
  <c r="AP455" i="1" s="1"/>
  <c r="AN456" i="1"/>
  <c r="AP456" i="1" s="1"/>
  <c r="AN463" i="1"/>
  <c r="AP463" i="1" s="1"/>
  <c r="AN464" i="1"/>
  <c r="AP464" i="1" s="1"/>
  <c r="AN465" i="1"/>
  <c r="AP465" i="1" s="1"/>
  <c r="AN466" i="1"/>
  <c r="AP466" i="1" s="1"/>
  <c r="AN467" i="1"/>
  <c r="AP467" i="1" s="1"/>
  <c r="AN468" i="1"/>
  <c r="AP468" i="1" s="1"/>
  <c r="AN469" i="1"/>
  <c r="AP469" i="1" s="1"/>
  <c r="AN470" i="1"/>
  <c r="AP470" i="1" s="1"/>
  <c r="AN471" i="1"/>
  <c r="AP471" i="1" s="1"/>
  <c r="AN472" i="1"/>
  <c r="AP472" i="1" s="1"/>
  <c r="AN473" i="1"/>
  <c r="AP473" i="1" s="1"/>
  <c r="AN474" i="1"/>
  <c r="AP474" i="1" s="1"/>
  <c r="AN494" i="1"/>
  <c r="AP494" i="1" s="1"/>
  <c r="AN495" i="1"/>
  <c r="AP495" i="1" s="1"/>
  <c r="AN626" i="1"/>
  <c r="AP626" i="1" s="1"/>
  <c r="AN687" i="1"/>
  <c r="AP687" i="1" s="1"/>
  <c r="AN688" i="1"/>
  <c r="AP688" i="1" s="1"/>
  <c r="AN740" i="1"/>
  <c r="AP740" i="1" s="1"/>
  <c r="AN742" i="1"/>
  <c r="AP742" i="1" s="1"/>
  <c r="AN752" i="1"/>
  <c r="AP752" i="1" s="1"/>
  <c r="Q755" i="1"/>
  <c r="S755" i="1" s="1"/>
  <c r="S754" i="1"/>
  <c r="AN758" i="1"/>
  <c r="AP758" i="1" s="1"/>
  <c r="AN799" i="1"/>
  <c r="AP799" i="1" s="1"/>
  <c r="AN805" i="1"/>
  <c r="AP805" i="1" s="1"/>
  <c r="AN809" i="1"/>
  <c r="AP809" i="1" s="1"/>
  <c r="AN845" i="1"/>
  <c r="AP845" i="1" s="1"/>
  <c r="AN856" i="1"/>
  <c r="AP856" i="1" s="1"/>
  <c r="AN863" i="1"/>
  <c r="AP863" i="1" s="1"/>
  <c r="AN868" i="1"/>
  <c r="AP868" i="1" s="1"/>
  <c r="AN891" i="1"/>
  <c r="AP891" i="1" s="1"/>
  <c r="AN892" i="1"/>
  <c r="AP892" i="1" s="1"/>
  <c r="AN897" i="1"/>
  <c r="AP897" i="1" s="1"/>
  <c r="AN915" i="1"/>
  <c r="AP915" i="1" s="1"/>
  <c r="AN916" i="1"/>
  <c r="AP916" i="1" s="1"/>
  <c r="AN961" i="1"/>
  <c r="AP961" i="1" s="1"/>
  <c r="AN966" i="1"/>
  <c r="AP966" i="1" s="1"/>
  <c r="AN965" i="1"/>
  <c r="AP965" i="1" s="1"/>
  <c r="AN967" i="1"/>
  <c r="AP967" i="1" s="1"/>
  <c r="AN1059" i="1"/>
  <c r="AP1059" i="1" s="1"/>
  <c r="AN1078" i="1"/>
  <c r="AP1078" i="1" s="1"/>
  <c r="AN1079" i="1"/>
  <c r="AP1079" i="1" s="1"/>
  <c r="AN1083" i="1"/>
  <c r="AP1083" i="1" s="1"/>
  <c r="AN1126" i="1"/>
  <c r="AP1126" i="1" s="1"/>
  <c r="AN1142" i="1"/>
  <c r="AP1142" i="1" s="1"/>
  <c r="AN1156" i="1"/>
  <c r="AP1156" i="1" s="1"/>
  <c r="AN1165" i="1"/>
  <c r="AP1165" i="1" s="1"/>
  <c r="AN1174" i="1"/>
  <c r="AP1174" i="1" s="1"/>
  <c r="AN1181" i="1"/>
  <c r="AP1181" i="1" s="1"/>
  <c r="AN1188" i="1"/>
  <c r="AP1188" i="1" s="1"/>
  <c r="AN1201" i="1"/>
  <c r="AP1201" i="1" s="1"/>
  <c r="AN1212" i="1"/>
  <c r="AP1212" i="1" s="1"/>
  <c r="AN1420" i="1"/>
  <c r="AP1420" i="1" s="1"/>
  <c r="AN1616" i="1"/>
  <c r="AP1616" i="1" s="1"/>
  <c r="AN38" i="1"/>
  <c r="AP38" i="1" s="1"/>
  <c r="AN46" i="1"/>
  <c r="AP46" i="1" s="1"/>
  <c r="AN54" i="1"/>
  <c r="AP54" i="1" s="1"/>
  <c r="AN107" i="1"/>
  <c r="AP107" i="1" s="1"/>
  <c r="AN124" i="1"/>
  <c r="AP124" i="1" s="1"/>
  <c r="AN141" i="1"/>
  <c r="AP141" i="1" s="1"/>
  <c r="AN162" i="1"/>
  <c r="AP162" i="1" s="1"/>
  <c r="AN86" i="1"/>
  <c r="AP86" i="1" s="1"/>
  <c r="AN152" i="1"/>
  <c r="AP152" i="1" s="1"/>
  <c r="AN199" i="1"/>
  <c r="AP199" i="1" s="1"/>
  <c r="AN208" i="1"/>
  <c r="AP208" i="1" s="1"/>
  <c r="AN243" i="1"/>
  <c r="AP243" i="1" s="1"/>
  <c r="AN249" i="1"/>
  <c r="AP249" i="1" s="1"/>
  <c r="AN265" i="1"/>
  <c r="AP265" i="1" s="1"/>
  <c r="AN285" i="1"/>
  <c r="AP285" i="1" s="1"/>
  <c r="AN314" i="1"/>
  <c r="AP314" i="1" s="1"/>
  <c r="AN323" i="1"/>
  <c r="AP323" i="1" s="1"/>
  <c r="AN329" i="1"/>
  <c r="AP329" i="1" s="1"/>
  <c r="AN349" i="1"/>
  <c r="AP349" i="1" s="1"/>
  <c r="AN422" i="1"/>
  <c r="AP422" i="1" s="1"/>
  <c r="AN20" i="1"/>
  <c r="AP20" i="1" s="1"/>
  <c r="AN28" i="1"/>
  <c r="AP28" i="1" s="1"/>
  <c r="AN36" i="1"/>
  <c r="AP36" i="1" s="1"/>
  <c r="AN44" i="1"/>
  <c r="AP44" i="1" s="1"/>
  <c r="AN50" i="1"/>
  <c r="AP50" i="1" s="1"/>
  <c r="AN52" i="1"/>
  <c r="AP52" i="1" s="1"/>
  <c r="AN65" i="1"/>
  <c r="AP65" i="1" s="1"/>
  <c r="AN71" i="1"/>
  <c r="AP71" i="1" s="1"/>
  <c r="AN75" i="1"/>
  <c r="AP75" i="1" s="1"/>
  <c r="AN80" i="1"/>
  <c r="AP80" i="1" s="1"/>
  <c r="AN98" i="1"/>
  <c r="AP98" i="1" s="1"/>
  <c r="AN108" i="1"/>
  <c r="AP108" i="1" s="1"/>
  <c r="AN112" i="1"/>
  <c r="AP112" i="1" s="1"/>
  <c r="AN127" i="1"/>
  <c r="AP127" i="1" s="1"/>
  <c r="AN139" i="1"/>
  <c r="AP139" i="1" s="1"/>
  <c r="AN149" i="1"/>
  <c r="AP149" i="1" s="1"/>
  <c r="AN165" i="1"/>
  <c r="AP165" i="1" s="1"/>
  <c r="AN171" i="1"/>
  <c r="AP171" i="1" s="1"/>
  <c r="AN177" i="1"/>
  <c r="AP177" i="1" s="1"/>
  <c r="AN178" i="1"/>
  <c r="AP178" i="1" s="1"/>
  <c r="AN180" i="1"/>
  <c r="AP180" i="1" s="1"/>
  <c r="AN192" i="1"/>
  <c r="AP192" i="1" s="1"/>
  <c r="AN205" i="1"/>
  <c r="AP205" i="1" s="1"/>
  <c r="AN213" i="1"/>
  <c r="AP213" i="1" s="1"/>
  <c r="AN222" i="1"/>
  <c r="AP222" i="1" s="1"/>
  <c r="AN240" i="1"/>
  <c r="AP240" i="1" s="1"/>
  <c r="AN246" i="1"/>
  <c r="AP246" i="1" s="1"/>
  <c r="AN263" i="1"/>
  <c r="AP263" i="1" s="1"/>
  <c r="AN275" i="1"/>
  <c r="AP275" i="1" s="1"/>
  <c r="AN276" i="1"/>
  <c r="AP276" i="1" s="1"/>
  <c r="AN289" i="1"/>
  <c r="AP289" i="1" s="1"/>
  <c r="AN299" i="1"/>
  <c r="AP299" i="1" s="1"/>
  <c r="AN310" i="1"/>
  <c r="AP310" i="1" s="1"/>
  <c r="AN312" i="1"/>
  <c r="AP312" i="1" s="1"/>
  <c r="AN313" i="1"/>
  <c r="AP313" i="1" s="1"/>
  <c r="AN325" i="1"/>
  <c r="AP325" i="1" s="1"/>
  <c r="AN326" i="1"/>
  <c r="AP326" i="1" s="1"/>
  <c r="AN341" i="1"/>
  <c r="AP341" i="1" s="1"/>
  <c r="AN344" i="1"/>
  <c r="AP344" i="1" s="1"/>
  <c r="AN363" i="1"/>
  <c r="AP363" i="1" s="1"/>
  <c r="AN364" i="1"/>
  <c r="AP364" i="1" s="1"/>
  <c r="AN367" i="1"/>
  <c r="AP367" i="1" s="1"/>
  <c r="AN366" i="1"/>
  <c r="AP366" i="1" s="1"/>
  <c r="AN376" i="1"/>
  <c r="AP376" i="1" s="1"/>
  <c r="AN406" i="1"/>
  <c r="AP406" i="1" s="1"/>
  <c r="AN417" i="1"/>
  <c r="AP417" i="1" s="1"/>
  <c r="AN444" i="1"/>
  <c r="AP444" i="1" s="1"/>
  <c r="AN459" i="1"/>
  <c r="AP459" i="1" s="1"/>
  <c r="AN460" i="1"/>
  <c r="AP460" i="1" s="1"/>
  <c r="AN462" i="1"/>
  <c r="AP462" i="1" s="1"/>
  <c r="AN479" i="1"/>
  <c r="AP479" i="1" s="1"/>
  <c r="AN480" i="1"/>
  <c r="AP480" i="1" s="1"/>
  <c r="AN497" i="1"/>
  <c r="AP497" i="1" s="1"/>
  <c r="AN498" i="1"/>
  <c r="AP498" i="1" s="1"/>
  <c r="AN499" i="1"/>
  <c r="AP499" i="1" s="1"/>
  <c r="AN500" i="1"/>
  <c r="AP500" i="1" s="1"/>
  <c r="AN501" i="1"/>
  <c r="AP501" i="1" s="1"/>
  <c r="AN502" i="1"/>
  <c r="AP502" i="1" s="1"/>
  <c r="AN503" i="1"/>
  <c r="AP503" i="1" s="1"/>
  <c r="AN507" i="1"/>
  <c r="AP507" i="1" s="1"/>
  <c r="AN508" i="1"/>
  <c r="AP508" i="1" s="1"/>
  <c r="AN509" i="1"/>
  <c r="AP509" i="1" s="1"/>
  <c r="AN510" i="1"/>
  <c r="AP510" i="1" s="1"/>
  <c r="AN511" i="1"/>
  <c r="AP511" i="1" s="1"/>
  <c r="AN512" i="1"/>
  <c r="AP512" i="1" s="1"/>
  <c r="AN513" i="1"/>
  <c r="AP513" i="1" s="1"/>
  <c r="AN514" i="1"/>
  <c r="AP514" i="1" s="1"/>
  <c r="AN515" i="1"/>
  <c r="AP515" i="1" s="1"/>
  <c r="AN516" i="1"/>
  <c r="AP516" i="1" s="1"/>
  <c r="AN517" i="1"/>
  <c r="AP517" i="1" s="1"/>
  <c r="AN518" i="1"/>
  <c r="AP518" i="1" s="1"/>
  <c r="AN519" i="1"/>
  <c r="AP519" i="1" s="1"/>
  <c r="AN520" i="1"/>
  <c r="AP520" i="1" s="1"/>
  <c r="AN521" i="1"/>
  <c r="AP521" i="1" s="1"/>
  <c r="AN522" i="1"/>
  <c r="AP522" i="1" s="1"/>
  <c r="AN523" i="1"/>
  <c r="AP523" i="1" s="1"/>
  <c r="AN524" i="1"/>
  <c r="AP524" i="1" s="1"/>
  <c r="AN525" i="1"/>
  <c r="AP525" i="1" s="1"/>
  <c r="AN526" i="1"/>
  <c r="AP526" i="1" s="1"/>
  <c r="AN527" i="1"/>
  <c r="AP527" i="1" s="1"/>
  <c r="AN528" i="1"/>
  <c r="AP528" i="1" s="1"/>
  <c r="AN529" i="1"/>
  <c r="AP529" i="1" s="1"/>
  <c r="AN530" i="1"/>
  <c r="AP530" i="1" s="1"/>
  <c r="AN533" i="1"/>
  <c r="AP533" i="1" s="1"/>
  <c r="AN534" i="1"/>
  <c r="AP534" i="1" s="1"/>
  <c r="AN535" i="1"/>
  <c r="AP535" i="1" s="1"/>
  <c r="AN536" i="1"/>
  <c r="AP536" i="1" s="1"/>
  <c r="AN537" i="1"/>
  <c r="AP537" i="1" s="1"/>
  <c r="AN538" i="1"/>
  <c r="AP538" i="1" s="1"/>
  <c r="AN539" i="1"/>
  <c r="AP539" i="1" s="1"/>
  <c r="AN540" i="1"/>
  <c r="AP540" i="1" s="1"/>
  <c r="AN541" i="1"/>
  <c r="AP541" i="1" s="1"/>
  <c r="AN542" i="1"/>
  <c r="AP542" i="1" s="1"/>
  <c r="AN543" i="1"/>
  <c r="AP543" i="1" s="1"/>
  <c r="AN544" i="1"/>
  <c r="AP544" i="1" s="1"/>
  <c r="AN545" i="1"/>
  <c r="AP545" i="1" s="1"/>
  <c r="AN546" i="1"/>
  <c r="AP546" i="1" s="1"/>
  <c r="AN547" i="1"/>
  <c r="AP547" i="1" s="1"/>
  <c r="AN548" i="1"/>
  <c r="AP548" i="1" s="1"/>
  <c r="AN549" i="1"/>
  <c r="AP549" i="1" s="1"/>
  <c r="AN550" i="1"/>
  <c r="AP550" i="1" s="1"/>
  <c r="AN551" i="1"/>
  <c r="AP551" i="1" s="1"/>
  <c r="AN552" i="1"/>
  <c r="AP552" i="1" s="1"/>
  <c r="AN553" i="1"/>
  <c r="AP553" i="1" s="1"/>
  <c r="AN554" i="1"/>
  <c r="AP554" i="1" s="1"/>
  <c r="AN555" i="1"/>
  <c r="AP555" i="1" s="1"/>
  <c r="AN556" i="1"/>
  <c r="AP556" i="1" s="1"/>
  <c r="AN557" i="1"/>
  <c r="AP557" i="1" s="1"/>
  <c r="AN624" i="1"/>
  <c r="AP624" i="1" s="1"/>
  <c r="AN625" i="1"/>
  <c r="AP625" i="1" s="1"/>
  <c r="AN630" i="1"/>
  <c r="AP630" i="1" s="1"/>
  <c r="AN703" i="1"/>
  <c r="AP703" i="1" s="1"/>
  <c r="AN765" i="1"/>
  <c r="AP765" i="1" s="1"/>
  <c r="AN779" i="1"/>
  <c r="AP779" i="1" s="1"/>
  <c r="AN783" i="1"/>
  <c r="AP783" i="1" s="1"/>
  <c r="AN817" i="1"/>
  <c r="AP817" i="1" s="1"/>
  <c r="AN843" i="1"/>
  <c r="AP843" i="1" s="1"/>
  <c r="AN844" i="1"/>
  <c r="AP844" i="1" s="1"/>
  <c r="AN849" i="1"/>
  <c r="AP849" i="1" s="1"/>
  <c r="AN866" i="1"/>
  <c r="AP866" i="1" s="1"/>
  <c r="AN867" i="1"/>
  <c r="AP867" i="1" s="1"/>
  <c r="AN872" i="1"/>
  <c r="AP872" i="1" s="1"/>
  <c r="AN885" i="1"/>
  <c r="AP885" i="1" s="1"/>
  <c r="AN895" i="1"/>
  <c r="AP895" i="1" s="1"/>
  <c r="AN896" i="1"/>
  <c r="AP896" i="1" s="1"/>
  <c r="AN959" i="1"/>
  <c r="AP959" i="1" s="1"/>
  <c r="AN960" i="1"/>
  <c r="AP960" i="1" s="1"/>
  <c r="AN971" i="1"/>
  <c r="AP971" i="1" s="1"/>
  <c r="AN1072" i="1"/>
  <c r="AP1072" i="1" s="1"/>
  <c r="AN1097" i="1"/>
  <c r="AP1097" i="1" s="1"/>
  <c r="AN1137" i="1"/>
  <c r="AP1137" i="1" s="1"/>
  <c r="AN1274" i="1"/>
  <c r="AP1274" i="1" s="1"/>
  <c r="AN1275" i="1"/>
  <c r="AP1275" i="1" s="1"/>
  <c r="AN580" i="1"/>
  <c r="AP580" i="1" s="1"/>
  <c r="AN584" i="1"/>
  <c r="AP584" i="1" s="1"/>
  <c r="AN596" i="1"/>
  <c r="AP596" i="1" s="1"/>
  <c r="AN618" i="1"/>
  <c r="AP618" i="1" s="1"/>
  <c r="AN645" i="1"/>
  <c r="AP645" i="1" s="1"/>
  <c r="AN649" i="1"/>
  <c r="AP649" i="1" s="1"/>
  <c r="AN694" i="1"/>
  <c r="AP694" i="1" s="1"/>
  <c r="AN706" i="1"/>
  <c r="AP706" i="1" s="1"/>
  <c r="AN710" i="1"/>
  <c r="AP710" i="1" s="1"/>
  <c r="AN718" i="1"/>
  <c r="AP718" i="1" s="1"/>
  <c r="AN722" i="1"/>
  <c r="AP722" i="1" s="1"/>
  <c r="AN772" i="1"/>
  <c r="AP772" i="1" s="1"/>
  <c r="AN918" i="1"/>
  <c r="AP918" i="1" s="1"/>
  <c r="AN926" i="1"/>
  <c r="AP926" i="1" s="1"/>
  <c r="AN934" i="1"/>
  <c r="AP934" i="1" s="1"/>
  <c r="AN980" i="1"/>
  <c r="AP980" i="1" s="1"/>
  <c r="AN1098" i="1"/>
  <c r="AP1098" i="1" s="1"/>
  <c r="AN1102" i="1"/>
  <c r="AP1102" i="1" s="1"/>
  <c r="AN1123" i="1"/>
  <c r="AP1123" i="1" s="1"/>
  <c r="AN1131" i="1"/>
  <c r="AP1131" i="1" s="1"/>
  <c r="AN1143" i="1"/>
  <c r="AP1143" i="1" s="1"/>
  <c r="AN1159" i="1"/>
  <c r="AP1159" i="1" s="1"/>
  <c r="AN1284" i="1"/>
  <c r="AP1284" i="1" s="1"/>
  <c r="AN1446" i="1"/>
  <c r="AP1446" i="1" s="1"/>
  <c r="AN1491" i="1"/>
  <c r="AP1491" i="1" s="1"/>
  <c r="AN1495" i="1"/>
  <c r="AP1495" i="1" s="1"/>
  <c r="AN1551" i="1"/>
  <c r="AP1551" i="1" s="1"/>
  <c r="AN1554" i="1"/>
  <c r="AP1554" i="1" s="1"/>
  <c r="AN1587" i="1"/>
  <c r="AP1587" i="1" s="1"/>
  <c r="AN1591" i="1"/>
  <c r="AP1591" i="1" s="1"/>
  <c r="AN1657" i="1"/>
  <c r="AP1657" i="1" s="1"/>
  <c r="AN1676" i="1"/>
  <c r="AP1676" i="1" s="1"/>
  <c r="AN1678" i="1"/>
  <c r="AP1678" i="1" s="1"/>
  <c r="AN1723" i="1"/>
  <c r="AP1723" i="1" s="1"/>
  <c r="AN1753" i="1"/>
  <c r="AP1753" i="1" s="1"/>
  <c r="AN1860" i="1"/>
  <c r="AP1860" i="1" s="1"/>
  <c r="AN1889" i="1"/>
  <c r="AP1889" i="1" s="1"/>
  <c r="AN1960" i="1"/>
  <c r="AP1960" i="1" s="1"/>
  <c r="AN558" i="1"/>
  <c r="AP558" i="1" s="1"/>
  <c r="AN563" i="1"/>
  <c r="AP563" i="1" s="1"/>
  <c r="AN571" i="1"/>
  <c r="AP571" i="1" s="1"/>
  <c r="AN581" i="1"/>
  <c r="AP581" i="1" s="1"/>
  <c r="AN589" i="1"/>
  <c r="AP589" i="1" s="1"/>
  <c r="AN593" i="1"/>
  <c r="AP593" i="1" s="1"/>
  <c r="AN601" i="1"/>
  <c r="AP601" i="1" s="1"/>
  <c r="AN605" i="1"/>
  <c r="AP605" i="1" s="1"/>
  <c r="AN609" i="1"/>
  <c r="AP609" i="1" s="1"/>
  <c r="AN615" i="1"/>
  <c r="AP615" i="1" s="1"/>
  <c r="AN619" i="1"/>
  <c r="AP619" i="1" s="1"/>
  <c r="AN634" i="1"/>
  <c r="AP634" i="1" s="1"/>
  <c r="AN642" i="1"/>
  <c r="AP642" i="1" s="1"/>
  <c r="AN646" i="1"/>
  <c r="AP646" i="1" s="1"/>
  <c r="AN650" i="1"/>
  <c r="AP650" i="1" s="1"/>
  <c r="AN654" i="1"/>
  <c r="AP654" i="1" s="1"/>
  <c r="AN660" i="1"/>
  <c r="AP660" i="1" s="1"/>
  <c r="AN664" i="1"/>
  <c r="AP664" i="1" s="1"/>
  <c r="AN691" i="1"/>
  <c r="AP691" i="1" s="1"/>
  <c r="AN698" i="1"/>
  <c r="AP698" i="1" s="1"/>
  <c r="AN707" i="1"/>
  <c r="AP707" i="1" s="1"/>
  <c r="AN711" i="1"/>
  <c r="AP711" i="1" s="1"/>
  <c r="AN715" i="1"/>
  <c r="AP715" i="1" s="1"/>
  <c r="AN719" i="1"/>
  <c r="AP719" i="1" s="1"/>
  <c r="AN723" i="1"/>
  <c r="AP723" i="1" s="1"/>
  <c r="AN751" i="1"/>
  <c r="AP751" i="1" s="1"/>
  <c r="AN756" i="1"/>
  <c r="AP756" i="1" s="1"/>
  <c r="AN760" i="1"/>
  <c r="AP760" i="1" s="1"/>
  <c r="AN773" i="1"/>
  <c r="AP773" i="1" s="1"/>
  <c r="AN781" i="1"/>
  <c r="AP781" i="1" s="1"/>
  <c r="AN785" i="1"/>
  <c r="AP785" i="1" s="1"/>
  <c r="AN792" i="1"/>
  <c r="AP792" i="1" s="1"/>
  <c r="AN793" i="1"/>
  <c r="AP793" i="1" s="1"/>
  <c r="AN812" i="1"/>
  <c r="AP812" i="1" s="1"/>
  <c r="AN815" i="1"/>
  <c r="AP815" i="1" s="1"/>
  <c r="AN832" i="1"/>
  <c r="AP832" i="1" s="1"/>
  <c r="AN834" i="1"/>
  <c r="AP834" i="1" s="1"/>
  <c r="AN899" i="1"/>
  <c r="AP899" i="1" s="1"/>
  <c r="AN902" i="1"/>
  <c r="AP902" i="1" s="1"/>
  <c r="AN906" i="1"/>
  <c r="AP906" i="1" s="1"/>
  <c r="AN919" i="1"/>
  <c r="AP919" i="1" s="1"/>
  <c r="AN923" i="1"/>
  <c r="AP923" i="1" s="1"/>
  <c r="AN927" i="1"/>
  <c r="AP927" i="1" s="1"/>
  <c r="AN930" i="1"/>
  <c r="AP930" i="1" s="1"/>
  <c r="AN931" i="1"/>
  <c r="AP931" i="1" s="1"/>
  <c r="AN935" i="1"/>
  <c r="AP935" i="1" s="1"/>
  <c r="AN970" i="1"/>
  <c r="AP970" i="1" s="1"/>
  <c r="AN973" i="1"/>
  <c r="AP973" i="1" s="1"/>
  <c r="AN976" i="1"/>
  <c r="AP976" i="1" s="1"/>
  <c r="AN981" i="1"/>
  <c r="AP981" i="1" s="1"/>
  <c r="AN989" i="1"/>
  <c r="AP989" i="1" s="1"/>
  <c r="AN992" i="1"/>
  <c r="AP992" i="1" s="1"/>
  <c r="AN1041" i="1"/>
  <c r="AP1041" i="1" s="1"/>
  <c r="AN1044" i="1"/>
  <c r="AP1044" i="1" s="1"/>
  <c r="AN1063" i="1"/>
  <c r="AP1063" i="1" s="1"/>
  <c r="AN1082" i="1"/>
  <c r="AP1082" i="1" s="1"/>
  <c r="AN1086" i="1"/>
  <c r="AP1086" i="1" s="1"/>
  <c r="AN1091" i="1"/>
  <c r="AP1091" i="1" s="1"/>
  <c r="AN1107" i="1"/>
  <c r="AP1107" i="1" s="1"/>
  <c r="AN1110" i="1"/>
  <c r="AP1110" i="1" s="1"/>
  <c r="AN1114" i="1"/>
  <c r="AP1114" i="1" s="1"/>
  <c r="AN1118" i="1"/>
  <c r="AP1118" i="1" s="1"/>
  <c r="AN1128" i="1"/>
  <c r="AP1128" i="1" s="1"/>
  <c r="AN1136" i="1"/>
  <c r="AP1136" i="1" s="1"/>
  <c r="AN1140" i="1"/>
  <c r="AP1140" i="1" s="1"/>
  <c r="AN1148" i="1"/>
  <c r="AP1148" i="1" s="1"/>
  <c r="AN1167" i="1"/>
  <c r="AP1167" i="1" s="1"/>
  <c r="AN1171" i="1"/>
  <c r="AP1171" i="1" s="1"/>
  <c r="AN1176" i="1"/>
  <c r="AP1176" i="1" s="1"/>
  <c r="AN1196" i="1"/>
  <c r="AP1196" i="1" s="1"/>
  <c r="AN1204" i="1"/>
  <c r="AP1204" i="1" s="1"/>
  <c r="AS1204" i="1" s="1"/>
  <c r="AN1240" i="1"/>
  <c r="AP1240" i="1" s="1"/>
  <c r="AN1244" i="1"/>
  <c r="AP1244" i="1" s="1"/>
  <c r="AN1354" i="1"/>
  <c r="AP1354" i="1" s="1"/>
  <c r="AN1358" i="1"/>
  <c r="AP1358" i="1" s="1"/>
  <c r="AN1362" i="1"/>
  <c r="AP1362" i="1" s="1"/>
  <c r="AN1366" i="1"/>
  <c r="AP1366" i="1" s="1"/>
  <c r="AN1370" i="1"/>
  <c r="AP1370" i="1" s="1"/>
  <c r="AN1374" i="1"/>
  <c r="AP1374" i="1" s="1"/>
  <c r="AN1378" i="1"/>
  <c r="AP1378" i="1" s="1"/>
  <c r="AN1385" i="1"/>
  <c r="AP1385" i="1" s="1"/>
  <c r="AN1397" i="1"/>
  <c r="AP1397" i="1" s="1"/>
  <c r="AN1403" i="1"/>
  <c r="AP1403" i="1" s="1"/>
  <c r="AN1404" i="1"/>
  <c r="AP1404" i="1" s="1"/>
  <c r="AN1447" i="1"/>
  <c r="AP1447" i="1" s="1"/>
  <c r="AN1448" i="1"/>
  <c r="AP1448" i="1" s="1"/>
  <c r="AN1452" i="1"/>
  <c r="AP1452" i="1" s="1"/>
  <c r="AN1461" i="1"/>
  <c r="AP1461" i="1" s="1"/>
  <c r="AN1465" i="1"/>
  <c r="AP1465" i="1" s="1"/>
  <c r="AN1562" i="1"/>
  <c r="AP1562" i="1" s="1"/>
  <c r="AN1567" i="1"/>
  <c r="AP1567" i="1" s="1"/>
  <c r="AN1604" i="1"/>
  <c r="AP1604" i="1" s="1"/>
  <c r="AN1608" i="1"/>
  <c r="AP1608" i="1" s="1"/>
  <c r="AN1612" i="1"/>
  <c r="AP1612" i="1" s="1"/>
  <c r="AN1652" i="1"/>
  <c r="AP1652" i="1" s="1"/>
  <c r="AN1655" i="1"/>
  <c r="AP1655" i="1" s="1"/>
  <c r="AN1679" i="1"/>
  <c r="AP1679" i="1" s="1"/>
  <c r="AN1708" i="1"/>
  <c r="AP1708" i="1" s="1"/>
  <c r="AN1712" i="1"/>
  <c r="AP1712" i="1" s="1"/>
  <c r="AN1717" i="1"/>
  <c r="AP1717" i="1" s="1"/>
  <c r="AN1760" i="1"/>
  <c r="AP1760" i="1" s="1"/>
  <c r="AN1766" i="1"/>
  <c r="AP1766" i="1" s="1"/>
  <c r="AN1788" i="1"/>
  <c r="AP1788" i="1" s="1"/>
  <c r="AN1818" i="1"/>
  <c r="AP1818" i="1" s="1"/>
  <c r="AN1887" i="1"/>
  <c r="AP1887" i="1" s="1"/>
  <c r="AN1917" i="1"/>
  <c r="AP1917" i="1" s="1"/>
  <c r="AN1916" i="1"/>
  <c r="AP1916" i="1" s="1"/>
  <c r="AN576" i="1"/>
  <c r="AP576" i="1" s="1"/>
  <c r="AN588" i="1"/>
  <c r="AP588" i="1" s="1"/>
  <c r="AN592" i="1"/>
  <c r="AP592" i="1" s="1"/>
  <c r="AN600" i="1"/>
  <c r="AP600" i="1" s="1"/>
  <c r="AN608" i="1"/>
  <c r="AP608" i="1" s="1"/>
  <c r="AN612" i="1"/>
  <c r="AP612" i="1" s="1"/>
  <c r="AN639" i="1"/>
  <c r="AP639" i="1" s="1"/>
  <c r="AN653" i="1"/>
  <c r="AP653" i="1" s="1"/>
  <c r="AN657" i="1"/>
  <c r="AP657" i="1" s="1"/>
  <c r="AN662" i="1"/>
  <c r="AP662" i="1" s="1"/>
  <c r="AN714" i="1"/>
  <c r="AP714" i="1" s="1"/>
  <c r="AN821" i="1"/>
  <c r="AP821" i="1" s="1"/>
  <c r="AN922" i="1"/>
  <c r="AP922" i="1" s="1"/>
  <c r="AN1062" i="1"/>
  <c r="AP1062" i="1" s="1"/>
  <c r="AN1081" i="1"/>
  <c r="AP1081" i="1" s="1"/>
  <c r="AN1127" i="1"/>
  <c r="AP1127" i="1" s="1"/>
  <c r="AN1135" i="1"/>
  <c r="AP1135" i="1" s="1"/>
  <c r="AN1175" i="1"/>
  <c r="AP1175" i="1" s="1"/>
  <c r="AN1232" i="1"/>
  <c r="AP1232" i="1" s="1"/>
  <c r="AN1248" i="1"/>
  <c r="AP1248" i="1" s="1"/>
  <c r="AN1252" i="1"/>
  <c r="AP1252" i="1" s="1"/>
  <c r="AN1442" i="1"/>
  <c r="AP1442" i="1" s="1"/>
  <c r="AN118" i="1"/>
  <c r="AP118" i="1" s="1"/>
  <c r="AN566" i="1"/>
  <c r="AP566" i="1" s="1"/>
  <c r="AN574" i="1"/>
  <c r="AP574" i="1" s="1"/>
  <c r="AN578" i="1"/>
  <c r="AP578" i="1" s="1"/>
  <c r="AN586" i="1"/>
  <c r="AP586" i="1" s="1"/>
  <c r="AN590" i="1"/>
  <c r="AP590" i="1" s="1"/>
  <c r="AN594" i="1"/>
  <c r="AP594" i="1" s="1"/>
  <c r="AN598" i="1"/>
  <c r="AP598" i="1" s="1"/>
  <c r="AN602" i="1"/>
  <c r="AP602" i="1" s="1"/>
  <c r="AN606" i="1"/>
  <c r="AP606" i="1" s="1"/>
  <c r="AN610" i="1"/>
  <c r="AP610" i="1" s="1"/>
  <c r="AN616" i="1"/>
  <c r="AP616" i="1" s="1"/>
  <c r="AN620" i="1"/>
  <c r="AP620" i="1" s="1"/>
  <c r="AN635" i="1"/>
  <c r="AP635" i="1" s="1"/>
  <c r="AN643" i="1"/>
  <c r="AP643" i="1" s="1"/>
  <c r="AN647" i="1"/>
  <c r="AP647" i="1" s="1"/>
  <c r="AN651" i="1"/>
  <c r="AP651" i="1" s="1"/>
  <c r="AN655" i="1"/>
  <c r="AP655" i="1" s="1"/>
  <c r="AN661" i="1"/>
  <c r="AP661" i="1" s="1"/>
  <c r="AN663" i="1"/>
  <c r="AP663" i="1" s="1"/>
  <c r="AN681" i="1"/>
  <c r="AP681" i="1" s="1"/>
  <c r="AN692" i="1"/>
  <c r="AP692" i="1" s="1"/>
  <c r="AN704" i="1"/>
  <c r="AP704" i="1" s="1"/>
  <c r="AN708" i="1"/>
  <c r="AP708" i="1" s="1"/>
  <c r="AN712" i="1"/>
  <c r="AP712" i="1" s="1"/>
  <c r="AN716" i="1"/>
  <c r="AP716" i="1" s="1"/>
  <c r="AN720" i="1"/>
  <c r="AP720" i="1" s="1"/>
  <c r="AN724" i="1"/>
  <c r="AP724" i="1" s="1"/>
  <c r="AN731" i="1"/>
  <c r="AP731" i="1" s="1"/>
  <c r="AN733" i="1"/>
  <c r="AP733" i="1" s="1"/>
  <c r="AN743" i="1"/>
  <c r="AP743" i="1" s="1"/>
  <c r="AN766" i="1"/>
  <c r="AP766" i="1" s="1"/>
  <c r="AN770" i="1"/>
  <c r="AP770" i="1" s="1"/>
  <c r="AN774" i="1"/>
  <c r="AP774" i="1" s="1"/>
  <c r="AN782" i="1"/>
  <c r="AP782" i="1" s="1"/>
  <c r="AN786" i="1"/>
  <c r="AP786" i="1" s="1"/>
  <c r="AN794" i="1"/>
  <c r="AP794" i="1" s="1"/>
  <c r="AN803" i="1"/>
  <c r="AP803" i="1" s="1"/>
  <c r="AN813" i="1"/>
  <c r="AP813" i="1" s="1"/>
  <c r="AN822" i="1"/>
  <c r="AP822" i="1" s="1"/>
  <c r="AN824" i="1"/>
  <c r="AP824" i="1" s="1"/>
  <c r="AN829" i="1"/>
  <c r="AP829" i="1" s="1"/>
  <c r="AN833" i="1"/>
  <c r="AP833" i="1" s="1"/>
  <c r="AN900" i="1"/>
  <c r="AP900" i="1" s="1"/>
  <c r="AN903" i="1"/>
  <c r="AP903" i="1" s="1"/>
  <c r="AN920" i="1"/>
  <c r="AP920" i="1" s="1"/>
  <c r="AN924" i="1"/>
  <c r="AP924" i="1" s="1"/>
  <c r="AN928" i="1"/>
  <c r="AP928" i="1" s="1"/>
  <c r="AN932" i="1"/>
  <c r="AP932" i="1" s="1"/>
  <c r="AN956" i="1"/>
  <c r="AP956" i="1" s="1"/>
  <c r="AN975" i="1"/>
  <c r="AP975" i="1" s="1"/>
  <c r="AN974" i="1"/>
  <c r="AP974" i="1" s="1"/>
  <c r="AN977" i="1"/>
  <c r="AP977" i="1" s="1"/>
  <c r="AN990" i="1"/>
  <c r="AP990" i="1" s="1"/>
  <c r="AN993" i="1"/>
  <c r="AP993" i="1" s="1"/>
  <c r="AN1042" i="1"/>
  <c r="AP1042" i="1" s="1"/>
  <c r="AN1047" i="1"/>
  <c r="AP1047" i="1" s="1"/>
  <c r="AN1050" i="1"/>
  <c r="AP1050" i="1" s="1"/>
  <c r="AN1054" i="1"/>
  <c r="AP1054" i="1" s="1"/>
  <c r="AN1058" i="1"/>
  <c r="AP1058" i="1" s="1"/>
  <c r="AN1065" i="1"/>
  <c r="AP1065" i="1" s="1"/>
  <c r="AN1075" i="1"/>
  <c r="AP1075" i="1" s="1"/>
  <c r="AN1099" i="1"/>
  <c r="AP1099" i="1" s="1"/>
  <c r="AN1103" i="1"/>
  <c r="AP1103" i="1" s="1"/>
  <c r="AN1119" i="1"/>
  <c r="AP1119" i="1" s="1"/>
  <c r="AN1121" i="1"/>
  <c r="AP1121" i="1" s="1"/>
  <c r="AN1124" i="1"/>
  <c r="AP1124" i="1" s="1"/>
  <c r="AN1132" i="1"/>
  <c r="AP1132" i="1" s="1"/>
  <c r="AN1144" i="1"/>
  <c r="AP1144" i="1" s="1"/>
  <c r="AN1153" i="1"/>
  <c r="AP1153" i="1" s="1"/>
  <c r="AN1157" i="1"/>
  <c r="AP1157" i="1" s="1"/>
  <c r="AN1160" i="1"/>
  <c r="AP1160" i="1" s="1"/>
  <c r="AN1172" i="1"/>
  <c r="AP1172" i="1" s="1"/>
  <c r="AN1177" i="1"/>
  <c r="AP1177" i="1" s="1"/>
  <c r="AN1197" i="1"/>
  <c r="AP1197" i="1" s="1"/>
  <c r="AN1202" i="1"/>
  <c r="AP1202" i="1" s="1"/>
  <c r="AN1210" i="1"/>
  <c r="AP1210" i="1" s="1"/>
  <c r="AN1218" i="1"/>
  <c r="AP1218" i="1" s="1"/>
  <c r="AN1289" i="1"/>
  <c r="AP1289" i="1" s="1"/>
  <c r="AN1321" i="1"/>
  <c r="AP1321" i="1" s="1"/>
  <c r="AN1379" i="1"/>
  <c r="AP1379" i="1" s="1"/>
  <c r="AN1391" i="1"/>
  <c r="AP1391" i="1" s="1"/>
  <c r="AN1462" i="1"/>
  <c r="AP1462" i="1" s="1"/>
  <c r="AN1467" i="1"/>
  <c r="AP1467" i="1" s="1"/>
  <c r="AN1484" i="1"/>
  <c r="AP1484" i="1" s="1"/>
  <c r="AN1509" i="1"/>
  <c r="AP1509" i="1" s="1"/>
  <c r="AN1513" i="1"/>
  <c r="AP1513" i="1" s="1"/>
  <c r="AN1517" i="1"/>
  <c r="AP1517" i="1" s="1"/>
  <c r="AN1527" i="1"/>
  <c r="AP1527" i="1" s="1"/>
  <c r="AN1531" i="1"/>
  <c r="AP1531" i="1" s="1"/>
  <c r="AN1561" i="1"/>
  <c r="AP1561" i="1" s="1"/>
  <c r="AN1569" i="1"/>
  <c r="AP1569" i="1" s="1"/>
  <c r="AN1595" i="1"/>
  <c r="AP1595" i="1" s="1"/>
  <c r="AN1625" i="1"/>
  <c r="AP1625" i="1" s="1"/>
  <c r="AN1632" i="1"/>
  <c r="AP1632" i="1" s="1"/>
  <c r="AN1638" i="1"/>
  <c r="AP1638" i="1" s="1"/>
  <c r="AN1651" i="1"/>
  <c r="AP1651" i="1" s="1"/>
  <c r="AN1653" i="1"/>
  <c r="AP1653" i="1" s="1"/>
  <c r="AN1696" i="1"/>
  <c r="AP1696" i="1" s="1"/>
  <c r="AN1730" i="1"/>
  <c r="AP1730" i="1" s="1"/>
  <c r="AN1982" i="1"/>
  <c r="AP1982" i="1" s="1"/>
  <c r="AN1234" i="1"/>
  <c r="AP1234" i="1" s="1"/>
  <c r="AN1249" i="1"/>
  <c r="AP1249" i="1" s="1"/>
  <c r="AN1253" i="1"/>
  <c r="AP1253" i="1" s="1"/>
  <c r="AN1255" i="1"/>
  <c r="AP1255" i="1" s="1"/>
  <c r="AN1281" i="1"/>
  <c r="AP1281" i="1" s="1"/>
  <c r="AN1285" i="1"/>
  <c r="AP1285" i="1" s="1"/>
  <c r="AN1299" i="1"/>
  <c r="AP1299" i="1" s="1"/>
  <c r="AN1314" i="1"/>
  <c r="AP1314" i="1" s="1"/>
  <c r="AN1326" i="1"/>
  <c r="AP1326" i="1" s="1"/>
  <c r="AN1328" i="1"/>
  <c r="AP1328" i="1" s="1"/>
  <c r="AN1330" i="1"/>
  <c r="AP1330" i="1" s="1"/>
  <c r="AN1390" i="1"/>
  <c r="AP1390" i="1" s="1"/>
  <c r="AN1401" i="1"/>
  <c r="AP1401" i="1" s="1"/>
  <c r="AN1424" i="1"/>
  <c r="AP1424" i="1" s="1"/>
  <c r="AN1433" i="1"/>
  <c r="AP1433" i="1" s="1"/>
  <c r="AN1449" i="1"/>
  <c r="AP1449" i="1" s="1"/>
  <c r="AN1464" i="1"/>
  <c r="AP1464" i="1" s="1"/>
  <c r="AN1483" i="1"/>
  <c r="AP1483" i="1" s="1"/>
  <c r="AN1485" i="1"/>
  <c r="AP1485" i="1" s="1"/>
  <c r="AN1492" i="1"/>
  <c r="AP1492" i="1" s="1"/>
  <c r="AN1496" i="1"/>
  <c r="AP1496" i="1" s="1"/>
  <c r="AN1498" i="1"/>
  <c r="AP1498" i="1" s="1"/>
  <c r="AN1507" i="1"/>
  <c r="AP1507" i="1" s="1"/>
  <c r="AN1511" i="1"/>
  <c r="AP1511" i="1" s="1"/>
  <c r="AN1516" i="1"/>
  <c r="AP1516" i="1" s="1"/>
  <c r="AN1518" i="1"/>
  <c r="AP1518" i="1" s="1"/>
  <c r="AN1529" i="1"/>
  <c r="AP1529" i="1" s="1"/>
  <c r="AN1533" i="1"/>
  <c r="AP1533" i="1" s="1"/>
  <c r="AN1535" i="1"/>
  <c r="AP1535" i="1" s="1"/>
  <c r="AN1556" i="1"/>
  <c r="AP1556" i="1" s="1"/>
  <c r="AN1564" i="1"/>
  <c r="AP1564" i="1" s="1"/>
  <c r="AN1566" i="1"/>
  <c r="AP1566" i="1" s="1"/>
  <c r="AN1568" i="1"/>
  <c r="AP1568" i="1" s="1"/>
  <c r="AN1570" i="1"/>
  <c r="AP1570" i="1" s="1"/>
  <c r="AN1597" i="1"/>
  <c r="AP1597" i="1" s="1"/>
  <c r="AN1602" i="1"/>
  <c r="AP1602" i="1" s="1"/>
  <c r="AN1609" i="1"/>
  <c r="AP1609" i="1" s="1"/>
  <c r="AN1613" i="1"/>
  <c r="AP1613" i="1" s="1"/>
  <c r="AN1623" i="1"/>
  <c r="AP1623" i="1" s="1"/>
  <c r="AN1629" i="1"/>
  <c r="AP1629" i="1" s="1"/>
  <c r="AN1631" i="1"/>
  <c r="AP1631" i="1" s="1"/>
  <c r="AN1633" i="1"/>
  <c r="AP1633" i="1" s="1"/>
  <c r="AN1643" i="1"/>
  <c r="AP1643" i="1" s="1"/>
  <c r="AN1647" i="1"/>
  <c r="AP1647" i="1" s="1"/>
  <c r="AN1656" i="1"/>
  <c r="AP1656" i="1" s="1"/>
  <c r="AN1725" i="1"/>
  <c r="AP1725" i="1" s="1"/>
  <c r="AN1749" i="1"/>
  <c r="AP1749" i="1" s="1"/>
  <c r="AN1762" i="1"/>
  <c r="AP1762" i="1" s="1"/>
  <c r="AN1769" i="1"/>
  <c r="AP1769" i="1" s="1"/>
  <c r="AN1821" i="1"/>
  <c r="AP1821" i="1" s="1"/>
  <c r="AN1825" i="1"/>
  <c r="AP1825" i="1" s="1"/>
  <c r="AN1829" i="1"/>
  <c r="AP1829" i="1" s="1"/>
  <c r="AN1842" i="1"/>
  <c r="AP1842" i="1" s="1"/>
  <c r="AN1895" i="1"/>
  <c r="AP1895" i="1" s="1"/>
  <c r="AN1943" i="1"/>
  <c r="AP1943" i="1" s="1"/>
  <c r="AN1946" i="1"/>
  <c r="AP1946" i="1" s="1"/>
  <c r="AN1947" i="1"/>
  <c r="AP1947" i="1" s="1"/>
  <c r="AN1953" i="1"/>
  <c r="AP1953" i="1" s="1"/>
  <c r="AN1961" i="1"/>
  <c r="AP1961" i="1" s="1"/>
  <c r="AN1967" i="1"/>
  <c r="AP1967" i="1" s="1"/>
  <c r="AN1981" i="1"/>
  <c r="AP1981" i="1" s="1"/>
  <c r="AN1986" i="1"/>
  <c r="AP1986" i="1" s="1"/>
  <c r="AN1996" i="1"/>
  <c r="AP1996" i="1" s="1"/>
  <c r="AN2005" i="1"/>
  <c r="AP2005" i="1" s="1"/>
  <c r="AN2003" i="1"/>
  <c r="AP2003" i="1" s="1"/>
  <c r="AN2004" i="1"/>
  <c r="AP2004" i="1" s="1"/>
  <c r="AN2002" i="1"/>
  <c r="AP2002" i="1" s="1"/>
  <c r="AN2043" i="1"/>
  <c r="AP2043" i="1" s="1"/>
  <c r="AN2070" i="1"/>
  <c r="AP2070" i="1" s="1"/>
  <c r="AN2091" i="1"/>
  <c r="AP2091" i="1" s="1"/>
  <c r="AN2115" i="1"/>
  <c r="AP2115" i="1" s="1"/>
  <c r="Q2434" i="1"/>
  <c r="S2433" i="1"/>
  <c r="AN1216" i="1"/>
  <c r="AP1216" i="1" s="1"/>
  <c r="AN1235" i="1"/>
  <c r="AP1235" i="1" s="1"/>
  <c r="AN1237" i="1"/>
  <c r="AP1237" i="1" s="1"/>
  <c r="AN1250" i="1"/>
  <c r="AP1250" i="1" s="1"/>
  <c r="AN1254" i="1"/>
  <c r="AP1254" i="1" s="1"/>
  <c r="AN1286" i="1"/>
  <c r="AP1286" i="1" s="1"/>
  <c r="AN1288" i="1"/>
  <c r="AP1288" i="1" s="1"/>
  <c r="AN1290" i="1"/>
  <c r="AP1290" i="1" s="1"/>
  <c r="AN1298" i="1"/>
  <c r="AP1298" i="1" s="1"/>
  <c r="AN1315" i="1"/>
  <c r="AP1315" i="1" s="1"/>
  <c r="AN1319" i="1"/>
  <c r="AP1319" i="1" s="1"/>
  <c r="AN1325" i="1"/>
  <c r="AP1325" i="1" s="1"/>
  <c r="AN1380" i="1"/>
  <c r="AP1380" i="1" s="1"/>
  <c r="AN1389" i="1"/>
  <c r="AP1389" i="1" s="1"/>
  <c r="AN1402" i="1"/>
  <c r="AP1402" i="1" s="1"/>
  <c r="AN1407" i="1"/>
  <c r="AP1407" i="1" s="1"/>
  <c r="AN1423" i="1"/>
  <c r="AP1423" i="1" s="1"/>
  <c r="AN1429" i="1"/>
  <c r="AP1429" i="1" s="1"/>
  <c r="AN1451" i="1"/>
  <c r="AP1451" i="1" s="1"/>
  <c r="AN1466" i="1"/>
  <c r="AP1466" i="1" s="1"/>
  <c r="AN1482" i="1"/>
  <c r="AP1482" i="1" s="1"/>
  <c r="AN1493" i="1"/>
  <c r="AP1493" i="1" s="1"/>
  <c r="AN1497" i="1"/>
  <c r="AP1497" i="1" s="1"/>
  <c r="AN1508" i="1"/>
  <c r="AP1508" i="1" s="1"/>
  <c r="AN1512" i="1"/>
  <c r="AP1512" i="1" s="1"/>
  <c r="AN1526" i="1"/>
  <c r="AP1526" i="1" s="1"/>
  <c r="AN1530" i="1"/>
  <c r="AP1530" i="1" s="1"/>
  <c r="AN1534" i="1"/>
  <c r="AP1534" i="1" s="1"/>
  <c r="AN1588" i="1"/>
  <c r="AP1588" i="1" s="1"/>
  <c r="AN1607" i="1"/>
  <c r="AP1607" i="1" s="1"/>
  <c r="AN1624" i="1"/>
  <c r="AP1624" i="1" s="1"/>
  <c r="AN1626" i="1"/>
  <c r="AP1626" i="1" s="1"/>
  <c r="AN1630" i="1"/>
  <c r="AP1630" i="1" s="1"/>
  <c r="AN1639" i="1"/>
  <c r="AP1639" i="1" s="1"/>
  <c r="AN1644" i="1"/>
  <c r="AP1644" i="1" s="1"/>
  <c r="AN1648" i="1"/>
  <c r="AP1648" i="1" s="1"/>
  <c r="AN1659" i="1"/>
  <c r="AP1659" i="1" s="1"/>
  <c r="AN1660" i="1"/>
  <c r="AP1660" i="1" s="1"/>
  <c r="AN1669" i="1"/>
  <c r="AP1669" i="1" s="1"/>
  <c r="AN1670" i="1"/>
  <c r="AP1670" i="1" s="1"/>
  <c r="AN1673" i="1"/>
  <c r="AP1673" i="1" s="1"/>
  <c r="AN1687" i="1"/>
  <c r="AP1687" i="1" s="1"/>
  <c r="AN1688" i="1"/>
  <c r="AP1688" i="1" s="1"/>
  <c r="AN1695" i="1"/>
  <c r="AP1695" i="1" s="1"/>
  <c r="AN1704" i="1"/>
  <c r="AP1704" i="1" s="1"/>
  <c r="AN1705" i="1"/>
  <c r="AP1705" i="1" s="1"/>
  <c r="AN1719" i="1"/>
  <c r="AP1719" i="1" s="1"/>
  <c r="AN1729" i="1"/>
  <c r="AP1729" i="1" s="1"/>
  <c r="AN1735" i="1"/>
  <c r="AP1735" i="1" s="1"/>
  <c r="AN1734" i="1"/>
  <c r="AP1734" i="1" s="1"/>
  <c r="AN1742" i="1"/>
  <c r="AP1742" i="1" s="1"/>
  <c r="AN1755" i="1"/>
  <c r="AP1755" i="1" s="1"/>
  <c r="AN1756" i="1"/>
  <c r="AP1756" i="1" s="1"/>
  <c r="AN1802" i="1"/>
  <c r="AP1802" i="1" s="1"/>
  <c r="AN1816" i="1"/>
  <c r="AP1816" i="1" s="1"/>
  <c r="AN1831" i="1"/>
  <c r="AP1831" i="1" s="1"/>
  <c r="AN1834" i="1"/>
  <c r="AP1834" i="1" s="1"/>
  <c r="AN1837" i="1"/>
  <c r="AP1837" i="1" s="1"/>
  <c r="AN1909" i="1"/>
  <c r="AP1909" i="1" s="1"/>
  <c r="AN1918" i="1"/>
  <c r="AP1918" i="1" s="1"/>
  <c r="AN1924" i="1"/>
  <c r="AP1924" i="1" s="1"/>
  <c r="AN1968" i="1"/>
  <c r="AP1968" i="1" s="1"/>
  <c r="AN1971" i="1"/>
  <c r="AP1971" i="1" s="1"/>
  <c r="AN1972" i="1"/>
  <c r="AP1972" i="1" s="1"/>
  <c r="AN1975" i="1"/>
  <c r="AP1975" i="1" s="1"/>
  <c r="AN1976" i="1"/>
  <c r="AP1976" i="1" s="1"/>
  <c r="AN1980" i="1"/>
  <c r="AP1980" i="1" s="1"/>
  <c r="AN1997" i="1"/>
  <c r="AP1997" i="1" s="1"/>
  <c r="AN2001" i="1"/>
  <c r="AP2001" i="1" s="1"/>
  <c r="AN2006" i="1"/>
  <c r="AP2006" i="1" s="1"/>
  <c r="AN2007" i="1"/>
  <c r="AP2007" i="1" s="1"/>
  <c r="AN2027" i="1"/>
  <c r="AP2027" i="1" s="1"/>
  <c r="AN2120" i="1"/>
  <c r="AP2120" i="1" s="1"/>
  <c r="AN2128" i="1"/>
  <c r="AP2128" i="1" s="1"/>
  <c r="AN2306" i="1"/>
  <c r="AP2306" i="1" s="1"/>
  <c r="AN2330" i="1"/>
  <c r="AP2330" i="1" s="1"/>
  <c r="AN1692" i="1"/>
  <c r="AP1692" i="1" s="1"/>
  <c r="AN1746" i="1"/>
  <c r="AP1746" i="1" s="1"/>
  <c r="AN1772" i="1"/>
  <c r="AP1772" i="1" s="1"/>
  <c r="AN1790" i="1"/>
  <c r="AP1790" i="1" s="1"/>
  <c r="AN1793" i="1"/>
  <c r="AP1793" i="1" s="1"/>
  <c r="AN1795" i="1"/>
  <c r="AP1795" i="1" s="1"/>
  <c r="AN1797" i="1"/>
  <c r="AP1797" i="1" s="1"/>
  <c r="AN1810" i="1"/>
  <c r="AP1810" i="1" s="1"/>
  <c r="AN1815" i="1"/>
  <c r="AP1815" i="1" s="1"/>
  <c r="AN1833" i="1"/>
  <c r="AP1833" i="1" s="1"/>
  <c r="AN1839" i="1"/>
  <c r="AP1839" i="1" s="1"/>
  <c r="AN1844" i="1"/>
  <c r="AP1844" i="1" s="1"/>
  <c r="AN1846" i="1"/>
  <c r="AP1846" i="1" s="1"/>
  <c r="AN1861" i="1"/>
  <c r="AP1861" i="1" s="1"/>
  <c r="AN1879" i="1"/>
  <c r="AP1879" i="1" s="1"/>
  <c r="AN1883" i="1"/>
  <c r="AP1883" i="1" s="1"/>
  <c r="AN1888" i="1"/>
  <c r="AP1888" i="1" s="1"/>
  <c r="AN1905" i="1"/>
  <c r="AP1905" i="1" s="1"/>
  <c r="AN1944" i="1"/>
  <c r="AP1944" i="1" s="1"/>
  <c r="AN1950" i="1"/>
  <c r="AP1950" i="1" s="1"/>
  <c r="AN1954" i="1"/>
  <c r="AP1954" i="1" s="1"/>
  <c r="AN1956" i="1"/>
  <c r="AP1956" i="1" s="1"/>
  <c r="AN1969" i="1"/>
  <c r="AP1969" i="1" s="1"/>
  <c r="AN1973" i="1"/>
  <c r="AP1973" i="1" s="1"/>
  <c r="AN1977" i="1"/>
  <c r="AP1977" i="1" s="1"/>
  <c r="AN1983" i="1"/>
  <c r="AP1983" i="1" s="1"/>
  <c r="AN1988" i="1"/>
  <c r="AP1988" i="1" s="1"/>
  <c r="AN2032" i="1"/>
  <c r="AP2032" i="1" s="1"/>
  <c r="AN2035" i="1"/>
  <c r="AP2035" i="1" s="1"/>
  <c r="AN2095" i="1"/>
  <c r="AP2095" i="1" s="1"/>
  <c r="AN2116" i="1"/>
  <c r="AP2116" i="1" s="1"/>
  <c r="AN2158" i="1"/>
  <c r="AP2158" i="1" s="1"/>
  <c r="AN2277" i="1"/>
  <c r="AP2277" i="1" s="1"/>
  <c r="AN1691" i="1"/>
  <c r="AP1691" i="1" s="1"/>
  <c r="AN1722" i="1"/>
  <c r="AP1722" i="1" s="1"/>
  <c r="AN1724" i="1"/>
  <c r="AP1724" i="1" s="1"/>
  <c r="AN1726" i="1"/>
  <c r="AP1726" i="1" s="1"/>
  <c r="AN1759" i="1"/>
  <c r="AP1759" i="1" s="1"/>
  <c r="AN1761" i="1"/>
  <c r="AP1761" i="1" s="1"/>
  <c r="AN1763" i="1"/>
  <c r="AP1763" i="1" s="1"/>
  <c r="AN1789" i="1"/>
  <c r="AP1789" i="1" s="1"/>
  <c r="AN1792" i="1"/>
  <c r="AP1792" i="1" s="1"/>
  <c r="AN1799" i="1"/>
  <c r="AP1799" i="1" s="1"/>
  <c r="AN1840" i="1"/>
  <c r="AP1840" i="1" s="1"/>
  <c r="AN1858" i="1"/>
  <c r="AP1858" i="1" s="1"/>
  <c r="AN1862" i="1"/>
  <c r="AP1862" i="1" s="1"/>
  <c r="AN1864" i="1"/>
  <c r="AP1864" i="1" s="1"/>
  <c r="AN1876" i="1"/>
  <c r="AP1876" i="1" s="1"/>
  <c r="AN1880" i="1"/>
  <c r="AP1880" i="1" s="1"/>
  <c r="AN1884" i="1"/>
  <c r="AP1884" i="1" s="1"/>
  <c r="AN1894" i="1"/>
  <c r="AP1894" i="1" s="1"/>
  <c r="AN1929" i="1"/>
  <c r="AP1929" i="1" s="1"/>
  <c r="AN1970" i="1"/>
  <c r="AP1970" i="1" s="1"/>
  <c r="AN1974" i="1"/>
  <c r="AP1974" i="1" s="1"/>
  <c r="AN2056" i="1"/>
  <c r="AP2056" i="1" s="1"/>
  <c r="AN2079" i="1"/>
  <c r="AP2079" i="1" s="1"/>
  <c r="AN2083" i="1"/>
  <c r="AP2083" i="1" s="1"/>
  <c r="AN2099" i="1"/>
  <c r="AP2099" i="1" s="1"/>
  <c r="AN2130" i="1"/>
  <c r="AP2130" i="1" s="1"/>
  <c r="AN2133" i="1"/>
  <c r="AP2133" i="1" s="1"/>
  <c r="AN2143" i="1"/>
  <c r="AP2143" i="1" s="1"/>
  <c r="AN2229" i="1"/>
  <c r="AP2229" i="1" s="1"/>
  <c r="AN1867" i="1"/>
  <c r="AP1867" i="1" s="1"/>
  <c r="AN1871" i="1"/>
  <c r="AP1871" i="1" s="1"/>
  <c r="AN1874" i="1"/>
  <c r="AP1874" i="1" s="1"/>
  <c r="AN2016" i="1"/>
  <c r="AP2016" i="1" s="1"/>
  <c r="AN2018" i="1"/>
  <c r="AP2018" i="1" s="1"/>
  <c r="AN2021" i="1"/>
  <c r="AP2021" i="1" s="1"/>
  <c r="AN2025" i="1"/>
  <c r="AP2025" i="1" s="1"/>
  <c r="AN2029" i="1"/>
  <c r="AP2029" i="1" s="1"/>
  <c r="AN2037" i="1"/>
  <c r="AP2037" i="1" s="1"/>
  <c r="AN2045" i="1"/>
  <c r="AP2045" i="1" s="1"/>
  <c r="AN2049" i="1"/>
  <c r="AP2049" i="1" s="1"/>
  <c r="AN2052" i="1"/>
  <c r="AP2052" i="1" s="1"/>
  <c r="AN2057" i="1"/>
  <c r="AP2057" i="1" s="1"/>
  <c r="AN2060" i="1"/>
  <c r="AP2060" i="1" s="1"/>
  <c r="AN2067" i="1"/>
  <c r="AP2067" i="1" s="1"/>
  <c r="AN2071" i="1"/>
  <c r="AP2071" i="1" s="1"/>
  <c r="AN2084" i="1"/>
  <c r="AP2084" i="1" s="1"/>
  <c r="AN2088" i="1"/>
  <c r="AP2088" i="1" s="1"/>
  <c r="AN2092" i="1"/>
  <c r="AP2092" i="1" s="1"/>
  <c r="AN2096" i="1"/>
  <c r="AP2096" i="1" s="1"/>
  <c r="AN2100" i="1"/>
  <c r="AP2100" i="1" s="1"/>
  <c r="AN2104" i="1"/>
  <c r="AP2104" i="1" s="1"/>
  <c r="AN2107" i="1"/>
  <c r="AP2107" i="1" s="1"/>
  <c r="AN2118" i="1"/>
  <c r="AP2118" i="1" s="1"/>
  <c r="AN2142" i="1"/>
  <c r="AP2142" i="1" s="1"/>
  <c r="AN2161" i="1"/>
  <c r="AP2161" i="1" s="1"/>
  <c r="AN2162" i="1"/>
  <c r="AP2162" i="1" s="1"/>
  <c r="AN2184" i="1"/>
  <c r="AP2184" i="1" s="1"/>
  <c r="AN2216" i="1"/>
  <c r="AP2216" i="1" s="1"/>
  <c r="AN2225" i="1"/>
  <c r="AP2225" i="1" s="1"/>
  <c r="AN2252" i="1"/>
  <c r="AP2252" i="1" s="1"/>
  <c r="AN2288" i="1"/>
  <c r="AP2288" i="1" s="1"/>
  <c r="AN2291" i="1"/>
  <c r="AP2291" i="1" s="1"/>
  <c r="AN2308" i="1"/>
  <c r="AP2308" i="1" s="1"/>
  <c r="AN2325" i="1"/>
  <c r="AP2325" i="1" s="1"/>
  <c r="AN2384" i="1"/>
  <c r="AP2384" i="1" s="1"/>
  <c r="AN2514" i="1"/>
  <c r="AP2514" i="1" s="1"/>
  <c r="AN1869" i="1"/>
  <c r="AP1869" i="1" s="1"/>
  <c r="AN2022" i="1"/>
  <c r="AP2022" i="1" s="1"/>
  <c r="AN2026" i="1"/>
  <c r="AP2026" i="1" s="1"/>
  <c r="AN2038" i="1"/>
  <c r="AP2038" i="1" s="1"/>
  <c r="AN2046" i="1"/>
  <c r="AP2046" i="1" s="1"/>
  <c r="AN2054" i="1"/>
  <c r="AP2054" i="1" s="1"/>
  <c r="AN2058" i="1"/>
  <c r="AP2058" i="1" s="1"/>
  <c r="AN2061" i="1"/>
  <c r="AP2061" i="1" s="1"/>
  <c r="AN2068" i="1"/>
  <c r="AP2068" i="1" s="1"/>
  <c r="AN2072" i="1"/>
  <c r="AP2072" i="1" s="1"/>
  <c r="AN2074" i="1"/>
  <c r="AP2074" i="1" s="1"/>
  <c r="AN2085" i="1"/>
  <c r="AP2085" i="1" s="1"/>
  <c r="AN2089" i="1"/>
  <c r="AP2089" i="1" s="1"/>
  <c r="AN2101" i="1"/>
  <c r="AP2101" i="1" s="1"/>
  <c r="AN2108" i="1"/>
  <c r="AP2108" i="1" s="1"/>
  <c r="AN2113" i="1"/>
  <c r="AP2113" i="1" s="1"/>
  <c r="AN2155" i="1"/>
  <c r="AP2155" i="1" s="1"/>
  <c r="AN2172" i="1"/>
  <c r="AP2172" i="1" s="1"/>
  <c r="AN2188" i="1"/>
  <c r="AP2188" i="1" s="1"/>
  <c r="AN2202" i="1"/>
  <c r="AP2202" i="1" s="1"/>
  <c r="AN2218" i="1"/>
  <c r="AP2218" i="1" s="1"/>
  <c r="AN2227" i="1"/>
  <c r="AP2227" i="1" s="1"/>
  <c r="AN2237" i="1"/>
  <c r="AP2237" i="1" s="1"/>
  <c r="AN2240" i="1"/>
  <c r="AP2240" i="1" s="1"/>
  <c r="AN2254" i="1"/>
  <c r="AP2254" i="1" s="1"/>
  <c r="AN2290" i="1"/>
  <c r="AP2290" i="1" s="1"/>
  <c r="AN2299" i="1"/>
  <c r="AP2299" i="1" s="1"/>
  <c r="AN2313" i="1"/>
  <c r="AP2313" i="1" s="1"/>
  <c r="AN2351" i="1"/>
  <c r="AP2351" i="1" s="1"/>
  <c r="AN2156" i="1"/>
  <c r="AP2156" i="1" s="1"/>
  <c r="AN2201" i="1"/>
  <c r="AP2201" i="1" s="1"/>
  <c r="AN2211" i="1"/>
  <c r="AP2211" i="1" s="1"/>
  <c r="AN2213" i="1"/>
  <c r="AP2213" i="1" s="1"/>
  <c r="AN2215" i="1"/>
  <c r="AP2215" i="1" s="1"/>
  <c r="AN2245" i="1"/>
  <c r="AP2245" i="1" s="1"/>
  <c r="AN2285" i="1"/>
  <c r="AP2285" i="1" s="1"/>
  <c r="AN2287" i="1"/>
  <c r="AP2287" i="1" s="1"/>
  <c r="AN2296" i="1"/>
  <c r="AP2296" i="1" s="1"/>
  <c r="AN2298" i="1"/>
  <c r="AP2298" i="1" s="1"/>
  <c r="AN2300" i="1"/>
  <c r="AP2300" i="1" s="1"/>
  <c r="AN2340" i="1"/>
  <c r="AP2340" i="1" s="1"/>
  <c r="AN2341" i="1"/>
  <c r="AP2341" i="1" s="1"/>
  <c r="AN2361" i="1"/>
  <c r="AP2361" i="1" s="1"/>
  <c r="AN2365" i="1"/>
  <c r="AP2365" i="1" s="1"/>
  <c r="AN2362" i="1"/>
  <c r="AP2362" i="1" s="1"/>
  <c r="AN2363" i="1"/>
  <c r="AP2363" i="1" s="1"/>
  <c r="AN2364" i="1"/>
  <c r="AP2364" i="1" s="1"/>
  <c r="AN2383" i="1"/>
  <c r="AP2383" i="1" s="1"/>
  <c r="AN2522" i="1"/>
  <c r="AP2522" i="1" s="1"/>
  <c r="AN2160" i="1"/>
  <c r="AP2160" i="1" s="1"/>
  <c r="AN2170" i="1"/>
  <c r="AP2170" i="1" s="1"/>
  <c r="AN2196" i="1"/>
  <c r="AP2196" i="1" s="1"/>
  <c r="AN2204" i="1"/>
  <c r="AP2204" i="1" s="1"/>
  <c r="AN2205" i="1"/>
  <c r="AP2205" i="1" s="1"/>
  <c r="AN2212" i="1"/>
  <c r="AP2212" i="1" s="1"/>
  <c r="AN2226" i="1"/>
  <c r="AP2226" i="1" s="1"/>
  <c r="AN2228" i="1"/>
  <c r="AP2228" i="1" s="1"/>
  <c r="AN2230" i="1"/>
  <c r="AP2230" i="1" s="1"/>
  <c r="AN2238" i="1"/>
  <c r="AP2238" i="1" s="1"/>
  <c r="AN2248" i="1"/>
  <c r="AP2248" i="1" s="1"/>
  <c r="AN2297" i="1"/>
  <c r="AP2297" i="1" s="1"/>
  <c r="AN2307" i="1"/>
  <c r="AP2307" i="1" s="1"/>
  <c r="AN2309" i="1"/>
  <c r="AP2309" i="1" s="1"/>
  <c r="AN2319" i="1"/>
  <c r="AP2319" i="1" s="1"/>
  <c r="AN2359" i="1"/>
  <c r="AP2359" i="1" s="1"/>
  <c r="AN2369" i="1"/>
  <c r="AP2369" i="1" s="1"/>
  <c r="AN2373" i="1"/>
  <c r="AP2373" i="1" s="1"/>
  <c r="AN2402" i="1"/>
  <c r="AP2402" i="1" s="1"/>
  <c r="AN2403" i="1"/>
  <c r="AP2403" i="1" s="1"/>
  <c r="AN2420" i="1"/>
  <c r="AP2420" i="1" s="1"/>
  <c r="AN2453" i="1"/>
  <c r="AP2453" i="1" s="1"/>
  <c r="AN2501" i="1"/>
  <c r="AP2501" i="1" s="1"/>
  <c r="AN2314" i="1"/>
  <c r="AP2314" i="1" s="1"/>
  <c r="AN2320" i="1"/>
  <c r="AP2320" i="1" s="1"/>
  <c r="AN2322" i="1"/>
  <c r="AP2322" i="1" s="1"/>
  <c r="AN2324" i="1"/>
  <c r="AP2324" i="1" s="1"/>
  <c r="AN2326" i="1"/>
  <c r="AP2326" i="1" s="1"/>
  <c r="AN2333" i="1"/>
  <c r="AP2333" i="1" s="1"/>
  <c r="AN2342" i="1"/>
  <c r="AP2342" i="1" s="1"/>
  <c r="AN2346" i="1"/>
  <c r="AP2346" i="1" s="1"/>
  <c r="AN2350" i="1"/>
  <c r="AP2350" i="1" s="1"/>
  <c r="AN2353" i="1"/>
  <c r="AP2353" i="1" s="1"/>
  <c r="AN2375" i="1"/>
  <c r="AP2375" i="1" s="1"/>
  <c r="AN2379" i="1"/>
  <c r="AP2379" i="1" s="1"/>
  <c r="AN2382" i="1"/>
  <c r="AP2382" i="1" s="1"/>
  <c r="AN2416" i="1"/>
  <c r="AP2416" i="1" s="1"/>
  <c r="AN2415" i="1"/>
  <c r="AP2415" i="1" s="1"/>
  <c r="AN2412" i="1"/>
  <c r="AP2412" i="1" s="1"/>
  <c r="AN2413" i="1"/>
  <c r="AP2413" i="1" s="1"/>
  <c r="AN2418" i="1"/>
  <c r="AP2418" i="1" s="1"/>
  <c r="AN2449" i="1"/>
  <c r="AP2449" i="1" s="1"/>
  <c r="AN2465" i="1"/>
  <c r="AP2465" i="1" s="1"/>
  <c r="AN2347" i="1"/>
  <c r="AP2347" i="1" s="1"/>
  <c r="AN2376" i="1"/>
  <c r="AP2376" i="1" s="1"/>
  <c r="AN2385" i="1"/>
  <c r="AP2385" i="1" s="1"/>
  <c r="AN2387" i="1"/>
  <c r="AP2387" i="1" s="1"/>
  <c r="AN2389" i="1"/>
  <c r="AP2389" i="1" s="1"/>
  <c r="AN2391" i="1"/>
  <c r="AP2391" i="1" s="1"/>
  <c r="AN2393" i="1"/>
  <c r="AP2393" i="1" s="1"/>
  <c r="AN2395" i="1"/>
  <c r="AP2395" i="1" s="1"/>
  <c r="AN2397" i="1"/>
  <c r="AP2397" i="1" s="1"/>
  <c r="AN2399" i="1"/>
  <c r="AP2399" i="1" s="1"/>
  <c r="AN2400" i="1"/>
  <c r="AP2400" i="1" s="1"/>
  <c r="AN2401" i="1"/>
  <c r="AP2401" i="1" s="1"/>
  <c r="AN2426" i="1"/>
  <c r="AP2426" i="1" s="1"/>
  <c r="AN2451" i="1"/>
  <c r="AP2451" i="1" s="1"/>
  <c r="AN2422" i="1"/>
  <c r="AP2422" i="1" s="1"/>
  <c r="AN2424" i="1"/>
  <c r="AP2424" i="1" s="1"/>
  <c r="AN2448" i="1"/>
  <c r="AP2448" i="1" s="1"/>
  <c r="AN2450" i="1"/>
  <c r="AP2450" i="1" s="1"/>
  <c r="AN2454" i="1"/>
  <c r="AP2454" i="1" s="1"/>
  <c r="AN2460" i="1"/>
  <c r="AP2460" i="1" s="1"/>
  <c r="AN2517" i="1"/>
  <c r="AP2517" i="1" s="1"/>
  <c r="AN2560" i="1"/>
  <c r="AP2560" i="1" s="1"/>
  <c r="AN2455" i="1"/>
  <c r="AP2455" i="1" s="1"/>
  <c r="AN2470" i="1"/>
  <c r="AP2470" i="1" s="1"/>
  <c r="AN2476" i="1"/>
  <c r="AP2476" i="1" s="1"/>
  <c r="AN2524" i="1"/>
  <c r="AP2524" i="1" s="1"/>
  <c r="AN2573" i="1"/>
  <c r="AP2573" i="1" s="1"/>
  <c r="AN2581" i="1"/>
  <c r="AP2581" i="1" s="1"/>
  <c r="AN2472" i="1"/>
  <c r="AP2472" i="1" s="1"/>
  <c r="AN2505" i="1"/>
  <c r="AP2505" i="1" s="1"/>
  <c r="AN2507" i="1"/>
  <c r="AP2507" i="1" s="1"/>
  <c r="AN2526" i="1"/>
  <c r="AP2526" i="1" s="1"/>
  <c r="AN2540" i="1"/>
  <c r="AP2540" i="1" s="1"/>
  <c r="AN2543" i="1"/>
  <c r="AP2543" i="1" s="1"/>
  <c r="AN2544" i="1"/>
  <c r="AP2544" i="1" s="1"/>
  <c r="AN2552" i="1"/>
  <c r="AP2552" i="1" s="1"/>
  <c r="AN2559" i="1"/>
  <c r="AP2559" i="1" s="1"/>
  <c r="AN2464" i="1"/>
  <c r="AP2464" i="1" s="1"/>
  <c r="AN2469" i="1"/>
  <c r="AP2469" i="1" s="1"/>
  <c r="AN2471" i="1"/>
  <c r="AP2471" i="1" s="1"/>
  <c r="AN2478" i="1"/>
  <c r="AP2478" i="1" s="1"/>
  <c r="AN2480" i="1"/>
  <c r="AP2480" i="1" s="1"/>
  <c r="AN2482" i="1"/>
  <c r="AP2482" i="1" s="1"/>
  <c r="AN2484" i="1"/>
  <c r="AP2484" i="1" s="1"/>
  <c r="AN2486" i="1"/>
  <c r="AP2486" i="1" s="1"/>
  <c r="AN2488" i="1"/>
  <c r="AP2488" i="1" s="1"/>
  <c r="AN2504" i="1"/>
  <c r="AP2504" i="1" s="1"/>
  <c r="AN2515" i="1"/>
  <c r="AP2515" i="1" s="1"/>
  <c r="AN2575" i="1"/>
  <c r="AP2575" i="1" s="1"/>
  <c r="AN2576" i="1"/>
  <c r="AP2576" i="1" s="1"/>
  <c r="AN2562" i="1"/>
  <c r="AP2562" i="1" s="1"/>
  <c r="AN2532" i="1"/>
  <c r="AP2532" i="1" s="1"/>
  <c r="AN2534" i="1"/>
  <c r="AP2534" i="1" s="1"/>
  <c r="AN2536" i="1"/>
  <c r="AP2536" i="1" s="1"/>
  <c r="AN2546" i="1"/>
  <c r="AP2546" i="1" s="1"/>
  <c r="AN2554" i="1"/>
  <c r="AP2554" i="1" s="1"/>
  <c r="AN2556" i="1"/>
  <c r="AP2556" i="1" s="1"/>
  <c r="AN2563" i="1"/>
  <c r="AP2563" i="1" s="1"/>
  <c r="AN2566" i="1"/>
  <c r="AP2566" i="1" s="1"/>
  <c r="AR1120" i="1" l="1"/>
  <c r="AS496" i="1"/>
  <c r="AU496" i="1" s="1"/>
  <c r="AN2447" i="1"/>
  <c r="AP2447" i="1" s="1"/>
  <c r="AN2444" i="1"/>
  <c r="AP2444" i="1" s="1"/>
  <c r="AN2438" i="1"/>
  <c r="AP2438" i="1" s="1"/>
  <c r="AN2442" i="1"/>
  <c r="AP2442" i="1" s="1"/>
  <c r="AN2440" i="1"/>
  <c r="AP2440" i="1" s="1"/>
  <c r="AN2439" i="1"/>
  <c r="AP2439" i="1" s="1"/>
  <c r="AN2441" i="1"/>
  <c r="AP2441" i="1" s="1"/>
  <c r="AN2436" i="1"/>
  <c r="AP2436" i="1" s="1"/>
  <c r="AN2435" i="1"/>
  <c r="AP2435" i="1" s="1"/>
  <c r="AN2433" i="1"/>
  <c r="AP2433" i="1" s="1"/>
  <c r="AN2434" i="1"/>
  <c r="AP2434" i="1" s="1"/>
  <c r="AN2446" i="1"/>
  <c r="AP2446" i="1" s="1"/>
  <c r="AN2445" i="1"/>
  <c r="AP2445" i="1" s="1"/>
  <c r="AN2437" i="1"/>
  <c r="AP2437" i="1" s="1"/>
  <c r="AN2443" i="1"/>
  <c r="AP2443" i="1" s="1"/>
</calcChain>
</file>

<file path=xl/sharedStrings.xml><?xml version="1.0" encoding="utf-8"?>
<sst xmlns="http://schemas.openxmlformats.org/spreadsheetml/2006/main" count="12790" uniqueCount="891">
  <si>
    <t>รายการที่ดิน</t>
  </si>
  <si>
    <t>รายการสิ่งปลูกสร้าง</t>
  </si>
  <si>
    <t>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</si>
  <si>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</si>
  <si>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</si>
  <si>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</si>
  <si>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</si>
  <si>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</si>
  <si>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</si>
  <si>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</si>
  <si>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ลักษณะการทำประโยชน์</t>
  </si>
  <si>
    <t>คำนวนเป็น ตร.ว.</t>
  </si>
  <si>
    <t>ราคาประเมินต่อ ตร.ว. (บาท)</t>
  </si>
  <si>
    <t>ราคาประเมินที่ดิน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</si>
  <si>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</si>
  <si>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</si>
  <si>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</si>
  <si>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</si>
  <si>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</si>
  <si>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</si>
  <si>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ลักษณการทำประโยชน์</t>
  </si>
  <si>
    <t>ขนาดพื้นที่สิ่งปลูกสร้าง (ตร.ม.)</t>
  </si>
  <si>
    <t>คิดเป็นสัดส่วนตามการใช้ประโยชน์ (ร้อยละ)</t>
  </si>
  <si>
    <t>ราคาประเมินสิ่งปลูกสร้างต่อ ตร.ม.</t>
  </si>
  <si>
    <t>รวมราคาสิ่งปลูกสร้าง (บาท)</t>
  </si>
  <si>
    <t>ค่าเสื่อม</t>
  </si>
  <si>
    <t>ราคาประเมินสิ่งปลูกสร้างหลังหักค่าเสื่อม (บาท)</t>
  </si>
  <si>
    <t>รวมราคาประเมินที่ดินและสิ่งปลูกสร้าง</t>
  </si>
  <si>
    <t>หักมูลค่าฐานภาษีที่ได้รับการยกเว้น</t>
  </si>
  <si>
    <t>คงเหลือราคาประเมินทุนทรัพย์ที่ต้องชำระภาษี (บาท)</t>
  </si>
  <si>
    <t>อัตราภาษี (ร้อยละ)</t>
  </si>
  <si>
    <t>ภาระภาษีปี 2562</t>
  </si>
  <si>
    <t>ผลต่าง</t>
  </si>
  <si>
    <t>บรรเทาร้อยละ 25</t>
  </si>
  <si>
    <t>เงินที่ต้องชำระปี 2563 หลังบรรเทา</t>
  </si>
  <si>
    <t>ลำดับที่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</si>
  <si>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</si>
  <si>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</si>
  <si>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</si>
  <si>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</si>
  <si>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</si>
  <si>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
(1)</t>
  </si>
  <si>
    <t>อยู่อาศัย
(2)</t>
  </si>
  <si>
    <t>อื่นๆ
(3)</t>
  </si>
  <si>
    <t>ว่างเปล่า/ไม่ทำประโยชน์
(4)</t>
  </si>
  <si>
    <t>ใช้ประโยชน์หลายประเภท
(5)</t>
  </si>
  <si>
    <t>ประกอบเกษตรกรรม</t>
  </si>
  <si>
    <t>อยู่อาศัย</t>
  </si>
  <si>
    <t>อื่นๆ</t>
  </si>
  <si>
    <t>ว่างเปล่า/
ไม่ทำประโยชน์</t>
  </si>
  <si>
    <t>อายุสิ่งปลูกสร้าง</t>
  </si>
  <si>
    <t>ค่าเสื่อม (ร้อยละ)</t>
  </si>
  <si>
    <t>โฉนด</t>
  </si>
  <si>
    <t>เทียบ1499</t>
  </si>
  <si>
    <t>ปั้มแก๊ส</t>
  </si>
  <si>
    <t>512 สถานีบริการน้ำมันเชื้อเพลิง </t>
  </si>
  <si>
    <t>ตึก</t>
  </si>
  <si>
    <t>100 ประเภทบ้านเดี่ยว </t>
  </si>
  <si>
    <t>510 ภัตตาคาร</t>
  </si>
  <si>
    <t>อเมซอน</t>
  </si>
  <si>
    <t>523 ห้องน้ำรวม </t>
  </si>
  <si>
    <t>511/2 อาคารพาณิชยกรรม ประเภทค้าปลีกค้าส่ง</t>
  </si>
  <si>
    <t>เซเว่น</t>
  </si>
  <si>
    <t>400 ประเภทตึกแถว</t>
  </si>
  <si>
    <t>สำนักงาน</t>
  </si>
  <si>
    <t>น.ส.3 ก.</t>
  </si>
  <si>
    <t>2
(ค้าง62)</t>
  </si>
  <si>
    <t>เทียบ 16796</t>
  </si>
  <si>
    <t>เทียบ18230</t>
  </si>
  <si>
    <t>ส.ป.ก.</t>
  </si>
  <si>
    <t>เทียบ29233</t>
  </si>
  <si>
    <t>เทียบ1113</t>
  </si>
  <si>
    <t>ยกเว้น</t>
  </si>
  <si>
    <t>นางสาวนีรชา  เรณู</t>
  </si>
  <si>
    <t>ยืนยันแล้ว</t>
  </si>
  <si>
    <t>-</t>
  </si>
  <si>
    <t>นางสาวกนกวรรณ  แก้วสุข</t>
  </si>
  <si>
    <t>216</t>
  </si>
  <si>
    <t>7</t>
  </si>
  <si>
    <t>225</t>
  </si>
  <si>
    <t>4824II2848</t>
  </si>
  <si>
    <t>บ้านเช่า</t>
  </si>
  <si>
    <t>นายสาโรจน์  บ่อม่วง</t>
  </si>
  <si>
    <t>นางสาวสุวิชชา  ห้วยลึก</t>
  </si>
  <si>
    <t>ตึกครึ่งไม้</t>
  </si>
  <si>
    <t>นายรุ่งโรจน์  บรรดา</t>
  </si>
  <si>
    <t>หาไม่พบ</t>
  </si>
  <si>
    <t>300 ประเภทห้องแถว  </t>
  </si>
  <si>
    <t>ไม้</t>
  </si>
  <si>
    <t>บ้านหลังที่สองและค้าขาย</t>
  </si>
  <si>
    <t>นางสาวศิริรักษ์  รักบุรี</t>
  </si>
  <si>
    <t>เทียบเคียง29189</t>
  </si>
  <si>
    <t>เทียบ 2445</t>
  </si>
  <si>
    <t>401 ประเภทตึกแถว</t>
  </si>
  <si>
    <t>เป็นโฉนด</t>
  </si>
  <si>
    <t>หาไม่เจอ</t>
  </si>
  <si>
    <t>96
(ค้าง62)</t>
  </si>
  <si>
    <t>น.ส.3</t>
  </si>
  <si>
    <t>10
(ค้าง62)</t>
  </si>
  <si>
    <t>ตาชั่ง ลานเท ทิพากรปาล์ม</t>
  </si>
  <si>
    <t>นายทวีศักดิ์  ดำนิล</t>
  </si>
  <si>
    <t>514 ตลาด พื้นที่ไม่เกิน 1000 ตารางเมตร</t>
  </si>
  <si>
    <t>ม.1ม.2</t>
  </si>
  <si>
    <t>นายพิทยา  จันทร์ศรีนวล</t>
  </si>
  <si>
    <t>504 โรงจอดรถ</t>
  </si>
  <si>
    <t>นายมุตาฝา ปูเงิน</t>
  </si>
  <si>
    <t>ปั๊ม susco</t>
  </si>
  <si>
    <t>โอนมาจากลักษณา</t>
  </si>
  <si>
    <t>นางโสภิษ  ประภาศิริสุลี</t>
  </si>
  <si>
    <t>ปรับปรุงแล้วเนื่องจากมีการเวนคืนที่ดิน</t>
  </si>
  <si>
    <t>ไม้ล้มลุก</t>
  </si>
  <si>
    <t>1
(ค้าง62)</t>
  </si>
  <si>
    <t>ปลูกกล้วย</t>
  </si>
  <si>
    <t>ได้มีการเข้ามาแจ้งว่าเป็นการเกษตร แต่ตรวจสอบแล้วเป็นที่ดินว่าง</t>
  </si>
  <si>
    <t>ซื้อมาจากนางณัตยา  สุวรรณบำรุง</t>
  </si>
  <si>
    <t>ท.ค.</t>
  </si>
  <si>
    <t>527 ท่าเทียบเรือ</t>
  </si>
  <si>
    <t>เปลี่ยนจาก นส3(2แปลง)</t>
  </si>
  <si>
    <t>เกาะ</t>
  </si>
  <si>
    <t>ม.2</t>
  </si>
  <si>
    <t>ลานเท</t>
  </si>
  <si>
    <t>4</t>
  </si>
  <si>
    <t>1</t>
  </si>
  <si>
    <t>502 คลังสินค้าพื้นที่เกินกว่า 300  ตารางเมตรขึ้นไป</t>
  </si>
  <si>
    <t>ร้านข้าวสาร</t>
  </si>
  <si>
    <t>รังนก</t>
  </si>
  <si>
    <t>บ้านเช่า+ร้านค้า</t>
  </si>
  <si>
    <t>บ้านเช่า +ร้านค้า</t>
  </si>
  <si>
    <t>บ่อน้ำ</t>
  </si>
  <si>
    <t>ม.1 ม.2</t>
  </si>
  <si>
    <t>นางสาวประไพ ทับทิมน้อย</t>
  </si>
  <si>
    <t>18
(ค้าง62)</t>
  </si>
  <si>
    <t>ขายเฟอร์นิเจอร์</t>
  </si>
  <si>
    <t>519 อาคารจอดรถ</t>
  </si>
  <si>
    <t>ตรวจสอบว่าเป็นโฉนดแล้ว</t>
  </si>
  <si>
    <t>กล้วย</t>
  </si>
  <si>
    <t>57
(ค้าง62)</t>
  </si>
  <si>
    <t>ศรีสวสั</t>
  </si>
  <si>
    <t>บ้าน+ร้านทอง</t>
  </si>
  <si>
    <t>20
(ค้าง62)</t>
  </si>
  <si>
    <t>นายสมคิด  เกื้อเม่ง</t>
  </si>
  <si>
    <t>ปลูกข้าวโพด</t>
  </si>
  <si>
    <t>นอกเขต</t>
  </si>
  <si>
    <t>แบ่งแยกแล้ว เหลือ 763 ตร ว.</t>
  </si>
  <si>
    <t>แจ้งว่าไม่ได้ครอบครองที่ดินแปลงนี้,หน้าถนน</t>
  </si>
  <si>
    <t>แจ้งว่าไม่ได้ครอบครองที่ดินแปลงนี้</t>
  </si>
  <si>
    <t>ขายให้กับทาริกา หอมหวน</t>
  </si>
  <si>
    <t>บ้านเดี่ยว</t>
  </si>
  <si>
    <t>ร้านส้มตำ</t>
  </si>
  <si>
    <t>บ้านเช่า 2 ห้อง</t>
  </si>
  <si>
    <t>ร้านตัดผม</t>
  </si>
  <si>
    <t>ร้านนัดพบ</t>
  </si>
  <si>
    <t>ไม่มีคนในทบบ.</t>
  </si>
  <si>
    <t>71</t>
  </si>
  <si>
    <t>อยู่เอง+เจ้าของทีดิน</t>
  </si>
  <si>
    <t>518 โรงงานซ่อมรถยนต์</t>
  </si>
  <si>
    <t>90</t>
  </si>
  <si>
    <t>เปลี่ยนมาจาก นส3</t>
  </si>
  <si>
    <t>ปลูกผัก</t>
  </si>
  <si>
    <t>23
(ค้าง62)</t>
  </si>
  <si>
    <t>เป็นโฉนดแล้ว</t>
  </si>
  <si>
    <t>ไม่มีบ้านเลขที่</t>
  </si>
  <si>
    <t>85
(ค้าง62)</t>
  </si>
  <si>
    <t>นางสาวจันทร์เพ็ญ  เส็นแดง</t>
  </si>
  <si>
    <t>ทำโฉนดแล้ว</t>
  </si>
  <si>
    <t>นายสุทธิลักษณ์  บรรดา</t>
  </si>
  <si>
    <t>แบ่งแยก</t>
  </si>
  <si>
    <t>นายหมาดเสด  จิงู</t>
  </si>
  <si>
    <t>49
(ค้าง62)</t>
  </si>
  <si>
    <t>นางมิหน๊ะ  จิงู</t>
  </si>
  <si>
    <t>5
(ค้าง62)</t>
  </si>
  <si>
    <t>ปรับปรุงแล้ว</t>
  </si>
  <si>
    <t>นายธวัชชัย  ประชา</t>
  </si>
  <si>
    <t>เปลี่ยนมาจากนายทวน  บัวเพชร</t>
  </si>
  <si>
    <t>501 คลังสินค้าพื้นที่ไม่เกิน 300 ตารางเมตร</t>
  </si>
  <si>
    <t>แจ้งว่าไม่ได้ครอบครอง</t>
  </si>
  <si>
    <t>78
(ค้าง62)</t>
  </si>
  <si>
    <t>2
(ค้างปี62)</t>
  </si>
  <si>
    <t>นายสิหาด  แดงร่า</t>
  </si>
  <si>
    <t>ม.1</t>
  </si>
  <si>
    <t>นางปิยะดา  แสงวิสุทธิ์</t>
  </si>
  <si>
    <t>เพิ่ม</t>
  </si>
  <si>
    <t>เพิ่ม บ้านเช่า</t>
  </si>
  <si>
    <t>ตึกชั้นเดียว</t>
  </si>
  <si>
    <t>200 ประเภทบ้านแถว (ทาวน์เฮาส์) </t>
  </si>
  <si>
    <t>นางสี้  เขียวสด</t>
  </si>
  <si>
    <t>แบ่งแยกเป็นของสุทินและถนอมทรัพ</t>
  </si>
  <si>
    <t>22
(ค้าง62)</t>
  </si>
  <si>
    <t>ไม่มีทะเบียนบ้าน</t>
  </si>
  <si>
    <t>โอนมาจากสู้เฝน</t>
  </si>
  <si>
    <t>นายปฐมพร  เขียวสด</t>
  </si>
  <si>
    <t>นส3 เปลี่ยนเป็นโฉนด</t>
  </si>
  <si>
    <t>ตรอจสอบการครอบครอง</t>
  </si>
  <si>
    <t>เขื่อนเวนคืนทั้งหมด</t>
  </si>
  <si>
    <t>เขื่อนเวนคืนบางส่วน</t>
  </si>
  <si>
    <t>นางย่ามีล๊ะ  ตาเต็ง</t>
  </si>
  <si>
    <t>นางสาววันดี  บุญญา</t>
  </si>
  <si>
    <t>นส.3แปลงเป็นโฉนดมีการแบ่งแยกจากโฉนด</t>
  </si>
  <si>
    <t>76
(ค้าง62)</t>
  </si>
  <si>
    <t>29
(ค้าง62)</t>
  </si>
  <si>
    <t>ร้านค้า</t>
  </si>
  <si>
    <t>ธารยา</t>
  </si>
  <si>
    <t>โรงน้ำ</t>
  </si>
  <si>
    <t>ปั๊มแก๊ส</t>
  </si>
  <si>
    <t>สหกรณ์ษะกอฟะ</t>
  </si>
  <si>
    <t>ร้านมอไซ</t>
  </si>
  <si>
    <t>นางสาวนฤมล  ห้วยลึก</t>
  </si>
  <si>
    <t>ร้านชำ</t>
  </si>
  <si>
    <t>ร้านน้ำขา</t>
  </si>
  <si>
    <t>บังทวน</t>
  </si>
  <si>
    <t>ข้างร้านบังทวน</t>
  </si>
  <si>
    <t>บ้านเช่า (ว่าง)</t>
  </si>
  <si>
    <t>บ.ศรีสวัสดิ์</t>
  </si>
  <si>
    <t>ข้างศรีสวัสดิ์(ขวา)</t>
  </si>
  <si>
    <t>ข้างร้านซ่อมรถ</t>
  </si>
  <si>
    <t>ร้านซ่อมรถ</t>
  </si>
  <si>
    <t>ร้านขายผัก</t>
  </si>
  <si>
    <t>ร้านยาง</t>
  </si>
  <si>
    <t>นางสาวสิหน๊ะ  ต่อติด</t>
  </si>
  <si>
    <t>13
(ค้างปี62)</t>
  </si>
  <si>
    <t>ไม่ได้ครอบครอง</t>
  </si>
  <si>
    <t>นางศรีวรรณ  เพ็ชรหึง</t>
  </si>
  <si>
    <t>78.75</t>
  </si>
  <si>
    <t>97.01</t>
  </si>
  <si>
    <t>ห้องพักร้ายวัน</t>
  </si>
  <si>
    <t>เปลี่ยนเป็นโฉนด</t>
  </si>
  <si>
    <t>48</t>
  </si>
  <si>
    <t>20</t>
  </si>
  <si>
    <t>เปลี่ยนมือจาก ธันยลักษณ์ สุขสว่างรุ่งโรจ</t>
  </si>
  <si>
    <t>นางสาลินี  หย่าหลี</t>
  </si>
  <si>
    <t>46</t>
  </si>
  <si>
    <t>31
(ค้าง62)</t>
  </si>
  <si>
    <t>นางสาวฝาติม๊ะ  ดำนิล</t>
  </si>
  <si>
    <t>247</t>
  </si>
  <si>
    <t>80</t>
  </si>
  <si>
    <t>360</t>
  </si>
  <si>
    <t>153</t>
  </si>
  <si>
    <t>เปลี่ยนจาก นส3 3688</t>
  </si>
  <si>
    <t>1775</t>
  </si>
  <si>
    <t>เปลี่ยนจาก น.ส.3 1029</t>
  </si>
  <si>
    <t>เปลี่ยนมือ มังโสด</t>
  </si>
  <si>
    <t>125</t>
  </si>
  <si>
    <t>55
(ค้าง62)</t>
  </si>
  <si>
    <t>จากนางส้าหลี่หม่า   สั่นสท้าน</t>
  </si>
  <si>
    <t>203</t>
  </si>
  <si>
    <t>45.04</t>
  </si>
  <si>
    <t>40
(ค้าง62)</t>
  </si>
  <si>
    <t>ชื่อเหมือน นามสกุลเหมือน</t>
  </si>
  <si>
    <t>นางสาวทัศนีย์  ภักดีอรัญ</t>
  </si>
  <si>
    <t>2363</t>
  </si>
  <si>
    <t>566</t>
  </si>
  <si>
    <t>.</t>
  </si>
  <si>
    <t>88</t>
  </si>
  <si>
    <t>100</t>
  </si>
  <si>
    <t>ขายแล้ว</t>
  </si>
  <si>
    <t>ตอเนื่อง</t>
  </si>
  <si>
    <t>35
(ค้าง62)</t>
  </si>
  <si>
    <t>นางร่อบน  มดคัน</t>
  </si>
  <si>
    <t>นายกรี  เกื้อเม่ง</t>
  </si>
  <si>
    <t>41
(ค้าง62)</t>
  </si>
  <si>
    <t>126</t>
  </si>
  <si>
    <t>135</t>
  </si>
  <si>
    <t>นายประพันธ์ บรรดา</t>
  </si>
  <si>
    <t>401
(ค้าง62)</t>
  </si>
  <si>
    <t>คาร์แค</t>
  </si>
  <si>
    <t>2263</t>
  </si>
  <si>
    <t>2950</t>
  </si>
  <si>
    <t>54</t>
  </si>
  <si>
    <t>1609</t>
  </si>
  <si>
    <t>ทำประโยชน์ 5 ไร่ ไม่ตามที่แจ้ง</t>
  </si>
  <si>
    <t>432</t>
  </si>
  <si>
    <t>66.5</t>
  </si>
  <si>
    <t>15</t>
  </si>
  <si>
    <t>84.5</t>
  </si>
  <si>
    <t>60</t>
  </si>
  <si>
    <t>27
(ค้าง62)</t>
  </si>
  <si>
    <t>215
(ค้าง62)</t>
  </si>
  <si>
    <t>ม.3</t>
  </si>
  <si>
    <t>นางแม๊ะหวา  ห้วยลึก</t>
  </si>
  <si>
    <t>150</t>
  </si>
  <si>
    <t>50</t>
  </si>
  <si>
    <t>มาจาก นส.3</t>
  </si>
  <si>
    <t>120</t>
  </si>
  <si>
    <t>102 ประเภทบ้านเดี่ยว </t>
  </si>
  <si>
    <t>132</t>
  </si>
  <si>
    <t>284</t>
  </si>
  <si>
    <t>97</t>
  </si>
  <si>
    <t>1804</t>
  </si>
  <si>
    <t>2</t>
  </si>
  <si>
    <t>136</t>
  </si>
  <si>
    <t>1060.1</t>
  </si>
  <si>
    <t>250</t>
  </si>
  <si>
    <t>2527</t>
  </si>
  <si>
    <t>505 สถานศึกษา </t>
  </si>
  <si>
    <t>173</t>
  </si>
  <si>
    <t>เสาดีแทค 56.25</t>
  </si>
  <si>
    <t>234</t>
  </si>
  <si>
    <t>เขื่อนเวนคืน</t>
  </si>
  <si>
    <t>174</t>
  </si>
  <si>
    <t>นางสาวศิริรัตน์  ทิ้งนุ้ย</t>
  </si>
  <si>
    <t>64</t>
  </si>
  <si>
    <t>ดินว่าง?</t>
  </si>
  <si>
    <t>13
(ค้าง62)</t>
  </si>
  <si>
    <t>จาก นส3</t>
  </si>
  <si>
    <t>108.5</t>
  </si>
  <si>
    <t>105
(ค้าง52,62)</t>
  </si>
  <si>
    <t>176</t>
  </si>
  <si>
    <t>ทำเป็นโฉนดแล้ว</t>
  </si>
  <si>
    <t>นายบ้าสอด  หัวแหลม</t>
  </si>
  <si>
    <t>นางจันทนา  ณ  พัทลุง</t>
  </si>
  <si>
    <t>1 
(ค้าง62)</t>
  </si>
  <si>
    <t>นายจรูญ  วันทยะกุล</t>
  </si>
  <si>
    <t>นายอมรศักดิ์  มากเรน</t>
  </si>
  <si>
    <t>298</t>
  </si>
  <si>
    <t>108</t>
  </si>
  <si>
    <t>61
(ค้างปี62)</t>
  </si>
  <si>
    <t>ร้านวัสดุ</t>
  </si>
  <si>
    <t>สวน</t>
  </si>
  <si>
    <t>2077</t>
  </si>
  <si>
    <t>เปลี่ยนแปลง</t>
  </si>
  <si>
    <t>1032</t>
  </si>
  <si>
    <t>759</t>
  </si>
  <si>
    <t>นายยก  ปาทาน</t>
  </si>
  <si>
    <t>129</t>
  </si>
  <si>
    <t>117</t>
  </si>
  <si>
    <t>79</t>
  </si>
  <si>
    <t>84</t>
  </si>
  <si>
    <t>300</t>
  </si>
  <si>
    <t>1114</t>
  </si>
  <si>
    <t>แก้ไข(เพิ่มจากเดิม)</t>
  </si>
  <si>
    <t>154</t>
  </si>
  <si>
    <t>ต่อเนื่อง</t>
  </si>
  <si>
    <t>107</t>
  </si>
  <si>
    <t>98</t>
  </si>
  <si>
    <t>4000</t>
  </si>
  <si>
    <t>ฟาร์มไก่</t>
  </si>
  <si>
    <t>25</t>
  </si>
  <si>
    <t>603</t>
  </si>
  <si>
    <t>นางร้อหน๊ะ  ดำนิล</t>
  </si>
  <si>
    <t>93</t>
  </si>
  <si>
    <t>นายหมาดเด  ดำนิล</t>
  </si>
  <si>
    <t>โอนจากนางสาววันดี  ห้วยลึก</t>
  </si>
  <si>
    <t>390</t>
  </si>
  <si>
    <t>ไม่มีในครอบครอง</t>
  </si>
  <si>
    <t>อยู่เอง</t>
  </si>
  <si>
    <t>31.5</t>
  </si>
  <si>
    <t>ให้เช่า</t>
  </si>
  <si>
    <t>30.03</t>
  </si>
  <si>
    <t>เลี้ยงวัว</t>
  </si>
  <si>
    <t>91.09</t>
  </si>
  <si>
    <t>196.8</t>
  </si>
  <si>
    <t>โพธิ์แก้วธุรกิจ</t>
  </si>
  <si>
    <t>โพแก้วธุรกิจ</t>
  </si>
  <si>
    <t>5228</t>
  </si>
  <si>
    <t>240</t>
  </si>
  <si>
    <t>256</t>
  </si>
  <si>
    <t>515 ตลาด พื้นที่เกินกว่า 1000 ตารางเมตรขึ้นไป</t>
  </si>
  <si>
    <t>เสา บ.บีเอฟเคที (เช่า 2016 ตร.ม.)</t>
  </si>
  <si>
    <t>เสาดีแทค</t>
  </si>
  <si>
    <t>อารี อำหมัด ปลูกบ้าน</t>
  </si>
  <si>
    <t>10</t>
  </si>
  <si>
    <t>3005</t>
  </si>
  <si>
    <t>นายสุนทร  อักษรคง</t>
  </si>
  <si>
    <t>ร้านจจะดาว</t>
  </si>
  <si>
    <t>140</t>
  </si>
  <si>
    <t>1188</t>
  </si>
  <si>
    <t>แก้ไขตามหลักฐาน</t>
  </si>
  <si>
    <t>4824II2850</t>
  </si>
  <si>
    <t>1511</t>
  </si>
  <si>
    <t>141
(ค้าง62)</t>
  </si>
  <si>
    <t>เสาดีแทค 25 ตร.ว.</t>
  </si>
  <si>
    <t>85</t>
  </si>
  <si>
    <t>ตรวจสอบการครอบครอง</t>
  </si>
  <si>
    <t>4431</t>
  </si>
  <si>
    <t>383</t>
  </si>
  <si>
    <t>541</t>
  </si>
  <si>
    <t>เป็นโฉนดแบ่งแยก</t>
  </si>
  <si>
    <t>165</t>
  </si>
  <si>
    <t>1565</t>
  </si>
  <si>
    <t>แปลงเป็นโฉนดแล้ว</t>
  </si>
  <si>
    <t>กำลังดำเนินการออกโฉนด</t>
  </si>
  <si>
    <t>แบ่งเป็นทางสาธารณะ</t>
  </si>
  <si>
    <t>ต่อเนื่องบ้าน</t>
  </si>
  <si>
    <t>184</t>
  </si>
  <si>
    <t>212</t>
  </si>
  <si>
    <t>4824II3050</t>
  </si>
  <si>
    <t>1756</t>
  </si>
  <si>
    <t>244</t>
  </si>
  <si>
    <t>3
(ค้าง62)</t>
  </si>
  <si>
    <t>นายย๊ะฝาด โต๊ะหมาน</t>
  </si>
  <si>
    <t>นายเหม  ปราบปราม</t>
  </si>
  <si>
    <t>นางสาวติ๋ว  กังงา</t>
  </si>
  <si>
    <t>49.01</t>
  </si>
  <si>
    <t>17</t>
  </si>
  <si>
    <t>บ้านหลัง 2</t>
  </si>
  <si>
    <t>28
(ค้าง60)</t>
  </si>
  <si>
    <t>105</t>
  </si>
  <si>
    <t>254</t>
  </si>
  <si>
    <t>ร้านเครื่องตัดหญ้า ตรงข้ามแขวง</t>
  </si>
  <si>
    <t>36</t>
  </si>
  <si>
    <t>183</t>
  </si>
  <si>
    <t>นางสาวฝ้าตี้หม๊ะ  ใจแน่</t>
  </si>
  <si>
    <t>341</t>
  </si>
  <si>
    <t>75</t>
  </si>
  <si>
    <t>52</t>
  </si>
  <si>
    <t>นายสามารถ  ดำนิล</t>
  </si>
  <si>
    <t>61</t>
  </si>
  <si>
    <t>56</t>
  </si>
  <si>
    <t>จากนางใหรหนาบ  ทุ่งแซะ</t>
  </si>
  <si>
    <t>ถือร่วม</t>
  </si>
  <si>
    <t>19
(ค้าง62)</t>
  </si>
  <si>
    <t>ไปรษณีย์</t>
  </si>
  <si>
    <t>วนิดาพานิช</t>
  </si>
  <si>
    <t>ให้เช่า(ว่าง)</t>
  </si>
  <si>
    <t>65</t>
  </si>
  <si>
    <t>ร้านไดนาโม</t>
  </si>
  <si>
    <t>73.04</t>
  </si>
  <si>
    <t>74.02</t>
  </si>
  <si>
    <t>เปลี่ยนเป็นโฉนดแล้ว</t>
  </si>
  <si>
    <t>นางฝ้าตี้ม๊ะ  หลงเกิด</t>
  </si>
  <si>
    <t>นายส้าหรน  เล่เล็ก</t>
  </si>
  <si>
    <t>เขื่อนเวนคืนเหลือ 12 ไร่</t>
  </si>
  <si>
    <t>346</t>
  </si>
  <si>
    <t>ร้านไก่</t>
  </si>
  <si>
    <t>ว่าง</t>
  </si>
  <si>
    <t>เมืองไทย</t>
  </si>
  <si>
    <t>44</t>
  </si>
  <si>
    <t>นายประเทศ  ศรีสุข</t>
  </si>
  <si>
    <t>นางเลี่ยน  คงตำหนิ</t>
  </si>
  <si>
    <t>310</t>
  </si>
  <si>
    <t>180</t>
  </si>
  <si>
    <t>นายเอี่ยม  พลูหนัง</t>
  </si>
  <si>
    <t>นางเปลี่ยน  พลูหนัง</t>
  </si>
  <si>
    <t>มีการแบ่งแยก</t>
  </si>
  <si>
    <t>231</t>
  </si>
  <si>
    <t>+55+33</t>
  </si>
  <si>
    <t>ปั๊มน้ำมัน+ร้านชำ</t>
  </si>
  <si>
    <t>12</t>
  </si>
  <si>
    <t>4553.5</t>
  </si>
  <si>
    <t>เป็นโฉนดและโอนให้ลูก</t>
  </si>
  <si>
    <t>นายเปื้อน  กรอบแก้ว</t>
  </si>
  <si>
    <t>115</t>
  </si>
  <si>
    <t>257</t>
  </si>
  <si>
    <t>เปลี่ยนจาก น.ส.3</t>
  </si>
  <si>
    <t>16
(ค้าง62)</t>
  </si>
  <si>
    <t>582.4</t>
  </si>
  <si>
    <t>เพิ่มเติม</t>
  </si>
  <si>
    <t>เสา บ.เบเอฟเคที (เช่า 2016 ตร.ม.)</t>
  </si>
  <si>
    <t>2431</t>
  </si>
  <si>
    <t>โซล่าเซลล</t>
  </si>
  <si>
    <t>130.5</t>
  </si>
  <si>
    <t>ว่าง เป็นโฉนดแล้ว</t>
  </si>
  <si>
    <t>นางออม  พลูหนัง</t>
  </si>
  <si>
    <t>144</t>
  </si>
  <si>
    <t>ปรับปรุงข้อมูลแล้ว</t>
  </si>
  <si>
    <t>185</t>
  </si>
  <si>
    <t>ไม่มีชื่อ</t>
  </si>
  <si>
    <t>248
(ค้าง62)</t>
  </si>
  <si>
    <t>ปั๊มน้ำมัน</t>
  </si>
  <si>
    <t>1894</t>
  </si>
  <si>
    <t>นางมารศรี  โสต้อง</t>
  </si>
  <si>
    <t>315</t>
  </si>
  <si>
    <t>147
(ค้างปี62)</t>
  </si>
  <si>
    <t>4315</t>
  </si>
  <si>
    <t>โซล่าเซลล์</t>
  </si>
  <si>
    <t>59
(ค้าง52)</t>
  </si>
  <si>
    <t>4332</t>
  </si>
  <si>
    <t>โซล่าเซล</t>
  </si>
  <si>
    <t>เป็นโฉนด เลเอกสารสิท17965</t>
  </si>
  <si>
    <t>ตรวจสอบการตรอบครอง</t>
  </si>
  <si>
    <t>แปลงเป็นโฉนด</t>
  </si>
  <si>
    <t>3435.8</t>
  </si>
  <si>
    <t>โซลาเซลล</t>
  </si>
  <si>
    <t>3020</t>
  </si>
  <si>
    <t>474..03</t>
  </si>
  <si>
    <t>827.04</t>
  </si>
  <si>
    <t>1789</t>
  </si>
  <si>
    <t>1806</t>
  </si>
  <si>
    <t>เปฝ็นโฉนด</t>
  </si>
  <si>
    <t>นายหมาดเตบ  ใจแน่</t>
  </si>
  <si>
    <t>169</t>
  </si>
  <si>
    <t>9</t>
  </si>
  <si>
    <t>อุทัย  กิจค้า</t>
  </si>
  <si>
    <t>70</t>
  </si>
  <si>
    <t>145</t>
  </si>
  <si>
    <t>21</t>
  </si>
  <si>
    <t>ประกอบการค้า</t>
  </si>
  <si>
    <t>2293.68</t>
  </si>
  <si>
    <t>78.38</t>
  </si>
  <si>
    <t>ไม้ใต้ถุนสูง</t>
  </si>
  <si>
    <t>81</t>
  </si>
  <si>
    <t>63</t>
  </si>
  <si>
    <t>18</t>
  </si>
  <si>
    <t>ไม่ได้รับครอบครอง</t>
  </si>
  <si>
    <t>แบ่งแยกไปบางส่วน</t>
  </si>
  <si>
    <t>อุทิศให้มัสยิส</t>
  </si>
  <si>
    <t>ไม้ชั้นเดียวใต้ถุนสูง</t>
  </si>
  <si>
    <t>นางสร้อยสลา  ใจแน่</t>
  </si>
  <si>
    <t>4023</t>
  </si>
  <si>
    <t>1762</t>
  </si>
  <si>
    <t>2442</t>
  </si>
  <si>
    <t>637</t>
  </si>
  <si>
    <t>ไม้ชั้นเดียว</t>
  </si>
  <si>
    <t>1950</t>
  </si>
  <si>
    <t>1503.7</t>
  </si>
  <si>
    <t>27.5</t>
  </si>
  <si>
    <t>15
(ค้าง62)</t>
  </si>
  <si>
    <t>เทียบเคียงกับ 1704</t>
  </si>
  <si>
    <t>นางสาวจันธิกา  หมั่นด้าเหร็ะ</t>
  </si>
  <si>
    <t>ไม่ๆด้ครอบครอง</t>
  </si>
  <si>
    <t>974.5</t>
  </si>
  <si>
    <t>917.3</t>
  </si>
  <si>
    <t>ตึกสองชัน</t>
  </si>
  <si>
    <t>นายด้าโหด  หมวดแด้หวา</t>
  </si>
  <si>
    <t>ครึ่งตึกครึ่งไม้</t>
  </si>
  <si>
    <t>3</t>
  </si>
  <si>
    <t>บังแอ็ดเช่า</t>
  </si>
  <si>
    <t>474.99</t>
  </si>
  <si>
    <t>24.78</t>
  </si>
  <si>
    <t>28.13</t>
  </si>
  <si>
    <t>1766</t>
  </si>
  <si>
    <t>992</t>
  </si>
  <si>
    <t>899</t>
  </si>
  <si>
    <t>2744.75</t>
  </si>
  <si>
    <t>20.25</t>
  </si>
  <si>
    <t>20.75</t>
  </si>
  <si>
    <t>นายหนก  มดคัน</t>
  </si>
  <si>
    <t>2426</t>
  </si>
  <si>
    <t>3614</t>
  </si>
  <si>
    <t>1039</t>
  </si>
  <si>
    <t>ตึกสองชั้น</t>
  </si>
  <si>
    <t>320</t>
  </si>
  <si>
    <t>290</t>
  </si>
  <si>
    <t>23</t>
  </si>
  <si>
    <t>30</t>
  </si>
  <si>
    <t>โรงรถ</t>
  </si>
  <si>
    <t>1961</t>
  </si>
  <si>
    <t>494.75</t>
  </si>
  <si>
    <t>140.25</t>
  </si>
  <si>
    <t>178</t>
  </si>
  <si>
    <t>32.03</t>
  </si>
  <si>
    <t>จาก นายธนพล  ปานชู</t>
  </si>
  <si>
    <t>ไม่มี</t>
  </si>
  <si>
    <t>ร้านตัดกนะจก</t>
  </si>
  <si>
    <t>13</t>
  </si>
  <si>
    <t>เพิงข้างบ้าน</t>
  </si>
  <si>
    <t>เทียบเคียงราคา</t>
  </si>
  <si>
    <t>ที่ดินต่อเนื่อง</t>
  </si>
  <si>
    <t>91</t>
  </si>
  <si>
    <t>6</t>
  </si>
  <si>
    <t>72</t>
  </si>
  <si>
    <t>77.6</t>
  </si>
  <si>
    <t>181.7</t>
  </si>
  <si>
    <t>4292.5</t>
  </si>
  <si>
    <t>โอนมาจากดาลี้ เป็นโฉนด</t>
  </si>
  <si>
    <t>14
(ค้าง62)</t>
  </si>
  <si>
    <t>76</t>
  </si>
  <si>
    <t>นางส่า  จงรักษ์</t>
  </si>
  <si>
    <t>282</t>
  </si>
  <si>
    <t>24</t>
  </si>
  <si>
    <t>3592.91</t>
  </si>
  <si>
    <t>2385.03</t>
  </si>
  <si>
    <t>714</t>
  </si>
  <si>
    <t>โกดังเก็บของ</t>
  </si>
  <si>
    <t>720</t>
  </si>
  <si>
    <t>210</t>
  </si>
  <si>
    <t>อู่ซ่อมรถ</t>
  </si>
  <si>
    <t>นางสาวสุคนธ์ ชอบชูผล</t>
  </si>
  <si>
    <t>แจ้งระงับ</t>
  </si>
  <si>
    <t>3953</t>
  </si>
  <si>
    <t>148</t>
  </si>
  <si>
    <t>355</t>
  </si>
  <si>
    <t>220</t>
  </si>
  <si>
    <t>22</t>
  </si>
  <si>
    <t>32</t>
  </si>
  <si>
    <t>2923</t>
  </si>
  <si>
    <t>82</t>
  </si>
  <si>
    <t>ซาลามะ ชอป</t>
  </si>
  <si>
    <t>1339.9</t>
  </si>
  <si>
    <t>1047</t>
  </si>
  <si>
    <t>8
(ค้าง62)</t>
  </si>
  <si>
    <t>2765</t>
  </si>
  <si>
    <t>นายสมใจ แก้วเซ่า</t>
  </si>
  <si>
    <t>3059</t>
  </si>
  <si>
    <t>309</t>
  </si>
  <si>
    <t>1849</t>
  </si>
  <si>
    <t>13554</t>
  </si>
  <si>
    <t>47</t>
  </si>
  <si>
    <t>เป็</t>
  </si>
  <si>
    <t>45</t>
  </si>
  <si>
    <t>3254.05</t>
  </si>
  <si>
    <t>1015</t>
  </si>
  <si>
    <t>5</t>
  </si>
  <si>
    <t>262</t>
  </si>
  <si>
    <t>222</t>
  </si>
  <si>
    <t>40</t>
  </si>
  <si>
    <t>69</t>
  </si>
  <si>
    <t>381</t>
  </si>
  <si>
    <t>95</t>
  </si>
  <si>
    <t>107.07</t>
  </si>
  <si>
    <t>94.5</t>
  </si>
  <si>
    <t>นายแม๊ะ  ทุ่งยอ</t>
  </si>
  <si>
    <t>เสา บ.บีเอฟเคที(เช่า 2002 ตร.ม.)</t>
  </si>
  <si>
    <t>นายวิทยากร  ลูกหยี</t>
  </si>
  <si>
    <t>นายอุสมาน  ลูกหยี</t>
  </si>
  <si>
    <t>นายประภัส  ละเอียด</t>
  </si>
  <si>
    <t>ออกโฉนดแล้ว</t>
  </si>
  <si>
    <t>เสาดีแทค 336 ตร.ว.</t>
  </si>
  <si>
    <t>109</t>
  </si>
  <si>
    <t>112</t>
  </si>
  <si>
    <t>นางสาวห้ามิด๊ะ  ยะลา</t>
  </si>
  <si>
    <t>ทำโฉนด</t>
  </si>
  <si>
    <t>62</t>
  </si>
  <si>
    <t>208</t>
  </si>
  <si>
    <t>183.04</t>
  </si>
  <si>
    <t>35</t>
  </si>
  <si>
    <t>31</t>
  </si>
  <si>
    <t>41</t>
  </si>
  <si>
    <t>ครึ่งตึกครึ่งไม้สองชั้น</t>
  </si>
  <si>
    <t>นางชารินทร์ดา  ตุลยะสุข</t>
  </si>
  <si>
    <t>172</t>
  </si>
  <si>
    <t>ตึกชั้นเดียยว</t>
  </si>
  <si>
    <t>51</t>
  </si>
  <si>
    <t>42.07</t>
  </si>
  <si>
    <t xml:space="preserve">ตึกชั้นเดียว </t>
  </si>
  <si>
    <t>99</t>
  </si>
  <si>
    <t>28</t>
  </si>
  <si>
    <t>นายอนุสรณ์  ขุนชน</t>
  </si>
  <si>
    <t>นางสาวจีรวรรณ  ขุนชน</t>
  </si>
  <si>
    <t>33</t>
  </si>
  <si>
    <t>380</t>
  </si>
  <si>
    <t>นางฉาวนุ้ย  เขียวสด</t>
  </si>
  <si>
    <t>59</t>
  </si>
  <si>
    <t>192.07</t>
  </si>
  <si>
    <t>38.01</t>
  </si>
  <si>
    <t>2129</t>
  </si>
  <si>
    <t>เป็นโฉนดและแบ่งแยก</t>
  </si>
  <si>
    <t>3048</t>
  </si>
  <si>
    <t>43</t>
  </si>
  <si>
    <t>160</t>
  </si>
  <si>
    <t>นางสาวการดา  ดำพอรู้</t>
  </si>
  <si>
    <t>เสาดีแทค 56.25 ตร.ว</t>
  </si>
  <si>
    <t>38</t>
  </si>
  <si>
    <t>อยู่คลองพน</t>
  </si>
  <si>
    <t>94</t>
  </si>
  <si>
    <t>โรงแรม</t>
  </si>
  <si>
    <t>30
(ค้าง62)</t>
  </si>
  <si>
    <t>เป็นโฉนด?</t>
  </si>
  <si>
    <t>4
(ค้าง62)</t>
  </si>
  <si>
    <t>2750.1</t>
  </si>
  <si>
    <t>3841</t>
  </si>
  <si>
    <t>275</t>
  </si>
  <si>
    <t>ท.ค</t>
  </si>
  <si>
    <t>364</t>
  </si>
  <si>
    <t>328</t>
  </si>
  <si>
    <t>723</t>
  </si>
  <si>
    <t>356.4</t>
  </si>
  <si>
    <t>288</t>
  </si>
  <si>
    <t>68.4</t>
  </si>
  <si>
    <t>1553</t>
  </si>
  <si>
    <t>1756.9</t>
  </si>
  <si>
    <t>1649</t>
  </si>
  <si>
    <t>ชั้นเดียว</t>
  </si>
  <si>
    <t>34</t>
  </si>
  <si>
    <t>นายบุตร  หัวแหลม</t>
  </si>
  <si>
    <t>ไม่มีชื่อในทะเบียนบ้าน</t>
  </si>
  <si>
    <t>155</t>
  </si>
  <si>
    <t>34.34</t>
  </si>
  <si>
    <t>55</t>
  </si>
  <si>
    <t>190</t>
  </si>
  <si>
    <t>54.05</t>
  </si>
  <si>
    <t>ร้านยา</t>
  </si>
  <si>
    <t>4211</t>
  </si>
  <si>
    <t>2ชั้น</t>
  </si>
  <si>
    <t>3ชั้น</t>
  </si>
  <si>
    <t>8</t>
  </si>
  <si>
    <t>339</t>
  </si>
  <si>
    <t>อู้ซ่อมรถ (เช่า)</t>
  </si>
  <si>
    <t>4346</t>
  </si>
  <si>
    <t>869</t>
  </si>
  <si>
    <t>2444</t>
  </si>
  <si>
    <t>นายอานนท์  แกเกิด</t>
  </si>
  <si>
    <t>37</t>
  </si>
  <si>
    <t>ปลูกสวนมะพร้าว</t>
  </si>
  <si>
    <t>นางพรรณวลี  จันทวี</t>
  </si>
  <si>
    <t>ร้านวัสดุก่อสร้าง</t>
  </si>
  <si>
    <t>26</t>
  </si>
  <si>
    <t>219</t>
  </si>
  <si>
    <t>146</t>
  </si>
  <si>
    <t>111</t>
  </si>
  <si>
    <t>73</t>
  </si>
  <si>
    <t>22.5</t>
  </si>
  <si>
    <t>เป็นเจ้าของสปส.-ไม่ใช่เจ้าของทิ่ดิน</t>
  </si>
  <si>
    <t>ร้านโทรศัพท์ตรงข้าวแขวง</t>
  </si>
  <si>
    <t>137</t>
  </si>
  <si>
    <t>354.5</t>
  </si>
  <si>
    <t>65.5</t>
  </si>
  <si>
    <t>หจก.ฮาลาล</t>
  </si>
  <si>
    <t>29</t>
  </si>
  <si>
    <t>1931</t>
  </si>
  <si>
    <t>3296.06</t>
  </si>
  <si>
    <t>186</t>
  </si>
  <si>
    <t>41
(ค้าง 62)</t>
  </si>
  <si>
    <t>184.5</t>
  </si>
  <si>
    <t>40.5</t>
  </si>
  <si>
    <t>623</t>
  </si>
  <si>
    <t>4370</t>
  </si>
  <si>
    <t>866</t>
  </si>
  <si>
    <t>เป็นดินว่างหรือเปล่า</t>
  </si>
  <si>
    <t>เป็นดินว่าง?</t>
  </si>
  <si>
    <t>26.03</t>
  </si>
  <si>
    <t>1620.5</t>
  </si>
  <si>
    <t>นายถาวร  ยิ่งไทย</t>
  </si>
  <si>
    <t>2280</t>
  </si>
  <si>
    <t>2565</t>
  </si>
  <si>
    <t>118</t>
  </si>
  <si>
    <t>280</t>
  </si>
  <si>
    <t>110.09</t>
  </si>
  <si>
    <t>123</t>
  </si>
  <si>
    <t>121.03</t>
  </si>
  <si>
    <t>23.</t>
  </si>
  <si>
    <t>27</t>
  </si>
  <si>
    <t>จ่ายเพิ่ม</t>
  </si>
  <si>
    <t>ตึกชั่นเดียว</t>
  </si>
  <si>
    <t>67.09</t>
  </si>
  <si>
    <t>49.07</t>
  </si>
  <si>
    <t>16</t>
  </si>
  <si>
    <t>128</t>
  </si>
  <si>
    <t>6
(ค้าง62)</t>
  </si>
  <si>
    <t>319</t>
  </si>
  <si>
    <t>312</t>
  </si>
  <si>
    <t>168</t>
  </si>
  <si>
    <t>11</t>
  </si>
  <si>
    <t>687</t>
  </si>
  <si>
    <t>1672</t>
  </si>
  <si>
    <t>493</t>
  </si>
  <si>
    <t>2303</t>
  </si>
  <si>
    <t>837</t>
  </si>
  <si>
    <t>235</t>
  </si>
  <si>
    <t>30.25</t>
  </si>
  <si>
    <t>89.08</t>
  </si>
  <si>
    <t>พื้นที่ต่อเนื่อง</t>
  </si>
  <si>
    <t>ราคาเทียบ</t>
  </si>
  <si>
    <t>213</t>
  </si>
  <si>
    <t>19</t>
  </si>
  <si>
    <t>15682</t>
  </si>
  <si>
    <t>122</t>
  </si>
  <si>
    <t>ขาย ฮาลีมะ จงรัก ทำโฉนดแล้ว</t>
  </si>
  <si>
    <t>658</t>
  </si>
  <si>
    <t>188</t>
  </si>
  <si>
    <t>โกวิทย์เรดิโอ</t>
  </si>
  <si>
    <t>121</t>
  </si>
  <si>
    <t>211</t>
  </si>
  <si>
    <t>หลังที่สอง</t>
  </si>
  <si>
    <t>26.09</t>
  </si>
  <si>
    <t>101</t>
  </si>
  <si>
    <t>โกดัง</t>
  </si>
  <si>
    <t>26
(ค้าง62)</t>
  </si>
  <si>
    <t>142</t>
  </si>
  <si>
    <t>156</t>
  </si>
  <si>
    <t>35.01</t>
  </si>
  <si>
    <t>39</t>
  </si>
  <si>
    <t>236</t>
  </si>
  <si>
    <t>52.08</t>
  </si>
  <si>
    <t>สองชั้น</t>
  </si>
  <si>
    <t>640</t>
  </si>
  <si>
    <t>600</t>
  </si>
  <si>
    <t>1291</t>
  </si>
  <si>
    <t>368</t>
  </si>
  <si>
    <t>47.15</t>
  </si>
  <si>
    <t>170.2</t>
  </si>
  <si>
    <t>18.6</t>
  </si>
  <si>
    <t>ครึ่งตึก ครึ่งไม้สองชั้น</t>
  </si>
  <si>
    <t>120
(ค้าง62)</t>
  </si>
  <si>
    <t>นางสุมิฎา  ว่องวาณิช</t>
  </si>
  <si>
    <t>ขายให้ กนกวรรณ จุลบุญญาสิทธิ์ 5/5/2563</t>
  </si>
  <si>
    <t>นายประกิต  ล่องตี้</t>
  </si>
  <si>
    <t>บ้านหลังที่ 2</t>
  </si>
  <si>
    <t>775</t>
  </si>
  <si>
    <t>10839</t>
  </si>
  <si>
    <t>110</t>
  </si>
  <si>
    <t>1610.06</t>
  </si>
  <si>
    <t>ขายให้กับ สมคิด หมอน้ำร้อน</t>
  </si>
  <si>
    <t>ตรวจสอบกับที่ดิน</t>
  </si>
  <si>
    <t>134</t>
  </si>
  <si>
    <t>49</t>
  </si>
  <si>
    <t>104</t>
  </si>
  <si>
    <t>นางสาววรรณวิสา  วาสนาเชิดชู</t>
  </si>
  <si>
    <t>496</t>
  </si>
  <si>
    <t>770</t>
  </si>
  <si>
    <t>42</t>
  </si>
  <si>
    <t>ตึกชั้นเดียวใต้ถุนสูง</t>
  </si>
  <si>
    <t>102</t>
  </si>
  <si>
    <t>96</t>
  </si>
  <si>
    <t>38.08</t>
  </si>
  <si>
    <t>2239</t>
  </si>
  <si>
    <t>8000</t>
  </si>
  <si>
    <t>1
(ค้างปี62)</t>
  </si>
  <si>
    <t>74</t>
  </si>
  <si>
    <t>นายศักดา  กำกิจ</t>
  </si>
  <si>
    <t>53</t>
  </si>
  <si>
    <t>นายอัมฤทธิ์  ดำนิล</t>
  </si>
  <si>
    <t>62
(ค้าง62)</t>
  </si>
  <si>
    <t>ตึกแถวชั้นเดียว</t>
  </si>
  <si>
    <t>108.09</t>
  </si>
  <si>
    <t>จุฬาภร</t>
  </si>
  <si>
    <t>นายสมชาย  จงรักษ์</t>
  </si>
  <si>
    <t>340</t>
  </si>
  <si>
    <t>นางส่าเปี๊ย  สั่นสท้าน</t>
  </si>
  <si>
    <t>นางสาววิไลพร  สรรเพชร</t>
  </si>
  <si>
    <t>มาจากนายเจิม</t>
  </si>
  <si>
    <t>เปลี่ยจาก นส.3</t>
  </si>
  <si>
    <t>1008</t>
  </si>
  <si>
    <t>77</t>
  </si>
  <si>
    <t>71
(ค้าง62)</t>
  </si>
  <si>
    <t>38
(ค้าง62)</t>
  </si>
  <si>
    <t>เป็นกุโบ</t>
  </si>
  <si>
    <t>187</t>
  </si>
  <si>
    <t>99
(ค้าง62)</t>
  </si>
  <si>
    <t>ลานเทปาล์ม ทิพากร</t>
  </si>
  <si>
    <t>157</t>
  </si>
  <si>
    <t>นายวารี  ทองประดับ</t>
  </si>
  <si>
    <t>71.75</t>
  </si>
  <si>
    <t>87</t>
  </si>
  <si>
    <t>544</t>
  </si>
  <si>
    <t>มัสยิดบ้านห้วยลึก</t>
  </si>
  <si>
    <t>252</t>
  </si>
  <si>
    <t>นางนันทิยา  เอ่งฉ้วน</t>
  </si>
  <si>
    <t>25.07</t>
  </si>
  <si>
    <t>1049.25</t>
  </si>
  <si>
    <t>0-75</t>
  </si>
  <si>
    <t>75-100</t>
  </si>
  <si>
    <t>100-500</t>
  </si>
  <si>
    <t>ทาง</t>
  </si>
  <si>
    <t>แจ้งว่าที่ดินอยู่คลองพน</t>
  </si>
  <si>
    <t>17576</t>
  </si>
  <si>
    <t>เปลี่ยนจาก ชวลิต เกรียงพิทัก</t>
  </si>
  <si>
    <t>19581</t>
  </si>
  <si>
    <t>ที่ดินหรือสิ่งปลูกสร้างที่เป็นอสังหาริมทรัพย์รอการขายที่หน่วยงานดังต่อไปนี้ได้รับมา
เป็นเวลาไม่เกินห้าปีนับแต่วันที่อสังหาริมทรัพย์นั้นตกเป็นของหน่วยงาน</t>
  </si>
  <si>
    <t>ลดร้อยละ 90</t>
  </si>
  <si>
    <t>1056</t>
  </si>
  <si>
    <t>119</t>
  </si>
  <si>
    <t>ทรัพย์รอการขายลดภาษี 90%</t>
  </si>
  <si>
    <t>มีสิ่งปลูกสร้าง</t>
  </si>
  <si>
    <t>3975</t>
  </si>
  <si>
    <t>เปลี่ยนชื่อมาจาก นางสาวสมบูรณ์ พันธุ์เชวง</t>
  </si>
  <si>
    <t>โอนเป็นของรัชชานน</t>
  </si>
  <si>
    <t xml:space="preserve">ร่อม๊ะ  </t>
  </si>
  <si>
    <t>โอนให้นางค้อตีย๊ะ  โต๊ะเตบ</t>
  </si>
  <si>
    <t>เปลี่ยนเป็นโฉนด โอน</t>
  </si>
  <si>
    <t>โอนให้ห้ามีน๊ะ</t>
  </si>
  <si>
    <t>เป็นโฉนดและแบ่งให้บุตร</t>
  </si>
  <si>
    <t>886.6</t>
  </si>
  <si>
    <t>จากสมนึก มดคัน</t>
  </si>
  <si>
    <t>1213</t>
  </si>
  <si>
    <t>51.6</t>
  </si>
  <si>
    <t>น่าจะทำเป็น นส3กแล้ว</t>
  </si>
  <si>
    <t>146.2</t>
  </si>
  <si>
    <t>102.6</t>
  </si>
  <si>
    <t>90.6</t>
  </si>
  <si>
    <t>105.6</t>
  </si>
  <si>
    <t>99.4</t>
  </si>
  <si>
    <t>100.4</t>
  </si>
  <si>
    <t>นายพัสกร  ศรีสุข</t>
  </si>
  <si>
    <t>นายย่าฝาก  ญาติพิทักษ์</t>
  </si>
  <si>
    <t>นายสุชาติ  ราตรีพฤติ</t>
  </si>
  <si>
    <t>นางมุนะ  หมาดทิ้ง</t>
  </si>
  <si>
    <t>นายอ๊ะหมาด  ทุ่งยอ</t>
  </si>
  <si>
    <t>นายวิศิล  บ่อม่วง</t>
  </si>
  <si>
    <t>นายอวิรุทธ์  ห้วยลึก</t>
  </si>
  <si>
    <t>นางกัลยา  ยุทธิปูน</t>
  </si>
  <si>
    <t>นายสนัด ปูเงิน</t>
  </si>
  <si>
    <t>นายสุไหลมาน ทุ่งยอ</t>
  </si>
  <si>
    <t>440.5</t>
  </si>
  <si>
    <t>441.9</t>
  </si>
  <si>
    <t>138</t>
  </si>
  <si>
    <t>1089</t>
  </si>
  <si>
    <t>133</t>
  </si>
  <si>
    <t>194.25</t>
  </si>
  <si>
    <t>182.25</t>
  </si>
  <si>
    <t>330.8</t>
  </si>
  <si>
    <t>162</t>
  </si>
  <si>
    <t>144.5</t>
  </si>
  <si>
    <t>17.5</t>
  </si>
  <si>
    <t>121.5</t>
  </si>
  <si>
    <t>13.5</t>
  </si>
  <si>
    <t>27.75</t>
  </si>
  <si>
    <t>ภ.ด.ส.1</t>
  </si>
  <si>
    <t>เทศบาลตำบลทรายขาว  อำเภอคลองท่อม จังหวัดกระบี่</t>
  </si>
  <si>
    <t>แบบบัญชีราคาประเมินทุนทรัพย์ของที่ดินและสิ่งปลูกสร้าง</t>
  </si>
  <si>
    <t>1759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</si>
</sst>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2060"/>
      <name val="TH SarabunPSK"/>
      <family val="2"/>
    </font>
    <font>
      <sz val="16"/>
      <color rgb="FF002060"/>
      <name val="TH SarabunPSK"/>
      <family val="2"/>
    </font>
    <font>
      <b/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2" fillId="0" borderId="6" xfId="1" applyNumberFormat="1" applyFont="1" applyFill="1" applyBorder="1" applyAlignment="1">
      <alignment horizontal="center" vertical="top" wrapText="1"/>
    </xf>
    <xf numFmtId="187" fontId="2" fillId="0" borderId="2" xfId="1" applyNumberFormat="1" applyFont="1" applyFill="1" applyBorder="1" applyAlignment="1">
      <alignment horizontal="center" vertical="top" wrapText="1"/>
    </xf>
    <xf numFmtId="0" fontId="7" fillId="0" borderId="2" xfId="1" applyNumberFormat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7" fillId="0" borderId="2" xfId="1" applyFont="1" applyFill="1" applyBorder="1" applyAlignment="1">
      <alignment horizontal="center" vertical="top" wrapText="1"/>
    </xf>
    <xf numFmtId="9" fontId="7" fillId="0" borderId="2" xfId="2" applyFont="1" applyFill="1" applyBorder="1" applyAlignment="1">
      <alignment vertical="top" wrapText="1"/>
    </xf>
    <xf numFmtId="10" fontId="7" fillId="0" borderId="2" xfId="2" applyNumberFormat="1" applyFont="1" applyFill="1" applyBorder="1" applyAlignment="1">
      <alignment vertical="top" wrapText="1"/>
    </xf>
    <xf numFmtId="187" fontId="6" fillId="0" borderId="2" xfId="1" applyNumberFormat="1" applyFont="1" applyFill="1" applyBorder="1" applyAlignment="1">
      <alignment horizontal="center" vertical="top" wrapText="1"/>
    </xf>
    <xf numFmtId="187" fontId="6" fillId="0" borderId="2" xfId="1" applyNumberFormat="1" applyFont="1" applyFill="1" applyBorder="1" applyAlignment="1">
      <alignment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9" fontId="3" fillId="0" borderId="2" xfId="2" applyFont="1" applyFill="1" applyBorder="1" applyAlignment="1">
      <alignment vertical="top" wrapText="1"/>
    </xf>
    <xf numFmtId="10" fontId="3" fillId="0" borderId="2" xfId="2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188" fontId="3" fillId="0" borderId="2" xfId="0" applyNumberFormat="1" applyFont="1" applyFill="1" applyBorder="1" applyAlignment="1">
      <alignment vertical="top" wrapText="1"/>
    </xf>
    <xf numFmtId="188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3" fontId="7" fillId="0" borderId="2" xfId="0" applyNumberFormat="1" applyFont="1" applyFill="1" applyBorder="1" applyAlignment="1">
      <alignment vertical="top" wrapText="1"/>
    </xf>
    <xf numFmtId="41" fontId="3" fillId="0" borderId="2" xfId="0" applyNumberFormat="1" applyFont="1" applyFill="1" applyBorder="1" applyAlignment="1">
      <alignment vertical="top" wrapText="1"/>
    </xf>
    <xf numFmtId="188" fontId="7" fillId="0" borderId="7" xfId="0" applyNumberFormat="1" applyFont="1" applyFill="1" applyBorder="1" applyAlignment="1">
      <alignment vertical="top" wrapText="1"/>
    </xf>
    <xf numFmtId="188" fontId="7" fillId="0" borderId="8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13" fontId="3" fillId="0" borderId="2" xfId="1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2" fillId="0" borderId="2" xfId="0" applyFont="1" applyFill="1" applyBorder="1" applyAlignment="1">
      <alignment vertical="top" wrapText="1"/>
    </xf>
    <xf numFmtId="188" fontId="2" fillId="0" borderId="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188" fontId="2" fillId="0" borderId="5" xfId="0" applyNumberFormat="1" applyFont="1" applyFill="1" applyBorder="1" applyAlignment="1">
      <alignment vertical="top" wrapText="1"/>
    </xf>
    <xf numFmtId="188" fontId="2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188" fontId="3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43" fontId="2" fillId="0" borderId="6" xfId="1" applyFont="1" applyFill="1" applyBorder="1" applyAlignment="1">
      <alignment horizontal="center" vertical="top" wrapText="1"/>
    </xf>
    <xf numFmtId="41" fontId="3" fillId="0" borderId="6" xfId="0" applyNumberFormat="1" applyFont="1" applyFill="1" applyBorder="1" applyAlignment="1">
      <alignment horizontal="center" vertical="top" wrapText="1"/>
    </xf>
    <xf numFmtId="9" fontId="3" fillId="0" borderId="6" xfId="2" applyFont="1" applyFill="1" applyBorder="1" applyAlignment="1">
      <alignment horizontal="center" vertical="top" wrapText="1"/>
    </xf>
    <xf numFmtId="188" fontId="3" fillId="0" borderId="7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43" fontId="3" fillId="0" borderId="2" xfId="0" applyNumberFormat="1" applyFont="1" applyFill="1" applyBorder="1" applyAlignment="1">
      <alignment vertical="top" wrapText="1"/>
    </xf>
    <xf numFmtId="188" fontId="7" fillId="0" borderId="2" xfId="0" applyNumberFormat="1" applyFont="1" applyFill="1" applyBorder="1" applyAlignment="1">
      <alignment vertical="top" shrinkToFit="1"/>
    </xf>
    <xf numFmtId="188" fontId="3" fillId="0" borderId="2" xfId="1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43" fontId="7" fillId="0" borderId="2" xfId="0" applyNumberFormat="1" applyFont="1" applyFill="1" applyBorder="1" applyAlignment="1">
      <alignment horizontal="center" vertical="top" wrapText="1"/>
    </xf>
    <xf numFmtId="188" fontId="7" fillId="0" borderId="6" xfId="0" applyNumberFormat="1" applyFont="1" applyFill="1" applyBorder="1" applyAlignment="1">
      <alignment vertical="top" wrapText="1"/>
    </xf>
    <xf numFmtId="187" fontId="2" fillId="0" borderId="2" xfId="1" applyNumberFormat="1" applyFont="1" applyFill="1" applyBorder="1" applyAlignment="1">
      <alignment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189" fontId="7" fillId="0" borderId="2" xfId="0" applyNumberFormat="1" applyFont="1" applyFill="1" applyBorder="1" applyAlignment="1">
      <alignment vertical="top" wrapText="1"/>
    </xf>
    <xf numFmtId="43" fontId="3" fillId="0" borderId="2" xfId="1" applyFont="1" applyFill="1" applyBorder="1" applyAlignment="1">
      <alignment horizontal="right" vertical="top" wrapText="1"/>
    </xf>
    <xf numFmtId="10" fontId="7" fillId="0" borderId="2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1" fontId="9" fillId="0" borderId="2" xfId="0" applyNumberFormat="1" applyFont="1" applyFill="1" applyBorder="1" applyAlignment="1">
      <alignment vertical="top"/>
    </xf>
    <xf numFmtId="187" fontId="8" fillId="0" borderId="2" xfId="1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0" fontId="9" fillId="0" borderId="2" xfId="1" applyNumberFormat="1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horizontal="center" vertical="top" wrapText="1"/>
    </xf>
    <xf numFmtId="188" fontId="9" fillId="0" borderId="2" xfId="0" applyNumberFormat="1" applyFont="1" applyFill="1" applyBorder="1" applyAlignment="1">
      <alignment vertical="top" wrapText="1"/>
    </xf>
    <xf numFmtId="43" fontId="9" fillId="0" borderId="2" xfId="1" applyFont="1" applyFill="1" applyBorder="1" applyAlignment="1">
      <alignment horizontal="center" vertical="top" wrapText="1"/>
    </xf>
    <xf numFmtId="43" fontId="9" fillId="0" borderId="2" xfId="0" applyNumberFormat="1" applyFont="1" applyFill="1" applyBorder="1" applyAlignment="1">
      <alignment vertical="top" wrapText="1"/>
    </xf>
    <xf numFmtId="9" fontId="9" fillId="0" borderId="2" xfId="2" applyFont="1" applyFill="1" applyBorder="1" applyAlignment="1">
      <alignment vertical="top" wrapText="1"/>
    </xf>
    <xf numFmtId="41" fontId="9" fillId="0" borderId="2" xfId="0" applyNumberFormat="1" applyFont="1" applyFill="1" applyBorder="1" applyAlignment="1">
      <alignment vertical="top" wrapText="1"/>
    </xf>
    <xf numFmtId="10" fontId="9" fillId="0" borderId="2" xfId="2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187" fontId="3" fillId="0" borderId="2" xfId="1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188" fontId="7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88" fontId="7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187" fontId="7" fillId="0" borderId="2" xfId="1" applyNumberFormat="1" applyFont="1" applyFill="1" applyBorder="1" applyAlignment="1">
      <alignment horizontal="center" vertical="top" wrapText="1"/>
    </xf>
    <xf numFmtId="188" fontId="7" fillId="0" borderId="9" xfId="0" applyNumberFormat="1" applyFont="1" applyFill="1" applyBorder="1" applyAlignment="1">
      <alignment vertical="top" wrapText="1"/>
    </xf>
    <xf numFmtId="188" fontId="7" fillId="0" borderId="11" xfId="0" applyNumberFormat="1" applyFont="1" applyFill="1" applyBorder="1" applyAlignment="1">
      <alignment vertical="top" wrapText="1"/>
    </xf>
    <xf numFmtId="9" fontId="3" fillId="0" borderId="0" xfId="2" applyFont="1" applyFill="1" applyBorder="1" applyAlignment="1">
      <alignment vertical="top" wrapText="1"/>
    </xf>
    <xf numFmtId="41" fontId="3" fillId="0" borderId="0" xfId="0" applyNumberFormat="1" applyFont="1" applyFill="1" applyAlignment="1">
      <alignment vertical="top" wrapText="1"/>
    </xf>
    <xf numFmtId="10" fontId="3" fillId="0" borderId="0" xfId="2" applyNumberFormat="1" applyFont="1" applyFill="1" applyBorder="1" applyAlignment="1">
      <alignment vertical="top" wrapText="1"/>
    </xf>
    <xf numFmtId="188" fontId="7" fillId="0" borderId="13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top" wrapText="1"/>
    </xf>
    <xf numFmtId="43" fontId="7" fillId="0" borderId="6" xfId="0" applyNumberFormat="1" applyFont="1" applyFill="1" applyBorder="1" applyAlignment="1">
      <alignment vertical="center" wrapText="1"/>
    </xf>
    <xf numFmtId="43" fontId="7" fillId="0" borderId="7" xfId="0" applyNumberFormat="1" applyFont="1" applyFill="1" applyBorder="1" applyAlignment="1">
      <alignment vertical="center" wrapText="1"/>
    </xf>
    <xf numFmtId="187" fontId="4" fillId="0" borderId="0" xfId="1" applyNumberFormat="1" applyFont="1" applyFill="1" applyBorder="1" applyAlignment="1">
      <alignment vertical="top" wrapText="1"/>
    </xf>
    <xf numFmtId="187" fontId="2" fillId="0" borderId="2" xfId="1" applyNumberFormat="1" applyFont="1" applyFill="1" applyBorder="1" applyAlignment="1">
      <alignment horizontal="center" vertical="top" wrapText="1"/>
    </xf>
    <xf numFmtId="187" fontId="2" fillId="0" borderId="2" xfId="1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87" fontId="4" fillId="0" borderId="0" xfId="1" applyNumberFormat="1" applyFont="1" applyFill="1" applyBorder="1" applyAlignment="1">
      <alignment horizontal="center" vertical="top" wrapText="1"/>
    </xf>
    <xf numFmtId="187" fontId="10" fillId="0" borderId="3" xfId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87" fontId="6" fillId="0" borderId="2" xfId="1" applyNumberFormat="1" applyFont="1" applyFill="1" applyBorder="1" applyAlignment="1">
      <alignment horizontal="center" vertical="top" wrapText="1"/>
    </xf>
    <xf numFmtId="187" fontId="2" fillId="0" borderId="2" xfId="1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88" fontId="3" fillId="0" borderId="6" xfId="0" applyNumberFormat="1" applyFont="1" applyFill="1" applyBorder="1" applyAlignment="1">
      <alignment horizontal="center" vertical="top" wrapText="1"/>
    </xf>
    <xf numFmtId="188" fontId="3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10" fontId="3" fillId="0" borderId="6" xfId="2" applyNumberFormat="1" applyFont="1" applyFill="1" applyBorder="1" applyAlignment="1">
      <alignment horizontal="center" vertical="top" wrapText="1"/>
    </xf>
    <xf numFmtId="10" fontId="3" fillId="0" borderId="7" xfId="2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3" fontId="3" fillId="0" borderId="6" xfId="0" applyNumberFormat="1" applyFont="1" applyFill="1" applyBorder="1" applyAlignment="1">
      <alignment horizontal="center" vertical="top" wrapText="1"/>
    </xf>
    <xf numFmtId="43" fontId="3" fillId="0" borderId="7" xfId="0" applyNumberFormat="1" applyFont="1" applyFill="1" applyBorder="1" applyAlignment="1">
      <alignment horizontal="center" vertical="top" wrapText="1"/>
    </xf>
    <xf numFmtId="9" fontId="3" fillId="0" borderId="6" xfId="2" applyFont="1" applyFill="1" applyBorder="1" applyAlignment="1">
      <alignment horizontal="center" vertical="top" wrapText="1"/>
    </xf>
    <xf numFmtId="9" fontId="3" fillId="0" borderId="7" xfId="2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188" fontId="2" fillId="0" borderId="6" xfId="0" applyNumberFormat="1" applyFont="1" applyFill="1" applyBorder="1" applyAlignment="1">
      <alignment horizontal="center" vertical="top" wrapText="1"/>
    </xf>
    <xf numFmtId="188" fontId="2" fillId="0" borderId="7" xfId="0" applyNumberFormat="1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;.&#3604;.&#3626;.1%20(&#3619;&#3623;&#3617;)%20&#3586;&#3629;&#3591;&#3609;&#3657;&#3629;&#3591;&#3607;&#36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ภดส.3"/>
      <sheetName val="แบบ ภดส.3 (2)"/>
      <sheetName val="แบบ ภดส.3 (3)"/>
      <sheetName val="แบบ ภดส.3 (4)"/>
      <sheetName val="แบบ ภดส.3 (5)"/>
      <sheetName val="แบบ ภดส.3 (6)"/>
      <sheetName val="รหัสสปส."/>
      <sheetName val="Sheet1"/>
      <sheetName val="Sheet2"/>
      <sheetName val="แบบ ภดส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02"/>
  <sheetViews>
    <sheetView tabSelected="1" view="pageBreakPreview" zoomScale="70" zoomScaleNormal="55" zoomScaleSheetLayoutView="70" workbookViewId="0">
      <pane ySplit="5" topLeftCell="A12" activePane="bottomLeft" state="frozen"/>
      <selection pane="bottomLeft" activeCell="AI15" sqref="AI15"/>
    </sheetView>
  </sheetViews>
  <sheetFormatPr defaultRowHeight="21" x14ac:dyDescent="0.2"/>
  <cols>
    <col min="1" max="1" width="7.5" style="2" customWidth="1"/>
    <col min="2" max="2" width="6" style="13" customWidth="1"/>
    <col min="3" max="3" width="7.125" style="17" customWidth="1"/>
    <col min="4" max="4" width="6.875" style="17" customWidth="1"/>
    <col min="5" max="5" width="6" style="17" customWidth="1"/>
    <col min="6" max="6" width="5.375" style="17" customWidth="1"/>
    <col min="7" max="7" width="5.875" style="13" customWidth="1"/>
    <col min="8" max="8" width="4.375" style="17" customWidth="1"/>
    <col min="9" max="9" width="4" style="17" customWidth="1"/>
    <col min="10" max="10" width="6.875" style="17" customWidth="1"/>
    <col min="11" max="11" width="8.875" style="10" customWidth="1"/>
    <col min="12" max="12" width="6.75" style="17" customWidth="1"/>
    <col min="13" max="13" width="7.375" style="15" customWidth="1"/>
    <col min="14" max="14" width="7.875" style="18" customWidth="1"/>
    <col min="15" max="15" width="7.125" style="14" customWidth="1"/>
    <col min="16" max="16" width="7.625" style="17" customWidth="1"/>
    <col min="17" max="17" width="10.25" style="19" customWidth="1"/>
    <col min="18" max="18" width="7.125" style="14" customWidth="1"/>
    <col min="19" max="19" width="13.125" style="19" customWidth="1"/>
    <col min="20" max="20" width="5.5" style="17" customWidth="1"/>
    <col min="21" max="21" width="10.75" style="17" customWidth="1"/>
    <col min="22" max="22" width="7.25" style="17" hidden="1" customWidth="1"/>
    <col min="23" max="23" width="8.375" style="4" hidden="1" customWidth="1"/>
    <col min="24" max="24" width="7" style="17" hidden="1" customWidth="1"/>
    <col min="25" max="25" width="8.125" style="4" hidden="1" customWidth="1"/>
    <col min="26" max="28" width="7" style="17" hidden="1" customWidth="1"/>
    <col min="29" max="29" width="0.625" style="14" hidden="1" customWidth="1"/>
    <col min="30" max="30" width="11.25" style="14" hidden="1" customWidth="1"/>
    <col min="31" max="31" width="49.625" style="17" hidden="1" customWidth="1"/>
    <col min="32" max="32" width="9" style="14" customWidth="1"/>
    <col min="33" max="33" width="9" style="54" customWidth="1"/>
    <col min="34" max="34" width="9" style="11" customWidth="1"/>
    <col min="35" max="35" width="9" style="14" customWidth="1"/>
    <col min="36" max="36" width="15.375" style="19" customWidth="1"/>
    <col min="37" max="37" width="8.25" style="23" customWidth="1"/>
    <col min="38" max="38" width="8.25" style="11" customWidth="1"/>
    <col min="39" max="39" width="13.375" style="19" customWidth="1"/>
    <col min="40" max="40" width="12.25" style="19" customWidth="1"/>
    <col min="41" max="41" width="9" style="14" customWidth="1"/>
    <col min="42" max="42" width="13.375" style="14" customWidth="1"/>
    <col min="43" max="43" width="8.75" style="12" customWidth="1"/>
    <col min="44" max="44" width="4.625" style="19" customWidth="1"/>
    <col min="45" max="45" width="9.875" style="26" bestFit="1" customWidth="1"/>
    <col min="46" max="46" width="9.875" style="14" bestFit="1" customWidth="1"/>
    <col min="47" max="251" width="9" style="14"/>
    <col min="252" max="252" width="3.375" style="14" customWidth="1"/>
    <col min="253" max="253" width="5.5" style="14" customWidth="1"/>
    <col min="254" max="254" width="5.625" style="14" customWidth="1"/>
    <col min="255" max="255" width="6" style="14" customWidth="1"/>
    <col min="256" max="256" width="5.375" style="14" customWidth="1"/>
    <col min="257" max="257" width="10" style="14" customWidth="1"/>
    <col min="258" max="258" width="3.125" style="14" customWidth="1"/>
    <col min="259" max="259" width="3.75" style="14" customWidth="1"/>
    <col min="260" max="260" width="3.5" style="14" customWidth="1"/>
    <col min="261" max="261" width="6.875" style="14" customWidth="1"/>
    <col min="262" max="262" width="7.125" style="14" customWidth="1"/>
    <col min="263" max="263" width="6.125" style="14" customWidth="1"/>
    <col min="264" max="264" width="7" style="14" customWidth="1"/>
    <col min="265" max="265" width="7.625" style="14" customWidth="1"/>
    <col min="266" max="266" width="3.25" style="14" customWidth="1"/>
    <col min="267" max="267" width="7.25" style="14" customWidth="1"/>
    <col min="268" max="268" width="11.625" style="14" customWidth="1"/>
    <col min="269" max="270" width="11.25" style="14" customWidth="1"/>
    <col min="271" max="271" width="8.125" style="14" customWidth="1"/>
    <col min="272" max="272" width="5.875" style="14" customWidth="1"/>
    <col min="273" max="273" width="5" style="14" customWidth="1"/>
    <col min="274" max="274" width="8.375" style="14" customWidth="1"/>
    <col min="275" max="275" width="8.625" style="14" customWidth="1"/>
    <col min="276" max="276" width="6.375" style="14" customWidth="1"/>
    <col min="277" max="507" width="9" style="14"/>
    <col min="508" max="508" width="3.375" style="14" customWidth="1"/>
    <col min="509" max="509" width="5.5" style="14" customWidth="1"/>
    <col min="510" max="510" width="5.625" style="14" customWidth="1"/>
    <col min="511" max="511" width="6" style="14" customWidth="1"/>
    <col min="512" max="512" width="5.375" style="14" customWidth="1"/>
    <col min="513" max="513" width="10" style="14" customWidth="1"/>
    <col min="514" max="514" width="3.125" style="14" customWidth="1"/>
    <col min="515" max="515" width="3.75" style="14" customWidth="1"/>
    <col min="516" max="516" width="3.5" style="14" customWidth="1"/>
    <col min="517" max="517" width="6.875" style="14" customWidth="1"/>
    <col min="518" max="518" width="7.125" style="14" customWidth="1"/>
    <col min="519" max="519" width="6.125" style="14" customWidth="1"/>
    <col min="520" max="520" width="7" style="14" customWidth="1"/>
    <col min="521" max="521" width="7.625" style="14" customWidth="1"/>
    <col min="522" max="522" width="3.25" style="14" customWidth="1"/>
    <col min="523" max="523" width="7.25" style="14" customWidth="1"/>
    <col min="524" max="524" width="11.625" style="14" customWidth="1"/>
    <col min="525" max="526" width="11.25" style="14" customWidth="1"/>
    <col min="527" max="527" width="8.125" style="14" customWidth="1"/>
    <col min="528" max="528" width="5.875" style="14" customWidth="1"/>
    <col min="529" max="529" width="5" style="14" customWidth="1"/>
    <col min="530" max="530" width="8.375" style="14" customWidth="1"/>
    <col min="531" max="531" width="8.625" style="14" customWidth="1"/>
    <col min="532" max="532" width="6.375" style="14" customWidth="1"/>
    <col min="533" max="763" width="9" style="14"/>
    <col min="764" max="764" width="3.375" style="14" customWidth="1"/>
    <col min="765" max="765" width="5.5" style="14" customWidth="1"/>
    <col min="766" max="766" width="5.625" style="14" customWidth="1"/>
    <col min="767" max="767" width="6" style="14" customWidth="1"/>
    <col min="768" max="768" width="5.375" style="14" customWidth="1"/>
    <col min="769" max="769" width="10" style="14" customWidth="1"/>
    <col min="770" max="770" width="3.125" style="14" customWidth="1"/>
    <col min="771" max="771" width="3.75" style="14" customWidth="1"/>
    <col min="772" max="772" width="3.5" style="14" customWidth="1"/>
    <col min="773" max="773" width="6.875" style="14" customWidth="1"/>
    <col min="774" max="774" width="7.125" style="14" customWidth="1"/>
    <col min="775" max="775" width="6.125" style="14" customWidth="1"/>
    <col min="776" max="776" width="7" style="14" customWidth="1"/>
    <col min="777" max="777" width="7.625" style="14" customWidth="1"/>
    <col min="778" max="778" width="3.25" style="14" customWidth="1"/>
    <col min="779" max="779" width="7.25" style="14" customWidth="1"/>
    <col min="780" max="780" width="11.625" style="14" customWidth="1"/>
    <col min="781" max="782" width="11.25" style="14" customWidth="1"/>
    <col min="783" max="783" width="8.125" style="14" customWidth="1"/>
    <col min="784" max="784" width="5.875" style="14" customWidth="1"/>
    <col min="785" max="785" width="5" style="14" customWidth="1"/>
    <col min="786" max="786" width="8.375" style="14" customWidth="1"/>
    <col min="787" max="787" width="8.625" style="14" customWidth="1"/>
    <col min="788" max="788" width="6.375" style="14" customWidth="1"/>
    <col min="789" max="1019" width="9" style="14"/>
    <col min="1020" max="1020" width="3.375" style="14" customWidth="1"/>
    <col min="1021" max="1021" width="5.5" style="14" customWidth="1"/>
    <col min="1022" max="1022" width="5.625" style="14" customWidth="1"/>
    <col min="1023" max="1023" width="6" style="14" customWidth="1"/>
    <col min="1024" max="1024" width="5.375" style="14" customWidth="1"/>
    <col min="1025" max="1025" width="10" style="14" customWidth="1"/>
    <col min="1026" max="1026" width="3.125" style="14" customWidth="1"/>
    <col min="1027" max="1027" width="3.75" style="14" customWidth="1"/>
    <col min="1028" max="1028" width="3.5" style="14" customWidth="1"/>
    <col min="1029" max="1029" width="6.875" style="14" customWidth="1"/>
    <col min="1030" max="1030" width="7.125" style="14" customWidth="1"/>
    <col min="1031" max="1031" width="6.125" style="14" customWidth="1"/>
    <col min="1032" max="1032" width="7" style="14" customWidth="1"/>
    <col min="1033" max="1033" width="7.625" style="14" customWidth="1"/>
    <col min="1034" max="1034" width="3.25" style="14" customWidth="1"/>
    <col min="1035" max="1035" width="7.25" style="14" customWidth="1"/>
    <col min="1036" max="1036" width="11.625" style="14" customWidth="1"/>
    <col min="1037" max="1038" width="11.25" style="14" customWidth="1"/>
    <col min="1039" max="1039" width="8.125" style="14" customWidth="1"/>
    <col min="1040" max="1040" width="5.875" style="14" customWidth="1"/>
    <col min="1041" max="1041" width="5" style="14" customWidth="1"/>
    <col min="1042" max="1042" width="8.375" style="14" customWidth="1"/>
    <col min="1043" max="1043" width="8.625" style="14" customWidth="1"/>
    <col min="1044" max="1044" width="6.375" style="14" customWidth="1"/>
    <col min="1045" max="1275" width="9" style="14"/>
    <col min="1276" max="1276" width="3.375" style="14" customWidth="1"/>
    <col min="1277" max="1277" width="5.5" style="14" customWidth="1"/>
    <col min="1278" max="1278" width="5.625" style="14" customWidth="1"/>
    <col min="1279" max="1279" width="6" style="14" customWidth="1"/>
    <col min="1280" max="1280" width="5.375" style="14" customWidth="1"/>
    <col min="1281" max="1281" width="10" style="14" customWidth="1"/>
    <col min="1282" max="1282" width="3.125" style="14" customWidth="1"/>
    <col min="1283" max="1283" width="3.75" style="14" customWidth="1"/>
    <col min="1284" max="1284" width="3.5" style="14" customWidth="1"/>
    <col min="1285" max="1285" width="6.875" style="14" customWidth="1"/>
    <col min="1286" max="1286" width="7.125" style="14" customWidth="1"/>
    <col min="1287" max="1287" width="6.125" style="14" customWidth="1"/>
    <col min="1288" max="1288" width="7" style="14" customWidth="1"/>
    <col min="1289" max="1289" width="7.625" style="14" customWidth="1"/>
    <col min="1290" max="1290" width="3.25" style="14" customWidth="1"/>
    <col min="1291" max="1291" width="7.25" style="14" customWidth="1"/>
    <col min="1292" max="1292" width="11.625" style="14" customWidth="1"/>
    <col min="1293" max="1294" width="11.25" style="14" customWidth="1"/>
    <col min="1295" max="1295" width="8.125" style="14" customWidth="1"/>
    <col min="1296" max="1296" width="5.875" style="14" customWidth="1"/>
    <col min="1297" max="1297" width="5" style="14" customWidth="1"/>
    <col min="1298" max="1298" width="8.375" style="14" customWidth="1"/>
    <col min="1299" max="1299" width="8.625" style="14" customWidth="1"/>
    <col min="1300" max="1300" width="6.375" style="14" customWidth="1"/>
    <col min="1301" max="1531" width="9" style="14"/>
    <col min="1532" max="1532" width="3.375" style="14" customWidth="1"/>
    <col min="1533" max="1533" width="5.5" style="14" customWidth="1"/>
    <col min="1534" max="1534" width="5.625" style="14" customWidth="1"/>
    <col min="1535" max="1535" width="6" style="14" customWidth="1"/>
    <col min="1536" max="1536" width="5.375" style="14" customWidth="1"/>
    <col min="1537" max="1537" width="10" style="14" customWidth="1"/>
    <col min="1538" max="1538" width="3.125" style="14" customWidth="1"/>
    <col min="1539" max="1539" width="3.75" style="14" customWidth="1"/>
    <col min="1540" max="1540" width="3.5" style="14" customWidth="1"/>
    <col min="1541" max="1541" width="6.875" style="14" customWidth="1"/>
    <col min="1542" max="1542" width="7.125" style="14" customWidth="1"/>
    <col min="1543" max="1543" width="6.125" style="14" customWidth="1"/>
    <col min="1544" max="1544" width="7" style="14" customWidth="1"/>
    <col min="1545" max="1545" width="7.625" style="14" customWidth="1"/>
    <col min="1546" max="1546" width="3.25" style="14" customWidth="1"/>
    <col min="1547" max="1547" width="7.25" style="14" customWidth="1"/>
    <col min="1548" max="1548" width="11.625" style="14" customWidth="1"/>
    <col min="1549" max="1550" width="11.25" style="14" customWidth="1"/>
    <col min="1551" max="1551" width="8.125" style="14" customWidth="1"/>
    <col min="1552" max="1552" width="5.875" style="14" customWidth="1"/>
    <col min="1553" max="1553" width="5" style="14" customWidth="1"/>
    <col min="1554" max="1554" width="8.375" style="14" customWidth="1"/>
    <col min="1555" max="1555" width="8.625" style="14" customWidth="1"/>
    <col min="1556" max="1556" width="6.375" style="14" customWidth="1"/>
    <col min="1557" max="1787" width="9" style="14"/>
    <col min="1788" max="1788" width="3.375" style="14" customWidth="1"/>
    <col min="1789" max="1789" width="5.5" style="14" customWidth="1"/>
    <col min="1790" max="1790" width="5.625" style="14" customWidth="1"/>
    <col min="1791" max="1791" width="6" style="14" customWidth="1"/>
    <col min="1792" max="1792" width="5.375" style="14" customWidth="1"/>
    <col min="1793" max="1793" width="10" style="14" customWidth="1"/>
    <col min="1794" max="1794" width="3.125" style="14" customWidth="1"/>
    <col min="1795" max="1795" width="3.75" style="14" customWidth="1"/>
    <col min="1796" max="1796" width="3.5" style="14" customWidth="1"/>
    <col min="1797" max="1797" width="6.875" style="14" customWidth="1"/>
    <col min="1798" max="1798" width="7.125" style="14" customWidth="1"/>
    <col min="1799" max="1799" width="6.125" style="14" customWidth="1"/>
    <col min="1800" max="1800" width="7" style="14" customWidth="1"/>
    <col min="1801" max="1801" width="7.625" style="14" customWidth="1"/>
    <col min="1802" max="1802" width="3.25" style="14" customWidth="1"/>
    <col min="1803" max="1803" width="7.25" style="14" customWidth="1"/>
    <col min="1804" max="1804" width="11.625" style="14" customWidth="1"/>
    <col min="1805" max="1806" width="11.25" style="14" customWidth="1"/>
    <col min="1807" max="1807" width="8.125" style="14" customWidth="1"/>
    <col min="1808" max="1808" width="5.875" style="14" customWidth="1"/>
    <col min="1809" max="1809" width="5" style="14" customWidth="1"/>
    <col min="1810" max="1810" width="8.375" style="14" customWidth="1"/>
    <col min="1811" max="1811" width="8.625" style="14" customWidth="1"/>
    <col min="1812" max="1812" width="6.375" style="14" customWidth="1"/>
    <col min="1813" max="2043" width="9" style="14"/>
    <col min="2044" max="2044" width="3.375" style="14" customWidth="1"/>
    <col min="2045" max="2045" width="5.5" style="14" customWidth="1"/>
    <col min="2046" max="2046" width="5.625" style="14" customWidth="1"/>
    <col min="2047" max="2047" width="6" style="14" customWidth="1"/>
    <col min="2048" max="2048" width="5.375" style="14" customWidth="1"/>
    <col min="2049" max="2049" width="10" style="14" customWidth="1"/>
    <col min="2050" max="2050" width="3.125" style="14" customWidth="1"/>
    <col min="2051" max="2051" width="3.75" style="14" customWidth="1"/>
    <col min="2052" max="2052" width="3.5" style="14" customWidth="1"/>
    <col min="2053" max="2053" width="6.875" style="14" customWidth="1"/>
    <col min="2054" max="2054" width="7.125" style="14" customWidth="1"/>
    <col min="2055" max="2055" width="6.125" style="14" customWidth="1"/>
    <col min="2056" max="2056" width="7" style="14" customWidth="1"/>
    <col min="2057" max="2057" width="7.625" style="14" customWidth="1"/>
    <col min="2058" max="2058" width="3.25" style="14" customWidth="1"/>
    <col min="2059" max="2059" width="7.25" style="14" customWidth="1"/>
    <col min="2060" max="2060" width="11.625" style="14" customWidth="1"/>
    <col min="2061" max="2062" width="11.25" style="14" customWidth="1"/>
    <col min="2063" max="2063" width="8.125" style="14" customWidth="1"/>
    <col min="2064" max="2064" width="5.875" style="14" customWidth="1"/>
    <col min="2065" max="2065" width="5" style="14" customWidth="1"/>
    <col min="2066" max="2066" width="8.375" style="14" customWidth="1"/>
    <col min="2067" max="2067" width="8.625" style="14" customWidth="1"/>
    <col min="2068" max="2068" width="6.375" style="14" customWidth="1"/>
    <col min="2069" max="2299" width="9" style="14"/>
    <col min="2300" max="2300" width="3.375" style="14" customWidth="1"/>
    <col min="2301" max="2301" width="5.5" style="14" customWidth="1"/>
    <col min="2302" max="2302" width="5.625" style="14" customWidth="1"/>
    <col min="2303" max="2303" width="6" style="14" customWidth="1"/>
    <col min="2304" max="2304" width="5.375" style="14" customWidth="1"/>
    <col min="2305" max="2305" width="10" style="14" customWidth="1"/>
    <col min="2306" max="2306" width="3.125" style="14" customWidth="1"/>
    <col min="2307" max="2307" width="3.75" style="14" customWidth="1"/>
    <col min="2308" max="2308" width="3.5" style="14" customWidth="1"/>
    <col min="2309" max="2309" width="6.875" style="14" customWidth="1"/>
    <col min="2310" max="2310" width="7.125" style="14" customWidth="1"/>
    <col min="2311" max="2311" width="6.125" style="14" customWidth="1"/>
    <col min="2312" max="2312" width="7" style="14" customWidth="1"/>
    <col min="2313" max="2313" width="7.625" style="14" customWidth="1"/>
    <col min="2314" max="2314" width="3.25" style="14" customWidth="1"/>
    <col min="2315" max="2315" width="7.25" style="14" customWidth="1"/>
    <col min="2316" max="2316" width="11.625" style="14" customWidth="1"/>
    <col min="2317" max="2318" width="11.25" style="14" customWidth="1"/>
    <col min="2319" max="2319" width="8.125" style="14" customWidth="1"/>
    <col min="2320" max="2320" width="5.875" style="14" customWidth="1"/>
    <col min="2321" max="2321" width="5" style="14" customWidth="1"/>
    <col min="2322" max="2322" width="8.375" style="14" customWidth="1"/>
    <col min="2323" max="2323" width="8.625" style="14" customWidth="1"/>
    <col min="2324" max="2324" width="6.375" style="14" customWidth="1"/>
    <col min="2325" max="2555" width="9" style="14"/>
    <col min="2556" max="2556" width="3.375" style="14" customWidth="1"/>
    <col min="2557" max="2557" width="5.5" style="14" customWidth="1"/>
    <col min="2558" max="2558" width="5.625" style="14" customWidth="1"/>
    <col min="2559" max="2559" width="6" style="14" customWidth="1"/>
    <col min="2560" max="2560" width="5.375" style="14" customWidth="1"/>
    <col min="2561" max="2561" width="10" style="14" customWidth="1"/>
    <col min="2562" max="2562" width="3.125" style="14" customWidth="1"/>
    <col min="2563" max="2563" width="3.75" style="14" customWidth="1"/>
    <col min="2564" max="2564" width="3.5" style="14" customWidth="1"/>
    <col min="2565" max="2565" width="6.875" style="14" customWidth="1"/>
    <col min="2566" max="2566" width="7.125" style="14" customWidth="1"/>
    <col min="2567" max="2567" width="6.125" style="14" customWidth="1"/>
    <col min="2568" max="2568" width="7" style="14" customWidth="1"/>
    <col min="2569" max="2569" width="7.625" style="14" customWidth="1"/>
    <col min="2570" max="2570" width="3.25" style="14" customWidth="1"/>
    <col min="2571" max="2571" width="7.25" style="14" customWidth="1"/>
    <col min="2572" max="2572" width="11.625" style="14" customWidth="1"/>
    <col min="2573" max="2574" width="11.25" style="14" customWidth="1"/>
    <col min="2575" max="2575" width="8.125" style="14" customWidth="1"/>
    <col min="2576" max="2576" width="5.875" style="14" customWidth="1"/>
    <col min="2577" max="2577" width="5" style="14" customWidth="1"/>
    <col min="2578" max="2578" width="8.375" style="14" customWidth="1"/>
    <col min="2579" max="2579" width="8.625" style="14" customWidth="1"/>
    <col min="2580" max="2580" width="6.375" style="14" customWidth="1"/>
    <col min="2581" max="2811" width="9" style="14"/>
    <col min="2812" max="2812" width="3.375" style="14" customWidth="1"/>
    <col min="2813" max="2813" width="5.5" style="14" customWidth="1"/>
    <col min="2814" max="2814" width="5.625" style="14" customWidth="1"/>
    <col min="2815" max="2815" width="6" style="14" customWidth="1"/>
    <col min="2816" max="2816" width="5.375" style="14" customWidth="1"/>
    <col min="2817" max="2817" width="10" style="14" customWidth="1"/>
    <col min="2818" max="2818" width="3.125" style="14" customWidth="1"/>
    <col min="2819" max="2819" width="3.75" style="14" customWidth="1"/>
    <col min="2820" max="2820" width="3.5" style="14" customWidth="1"/>
    <col min="2821" max="2821" width="6.875" style="14" customWidth="1"/>
    <col min="2822" max="2822" width="7.125" style="14" customWidth="1"/>
    <col min="2823" max="2823" width="6.125" style="14" customWidth="1"/>
    <col min="2824" max="2824" width="7" style="14" customWidth="1"/>
    <col min="2825" max="2825" width="7.625" style="14" customWidth="1"/>
    <col min="2826" max="2826" width="3.25" style="14" customWidth="1"/>
    <col min="2827" max="2827" width="7.25" style="14" customWidth="1"/>
    <col min="2828" max="2828" width="11.625" style="14" customWidth="1"/>
    <col min="2829" max="2830" width="11.25" style="14" customWidth="1"/>
    <col min="2831" max="2831" width="8.125" style="14" customWidth="1"/>
    <col min="2832" max="2832" width="5.875" style="14" customWidth="1"/>
    <col min="2833" max="2833" width="5" style="14" customWidth="1"/>
    <col min="2834" max="2834" width="8.375" style="14" customWidth="1"/>
    <col min="2835" max="2835" width="8.625" style="14" customWidth="1"/>
    <col min="2836" max="2836" width="6.375" style="14" customWidth="1"/>
    <col min="2837" max="3067" width="9" style="14"/>
    <col min="3068" max="3068" width="3.375" style="14" customWidth="1"/>
    <col min="3069" max="3069" width="5.5" style="14" customWidth="1"/>
    <col min="3070" max="3070" width="5.625" style="14" customWidth="1"/>
    <col min="3071" max="3071" width="6" style="14" customWidth="1"/>
    <col min="3072" max="3072" width="5.375" style="14" customWidth="1"/>
    <col min="3073" max="3073" width="10" style="14" customWidth="1"/>
    <col min="3074" max="3074" width="3.125" style="14" customWidth="1"/>
    <col min="3075" max="3075" width="3.75" style="14" customWidth="1"/>
    <col min="3076" max="3076" width="3.5" style="14" customWidth="1"/>
    <col min="3077" max="3077" width="6.875" style="14" customWidth="1"/>
    <col min="3078" max="3078" width="7.125" style="14" customWidth="1"/>
    <col min="3079" max="3079" width="6.125" style="14" customWidth="1"/>
    <col min="3080" max="3080" width="7" style="14" customWidth="1"/>
    <col min="3081" max="3081" width="7.625" style="14" customWidth="1"/>
    <col min="3082" max="3082" width="3.25" style="14" customWidth="1"/>
    <col min="3083" max="3083" width="7.25" style="14" customWidth="1"/>
    <col min="3084" max="3084" width="11.625" style="14" customWidth="1"/>
    <col min="3085" max="3086" width="11.25" style="14" customWidth="1"/>
    <col min="3087" max="3087" width="8.125" style="14" customWidth="1"/>
    <col min="3088" max="3088" width="5.875" style="14" customWidth="1"/>
    <col min="3089" max="3089" width="5" style="14" customWidth="1"/>
    <col min="3090" max="3090" width="8.375" style="14" customWidth="1"/>
    <col min="3091" max="3091" width="8.625" style="14" customWidth="1"/>
    <col min="3092" max="3092" width="6.375" style="14" customWidth="1"/>
    <col min="3093" max="3323" width="9" style="14"/>
    <col min="3324" max="3324" width="3.375" style="14" customWidth="1"/>
    <col min="3325" max="3325" width="5.5" style="14" customWidth="1"/>
    <col min="3326" max="3326" width="5.625" style="14" customWidth="1"/>
    <col min="3327" max="3327" width="6" style="14" customWidth="1"/>
    <col min="3328" max="3328" width="5.375" style="14" customWidth="1"/>
    <col min="3329" max="3329" width="10" style="14" customWidth="1"/>
    <col min="3330" max="3330" width="3.125" style="14" customWidth="1"/>
    <col min="3331" max="3331" width="3.75" style="14" customWidth="1"/>
    <col min="3332" max="3332" width="3.5" style="14" customWidth="1"/>
    <col min="3333" max="3333" width="6.875" style="14" customWidth="1"/>
    <col min="3334" max="3334" width="7.125" style="14" customWidth="1"/>
    <col min="3335" max="3335" width="6.125" style="14" customWidth="1"/>
    <col min="3336" max="3336" width="7" style="14" customWidth="1"/>
    <col min="3337" max="3337" width="7.625" style="14" customWidth="1"/>
    <col min="3338" max="3338" width="3.25" style="14" customWidth="1"/>
    <col min="3339" max="3339" width="7.25" style="14" customWidth="1"/>
    <col min="3340" max="3340" width="11.625" style="14" customWidth="1"/>
    <col min="3341" max="3342" width="11.25" style="14" customWidth="1"/>
    <col min="3343" max="3343" width="8.125" style="14" customWidth="1"/>
    <col min="3344" max="3344" width="5.875" style="14" customWidth="1"/>
    <col min="3345" max="3345" width="5" style="14" customWidth="1"/>
    <col min="3346" max="3346" width="8.375" style="14" customWidth="1"/>
    <col min="3347" max="3347" width="8.625" style="14" customWidth="1"/>
    <col min="3348" max="3348" width="6.375" style="14" customWidth="1"/>
    <col min="3349" max="3579" width="9" style="14"/>
    <col min="3580" max="3580" width="3.375" style="14" customWidth="1"/>
    <col min="3581" max="3581" width="5.5" style="14" customWidth="1"/>
    <col min="3582" max="3582" width="5.625" style="14" customWidth="1"/>
    <col min="3583" max="3583" width="6" style="14" customWidth="1"/>
    <col min="3584" max="3584" width="5.375" style="14" customWidth="1"/>
    <col min="3585" max="3585" width="10" style="14" customWidth="1"/>
    <col min="3586" max="3586" width="3.125" style="14" customWidth="1"/>
    <col min="3587" max="3587" width="3.75" style="14" customWidth="1"/>
    <col min="3588" max="3588" width="3.5" style="14" customWidth="1"/>
    <col min="3589" max="3589" width="6.875" style="14" customWidth="1"/>
    <col min="3590" max="3590" width="7.125" style="14" customWidth="1"/>
    <col min="3591" max="3591" width="6.125" style="14" customWidth="1"/>
    <col min="3592" max="3592" width="7" style="14" customWidth="1"/>
    <col min="3593" max="3593" width="7.625" style="14" customWidth="1"/>
    <col min="3594" max="3594" width="3.25" style="14" customWidth="1"/>
    <col min="3595" max="3595" width="7.25" style="14" customWidth="1"/>
    <col min="3596" max="3596" width="11.625" style="14" customWidth="1"/>
    <col min="3597" max="3598" width="11.25" style="14" customWidth="1"/>
    <col min="3599" max="3599" width="8.125" style="14" customWidth="1"/>
    <col min="3600" max="3600" width="5.875" style="14" customWidth="1"/>
    <col min="3601" max="3601" width="5" style="14" customWidth="1"/>
    <col min="3602" max="3602" width="8.375" style="14" customWidth="1"/>
    <col min="3603" max="3603" width="8.625" style="14" customWidth="1"/>
    <col min="3604" max="3604" width="6.375" style="14" customWidth="1"/>
    <col min="3605" max="3835" width="9" style="14"/>
    <col min="3836" max="3836" width="3.375" style="14" customWidth="1"/>
    <col min="3837" max="3837" width="5.5" style="14" customWidth="1"/>
    <col min="3838" max="3838" width="5.625" style="14" customWidth="1"/>
    <col min="3839" max="3839" width="6" style="14" customWidth="1"/>
    <col min="3840" max="3840" width="5.375" style="14" customWidth="1"/>
    <col min="3841" max="3841" width="10" style="14" customWidth="1"/>
    <col min="3842" max="3842" width="3.125" style="14" customWidth="1"/>
    <col min="3843" max="3843" width="3.75" style="14" customWidth="1"/>
    <col min="3844" max="3844" width="3.5" style="14" customWidth="1"/>
    <col min="3845" max="3845" width="6.875" style="14" customWidth="1"/>
    <col min="3846" max="3846" width="7.125" style="14" customWidth="1"/>
    <col min="3847" max="3847" width="6.125" style="14" customWidth="1"/>
    <col min="3848" max="3848" width="7" style="14" customWidth="1"/>
    <col min="3849" max="3849" width="7.625" style="14" customWidth="1"/>
    <col min="3850" max="3850" width="3.25" style="14" customWidth="1"/>
    <col min="3851" max="3851" width="7.25" style="14" customWidth="1"/>
    <col min="3852" max="3852" width="11.625" style="14" customWidth="1"/>
    <col min="3853" max="3854" width="11.25" style="14" customWidth="1"/>
    <col min="3855" max="3855" width="8.125" style="14" customWidth="1"/>
    <col min="3856" max="3856" width="5.875" style="14" customWidth="1"/>
    <col min="3857" max="3857" width="5" style="14" customWidth="1"/>
    <col min="3858" max="3858" width="8.375" style="14" customWidth="1"/>
    <col min="3859" max="3859" width="8.625" style="14" customWidth="1"/>
    <col min="3860" max="3860" width="6.375" style="14" customWidth="1"/>
    <col min="3861" max="4091" width="9" style="14"/>
    <col min="4092" max="4092" width="3.375" style="14" customWidth="1"/>
    <col min="4093" max="4093" width="5.5" style="14" customWidth="1"/>
    <col min="4094" max="4094" width="5.625" style="14" customWidth="1"/>
    <col min="4095" max="4095" width="6" style="14" customWidth="1"/>
    <col min="4096" max="4096" width="5.375" style="14" customWidth="1"/>
    <col min="4097" max="4097" width="10" style="14" customWidth="1"/>
    <col min="4098" max="4098" width="3.125" style="14" customWidth="1"/>
    <col min="4099" max="4099" width="3.75" style="14" customWidth="1"/>
    <col min="4100" max="4100" width="3.5" style="14" customWidth="1"/>
    <col min="4101" max="4101" width="6.875" style="14" customWidth="1"/>
    <col min="4102" max="4102" width="7.125" style="14" customWidth="1"/>
    <col min="4103" max="4103" width="6.125" style="14" customWidth="1"/>
    <col min="4104" max="4104" width="7" style="14" customWidth="1"/>
    <col min="4105" max="4105" width="7.625" style="14" customWidth="1"/>
    <col min="4106" max="4106" width="3.25" style="14" customWidth="1"/>
    <col min="4107" max="4107" width="7.25" style="14" customWidth="1"/>
    <col min="4108" max="4108" width="11.625" style="14" customWidth="1"/>
    <col min="4109" max="4110" width="11.25" style="14" customWidth="1"/>
    <col min="4111" max="4111" width="8.125" style="14" customWidth="1"/>
    <col min="4112" max="4112" width="5.875" style="14" customWidth="1"/>
    <col min="4113" max="4113" width="5" style="14" customWidth="1"/>
    <col min="4114" max="4114" width="8.375" style="14" customWidth="1"/>
    <col min="4115" max="4115" width="8.625" style="14" customWidth="1"/>
    <col min="4116" max="4116" width="6.375" style="14" customWidth="1"/>
    <col min="4117" max="4347" width="9" style="14"/>
    <col min="4348" max="4348" width="3.375" style="14" customWidth="1"/>
    <col min="4349" max="4349" width="5.5" style="14" customWidth="1"/>
    <col min="4350" max="4350" width="5.625" style="14" customWidth="1"/>
    <col min="4351" max="4351" width="6" style="14" customWidth="1"/>
    <col min="4352" max="4352" width="5.375" style="14" customWidth="1"/>
    <col min="4353" max="4353" width="10" style="14" customWidth="1"/>
    <col min="4354" max="4354" width="3.125" style="14" customWidth="1"/>
    <col min="4355" max="4355" width="3.75" style="14" customWidth="1"/>
    <col min="4356" max="4356" width="3.5" style="14" customWidth="1"/>
    <col min="4357" max="4357" width="6.875" style="14" customWidth="1"/>
    <col min="4358" max="4358" width="7.125" style="14" customWidth="1"/>
    <col min="4359" max="4359" width="6.125" style="14" customWidth="1"/>
    <col min="4360" max="4360" width="7" style="14" customWidth="1"/>
    <col min="4361" max="4361" width="7.625" style="14" customWidth="1"/>
    <col min="4362" max="4362" width="3.25" style="14" customWidth="1"/>
    <col min="4363" max="4363" width="7.25" style="14" customWidth="1"/>
    <col min="4364" max="4364" width="11.625" style="14" customWidth="1"/>
    <col min="4365" max="4366" width="11.25" style="14" customWidth="1"/>
    <col min="4367" max="4367" width="8.125" style="14" customWidth="1"/>
    <col min="4368" max="4368" width="5.875" style="14" customWidth="1"/>
    <col min="4369" max="4369" width="5" style="14" customWidth="1"/>
    <col min="4370" max="4370" width="8.375" style="14" customWidth="1"/>
    <col min="4371" max="4371" width="8.625" style="14" customWidth="1"/>
    <col min="4372" max="4372" width="6.375" style="14" customWidth="1"/>
    <col min="4373" max="4603" width="9" style="14"/>
    <col min="4604" max="4604" width="3.375" style="14" customWidth="1"/>
    <col min="4605" max="4605" width="5.5" style="14" customWidth="1"/>
    <col min="4606" max="4606" width="5.625" style="14" customWidth="1"/>
    <col min="4607" max="4607" width="6" style="14" customWidth="1"/>
    <col min="4608" max="4608" width="5.375" style="14" customWidth="1"/>
    <col min="4609" max="4609" width="10" style="14" customWidth="1"/>
    <col min="4610" max="4610" width="3.125" style="14" customWidth="1"/>
    <col min="4611" max="4611" width="3.75" style="14" customWidth="1"/>
    <col min="4612" max="4612" width="3.5" style="14" customWidth="1"/>
    <col min="4613" max="4613" width="6.875" style="14" customWidth="1"/>
    <col min="4614" max="4614" width="7.125" style="14" customWidth="1"/>
    <col min="4615" max="4615" width="6.125" style="14" customWidth="1"/>
    <col min="4616" max="4616" width="7" style="14" customWidth="1"/>
    <col min="4617" max="4617" width="7.625" style="14" customWidth="1"/>
    <col min="4618" max="4618" width="3.25" style="14" customWidth="1"/>
    <col min="4619" max="4619" width="7.25" style="14" customWidth="1"/>
    <col min="4620" max="4620" width="11.625" style="14" customWidth="1"/>
    <col min="4621" max="4622" width="11.25" style="14" customWidth="1"/>
    <col min="4623" max="4623" width="8.125" style="14" customWidth="1"/>
    <col min="4624" max="4624" width="5.875" style="14" customWidth="1"/>
    <col min="4625" max="4625" width="5" style="14" customWidth="1"/>
    <col min="4626" max="4626" width="8.375" style="14" customWidth="1"/>
    <col min="4627" max="4627" width="8.625" style="14" customWidth="1"/>
    <col min="4628" max="4628" width="6.375" style="14" customWidth="1"/>
    <col min="4629" max="4859" width="9" style="14"/>
    <col min="4860" max="4860" width="3.375" style="14" customWidth="1"/>
    <col min="4861" max="4861" width="5.5" style="14" customWidth="1"/>
    <col min="4862" max="4862" width="5.625" style="14" customWidth="1"/>
    <col min="4863" max="4863" width="6" style="14" customWidth="1"/>
    <col min="4864" max="4864" width="5.375" style="14" customWidth="1"/>
    <col min="4865" max="4865" width="10" style="14" customWidth="1"/>
    <col min="4866" max="4866" width="3.125" style="14" customWidth="1"/>
    <col min="4867" max="4867" width="3.75" style="14" customWidth="1"/>
    <col min="4868" max="4868" width="3.5" style="14" customWidth="1"/>
    <col min="4869" max="4869" width="6.875" style="14" customWidth="1"/>
    <col min="4870" max="4870" width="7.125" style="14" customWidth="1"/>
    <col min="4871" max="4871" width="6.125" style="14" customWidth="1"/>
    <col min="4872" max="4872" width="7" style="14" customWidth="1"/>
    <col min="4873" max="4873" width="7.625" style="14" customWidth="1"/>
    <col min="4874" max="4874" width="3.25" style="14" customWidth="1"/>
    <col min="4875" max="4875" width="7.25" style="14" customWidth="1"/>
    <col min="4876" max="4876" width="11.625" style="14" customWidth="1"/>
    <col min="4877" max="4878" width="11.25" style="14" customWidth="1"/>
    <col min="4879" max="4879" width="8.125" style="14" customWidth="1"/>
    <col min="4880" max="4880" width="5.875" style="14" customWidth="1"/>
    <col min="4881" max="4881" width="5" style="14" customWidth="1"/>
    <col min="4882" max="4882" width="8.375" style="14" customWidth="1"/>
    <col min="4883" max="4883" width="8.625" style="14" customWidth="1"/>
    <col min="4884" max="4884" width="6.375" style="14" customWidth="1"/>
    <col min="4885" max="5115" width="9" style="14"/>
    <col min="5116" max="5116" width="3.375" style="14" customWidth="1"/>
    <col min="5117" max="5117" width="5.5" style="14" customWidth="1"/>
    <col min="5118" max="5118" width="5.625" style="14" customWidth="1"/>
    <col min="5119" max="5119" width="6" style="14" customWidth="1"/>
    <col min="5120" max="5120" width="5.375" style="14" customWidth="1"/>
    <col min="5121" max="5121" width="10" style="14" customWidth="1"/>
    <col min="5122" max="5122" width="3.125" style="14" customWidth="1"/>
    <col min="5123" max="5123" width="3.75" style="14" customWidth="1"/>
    <col min="5124" max="5124" width="3.5" style="14" customWidth="1"/>
    <col min="5125" max="5125" width="6.875" style="14" customWidth="1"/>
    <col min="5126" max="5126" width="7.125" style="14" customWidth="1"/>
    <col min="5127" max="5127" width="6.125" style="14" customWidth="1"/>
    <col min="5128" max="5128" width="7" style="14" customWidth="1"/>
    <col min="5129" max="5129" width="7.625" style="14" customWidth="1"/>
    <col min="5130" max="5130" width="3.25" style="14" customWidth="1"/>
    <col min="5131" max="5131" width="7.25" style="14" customWidth="1"/>
    <col min="5132" max="5132" width="11.625" style="14" customWidth="1"/>
    <col min="5133" max="5134" width="11.25" style="14" customWidth="1"/>
    <col min="5135" max="5135" width="8.125" style="14" customWidth="1"/>
    <col min="5136" max="5136" width="5.875" style="14" customWidth="1"/>
    <col min="5137" max="5137" width="5" style="14" customWidth="1"/>
    <col min="5138" max="5138" width="8.375" style="14" customWidth="1"/>
    <col min="5139" max="5139" width="8.625" style="14" customWidth="1"/>
    <col min="5140" max="5140" width="6.375" style="14" customWidth="1"/>
    <col min="5141" max="5371" width="9" style="14"/>
    <col min="5372" max="5372" width="3.375" style="14" customWidth="1"/>
    <col min="5373" max="5373" width="5.5" style="14" customWidth="1"/>
    <col min="5374" max="5374" width="5.625" style="14" customWidth="1"/>
    <col min="5375" max="5375" width="6" style="14" customWidth="1"/>
    <col min="5376" max="5376" width="5.375" style="14" customWidth="1"/>
    <col min="5377" max="5377" width="10" style="14" customWidth="1"/>
    <col min="5378" max="5378" width="3.125" style="14" customWidth="1"/>
    <col min="5379" max="5379" width="3.75" style="14" customWidth="1"/>
    <col min="5380" max="5380" width="3.5" style="14" customWidth="1"/>
    <col min="5381" max="5381" width="6.875" style="14" customWidth="1"/>
    <col min="5382" max="5382" width="7.125" style="14" customWidth="1"/>
    <col min="5383" max="5383" width="6.125" style="14" customWidth="1"/>
    <col min="5384" max="5384" width="7" style="14" customWidth="1"/>
    <col min="5385" max="5385" width="7.625" style="14" customWidth="1"/>
    <col min="5386" max="5386" width="3.25" style="14" customWidth="1"/>
    <col min="5387" max="5387" width="7.25" style="14" customWidth="1"/>
    <col min="5388" max="5388" width="11.625" style="14" customWidth="1"/>
    <col min="5389" max="5390" width="11.25" style="14" customWidth="1"/>
    <col min="5391" max="5391" width="8.125" style="14" customWidth="1"/>
    <col min="5392" max="5392" width="5.875" style="14" customWidth="1"/>
    <col min="5393" max="5393" width="5" style="14" customWidth="1"/>
    <col min="5394" max="5394" width="8.375" style="14" customWidth="1"/>
    <col min="5395" max="5395" width="8.625" style="14" customWidth="1"/>
    <col min="5396" max="5396" width="6.375" style="14" customWidth="1"/>
    <col min="5397" max="5627" width="9" style="14"/>
    <col min="5628" max="5628" width="3.375" style="14" customWidth="1"/>
    <col min="5629" max="5629" width="5.5" style="14" customWidth="1"/>
    <col min="5630" max="5630" width="5.625" style="14" customWidth="1"/>
    <col min="5631" max="5631" width="6" style="14" customWidth="1"/>
    <col min="5632" max="5632" width="5.375" style="14" customWidth="1"/>
    <col min="5633" max="5633" width="10" style="14" customWidth="1"/>
    <col min="5634" max="5634" width="3.125" style="14" customWidth="1"/>
    <col min="5635" max="5635" width="3.75" style="14" customWidth="1"/>
    <col min="5636" max="5636" width="3.5" style="14" customWidth="1"/>
    <col min="5637" max="5637" width="6.875" style="14" customWidth="1"/>
    <col min="5638" max="5638" width="7.125" style="14" customWidth="1"/>
    <col min="5639" max="5639" width="6.125" style="14" customWidth="1"/>
    <col min="5640" max="5640" width="7" style="14" customWidth="1"/>
    <col min="5641" max="5641" width="7.625" style="14" customWidth="1"/>
    <col min="5642" max="5642" width="3.25" style="14" customWidth="1"/>
    <col min="5643" max="5643" width="7.25" style="14" customWidth="1"/>
    <col min="5644" max="5644" width="11.625" style="14" customWidth="1"/>
    <col min="5645" max="5646" width="11.25" style="14" customWidth="1"/>
    <col min="5647" max="5647" width="8.125" style="14" customWidth="1"/>
    <col min="5648" max="5648" width="5.875" style="14" customWidth="1"/>
    <col min="5649" max="5649" width="5" style="14" customWidth="1"/>
    <col min="5650" max="5650" width="8.375" style="14" customWidth="1"/>
    <col min="5651" max="5651" width="8.625" style="14" customWidth="1"/>
    <col min="5652" max="5652" width="6.375" style="14" customWidth="1"/>
    <col min="5653" max="5883" width="9" style="14"/>
    <col min="5884" max="5884" width="3.375" style="14" customWidth="1"/>
    <col min="5885" max="5885" width="5.5" style="14" customWidth="1"/>
    <col min="5886" max="5886" width="5.625" style="14" customWidth="1"/>
    <col min="5887" max="5887" width="6" style="14" customWidth="1"/>
    <col min="5888" max="5888" width="5.375" style="14" customWidth="1"/>
    <col min="5889" max="5889" width="10" style="14" customWidth="1"/>
    <col min="5890" max="5890" width="3.125" style="14" customWidth="1"/>
    <col min="5891" max="5891" width="3.75" style="14" customWidth="1"/>
    <col min="5892" max="5892" width="3.5" style="14" customWidth="1"/>
    <col min="5893" max="5893" width="6.875" style="14" customWidth="1"/>
    <col min="5894" max="5894" width="7.125" style="14" customWidth="1"/>
    <col min="5895" max="5895" width="6.125" style="14" customWidth="1"/>
    <col min="5896" max="5896" width="7" style="14" customWidth="1"/>
    <col min="5897" max="5897" width="7.625" style="14" customWidth="1"/>
    <col min="5898" max="5898" width="3.25" style="14" customWidth="1"/>
    <col min="5899" max="5899" width="7.25" style="14" customWidth="1"/>
    <col min="5900" max="5900" width="11.625" style="14" customWidth="1"/>
    <col min="5901" max="5902" width="11.25" style="14" customWidth="1"/>
    <col min="5903" max="5903" width="8.125" style="14" customWidth="1"/>
    <col min="5904" max="5904" width="5.875" style="14" customWidth="1"/>
    <col min="5905" max="5905" width="5" style="14" customWidth="1"/>
    <col min="5906" max="5906" width="8.375" style="14" customWidth="1"/>
    <col min="5907" max="5907" width="8.625" style="14" customWidth="1"/>
    <col min="5908" max="5908" width="6.375" style="14" customWidth="1"/>
    <col min="5909" max="6139" width="9" style="14"/>
    <col min="6140" max="6140" width="3.375" style="14" customWidth="1"/>
    <col min="6141" max="6141" width="5.5" style="14" customWidth="1"/>
    <col min="6142" max="6142" width="5.625" style="14" customWidth="1"/>
    <col min="6143" max="6143" width="6" style="14" customWidth="1"/>
    <col min="6144" max="6144" width="5.375" style="14" customWidth="1"/>
    <col min="6145" max="6145" width="10" style="14" customWidth="1"/>
    <col min="6146" max="6146" width="3.125" style="14" customWidth="1"/>
    <col min="6147" max="6147" width="3.75" style="14" customWidth="1"/>
    <col min="6148" max="6148" width="3.5" style="14" customWidth="1"/>
    <col min="6149" max="6149" width="6.875" style="14" customWidth="1"/>
    <col min="6150" max="6150" width="7.125" style="14" customWidth="1"/>
    <col min="6151" max="6151" width="6.125" style="14" customWidth="1"/>
    <col min="6152" max="6152" width="7" style="14" customWidth="1"/>
    <col min="6153" max="6153" width="7.625" style="14" customWidth="1"/>
    <col min="6154" max="6154" width="3.25" style="14" customWidth="1"/>
    <col min="6155" max="6155" width="7.25" style="14" customWidth="1"/>
    <col min="6156" max="6156" width="11.625" style="14" customWidth="1"/>
    <col min="6157" max="6158" width="11.25" style="14" customWidth="1"/>
    <col min="6159" max="6159" width="8.125" style="14" customWidth="1"/>
    <col min="6160" max="6160" width="5.875" style="14" customWidth="1"/>
    <col min="6161" max="6161" width="5" style="14" customWidth="1"/>
    <col min="6162" max="6162" width="8.375" style="14" customWidth="1"/>
    <col min="6163" max="6163" width="8.625" style="14" customWidth="1"/>
    <col min="6164" max="6164" width="6.375" style="14" customWidth="1"/>
    <col min="6165" max="6395" width="9" style="14"/>
    <col min="6396" max="6396" width="3.375" style="14" customWidth="1"/>
    <col min="6397" max="6397" width="5.5" style="14" customWidth="1"/>
    <col min="6398" max="6398" width="5.625" style="14" customWidth="1"/>
    <col min="6399" max="6399" width="6" style="14" customWidth="1"/>
    <col min="6400" max="6400" width="5.375" style="14" customWidth="1"/>
    <col min="6401" max="6401" width="10" style="14" customWidth="1"/>
    <col min="6402" max="6402" width="3.125" style="14" customWidth="1"/>
    <col min="6403" max="6403" width="3.75" style="14" customWidth="1"/>
    <col min="6404" max="6404" width="3.5" style="14" customWidth="1"/>
    <col min="6405" max="6405" width="6.875" style="14" customWidth="1"/>
    <col min="6406" max="6406" width="7.125" style="14" customWidth="1"/>
    <col min="6407" max="6407" width="6.125" style="14" customWidth="1"/>
    <col min="6408" max="6408" width="7" style="14" customWidth="1"/>
    <col min="6409" max="6409" width="7.625" style="14" customWidth="1"/>
    <col min="6410" max="6410" width="3.25" style="14" customWidth="1"/>
    <col min="6411" max="6411" width="7.25" style="14" customWidth="1"/>
    <col min="6412" max="6412" width="11.625" style="14" customWidth="1"/>
    <col min="6413" max="6414" width="11.25" style="14" customWidth="1"/>
    <col min="6415" max="6415" width="8.125" style="14" customWidth="1"/>
    <col min="6416" max="6416" width="5.875" style="14" customWidth="1"/>
    <col min="6417" max="6417" width="5" style="14" customWidth="1"/>
    <col min="6418" max="6418" width="8.375" style="14" customWidth="1"/>
    <col min="6419" max="6419" width="8.625" style="14" customWidth="1"/>
    <col min="6420" max="6420" width="6.375" style="14" customWidth="1"/>
    <col min="6421" max="6651" width="9" style="14"/>
    <col min="6652" max="6652" width="3.375" style="14" customWidth="1"/>
    <col min="6653" max="6653" width="5.5" style="14" customWidth="1"/>
    <col min="6654" max="6654" width="5.625" style="14" customWidth="1"/>
    <col min="6655" max="6655" width="6" style="14" customWidth="1"/>
    <col min="6656" max="6656" width="5.375" style="14" customWidth="1"/>
    <col min="6657" max="6657" width="10" style="14" customWidth="1"/>
    <col min="6658" max="6658" width="3.125" style="14" customWidth="1"/>
    <col min="6659" max="6659" width="3.75" style="14" customWidth="1"/>
    <col min="6660" max="6660" width="3.5" style="14" customWidth="1"/>
    <col min="6661" max="6661" width="6.875" style="14" customWidth="1"/>
    <col min="6662" max="6662" width="7.125" style="14" customWidth="1"/>
    <col min="6663" max="6663" width="6.125" style="14" customWidth="1"/>
    <col min="6664" max="6664" width="7" style="14" customWidth="1"/>
    <col min="6665" max="6665" width="7.625" style="14" customWidth="1"/>
    <col min="6666" max="6666" width="3.25" style="14" customWidth="1"/>
    <col min="6667" max="6667" width="7.25" style="14" customWidth="1"/>
    <col min="6668" max="6668" width="11.625" style="14" customWidth="1"/>
    <col min="6669" max="6670" width="11.25" style="14" customWidth="1"/>
    <col min="6671" max="6671" width="8.125" style="14" customWidth="1"/>
    <col min="6672" max="6672" width="5.875" style="14" customWidth="1"/>
    <col min="6673" max="6673" width="5" style="14" customWidth="1"/>
    <col min="6674" max="6674" width="8.375" style="14" customWidth="1"/>
    <col min="6675" max="6675" width="8.625" style="14" customWidth="1"/>
    <col min="6676" max="6676" width="6.375" style="14" customWidth="1"/>
    <col min="6677" max="6907" width="9" style="14"/>
    <col min="6908" max="6908" width="3.375" style="14" customWidth="1"/>
    <col min="6909" max="6909" width="5.5" style="14" customWidth="1"/>
    <col min="6910" max="6910" width="5.625" style="14" customWidth="1"/>
    <col min="6911" max="6911" width="6" style="14" customWidth="1"/>
    <col min="6912" max="6912" width="5.375" style="14" customWidth="1"/>
    <col min="6913" max="6913" width="10" style="14" customWidth="1"/>
    <col min="6914" max="6914" width="3.125" style="14" customWidth="1"/>
    <col min="6915" max="6915" width="3.75" style="14" customWidth="1"/>
    <col min="6916" max="6916" width="3.5" style="14" customWidth="1"/>
    <col min="6917" max="6917" width="6.875" style="14" customWidth="1"/>
    <col min="6918" max="6918" width="7.125" style="14" customWidth="1"/>
    <col min="6919" max="6919" width="6.125" style="14" customWidth="1"/>
    <col min="6920" max="6920" width="7" style="14" customWidth="1"/>
    <col min="6921" max="6921" width="7.625" style="14" customWidth="1"/>
    <col min="6922" max="6922" width="3.25" style="14" customWidth="1"/>
    <col min="6923" max="6923" width="7.25" style="14" customWidth="1"/>
    <col min="6924" max="6924" width="11.625" style="14" customWidth="1"/>
    <col min="6925" max="6926" width="11.25" style="14" customWidth="1"/>
    <col min="6927" max="6927" width="8.125" style="14" customWidth="1"/>
    <col min="6928" max="6928" width="5.875" style="14" customWidth="1"/>
    <col min="6929" max="6929" width="5" style="14" customWidth="1"/>
    <col min="6930" max="6930" width="8.375" style="14" customWidth="1"/>
    <col min="6931" max="6931" width="8.625" style="14" customWidth="1"/>
    <col min="6932" max="6932" width="6.375" style="14" customWidth="1"/>
    <col min="6933" max="7163" width="9" style="14"/>
    <col min="7164" max="7164" width="3.375" style="14" customWidth="1"/>
    <col min="7165" max="7165" width="5.5" style="14" customWidth="1"/>
    <col min="7166" max="7166" width="5.625" style="14" customWidth="1"/>
    <col min="7167" max="7167" width="6" style="14" customWidth="1"/>
    <col min="7168" max="7168" width="5.375" style="14" customWidth="1"/>
    <col min="7169" max="7169" width="10" style="14" customWidth="1"/>
    <col min="7170" max="7170" width="3.125" style="14" customWidth="1"/>
    <col min="7171" max="7171" width="3.75" style="14" customWidth="1"/>
    <col min="7172" max="7172" width="3.5" style="14" customWidth="1"/>
    <col min="7173" max="7173" width="6.875" style="14" customWidth="1"/>
    <col min="7174" max="7174" width="7.125" style="14" customWidth="1"/>
    <col min="7175" max="7175" width="6.125" style="14" customWidth="1"/>
    <col min="7176" max="7176" width="7" style="14" customWidth="1"/>
    <col min="7177" max="7177" width="7.625" style="14" customWidth="1"/>
    <col min="7178" max="7178" width="3.25" style="14" customWidth="1"/>
    <col min="7179" max="7179" width="7.25" style="14" customWidth="1"/>
    <col min="7180" max="7180" width="11.625" style="14" customWidth="1"/>
    <col min="7181" max="7182" width="11.25" style="14" customWidth="1"/>
    <col min="7183" max="7183" width="8.125" style="14" customWidth="1"/>
    <col min="7184" max="7184" width="5.875" style="14" customWidth="1"/>
    <col min="7185" max="7185" width="5" style="14" customWidth="1"/>
    <col min="7186" max="7186" width="8.375" style="14" customWidth="1"/>
    <col min="7187" max="7187" width="8.625" style="14" customWidth="1"/>
    <col min="7188" max="7188" width="6.375" style="14" customWidth="1"/>
    <col min="7189" max="7419" width="9" style="14"/>
    <col min="7420" max="7420" width="3.375" style="14" customWidth="1"/>
    <col min="7421" max="7421" width="5.5" style="14" customWidth="1"/>
    <col min="7422" max="7422" width="5.625" style="14" customWidth="1"/>
    <col min="7423" max="7423" width="6" style="14" customWidth="1"/>
    <col min="7424" max="7424" width="5.375" style="14" customWidth="1"/>
    <col min="7425" max="7425" width="10" style="14" customWidth="1"/>
    <col min="7426" max="7426" width="3.125" style="14" customWidth="1"/>
    <col min="7427" max="7427" width="3.75" style="14" customWidth="1"/>
    <col min="7428" max="7428" width="3.5" style="14" customWidth="1"/>
    <col min="7429" max="7429" width="6.875" style="14" customWidth="1"/>
    <col min="7430" max="7430" width="7.125" style="14" customWidth="1"/>
    <col min="7431" max="7431" width="6.125" style="14" customWidth="1"/>
    <col min="7432" max="7432" width="7" style="14" customWidth="1"/>
    <col min="7433" max="7433" width="7.625" style="14" customWidth="1"/>
    <col min="7434" max="7434" width="3.25" style="14" customWidth="1"/>
    <col min="7435" max="7435" width="7.25" style="14" customWidth="1"/>
    <col min="7436" max="7436" width="11.625" style="14" customWidth="1"/>
    <col min="7437" max="7438" width="11.25" style="14" customWidth="1"/>
    <col min="7439" max="7439" width="8.125" style="14" customWidth="1"/>
    <col min="7440" max="7440" width="5.875" style="14" customWidth="1"/>
    <col min="7441" max="7441" width="5" style="14" customWidth="1"/>
    <col min="7442" max="7442" width="8.375" style="14" customWidth="1"/>
    <col min="7443" max="7443" width="8.625" style="14" customWidth="1"/>
    <col min="7444" max="7444" width="6.375" style="14" customWidth="1"/>
    <col min="7445" max="7675" width="9" style="14"/>
    <col min="7676" max="7676" width="3.375" style="14" customWidth="1"/>
    <col min="7677" max="7677" width="5.5" style="14" customWidth="1"/>
    <col min="7678" max="7678" width="5.625" style="14" customWidth="1"/>
    <col min="7679" max="7679" width="6" style="14" customWidth="1"/>
    <col min="7680" max="7680" width="5.375" style="14" customWidth="1"/>
    <col min="7681" max="7681" width="10" style="14" customWidth="1"/>
    <col min="7682" max="7682" width="3.125" style="14" customWidth="1"/>
    <col min="7683" max="7683" width="3.75" style="14" customWidth="1"/>
    <col min="7684" max="7684" width="3.5" style="14" customWidth="1"/>
    <col min="7685" max="7685" width="6.875" style="14" customWidth="1"/>
    <col min="7686" max="7686" width="7.125" style="14" customWidth="1"/>
    <col min="7687" max="7687" width="6.125" style="14" customWidth="1"/>
    <col min="7688" max="7688" width="7" style="14" customWidth="1"/>
    <col min="7689" max="7689" width="7.625" style="14" customWidth="1"/>
    <col min="7690" max="7690" width="3.25" style="14" customWidth="1"/>
    <col min="7691" max="7691" width="7.25" style="14" customWidth="1"/>
    <col min="7692" max="7692" width="11.625" style="14" customWidth="1"/>
    <col min="7693" max="7694" width="11.25" style="14" customWidth="1"/>
    <col min="7695" max="7695" width="8.125" style="14" customWidth="1"/>
    <col min="7696" max="7696" width="5.875" style="14" customWidth="1"/>
    <col min="7697" max="7697" width="5" style="14" customWidth="1"/>
    <col min="7698" max="7698" width="8.375" style="14" customWidth="1"/>
    <col min="7699" max="7699" width="8.625" style="14" customWidth="1"/>
    <col min="7700" max="7700" width="6.375" style="14" customWidth="1"/>
    <col min="7701" max="7931" width="9" style="14"/>
    <col min="7932" max="7932" width="3.375" style="14" customWidth="1"/>
    <col min="7933" max="7933" width="5.5" style="14" customWidth="1"/>
    <col min="7934" max="7934" width="5.625" style="14" customWidth="1"/>
    <col min="7935" max="7935" width="6" style="14" customWidth="1"/>
    <col min="7936" max="7936" width="5.375" style="14" customWidth="1"/>
    <col min="7937" max="7937" width="10" style="14" customWidth="1"/>
    <col min="7938" max="7938" width="3.125" style="14" customWidth="1"/>
    <col min="7939" max="7939" width="3.75" style="14" customWidth="1"/>
    <col min="7940" max="7940" width="3.5" style="14" customWidth="1"/>
    <col min="7941" max="7941" width="6.875" style="14" customWidth="1"/>
    <col min="7942" max="7942" width="7.125" style="14" customWidth="1"/>
    <col min="7943" max="7943" width="6.125" style="14" customWidth="1"/>
    <col min="7944" max="7944" width="7" style="14" customWidth="1"/>
    <col min="7945" max="7945" width="7.625" style="14" customWidth="1"/>
    <col min="7946" max="7946" width="3.25" style="14" customWidth="1"/>
    <col min="7947" max="7947" width="7.25" style="14" customWidth="1"/>
    <col min="7948" max="7948" width="11.625" style="14" customWidth="1"/>
    <col min="7949" max="7950" width="11.25" style="14" customWidth="1"/>
    <col min="7951" max="7951" width="8.125" style="14" customWidth="1"/>
    <col min="7952" max="7952" width="5.875" style="14" customWidth="1"/>
    <col min="7953" max="7953" width="5" style="14" customWidth="1"/>
    <col min="7954" max="7954" width="8.375" style="14" customWidth="1"/>
    <col min="7955" max="7955" width="8.625" style="14" customWidth="1"/>
    <col min="7956" max="7956" width="6.375" style="14" customWidth="1"/>
    <col min="7957" max="8187" width="9" style="14"/>
    <col min="8188" max="8188" width="3.375" style="14" customWidth="1"/>
    <col min="8189" max="8189" width="5.5" style="14" customWidth="1"/>
    <col min="8190" max="8190" width="5.625" style="14" customWidth="1"/>
    <col min="8191" max="8191" width="6" style="14" customWidth="1"/>
    <col min="8192" max="8192" width="5.375" style="14" customWidth="1"/>
    <col min="8193" max="8193" width="10" style="14" customWidth="1"/>
    <col min="8194" max="8194" width="3.125" style="14" customWidth="1"/>
    <col min="8195" max="8195" width="3.75" style="14" customWidth="1"/>
    <col min="8196" max="8196" width="3.5" style="14" customWidth="1"/>
    <col min="8197" max="8197" width="6.875" style="14" customWidth="1"/>
    <col min="8198" max="8198" width="7.125" style="14" customWidth="1"/>
    <col min="8199" max="8199" width="6.125" style="14" customWidth="1"/>
    <col min="8200" max="8200" width="7" style="14" customWidth="1"/>
    <col min="8201" max="8201" width="7.625" style="14" customWidth="1"/>
    <col min="8202" max="8202" width="3.25" style="14" customWidth="1"/>
    <col min="8203" max="8203" width="7.25" style="14" customWidth="1"/>
    <col min="8204" max="8204" width="11.625" style="14" customWidth="1"/>
    <col min="8205" max="8206" width="11.25" style="14" customWidth="1"/>
    <col min="8207" max="8207" width="8.125" style="14" customWidth="1"/>
    <col min="8208" max="8208" width="5.875" style="14" customWidth="1"/>
    <col min="8209" max="8209" width="5" style="14" customWidth="1"/>
    <col min="8210" max="8210" width="8.375" style="14" customWidth="1"/>
    <col min="8211" max="8211" width="8.625" style="14" customWidth="1"/>
    <col min="8212" max="8212" width="6.375" style="14" customWidth="1"/>
    <col min="8213" max="8443" width="9" style="14"/>
    <col min="8444" max="8444" width="3.375" style="14" customWidth="1"/>
    <col min="8445" max="8445" width="5.5" style="14" customWidth="1"/>
    <col min="8446" max="8446" width="5.625" style="14" customWidth="1"/>
    <col min="8447" max="8447" width="6" style="14" customWidth="1"/>
    <col min="8448" max="8448" width="5.375" style="14" customWidth="1"/>
    <col min="8449" max="8449" width="10" style="14" customWidth="1"/>
    <col min="8450" max="8450" width="3.125" style="14" customWidth="1"/>
    <col min="8451" max="8451" width="3.75" style="14" customWidth="1"/>
    <col min="8452" max="8452" width="3.5" style="14" customWidth="1"/>
    <col min="8453" max="8453" width="6.875" style="14" customWidth="1"/>
    <col min="8454" max="8454" width="7.125" style="14" customWidth="1"/>
    <col min="8455" max="8455" width="6.125" style="14" customWidth="1"/>
    <col min="8456" max="8456" width="7" style="14" customWidth="1"/>
    <col min="8457" max="8457" width="7.625" style="14" customWidth="1"/>
    <col min="8458" max="8458" width="3.25" style="14" customWidth="1"/>
    <col min="8459" max="8459" width="7.25" style="14" customWidth="1"/>
    <col min="8460" max="8460" width="11.625" style="14" customWidth="1"/>
    <col min="8461" max="8462" width="11.25" style="14" customWidth="1"/>
    <col min="8463" max="8463" width="8.125" style="14" customWidth="1"/>
    <col min="8464" max="8464" width="5.875" style="14" customWidth="1"/>
    <col min="8465" max="8465" width="5" style="14" customWidth="1"/>
    <col min="8466" max="8466" width="8.375" style="14" customWidth="1"/>
    <col min="8467" max="8467" width="8.625" style="14" customWidth="1"/>
    <col min="8468" max="8468" width="6.375" style="14" customWidth="1"/>
    <col min="8469" max="8699" width="9" style="14"/>
    <col min="8700" max="8700" width="3.375" style="14" customWidth="1"/>
    <col min="8701" max="8701" width="5.5" style="14" customWidth="1"/>
    <col min="8702" max="8702" width="5.625" style="14" customWidth="1"/>
    <col min="8703" max="8703" width="6" style="14" customWidth="1"/>
    <col min="8704" max="8704" width="5.375" style="14" customWidth="1"/>
    <col min="8705" max="8705" width="10" style="14" customWidth="1"/>
    <col min="8706" max="8706" width="3.125" style="14" customWidth="1"/>
    <col min="8707" max="8707" width="3.75" style="14" customWidth="1"/>
    <col min="8708" max="8708" width="3.5" style="14" customWidth="1"/>
    <col min="8709" max="8709" width="6.875" style="14" customWidth="1"/>
    <col min="8710" max="8710" width="7.125" style="14" customWidth="1"/>
    <col min="8711" max="8711" width="6.125" style="14" customWidth="1"/>
    <col min="8712" max="8712" width="7" style="14" customWidth="1"/>
    <col min="8713" max="8713" width="7.625" style="14" customWidth="1"/>
    <col min="8714" max="8714" width="3.25" style="14" customWidth="1"/>
    <col min="8715" max="8715" width="7.25" style="14" customWidth="1"/>
    <col min="8716" max="8716" width="11.625" style="14" customWidth="1"/>
    <col min="8717" max="8718" width="11.25" style="14" customWidth="1"/>
    <col min="8719" max="8719" width="8.125" style="14" customWidth="1"/>
    <col min="8720" max="8720" width="5.875" style="14" customWidth="1"/>
    <col min="8721" max="8721" width="5" style="14" customWidth="1"/>
    <col min="8722" max="8722" width="8.375" style="14" customWidth="1"/>
    <col min="8723" max="8723" width="8.625" style="14" customWidth="1"/>
    <col min="8724" max="8724" width="6.375" style="14" customWidth="1"/>
    <col min="8725" max="8955" width="9" style="14"/>
    <col min="8956" max="8956" width="3.375" style="14" customWidth="1"/>
    <col min="8957" max="8957" width="5.5" style="14" customWidth="1"/>
    <col min="8958" max="8958" width="5.625" style="14" customWidth="1"/>
    <col min="8959" max="8959" width="6" style="14" customWidth="1"/>
    <col min="8960" max="8960" width="5.375" style="14" customWidth="1"/>
    <col min="8961" max="8961" width="10" style="14" customWidth="1"/>
    <col min="8962" max="8962" width="3.125" style="14" customWidth="1"/>
    <col min="8963" max="8963" width="3.75" style="14" customWidth="1"/>
    <col min="8964" max="8964" width="3.5" style="14" customWidth="1"/>
    <col min="8965" max="8965" width="6.875" style="14" customWidth="1"/>
    <col min="8966" max="8966" width="7.125" style="14" customWidth="1"/>
    <col min="8967" max="8967" width="6.125" style="14" customWidth="1"/>
    <col min="8968" max="8968" width="7" style="14" customWidth="1"/>
    <col min="8969" max="8969" width="7.625" style="14" customWidth="1"/>
    <col min="8970" max="8970" width="3.25" style="14" customWidth="1"/>
    <col min="8971" max="8971" width="7.25" style="14" customWidth="1"/>
    <col min="8972" max="8972" width="11.625" style="14" customWidth="1"/>
    <col min="8973" max="8974" width="11.25" style="14" customWidth="1"/>
    <col min="8975" max="8975" width="8.125" style="14" customWidth="1"/>
    <col min="8976" max="8976" width="5.875" style="14" customWidth="1"/>
    <col min="8977" max="8977" width="5" style="14" customWidth="1"/>
    <col min="8978" max="8978" width="8.375" style="14" customWidth="1"/>
    <col min="8979" max="8979" width="8.625" style="14" customWidth="1"/>
    <col min="8980" max="8980" width="6.375" style="14" customWidth="1"/>
    <col min="8981" max="9211" width="9" style="14"/>
    <col min="9212" max="9212" width="3.375" style="14" customWidth="1"/>
    <col min="9213" max="9213" width="5.5" style="14" customWidth="1"/>
    <col min="9214" max="9214" width="5.625" style="14" customWidth="1"/>
    <col min="9215" max="9215" width="6" style="14" customWidth="1"/>
    <col min="9216" max="9216" width="5.375" style="14" customWidth="1"/>
    <col min="9217" max="9217" width="10" style="14" customWidth="1"/>
    <col min="9218" max="9218" width="3.125" style="14" customWidth="1"/>
    <col min="9219" max="9219" width="3.75" style="14" customWidth="1"/>
    <col min="9220" max="9220" width="3.5" style="14" customWidth="1"/>
    <col min="9221" max="9221" width="6.875" style="14" customWidth="1"/>
    <col min="9222" max="9222" width="7.125" style="14" customWidth="1"/>
    <col min="9223" max="9223" width="6.125" style="14" customWidth="1"/>
    <col min="9224" max="9224" width="7" style="14" customWidth="1"/>
    <col min="9225" max="9225" width="7.625" style="14" customWidth="1"/>
    <col min="9226" max="9226" width="3.25" style="14" customWidth="1"/>
    <col min="9227" max="9227" width="7.25" style="14" customWidth="1"/>
    <col min="9228" max="9228" width="11.625" style="14" customWidth="1"/>
    <col min="9229" max="9230" width="11.25" style="14" customWidth="1"/>
    <col min="9231" max="9231" width="8.125" style="14" customWidth="1"/>
    <col min="9232" max="9232" width="5.875" style="14" customWidth="1"/>
    <col min="9233" max="9233" width="5" style="14" customWidth="1"/>
    <col min="9234" max="9234" width="8.375" style="14" customWidth="1"/>
    <col min="9235" max="9235" width="8.625" style="14" customWidth="1"/>
    <col min="9236" max="9236" width="6.375" style="14" customWidth="1"/>
    <col min="9237" max="9467" width="9" style="14"/>
    <col min="9468" max="9468" width="3.375" style="14" customWidth="1"/>
    <col min="9469" max="9469" width="5.5" style="14" customWidth="1"/>
    <col min="9470" max="9470" width="5.625" style="14" customWidth="1"/>
    <col min="9471" max="9471" width="6" style="14" customWidth="1"/>
    <col min="9472" max="9472" width="5.375" style="14" customWidth="1"/>
    <col min="9473" max="9473" width="10" style="14" customWidth="1"/>
    <col min="9474" max="9474" width="3.125" style="14" customWidth="1"/>
    <col min="9475" max="9475" width="3.75" style="14" customWidth="1"/>
    <col min="9476" max="9476" width="3.5" style="14" customWidth="1"/>
    <col min="9477" max="9477" width="6.875" style="14" customWidth="1"/>
    <col min="9478" max="9478" width="7.125" style="14" customWidth="1"/>
    <col min="9479" max="9479" width="6.125" style="14" customWidth="1"/>
    <col min="9480" max="9480" width="7" style="14" customWidth="1"/>
    <col min="9481" max="9481" width="7.625" style="14" customWidth="1"/>
    <col min="9482" max="9482" width="3.25" style="14" customWidth="1"/>
    <col min="9483" max="9483" width="7.25" style="14" customWidth="1"/>
    <col min="9484" max="9484" width="11.625" style="14" customWidth="1"/>
    <col min="9485" max="9486" width="11.25" style="14" customWidth="1"/>
    <col min="9487" max="9487" width="8.125" style="14" customWidth="1"/>
    <col min="9488" max="9488" width="5.875" style="14" customWidth="1"/>
    <col min="9489" max="9489" width="5" style="14" customWidth="1"/>
    <col min="9490" max="9490" width="8.375" style="14" customWidth="1"/>
    <col min="9491" max="9491" width="8.625" style="14" customWidth="1"/>
    <col min="9492" max="9492" width="6.375" style="14" customWidth="1"/>
    <col min="9493" max="9723" width="9" style="14"/>
    <col min="9724" max="9724" width="3.375" style="14" customWidth="1"/>
    <col min="9725" max="9725" width="5.5" style="14" customWidth="1"/>
    <col min="9726" max="9726" width="5.625" style="14" customWidth="1"/>
    <col min="9727" max="9727" width="6" style="14" customWidth="1"/>
    <col min="9728" max="9728" width="5.375" style="14" customWidth="1"/>
    <col min="9729" max="9729" width="10" style="14" customWidth="1"/>
    <col min="9730" max="9730" width="3.125" style="14" customWidth="1"/>
    <col min="9731" max="9731" width="3.75" style="14" customWidth="1"/>
    <col min="9732" max="9732" width="3.5" style="14" customWidth="1"/>
    <col min="9733" max="9733" width="6.875" style="14" customWidth="1"/>
    <col min="9734" max="9734" width="7.125" style="14" customWidth="1"/>
    <col min="9735" max="9735" width="6.125" style="14" customWidth="1"/>
    <col min="9736" max="9736" width="7" style="14" customWidth="1"/>
    <col min="9737" max="9737" width="7.625" style="14" customWidth="1"/>
    <col min="9738" max="9738" width="3.25" style="14" customWidth="1"/>
    <col min="9739" max="9739" width="7.25" style="14" customWidth="1"/>
    <col min="9740" max="9740" width="11.625" style="14" customWidth="1"/>
    <col min="9741" max="9742" width="11.25" style="14" customWidth="1"/>
    <col min="9743" max="9743" width="8.125" style="14" customWidth="1"/>
    <col min="9744" max="9744" width="5.875" style="14" customWidth="1"/>
    <col min="9745" max="9745" width="5" style="14" customWidth="1"/>
    <col min="9746" max="9746" width="8.375" style="14" customWidth="1"/>
    <col min="9747" max="9747" width="8.625" style="14" customWidth="1"/>
    <col min="9748" max="9748" width="6.375" style="14" customWidth="1"/>
    <col min="9749" max="9979" width="9" style="14"/>
    <col min="9980" max="9980" width="3.375" style="14" customWidth="1"/>
    <col min="9981" max="9981" width="5.5" style="14" customWidth="1"/>
    <col min="9982" max="9982" width="5.625" style="14" customWidth="1"/>
    <col min="9983" max="9983" width="6" style="14" customWidth="1"/>
    <col min="9984" max="9984" width="5.375" style="14" customWidth="1"/>
    <col min="9985" max="9985" width="10" style="14" customWidth="1"/>
    <col min="9986" max="9986" width="3.125" style="14" customWidth="1"/>
    <col min="9987" max="9987" width="3.75" style="14" customWidth="1"/>
    <col min="9988" max="9988" width="3.5" style="14" customWidth="1"/>
    <col min="9989" max="9989" width="6.875" style="14" customWidth="1"/>
    <col min="9990" max="9990" width="7.125" style="14" customWidth="1"/>
    <col min="9991" max="9991" width="6.125" style="14" customWidth="1"/>
    <col min="9992" max="9992" width="7" style="14" customWidth="1"/>
    <col min="9993" max="9993" width="7.625" style="14" customWidth="1"/>
    <col min="9994" max="9994" width="3.25" style="14" customWidth="1"/>
    <col min="9995" max="9995" width="7.25" style="14" customWidth="1"/>
    <col min="9996" max="9996" width="11.625" style="14" customWidth="1"/>
    <col min="9997" max="9998" width="11.25" style="14" customWidth="1"/>
    <col min="9999" max="9999" width="8.125" style="14" customWidth="1"/>
    <col min="10000" max="10000" width="5.875" style="14" customWidth="1"/>
    <col min="10001" max="10001" width="5" style="14" customWidth="1"/>
    <col min="10002" max="10002" width="8.375" style="14" customWidth="1"/>
    <col min="10003" max="10003" width="8.625" style="14" customWidth="1"/>
    <col min="10004" max="10004" width="6.375" style="14" customWidth="1"/>
    <col min="10005" max="10235" width="9" style="14"/>
    <col min="10236" max="10236" width="3.375" style="14" customWidth="1"/>
    <col min="10237" max="10237" width="5.5" style="14" customWidth="1"/>
    <col min="10238" max="10238" width="5.625" style="14" customWidth="1"/>
    <col min="10239" max="10239" width="6" style="14" customWidth="1"/>
    <col min="10240" max="10240" width="5.375" style="14" customWidth="1"/>
    <col min="10241" max="10241" width="10" style="14" customWidth="1"/>
    <col min="10242" max="10242" width="3.125" style="14" customWidth="1"/>
    <col min="10243" max="10243" width="3.75" style="14" customWidth="1"/>
    <col min="10244" max="10244" width="3.5" style="14" customWidth="1"/>
    <col min="10245" max="10245" width="6.875" style="14" customWidth="1"/>
    <col min="10246" max="10246" width="7.125" style="14" customWidth="1"/>
    <col min="10247" max="10247" width="6.125" style="14" customWidth="1"/>
    <col min="10248" max="10248" width="7" style="14" customWidth="1"/>
    <col min="10249" max="10249" width="7.625" style="14" customWidth="1"/>
    <col min="10250" max="10250" width="3.25" style="14" customWidth="1"/>
    <col min="10251" max="10251" width="7.25" style="14" customWidth="1"/>
    <col min="10252" max="10252" width="11.625" style="14" customWidth="1"/>
    <col min="10253" max="10254" width="11.25" style="14" customWidth="1"/>
    <col min="10255" max="10255" width="8.125" style="14" customWidth="1"/>
    <col min="10256" max="10256" width="5.875" style="14" customWidth="1"/>
    <col min="10257" max="10257" width="5" style="14" customWidth="1"/>
    <col min="10258" max="10258" width="8.375" style="14" customWidth="1"/>
    <col min="10259" max="10259" width="8.625" style="14" customWidth="1"/>
    <col min="10260" max="10260" width="6.375" style="14" customWidth="1"/>
    <col min="10261" max="10491" width="9" style="14"/>
    <col min="10492" max="10492" width="3.375" style="14" customWidth="1"/>
    <col min="10493" max="10493" width="5.5" style="14" customWidth="1"/>
    <col min="10494" max="10494" width="5.625" style="14" customWidth="1"/>
    <col min="10495" max="10495" width="6" style="14" customWidth="1"/>
    <col min="10496" max="10496" width="5.375" style="14" customWidth="1"/>
    <col min="10497" max="10497" width="10" style="14" customWidth="1"/>
    <col min="10498" max="10498" width="3.125" style="14" customWidth="1"/>
    <col min="10499" max="10499" width="3.75" style="14" customWidth="1"/>
    <col min="10500" max="10500" width="3.5" style="14" customWidth="1"/>
    <col min="10501" max="10501" width="6.875" style="14" customWidth="1"/>
    <col min="10502" max="10502" width="7.125" style="14" customWidth="1"/>
    <col min="10503" max="10503" width="6.125" style="14" customWidth="1"/>
    <col min="10504" max="10504" width="7" style="14" customWidth="1"/>
    <col min="10505" max="10505" width="7.625" style="14" customWidth="1"/>
    <col min="10506" max="10506" width="3.25" style="14" customWidth="1"/>
    <col min="10507" max="10507" width="7.25" style="14" customWidth="1"/>
    <col min="10508" max="10508" width="11.625" style="14" customWidth="1"/>
    <col min="10509" max="10510" width="11.25" style="14" customWidth="1"/>
    <col min="10511" max="10511" width="8.125" style="14" customWidth="1"/>
    <col min="10512" max="10512" width="5.875" style="14" customWidth="1"/>
    <col min="10513" max="10513" width="5" style="14" customWidth="1"/>
    <col min="10514" max="10514" width="8.375" style="14" customWidth="1"/>
    <col min="10515" max="10515" width="8.625" style="14" customWidth="1"/>
    <col min="10516" max="10516" width="6.375" style="14" customWidth="1"/>
    <col min="10517" max="10747" width="9" style="14"/>
    <col min="10748" max="10748" width="3.375" style="14" customWidth="1"/>
    <col min="10749" max="10749" width="5.5" style="14" customWidth="1"/>
    <col min="10750" max="10750" width="5.625" style="14" customWidth="1"/>
    <col min="10751" max="10751" width="6" style="14" customWidth="1"/>
    <col min="10752" max="10752" width="5.375" style="14" customWidth="1"/>
    <col min="10753" max="10753" width="10" style="14" customWidth="1"/>
    <col min="10754" max="10754" width="3.125" style="14" customWidth="1"/>
    <col min="10755" max="10755" width="3.75" style="14" customWidth="1"/>
    <col min="10756" max="10756" width="3.5" style="14" customWidth="1"/>
    <col min="10757" max="10757" width="6.875" style="14" customWidth="1"/>
    <col min="10758" max="10758" width="7.125" style="14" customWidth="1"/>
    <col min="10759" max="10759" width="6.125" style="14" customWidth="1"/>
    <col min="10760" max="10760" width="7" style="14" customWidth="1"/>
    <col min="10761" max="10761" width="7.625" style="14" customWidth="1"/>
    <col min="10762" max="10762" width="3.25" style="14" customWidth="1"/>
    <col min="10763" max="10763" width="7.25" style="14" customWidth="1"/>
    <col min="10764" max="10764" width="11.625" style="14" customWidth="1"/>
    <col min="10765" max="10766" width="11.25" style="14" customWidth="1"/>
    <col min="10767" max="10767" width="8.125" style="14" customWidth="1"/>
    <col min="10768" max="10768" width="5.875" style="14" customWidth="1"/>
    <col min="10769" max="10769" width="5" style="14" customWidth="1"/>
    <col min="10770" max="10770" width="8.375" style="14" customWidth="1"/>
    <col min="10771" max="10771" width="8.625" style="14" customWidth="1"/>
    <col min="10772" max="10772" width="6.375" style="14" customWidth="1"/>
    <col min="10773" max="11003" width="9" style="14"/>
    <col min="11004" max="11004" width="3.375" style="14" customWidth="1"/>
    <col min="11005" max="11005" width="5.5" style="14" customWidth="1"/>
    <col min="11006" max="11006" width="5.625" style="14" customWidth="1"/>
    <col min="11007" max="11007" width="6" style="14" customWidth="1"/>
    <col min="11008" max="11008" width="5.375" style="14" customWidth="1"/>
    <col min="11009" max="11009" width="10" style="14" customWidth="1"/>
    <col min="11010" max="11010" width="3.125" style="14" customWidth="1"/>
    <col min="11011" max="11011" width="3.75" style="14" customWidth="1"/>
    <col min="11012" max="11012" width="3.5" style="14" customWidth="1"/>
    <col min="11013" max="11013" width="6.875" style="14" customWidth="1"/>
    <col min="11014" max="11014" width="7.125" style="14" customWidth="1"/>
    <col min="11015" max="11015" width="6.125" style="14" customWidth="1"/>
    <col min="11016" max="11016" width="7" style="14" customWidth="1"/>
    <col min="11017" max="11017" width="7.625" style="14" customWidth="1"/>
    <col min="11018" max="11018" width="3.25" style="14" customWidth="1"/>
    <col min="11019" max="11019" width="7.25" style="14" customWidth="1"/>
    <col min="11020" max="11020" width="11.625" style="14" customWidth="1"/>
    <col min="11021" max="11022" width="11.25" style="14" customWidth="1"/>
    <col min="11023" max="11023" width="8.125" style="14" customWidth="1"/>
    <col min="11024" max="11024" width="5.875" style="14" customWidth="1"/>
    <col min="11025" max="11025" width="5" style="14" customWidth="1"/>
    <col min="11026" max="11026" width="8.375" style="14" customWidth="1"/>
    <col min="11027" max="11027" width="8.625" style="14" customWidth="1"/>
    <col min="11028" max="11028" width="6.375" style="14" customWidth="1"/>
    <col min="11029" max="11259" width="9" style="14"/>
    <col min="11260" max="11260" width="3.375" style="14" customWidth="1"/>
    <col min="11261" max="11261" width="5.5" style="14" customWidth="1"/>
    <col min="11262" max="11262" width="5.625" style="14" customWidth="1"/>
    <col min="11263" max="11263" width="6" style="14" customWidth="1"/>
    <col min="11264" max="11264" width="5.375" style="14" customWidth="1"/>
    <col min="11265" max="11265" width="10" style="14" customWidth="1"/>
    <col min="11266" max="11266" width="3.125" style="14" customWidth="1"/>
    <col min="11267" max="11267" width="3.75" style="14" customWidth="1"/>
    <col min="11268" max="11268" width="3.5" style="14" customWidth="1"/>
    <col min="11269" max="11269" width="6.875" style="14" customWidth="1"/>
    <col min="11270" max="11270" width="7.125" style="14" customWidth="1"/>
    <col min="11271" max="11271" width="6.125" style="14" customWidth="1"/>
    <col min="11272" max="11272" width="7" style="14" customWidth="1"/>
    <col min="11273" max="11273" width="7.625" style="14" customWidth="1"/>
    <col min="11274" max="11274" width="3.25" style="14" customWidth="1"/>
    <col min="11275" max="11275" width="7.25" style="14" customWidth="1"/>
    <col min="11276" max="11276" width="11.625" style="14" customWidth="1"/>
    <col min="11277" max="11278" width="11.25" style="14" customWidth="1"/>
    <col min="11279" max="11279" width="8.125" style="14" customWidth="1"/>
    <col min="11280" max="11280" width="5.875" style="14" customWidth="1"/>
    <col min="11281" max="11281" width="5" style="14" customWidth="1"/>
    <col min="11282" max="11282" width="8.375" style="14" customWidth="1"/>
    <col min="11283" max="11283" width="8.625" style="14" customWidth="1"/>
    <col min="11284" max="11284" width="6.375" style="14" customWidth="1"/>
    <col min="11285" max="11515" width="9" style="14"/>
    <col min="11516" max="11516" width="3.375" style="14" customWidth="1"/>
    <col min="11517" max="11517" width="5.5" style="14" customWidth="1"/>
    <col min="11518" max="11518" width="5.625" style="14" customWidth="1"/>
    <col min="11519" max="11519" width="6" style="14" customWidth="1"/>
    <col min="11520" max="11520" width="5.375" style="14" customWidth="1"/>
    <col min="11521" max="11521" width="10" style="14" customWidth="1"/>
    <col min="11522" max="11522" width="3.125" style="14" customWidth="1"/>
    <col min="11523" max="11523" width="3.75" style="14" customWidth="1"/>
    <col min="11524" max="11524" width="3.5" style="14" customWidth="1"/>
    <col min="11525" max="11525" width="6.875" style="14" customWidth="1"/>
    <col min="11526" max="11526" width="7.125" style="14" customWidth="1"/>
    <col min="11527" max="11527" width="6.125" style="14" customWidth="1"/>
    <col min="11528" max="11528" width="7" style="14" customWidth="1"/>
    <col min="11529" max="11529" width="7.625" style="14" customWidth="1"/>
    <col min="11530" max="11530" width="3.25" style="14" customWidth="1"/>
    <col min="11531" max="11531" width="7.25" style="14" customWidth="1"/>
    <col min="11532" max="11532" width="11.625" style="14" customWidth="1"/>
    <col min="11533" max="11534" width="11.25" style="14" customWidth="1"/>
    <col min="11535" max="11535" width="8.125" style="14" customWidth="1"/>
    <col min="11536" max="11536" width="5.875" style="14" customWidth="1"/>
    <col min="11537" max="11537" width="5" style="14" customWidth="1"/>
    <col min="11538" max="11538" width="8.375" style="14" customWidth="1"/>
    <col min="11539" max="11539" width="8.625" style="14" customWidth="1"/>
    <col min="11540" max="11540" width="6.375" style="14" customWidth="1"/>
    <col min="11541" max="11771" width="9" style="14"/>
    <col min="11772" max="11772" width="3.375" style="14" customWidth="1"/>
    <col min="11773" max="11773" width="5.5" style="14" customWidth="1"/>
    <col min="11774" max="11774" width="5.625" style="14" customWidth="1"/>
    <col min="11775" max="11775" width="6" style="14" customWidth="1"/>
    <col min="11776" max="11776" width="5.375" style="14" customWidth="1"/>
    <col min="11777" max="11777" width="10" style="14" customWidth="1"/>
    <col min="11778" max="11778" width="3.125" style="14" customWidth="1"/>
    <col min="11779" max="11779" width="3.75" style="14" customWidth="1"/>
    <col min="11780" max="11780" width="3.5" style="14" customWidth="1"/>
    <col min="11781" max="11781" width="6.875" style="14" customWidth="1"/>
    <col min="11782" max="11782" width="7.125" style="14" customWidth="1"/>
    <col min="11783" max="11783" width="6.125" style="14" customWidth="1"/>
    <col min="11784" max="11784" width="7" style="14" customWidth="1"/>
    <col min="11785" max="11785" width="7.625" style="14" customWidth="1"/>
    <col min="11786" max="11786" width="3.25" style="14" customWidth="1"/>
    <col min="11787" max="11787" width="7.25" style="14" customWidth="1"/>
    <col min="11788" max="11788" width="11.625" style="14" customWidth="1"/>
    <col min="11789" max="11790" width="11.25" style="14" customWidth="1"/>
    <col min="11791" max="11791" width="8.125" style="14" customWidth="1"/>
    <col min="11792" max="11792" width="5.875" style="14" customWidth="1"/>
    <col min="11793" max="11793" width="5" style="14" customWidth="1"/>
    <col min="11794" max="11794" width="8.375" style="14" customWidth="1"/>
    <col min="11795" max="11795" width="8.625" style="14" customWidth="1"/>
    <col min="11796" max="11796" width="6.375" style="14" customWidth="1"/>
    <col min="11797" max="12027" width="9" style="14"/>
    <col min="12028" max="12028" width="3.375" style="14" customWidth="1"/>
    <col min="12029" max="12029" width="5.5" style="14" customWidth="1"/>
    <col min="12030" max="12030" width="5.625" style="14" customWidth="1"/>
    <col min="12031" max="12031" width="6" style="14" customWidth="1"/>
    <col min="12032" max="12032" width="5.375" style="14" customWidth="1"/>
    <col min="12033" max="12033" width="10" style="14" customWidth="1"/>
    <col min="12034" max="12034" width="3.125" style="14" customWidth="1"/>
    <col min="12035" max="12035" width="3.75" style="14" customWidth="1"/>
    <col min="12036" max="12036" width="3.5" style="14" customWidth="1"/>
    <col min="12037" max="12037" width="6.875" style="14" customWidth="1"/>
    <col min="12038" max="12038" width="7.125" style="14" customWidth="1"/>
    <col min="12039" max="12039" width="6.125" style="14" customWidth="1"/>
    <col min="12040" max="12040" width="7" style="14" customWidth="1"/>
    <col min="12041" max="12041" width="7.625" style="14" customWidth="1"/>
    <col min="12042" max="12042" width="3.25" style="14" customWidth="1"/>
    <col min="12043" max="12043" width="7.25" style="14" customWidth="1"/>
    <col min="12044" max="12044" width="11.625" style="14" customWidth="1"/>
    <col min="12045" max="12046" width="11.25" style="14" customWidth="1"/>
    <col min="12047" max="12047" width="8.125" style="14" customWidth="1"/>
    <col min="12048" max="12048" width="5.875" style="14" customWidth="1"/>
    <col min="12049" max="12049" width="5" style="14" customWidth="1"/>
    <col min="12050" max="12050" width="8.375" style="14" customWidth="1"/>
    <col min="12051" max="12051" width="8.625" style="14" customWidth="1"/>
    <col min="12052" max="12052" width="6.375" style="14" customWidth="1"/>
    <col min="12053" max="12283" width="9" style="14"/>
    <col min="12284" max="12284" width="3.375" style="14" customWidth="1"/>
    <col min="12285" max="12285" width="5.5" style="14" customWidth="1"/>
    <col min="12286" max="12286" width="5.625" style="14" customWidth="1"/>
    <col min="12287" max="12287" width="6" style="14" customWidth="1"/>
    <col min="12288" max="12288" width="5.375" style="14" customWidth="1"/>
    <col min="12289" max="12289" width="10" style="14" customWidth="1"/>
    <col min="12290" max="12290" width="3.125" style="14" customWidth="1"/>
    <col min="12291" max="12291" width="3.75" style="14" customWidth="1"/>
    <col min="12292" max="12292" width="3.5" style="14" customWidth="1"/>
    <col min="12293" max="12293" width="6.875" style="14" customWidth="1"/>
    <col min="12294" max="12294" width="7.125" style="14" customWidth="1"/>
    <col min="12295" max="12295" width="6.125" style="14" customWidth="1"/>
    <col min="12296" max="12296" width="7" style="14" customWidth="1"/>
    <col min="12297" max="12297" width="7.625" style="14" customWidth="1"/>
    <col min="12298" max="12298" width="3.25" style="14" customWidth="1"/>
    <col min="12299" max="12299" width="7.25" style="14" customWidth="1"/>
    <col min="12300" max="12300" width="11.625" style="14" customWidth="1"/>
    <col min="12301" max="12302" width="11.25" style="14" customWidth="1"/>
    <col min="12303" max="12303" width="8.125" style="14" customWidth="1"/>
    <col min="12304" max="12304" width="5.875" style="14" customWidth="1"/>
    <col min="12305" max="12305" width="5" style="14" customWidth="1"/>
    <col min="12306" max="12306" width="8.375" style="14" customWidth="1"/>
    <col min="12307" max="12307" width="8.625" style="14" customWidth="1"/>
    <col min="12308" max="12308" width="6.375" style="14" customWidth="1"/>
    <col min="12309" max="12539" width="9" style="14"/>
    <col min="12540" max="12540" width="3.375" style="14" customWidth="1"/>
    <col min="12541" max="12541" width="5.5" style="14" customWidth="1"/>
    <col min="12542" max="12542" width="5.625" style="14" customWidth="1"/>
    <col min="12543" max="12543" width="6" style="14" customWidth="1"/>
    <col min="12544" max="12544" width="5.375" style="14" customWidth="1"/>
    <col min="12545" max="12545" width="10" style="14" customWidth="1"/>
    <col min="12546" max="12546" width="3.125" style="14" customWidth="1"/>
    <col min="12547" max="12547" width="3.75" style="14" customWidth="1"/>
    <col min="12548" max="12548" width="3.5" style="14" customWidth="1"/>
    <col min="12549" max="12549" width="6.875" style="14" customWidth="1"/>
    <col min="12550" max="12550" width="7.125" style="14" customWidth="1"/>
    <col min="12551" max="12551" width="6.125" style="14" customWidth="1"/>
    <col min="12552" max="12552" width="7" style="14" customWidth="1"/>
    <col min="12553" max="12553" width="7.625" style="14" customWidth="1"/>
    <col min="12554" max="12554" width="3.25" style="14" customWidth="1"/>
    <col min="12555" max="12555" width="7.25" style="14" customWidth="1"/>
    <col min="12556" max="12556" width="11.625" style="14" customWidth="1"/>
    <col min="12557" max="12558" width="11.25" style="14" customWidth="1"/>
    <col min="12559" max="12559" width="8.125" style="14" customWidth="1"/>
    <col min="12560" max="12560" width="5.875" style="14" customWidth="1"/>
    <col min="12561" max="12561" width="5" style="14" customWidth="1"/>
    <col min="12562" max="12562" width="8.375" style="14" customWidth="1"/>
    <col min="12563" max="12563" width="8.625" style="14" customWidth="1"/>
    <col min="12564" max="12564" width="6.375" style="14" customWidth="1"/>
    <col min="12565" max="12795" width="9" style="14"/>
    <col min="12796" max="12796" width="3.375" style="14" customWidth="1"/>
    <col min="12797" max="12797" width="5.5" style="14" customWidth="1"/>
    <col min="12798" max="12798" width="5.625" style="14" customWidth="1"/>
    <col min="12799" max="12799" width="6" style="14" customWidth="1"/>
    <col min="12800" max="12800" width="5.375" style="14" customWidth="1"/>
    <col min="12801" max="12801" width="10" style="14" customWidth="1"/>
    <col min="12802" max="12802" width="3.125" style="14" customWidth="1"/>
    <col min="12803" max="12803" width="3.75" style="14" customWidth="1"/>
    <col min="12804" max="12804" width="3.5" style="14" customWidth="1"/>
    <col min="12805" max="12805" width="6.875" style="14" customWidth="1"/>
    <col min="12806" max="12806" width="7.125" style="14" customWidth="1"/>
    <col min="12807" max="12807" width="6.125" style="14" customWidth="1"/>
    <col min="12808" max="12808" width="7" style="14" customWidth="1"/>
    <col min="12809" max="12809" width="7.625" style="14" customWidth="1"/>
    <col min="12810" max="12810" width="3.25" style="14" customWidth="1"/>
    <col min="12811" max="12811" width="7.25" style="14" customWidth="1"/>
    <col min="12812" max="12812" width="11.625" style="14" customWidth="1"/>
    <col min="12813" max="12814" width="11.25" style="14" customWidth="1"/>
    <col min="12815" max="12815" width="8.125" style="14" customWidth="1"/>
    <col min="12816" max="12816" width="5.875" style="14" customWidth="1"/>
    <col min="12817" max="12817" width="5" style="14" customWidth="1"/>
    <col min="12818" max="12818" width="8.375" style="14" customWidth="1"/>
    <col min="12819" max="12819" width="8.625" style="14" customWidth="1"/>
    <col min="12820" max="12820" width="6.375" style="14" customWidth="1"/>
    <col min="12821" max="13051" width="9" style="14"/>
    <col min="13052" max="13052" width="3.375" style="14" customWidth="1"/>
    <col min="13053" max="13053" width="5.5" style="14" customWidth="1"/>
    <col min="13054" max="13054" width="5.625" style="14" customWidth="1"/>
    <col min="13055" max="13055" width="6" style="14" customWidth="1"/>
    <col min="13056" max="13056" width="5.375" style="14" customWidth="1"/>
    <col min="13057" max="13057" width="10" style="14" customWidth="1"/>
    <col min="13058" max="13058" width="3.125" style="14" customWidth="1"/>
    <col min="13059" max="13059" width="3.75" style="14" customWidth="1"/>
    <col min="13060" max="13060" width="3.5" style="14" customWidth="1"/>
    <col min="13061" max="13061" width="6.875" style="14" customWidth="1"/>
    <col min="13062" max="13062" width="7.125" style="14" customWidth="1"/>
    <col min="13063" max="13063" width="6.125" style="14" customWidth="1"/>
    <col min="13064" max="13064" width="7" style="14" customWidth="1"/>
    <col min="13065" max="13065" width="7.625" style="14" customWidth="1"/>
    <col min="13066" max="13066" width="3.25" style="14" customWidth="1"/>
    <col min="13067" max="13067" width="7.25" style="14" customWidth="1"/>
    <col min="13068" max="13068" width="11.625" style="14" customWidth="1"/>
    <col min="13069" max="13070" width="11.25" style="14" customWidth="1"/>
    <col min="13071" max="13071" width="8.125" style="14" customWidth="1"/>
    <col min="13072" max="13072" width="5.875" style="14" customWidth="1"/>
    <col min="13073" max="13073" width="5" style="14" customWidth="1"/>
    <col min="13074" max="13074" width="8.375" style="14" customWidth="1"/>
    <col min="13075" max="13075" width="8.625" style="14" customWidth="1"/>
    <col min="13076" max="13076" width="6.375" style="14" customWidth="1"/>
    <col min="13077" max="13307" width="9" style="14"/>
    <col min="13308" max="13308" width="3.375" style="14" customWidth="1"/>
    <col min="13309" max="13309" width="5.5" style="14" customWidth="1"/>
    <col min="13310" max="13310" width="5.625" style="14" customWidth="1"/>
    <col min="13311" max="13311" width="6" style="14" customWidth="1"/>
    <col min="13312" max="13312" width="5.375" style="14" customWidth="1"/>
    <col min="13313" max="13313" width="10" style="14" customWidth="1"/>
    <col min="13314" max="13314" width="3.125" style="14" customWidth="1"/>
    <col min="13315" max="13315" width="3.75" style="14" customWidth="1"/>
    <col min="13316" max="13316" width="3.5" style="14" customWidth="1"/>
    <col min="13317" max="13317" width="6.875" style="14" customWidth="1"/>
    <col min="13318" max="13318" width="7.125" style="14" customWidth="1"/>
    <col min="13319" max="13319" width="6.125" style="14" customWidth="1"/>
    <col min="13320" max="13320" width="7" style="14" customWidth="1"/>
    <col min="13321" max="13321" width="7.625" style="14" customWidth="1"/>
    <col min="13322" max="13322" width="3.25" style="14" customWidth="1"/>
    <col min="13323" max="13323" width="7.25" style="14" customWidth="1"/>
    <col min="13324" max="13324" width="11.625" style="14" customWidth="1"/>
    <col min="13325" max="13326" width="11.25" style="14" customWidth="1"/>
    <col min="13327" max="13327" width="8.125" style="14" customWidth="1"/>
    <col min="13328" max="13328" width="5.875" style="14" customWidth="1"/>
    <col min="13329" max="13329" width="5" style="14" customWidth="1"/>
    <col min="13330" max="13330" width="8.375" style="14" customWidth="1"/>
    <col min="13331" max="13331" width="8.625" style="14" customWidth="1"/>
    <col min="13332" max="13332" width="6.375" style="14" customWidth="1"/>
    <col min="13333" max="13563" width="9" style="14"/>
    <col min="13564" max="13564" width="3.375" style="14" customWidth="1"/>
    <col min="13565" max="13565" width="5.5" style="14" customWidth="1"/>
    <col min="13566" max="13566" width="5.625" style="14" customWidth="1"/>
    <col min="13567" max="13567" width="6" style="14" customWidth="1"/>
    <col min="13568" max="13568" width="5.375" style="14" customWidth="1"/>
    <col min="13569" max="13569" width="10" style="14" customWidth="1"/>
    <col min="13570" max="13570" width="3.125" style="14" customWidth="1"/>
    <col min="13571" max="13571" width="3.75" style="14" customWidth="1"/>
    <col min="13572" max="13572" width="3.5" style="14" customWidth="1"/>
    <col min="13573" max="13573" width="6.875" style="14" customWidth="1"/>
    <col min="13574" max="13574" width="7.125" style="14" customWidth="1"/>
    <col min="13575" max="13575" width="6.125" style="14" customWidth="1"/>
    <col min="13576" max="13576" width="7" style="14" customWidth="1"/>
    <col min="13577" max="13577" width="7.625" style="14" customWidth="1"/>
    <col min="13578" max="13578" width="3.25" style="14" customWidth="1"/>
    <col min="13579" max="13579" width="7.25" style="14" customWidth="1"/>
    <col min="13580" max="13580" width="11.625" style="14" customWidth="1"/>
    <col min="13581" max="13582" width="11.25" style="14" customWidth="1"/>
    <col min="13583" max="13583" width="8.125" style="14" customWidth="1"/>
    <col min="13584" max="13584" width="5.875" style="14" customWidth="1"/>
    <col min="13585" max="13585" width="5" style="14" customWidth="1"/>
    <col min="13586" max="13586" width="8.375" style="14" customWidth="1"/>
    <col min="13587" max="13587" width="8.625" style="14" customWidth="1"/>
    <col min="13588" max="13588" width="6.375" style="14" customWidth="1"/>
    <col min="13589" max="13819" width="9" style="14"/>
    <col min="13820" max="13820" width="3.375" style="14" customWidth="1"/>
    <col min="13821" max="13821" width="5.5" style="14" customWidth="1"/>
    <col min="13822" max="13822" width="5.625" style="14" customWidth="1"/>
    <col min="13823" max="13823" width="6" style="14" customWidth="1"/>
    <col min="13824" max="13824" width="5.375" style="14" customWidth="1"/>
    <col min="13825" max="13825" width="10" style="14" customWidth="1"/>
    <col min="13826" max="13826" width="3.125" style="14" customWidth="1"/>
    <col min="13827" max="13827" width="3.75" style="14" customWidth="1"/>
    <col min="13828" max="13828" width="3.5" style="14" customWidth="1"/>
    <col min="13829" max="13829" width="6.875" style="14" customWidth="1"/>
    <col min="13830" max="13830" width="7.125" style="14" customWidth="1"/>
    <col min="13831" max="13831" width="6.125" style="14" customWidth="1"/>
    <col min="13832" max="13832" width="7" style="14" customWidth="1"/>
    <col min="13833" max="13833" width="7.625" style="14" customWidth="1"/>
    <col min="13834" max="13834" width="3.25" style="14" customWidth="1"/>
    <col min="13835" max="13835" width="7.25" style="14" customWidth="1"/>
    <col min="13836" max="13836" width="11.625" style="14" customWidth="1"/>
    <col min="13837" max="13838" width="11.25" style="14" customWidth="1"/>
    <col min="13839" max="13839" width="8.125" style="14" customWidth="1"/>
    <col min="13840" max="13840" width="5.875" style="14" customWidth="1"/>
    <col min="13841" max="13841" width="5" style="14" customWidth="1"/>
    <col min="13842" max="13842" width="8.375" style="14" customWidth="1"/>
    <col min="13843" max="13843" width="8.625" style="14" customWidth="1"/>
    <col min="13844" max="13844" width="6.375" style="14" customWidth="1"/>
    <col min="13845" max="14075" width="9" style="14"/>
    <col min="14076" max="14076" width="3.375" style="14" customWidth="1"/>
    <col min="14077" max="14077" width="5.5" style="14" customWidth="1"/>
    <col min="14078" max="14078" width="5.625" style="14" customWidth="1"/>
    <col min="14079" max="14079" width="6" style="14" customWidth="1"/>
    <col min="14080" max="14080" width="5.375" style="14" customWidth="1"/>
    <col min="14081" max="14081" width="10" style="14" customWidth="1"/>
    <col min="14082" max="14082" width="3.125" style="14" customWidth="1"/>
    <col min="14083" max="14083" width="3.75" style="14" customWidth="1"/>
    <col min="14084" max="14084" width="3.5" style="14" customWidth="1"/>
    <col min="14085" max="14085" width="6.875" style="14" customWidth="1"/>
    <col min="14086" max="14086" width="7.125" style="14" customWidth="1"/>
    <col min="14087" max="14087" width="6.125" style="14" customWidth="1"/>
    <col min="14088" max="14088" width="7" style="14" customWidth="1"/>
    <col min="14089" max="14089" width="7.625" style="14" customWidth="1"/>
    <col min="14090" max="14090" width="3.25" style="14" customWidth="1"/>
    <col min="14091" max="14091" width="7.25" style="14" customWidth="1"/>
    <col min="14092" max="14092" width="11.625" style="14" customWidth="1"/>
    <col min="14093" max="14094" width="11.25" style="14" customWidth="1"/>
    <col min="14095" max="14095" width="8.125" style="14" customWidth="1"/>
    <col min="14096" max="14096" width="5.875" style="14" customWidth="1"/>
    <col min="14097" max="14097" width="5" style="14" customWidth="1"/>
    <col min="14098" max="14098" width="8.375" style="14" customWidth="1"/>
    <col min="14099" max="14099" width="8.625" style="14" customWidth="1"/>
    <col min="14100" max="14100" width="6.375" style="14" customWidth="1"/>
    <col min="14101" max="14331" width="9" style="14"/>
    <col min="14332" max="14332" width="3.375" style="14" customWidth="1"/>
    <col min="14333" max="14333" width="5.5" style="14" customWidth="1"/>
    <col min="14334" max="14334" width="5.625" style="14" customWidth="1"/>
    <col min="14335" max="14335" width="6" style="14" customWidth="1"/>
    <col min="14336" max="14336" width="5.375" style="14" customWidth="1"/>
    <col min="14337" max="14337" width="10" style="14" customWidth="1"/>
    <col min="14338" max="14338" width="3.125" style="14" customWidth="1"/>
    <col min="14339" max="14339" width="3.75" style="14" customWidth="1"/>
    <col min="14340" max="14340" width="3.5" style="14" customWidth="1"/>
    <col min="14341" max="14341" width="6.875" style="14" customWidth="1"/>
    <col min="14342" max="14342" width="7.125" style="14" customWidth="1"/>
    <col min="14343" max="14343" width="6.125" style="14" customWidth="1"/>
    <col min="14344" max="14344" width="7" style="14" customWidth="1"/>
    <col min="14345" max="14345" width="7.625" style="14" customWidth="1"/>
    <col min="14346" max="14346" width="3.25" style="14" customWidth="1"/>
    <col min="14347" max="14347" width="7.25" style="14" customWidth="1"/>
    <col min="14348" max="14348" width="11.625" style="14" customWidth="1"/>
    <col min="14349" max="14350" width="11.25" style="14" customWidth="1"/>
    <col min="14351" max="14351" width="8.125" style="14" customWidth="1"/>
    <col min="14352" max="14352" width="5.875" style="14" customWidth="1"/>
    <col min="14353" max="14353" width="5" style="14" customWidth="1"/>
    <col min="14354" max="14354" width="8.375" style="14" customWidth="1"/>
    <col min="14355" max="14355" width="8.625" style="14" customWidth="1"/>
    <col min="14356" max="14356" width="6.375" style="14" customWidth="1"/>
    <col min="14357" max="14587" width="9" style="14"/>
    <col min="14588" max="14588" width="3.375" style="14" customWidth="1"/>
    <col min="14589" max="14589" width="5.5" style="14" customWidth="1"/>
    <col min="14590" max="14590" width="5.625" style="14" customWidth="1"/>
    <col min="14591" max="14591" width="6" style="14" customWidth="1"/>
    <col min="14592" max="14592" width="5.375" style="14" customWidth="1"/>
    <col min="14593" max="14593" width="10" style="14" customWidth="1"/>
    <col min="14594" max="14594" width="3.125" style="14" customWidth="1"/>
    <col min="14595" max="14595" width="3.75" style="14" customWidth="1"/>
    <col min="14596" max="14596" width="3.5" style="14" customWidth="1"/>
    <col min="14597" max="14597" width="6.875" style="14" customWidth="1"/>
    <col min="14598" max="14598" width="7.125" style="14" customWidth="1"/>
    <col min="14599" max="14599" width="6.125" style="14" customWidth="1"/>
    <col min="14600" max="14600" width="7" style="14" customWidth="1"/>
    <col min="14601" max="14601" width="7.625" style="14" customWidth="1"/>
    <col min="14602" max="14602" width="3.25" style="14" customWidth="1"/>
    <col min="14603" max="14603" width="7.25" style="14" customWidth="1"/>
    <col min="14604" max="14604" width="11.625" style="14" customWidth="1"/>
    <col min="14605" max="14606" width="11.25" style="14" customWidth="1"/>
    <col min="14607" max="14607" width="8.125" style="14" customWidth="1"/>
    <col min="14608" max="14608" width="5.875" style="14" customWidth="1"/>
    <col min="14609" max="14609" width="5" style="14" customWidth="1"/>
    <col min="14610" max="14610" width="8.375" style="14" customWidth="1"/>
    <col min="14611" max="14611" width="8.625" style="14" customWidth="1"/>
    <col min="14612" max="14612" width="6.375" style="14" customWidth="1"/>
    <col min="14613" max="14843" width="9" style="14"/>
    <col min="14844" max="14844" width="3.375" style="14" customWidth="1"/>
    <col min="14845" max="14845" width="5.5" style="14" customWidth="1"/>
    <col min="14846" max="14846" width="5.625" style="14" customWidth="1"/>
    <col min="14847" max="14847" width="6" style="14" customWidth="1"/>
    <col min="14848" max="14848" width="5.375" style="14" customWidth="1"/>
    <col min="14849" max="14849" width="10" style="14" customWidth="1"/>
    <col min="14850" max="14850" width="3.125" style="14" customWidth="1"/>
    <col min="14851" max="14851" width="3.75" style="14" customWidth="1"/>
    <col min="14852" max="14852" width="3.5" style="14" customWidth="1"/>
    <col min="14853" max="14853" width="6.875" style="14" customWidth="1"/>
    <col min="14854" max="14854" width="7.125" style="14" customWidth="1"/>
    <col min="14855" max="14855" width="6.125" style="14" customWidth="1"/>
    <col min="14856" max="14856" width="7" style="14" customWidth="1"/>
    <col min="14857" max="14857" width="7.625" style="14" customWidth="1"/>
    <col min="14858" max="14858" width="3.25" style="14" customWidth="1"/>
    <col min="14859" max="14859" width="7.25" style="14" customWidth="1"/>
    <col min="14860" max="14860" width="11.625" style="14" customWidth="1"/>
    <col min="14861" max="14862" width="11.25" style="14" customWidth="1"/>
    <col min="14863" max="14863" width="8.125" style="14" customWidth="1"/>
    <col min="14864" max="14864" width="5.875" style="14" customWidth="1"/>
    <col min="14865" max="14865" width="5" style="14" customWidth="1"/>
    <col min="14866" max="14866" width="8.375" style="14" customWidth="1"/>
    <col min="14867" max="14867" width="8.625" style="14" customWidth="1"/>
    <col min="14868" max="14868" width="6.375" style="14" customWidth="1"/>
    <col min="14869" max="15099" width="9" style="14"/>
    <col min="15100" max="15100" width="3.375" style="14" customWidth="1"/>
    <col min="15101" max="15101" width="5.5" style="14" customWidth="1"/>
    <col min="15102" max="15102" width="5.625" style="14" customWidth="1"/>
    <col min="15103" max="15103" width="6" style="14" customWidth="1"/>
    <col min="15104" max="15104" width="5.375" style="14" customWidth="1"/>
    <col min="15105" max="15105" width="10" style="14" customWidth="1"/>
    <col min="15106" max="15106" width="3.125" style="14" customWidth="1"/>
    <col min="15107" max="15107" width="3.75" style="14" customWidth="1"/>
    <col min="15108" max="15108" width="3.5" style="14" customWidth="1"/>
    <col min="15109" max="15109" width="6.875" style="14" customWidth="1"/>
    <col min="15110" max="15110" width="7.125" style="14" customWidth="1"/>
    <col min="15111" max="15111" width="6.125" style="14" customWidth="1"/>
    <col min="15112" max="15112" width="7" style="14" customWidth="1"/>
    <col min="15113" max="15113" width="7.625" style="14" customWidth="1"/>
    <col min="15114" max="15114" width="3.25" style="14" customWidth="1"/>
    <col min="15115" max="15115" width="7.25" style="14" customWidth="1"/>
    <col min="15116" max="15116" width="11.625" style="14" customWidth="1"/>
    <col min="15117" max="15118" width="11.25" style="14" customWidth="1"/>
    <col min="15119" max="15119" width="8.125" style="14" customWidth="1"/>
    <col min="15120" max="15120" width="5.875" style="14" customWidth="1"/>
    <col min="15121" max="15121" width="5" style="14" customWidth="1"/>
    <col min="15122" max="15122" width="8.375" style="14" customWidth="1"/>
    <col min="15123" max="15123" width="8.625" style="14" customWidth="1"/>
    <col min="15124" max="15124" width="6.375" style="14" customWidth="1"/>
    <col min="15125" max="15355" width="9" style="14"/>
    <col min="15356" max="15356" width="3.375" style="14" customWidth="1"/>
    <col min="15357" max="15357" width="5.5" style="14" customWidth="1"/>
    <col min="15358" max="15358" width="5.625" style="14" customWidth="1"/>
    <col min="15359" max="15359" width="6" style="14" customWidth="1"/>
    <col min="15360" max="15360" width="5.375" style="14" customWidth="1"/>
    <col min="15361" max="15361" width="10" style="14" customWidth="1"/>
    <col min="15362" max="15362" width="3.125" style="14" customWidth="1"/>
    <col min="15363" max="15363" width="3.75" style="14" customWidth="1"/>
    <col min="15364" max="15364" width="3.5" style="14" customWidth="1"/>
    <col min="15365" max="15365" width="6.875" style="14" customWidth="1"/>
    <col min="15366" max="15366" width="7.125" style="14" customWidth="1"/>
    <col min="15367" max="15367" width="6.125" style="14" customWidth="1"/>
    <col min="15368" max="15368" width="7" style="14" customWidth="1"/>
    <col min="15369" max="15369" width="7.625" style="14" customWidth="1"/>
    <col min="15370" max="15370" width="3.25" style="14" customWidth="1"/>
    <col min="15371" max="15371" width="7.25" style="14" customWidth="1"/>
    <col min="15372" max="15372" width="11.625" style="14" customWidth="1"/>
    <col min="15373" max="15374" width="11.25" style="14" customWidth="1"/>
    <col min="15375" max="15375" width="8.125" style="14" customWidth="1"/>
    <col min="15376" max="15376" width="5.875" style="14" customWidth="1"/>
    <col min="15377" max="15377" width="5" style="14" customWidth="1"/>
    <col min="15378" max="15378" width="8.375" style="14" customWidth="1"/>
    <col min="15379" max="15379" width="8.625" style="14" customWidth="1"/>
    <col min="15380" max="15380" width="6.375" style="14" customWidth="1"/>
    <col min="15381" max="15611" width="9" style="14"/>
    <col min="15612" max="15612" width="3.375" style="14" customWidth="1"/>
    <col min="15613" max="15613" width="5.5" style="14" customWidth="1"/>
    <col min="15614" max="15614" width="5.625" style="14" customWidth="1"/>
    <col min="15615" max="15615" width="6" style="14" customWidth="1"/>
    <col min="15616" max="15616" width="5.375" style="14" customWidth="1"/>
    <col min="15617" max="15617" width="10" style="14" customWidth="1"/>
    <col min="15618" max="15618" width="3.125" style="14" customWidth="1"/>
    <col min="15619" max="15619" width="3.75" style="14" customWidth="1"/>
    <col min="15620" max="15620" width="3.5" style="14" customWidth="1"/>
    <col min="15621" max="15621" width="6.875" style="14" customWidth="1"/>
    <col min="15622" max="15622" width="7.125" style="14" customWidth="1"/>
    <col min="15623" max="15623" width="6.125" style="14" customWidth="1"/>
    <col min="15624" max="15624" width="7" style="14" customWidth="1"/>
    <col min="15625" max="15625" width="7.625" style="14" customWidth="1"/>
    <col min="15626" max="15626" width="3.25" style="14" customWidth="1"/>
    <col min="15627" max="15627" width="7.25" style="14" customWidth="1"/>
    <col min="15628" max="15628" width="11.625" style="14" customWidth="1"/>
    <col min="15629" max="15630" width="11.25" style="14" customWidth="1"/>
    <col min="15631" max="15631" width="8.125" style="14" customWidth="1"/>
    <col min="15632" max="15632" width="5.875" style="14" customWidth="1"/>
    <col min="15633" max="15633" width="5" style="14" customWidth="1"/>
    <col min="15634" max="15634" width="8.375" style="14" customWidth="1"/>
    <col min="15635" max="15635" width="8.625" style="14" customWidth="1"/>
    <col min="15636" max="15636" width="6.375" style="14" customWidth="1"/>
    <col min="15637" max="15867" width="9" style="14"/>
    <col min="15868" max="15868" width="3.375" style="14" customWidth="1"/>
    <col min="15869" max="15869" width="5.5" style="14" customWidth="1"/>
    <col min="15870" max="15870" width="5.625" style="14" customWidth="1"/>
    <col min="15871" max="15871" width="6" style="14" customWidth="1"/>
    <col min="15872" max="15872" width="5.375" style="14" customWidth="1"/>
    <col min="15873" max="15873" width="10" style="14" customWidth="1"/>
    <col min="15874" max="15874" width="3.125" style="14" customWidth="1"/>
    <col min="15875" max="15875" width="3.75" style="14" customWidth="1"/>
    <col min="15876" max="15876" width="3.5" style="14" customWidth="1"/>
    <col min="15877" max="15877" width="6.875" style="14" customWidth="1"/>
    <col min="15878" max="15878" width="7.125" style="14" customWidth="1"/>
    <col min="15879" max="15879" width="6.125" style="14" customWidth="1"/>
    <col min="15880" max="15880" width="7" style="14" customWidth="1"/>
    <col min="15881" max="15881" width="7.625" style="14" customWidth="1"/>
    <col min="15882" max="15882" width="3.25" style="14" customWidth="1"/>
    <col min="15883" max="15883" width="7.25" style="14" customWidth="1"/>
    <col min="15884" max="15884" width="11.625" style="14" customWidth="1"/>
    <col min="15885" max="15886" width="11.25" style="14" customWidth="1"/>
    <col min="15887" max="15887" width="8.125" style="14" customWidth="1"/>
    <col min="15888" max="15888" width="5.875" style="14" customWidth="1"/>
    <col min="15889" max="15889" width="5" style="14" customWidth="1"/>
    <col min="15890" max="15890" width="8.375" style="14" customWidth="1"/>
    <col min="15891" max="15891" width="8.625" style="14" customWidth="1"/>
    <col min="15892" max="15892" width="6.375" style="14" customWidth="1"/>
    <col min="15893" max="16123" width="9" style="14"/>
    <col min="16124" max="16124" width="3.375" style="14" customWidth="1"/>
    <col min="16125" max="16125" width="5.5" style="14" customWidth="1"/>
    <col min="16126" max="16126" width="5.625" style="14" customWidth="1"/>
    <col min="16127" max="16127" width="6" style="14" customWidth="1"/>
    <col min="16128" max="16128" width="5.375" style="14" customWidth="1"/>
    <col min="16129" max="16129" width="10" style="14" customWidth="1"/>
    <col min="16130" max="16130" width="3.125" style="14" customWidth="1"/>
    <col min="16131" max="16131" width="3.75" style="14" customWidth="1"/>
    <col min="16132" max="16132" width="3.5" style="14" customWidth="1"/>
    <col min="16133" max="16133" width="6.875" style="14" customWidth="1"/>
    <col min="16134" max="16134" width="7.125" style="14" customWidth="1"/>
    <col min="16135" max="16135" width="6.125" style="14" customWidth="1"/>
    <col min="16136" max="16136" width="7" style="14" customWidth="1"/>
    <col min="16137" max="16137" width="7.625" style="14" customWidth="1"/>
    <col min="16138" max="16138" width="3.25" style="14" customWidth="1"/>
    <col min="16139" max="16139" width="7.25" style="14" customWidth="1"/>
    <col min="16140" max="16140" width="11.625" style="14" customWidth="1"/>
    <col min="16141" max="16142" width="11.25" style="14" customWidth="1"/>
    <col min="16143" max="16143" width="8.125" style="14" customWidth="1"/>
    <col min="16144" max="16144" width="5.875" style="14" customWidth="1"/>
    <col min="16145" max="16145" width="5" style="14" customWidth="1"/>
    <col min="16146" max="16146" width="8.375" style="14" customWidth="1"/>
    <col min="16147" max="16147" width="8.625" style="14" customWidth="1"/>
    <col min="16148" max="16148" width="6.375" style="14" customWidth="1"/>
    <col min="16149" max="16384" width="9" style="14"/>
  </cols>
  <sheetData>
    <row r="1" spans="1:49" s="29" customFormat="1" ht="27.75" customHeight="1" x14ac:dyDescent="0.2">
      <c r="A1" s="126" t="s">
        <v>889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0" t="s">
        <v>887</v>
      </c>
      <c r="AR1" s="120"/>
      <c r="AS1" s="30"/>
      <c r="AT1" s="26"/>
      <c r="AU1" s="14"/>
      <c r="AV1" s="14"/>
      <c r="AW1" s="14"/>
    </row>
    <row r="2" spans="1:49" s="29" customFormat="1" ht="35.25" customHeight="1" x14ac:dyDescent="0.35">
      <c r="A2" s="127" t="s">
        <v>888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31"/>
      <c r="AR2" s="31"/>
      <c r="AS2" s="30"/>
      <c r="AT2" s="26"/>
      <c r="AU2" s="14"/>
      <c r="AV2" s="14"/>
      <c r="AW2" s="14"/>
    </row>
    <row r="3" spans="1:49" ht="24" customHeight="1" x14ac:dyDescent="0.2">
      <c r="B3" s="158" t="s">
        <v>0</v>
      </c>
      <c r="C3" s="159"/>
      <c r="D3" s="159"/>
      <c r="E3" s="159"/>
      <c r="F3" s="159"/>
      <c r="G3" s="159"/>
      <c r="H3" s="159"/>
      <c r="I3" s="159"/>
      <c r="J3" s="160"/>
      <c r="K3" s="32"/>
      <c r="L3" s="32"/>
      <c r="M3" s="32"/>
      <c r="N3" s="32"/>
      <c r="O3" s="32"/>
      <c r="P3" s="13"/>
      <c r="Q3" s="33"/>
      <c r="R3" s="13"/>
      <c r="S3" s="33"/>
      <c r="T3" s="158" t="s">
        <v>1</v>
      </c>
      <c r="U3" s="159"/>
      <c r="V3" s="159"/>
      <c r="W3" s="159"/>
      <c r="X3" s="159"/>
      <c r="Y3" s="159"/>
      <c r="Z3" s="159"/>
      <c r="AA3" s="159"/>
      <c r="AB3" s="159"/>
      <c r="AC3" s="159"/>
      <c r="AD3" s="34"/>
      <c r="AE3" s="34"/>
      <c r="AF3" s="153" t="s">
        <v>2</v>
      </c>
      <c r="AG3" s="153"/>
      <c r="AH3" s="153"/>
      <c r="AI3" s="153"/>
      <c r="AJ3" s="153"/>
      <c r="AK3" s="153"/>
      <c r="AL3" s="153"/>
      <c r="AM3" s="153"/>
      <c r="AN3" s="35"/>
      <c r="AO3" s="34"/>
      <c r="AP3" s="34"/>
      <c r="AQ3" s="34"/>
      <c r="AR3" s="36"/>
    </row>
    <row r="4" spans="1:49" ht="24" customHeight="1" x14ac:dyDescent="0.2">
      <c r="A4" s="132" t="s">
        <v>3</v>
      </c>
      <c r="C4" s="153" t="s">
        <v>4</v>
      </c>
      <c r="D4" s="153" t="s">
        <v>5</v>
      </c>
      <c r="E4" s="153" t="s">
        <v>6</v>
      </c>
      <c r="F4" s="153"/>
      <c r="G4" s="153" t="s">
        <v>7</v>
      </c>
      <c r="H4" s="153" t="s">
        <v>8</v>
      </c>
      <c r="I4" s="153"/>
      <c r="J4" s="153"/>
      <c r="K4" s="153" t="s">
        <v>9</v>
      </c>
      <c r="L4" s="153"/>
      <c r="M4" s="153"/>
      <c r="N4" s="153"/>
      <c r="O4" s="153"/>
      <c r="P4" s="162" t="s">
        <v>10</v>
      </c>
      <c r="Q4" s="164" t="s">
        <v>11</v>
      </c>
      <c r="R4" s="162" t="s">
        <v>12</v>
      </c>
      <c r="S4" s="164" t="s">
        <v>13</v>
      </c>
      <c r="T4" s="153" t="s">
        <v>3</v>
      </c>
      <c r="U4" s="153" t="s">
        <v>14</v>
      </c>
      <c r="V4" s="153" t="s">
        <v>15</v>
      </c>
      <c r="W4" s="161" t="s">
        <v>16</v>
      </c>
      <c r="X4" s="153" t="s">
        <v>17</v>
      </c>
      <c r="Y4" s="153"/>
      <c r="Z4" s="153"/>
      <c r="AA4" s="153"/>
      <c r="AB4" s="153" t="s">
        <v>18</v>
      </c>
      <c r="AC4" s="153" t="s">
        <v>19</v>
      </c>
      <c r="AD4" s="37"/>
      <c r="AE4" s="37"/>
      <c r="AF4" s="144" t="s">
        <v>20</v>
      </c>
      <c r="AG4" s="154" t="s">
        <v>21</v>
      </c>
      <c r="AH4" s="156" t="s">
        <v>22</v>
      </c>
      <c r="AI4" s="144" t="s">
        <v>23</v>
      </c>
      <c r="AJ4" s="148" t="s">
        <v>24</v>
      </c>
      <c r="AK4" s="146" t="s">
        <v>25</v>
      </c>
      <c r="AL4" s="147"/>
      <c r="AM4" s="148" t="s">
        <v>26</v>
      </c>
      <c r="AN4" s="148" t="s">
        <v>27</v>
      </c>
      <c r="AO4" s="144" t="s">
        <v>28</v>
      </c>
      <c r="AP4" s="144" t="s">
        <v>29</v>
      </c>
      <c r="AQ4" s="151" t="s">
        <v>30</v>
      </c>
      <c r="AR4" s="38"/>
      <c r="AS4" s="123" t="s">
        <v>31</v>
      </c>
      <c r="AT4" s="144" t="s">
        <v>32</v>
      </c>
      <c r="AU4" s="144" t="s">
        <v>33</v>
      </c>
      <c r="AV4" s="144" t="s">
        <v>34</v>
      </c>
    </row>
    <row r="5" spans="1:49" ht="138" customHeight="1" x14ac:dyDescent="0.2">
      <c r="A5" s="132"/>
      <c r="B5" s="39" t="s">
        <v>35</v>
      </c>
      <c r="C5" s="153"/>
      <c r="D5" s="153"/>
      <c r="E5" s="39" t="s">
        <v>36</v>
      </c>
      <c r="F5" s="39" t="s">
        <v>37</v>
      </c>
      <c r="G5" s="153"/>
      <c r="H5" s="39" t="s">
        <v>38</v>
      </c>
      <c r="I5" s="39" t="s">
        <v>39</v>
      </c>
      <c r="J5" s="39" t="s">
        <v>40</v>
      </c>
      <c r="K5" s="1" t="s">
        <v>41</v>
      </c>
      <c r="L5" s="39" t="s">
        <v>42</v>
      </c>
      <c r="M5" s="40" t="s">
        <v>43</v>
      </c>
      <c r="N5" s="41" t="s">
        <v>44</v>
      </c>
      <c r="O5" s="39" t="s">
        <v>45</v>
      </c>
      <c r="P5" s="163"/>
      <c r="Q5" s="165"/>
      <c r="R5" s="163"/>
      <c r="S5" s="165"/>
      <c r="T5" s="153"/>
      <c r="U5" s="153"/>
      <c r="V5" s="153"/>
      <c r="W5" s="161"/>
      <c r="X5" s="39" t="s">
        <v>46</v>
      </c>
      <c r="Y5" s="42" t="s">
        <v>47</v>
      </c>
      <c r="Z5" s="39" t="s">
        <v>48</v>
      </c>
      <c r="AA5" s="39" t="s">
        <v>49</v>
      </c>
      <c r="AB5" s="153"/>
      <c r="AC5" s="153"/>
      <c r="AD5" s="37"/>
      <c r="AE5" s="37"/>
      <c r="AF5" s="150"/>
      <c r="AG5" s="155"/>
      <c r="AH5" s="157"/>
      <c r="AI5" s="150"/>
      <c r="AJ5" s="149"/>
      <c r="AK5" s="43" t="s">
        <v>50</v>
      </c>
      <c r="AL5" s="44" t="s">
        <v>51</v>
      </c>
      <c r="AM5" s="149"/>
      <c r="AN5" s="149"/>
      <c r="AO5" s="150"/>
      <c r="AP5" s="150"/>
      <c r="AQ5" s="152"/>
      <c r="AR5" s="45"/>
      <c r="AS5" s="125"/>
      <c r="AT5" s="145"/>
      <c r="AU5" s="145"/>
      <c r="AV5" s="145"/>
    </row>
    <row r="6" spans="1:49" s="21" customFormat="1" ht="30" customHeight="1" x14ac:dyDescent="0.2">
      <c r="A6" s="2">
        <v>1</v>
      </c>
      <c r="B6" s="46">
        <v>1</v>
      </c>
      <c r="C6" s="16" t="s">
        <v>52</v>
      </c>
      <c r="D6" s="48">
        <v>15189</v>
      </c>
      <c r="E6" s="47">
        <v>302</v>
      </c>
      <c r="F6" s="48">
        <v>3504</v>
      </c>
      <c r="G6" s="49"/>
      <c r="H6" s="48">
        <v>11</v>
      </c>
      <c r="I6" s="48">
        <v>0</v>
      </c>
      <c r="J6" s="48">
        <v>25</v>
      </c>
      <c r="K6" s="3">
        <f>(11*400)+25</f>
        <v>4425</v>
      </c>
      <c r="L6" s="17"/>
      <c r="M6" s="15"/>
      <c r="N6" s="18"/>
      <c r="O6" s="14"/>
      <c r="P6" s="17">
        <v>1</v>
      </c>
      <c r="Q6" s="19">
        <v>4425</v>
      </c>
      <c r="R6" s="14">
        <v>200</v>
      </c>
      <c r="S6" s="19">
        <f>+Q6*R6</f>
        <v>885000</v>
      </c>
      <c r="T6" s="17"/>
      <c r="U6" s="17"/>
      <c r="V6" s="17"/>
      <c r="W6" s="4"/>
      <c r="X6" s="17"/>
      <c r="Y6" s="4"/>
      <c r="Z6" s="17"/>
      <c r="AA6" s="17"/>
      <c r="AB6" s="17"/>
      <c r="AC6" s="14"/>
      <c r="AD6" s="14"/>
      <c r="AE6" s="16" t="s">
        <v>53</v>
      </c>
      <c r="AG6" s="22"/>
      <c r="AH6" s="6"/>
      <c r="AJ6" s="20">
        <f>+AG6*AH6*AI6</f>
        <v>0</v>
      </c>
      <c r="AK6" s="50"/>
      <c r="AL6" s="6"/>
      <c r="AM6" s="20">
        <f>+AJ6-(AL6*AJ6)</f>
        <v>0</v>
      </c>
      <c r="AN6" s="20">
        <f t="shared" ref="AN6:AN37" si="0">+S6+AM6</f>
        <v>885000</v>
      </c>
      <c r="AP6" s="20">
        <f t="shared" ref="AP6:AP60" si="1">AN6</f>
        <v>885000</v>
      </c>
      <c r="AQ6" s="7">
        <v>1E-4</v>
      </c>
      <c r="AR6" s="20"/>
      <c r="AS6" s="51"/>
    </row>
    <row r="7" spans="1:49" s="21" customFormat="1" ht="30" customHeight="1" x14ac:dyDescent="0.2">
      <c r="A7" s="9">
        <v>2</v>
      </c>
      <c r="B7" s="46">
        <v>1</v>
      </c>
      <c r="C7" s="16" t="s">
        <v>52</v>
      </c>
      <c r="D7" s="48">
        <v>37047</v>
      </c>
      <c r="E7" s="47">
        <v>14</v>
      </c>
      <c r="F7" s="48">
        <v>7295</v>
      </c>
      <c r="G7" s="49">
        <v>7</v>
      </c>
      <c r="H7" s="48">
        <v>1</v>
      </c>
      <c r="I7" s="48">
        <v>0</v>
      </c>
      <c r="J7" s="48">
        <v>0</v>
      </c>
      <c r="K7" s="3">
        <v>400</v>
      </c>
      <c r="L7" s="16"/>
      <c r="M7" s="52"/>
      <c r="N7" s="18"/>
      <c r="O7" s="14"/>
      <c r="P7" s="17">
        <v>1</v>
      </c>
      <c r="Q7" s="19">
        <v>400</v>
      </c>
      <c r="R7" s="14">
        <v>160</v>
      </c>
      <c r="S7" s="20">
        <f>+Q7*R7</f>
        <v>64000</v>
      </c>
      <c r="T7" s="17"/>
      <c r="U7" s="17"/>
      <c r="V7" s="17"/>
      <c r="W7" s="4"/>
      <c r="X7" s="17"/>
      <c r="Y7" s="4"/>
      <c r="Z7" s="17"/>
      <c r="AA7" s="17"/>
      <c r="AB7" s="17"/>
      <c r="AC7" s="14"/>
      <c r="AD7" s="14"/>
      <c r="AE7" s="16"/>
      <c r="AG7" s="22"/>
      <c r="AH7" s="6"/>
      <c r="AJ7" s="20"/>
      <c r="AK7" s="50"/>
      <c r="AL7" s="6"/>
      <c r="AM7" s="20"/>
      <c r="AN7" s="20">
        <f t="shared" si="0"/>
        <v>64000</v>
      </c>
      <c r="AO7" s="14"/>
      <c r="AP7" s="20">
        <f t="shared" si="1"/>
        <v>64000</v>
      </c>
      <c r="AQ7" s="12">
        <v>1E-4</v>
      </c>
      <c r="AR7" s="20"/>
      <c r="AS7" s="51">
        <v>11862</v>
      </c>
    </row>
    <row r="8" spans="1:49" ht="30" customHeight="1" x14ac:dyDescent="0.2">
      <c r="A8" s="2">
        <v>3</v>
      </c>
      <c r="B8" s="46">
        <v>2</v>
      </c>
      <c r="C8" s="16" t="s">
        <v>52</v>
      </c>
      <c r="D8" s="48">
        <v>37046</v>
      </c>
      <c r="E8" s="47">
        <v>13</v>
      </c>
      <c r="F8" s="48">
        <v>7294</v>
      </c>
      <c r="G8" s="53">
        <v>7</v>
      </c>
      <c r="H8" s="48">
        <v>1</v>
      </c>
      <c r="I8" s="48">
        <v>0</v>
      </c>
      <c r="J8" s="48">
        <v>0.03</v>
      </c>
      <c r="K8" s="17"/>
      <c r="M8" s="15">
        <v>400.03</v>
      </c>
      <c r="N8" s="17"/>
      <c r="P8" s="17">
        <v>3</v>
      </c>
      <c r="Q8" s="19">
        <v>400.03</v>
      </c>
      <c r="R8" s="14">
        <v>4500</v>
      </c>
      <c r="S8" s="20">
        <f>+Q8*R8</f>
        <v>1800134.9999999998</v>
      </c>
      <c r="U8" s="13"/>
      <c r="V8" s="13"/>
      <c r="AC8" s="21" t="s">
        <v>54</v>
      </c>
      <c r="AD8" s="21"/>
      <c r="AE8" s="14"/>
      <c r="AJ8" s="20">
        <f t="shared" ref="AJ8:AJ60" si="2">+AG8*AH8*AI8</f>
        <v>0</v>
      </c>
      <c r="AM8" s="20">
        <f t="shared" ref="AM8:AM60" si="3">+AJ8-(AL8*AJ8)</f>
        <v>0</v>
      </c>
      <c r="AN8" s="20">
        <f t="shared" si="0"/>
        <v>1800134.9999999998</v>
      </c>
      <c r="AP8" s="20">
        <f t="shared" si="1"/>
        <v>1800134.9999999998</v>
      </c>
      <c r="AQ8" s="12">
        <v>3.0000000000000001E-3</v>
      </c>
      <c r="AR8" s="20"/>
    </row>
    <row r="9" spans="1:49" ht="30" customHeight="1" x14ac:dyDescent="0.2">
      <c r="B9" s="46"/>
      <c r="C9" s="16"/>
      <c r="D9" s="48"/>
      <c r="E9" s="47"/>
      <c r="F9" s="48"/>
      <c r="G9" s="53"/>
      <c r="H9" s="48"/>
      <c r="I9" s="48"/>
      <c r="J9" s="48"/>
      <c r="K9" s="17"/>
      <c r="N9" s="17"/>
      <c r="S9" s="20"/>
      <c r="U9" s="17" t="s">
        <v>55</v>
      </c>
      <c r="V9" s="17" t="s">
        <v>56</v>
      </c>
      <c r="W9" s="4">
        <v>112</v>
      </c>
      <c r="Z9" s="17">
        <v>112</v>
      </c>
      <c r="AB9" s="17">
        <v>3</v>
      </c>
      <c r="AE9" s="16"/>
      <c r="AF9" s="21">
        <v>3</v>
      </c>
      <c r="AG9" s="22">
        <v>112</v>
      </c>
      <c r="AH9" s="6">
        <v>1</v>
      </c>
      <c r="AI9" s="21">
        <v>5650</v>
      </c>
      <c r="AJ9" s="20">
        <f t="shared" si="2"/>
        <v>632800</v>
      </c>
      <c r="AK9" s="50">
        <v>3</v>
      </c>
      <c r="AL9" s="6">
        <v>0.03</v>
      </c>
      <c r="AM9" s="20">
        <f t="shared" si="3"/>
        <v>613816</v>
      </c>
      <c r="AN9" s="20">
        <f t="shared" si="0"/>
        <v>613816</v>
      </c>
      <c r="AO9" s="21"/>
      <c r="AP9" s="20">
        <f t="shared" si="1"/>
        <v>613816</v>
      </c>
      <c r="AQ9" s="7">
        <v>3.0000000000000001E-3</v>
      </c>
      <c r="AR9" s="20"/>
    </row>
    <row r="10" spans="1:49" ht="30" customHeight="1" x14ac:dyDescent="0.2">
      <c r="B10" s="46"/>
      <c r="C10" s="16"/>
      <c r="D10" s="48"/>
      <c r="E10" s="47"/>
      <c r="F10" s="48"/>
      <c r="G10" s="53"/>
      <c r="H10" s="48"/>
      <c r="I10" s="48"/>
      <c r="J10" s="48"/>
      <c r="K10" s="17"/>
      <c r="N10" s="17"/>
      <c r="S10" s="20"/>
      <c r="U10" s="17" t="s">
        <v>57</v>
      </c>
      <c r="V10" s="17" t="s">
        <v>56</v>
      </c>
      <c r="W10" s="4">
        <v>16</v>
      </c>
      <c r="Z10" s="17">
        <v>16</v>
      </c>
      <c r="AB10" s="17">
        <v>3</v>
      </c>
      <c r="AE10" s="16"/>
      <c r="AF10" s="21">
        <v>3</v>
      </c>
      <c r="AG10" s="22">
        <v>16</v>
      </c>
      <c r="AH10" s="6">
        <v>1</v>
      </c>
      <c r="AI10" s="21">
        <v>7250</v>
      </c>
      <c r="AJ10" s="20">
        <f t="shared" si="2"/>
        <v>116000</v>
      </c>
      <c r="AK10" s="50">
        <v>3</v>
      </c>
      <c r="AL10" s="6">
        <v>0.03</v>
      </c>
      <c r="AM10" s="20">
        <f t="shared" si="3"/>
        <v>112520</v>
      </c>
      <c r="AN10" s="20">
        <f t="shared" si="0"/>
        <v>112520</v>
      </c>
      <c r="AO10" s="21"/>
      <c r="AP10" s="20">
        <f t="shared" si="1"/>
        <v>112520</v>
      </c>
      <c r="AQ10" s="7">
        <v>3.0000000000000001E-3</v>
      </c>
      <c r="AR10" s="20"/>
    </row>
    <row r="11" spans="1:49" ht="30" customHeight="1" x14ac:dyDescent="0.2">
      <c r="A11" s="2">
        <v>4</v>
      </c>
      <c r="B11" s="46">
        <v>1</v>
      </c>
      <c r="C11" s="16" t="s">
        <v>52</v>
      </c>
      <c r="D11" s="48">
        <v>1910</v>
      </c>
      <c r="E11" s="47">
        <v>86</v>
      </c>
      <c r="F11" s="48">
        <v>496</v>
      </c>
      <c r="G11" s="53">
        <v>2</v>
      </c>
      <c r="H11" s="48">
        <v>2</v>
      </c>
      <c r="I11" s="48">
        <v>2</v>
      </c>
      <c r="J11" s="48">
        <v>49</v>
      </c>
      <c r="K11" s="17"/>
      <c r="M11" s="15">
        <v>1049</v>
      </c>
      <c r="N11" s="17"/>
      <c r="P11" s="17">
        <v>3</v>
      </c>
      <c r="Q11" s="19">
        <v>1049</v>
      </c>
      <c r="R11" s="14">
        <v>3350</v>
      </c>
      <c r="S11" s="19">
        <f>+Q11*R11</f>
        <v>3514150</v>
      </c>
      <c r="U11" s="13"/>
      <c r="V11" s="13"/>
      <c r="AC11" s="21"/>
      <c r="AD11" s="21"/>
      <c r="AE11" s="14"/>
      <c r="AJ11" s="20">
        <f t="shared" si="2"/>
        <v>0</v>
      </c>
      <c r="AM11" s="20">
        <f t="shared" si="3"/>
        <v>0</v>
      </c>
      <c r="AN11" s="20">
        <f t="shared" si="0"/>
        <v>3514150</v>
      </c>
      <c r="AO11" s="21"/>
      <c r="AP11" s="20">
        <f t="shared" si="1"/>
        <v>3514150</v>
      </c>
      <c r="AQ11" s="7">
        <v>3.0000000000000001E-3</v>
      </c>
      <c r="AR11" s="20"/>
    </row>
    <row r="12" spans="1:49" ht="30" customHeight="1" x14ac:dyDescent="0.2">
      <c r="B12" s="46"/>
      <c r="C12" s="16"/>
      <c r="D12" s="48"/>
      <c r="E12" s="47"/>
      <c r="F12" s="48"/>
      <c r="G12" s="53"/>
      <c r="H12" s="48"/>
      <c r="I12" s="48"/>
      <c r="J12" s="48"/>
      <c r="K12" s="17"/>
      <c r="N12" s="17"/>
      <c r="T12" s="17">
        <v>1</v>
      </c>
      <c r="U12" s="13" t="s">
        <v>55</v>
      </c>
      <c r="V12" s="13" t="s">
        <v>56</v>
      </c>
      <c r="W12" s="4">
        <v>286</v>
      </c>
      <c r="Z12" s="17">
        <v>286</v>
      </c>
      <c r="AB12" s="17">
        <v>4</v>
      </c>
      <c r="AC12" s="21"/>
      <c r="AD12" s="21"/>
      <c r="AE12" s="14"/>
      <c r="AF12" s="14">
        <v>3</v>
      </c>
      <c r="AG12" s="54">
        <v>286</v>
      </c>
      <c r="AH12" s="11">
        <v>1</v>
      </c>
      <c r="AI12" s="14">
        <v>5650</v>
      </c>
      <c r="AJ12" s="20">
        <f t="shared" si="2"/>
        <v>1615900</v>
      </c>
      <c r="AK12" s="23">
        <v>4</v>
      </c>
      <c r="AL12" s="11">
        <v>0.04</v>
      </c>
      <c r="AM12" s="20">
        <f t="shared" si="3"/>
        <v>1551264</v>
      </c>
      <c r="AN12" s="20">
        <f t="shared" si="0"/>
        <v>1551264</v>
      </c>
      <c r="AO12" s="21"/>
      <c r="AP12" s="20">
        <f t="shared" si="1"/>
        <v>1551264</v>
      </c>
      <c r="AQ12" s="7">
        <v>3.0000000000000001E-3</v>
      </c>
      <c r="AR12" s="20"/>
    </row>
    <row r="13" spans="1:49" ht="30" customHeight="1" x14ac:dyDescent="0.2">
      <c r="B13" s="46"/>
      <c r="C13" s="16"/>
      <c r="D13" s="48"/>
      <c r="E13" s="47"/>
      <c r="F13" s="48"/>
      <c r="G13" s="53"/>
      <c r="H13" s="48"/>
      <c r="I13" s="48"/>
      <c r="J13" s="48"/>
      <c r="K13" s="17"/>
      <c r="N13" s="17"/>
      <c r="T13" s="17">
        <v>2</v>
      </c>
      <c r="U13" s="13" t="s">
        <v>58</v>
      </c>
      <c r="V13" s="13" t="s">
        <v>56</v>
      </c>
      <c r="W13" s="4">
        <f>42+(1.3*3)+(6*3)</f>
        <v>63.9</v>
      </c>
      <c r="Z13" s="17">
        <v>63.9</v>
      </c>
      <c r="AB13" s="17">
        <v>4</v>
      </c>
      <c r="AC13" s="21"/>
      <c r="AD13" s="21"/>
      <c r="AE13" s="14" t="s">
        <v>59</v>
      </c>
      <c r="AF13" s="14">
        <v>3</v>
      </c>
      <c r="AG13" s="54">
        <v>63.9</v>
      </c>
      <c r="AH13" s="11">
        <v>1</v>
      </c>
      <c r="AI13" s="14">
        <v>7050</v>
      </c>
      <c r="AJ13" s="20">
        <f t="shared" si="2"/>
        <v>450495</v>
      </c>
      <c r="AK13" s="23">
        <v>4</v>
      </c>
      <c r="AL13" s="11">
        <v>0.04</v>
      </c>
      <c r="AM13" s="20">
        <f t="shared" si="3"/>
        <v>432475.2</v>
      </c>
      <c r="AN13" s="20">
        <f t="shared" si="0"/>
        <v>432475.2</v>
      </c>
      <c r="AO13" s="21"/>
      <c r="AP13" s="20">
        <f t="shared" si="1"/>
        <v>432475.2</v>
      </c>
      <c r="AQ13" s="7">
        <v>3.0000000000000001E-3</v>
      </c>
      <c r="AR13" s="20"/>
    </row>
    <row r="14" spans="1:49" ht="30" customHeight="1" x14ac:dyDescent="0.2">
      <c r="B14" s="46"/>
      <c r="C14" s="16"/>
      <c r="D14" s="48"/>
      <c r="E14" s="47"/>
      <c r="F14" s="48"/>
      <c r="G14" s="53"/>
      <c r="H14" s="48"/>
      <c r="I14" s="48"/>
      <c r="J14" s="48"/>
      <c r="K14" s="17"/>
      <c r="N14" s="17"/>
      <c r="T14" s="17">
        <v>3</v>
      </c>
      <c r="U14" s="13" t="s">
        <v>60</v>
      </c>
      <c r="V14" s="13" t="s">
        <v>56</v>
      </c>
      <c r="W14" s="4">
        <f>+(6.7*5)+(2*1.8)</f>
        <v>37.1</v>
      </c>
      <c r="Z14" s="17">
        <v>37.1</v>
      </c>
      <c r="AB14" s="17">
        <v>4</v>
      </c>
      <c r="AC14" s="21"/>
      <c r="AD14" s="21"/>
      <c r="AE14" s="14"/>
      <c r="AF14" s="14">
        <v>3</v>
      </c>
      <c r="AG14" s="54">
        <v>37.1</v>
      </c>
      <c r="AH14" s="11">
        <v>1</v>
      </c>
      <c r="AI14" s="14">
        <v>6450</v>
      </c>
      <c r="AJ14" s="20">
        <f t="shared" si="2"/>
        <v>239295</v>
      </c>
      <c r="AK14" s="23">
        <v>4</v>
      </c>
      <c r="AL14" s="11">
        <v>0.04</v>
      </c>
      <c r="AM14" s="20">
        <f t="shared" si="3"/>
        <v>229723.2</v>
      </c>
      <c r="AN14" s="20">
        <f t="shared" si="0"/>
        <v>229723.2</v>
      </c>
      <c r="AO14" s="21"/>
      <c r="AP14" s="20">
        <f t="shared" si="1"/>
        <v>229723.2</v>
      </c>
      <c r="AQ14" s="7">
        <v>3.0000000000000001E-3</v>
      </c>
      <c r="AR14" s="20"/>
    </row>
    <row r="15" spans="1:49" ht="30" customHeight="1" x14ac:dyDescent="0.2">
      <c r="B15" s="46"/>
      <c r="C15" s="16"/>
      <c r="D15" s="48"/>
      <c r="E15" s="47"/>
      <c r="F15" s="48"/>
      <c r="G15" s="53"/>
      <c r="H15" s="48"/>
      <c r="I15" s="48"/>
      <c r="J15" s="48"/>
      <c r="K15" s="17"/>
      <c r="N15" s="17"/>
      <c r="T15" s="17">
        <v>4</v>
      </c>
      <c r="U15" s="13" t="s">
        <v>61</v>
      </c>
      <c r="V15" s="13" t="s">
        <v>56</v>
      </c>
      <c r="W15" s="4">
        <f>9*18</f>
        <v>162</v>
      </c>
      <c r="Z15" s="17">
        <v>162</v>
      </c>
      <c r="AB15" s="17">
        <v>4</v>
      </c>
      <c r="AC15" s="21"/>
      <c r="AD15" s="21"/>
      <c r="AE15" s="14" t="s">
        <v>62</v>
      </c>
      <c r="AF15" s="14">
        <v>3</v>
      </c>
      <c r="AG15" s="54">
        <v>162</v>
      </c>
      <c r="AH15" s="11">
        <v>1</v>
      </c>
      <c r="AI15" s="14">
        <v>8300</v>
      </c>
      <c r="AJ15" s="20">
        <f t="shared" si="2"/>
        <v>1344600</v>
      </c>
      <c r="AK15" s="23">
        <v>4</v>
      </c>
      <c r="AL15" s="11">
        <v>0.04</v>
      </c>
      <c r="AM15" s="20">
        <f t="shared" si="3"/>
        <v>1290816</v>
      </c>
      <c r="AN15" s="20">
        <f t="shared" si="0"/>
        <v>1290816</v>
      </c>
      <c r="AO15" s="21"/>
      <c r="AP15" s="20">
        <f t="shared" si="1"/>
        <v>1290816</v>
      </c>
      <c r="AQ15" s="7">
        <v>3.0000000000000001E-3</v>
      </c>
      <c r="AR15" s="20"/>
    </row>
    <row r="16" spans="1:49" ht="30" customHeight="1" x14ac:dyDescent="0.2">
      <c r="B16" s="46"/>
      <c r="C16" s="16"/>
      <c r="D16" s="48"/>
      <c r="E16" s="47"/>
      <c r="F16" s="48"/>
      <c r="G16" s="53"/>
      <c r="H16" s="48"/>
      <c r="I16" s="48"/>
      <c r="J16" s="48"/>
      <c r="K16" s="17"/>
      <c r="N16" s="17"/>
      <c r="T16" s="17">
        <v>5</v>
      </c>
      <c r="U16" s="13" t="s">
        <v>63</v>
      </c>
      <c r="V16" s="13" t="s">
        <v>56</v>
      </c>
      <c r="W16" s="4">
        <f>4.5*9</f>
        <v>40.5</v>
      </c>
      <c r="Z16" s="17">
        <v>40.5</v>
      </c>
      <c r="AB16" s="17">
        <v>4</v>
      </c>
      <c r="AC16" s="21"/>
      <c r="AD16" s="21"/>
      <c r="AE16" s="14" t="s">
        <v>64</v>
      </c>
      <c r="AF16" s="14">
        <v>3</v>
      </c>
      <c r="AG16" s="54">
        <v>40.5</v>
      </c>
      <c r="AH16" s="11">
        <v>1</v>
      </c>
      <c r="AI16" s="14">
        <v>7250</v>
      </c>
      <c r="AJ16" s="20">
        <f t="shared" si="2"/>
        <v>293625</v>
      </c>
      <c r="AK16" s="23">
        <v>4</v>
      </c>
      <c r="AL16" s="11">
        <v>0.04</v>
      </c>
      <c r="AM16" s="20">
        <f t="shared" si="3"/>
        <v>281880</v>
      </c>
      <c r="AN16" s="20">
        <f t="shared" si="0"/>
        <v>281880</v>
      </c>
      <c r="AO16" s="21"/>
      <c r="AP16" s="20">
        <f t="shared" si="1"/>
        <v>281880</v>
      </c>
      <c r="AQ16" s="7">
        <v>3.0000000000000001E-3</v>
      </c>
      <c r="AR16" s="20"/>
    </row>
    <row r="17" spans="1:45" ht="30" customHeight="1" x14ac:dyDescent="0.2">
      <c r="A17" s="2">
        <v>5</v>
      </c>
      <c r="B17" s="13">
        <v>1</v>
      </c>
      <c r="C17" s="16" t="s">
        <v>65</v>
      </c>
      <c r="D17" s="17">
        <v>1377</v>
      </c>
      <c r="E17" s="17">
        <v>65</v>
      </c>
      <c r="H17" s="17">
        <v>23</v>
      </c>
      <c r="I17" s="17">
        <v>1</v>
      </c>
      <c r="J17" s="17">
        <v>0</v>
      </c>
      <c r="K17" s="10">
        <f>23*400+100</f>
        <v>9300</v>
      </c>
      <c r="P17" s="17">
        <v>1</v>
      </c>
      <c r="Q17" s="56">
        <f>23*400+100</f>
        <v>9300</v>
      </c>
      <c r="R17" s="14">
        <v>160</v>
      </c>
      <c r="S17" s="19">
        <f t="shared" ref="S17:S61" si="4">+Q17*R17</f>
        <v>1488000</v>
      </c>
      <c r="AJ17" s="20">
        <f t="shared" si="2"/>
        <v>0</v>
      </c>
      <c r="AM17" s="20">
        <f t="shared" si="3"/>
        <v>0</v>
      </c>
      <c r="AN17" s="20">
        <f t="shared" si="0"/>
        <v>1488000</v>
      </c>
      <c r="AP17" s="20">
        <f t="shared" si="1"/>
        <v>1488000</v>
      </c>
      <c r="AQ17" s="12">
        <v>1E-4</v>
      </c>
      <c r="AR17" s="20"/>
    </row>
    <row r="18" spans="1:45" ht="30" customHeight="1" x14ac:dyDescent="0.2">
      <c r="A18" s="2">
        <v>6</v>
      </c>
      <c r="B18" s="13">
        <v>2</v>
      </c>
      <c r="C18" s="16" t="s">
        <v>65</v>
      </c>
      <c r="D18" s="17">
        <v>1380</v>
      </c>
      <c r="E18" s="17">
        <v>68</v>
      </c>
      <c r="H18" s="17">
        <v>4</v>
      </c>
      <c r="I18" s="17">
        <v>1</v>
      </c>
      <c r="J18" s="17">
        <v>30</v>
      </c>
      <c r="K18" s="10">
        <v>1730</v>
      </c>
      <c r="P18" s="17">
        <v>1</v>
      </c>
      <c r="Q18" s="56">
        <v>1730</v>
      </c>
      <c r="R18" s="14">
        <v>160</v>
      </c>
      <c r="S18" s="19">
        <f t="shared" si="4"/>
        <v>276800</v>
      </c>
      <c r="AC18" s="21"/>
      <c r="AD18" s="21"/>
      <c r="AJ18" s="20">
        <f t="shared" si="2"/>
        <v>0</v>
      </c>
      <c r="AM18" s="20">
        <f t="shared" si="3"/>
        <v>0</v>
      </c>
      <c r="AN18" s="20">
        <f t="shared" si="0"/>
        <v>276800</v>
      </c>
      <c r="AP18" s="20">
        <f t="shared" si="1"/>
        <v>276800</v>
      </c>
      <c r="AQ18" s="12">
        <v>1E-4</v>
      </c>
      <c r="AR18" s="20"/>
    </row>
    <row r="19" spans="1:45" s="21" customFormat="1" ht="30" customHeight="1" x14ac:dyDescent="0.2">
      <c r="A19" s="2">
        <v>7</v>
      </c>
      <c r="B19" s="46">
        <v>1</v>
      </c>
      <c r="C19" s="16" t="s">
        <v>52</v>
      </c>
      <c r="D19" s="48">
        <v>28840</v>
      </c>
      <c r="E19" s="47">
        <v>9</v>
      </c>
      <c r="F19" s="48">
        <v>5475</v>
      </c>
      <c r="G19" s="49">
        <v>4</v>
      </c>
      <c r="H19" s="48">
        <v>0</v>
      </c>
      <c r="I19" s="48">
        <v>0</v>
      </c>
      <c r="J19" s="48">
        <v>30</v>
      </c>
      <c r="K19" s="3"/>
      <c r="L19" s="16"/>
      <c r="M19" s="57"/>
      <c r="N19" s="58">
        <v>30</v>
      </c>
      <c r="P19" s="16">
        <v>4</v>
      </c>
      <c r="Q19" s="20">
        <v>30</v>
      </c>
      <c r="R19" s="14">
        <v>2000</v>
      </c>
      <c r="S19" s="20">
        <f t="shared" si="4"/>
        <v>60000</v>
      </c>
      <c r="T19" s="16"/>
      <c r="U19" s="16"/>
      <c r="V19" s="16"/>
      <c r="W19" s="5"/>
      <c r="X19" s="16"/>
      <c r="Y19" s="5"/>
      <c r="Z19" s="16"/>
      <c r="AA19" s="16"/>
      <c r="AB19" s="16"/>
      <c r="AE19" s="16"/>
      <c r="AG19" s="22"/>
      <c r="AH19" s="6"/>
      <c r="AJ19" s="20">
        <f t="shared" si="2"/>
        <v>0</v>
      </c>
      <c r="AK19" s="50"/>
      <c r="AL19" s="6"/>
      <c r="AM19" s="20">
        <f t="shared" si="3"/>
        <v>0</v>
      </c>
      <c r="AN19" s="20">
        <f t="shared" si="0"/>
        <v>60000</v>
      </c>
      <c r="AP19" s="20">
        <f t="shared" si="1"/>
        <v>60000</v>
      </c>
      <c r="AQ19" s="7">
        <v>3.0000000000000001E-3</v>
      </c>
      <c r="AR19" s="20"/>
      <c r="AS19" s="51" t="s">
        <v>66</v>
      </c>
    </row>
    <row r="20" spans="1:45" s="21" customFormat="1" ht="30" customHeight="1" x14ac:dyDescent="0.2">
      <c r="A20" s="2">
        <v>8</v>
      </c>
      <c r="B20" s="46">
        <v>2</v>
      </c>
      <c r="C20" s="16" t="s">
        <v>52</v>
      </c>
      <c r="D20" s="48">
        <v>28844</v>
      </c>
      <c r="E20" s="47">
        <v>61</v>
      </c>
      <c r="F20" s="48">
        <v>5479</v>
      </c>
      <c r="G20" s="49">
        <v>4</v>
      </c>
      <c r="H20" s="48">
        <v>0</v>
      </c>
      <c r="I20" s="48">
        <v>2</v>
      </c>
      <c r="J20" s="48">
        <v>78</v>
      </c>
      <c r="K20" s="3"/>
      <c r="L20" s="59"/>
      <c r="M20" s="57"/>
      <c r="N20" s="58">
        <f>200+78</f>
        <v>278</v>
      </c>
      <c r="P20" s="16">
        <v>4</v>
      </c>
      <c r="Q20" s="20">
        <v>278</v>
      </c>
      <c r="R20" s="14">
        <v>160</v>
      </c>
      <c r="S20" s="19">
        <f t="shared" si="4"/>
        <v>44480</v>
      </c>
      <c r="T20" s="16"/>
      <c r="U20" s="17"/>
      <c r="V20" s="16"/>
      <c r="W20" s="5"/>
      <c r="X20" s="16"/>
      <c r="Y20" s="5"/>
      <c r="Z20" s="16"/>
      <c r="AA20" s="16"/>
      <c r="AB20" s="16"/>
      <c r="AE20" s="16" t="s">
        <v>67</v>
      </c>
      <c r="AG20" s="22"/>
      <c r="AH20" s="6"/>
      <c r="AJ20" s="20">
        <f t="shared" si="2"/>
        <v>0</v>
      </c>
      <c r="AK20" s="50"/>
      <c r="AL20" s="6"/>
      <c r="AM20" s="20">
        <f t="shared" si="3"/>
        <v>0</v>
      </c>
      <c r="AN20" s="20">
        <f t="shared" si="0"/>
        <v>44480</v>
      </c>
      <c r="AP20" s="20">
        <f t="shared" si="1"/>
        <v>44480</v>
      </c>
      <c r="AQ20" s="7">
        <v>3.0000000000000001E-3</v>
      </c>
      <c r="AR20" s="20"/>
      <c r="AS20" s="51"/>
    </row>
    <row r="21" spans="1:45" s="21" customFormat="1" ht="23.25" customHeight="1" x14ac:dyDescent="0.2">
      <c r="A21" s="2">
        <v>9</v>
      </c>
      <c r="B21" s="46">
        <v>1</v>
      </c>
      <c r="C21" s="16" t="s">
        <v>52</v>
      </c>
      <c r="D21" s="48">
        <v>18231</v>
      </c>
      <c r="E21" s="47">
        <v>31</v>
      </c>
      <c r="F21" s="48">
        <v>4153</v>
      </c>
      <c r="G21" s="49">
        <v>5</v>
      </c>
      <c r="H21" s="48">
        <v>0</v>
      </c>
      <c r="I21" s="48">
        <v>0</v>
      </c>
      <c r="J21" s="48">
        <v>38</v>
      </c>
      <c r="K21" s="3"/>
      <c r="L21" s="16"/>
      <c r="M21" s="57"/>
      <c r="N21" s="58">
        <v>38</v>
      </c>
      <c r="P21" s="16">
        <v>4</v>
      </c>
      <c r="Q21" s="20">
        <v>38</v>
      </c>
      <c r="R21" s="14">
        <v>1500</v>
      </c>
      <c r="S21" s="19">
        <f t="shared" si="4"/>
        <v>57000</v>
      </c>
      <c r="T21" s="16"/>
      <c r="U21" s="17"/>
      <c r="V21" s="17"/>
      <c r="W21" s="4"/>
      <c r="X21" s="16"/>
      <c r="Y21" s="5"/>
      <c r="Z21" s="16"/>
      <c r="AA21" s="16"/>
      <c r="AB21" s="16"/>
      <c r="AE21" s="16" t="s">
        <v>68</v>
      </c>
      <c r="AG21" s="22"/>
      <c r="AH21" s="6"/>
      <c r="AJ21" s="20">
        <f t="shared" si="2"/>
        <v>0</v>
      </c>
      <c r="AK21" s="50"/>
      <c r="AL21" s="6"/>
      <c r="AM21" s="20">
        <f t="shared" si="3"/>
        <v>0</v>
      </c>
      <c r="AN21" s="20">
        <f t="shared" si="0"/>
        <v>57000</v>
      </c>
      <c r="AP21" s="20">
        <f t="shared" si="1"/>
        <v>57000</v>
      </c>
      <c r="AQ21" s="7">
        <v>3.0000000000000001E-3</v>
      </c>
      <c r="AR21" s="20"/>
      <c r="AS21" s="51"/>
    </row>
    <row r="22" spans="1:45" s="21" customFormat="1" ht="23.25" customHeight="1" x14ac:dyDescent="0.2">
      <c r="A22" s="2">
        <v>10</v>
      </c>
      <c r="B22" s="46">
        <v>2</v>
      </c>
      <c r="C22" s="16" t="s">
        <v>52</v>
      </c>
      <c r="D22" s="48">
        <v>18232</v>
      </c>
      <c r="E22" s="47">
        <v>32</v>
      </c>
      <c r="F22" s="48">
        <v>4154</v>
      </c>
      <c r="G22" s="49">
        <v>5</v>
      </c>
      <c r="H22" s="48">
        <v>0</v>
      </c>
      <c r="I22" s="48">
        <v>0</v>
      </c>
      <c r="J22" s="48">
        <v>38</v>
      </c>
      <c r="K22" s="3"/>
      <c r="L22" s="16"/>
      <c r="M22" s="57"/>
      <c r="N22" s="58">
        <v>38</v>
      </c>
      <c r="P22" s="16">
        <v>4</v>
      </c>
      <c r="Q22" s="20">
        <v>38</v>
      </c>
      <c r="R22" s="14">
        <v>1500</v>
      </c>
      <c r="S22" s="20">
        <f t="shared" si="4"/>
        <v>57000</v>
      </c>
      <c r="T22" s="16"/>
      <c r="U22" s="17"/>
      <c r="V22" s="17"/>
      <c r="W22" s="4"/>
      <c r="X22" s="16"/>
      <c r="Y22" s="5"/>
      <c r="Z22" s="16"/>
      <c r="AA22" s="16"/>
      <c r="AB22" s="16"/>
      <c r="AE22" s="16"/>
      <c r="AG22" s="22"/>
      <c r="AH22" s="6"/>
      <c r="AJ22" s="20">
        <f t="shared" si="2"/>
        <v>0</v>
      </c>
      <c r="AK22" s="50"/>
      <c r="AL22" s="6"/>
      <c r="AM22" s="20">
        <f t="shared" si="3"/>
        <v>0</v>
      </c>
      <c r="AN22" s="20">
        <f t="shared" si="0"/>
        <v>57000</v>
      </c>
      <c r="AP22" s="20">
        <f t="shared" si="1"/>
        <v>57000</v>
      </c>
      <c r="AQ22" s="7">
        <v>3.0000000000000001E-3</v>
      </c>
      <c r="AR22" s="20"/>
      <c r="AS22" s="51"/>
    </row>
    <row r="23" spans="1:45" s="21" customFormat="1" ht="23.25" customHeight="1" x14ac:dyDescent="0.2">
      <c r="A23" s="2">
        <v>11</v>
      </c>
      <c r="B23" s="46">
        <v>3</v>
      </c>
      <c r="C23" s="16" t="s">
        <v>52</v>
      </c>
      <c r="D23" s="48">
        <v>29745</v>
      </c>
      <c r="E23" s="47">
        <v>67</v>
      </c>
      <c r="F23" s="48">
        <v>5525</v>
      </c>
      <c r="G23" s="49">
        <v>5</v>
      </c>
      <c r="H23" s="48">
        <v>0</v>
      </c>
      <c r="I23" s="48">
        <v>0</v>
      </c>
      <c r="J23" s="48">
        <v>75</v>
      </c>
      <c r="K23" s="3"/>
      <c r="L23" s="16"/>
      <c r="M23" s="57"/>
      <c r="N23" s="58">
        <v>75</v>
      </c>
      <c r="P23" s="16">
        <v>4</v>
      </c>
      <c r="Q23" s="20">
        <v>75</v>
      </c>
      <c r="R23" s="14">
        <v>1500</v>
      </c>
      <c r="S23" s="19">
        <f t="shared" si="4"/>
        <v>112500</v>
      </c>
      <c r="T23" s="16"/>
      <c r="U23" s="17"/>
      <c r="V23" s="17"/>
      <c r="W23" s="4"/>
      <c r="X23" s="16"/>
      <c r="Y23" s="5"/>
      <c r="Z23" s="16"/>
      <c r="AA23" s="16"/>
      <c r="AB23" s="16"/>
      <c r="AE23" s="16"/>
      <c r="AG23" s="22"/>
      <c r="AH23" s="6"/>
      <c r="AJ23" s="20">
        <f t="shared" si="2"/>
        <v>0</v>
      </c>
      <c r="AK23" s="50"/>
      <c r="AL23" s="6"/>
      <c r="AM23" s="20">
        <f t="shared" si="3"/>
        <v>0</v>
      </c>
      <c r="AN23" s="20">
        <f t="shared" si="0"/>
        <v>112500</v>
      </c>
      <c r="AP23" s="20">
        <f t="shared" si="1"/>
        <v>112500</v>
      </c>
      <c r="AQ23" s="7">
        <v>3.0000000000000001E-3</v>
      </c>
      <c r="AR23" s="20"/>
      <c r="AS23" s="51"/>
    </row>
    <row r="24" spans="1:45" s="21" customFormat="1" ht="23.25" customHeight="1" x14ac:dyDescent="0.2">
      <c r="A24" s="2">
        <v>12</v>
      </c>
      <c r="B24" s="46">
        <v>4</v>
      </c>
      <c r="C24" s="16" t="s">
        <v>52</v>
      </c>
      <c r="D24" s="48">
        <v>29746</v>
      </c>
      <c r="E24" s="47">
        <v>68</v>
      </c>
      <c r="F24" s="48">
        <v>5526</v>
      </c>
      <c r="G24" s="49">
        <v>5</v>
      </c>
      <c r="H24" s="48">
        <v>0</v>
      </c>
      <c r="I24" s="48">
        <v>0</v>
      </c>
      <c r="J24" s="48">
        <v>37</v>
      </c>
      <c r="K24" s="3"/>
      <c r="L24" s="16"/>
      <c r="M24" s="57"/>
      <c r="N24" s="58">
        <v>37</v>
      </c>
      <c r="P24" s="16">
        <v>4</v>
      </c>
      <c r="Q24" s="20">
        <v>37</v>
      </c>
      <c r="R24" s="14">
        <v>1500</v>
      </c>
      <c r="S24" s="19">
        <f t="shared" si="4"/>
        <v>55500</v>
      </c>
      <c r="T24" s="16"/>
      <c r="U24" s="17"/>
      <c r="V24" s="17"/>
      <c r="W24" s="4"/>
      <c r="X24" s="16"/>
      <c r="Y24" s="5"/>
      <c r="Z24" s="16"/>
      <c r="AA24" s="16"/>
      <c r="AB24" s="16"/>
      <c r="AE24" s="16"/>
      <c r="AG24" s="22"/>
      <c r="AH24" s="6"/>
      <c r="AJ24" s="20">
        <f t="shared" si="2"/>
        <v>0</v>
      </c>
      <c r="AK24" s="50"/>
      <c r="AL24" s="6"/>
      <c r="AM24" s="20">
        <f t="shared" si="3"/>
        <v>0</v>
      </c>
      <c r="AN24" s="20">
        <f t="shared" si="0"/>
        <v>55500</v>
      </c>
      <c r="AP24" s="20">
        <f t="shared" si="1"/>
        <v>55500</v>
      </c>
      <c r="AQ24" s="7">
        <v>3.0000000000000001E-3</v>
      </c>
      <c r="AR24" s="20"/>
      <c r="AS24" s="51"/>
    </row>
    <row r="25" spans="1:45" s="21" customFormat="1" ht="23.25" customHeight="1" x14ac:dyDescent="0.2">
      <c r="A25" s="2">
        <v>13</v>
      </c>
      <c r="B25" s="46">
        <v>5</v>
      </c>
      <c r="C25" s="16" t="s">
        <v>52</v>
      </c>
      <c r="D25" s="48">
        <v>29747</v>
      </c>
      <c r="E25" s="47">
        <v>69</v>
      </c>
      <c r="F25" s="48">
        <v>5527</v>
      </c>
      <c r="G25" s="49">
        <v>5</v>
      </c>
      <c r="H25" s="48">
        <v>0</v>
      </c>
      <c r="I25" s="48">
        <v>0</v>
      </c>
      <c r="J25" s="48">
        <v>75</v>
      </c>
      <c r="K25" s="3"/>
      <c r="L25" s="16"/>
      <c r="M25" s="57"/>
      <c r="N25" s="58">
        <v>75</v>
      </c>
      <c r="P25" s="16">
        <v>4</v>
      </c>
      <c r="Q25" s="20">
        <v>75</v>
      </c>
      <c r="R25" s="14">
        <v>1500</v>
      </c>
      <c r="S25" s="20">
        <f t="shared" si="4"/>
        <v>112500</v>
      </c>
      <c r="T25" s="16"/>
      <c r="U25" s="17"/>
      <c r="V25" s="17"/>
      <c r="W25" s="4"/>
      <c r="X25" s="16"/>
      <c r="Y25" s="5"/>
      <c r="Z25" s="16"/>
      <c r="AA25" s="16"/>
      <c r="AB25" s="16"/>
      <c r="AE25" s="16"/>
      <c r="AG25" s="22"/>
      <c r="AH25" s="6"/>
      <c r="AJ25" s="20">
        <f t="shared" si="2"/>
        <v>0</v>
      </c>
      <c r="AK25" s="50"/>
      <c r="AL25" s="6"/>
      <c r="AM25" s="20">
        <f t="shared" si="3"/>
        <v>0</v>
      </c>
      <c r="AN25" s="20">
        <f t="shared" si="0"/>
        <v>112500</v>
      </c>
      <c r="AP25" s="20">
        <f t="shared" si="1"/>
        <v>112500</v>
      </c>
      <c r="AQ25" s="7">
        <v>3.0000000000000001E-3</v>
      </c>
      <c r="AR25" s="20"/>
      <c r="AS25" s="51"/>
    </row>
    <row r="26" spans="1:45" s="21" customFormat="1" ht="23.25" customHeight="1" x14ac:dyDescent="0.2">
      <c r="A26" s="2">
        <v>14</v>
      </c>
      <c r="B26" s="46">
        <v>7</v>
      </c>
      <c r="C26" s="16" t="s">
        <v>52</v>
      </c>
      <c r="D26" s="48">
        <v>29890</v>
      </c>
      <c r="E26" s="47">
        <v>71</v>
      </c>
      <c r="F26" s="48">
        <v>5745</v>
      </c>
      <c r="G26" s="49">
        <v>5</v>
      </c>
      <c r="H26" s="48">
        <v>0</v>
      </c>
      <c r="I26" s="48">
        <v>0</v>
      </c>
      <c r="J26" s="48">
        <v>37</v>
      </c>
      <c r="K26" s="3"/>
      <c r="L26" s="16"/>
      <c r="M26" s="57"/>
      <c r="N26" s="58">
        <v>37</v>
      </c>
      <c r="P26" s="16">
        <v>4</v>
      </c>
      <c r="Q26" s="20">
        <v>37</v>
      </c>
      <c r="R26" s="14">
        <v>1500</v>
      </c>
      <c r="S26" s="19">
        <f t="shared" si="4"/>
        <v>55500</v>
      </c>
      <c r="T26" s="16"/>
      <c r="U26" s="17"/>
      <c r="V26" s="16"/>
      <c r="W26" s="5"/>
      <c r="X26" s="16"/>
      <c r="Y26" s="5"/>
      <c r="Z26" s="16"/>
      <c r="AA26" s="16"/>
      <c r="AB26" s="16"/>
      <c r="AE26" s="16"/>
      <c r="AG26" s="22"/>
      <c r="AH26" s="6"/>
      <c r="AJ26" s="20">
        <f t="shared" si="2"/>
        <v>0</v>
      </c>
      <c r="AK26" s="50"/>
      <c r="AL26" s="6"/>
      <c r="AM26" s="20">
        <f t="shared" si="3"/>
        <v>0</v>
      </c>
      <c r="AN26" s="20">
        <f t="shared" si="0"/>
        <v>55500</v>
      </c>
      <c r="AP26" s="20">
        <f t="shared" si="1"/>
        <v>55500</v>
      </c>
      <c r="AQ26" s="7">
        <v>3.0000000000000001E-3</v>
      </c>
      <c r="AR26" s="20"/>
      <c r="AS26" s="51"/>
    </row>
    <row r="27" spans="1:45" s="21" customFormat="1" ht="23.25" customHeight="1" x14ac:dyDescent="0.2">
      <c r="A27" s="2">
        <v>15</v>
      </c>
      <c r="B27" s="46">
        <v>8</v>
      </c>
      <c r="C27" s="16" t="s">
        <v>52</v>
      </c>
      <c r="D27" s="48">
        <v>29891</v>
      </c>
      <c r="E27" s="47">
        <v>72</v>
      </c>
      <c r="F27" s="48">
        <v>5746</v>
      </c>
      <c r="G27" s="49">
        <v>5</v>
      </c>
      <c r="H27" s="48">
        <v>0</v>
      </c>
      <c r="I27" s="48">
        <v>0</v>
      </c>
      <c r="J27" s="48">
        <v>37</v>
      </c>
      <c r="K27" s="3"/>
      <c r="L27" s="16"/>
      <c r="M27" s="57"/>
      <c r="N27" s="58">
        <v>37</v>
      </c>
      <c r="P27" s="16">
        <v>4</v>
      </c>
      <c r="Q27" s="20">
        <v>37</v>
      </c>
      <c r="R27" s="14">
        <v>1500</v>
      </c>
      <c r="S27" s="20">
        <f t="shared" si="4"/>
        <v>55500</v>
      </c>
      <c r="T27" s="16"/>
      <c r="U27" s="17"/>
      <c r="V27" s="17"/>
      <c r="W27" s="4"/>
      <c r="X27" s="16"/>
      <c r="Y27" s="5"/>
      <c r="Z27" s="16"/>
      <c r="AA27" s="16"/>
      <c r="AB27" s="16"/>
      <c r="AE27" s="16"/>
      <c r="AG27" s="22"/>
      <c r="AH27" s="6"/>
      <c r="AJ27" s="20">
        <f t="shared" si="2"/>
        <v>0</v>
      </c>
      <c r="AK27" s="50"/>
      <c r="AL27" s="6"/>
      <c r="AM27" s="20">
        <f t="shared" si="3"/>
        <v>0</v>
      </c>
      <c r="AN27" s="20">
        <f t="shared" si="0"/>
        <v>55500</v>
      </c>
      <c r="AP27" s="20">
        <f t="shared" si="1"/>
        <v>55500</v>
      </c>
      <c r="AQ27" s="7">
        <v>3.0000000000000001E-3</v>
      </c>
      <c r="AR27" s="20"/>
      <c r="AS27" s="51"/>
    </row>
    <row r="28" spans="1:45" s="21" customFormat="1" ht="23.25" customHeight="1" x14ac:dyDescent="0.2">
      <c r="A28" s="2">
        <v>16</v>
      </c>
      <c r="B28" s="46">
        <v>9</v>
      </c>
      <c r="C28" s="16" t="s">
        <v>52</v>
      </c>
      <c r="D28" s="48">
        <v>29892</v>
      </c>
      <c r="E28" s="47">
        <v>73</v>
      </c>
      <c r="F28" s="48">
        <v>5747</v>
      </c>
      <c r="G28" s="49">
        <v>5</v>
      </c>
      <c r="H28" s="48">
        <v>0</v>
      </c>
      <c r="I28" s="48">
        <v>0</v>
      </c>
      <c r="J28" s="48">
        <v>37</v>
      </c>
      <c r="K28" s="3"/>
      <c r="L28" s="16"/>
      <c r="M28" s="57"/>
      <c r="N28" s="58">
        <v>37</v>
      </c>
      <c r="P28" s="16">
        <v>4</v>
      </c>
      <c r="Q28" s="20">
        <v>37</v>
      </c>
      <c r="R28" s="14">
        <v>1500</v>
      </c>
      <c r="S28" s="19">
        <f t="shared" si="4"/>
        <v>55500</v>
      </c>
      <c r="T28" s="16"/>
      <c r="U28" s="17"/>
      <c r="V28" s="17"/>
      <c r="W28" s="4"/>
      <c r="X28" s="16"/>
      <c r="Y28" s="5"/>
      <c r="Z28" s="16"/>
      <c r="AA28" s="16"/>
      <c r="AB28" s="16"/>
      <c r="AE28" s="16"/>
      <c r="AG28" s="22"/>
      <c r="AH28" s="6"/>
      <c r="AJ28" s="20">
        <f t="shared" si="2"/>
        <v>0</v>
      </c>
      <c r="AK28" s="50"/>
      <c r="AL28" s="6"/>
      <c r="AM28" s="20">
        <f t="shared" si="3"/>
        <v>0</v>
      </c>
      <c r="AN28" s="20">
        <f t="shared" si="0"/>
        <v>55500</v>
      </c>
      <c r="AP28" s="20">
        <f t="shared" si="1"/>
        <v>55500</v>
      </c>
      <c r="AQ28" s="7">
        <v>3.0000000000000001E-3</v>
      </c>
      <c r="AR28" s="20"/>
      <c r="AS28" s="51"/>
    </row>
    <row r="29" spans="1:45" s="21" customFormat="1" ht="23.25" customHeight="1" x14ac:dyDescent="0.2">
      <c r="A29" s="2">
        <v>17</v>
      </c>
      <c r="B29" s="46">
        <v>10</v>
      </c>
      <c r="C29" s="16" t="s">
        <v>52</v>
      </c>
      <c r="D29" s="48">
        <v>29893</v>
      </c>
      <c r="E29" s="47">
        <v>74</v>
      </c>
      <c r="F29" s="48">
        <v>5748</v>
      </c>
      <c r="G29" s="49">
        <v>5</v>
      </c>
      <c r="H29" s="48">
        <v>0</v>
      </c>
      <c r="I29" s="48">
        <v>0</v>
      </c>
      <c r="J29" s="48">
        <v>38</v>
      </c>
      <c r="K29" s="3"/>
      <c r="L29" s="16"/>
      <c r="M29" s="57"/>
      <c r="N29" s="58">
        <v>38</v>
      </c>
      <c r="P29" s="16">
        <v>4</v>
      </c>
      <c r="Q29" s="20">
        <v>38</v>
      </c>
      <c r="R29" s="14">
        <v>1500</v>
      </c>
      <c r="S29" s="19">
        <f t="shared" si="4"/>
        <v>57000</v>
      </c>
      <c r="T29" s="16"/>
      <c r="U29" s="17"/>
      <c r="V29" s="17"/>
      <c r="W29" s="4"/>
      <c r="X29" s="16"/>
      <c r="Y29" s="5"/>
      <c r="Z29" s="16"/>
      <c r="AA29" s="16"/>
      <c r="AB29" s="16"/>
      <c r="AC29" s="14"/>
      <c r="AD29" s="14"/>
      <c r="AE29" s="16"/>
      <c r="AG29" s="22"/>
      <c r="AH29" s="6"/>
      <c r="AJ29" s="20">
        <f t="shared" si="2"/>
        <v>0</v>
      </c>
      <c r="AK29" s="50"/>
      <c r="AL29" s="6"/>
      <c r="AM29" s="20">
        <f t="shared" si="3"/>
        <v>0</v>
      </c>
      <c r="AN29" s="20">
        <f t="shared" si="0"/>
        <v>57000</v>
      </c>
      <c r="AP29" s="20">
        <f t="shared" si="1"/>
        <v>57000</v>
      </c>
      <c r="AQ29" s="7">
        <v>3.0000000000000001E-3</v>
      </c>
      <c r="AR29" s="20"/>
      <c r="AS29" s="51"/>
    </row>
    <row r="30" spans="1:45" s="21" customFormat="1" ht="23.25" customHeight="1" x14ac:dyDescent="0.2">
      <c r="A30" s="2">
        <v>18</v>
      </c>
      <c r="B30" s="46">
        <v>11</v>
      </c>
      <c r="C30" s="16" t="s">
        <v>52</v>
      </c>
      <c r="D30" s="48">
        <v>29894</v>
      </c>
      <c r="E30" s="47">
        <v>75</v>
      </c>
      <c r="F30" s="48">
        <v>5749</v>
      </c>
      <c r="G30" s="49">
        <v>5</v>
      </c>
      <c r="H30" s="48">
        <v>0</v>
      </c>
      <c r="I30" s="48">
        <v>0</v>
      </c>
      <c r="J30" s="48">
        <v>38</v>
      </c>
      <c r="K30" s="3"/>
      <c r="L30" s="16"/>
      <c r="M30" s="57"/>
      <c r="N30" s="58">
        <v>38</v>
      </c>
      <c r="P30" s="16">
        <v>4</v>
      </c>
      <c r="Q30" s="20">
        <v>38</v>
      </c>
      <c r="R30" s="14">
        <v>1500</v>
      </c>
      <c r="S30" s="20">
        <f t="shared" si="4"/>
        <v>57000</v>
      </c>
      <c r="T30" s="16"/>
      <c r="U30" s="17"/>
      <c r="V30" s="17"/>
      <c r="W30" s="4"/>
      <c r="X30" s="16"/>
      <c r="Y30" s="5"/>
      <c r="Z30" s="16"/>
      <c r="AA30" s="16"/>
      <c r="AB30" s="16"/>
      <c r="AE30" s="16"/>
      <c r="AG30" s="22"/>
      <c r="AH30" s="6"/>
      <c r="AJ30" s="20">
        <f t="shared" si="2"/>
        <v>0</v>
      </c>
      <c r="AK30" s="50"/>
      <c r="AL30" s="6"/>
      <c r="AM30" s="20">
        <f t="shared" si="3"/>
        <v>0</v>
      </c>
      <c r="AN30" s="20">
        <f t="shared" si="0"/>
        <v>57000</v>
      </c>
      <c r="AP30" s="20">
        <f t="shared" si="1"/>
        <v>57000</v>
      </c>
      <c r="AQ30" s="7">
        <v>3.0000000000000001E-3</v>
      </c>
      <c r="AR30" s="20"/>
      <c r="AS30" s="51"/>
    </row>
    <row r="31" spans="1:45" s="21" customFormat="1" ht="23.25" customHeight="1" x14ac:dyDescent="0.2">
      <c r="A31" s="2">
        <v>19</v>
      </c>
      <c r="B31" s="46">
        <v>12</v>
      </c>
      <c r="C31" s="16" t="s">
        <v>52</v>
      </c>
      <c r="D31" s="48">
        <v>29897</v>
      </c>
      <c r="E31" s="47">
        <v>78</v>
      </c>
      <c r="F31" s="48">
        <v>5752</v>
      </c>
      <c r="G31" s="49">
        <v>5</v>
      </c>
      <c r="H31" s="48">
        <v>0</v>
      </c>
      <c r="I31" s="48">
        <v>0</v>
      </c>
      <c r="J31" s="48">
        <v>75</v>
      </c>
      <c r="K31" s="3"/>
      <c r="L31" s="16"/>
      <c r="M31" s="57"/>
      <c r="N31" s="58">
        <v>75</v>
      </c>
      <c r="P31" s="16">
        <v>4</v>
      </c>
      <c r="Q31" s="20">
        <v>75</v>
      </c>
      <c r="R31" s="14">
        <v>1500</v>
      </c>
      <c r="S31" s="19">
        <f t="shared" si="4"/>
        <v>112500</v>
      </c>
      <c r="T31" s="16"/>
      <c r="U31" s="17"/>
      <c r="V31" s="17"/>
      <c r="W31" s="4"/>
      <c r="X31" s="16"/>
      <c r="Y31" s="5"/>
      <c r="Z31" s="16"/>
      <c r="AA31" s="16"/>
      <c r="AB31" s="16"/>
      <c r="AC31" s="14"/>
      <c r="AD31" s="14"/>
      <c r="AE31" s="16"/>
      <c r="AG31" s="22"/>
      <c r="AH31" s="6"/>
      <c r="AJ31" s="20">
        <f t="shared" si="2"/>
        <v>0</v>
      </c>
      <c r="AK31" s="50"/>
      <c r="AL31" s="6"/>
      <c r="AM31" s="20">
        <f t="shared" si="3"/>
        <v>0</v>
      </c>
      <c r="AN31" s="20">
        <f t="shared" si="0"/>
        <v>112500</v>
      </c>
      <c r="AP31" s="20">
        <f t="shared" si="1"/>
        <v>112500</v>
      </c>
      <c r="AQ31" s="7">
        <v>3.0000000000000001E-3</v>
      </c>
      <c r="AR31" s="20"/>
      <c r="AS31" s="51"/>
    </row>
    <row r="32" spans="1:45" s="21" customFormat="1" ht="23.25" customHeight="1" x14ac:dyDescent="0.2">
      <c r="A32" s="2">
        <v>20</v>
      </c>
      <c r="B32" s="46">
        <v>13</v>
      </c>
      <c r="C32" s="16" t="s">
        <v>52</v>
      </c>
      <c r="D32" s="48">
        <v>29905</v>
      </c>
      <c r="E32" s="47">
        <v>79</v>
      </c>
      <c r="F32" s="48">
        <v>5753</v>
      </c>
      <c r="G32" s="49">
        <v>5</v>
      </c>
      <c r="H32" s="48">
        <v>0</v>
      </c>
      <c r="I32" s="48">
        <v>0</v>
      </c>
      <c r="J32" s="48">
        <v>75</v>
      </c>
      <c r="K32" s="3"/>
      <c r="L32" s="16"/>
      <c r="M32" s="57"/>
      <c r="N32" s="58">
        <v>75</v>
      </c>
      <c r="P32" s="16">
        <v>4</v>
      </c>
      <c r="Q32" s="20">
        <v>75</v>
      </c>
      <c r="R32" s="14">
        <v>1500</v>
      </c>
      <c r="S32" s="19">
        <f t="shared" si="4"/>
        <v>112500</v>
      </c>
      <c r="T32" s="16"/>
      <c r="U32" s="16"/>
      <c r="V32" s="16"/>
      <c r="W32" s="5"/>
      <c r="X32" s="16"/>
      <c r="Y32" s="5"/>
      <c r="Z32" s="16"/>
      <c r="AA32" s="16"/>
      <c r="AB32" s="16"/>
      <c r="AC32" s="14"/>
      <c r="AD32" s="14"/>
      <c r="AE32" s="16"/>
      <c r="AG32" s="22"/>
      <c r="AH32" s="6"/>
      <c r="AJ32" s="20">
        <f t="shared" si="2"/>
        <v>0</v>
      </c>
      <c r="AK32" s="50"/>
      <c r="AL32" s="6"/>
      <c r="AM32" s="20">
        <f t="shared" si="3"/>
        <v>0</v>
      </c>
      <c r="AN32" s="20">
        <f t="shared" si="0"/>
        <v>112500</v>
      </c>
      <c r="AP32" s="20">
        <f t="shared" si="1"/>
        <v>112500</v>
      </c>
      <c r="AQ32" s="7">
        <v>3.0000000000000001E-3</v>
      </c>
      <c r="AR32" s="20"/>
      <c r="AS32" s="51"/>
    </row>
    <row r="33" spans="1:45" s="21" customFormat="1" ht="23.25" customHeight="1" x14ac:dyDescent="0.2">
      <c r="A33" s="2">
        <v>21</v>
      </c>
      <c r="B33" s="46">
        <v>14</v>
      </c>
      <c r="C33" s="16" t="s">
        <v>52</v>
      </c>
      <c r="D33" s="48">
        <v>29906</v>
      </c>
      <c r="E33" s="47">
        <v>80</v>
      </c>
      <c r="F33" s="48">
        <v>5754</v>
      </c>
      <c r="G33" s="49">
        <v>5</v>
      </c>
      <c r="H33" s="48">
        <v>0</v>
      </c>
      <c r="I33" s="48">
        <v>0</v>
      </c>
      <c r="J33" s="48">
        <v>38</v>
      </c>
      <c r="K33" s="3"/>
      <c r="L33" s="16"/>
      <c r="M33" s="57"/>
      <c r="N33" s="58">
        <v>38</v>
      </c>
      <c r="P33" s="16">
        <v>4</v>
      </c>
      <c r="Q33" s="20">
        <v>38</v>
      </c>
      <c r="R33" s="14">
        <v>1500</v>
      </c>
      <c r="S33" s="20">
        <f t="shared" si="4"/>
        <v>57000</v>
      </c>
      <c r="T33" s="16"/>
      <c r="U33" s="17"/>
      <c r="V33" s="16"/>
      <c r="W33" s="5"/>
      <c r="X33" s="16"/>
      <c r="Y33" s="5"/>
      <c r="Z33" s="16"/>
      <c r="AA33" s="16"/>
      <c r="AB33" s="16"/>
      <c r="AC33" s="14"/>
      <c r="AD33" s="14"/>
      <c r="AE33" s="16"/>
      <c r="AG33" s="22"/>
      <c r="AH33" s="6"/>
      <c r="AJ33" s="20">
        <f t="shared" si="2"/>
        <v>0</v>
      </c>
      <c r="AK33" s="50"/>
      <c r="AL33" s="6"/>
      <c r="AM33" s="20">
        <f t="shared" si="3"/>
        <v>0</v>
      </c>
      <c r="AN33" s="20">
        <f t="shared" si="0"/>
        <v>57000</v>
      </c>
      <c r="AP33" s="20">
        <f t="shared" si="1"/>
        <v>57000</v>
      </c>
      <c r="AQ33" s="7">
        <v>3.0000000000000001E-3</v>
      </c>
      <c r="AR33" s="20"/>
      <c r="AS33" s="51"/>
    </row>
    <row r="34" spans="1:45" s="21" customFormat="1" ht="23.25" customHeight="1" x14ac:dyDescent="0.2">
      <c r="A34" s="2">
        <v>22</v>
      </c>
      <c r="B34" s="46">
        <v>15</v>
      </c>
      <c r="C34" s="16" t="s">
        <v>52</v>
      </c>
      <c r="D34" s="48">
        <v>29907</v>
      </c>
      <c r="E34" s="47">
        <v>81</v>
      </c>
      <c r="F34" s="48">
        <v>5755</v>
      </c>
      <c r="G34" s="49">
        <v>5</v>
      </c>
      <c r="H34" s="48">
        <v>0</v>
      </c>
      <c r="I34" s="48">
        <v>0</v>
      </c>
      <c r="J34" s="48">
        <v>38</v>
      </c>
      <c r="K34" s="3"/>
      <c r="L34" s="16"/>
      <c r="M34" s="57"/>
      <c r="N34" s="58">
        <v>38</v>
      </c>
      <c r="P34" s="16">
        <v>4</v>
      </c>
      <c r="Q34" s="20">
        <v>38</v>
      </c>
      <c r="R34" s="14">
        <v>1500</v>
      </c>
      <c r="S34" s="19">
        <f t="shared" si="4"/>
        <v>57000</v>
      </c>
      <c r="T34" s="16"/>
      <c r="U34" s="17"/>
      <c r="V34" s="17"/>
      <c r="W34" s="4"/>
      <c r="X34" s="16"/>
      <c r="Y34" s="5"/>
      <c r="Z34" s="16"/>
      <c r="AA34" s="16"/>
      <c r="AB34" s="16"/>
      <c r="AC34" s="14"/>
      <c r="AD34" s="14"/>
      <c r="AE34" s="16"/>
      <c r="AG34" s="22"/>
      <c r="AH34" s="6"/>
      <c r="AJ34" s="20">
        <f t="shared" si="2"/>
        <v>0</v>
      </c>
      <c r="AK34" s="50"/>
      <c r="AL34" s="6"/>
      <c r="AM34" s="20">
        <f t="shared" si="3"/>
        <v>0</v>
      </c>
      <c r="AN34" s="20">
        <f t="shared" si="0"/>
        <v>57000</v>
      </c>
      <c r="AP34" s="20">
        <f t="shared" si="1"/>
        <v>57000</v>
      </c>
      <c r="AQ34" s="7">
        <v>3.0000000000000001E-3</v>
      </c>
      <c r="AR34" s="20"/>
      <c r="AS34" s="51"/>
    </row>
    <row r="35" spans="1:45" s="21" customFormat="1" ht="23.25" customHeight="1" x14ac:dyDescent="0.2">
      <c r="A35" s="2">
        <v>23</v>
      </c>
      <c r="B35" s="46">
        <v>16</v>
      </c>
      <c r="C35" s="16" t="s">
        <v>52</v>
      </c>
      <c r="D35" s="48">
        <v>29908</v>
      </c>
      <c r="E35" s="47">
        <v>82</v>
      </c>
      <c r="F35" s="48">
        <v>5756</v>
      </c>
      <c r="G35" s="49">
        <v>5</v>
      </c>
      <c r="H35" s="48">
        <v>0</v>
      </c>
      <c r="I35" s="48">
        <v>0</v>
      </c>
      <c r="J35" s="48">
        <v>38</v>
      </c>
      <c r="K35" s="3"/>
      <c r="L35" s="16"/>
      <c r="M35" s="57"/>
      <c r="N35" s="58">
        <v>38</v>
      </c>
      <c r="P35" s="16">
        <v>4</v>
      </c>
      <c r="Q35" s="20">
        <v>38</v>
      </c>
      <c r="R35" s="14">
        <v>1500</v>
      </c>
      <c r="S35" s="19">
        <f t="shared" si="4"/>
        <v>57000</v>
      </c>
      <c r="T35" s="16"/>
      <c r="U35" s="17"/>
      <c r="V35" s="17"/>
      <c r="W35" s="4"/>
      <c r="X35" s="16"/>
      <c r="Y35" s="5"/>
      <c r="Z35" s="16"/>
      <c r="AA35" s="16"/>
      <c r="AB35" s="16"/>
      <c r="AC35" s="14"/>
      <c r="AD35" s="14"/>
      <c r="AE35" s="16"/>
      <c r="AG35" s="22"/>
      <c r="AH35" s="6"/>
      <c r="AJ35" s="20">
        <f t="shared" si="2"/>
        <v>0</v>
      </c>
      <c r="AK35" s="50"/>
      <c r="AL35" s="6"/>
      <c r="AM35" s="20">
        <f t="shared" si="3"/>
        <v>0</v>
      </c>
      <c r="AN35" s="20">
        <f t="shared" si="0"/>
        <v>57000</v>
      </c>
      <c r="AP35" s="20">
        <f t="shared" si="1"/>
        <v>57000</v>
      </c>
      <c r="AQ35" s="7">
        <v>3.0000000000000001E-3</v>
      </c>
      <c r="AR35" s="20"/>
      <c r="AS35" s="51"/>
    </row>
    <row r="36" spans="1:45" s="21" customFormat="1" ht="23.25" customHeight="1" x14ac:dyDescent="0.2">
      <c r="A36" s="2">
        <v>24</v>
      </c>
      <c r="B36" s="46">
        <v>17</v>
      </c>
      <c r="C36" s="16" t="s">
        <v>52</v>
      </c>
      <c r="D36" s="48">
        <v>29909</v>
      </c>
      <c r="E36" s="47">
        <v>83</v>
      </c>
      <c r="F36" s="48">
        <v>5757</v>
      </c>
      <c r="G36" s="49">
        <v>5</v>
      </c>
      <c r="H36" s="48">
        <v>0</v>
      </c>
      <c r="I36" s="48">
        <v>0</v>
      </c>
      <c r="J36" s="48">
        <v>37</v>
      </c>
      <c r="K36" s="3"/>
      <c r="L36" s="16"/>
      <c r="M36" s="57"/>
      <c r="N36" s="58">
        <v>37</v>
      </c>
      <c r="P36" s="16">
        <v>4</v>
      </c>
      <c r="Q36" s="20">
        <v>37</v>
      </c>
      <c r="R36" s="14">
        <v>1500</v>
      </c>
      <c r="S36" s="20">
        <f t="shared" si="4"/>
        <v>55500</v>
      </c>
      <c r="T36" s="16"/>
      <c r="U36" s="17"/>
      <c r="V36" s="17"/>
      <c r="W36" s="4"/>
      <c r="X36" s="16"/>
      <c r="Y36" s="5"/>
      <c r="Z36" s="16"/>
      <c r="AA36" s="16"/>
      <c r="AB36" s="16"/>
      <c r="AE36" s="16"/>
      <c r="AG36" s="22"/>
      <c r="AH36" s="6"/>
      <c r="AJ36" s="20">
        <f t="shared" si="2"/>
        <v>0</v>
      </c>
      <c r="AK36" s="50"/>
      <c r="AL36" s="6"/>
      <c r="AM36" s="20">
        <f t="shared" si="3"/>
        <v>0</v>
      </c>
      <c r="AN36" s="20">
        <f t="shared" si="0"/>
        <v>55500</v>
      </c>
      <c r="AP36" s="20">
        <f t="shared" si="1"/>
        <v>55500</v>
      </c>
      <c r="AQ36" s="7">
        <v>3.0000000000000001E-3</v>
      </c>
      <c r="AR36" s="20"/>
      <c r="AS36" s="51"/>
    </row>
    <row r="37" spans="1:45" s="21" customFormat="1" ht="23.25" customHeight="1" x14ac:dyDescent="0.2">
      <c r="A37" s="2">
        <v>25</v>
      </c>
      <c r="B37" s="46">
        <v>18</v>
      </c>
      <c r="C37" s="16" t="s">
        <v>52</v>
      </c>
      <c r="D37" s="48">
        <v>29910</v>
      </c>
      <c r="E37" s="47">
        <v>84</v>
      </c>
      <c r="F37" s="48">
        <v>5758</v>
      </c>
      <c r="G37" s="49">
        <v>5</v>
      </c>
      <c r="H37" s="48">
        <v>0</v>
      </c>
      <c r="I37" s="48">
        <v>0</v>
      </c>
      <c r="J37" s="48">
        <v>37</v>
      </c>
      <c r="K37" s="3"/>
      <c r="L37" s="16"/>
      <c r="M37" s="57"/>
      <c r="N37" s="58">
        <v>37</v>
      </c>
      <c r="P37" s="16">
        <v>4</v>
      </c>
      <c r="Q37" s="20">
        <v>37</v>
      </c>
      <c r="R37" s="14">
        <v>1500</v>
      </c>
      <c r="S37" s="19">
        <f t="shared" si="4"/>
        <v>55500</v>
      </c>
      <c r="T37" s="16"/>
      <c r="U37" s="17"/>
      <c r="V37" s="17"/>
      <c r="W37" s="4"/>
      <c r="X37" s="16"/>
      <c r="Y37" s="5"/>
      <c r="Z37" s="16"/>
      <c r="AA37" s="16"/>
      <c r="AB37" s="16"/>
      <c r="AE37" s="16"/>
      <c r="AG37" s="22"/>
      <c r="AH37" s="6"/>
      <c r="AJ37" s="20">
        <f t="shared" si="2"/>
        <v>0</v>
      </c>
      <c r="AK37" s="50"/>
      <c r="AL37" s="6"/>
      <c r="AM37" s="20">
        <f t="shared" si="3"/>
        <v>0</v>
      </c>
      <c r="AN37" s="20">
        <f t="shared" si="0"/>
        <v>55500</v>
      </c>
      <c r="AP37" s="20">
        <f t="shared" si="1"/>
        <v>55500</v>
      </c>
      <c r="AQ37" s="7">
        <v>3.0000000000000001E-3</v>
      </c>
      <c r="AR37" s="20"/>
      <c r="AS37" s="51"/>
    </row>
    <row r="38" spans="1:45" s="21" customFormat="1" ht="23.25" customHeight="1" x14ac:dyDescent="0.2">
      <c r="A38" s="2">
        <v>26</v>
      </c>
      <c r="B38" s="46">
        <v>19</v>
      </c>
      <c r="C38" s="16" t="s">
        <v>52</v>
      </c>
      <c r="D38" s="48">
        <v>29913</v>
      </c>
      <c r="E38" s="47">
        <v>87</v>
      </c>
      <c r="F38" s="48">
        <v>4639</v>
      </c>
      <c r="G38" s="49">
        <v>5</v>
      </c>
      <c r="H38" s="48">
        <v>0</v>
      </c>
      <c r="I38" s="48">
        <v>0</v>
      </c>
      <c r="J38" s="48">
        <v>75</v>
      </c>
      <c r="K38" s="3"/>
      <c r="L38" s="16"/>
      <c r="M38" s="57"/>
      <c r="N38" s="58">
        <v>75</v>
      </c>
      <c r="P38" s="16">
        <v>4</v>
      </c>
      <c r="Q38" s="20">
        <v>75</v>
      </c>
      <c r="R38" s="14">
        <v>1500</v>
      </c>
      <c r="S38" s="19">
        <f t="shared" si="4"/>
        <v>112500</v>
      </c>
      <c r="T38" s="16"/>
      <c r="U38" s="17"/>
      <c r="V38" s="17"/>
      <c r="W38" s="4"/>
      <c r="X38" s="16"/>
      <c r="Y38" s="5"/>
      <c r="Z38" s="16"/>
      <c r="AA38" s="16"/>
      <c r="AB38" s="16"/>
      <c r="AE38" s="16"/>
      <c r="AG38" s="22"/>
      <c r="AH38" s="6"/>
      <c r="AJ38" s="20">
        <f t="shared" si="2"/>
        <v>0</v>
      </c>
      <c r="AK38" s="50"/>
      <c r="AL38" s="6"/>
      <c r="AM38" s="20">
        <f t="shared" si="3"/>
        <v>0</v>
      </c>
      <c r="AN38" s="20">
        <f t="shared" ref="AN38:AN60" si="5">+S38+AM38</f>
        <v>112500</v>
      </c>
      <c r="AP38" s="20">
        <f t="shared" si="1"/>
        <v>112500</v>
      </c>
      <c r="AQ38" s="7">
        <v>3.0000000000000001E-3</v>
      </c>
      <c r="AR38" s="20"/>
      <c r="AS38" s="51"/>
    </row>
    <row r="39" spans="1:45" s="21" customFormat="1" ht="23.25" customHeight="1" x14ac:dyDescent="0.2">
      <c r="A39" s="2">
        <v>27</v>
      </c>
      <c r="B39" s="46">
        <v>20</v>
      </c>
      <c r="C39" s="16" t="s">
        <v>52</v>
      </c>
      <c r="D39" s="48">
        <v>29914</v>
      </c>
      <c r="E39" s="47">
        <v>88</v>
      </c>
      <c r="F39" s="48">
        <v>4640</v>
      </c>
      <c r="G39" s="49">
        <v>5</v>
      </c>
      <c r="H39" s="48">
        <v>0</v>
      </c>
      <c r="I39" s="48">
        <v>0</v>
      </c>
      <c r="J39" s="48">
        <v>75</v>
      </c>
      <c r="K39" s="3"/>
      <c r="L39" s="16"/>
      <c r="M39" s="57"/>
      <c r="N39" s="58">
        <v>75</v>
      </c>
      <c r="P39" s="16">
        <v>4</v>
      </c>
      <c r="Q39" s="20">
        <v>75</v>
      </c>
      <c r="R39" s="14">
        <v>1500</v>
      </c>
      <c r="S39" s="20">
        <f t="shared" si="4"/>
        <v>112500</v>
      </c>
      <c r="T39" s="16"/>
      <c r="U39" s="16"/>
      <c r="V39" s="16"/>
      <c r="W39" s="5"/>
      <c r="X39" s="16"/>
      <c r="Y39" s="5"/>
      <c r="Z39" s="16"/>
      <c r="AA39" s="16"/>
      <c r="AB39" s="16"/>
      <c r="AE39" s="16"/>
      <c r="AG39" s="22"/>
      <c r="AH39" s="6"/>
      <c r="AJ39" s="20">
        <f t="shared" si="2"/>
        <v>0</v>
      </c>
      <c r="AK39" s="50"/>
      <c r="AL39" s="6"/>
      <c r="AM39" s="20">
        <f t="shared" si="3"/>
        <v>0</v>
      </c>
      <c r="AN39" s="20">
        <f t="shared" si="5"/>
        <v>112500</v>
      </c>
      <c r="AP39" s="20">
        <f t="shared" si="1"/>
        <v>112500</v>
      </c>
      <c r="AQ39" s="7">
        <v>3.0000000000000001E-3</v>
      </c>
      <c r="AR39" s="20"/>
      <c r="AS39" s="51"/>
    </row>
    <row r="40" spans="1:45" s="21" customFormat="1" ht="23.25" customHeight="1" x14ac:dyDescent="0.2">
      <c r="A40" s="2">
        <v>28</v>
      </c>
      <c r="B40" s="46">
        <v>21</v>
      </c>
      <c r="C40" s="16" t="s">
        <v>52</v>
      </c>
      <c r="D40" s="48">
        <v>29915</v>
      </c>
      <c r="E40" s="47">
        <v>89</v>
      </c>
      <c r="F40" s="48">
        <v>5312</v>
      </c>
      <c r="G40" s="49">
        <v>5</v>
      </c>
      <c r="H40" s="48">
        <v>0</v>
      </c>
      <c r="I40" s="48">
        <v>0</v>
      </c>
      <c r="J40" s="48">
        <v>38</v>
      </c>
      <c r="K40" s="3"/>
      <c r="L40" s="16"/>
      <c r="M40" s="57"/>
      <c r="N40" s="58">
        <v>38</v>
      </c>
      <c r="P40" s="16">
        <v>4</v>
      </c>
      <c r="Q40" s="20">
        <v>38</v>
      </c>
      <c r="R40" s="14">
        <v>1500</v>
      </c>
      <c r="S40" s="19">
        <f t="shared" si="4"/>
        <v>57000</v>
      </c>
      <c r="T40" s="16"/>
      <c r="U40" s="17"/>
      <c r="V40" s="16"/>
      <c r="W40" s="5"/>
      <c r="X40" s="16"/>
      <c r="Y40" s="5"/>
      <c r="Z40" s="16"/>
      <c r="AA40" s="16"/>
      <c r="AB40" s="16"/>
      <c r="AE40" s="16"/>
      <c r="AG40" s="22"/>
      <c r="AH40" s="6"/>
      <c r="AJ40" s="20">
        <f t="shared" si="2"/>
        <v>0</v>
      </c>
      <c r="AK40" s="50"/>
      <c r="AL40" s="6"/>
      <c r="AM40" s="20">
        <f t="shared" si="3"/>
        <v>0</v>
      </c>
      <c r="AN40" s="20">
        <f t="shared" si="5"/>
        <v>57000</v>
      </c>
      <c r="AP40" s="20">
        <f t="shared" si="1"/>
        <v>57000</v>
      </c>
      <c r="AQ40" s="7">
        <v>3.0000000000000001E-3</v>
      </c>
      <c r="AR40" s="20"/>
      <c r="AS40" s="51"/>
    </row>
    <row r="41" spans="1:45" s="21" customFormat="1" ht="23.25" customHeight="1" x14ac:dyDescent="0.2">
      <c r="A41" s="2">
        <v>29</v>
      </c>
      <c r="B41" s="46">
        <v>22</v>
      </c>
      <c r="C41" s="16" t="s">
        <v>52</v>
      </c>
      <c r="D41" s="48">
        <v>29916</v>
      </c>
      <c r="E41" s="47">
        <v>90</v>
      </c>
      <c r="F41" s="48">
        <v>6673</v>
      </c>
      <c r="G41" s="49">
        <v>5</v>
      </c>
      <c r="H41" s="48">
        <v>0</v>
      </c>
      <c r="I41" s="48">
        <v>0</v>
      </c>
      <c r="J41" s="48">
        <v>38</v>
      </c>
      <c r="K41" s="3"/>
      <c r="L41" s="16"/>
      <c r="M41" s="57"/>
      <c r="N41" s="58">
        <v>38</v>
      </c>
      <c r="P41" s="16">
        <v>4</v>
      </c>
      <c r="Q41" s="20">
        <v>38</v>
      </c>
      <c r="R41" s="14">
        <v>1500</v>
      </c>
      <c r="S41" s="19">
        <f t="shared" si="4"/>
        <v>57000</v>
      </c>
      <c r="T41" s="16"/>
      <c r="U41" s="17"/>
      <c r="V41" s="17"/>
      <c r="W41" s="4"/>
      <c r="X41" s="16"/>
      <c r="Y41" s="5"/>
      <c r="Z41" s="16"/>
      <c r="AA41" s="16"/>
      <c r="AB41" s="16"/>
      <c r="AE41" s="16"/>
      <c r="AG41" s="22"/>
      <c r="AH41" s="6"/>
      <c r="AJ41" s="20">
        <f t="shared" si="2"/>
        <v>0</v>
      </c>
      <c r="AK41" s="50"/>
      <c r="AL41" s="6"/>
      <c r="AM41" s="20">
        <f t="shared" si="3"/>
        <v>0</v>
      </c>
      <c r="AN41" s="20">
        <f t="shared" si="5"/>
        <v>57000</v>
      </c>
      <c r="AP41" s="20">
        <f t="shared" si="1"/>
        <v>57000</v>
      </c>
      <c r="AQ41" s="7">
        <v>3.0000000000000001E-3</v>
      </c>
      <c r="AR41" s="20"/>
      <c r="AS41" s="51"/>
    </row>
    <row r="42" spans="1:45" s="21" customFormat="1" ht="23.25" customHeight="1" x14ac:dyDescent="0.2">
      <c r="A42" s="2">
        <v>30</v>
      </c>
      <c r="B42" s="46">
        <v>23</v>
      </c>
      <c r="C42" s="16" t="s">
        <v>52</v>
      </c>
      <c r="D42" s="48">
        <v>29917</v>
      </c>
      <c r="E42" s="47">
        <v>91</v>
      </c>
      <c r="F42" s="48">
        <v>6834</v>
      </c>
      <c r="G42" s="49">
        <v>5</v>
      </c>
      <c r="H42" s="48">
        <v>0</v>
      </c>
      <c r="I42" s="48">
        <v>0</v>
      </c>
      <c r="J42" s="48">
        <v>37</v>
      </c>
      <c r="K42" s="3"/>
      <c r="L42" s="16"/>
      <c r="M42" s="57"/>
      <c r="N42" s="58">
        <v>37</v>
      </c>
      <c r="P42" s="16">
        <v>4</v>
      </c>
      <c r="Q42" s="20">
        <v>37</v>
      </c>
      <c r="R42" s="14">
        <v>1500</v>
      </c>
      <c r="S42" s="20">
        <f t="shared" si="4"/>
        <v>55500</v>
      </c>
      <c r="T42" s="16"/>
      <c r="U42" s="17"/>
      <c r="V42" s="17"/>
      <c r="W42" s="4"/>
      <c r="X42" s="16"/>
      <c r="Y42" s="5"/>
      <c r="Z42" s="16"/>
      <c r="AA42" s="16"/>
      <c r="AB42" s="16"/>
      <c r="AE42" s="16"/>
      <c r="AG42" s="22"/>
      <c r="AH42" s="6"/>
      <c r="AJ42" s="20">
        <f t="shared" si="2"/>
        <v>0</v>
      </c>
      <c r="AK42" s="50"/>
      <c r="AL42" s="6"/>
      <c r="AM42" s="20">
        <f t="shared" si="3"/>
        <v>0</v>
      </c>
      <c r="AN42" s="20">
        <f t="shared" si="5"/>
        <v>55500</v>
      </c>
      <c r="AP42" s="20">
        <f t="shared" si="1"/>
        <v>55500</v>
      </c>
      <c r="AQ42" s="7">
        <v>3.0000000000000001E-3</v>
      </c>
      <c r="AR42" s="20"/>
      <c r="AS42" s="51"/>
    </row>
    <row r="43" spans="1:45" s="21" customFormat="1" ht="23.25" customHeight="1" x14ac:dyDescent="0.2">
      <c r="A43" s="2">
        <v>31</v>
      </c>
      <c r="B43" s="46">
        <v>24</v>
      </c>
      <c r="C43" s="16" t="s">
        <v>52</v>
      </c>
      <c r="D43" s="48">
        <v>29918</v>
      </c>
      <c r="E43" s="47">
        <v>92</v>
      </c>
      <c r="F43" s="48">
        <v>6830</v>
      </c>
      <c r="G43" s="49">
        <v>5</v>
      </c>
      <c r="H43" s="48">
        <v>0</v>
      </c>
      <c r="I43" s="48">
        <v>0</v>
      </c>
      <c r="J43" s="48">
        <v>37</v>
      </c>
      <c r="K43" s="3"/>
      <c r="L43" s="16"/>
      <c r="M43" s="57"/>
      <c r="N43" s="58">
        <v>37</v>
      </c>
      <c r="P43" s="16">
        <v>4</v>
      </c>
      <c r="Q43" s="20">
        <v>37</v>
      </c>
      <c r="R43" s="14">
        <v>1500</v>
      </c>
      <c r="S43" s="19">
        <f t="shared" si="4"/>
        <v>55500</v>
      </c>
      <c r="T43" s="16"/>
      <c r="U43" s="17"/>
      <c r="V43" s="17"/>
      <c r="W43" s="4"/>
      <c r="X43" s="16"/>
      <c r="Y43" s="5"/>
      <c r="Z43" s="16"/>
      <c r="AA43" s="16"/>
      <c r="AB43" s="16"/>
      <c r="AE43" s="16"/>
      <c r="AG43" s="22"/>
      <c r="AH43" s="6"/>
      <c r="AJ43" s="20">
        <f t="shared" si="2"/>
        <v>0</v>
      </c>
      <c r="AK43" s="50"/>
      <c r="AL43" s="6"/>
      <c r="AM43" s="20">
        <f t="shared" si="3"/>
        <v>0</v>
      </c>
      <c r="AN43" s="20">
        <f t="shared" si="5"/>
        <v>55500</v>
      </c>
      <c r="AP43" s="20">
        <f t="shared" si="1"/>
        <v>55500</v>
      </c>
      <c r="AQ43" s="7">
        <v>3.0000000000000001E-3</v>
      </c>
      <c r="AR43" s="20"/>
      <c r="AS43" s="51"/>
    </row>
    <row r="44" spans="1:45" ht="30" customHeight="1" x14ac:dyDescent="0.2">
      <c r="A44" s="2">
        <v>32</v>
      </c>
      <c r="B44" s="13">
        <v>1</v>
      </c>
      <c r="C44" s="16" t="s">
        <v>69</v>
      </c>
      <c r="E44" s="17">
        <v>1501</v>
      </c>
      <c r="F44" s="17">
        <v>5</v>
      </c>
      <c r="G44" s="13">
        <v>6</v>
      </c>
      <c r="H44" s="17">
        <v>33</v>
      </c>
      <c r="I44" s="17">
        <v>0</v>
      </c>
      <c r="J44" s="17">
        <v>86</v>
      </c>
      <c r="K44" s="10">
        <v>13286</v>
      </c>
      <c r="P44" s="17">
        <v>1</v>
      </c>
      <c r="Q44" s="56">
        <v>13286</v>
      </c>
      <c r="R44" s="14">
        <v>200</v>
      </c>
      <c r="S44" s="19">
        <f t="shared" si="4"/>
        <v>2657200</v>
      </c>
      <c r="AJ44" s="20">
        <f t="shared" si="2"/>
        <v>0</v>
      </c>
      <c r="AM44" s="20">
        <f t="shared" si="3"/>
        <v>0</v>
      </c>
      <c r="AN44" s="20">
        <f t="shared" si="5"/>
        <v>2657200</v>
      </c>
      <c r="AP44" s="20">
        <f t="shared" si="1"/>
        <v>2657200</v>
      </c>
      <c r="AQ44" s="12">
        <v>1E-4</v>
      </c>
      <c r="AR44" s="20"/>
    </row>
    <row r="45" spans="1:45" s="21" customFormat="1" ht="30" customHeight="1" x14ac:dyDescent="0.2">
      <c r="A45" s="2">
        <v>33</v>
      </c>
      <c r="B45" s="46">
        <v>1</v>
      </c>
      <c r="C45" s="16" t="s">
        <v>52</v>
      </c>
      <c r="D45" s="48">
        <v>29796</v>
      </c>
      <c r="E45" s="47">
        <v>98</v>
      </c>
      <c r="F45" s="48">
        <v>5532</v>
      </c>
      <c r="G45" s="49">
        <v>1</v>
      </c>
      <c r="H45" s="48">
        <v>0</v>
      </c>
      <c r="I45" s="48">
        <v>0</v>
      </c>
      <c r="J45" s="48">
        <v>46</v>
      </c>
      <c r="K45" s="3"/>
      <c r="L45" s="16"/>
      <c r="M45" s="57"/>
      <c r="N45" s="58">
        <v>46</v>
      </c>
      <c r="P45" s="16">
        <v>4</v>
      </c>
      <c r="Q45" s="20">
        <v>46</v>
      </c>
      <c r="R45" s="14">
        <v>250</v>
      </c>
      <c r="S45" s="20">
        <f t="shared" si="4"/>
        <v>11500</v>
      </c>
      <c r="T45" s="16"/>
      <c r="U45" s="17"/>
      <c r="V45" s="17"/>
      <c r="W45" s="4"/>
      <c r="X45" s="16"/>
      <c r="Y45" s="5"/>
      <c r="Z45" s="16"/>
      <c r="AA45" s="16"/>
      <c r="AB45" s="16"/>
      <c r="AE45" s="16" t="s">
        <v>70</v>
      </c>
      <c r="AG45" s="22"/>
      <c r="AH45" s="6"/>
      <c r="AJ45" s="20">
        <f t="shared" si="2"/>
        <v>0</v>
      </c>
      <c r="AK45" s="50"/>
      <c r="AL45" s="6"/>
      <c r="AM45" s="20">
        <f t="shared" si="3"/>
        <v>0</v>
      </c>
      <c r="AN45" s="20">
        <f t="shared" si="5"/>
        <v>11500</v>
      </c>
      <c r="AP45" s="20">
        <f t="shared" si="1"/>
        <v>11500</v>
      </c>
      <c r="AQ45" s="7">
        <v>3.0000000000000001E-3</v>
      </c>
      <c r="AR45" s="60"/>
      <c r="AS45" s="128" t="s">
        <v>66</v>
      </c>
    </row>
    <row r="46" spans="1:45" s="21" customFormat="1" ht="30" customHeight="1" x14ac:dyDescent="0.2">
      <c r="A46" s="2">
        <v>34</v>
      </c>
      <c r="B46" s="46">
        <v>2</v>
      </c>
      <c r="C46" s="16" t="s">
        <v>52</v>
      </c>
      <c r="D46" s="48">
        <v>29942</v>
      </c>
      <c r="E46" s="47">
        <v>164</v>
      </c>
      <c r="F46" s="48">
        <v>5770</v>
      </c>
      <c r="G46" s="49">
        <v>1</v>
      </c>
      <c r="H46" s="48">
        <v>0</v>
      </c>
      <c r="I46" s="48">
        <v>0</v>
      </c>
      <c r="J46" s="48">
        <v>49</v>
      </c>
      <c r="K46" s="3"/>
      <c r="L46" s="16"/>
      <c r="M46" s="57"/>
      <c r="N46" s="58">
        <v>49</v>
      </c>
      <c r="P46" s="16">
        <v>4</v>
      </c>
      <c r="Q46" s="20">
        <v>49</v>
      </c>
      <c r="R46" s="14">
        <v>160</v>
      </c>
      <c r="S46" s="19">
        <f t="shared" si="4"/>
        <v>7840</v>
      </c>
      <c r="T46" s="16"/>
      <c r="U46" s="17"/>
      <c r="V46" s="17"/>
      <c r="W46" s="4"/>
      <c r="X46" s="16"/>
      <c r="Y46" s="5"/>
      <c r="Z46" s="16"/>
      <c r="AA46" s="16"/>
      <c r="AB46" s="16"/>
      <c r="AE46" s="16" t="s">
        <v>71</v>
      </c>
      <c r="AG46" s="22"/>
      <c r="AH46" s="6"/>
      <c r="AJ46" s="20">
        <f t="shared" si="2"/>
        <v>0</v>
      </c>
      <c r="AK46" s="50"/>
      <c r="AL46" s="6"/>
      <c r="AM46" s="20">
        <f t="shared" si="3"/>
        <v>0</v>
      </c>
      <c r="AN46" s="20">
        <f t="shared" si="5"/>
        <v>7840</v>
      </c>
      <c r="AP46" s="20">
        <f t="shared" si="1"/>
        <v>7840</v>
      </c>
      <c r="AQ46" s="7">
        <v>3.0000000000000001E-3</v>
      </c>
      <c r="AR46" s="25"/>
      <c r="AS46" s="130"/>
    </row>
    <row r="47" spans="1:45" s="21" customFormat="1" ht="30" customHeight="1" x14ac:dyDescent="0.2">
      <c r="A47" s="2">
        <v>35</v>
      </c>
      <c r="B47" s="46">
        <v>1</v>
      </c>
      <c r="C47" s="16" t="s">
        <v>52</v>
      </c>
      <c r="D47" s="48">
        <v>1123</v>
      </c>
      <c r="E47" s="47">
        <v>46</v>
      </c>
      <c r="F47" s="48">
        <v>703</v>
      </c>
      <c r="G47" s="49">
        <v>1</v>
      </c>
      <c r="H47" s="48">
        <v>0</v>
      </c>
      <c r="I47" s="48">
        <v>0</v>
      </c>
      <c r="J47" s="48">
        <v>96</v>
      </c>
      <c r="K47" s="3"/>
      <c r="L47" s="16"/>
      <c r="M47" s="57"/>
      <c r="N47" s="58">
        <v>96</v>
      </c>
      <c r="P47" s="16">
        <v>4</v>
      </c>
      <c r="Q47" s="20">
        <v>96</v>
      </c>
      <c r="R47" s="14">
        <v>250</v>
      </c>
      <c r="S47" s="19">
        <f t="shared" si="4"/>
        <v>24000</v>
      </c>
      <c r="T47" s="16"/>
      <c r="U47" s="16"/>
      <c r="V47" s="16"/>
      <c r="W47" s="5"/>
      <c r="X47" s="16"/>
      <c r="Y47" s="5"/>
      <c r="Z47" s="16"/>
      <c r="AA47" s="16"/>
      <c r="AB47" s="16"/>
      <c r="AE47" s="16"/>
      <c r="AG47" s="22"/>
      <c r="AH47" s="6"/>
      <c r="AJ47" s="20">
        <f t="shared" si="2"/>
        <v>0</v>
      </c>
      <c r="AK47" s="50"/>
      <c r="AL47" s="6"/>
      <c r="AM47" s="20">
        <f t="shared" si="3"/>
        <v>0</v>
      </c>
      <c r="AN47" s="20">
        <f t="shared" si="5"/>
        <v>24000</v>
      </c>
      <c r="AP47" s="20">
        <f t="shared" si="1"/>
        <v>24000</v>
      </c>
      <c r="AQ47" s="7">
        <v>3.0000000000000001E-3</v>
      </c>
      <c r="AR47" s="20"/>
      <c r="AS47" s="51"/>
    </row>
    <row r="48" spans="1:45" s="21" customFormat="1" ht="30" customHeight="1" x14ac:dyDescent="0.2">
      <c r="A48" s="2">
        <v>36</v>
      </c>
      <c r="B48" s="46">
        <v>1</v>
      </c>
      <c r="C48" s="16" t="s">
        <v>52</v>
      </c>
      <c r="D48" s="48">
        <v>2179</v>
      </c>
      <c r="E48" s="47">
        <v>91</v>
      </c>
      <c r="F48" s="48">
        <v>1782</v>
      </c>
      <c r="G48" s="49">
        <v>3</v>
      </c>
      <c r="H48" s="48">
        <v>0</v>
      </c>
      <c r="I48" s="48">
        <v>0</v>
      </c>
      <c r="J48" s="48">
        <v>67</v>
      </c>
      <c r="K48" s="3"/>
      <c r="L48" s="16"/>
      <c r="M48" s="57"/>
      <c r="N48" s="58">
        <v>67</v>
      </c>
      <c r="P48" s="16">
        <v>4</v>
      </c>
      <c r="Q48" s="20">
        <v>67</v>
      </c>
      <c r="R48" s="14">
        <v>1500</v>
      </c>
      <c r="S48" s="20">
        <f t="shared" si="4"/>
        <v>100500</v>
      </c>
      <c r="T48" s="16"/>
      <c r="U48" s="17"/>
      <c r="V48" s="16"/>
      <c r="W48" s="5"/>
      <c r="X48" s="16"/>
      <c r="Y48" s="5"/>
      <c r="Z48" s="16"/>
      <c r="AA48" s="16"/>
      <c r="AB48" s="16"/>
      <c r="AC48" s="14"/>
      <c r="AD48" s="14"/>
      <c r="AE48" s="16"/>
      <c r="AG48" s="22"/>
      <c r="AH48" s="6"/>
      <c r="AJ48" s="20">
        <f t="shared" si="2"/>
        <v>0</v>
      </c>
      <c r="AK48" s="50"/>
      <c r="AL48" s="6"/>
      <c r="AM48" s="20">
        <f t="shared" si="3"/>
        <v>0</v>
      </c>
      <c r="AN48" s="20">
        <f t="shared" si="5"/>
        <v>100500</v>
      </c>
      <c r="AP48" s="20">
        <f t="shared" si="1"/>
        <v>100500</v>
      </c>
      <c r="AQ48" s="7">
        <v>3.0000000000000001E-3</v>
      </c>
      <c r="AR48" s="20"/>
      <c r="AS48" s="51"/>
    </row>
    <row r="49" spans="1:45" s="21" customFormat="1" ht="30" customHeight="1" x14ac:dyDescent="0.2">
      <c r="A49" s="2">
        <v>37</v>
      </c>
      <c r="B49" s="46">
        <v>1</v>
      </c>
      <c r="C49" s="16" t="s">
        <v>52</v>
      </c>
      <c r="D49" s="48">
        <v>4961</v>
      </c>
      <c r="E49" s="47">
        <v>19</v>
      </c>
      <c r="F49" s="48">
        <v>2575</v>
      </c>
      <c r="G49" s="49">
        <v>7</v>
      </c>
      <c r="H49" s="48">
        <v>0</v>
      </c>
      <c r="I49" s="48">
        <v>0</v>
      </c>
      <c r="J49" s="48">
        <v>46</v>
      </c>
      <c r="K49" s="3"/>
      <c r="L49" s="16">
        <v>46</v>
      </c>
      <c r="M49" s="57"/>
      <c r="N49" s="58"/>
      <c r="P49" s="16">
        <v>1</v>
      </c>
      <c r="Q49" s="20">
        <v>46</v>
      </c>
      <c r="R49" s="14">
        <v>4500</v>
      </c>
      <c r="S49" s="19">
        <f t="shared" si="4"/>
        <v>207000</v>
      </c>
      <c r="T49" s="16">
        <v>1</v>
      </c>
      <c r="U49" s="17" t="s">
        <v>63</v>
      </c>
      <c r="V49" s="17" t="s">
        <v>56</v>
      </c>
      <c r="W49" s="4">
        <v>60</v>
      </c>
      <c r="X49" s="16"/>
      <c r="Y49" s="5">
        <v>60</v>
      </c>
      <c r="Z49" s="16"/>
      <c r="AA49" s="16"/>
      <c r="AB49" s="16">
        <f>63-31</f>
        <v>32</v>
      </c>
      <c r="AE49" s="16"/>
      <c r="AF49" s="21">
        <v>1</v>
      </c>
      <c r="AG49" s="22">
        <v>60</v>
      </c>
      <c r="AH49" s="6">
        <v>1</v>
      </c>
      <c r="AI49" s="21">
        <v>8100</v>
      </c>
      <c r="AJ49" s="55">
        <f t="shared" si="2"/>
        <v>486000</v>
      </c>
      <c r="AK49" s="50">
        <v>32</v>
      </c>
      <c r="AL49" s="6">
        <v>0.52</v>
      </c>
      <c r="AM49" s="20">
        <f t="shared" si="3"/>
        <v>233280</v>
      </c>
      <c r="AN49" s="20">
        <f t="shared" si="5"/>
        <v>440280</v>
      </c>
      <c r="AO49" s="21">
        <v>50</v>
      </c>
      <c r="AP49" s="20">
        <f t="shared" si="1"/>
        <v>440280</v>
      </c>
      <c r="AQ49" s="7">
        <v>0</v>
      </c>
      <c r="AR49" s="20"/>
      <c r="AS49" s="51"/>
    </row>
    <row r="50" spans="1:45" s="21" customFormat="1" ht="30" customHeight="1" x14ac:dyDescent="0.2">
      <c r="A50" s="2">
        <v>38</v>
      </c>
      <c r="B50" s="46">
        <v>1</v>
      </c>
      <c r="C50" s="16" t="s">
        <v>52</v>
      </c>
      <c r="D50" s="48">
        <v>1515</v>
      </c>
      <c r="E50" s="47">
        <v>76</v>
      </c>
      <c r="F50" s="48">
        <v>1107</v>
      </c>
      <c r="G50" s="49"/>
      <c r="H50" s="48">
        <v>4</v>
      </c>
      <c r="I50" s="48">
        <v>2</v>
      </c>
      <c r="J50" s="48">
        <v>32</v>
      </c>
      <c r="K50" s="3">
        <f>(4*400)+200+32</f>
        <v>1832</v>
      </c>
      <c r="L50" s="16"/>
      <c r="M50" s="57"/>
      <c r="N50" s="58"/>
      <c r="P50" s="16">
        <v>1</v>
      </c>
      <c r="Q50" s="20">
        <v>1832</v>
      </c>
      <c r="R50" s="14">
        <v>200</v>
      </c>
      <c r="S50" s="19">
        <f t="shared" si="4"/>
        <v>366400</v>
      </c>
      <c r="T50" s="16"/>
      <c r="U50" s="17"/>
      <c r="V50" s="17"/>
      <c r="W50" s="4"/>
      <c r="X50" s="16"/>
      <c r="Y50" s="5"/>
      <c r="Z50" s="16"/>
      <c r="AA50" s="16"/>
      <c r="AB50" s="16"/>
      <c r="AC50" s="14"/>
      <c r="AD50" s="14"/>
      <c r="AE50" s="16"/>
      <c r="AG50" s="22"/>
      <c r="AH50" s="6"/>
      <c r="AJ50" s="20">
        <f t="shared" si="2"/>
        <v>0</v>
      </c>
      <c r="AK50" s="50"/>
      <c r="AL50" s="6"/>
      <c r="AM50" s="20">
        <f t="shared" si="3"/>
        <v>0</v>
      </c>
      <c r="AN50" s="20">
        <f t="shared" si="5"/>
        <v>366400</v>
      </c>
      <c r="AP50" s="20">
        <f t="shared" si="1"/>
        <v>366400</v>
      </c>
      <c r="AQ50" s="7"/>
      <c r="AR50" s="20"/>
      <c r="AS50" s="51"/>
    </row>
    <row r="51" spans="1:45" s="21" customFormat="1" ht="30" customHeight="1" x14ac:dyDescent="0.2">
      <c r="A51" s="2">
        <v>39</v>
      </c>
      <c r="B51" s="46">
        <v>1</v>
      </c>
      <c r="C51" s="16" t="s">
        <v>52</v>
      </c>
      <c r="D51" s="48">
        <v>11642</v>
      </c>
      <c r="E51" s="47">
        <v>31</v>
      </c>
      <c r="F51" s="48">
        <v>3162</v>
      </c>
      <c r="G51" s="49">
        <v>2</v>
      </c>
      <c r="H51" s="48">
        <v>2</v>
      </c>
      <c r="I51" s="48">
        <v>0</v>
      </c>
      <c r="J51" s="48">
        <v>0</v>
      </c>
      <c r="K51" s="3">
        <f>800</f>
        <v>800</v>
      </c>
      <c r="L51" s="16"/>
      <c r="M51" s="57"/>
      <c r="N51" s="58"/>
      <c r="P51" s="16">
        <v>1</v>
      </c>
      <c r="Q51" s="20">
        <v>800</v>
      </c>
      <c r="R51" s="14">
        <v>160</v>
      </c>
      <c r="S51" s="20">
        <f t="shared" si="4"/>
        <v>128000</v>
      </c>
      <c r="T51" s="16"/>
      <c r="U51" s="17"/>
      <c r="V51" s="17"/>
      <c r="W51" s="4"/>
      <c r="X51" s="16"/>
      <c r="Y51" s="5"/>
      <c r="Z51" s="16"/>
      <c r="AA51" s="16"/>
      <c r="AB51" s="16"/>
      <c r="AC51" s="14"/>
      <c r="AD51" s="14"/>
      <c r="AE51" s="16"/>
      <c r="AG51" s="22"/>
      <c r="AH51" s="6"/>
      <c r="AJ51" s="20">
        <f t="shared" si="2"/>
        <v>0</v>
      </c>
      <c r="AK51" s="50"/>
      <c r="AL51" s="6"/>
      <c r="AM51" s="20">
        <f t="shared" si="3"/>
        <v>0</v>
      </c>
      <c r="AN51" s="20">
        <f t="shared" si="5"/>
        <v>128000</v>
      </c>
      <c r="AP51" s="20">
        <f t="shared" si="1"/>
        <v>128000</v>
      </c>
      <c r="AQ51" s="7"/>
      <c r="AR51" s="20"/>
      <c r="AS51" s="51"/>
    </row>
    <row r="52" spans="1:45" ht="30" customHeight="1" x14ac:dyDescent="0.2">
      <c r="A52" s="2">
        <v>40</v>
      </c>
      <c r="B52" s="13">
        <v>1</v>
      </c>
      <c r="C52" s="16" t="s">
        <v>69</v>
      </c>
      <c r="E52" s="17">
        <v>1496</v>
      </c>
      <c r="F52" s="17">
        <v>1</v>
      </c>
      <c r="G52" s="13">
        <v>6</v>
      </c>
      <c r="H52" s="17">
        <v>50</v>
      </c>
      <c r="I52" s="17">
        <v>0</v>
      </c>
      <c r="J52" s="17">
        <v>0</v>
      </c>
      <c r="K52" s="10">
        <v>20000</v>
      </c>
      <c r="P52" s="17">
        <v>1</v>
      </c>
      <c r="Q52" s="19">
        <v>20000</v>
      </c>
      <c r="R52" s="14">
        <v>200</v>
      </c>
      <c r="S52" s="19">
        <f t="shared" si="4"/>
        <v>4000000</v>
      </c>
      <c r="AJ52" s="20">
        <f t="shared" si="2"/>
        <v>0</v>
      </c>
      <c r="AM52" s="20">
        <f t="shared" si="3"/>
        <v>0</v>
      </c>
      <c r="AN52" s="20">
        <f t="shared" si="5"/>
        <v>4000000</v>
      </c>
      <c r="AP52" s="20">
        <f t="shared" si="1"/>
        <v>4000000</v>
      </c>
      <c r="AQ52" s="12">
        <v>1E-4</v>
      </c>
      <c r="AR52" s="20"/>
      <c r="AS52" s="26">
        <v>275</v>
      </c>
    </row>
    <row r="53" spans="1:45" s="21" customFormat="1" ht="30" customHeight="1" x14ac:dyDescent="0.2">
      <c r="A53" s="2">
        <v>41</v>
      </c>
      <c r="B53" s="46">
        <v>1</v>
      </c>
      <c r="C53" s="16" t="s">
        <v>52</v>
      </c>
      <c r="D53" s="48">
        <v>36974</v>
      </c>
      <c r="E53" s="47">
        <v>334</v>
      </c>
      <c r="F53" s="48">
        <v>7121</v>
      </c>
      <c r="G53" s="49">
        <v>1</v>
      </c>
      <c r="H53" s="48">
        <v>0</v>
      </c>
      <c r="I53" s="48">
        <v>0</v>
      </c>
      <c r="J53" s="48">
        <v>28.05</v>
      </c>
      <c r="K53" s="3"/>
      <c r="L53" s="16"/>
      <c r="M53" s="57"/>
      <c r="N53" s="58"/>
      <c r="P53" s="16">
        <v>2</v>
      </c>
      <c r="Q53" s="20">
        <v>28.05</v>
      </c>
      <c r="R53" s="14">
        <v>3000</v>
      </c>
      <c r="S53" s="19">
        <f t="shared" si="4"/>
        <v>84150</v>
      </c>
      <c r="T53" s="16"/>
      <c r="U53" s="17"/>
      <c r="V53" s="17"/>
      <c r="W53" s="4"/>
      <c r="X53" s="16"/>
      <c r="Y53" s="5"/>
      <c r="Z53" s="16"/>
      <c r="AA53" s="16"/>
      <c r="AB53" s="16"/>
      <c r="AC53" s="14"/>
      <c r="AD53" s="14"/>
      <c r="AE53" s="16"/>
      <c r="AG53" s="22"/>
      <c r="AH53" s="6"/>
      <c r="AJ53" s="20">
        <f t="shared" si="2"/>
        <v>0</v>
      </c>
      <c r="AK53" s="50"/>
      <c r="AL53" s="6"/>
      <c r="AM53" s="20">
        <f t="shared" si="3"/>
        <v>0</v>
      </c>
      <c r="AN53" s="20">
        <f t="shared" si="5"/>
        <v>84150</v>
      </c>
      <c r="AP53" s="20">
        <f t="shared" si="1"/>
        <v>84150</v>
      </c>
      <c r="AQ53" s="7"/>
      <c r="AR53" s="20"/>
      <c r="AS53" s="51"/>
    </row>
    <row r="54" spans="1:45" ht="30" customHeight="1" x14ac:dyDescent="0.2">
      <c r="A54" s="2">
        <v>42</v>
      </c>
      <c r="B54" s="13">
        <v>1</v>
      </c>
      <c r="C54" s="16" t="s">
        <v>65</v>
      </c>
      <c r="D54" s="17">
        <v>3519</v>
      </c>
      <c r="E54" s="17">
        <v>238</v>
      </c>
      <c r="H54" s="17">
        <v>1</v>
      </c>
      <c r="I54" s="17">
        <v>3</v>
      </c>
      <c r="J54" s="17">
        <v>90</v>
      </c>
      <c r="K54" s="10">
        <v>790</v>
      </c>
      <c r="P54" s="17">
        <v>1</v>
      </c>
      <c r="Q54" s="19">
        <v>790</v>
      </c>
      <c r="R54" s="14">
        <v>160</v>
      </c>
      <c r="S54" s="20">
        <f t="shared" si="4"/>
        <v>126400</v>
      </c>
      <c r="AC54" s="21"/>
      <c r="AD54" s="21"/>
      <c r="AJ54" s="20">
        <f t="shared" si="2"/>
        <v>0</v>
      </c>
      <c r="AM54" s="20">
        <f t="shared" si="3"/>
        <v>0</v>
      </c>
      <c r="AN54" s="20">
        <f t="shared" si="5"/>
        <v>126400</v>
      </c>
      <c r="AP54" s="20">
        <f t="shared" si="1"/>
        <v>126400</v>
      </c>
      <c r="AQ54" s="12">
        <v>1E-4</v>
      </c>
      <c r="AR54" s="20"/>
      <c r="AS54" s="26">
        <v>1250</v>
      </c>
    </row>
    <row r="55" spans="1:45" s="21" customFormat="1" ht="30" customHeight="1" x14ac:dyDescent="0.2">
      <c r="A55" s="2">
        <v>43</v>
      </c>
      <c r="B55" s="46">
        <v>1</v>
      </c>
      <c r="C55" s="16" t="s">
        <v>52</v>
      </c>
      <c r="D55" s="48">
        <v>2121</v>
      </c>
      <c r="E55" s="47">
        <v>14</v>
      </c>
      <c r="F55" s="48">
        <v>1688</v>
      </c>
      <c r="G55" s="49">
        <v>3</v>
      </c>
      <c r="H55" s="48">
        <v>3</v>
      </c>
      <c r="I55" s="48">
        <v>1</v>
      </c>
      <c r="J55" s="48">
        <v>99</v>
      </c>
      <c r="K55" s="3">
        <f>1200+300+99</f>
        <v>1599</v>
      </c>
      <c r="L55" s="16"/>
      <c r="M55" s="57"/>
      <c r="N55" s="58"/>
      <c r="P55" s="16">
        <v>1</v>
      </c>
      <c r="Q55" s="20">
        <v>1599</v>
      </c>
      <c r="R55" s="14">
        <v>160</v>
      </c>
      <c r="S55" s="19">
        <f t="shared" si="4"/>
        <v>255840</v>
      </c>
      <c r="T55" s="16"/>
      <c r="U55" s="17"/>
      <c r="V55" s="17"/>
      <c r="W55" s="4"/>
      <c r="X55" s="16"/>
      <c r="Y55" s="5"/>
      <c r="Z55" s="16"/>
      <c r="AA55" s="16"/>
      <c r="AB55" s="16"/>
      <c r="AC55" s="14"/>
      <c r="AD55" s="14"/>
      <c r="AE55" s="16"/>
      <c r="AG55" s="22"/>
      <c r="AH55" s="6"/>
      <c r="AJ55" s="20">
        <f t="shared" si="2"/>
        <v>0</v>
      </c>
      <c r="AK55" s="50"/>
      <c r="AL55" s="6"/>
      <c r="AM55" s="20">
        <f t="shared" si="3"/>
        <v>0</v>
      </c>
      <c r="AN55" s="20">
        <f t="shared" si="5"/>
        <v>255840</v>
      </c>
      <c r="AP55" s="20">
        <f t="shared" si="1"/>
        <v>255840</v>
      </c>
      <c r="AQ55" s="7"/>
      <c r="AR55" s="20"/>
      <c r="AS55" s="51"/>
    </row>
    <row r="56" spans="1:45" s="21" customFormat="1" ht="30" customHeight="1" x14ac:dyDescent="0.2">
      <c r="A56" s="2">
        <v>44</v>
      </c>
      <c r="B56" s="46">
        <v>1</v>
      </c>
      <c r="C56" s="16" t="s">
        <v>52</v>
      </c>
      <c r="D56" s="48">
        <v>34446</v>
      </c>
      <c r="E56" s="47">
        <v>96</v>
      </c>
      <c r="F56" s="48">
        <v>6847</v>
      </c>
      <c r="G56" s="49">
        <v>4</v>
      </c>
      <c r="H56" s="48">
        <v>0</v>
      </c>
      <c r="I56" s="48">
        <v>1</v>
      </c>
      <c r="J56" s="48">
        <v>8</v>
      </c>
      <c r="K56" s="3"/>
      <c r="L56" s="16">
        <f>100+8</f>
        <v>108</v>
      </c>
      <c r="M56" s="57"/>
      <c r="N56" s="58"/>
      <c r="P56" s="16">
        <v>2</v>
      </c>
      <c r="Q56" s="20">
        <v>108</v>
      </c>
      <c r="R56" s="14">
        <v>2000</v>
      </c>
      <c r="S56" s="19">
        <f t="shared" si="4"/>
        <v>216000</v>
      </c>
      <c r="T56" s="16">
        <v>1</v>
      </c>
      <c r="U56" s="16" t="s">
        <v>57</v>
      </c>
      <c r="V56" s="16" t="s">
        <v>56</v>
      </c>
      <c r="W56" s="5"/>
      <c r="X56" s="16"/>
      <c r="Y56" s="5">
        <v>147</v>
      </c>
      <c r="Z56" s="16"/>
      <c r="AA56" s="16"/>
      <c r="AB56" s="16">
        <f>62-44</f>
        <v>18</v>
      </c>
      <c r="AC56" s="14"/>
      <c r="AD56" s="14"/>
      <c r="AE56" s="16"/>
      <c r="AF56" s="21">
        <v>1</v>
      </c>
      <c r="AG56" s="22">
        <v>147</v>
      </c>
      <c r="AH56" s="6">
        <v>1</v>
      </c>
      <c r="AI56" s="21">
        <v>7250</v>
      </c>
      <c r="AJ56" s="20">
        <f t="shared" si="2"/>
        <v>1065750</v>
      </c>
      <c r="AK56" s="50">
        <v>18</v>
      </c>
      <c r="AL56" s="6">
        <v>0.26</v>
      </c>
      <c r="AM56" s="20">
        <f t="shared" si="3"/>
        <v>788655</v>
      </c>
      <c r="AN56" s="20">
        <f t="shared" si="5"/>
        <v>1004655</v>
      </c>
      <c r="AO56" s="21">
        <v>50</v>
      </c>
      <c r="AP56" s="20">
        <f t="shared" si="1"/>
        <v>1004655</v>
      </c>
      <c r="AQ56" s="7">
        <v>0</v>
      </c>
      <c r="AR56" s="20"/>
      <c r="AS56" s="51"/>
    </row>
    <row r="57" spans="1:45" s="21" customFormat="1" ht="30" customHeight="1" x14ac:dyDescent="0.2">
      <c r="A57" s="2">
        <v>45</v>
      </c>
      <c r="B57" s="46">
        <v>1</v>
      </c>
      <c r="C57" s="16" t="s">
        <v>52</v>
      </c>
      <c r="D57" s="48">
        <v>23451</v>
      </c>
      <c r="E57" s="47">
        <v>104</v>
      </c>
      <c r="F57" s="48">
        <v>4837</v>
      </c>
      <c r="G57" s="49">
        <v>5</v>
      </c>
      <c r="H57" s="48">
        <v>0</v>
      </c>
      <c r="I57" s="48">
        <v>2</v>
      </c>
      <c r="J57" s="48">
        <v>55</v>
      </c>
      <c r="K57" s="3">
        <v>255</v>
      </c>
      <c r="L57" s="16"/>
      <c r="M57" s="57"/>
      <c r="N57" s="58"/>
      <c r="P57" s="16">
        <v>1</v>
      </c>
      <c r="Q57" s="20">
        <v>255</v>
      </c>
      <c r="R57" s="14">
        <v>160</v>
      </c>
      <c r="S57" s="20">
        <f t="shared" si="4"/>
        <v>40800</v>
      </c>
      <c r="T57" s="16"/>
      <c r="U57" s="17"/>
      <c r="V57" s="16"/>
      <c r="W57" s="5"/>
      <c r="X57" s="16"/>
      <c r="Y57" s="5"/>
      <c r="Z57" s="16"/>
      <c r="AA57" s="16"/>
      <c r="AB57" s="16"/>
      <c r="AE57" s="21" t="s">
        <v>73</v>
      </c>
      <c r="AG57" s="22"/>
      <c r="AH57" s="6"/>
      <c r="AJ57" s="20">
        <f t="shared" si="2"/>
        <v>0</v>
      </c>
      <c r="AK57" s="50"/>
      <c r="AL57" s="6"/>
      <c r="AM57" s="20">
        <f t="shared" si="3"/>
        <v>0</v>
      </c>
      <c r="AN57" s="20">
        <f t="shared" si="5"/>
        <v>40800</v>
      </c>
      <c r="AP57" s="20">
        <f t="shared" si="1"/>
        <v>40800</v>
      </c>
      <c r="AQ57" s="7"/>
      <c r="AR57" s="20"/>
      <c r="AS57" s="51"/>
    </row>
    <row r="58" spans="1:45" s="21" customFormat="1" ht="30" customHeight="1" x14ac:dyDescent="0.2">
      <c r="A58" s="2">
        <v>46</v>
      </c>
      <c r="B58" s="46">
        <v>1</v>
      </c>
      <c r="C58" s="16" t="s">
        <v>52</v>
      </c>
      <c r="D58" s="48">
        <v>17928</v>
      </c>
      <c r="E58" s="47">
        <v>28</v>
      </c>
      <c r="F58" s="48">
        <v>3879</v>
      </c>
      <c r="G58" s="49">
        <v>4</v>
      </c>
      <c r="H58" s="48">
        <v>4</v>
      </c>
      <c r="I58" s="48">
        <v>0</v>
      </c>
      <c r="J58" s="48">
        <v>99</v>
      </c>
      <c r="K58" s="3">
        <f>1600+99</f>
        <v>1699</v>
      </c>
      <c r="L58" s="16"/>
      <c r="M58" s="57"/>
      <c r="N58" s="58"/>
      <c r="P58" s="16">
        <v>1</v>
      </c>
      <c r="Q58" s="20">
        <v>1699</v>
      </c>
      <c r="R58" s="14">
        <v>160</v>
      </c>
      <c r="S58" s="19">
        <f t="shared" si="4"/>
        <v>271840</v>
      </c>
      <c r="T58" s="16"/>
      <c r="U58" s="17"/>
      <c r="V58" s="17"/>
      <c r="W58" s="4"/>
      <c r="X58" s="16"/>
      <c r="Y58" s="5"/>
      <c r="Z58" s="16"/>
      <c r="AA58" s="16"/>
      <c r="AB58" s="16"/>
      <c r="AE58" s="16"/>
      <c r="AG58" s="22"/>
      <c r="AH58" s="6"/>
      <c r="AJ58" s="20">
        <f t="shared" si="2"/>
        <v>0</v>
      </c>
      <c r="AK58" s="50"/>
      <c r="AL58" s="6"/>
      <c r="AM58" s="20">
        <f t="shared" si="3"/>
        <v>0</v>
      </c>
      <c r="AN58" s="20">
        <f t="shared" si="5"/>
        <v>271840</v>
      </c>
      <c r="AP58" s="20">
        <f t="shared" si="1"/>
        <v>271840</v>
      </c>
      <c r="AQ58" s="7"/>
      <c r="AR58" s="20"/>
      <c r="AS58" s="51">
        <v>13</v>
      </c>
    </row>
    <row r="59" spans="1:45" s="21" customFormat="1" ht="30" customHeight="1" x14ac:dyDescent="0.2">
      <c r="A59" s="2">
        <v>47</v>
      </c>
      <c r="B59" s="46">
        <v>1</v>
      </c>
      <c r="C59" s="16" t="s">
        <v>52</v>
      </c>
      <c r="D59" s="48">
        <v>2382</v>
      </c>
      <c r="E59" s="47">
        <v>15</v>
      </c>
      <c r="F59" s="48">
        <v>1724</v>
      </c>
      <c r="G59" s="49">
        <v>4</v>
      </c>
      <c r="H59" s="48">
        <v>0</v>
      </c>
      <c r="I59" s="48">
        <v>0</v>
      </c>
      <c r="J59" s="48">
        <v>19</v>
      </c>
      <c r="K59" s="3"/>
      <c r="L59" s="16">
        <v>19</v>
      </c>
      <c r="M59" s="57"/>
      <c r="N59" s="58"/>
      <c r="P59" s="16">
        <v>2</v>
      </c>
      <c r="Q59" s="20">
        <v>19</v>
      </c>
      <c r="R59" s="14">
        <v>250</v>
      </c>
      <c r="S59" s="19">
        <f t="shared" si="4"/>
        <v>4750</v>
      </c>
      <c r="T59" s="16"/>
      <c r="U59" s="17" t="s">
        <v>57</v>
      </c>
      <c r="V59" s="17" t="s">
        <v>56</v>
      </c>
      <c r="W59" s="4"/>
      <c r="X59" s="16"/>
      <c r="Y59" s="5"/>
      <c r="Z59" s="16"/>
      <c r="AA59" s="16"/>
      <c r="AB59" s="16"/>
      <c r="AE59" s="16"/>
      <c r="AG59" s="22"/>
      <c r="AH59" s="6"/>
      <c r="AJ59" s="20">
        <f t="shared" si="2"/>
        <v>0</v>
      </c>
      <c r="AK59" s="50"/>
      <c r="AL59" s="6"/>
      <c r="AM59" s="20">
        <f t="shared" si="3"/>
        <v>0</v>
      </c>
      <c r="AN59" s="20">
        <f t="shared" si="5"/>
        <v>4750</v>
      </c>
      <c r="AP59" s="20">
        <f t="shared" si="1"/>
        <v>4750</v>
      </c>
      <c r="AQ59" s="7"/>
      <c r="AR59" s="20"/>
      <c r="AS59" s="51"/>
    </row>
    <row r="60" spans="1:45" s="21" customFormat="1" ht="30" customHeight="1" x14ac:dyDescent="0.2">
      <c r="A60" s="2">
        <v>48</v>
      </c>
      <c r="B60" s="46">
        <v>1</v>
      </c>
      <c r="C60" s="16" t="s">
        <v>52</v>
      </c>
      <c r="D60" s="48">
        <v>4935</v>
      </c>
      <c r="E60" s="47">
        <v>80</v>
      </c>
      <c r="F60" s="48">
        <v>2220</v>
      </c>
      <c r="G60" s="49">
        <v>2</v>
      </c>
      <c r="H60" s="48">
        <v>1</v>
      </c>
      <c r="I60" s="48">
        <v>0</v>
      </c>
      <c r="J60" s="48">
        <v>18.02</v>
      </c>
      <c r="K60" s="3"/>
      <c r="L60" s="16">
        <f>400+18.02</f>
        <v>418.02</v>
      </c>
      <c r="M60" s="57"/>
      <c r="N60" s="58"/>
      <c r="P60" s="16">
        <v>2</v>
      </c>
      <c r="Q60" s="20">
        <v>418</v>
      </c>
      <c r="R60" s="14">
        <v>160</v>
      </c>
      <c r="S60" s="20">
        <f t="shared" si="4"/>
        <v>66880</v>
      </c>
      <c r="T60" s="16"/>
      <c r="U60" s="17"/>
      <c r="V60" s="17"/>
      <c r="W60" s="4"/>
      <c r="X60" s="16"/>
      <c r="Y60" s="5"/>
      <c r="Z60" s="16"/>
      <c r="AA60" s="16"/>
      <c r="AB60" s="16"/>
      <c r="AE60" s="16"/>
      <c r="AG60" s="22"/>
      <c r="AH60" s="6"/>
      <c r="AJ60" s="20">
        <f t="shared" si="2"/>
        <v>0</v>
      </c>
      <c r="AK60" s="50"/>
      <c r="AL60" s="6"/>
      <c r="AM60" s="20">
        <f t="shared" si="3"/>
        <v>0</v>
      </c>
      <c r="AN60" s="20">
        <f t="shared" si="5"/>
        <v>66880</v>
      </c>
      <c r="AP60" s="20">
        <f t="shared" si="1"/>
        <v>66880</v>
      </c>
      <c r="AQ60" s="7"/>
      <c r="AR60" s="20"/>
      <c r="AS60" s="51"/>
    </row>
    <row r="61" spans="1:45" s="21" customFormat="1" ht="30" customHeight="1" x14ac:dyDescent="0.2">
      <c r="A61" s="61">
        <v>49</v>
      </c>
      <c r="B61" s="46">
        <v>1</v>
      </c>
      <c r="C61" s="16" t="s">
        <v>52</v>
      </c>
      <c r="D61" s="48">
        <v>816</v>
      </c>
      <c r="E61" s="47">
        <v>26</v>
      </c>
      <c r="F61" s="48">
        <v>292</v>
      </c>
      <c r="G61" s="49">
        <v>6</v>
      </c>
      <c r="H61" s="48">
        <v>0</v>
      </c>
      <c r="I61" s="48">
        <v>3</v>
      </c>
      <c r="J61" s="48">
        <v>8</v>
      </c>
      <c r="K61" s="3"/>
      <c r="L61" s="16">
        <f>308</f>
        <v>308</v>
      </c>
      <c r="M61" s="57"/>
      <c r="N61" s="58"/>
      <c r="P61" s="16">
        <v>2</v>
      </c>
      <c r="Q61" s="20">
        <v>308</v>
      </c>
      <c r="R61" s="14">
        <v>1500</v>
      </c>
      <c r="S61" s="19">
        <f t="shared" si="4"/>
        <v>462000</v>
      </c>
      <c r="T61" s="16"/>
      <c r="U61" s="17"/>
      <c r="V61" s="17"/>
      <c r="W61" s="4"/>
      <c r="X61" s="16"/>
      <c r="Y61" s="5"/>
      <c r="Z61" s="16"/>
      <c r="AA61" s="16"/>
      <c r="AB61" s="16"/>
      <c r="AE61" s="16"/>
      <c r="AG61" s="22"/>
      <c r="AH61" s="6"/>
      <c r="AJ61" s="20"/>
      <c r="AK61" s="50"/>
      <c r="AL61" s="6"/>
      <c r="AM61" s="20"/>
      <c r="AN61" s="20"/>
      <c r="AP61" s="20"/>
      <c r="AQ61" s="7"/>
      <c r="AR61" s="20"/>
      <c r="AS61" s="51"/>
    </row>
    <row r="62" spans="1:45" s="21" customFormat="1" ht="30" customHeight="1" x14ac:dyDescent="0.2">
      <c r="A62" s="61"/>
      <c r="B62" s="46"/>
      <c r="C62" s="16"/>
      <c r="D62" s="48"/>
      <c r="E62" s="47"/>
      <c r="F62" s="48"/>
      <c r="G62" s="49"/>
      <c r="H62" s="48"/>
      <c r="I62" s="48"/>
      <c r="J62" s="48"/>
      <c r="K62" s="3"/>
      <c r="L62" s="16"/>
      <c r="M62" s="57"/>
      <c r="N62" s="58"/>
      <c r="P62" s="16"/>
      <c r="Q62" s="20"/>
      <c r="R62" s="14"/>
      <c r="S62" s="19">
        <v>258720</v>
      </c>
      <c r="T62" s="16">
        <v>1</v>
      </c>
      <c r="U62" s="17" t="s">
        <v>57</v>
      </c>
      <c r="V62" s="17" t="s">
        <v>56</v>
      </c>
      <c r="W62" s="4"/>
      <c r="X62" s="16"/>
      <c r="Y62" s="5">
        <v>84</v>
      </c>
      <c r="Z62" s="16"/>
      <c r="AA62" s="16"/>
      <c r="AB62" s="16">
        <f>62-33</f>
        <v>29</v>
      </c>
      <c r="AE62" s="16"/>
      <c r="AF62" s="21">
        <v>1</v>
      </c>
      <c r="AG62" s="22">
        <v>84</v>
      </c>
      <c r="AH62" s="6">
        <v>0.56000000000000005</v>
      </c>
      <c r="AI62" s="21">
        <v>7250</v>
      </c>
      <c r="AJ62" s="20">
        <f t="shared" ref="AJ62:AJ67" si="6">+AG62*AH62*AI62</f>
        <v>341040.00000000006</v>
      </c>
      <c r="AK62" s="50">
        <v>29</v>
      </c>
      <c r="AL62" s="6"/>
      <c r="AM62" s="20">
        <f t="shared" ref="AM62:AM80" si="7">+AJ62-(AL62*AJ62)</f>
        <v>341040.00000000006</v>
      </c>
      <c r="AN62" s="20">
        <f t="shared" ref="AN62:AN67" si="8">+S62+AM62</f>
        <v>599760</v>
      </c>
      <c r="AP62" s="20">
        <f t="shared" ref="AP62:AP67" si="9">AN62</f>
        <v>599760</v>
      </c>
      <c r="AQ62" s="7"/>
      <c r="AR62" s="20"/>
      <c r="AS62" s="51"/>
    </row>
    <row r="63" spans="1:45" s="21" customFormat="1" ht="30" customHeight="1" x14ac:dyDescent="0.2">
      <c r="A63" s="61"/>
      <c r="B63" s="46"/>
      <c r="C63" s="16"/>
      <c r="D63" s="48"/>
      <c r="E63" s="47"/>
      <c r="F63" s="48"/>
      <c r="G63" s="49"/>
      <c r="H63" s="48"/>
      <c r="I63" s="48"/>
      <c r="J63" s="48"/>
      <c r="K63" s="3"/>
      <c r="L63" s="16"/>
      <c r="M63" s="57"/>
      <c r="N63" s="58"/>
      <c r="P63" s="16">
        <v>2</v>
      </c>
      <c r="Q63" s="20"/>
      <c r="R63" s="14" t="e">
        <v>#N/A</v>
      </c>
      <c r="S63" s="19">
        <v>203280</v>
      </c>
      <c r="T63" s="16">
        <v>2</v>
      </c>
      <c r="U63" s="17" t="s">
        <v>57</v>
      </c>
      <c r="V63" s="17" t="s">
        <v>56</v>
      </c>
      <c r="W63" s="4"/>
      <c r="X63" s="16"/>
      <c r="Y63" s="5">
        <v>65</v>
      </c>
      <c r="Z63" s="16"/>
      <c r="AA63" s="16"/>
      <c r="AB63" s="16">
        <f>62-41</f>
        <v>21</v>
      </c>
      <c r="AE63" s="16"/>
      <c r="AF63" s="21">
        <v>1</v>
      </c>
      <c r="AG63" s="22">
        <v>65</v>
      </c>
      <c r="AH63" s="6">
        <v>0.44</v>
      </c>
      <c r="AI63" s="21">
        <v>7250</v>
      </c>
      <c r="AJ63" s="20">
        <f t="shared" si="6"/>
        <v>207350</v>
      </c>
      <c r="AK63" s="50">
        <v>21</v>
      </c>
      <c r="AL63" s="6"/>
      <c r="AM63" s="20">
        <f t="shared" si="7"/>
        <v>207350</v>
      </c>
      <c r="AN63" s="20">
        <f t="shared" si="8"/>
        <v>410630</v>
      </c>
      <c r="AP63" s="20">
        <f t="shared" si="9"/>
        <v>410630</v>
      </c>
      <c r="AQ63" s="7"/>
      <c r="AR63" s="20"/>
      <c r="AS63" s="51"/>
    </row>
    <row r="64" spans="1:45" s="21" customFormat="1" ht="30" customHeight="1" x14ac:dyDescent="0.2">
      <c r="A64" s="8">
        <v>50</v>
      </c>
      <c r="B64" s="46">
        <v>1</v>
      </c>
      <c r="C64" s="16" t="s">
        <v>52</v>
      </c>
      <c r="D64" s="48">
        <v>32897</v>
      </c>
      <c r="E64" s="47">
        <v>189</v>
      </c>
      <c r="F64" s="48">
        <v>6455</v>
      </c>
      <c r="G64" s="49">
        <v>2</v>
      </c>
      <c r="H64" s="48">
        <v>2</v>
      </c>
      <c r="I64" s="48">
        <v>0</v>
      </c>
      <c r="J64" s="48">
        <v>66</v>
      </c>
      <c r="K64" s="3">
        <f>800+66</f>
        <v>866</v>
      </c>
      <c r="L64" s="16"/>
      <c r="M64" s="57"/>
      <c r="N64" s="58"/>
      <c r="P64" s="16">
        <v>1</v>
      </c>
      <c r="Q64" s="20">
        <v>866</v>
      </c>
      <c r="R64" s="14">
        <v>160</v>
      </c>
      <c r="S64" s="20">
        <f t="shared" ref="S64:S69" si="10">+Q64*R64</f>
        <v>138560</v>
      </c>
      <c r="T64" s="16"/>
      <c r="U64" s="17"/>
      <c r="V64" s="17"/>
      <c r="W64" s="4"/>
      <c r="X64" s="16"/>
      <c r="Y64" s="5"/>
      <c r="Z64" s="16"/>
      <c r="AA64" s="16"/>
      <c r="AB64" s="16"/>
      <c r="AE64" s="16"/>
      <c r="AG64" s="22"/>
      <c r="AH64" s="6"/>
      <c r="AJ64" s="20">
        <f t="shared" si="6"/>
        <v>0</v>
      </c>
      <c r="AK64" s="50"/>
      <c r="AL64" s="6"/>
      <c r="AM64" s="20">
        <f t="shared" si="7"/>
        <v>0</v>
      </c>
      <c r="AN64" s="20">
        <f t="shared" si="8"/>
        <v>138560</v>
      </c>
      <c r="AP64" s="20">
        <f t="shared" si="9"/>
        <v>138560</v>
      </c>
      <c r="AQ64" s="7"/>
      <c r="AR64" s="20"/>
      <c r="AS64" s="51"/>
    </row>
    <row r="65" spans="1:45" s="21" customFormat="1" ht="30" customHeight="1" x14ac:dyDescent="0.2">
      <c r="A65" s="8">
        <v>51</v>
      </c>
      <c r="B65" s="46">
        <v>1</v>
      </c>
      <c r="C65" s="16" t="s">
        <v>52</v>
      </c>
      <c r="D65" s="48">
        <v>33311</v>
      </c>
      <c r="E65" s="47">
        <v>191</v>
      </c>
      <c r="F65" s="48">
        <v>6692</v>
      </c>
      <c r="G65" s="49">
        <v>2</v>
      </c>
      <c r="H65" s="48">
        <v>0</v>
      </c>
      <c r="I65" s="48">
        <v>0</v>
      </c>
      <c r="J65" s="48">
        <v>35</v>
      </c>
      <c r="K65" s="3"/>
      <c r="L65" s="16">
        <v>35</v>
      </c>
      <c r="M65" s="57"/>
      <c r="N65" s="58"/>
      <c r="P65" s="16">
        <v>2</v>
      </c>
      <c r="Q65" s="20">
        <v>35</v>
      </c>
      <c r="R65" s="14">
        <v>250</v>
      </c>
      <c r="S65" s="19">
        <f t="shared" si="10"/>
        <v>8750</v>
      </c>
      <c r="T65" s="16">
        <v>1</v>
      </c>
      <c r="U65" s="16" t="s">
        <v>57</v>
      </c>
      <c r="V65" s="16" t="s">
        <v>56</v>
      </c>
      <c r="W65" s="5"/>
      <c r="X65" s="16"/>
      <c r="Y65" s="5">
        <v>62</v>
      </c>
      <c r="Z65" s="16"/>
      <c r="AA65" s="16"/>
      <c r="AB65" s="16">
        <v>31</v>
      </c>
      <c r="AE65" s="16"/>
      <c r="AF65" s="21">
        <v>2</v>
      </c>
      <c r="AG65" s="22">
        <v>62</v>
      </c>
      <c r="AH65" s="6">
        <v>1</v>
      </c>
      <c r="AI65" s="21">
        <v>7250</v>
      </c>
      <c r="AJ65" s="55">
        <f t="shared" si="6"/>
        <v>449500</v>
      </c>
      <c r="AK65" s="50">
        <v>31</v>
      </c>
      <c r="AL65" s="6">
        <v>0.52</v>
      </c>
      <c r="AM65" s="20">
        <f t="shared" si="7"/>
        <v>215760</v>
      </c>
      <c r="AN65" s="20">
        <f t="shared" si="8"/>
        <v>224510</v>
      </c>
      <c r="AO65" s="21">
        <v>50</v>
      </c>
      <c r="AP65" s="20">
        <f t="shared" si="9"/>
        <v>224510</v>
      </c>
      <c r="AQ65" s="7"/>
      <c r="AR65" s="20"/>
      <c r="AS65" s="51"/>
    </row>
    <row r="66" spans="1:45" s="21" customFormat="1" ht="30" customHeight="1" x14ac:dyDescent="0.2">
      <c r="A66" s="8">
        <v>52</v>
      </c>
      <c r="B66" s="46">
        <v>1</v>
      </c>
      <c r="C66" s="16" t="s">
        <v>52</v>
      </c>
      <c r="D66" s="48">
        <v>955</v>
      </c>
      <c r="E66" s="47">
        <v>7</v>
      </c>
      <c r="F66" s="48">
        <v>357</v>
      </c>
      <c r="G66" s="49">
        <v>1</v>
      </c>
      <c r="H66" s="48">
        <v>1</v>
      </c>
      <c r="I66" s="48">
        <v>0</v>
      </c>
      <c r="J66" s="48">
        <v>13</v>
      </c>
      <c r="K66" s="3">
        <f>400+13</f>
        <v>413</v>
      </c>
      <c r="L66" s="17"/>
      <c r="M66" s="57"/>
      <c r="N66" s="58"/>
      <c r="P66" s="16">
        <v>1</v>
      </c>
      <c r="Q66" s="20">
        <v>413</v>
      </c>
      <c r="R66" s="14">
        <v>200</v>
      </c>
      <c r="S66" s="19">
        <f t="shared" si="10"/>
        <v>82600</v>
      </c>
      <c r="T66" s="16"/>
      <c r="U66" s="17"/>
      <c r="V66" s="16"/>
      <c r="W66" s="5"/>
      <c r="X66" s="16"/>
      <c r="Y66" s="5"/>
      <c r="Z66" s="16"/>
      <c r="AA66" s="16"/>
      <c r="AB66" s="16"/>
      <c r="AE66" s="16"/>
      <c r="AG66" s="22"/>
      <c r="AH66" s="6"/>
      <c r="AJ66" s="20">
        <f t="shared" si="6"/>
        <v>0</v>
      </c>
      <c r="AK66" s="50"/>
      <c r="AL66" s="6"/>
      <c r="AM66" s="20">
        <f t="shared" si="7"/>
        <v>0</v>
      </c>
      <c r="AN66" s="20">
        <f t="shared" si="8"/>
        <v>82600</v>
      </c>
      <c r="AP66" s="20">
        <f t="shared" si="9"/>
        <v>82600</v>
      </c>
      <c r="AQ66" s="7"/>
      <c r="AR66" s="20"/>
      <c r="AS66" s="51"/>
    </row>
    <row r="67" spans="1:45" s="21" customFormat="1" ht="30" customHeight="1" x14ac:dyDescent="0.2">
      <c r="A67" s="8">
        <v>53</v>
      </c>
      <c r="B67" s="46">
        <v>1</v>
      </c>
      <c r="C67" s="16" t="s">
        <v>52</v>
      </c>
      <c r="D67" s="48">
        <v>29677</v>
      </c>
      <c r="E67" s="47">
        <v>229</v>
      </c>
      <c r="F67" s="48">
        <v>5487</v>
      </c>
      <c r="G67" s="49"/>
      <c r="H67" s="48">
        <v>0</v>
      </c>
      <c r="I67" s="48">
        <v>2</v>
      </c>
      <c r="J67" s="48">
        <v>60</v>
      </c>
      <c r="K67" s="3">
        <f>200+60</f>
        <v>260</v>
      </c>
      <c r="L67" s="17"/>
      <c r="M67" s="57"/>
      <c r="N67" s="58"/>
      <c r="P67" s="16">
        <v>1</v>
      </c>
      <c r="Q67" s="20">
        <v>260</v>
      </c>
      <c r="R67" s="14">
        <v>160</v>
      </c>
      <c r="S67" s="20">
        <f t="shared" si="10"/>
        <v>41600</v>
      </c>
      <c r="T67" s="16"/>
      <c r="U67" s="17"/>
      <c r="V67" s="17"/>
      <c r="W67" s="4"/>
      <c r="X67" s="16"/>
      <c r="Y67" s="5"/>
      <c r="Z67" s="16"/>
      <c r="AA67" s="16"/>
      <c r="AB67" s="16"/>
      <c r="AE67" s="16"/>
      <c r="AG67" s="22"/>
      <c r="AH67" s="6"/>
      <c r="AJ67" s="20">
        <f t="shared" si="6"/>
        <v>0</v>
      </c>
      <c r="AK67" s="50"/>
      <c r="AL67" s="6"/>
      <c r="AM67" s="20">
        <f t="shared" si="7"/>
        <v>0</v>
      </c>
      <c r="AN67" s="20">
        <f t="shared" si="8"/>
        <v>41600</v>
      </c>
      <c r="AP67" s="20">
        <f t="shared" si="9"/>
        <v>41600</v>
      </c>
      <c r="AQ67" s="7"/>
      <c r="AR67" s="20"/>
      <c r="AS67" s="51"/>
    </row>
    <row r="68" spans="1:45" s="21" customFormat="1" ht="30" customHeight="1" x14ac:dyDescent="0.2">
      <c r="A68" s="8">
        <v>54</v>
      </c>
      <c r="B68" s="46">
        <v>1</v>
      </c>
      <c r="C68" s="16" t="s">
        <v>52</v>
      </c>
      <c r="D68" s="48">
        <v>4912</v>
      </c>
      <c r="E68" s="47">
        <v>54</v>
      </c>
      <c r="F68" s="48">
        <v>2788</v>
      </c>
      <c r="G68" s="49">
        <v>7</v>
      </c>
      <c r="H68" s="48">
        <v>10</v>
      </c>
      <c r="I68" s="48">
        <v>1</v>
      </c>
      <c r="J68" s="48">
        <v>17</v>
      </c>
      <c r="K68" s="3">
        <f>((10*400)+100+17)-27</f>
        <v>4090</v>
      </c>
      <c r="L68" s="17">
        <v>27</v>
      </c>
      <c r="M68" s="57"/>
      <c r="N68" s="58"/>
      <c r="P68" s="16">
        <v>5</v>
      </c>
      <c r="Q68" s="20">
        <v>4117</v>
      </c>
      <c r="R68" s="14">
        <v>160</v>
      </c>
      <c r="S68" s="19">
        <f t="shared" si="10"/>
        <v>658720</v>
      </c>
      <c r="T68" s="16"/>
      <c r="U68" s="17"/>
      <c r="V68" s="17"/>
      <c r="W68" s="4"/>
      <c r="X68" s="16"/>
      <c r="Y68" s="5"/>
      <c r="Z68" s="16"/>
      <c r="AA68" s="16"/>
      <c r="AB68" s="16"/>
      <c r="AE68" s="16"/>
      <c r="AG68" s="22"/>
      <c r="AH68" s="6"/>
      <c r="AJ68" s="20"/>
      <c r="AK68" s="50"/>
      <c r="AL68" s="6"/>
      <c r="AM68" s="20">
        <f t="shared" si="7"/>
        <v>0</v>
      </c>
      <c r="AN68" s="20"/>
      <c r="AP68" s="20"/>
      <c r="AQ68" s="7"/>
      <c r="AR68" s="60"/>
      <c r="AS68" s="128">
        <v>28</v>
      </c>
    </row>
    <row r="69" spans="1:45" s="21" customFormat="1" ht="30" customHeight="1" x14ac:dyDescent="0.2">
      <c r="A69" s="8"/>
      <c r="B69" s="46"/>
      <c r="C69" s="16"/>
      <c r="D69" s="48"/>
      <c r="E69" s="47"/>
      <c r="F69" s="48"/>
      <c r="G69" s="49"/>
      <c r="H69" s="48"/>
      <c r="I69" s="48"/>
      <c r="J69" s="48"/>
      <c r="K69" s="3"/>
      <c r="L69" s="17"/>
      <c r="M69" s="57"/>
      <c r="N69" s="58"/>
      <c r="P69" s="16">
        <v>1</v>
      </c>
      <c r="Q69" s="20">
        <v>4090</v>
      </c>
      <c r="R69" s="14" t="e">
        <v>#N/A</v>
      </c>
      <c r="S69" s="19" t="e">
        <f t="shared" si="10"/>
        <v>#N/A</v>
      </c>
      <c r="T69" s="16"/>
      <c r="U69" s="17"/>
      <c r="V69" s="17"/>
      <c r="W69" s="4"/>
      <c r="X69" s="16"/>
      <c r="Y69" s="5"/>
      <c r="Z69" s="16"/>
      <c r="AA69" s="16"/>
      <c r="AB69" s="16"/>
      <c r="AE69" s="16"/>
      <c r="AG69" s="22"/>
      <c r="AH69" s="6"/>
      <c r="AJ69" s="20"/>
      <c r="AK69" s="50"/>
      <c r="AL69" s="6"/>
      <c r="AM69" s="20">
        <f t="shared" si="7"/>
        <v>0</v>
      </c>
      <c r="AN69" s="20" t="e">
        <f t="shared" ref="AN69:AN80" si="11">+S69+AM69</f>
        <v>#N/A</v>
      </c>
      <c r="AP69" s="20" t="e">
        <f t="shared" ref="AP69:AP80" si="12">AN69</f>
        <v>#N/A</v>
      </c>
      <c r="AQ69" s="7"/>
      <c r="AR69" s="24"/>
      <c r="AS69" s="129"/>
    </row>
    <row r="70" spans="1:45" s="21" customFormat="1" ht="30" customHeight="1" x14ac:dyDescent="0.2">
      <c r="A70" s="8"/>
      <c r="B70" s="46"/>
      <c r="C70" s="16"/>
      <c r="D70" s="48"/>
      <c r="E70" s="47"/>
      <c r="F70" s="48"/>
      <c r="G70" s="49"/>
      <c r="H70" s="48"/>
      <c r="I70" s="48"/>
      <c r="J70" s="48"/>
      <c r="K70" s="3"/>
      <c r="L70" s="17"/>
      <c r="M70" s="57"/>
      <c r="N70" s="58"/>
      <c r="P70" s="16">
        <v>2</v>
      </c>
      <c r="Q70" s="20">
        <f>108/4</f>
        <v>27</v>
      </c>
      <c r="R70" s="14" t="e">
        <v>#N/A</v>
      </c>
      <c r="S70" s="19"/>
      <c r="T70" s="16">
        <v>1</v>
      </c>
      <c r="U70" s="17" t="s">
        <v>57</v>
      </c>
      <c r="V70" s="17" t="s">
        <v>56</v>
      </c>
      <c r="W70" s="4"/>
      <c r="X70" s="16">
        <v>108</v>
      </c>
      <c r="Y70" s="5">
        <v>108</v>
      </c>
      <c r="Z70" s="16"/>
      <c r="AA70" s="16"/>
      <c r="AB70" s="16">
        <f>62-45</f>
        <v>17</v>
      </c>
      <c r="AE70" s="16"/>
      <c r="AF70" s="21">
        <v>2</v>
      </c>
      <c r="AG70" s="22">
        <v>108</v>
      </c>
      <c r="AH70" s="6">
        <v>1</v>
      </c>
      <c r="AI70" s="21">
        <v>7250</v>
      </c>
      <c r="AJ70" s="20">
        <f t="shared" ref="AJ70:AJ80" si="13">+AG70*AH70*AI70</f>
        <v>783000</v>
      </c>
      <c r="AK70" s="50">
        <v>17</v>
      </c>
      <c r="AL70" s="6">
        <v>0.24</v>
      </c>
      <c r="AM70" s="20">
        <f t="shared" si="7"/>
        <v>595080</v>
      </c>
      <c r="AN70" s="20">
        <f t="shared" si="11"/>
        <v>595080</v>
      </c>
      <c r="AO70" s="21">
        <v>50</v>
      </c>
      <c r="AP70" s="20">
        <f t="shared" si="12"/>
        <v>595080</v>
      </c>
      <c r="AQ70" s="7"/>
      <c r="AR70" s="25"/>
      <c r="AS70" s="130"/>
    </row>
    <row r="71" spans="1:45" s="21" customFormat="1" ht="30" customHeight="1" x14ac:dyDescent="0.2">
      <c r="A71" s="8">
        <v>55</v>
      </c>
      <c r="B71" s="46">
        <v>1</v>
      </c>
      <c r="C71" s="16" t="s">
        <v>52</v>
      </c>
      <c r="D71" s="48">
        <v>14536</v>
      </c>
      <c r="E71" s="47">
        <v>101</v>
      </c>
      <c r="F71" s="48">
        <v>3393</v>
      </c>
      <c r="G71" s="49">
        <v>2</v>
      </c>
      <c r="H71" s="48">
        <v>0</v>
      </c>
      <c r="I71" s="48">
        <v>3</v>
      </c>
      <c r="J71" s="48">
        <v>58</v>
      </c>
      <c r="K71" s="3">
        <f>300+58</f>
        <v>358</v>
      </c>
      <c r="L71" s="17"/>
      <c r="M71" s="57"/>
      <c r="N71" s="58"/>
      <c r="P71" s="16">
        <v>1</v>
      </c>
      <c r="Q71" s="20">
        <v>358</v>
      </c>
      <c r="R71" s="14">
        <v>250</v>
      </c>
      <c r="S71" s="19">
        <f t="shared" ref="S71:S106" si="14">+Q71*R71</f>
        <v>89500</v>
      </c>
      <c r="T71" s="16"/>
      <c r="U71" s="17"/>
      <c r="V71" s="17"/>
      <c r="W71" s="4"/>
      <c r="X71" s="16"/>
      <c r="Y71" s="5"/>
      <c r="Z71" s="16"/>
      <c r="AA71" s="16"/>
      <c r="AB71" s="16"/>
      <c r="AE71" s="16"/>
      <c r="AG71" s="22"/>
      <c r="AH71" s="6"/>
      <c r="AJ71" s="20">
        <f t="shared" si="13"/>
        <v>0</v>
      </c>
      <c r="AK71" s="50"/>
      <c r="AL71" s="6"/>
      <c r="AM71" s="20">
        <f t="shared" si="7"/>
        <v>0</v>
      </c>
      <c r="AN71" s="20">
        <f t="shared" si="11"/>
        <v>89500</v>
      </c>
      <c r="AP71" s="20">
        <f t="shared" si="12"/>
        <v>89500</v>
      </c>
      <c r="AQ71" s="7"/>
      <c r="AR71" s="20"/>
      <c r="AS71" s="51"/>
    </row>
    <row r="72" spans="1:45" s="21" customFormat="1" ht="30" customHeight="1" x14ac:dyDescent="0.2">
      <c r="A72" s="8">
        <v>56</v>
      </c>
      <c r="B72" s="46">
        <v>1</v>
      </c>
      <c r="C72" s="16" t="s">
        <v>52</v>
      </c>
      <c r="D72" s="48">
        <v>1145</v>
      </c>
      <c r="E72" s="47">
        <v>81</v>
      </c>
      <c r="F72" s="48">
        <v>957</v>
      </c>
      <c r="G72" s="49">
        <v>1</v>
      </c>
      <c r="H72" s="48">
        <v>5</v>
      </c>
      <c r="I72" s="48">
        <v>1</v>
      </c>
      <c r="J72" s="48">
        <v>54</v>
      </c>
      <c r="K72" s="3">
        <f>2000+100+54</f>
        <v>2154</v>
      </c>
      <c r="L72" s="17"/>
      <c r="M72" s="57"/>
      <c r="N72" s="58"/>
      <c r="P72" s="16">
        <v>1</v>
      </c>
      <c r="Q72" s="20">
        <v>2154</v>
      </c>
      <c r="R72" s="14">
        <v>160</v>
      </c>
      <c r="S72" s="20">
        <f t="shared" si="14"/>
        <v>344640</v>
      </c>
      <c r="T72" s="16"/>
      <c r="U72" s="17"/>
      <c r="V72" s="17"/>
      <c r="W72" s="4"/>
      <c r="X72" s="16"/>
      <c r="Y72" s="5"/>
      <c r="Z72" s="16"/>
      <c r="AA72" s="16"/>
      <c r="AB72" s="16"/>
      <c r="AC72" s="14"/>
      <c r="AD72" s="14"/>
      <c r="AE72" s="16"/>
      <c r="AG72" s="22"/>
      <c r="AH72" s="6"/>
      <c r="AJ72" s="20">
        <f t="shared" si="13"/>
        <v>0</v>
      </c>
      <c r="AK72" s="50"/>
      <c r="AL72" s="6"/>
      <c r="AM72" s="20">
        <f t="shared" si="7"/>
        <v>0</v>
      </c>
      <c r="AN72" s="20">
        <f t="shared" si="11"/>
        <v>344640</v>
      </c>
      <c r="AP72" s="20">
        <f t="shared" si="12"/>
        <v>344640</v>
      </c>
      <c r="AQ72" s="7"/>
      <c r="AR72" s="20"/>
      <c r="AS72" s="51"/>
    </row>
    <row r="73" spans="1:45" ht="30" customHeight="1" x14ac:dyDescent="0.2">
      <c r="A73" s="8">
        <v>57</v>
      </c>
      <c r="B73" s="13">
        <v>1</v>
      </c>
      <c r="C73" s="16" t="s">
        <v>65</v>
      </c>
      <c r="D73" s="17">
        <v>1996</v>
      </c>
      <c r="E73" s="17">
        <v>30</v>
      </c>
      <c r="H73" s="17">
        <v>1</v>
      </c>
      <c r="I73" s="17">
        <v>2</v>
      </c>
      <c r="J73" s="17">
        <v>28</v>
      </c>
      <c r="K73" s="10">
        <v>628</v>
      </c>
      <c r="P73" s="17">
        <v>1</v>
      </c>
      <c r="Q73" s="19">
        <v>628</v>
      </c>
      <c r="R73" s="14">
        <v>200</v>
      </c>
      <c r="S73" s="19">
        <f t="shared" si="14"/>
        <v>125600</v>
      </c>
      <c r="AC73" s="21"/>
      <c r="AD73" s="21"/>
      <c r="AJ73" s="20">
        <f t="shared" si="13"/>
        <v>0</v>
      </c>
      <c r="AM73" s="20">
        <f t="shared" si="7"/>
        <v>0</v>
      </c>
      <c r="AN73" s="20">
        <f t="shared" si="11"/>
        <v>125600</v>
      </c>
      <c r="AP73" s="20">
        <f t="shared" si="12"/>
        <v>125600</v>
      </c>
      <c r="AQ73" s="12">
        <v>1E-4</v>
      </c>
      <c r="AR73" s="20"/>
    </row>
    <row r="74" spans="1:45" s="21" customFormat="1" ht="30" customHeight="1" x14ac:dyDescent="0.2">
      <c r="A74" s="8">
        <v>58</v>
      </c>
      <c r="B74" s="46">
        <v>1</v>
      </c>
      <c r="C74" s="16" t="s">
        <v>52</v>
      </c>
      <c r="D74" s="48">
        <v>1000</v>
      </c>
      <c r="E74" s="47">
        <v>8</v>
      </c>
      <c r="F74" s="48">
        <v>248</v>
      </c>
      <c r="G74" s="49">
        <v>1</v>
      </c>
      <c r="H74" s="48">
        <v>2</v>
      </c>
      <c r="I74" s="48">
        <v>1</v>
      </c>
      <c r="J74" s="48">
        <v>44</v>
      </c>
      <c r="K74" s="3">
        <f>800+100+44</f>
        <v>944</v>
      </c>
      <c r="L74" s="16"/>
      <c r="M74" s="57"/>
      <c r="N74" s="58"/>
      <c r="P74" s="16">
        <v>1</v>
      </c>
      <c r="Q74" s="20">
        <v>944</v>
      </c>
      <c r="R74" s="14">
        <v>160</v>
      </c>
      <c r="S74" s="19">
        <f t="shared" si="14"/>
        <v>151040</v>
      </c>
      <c r="T74" s="16"/>
      <c r="U74" s="17"/>
      <c r="V74" s="17"/>
      <c r="W74" s="4"/>
      <c r="X74" s="16"/>
      <c r="Y74" s="5"/>
      <c r="Z74" s="16"/>
      <c r="AA74" s="16"/>
      <c r="AB74" s="16"/>
      <c r="AE74" s="16"/>
      <c r="AG74" s="22"/>
      <c r="AH74" s="6"/>
      <c r="AJ74" s="20">
        <f t="shared" si="13"/>
        <v>0</v>
      </c>
      <c r="AK74" s="50"/>
      <c r="AL74" s="6"/>
      <c r="AM74" s="20">
        <f t="shared" si="7"/>
        <v>0</v>
      </c>
      <c r="AN74" s="20">
        <f t="shared" si="11"/>
        <v>151040</v>
      </c>
      <c r="AP74" s="20">
        <f t="shared" si="12"/>
        <v>151040</v>
      </c>
      <c r="AQ74" s="7"/>
      <c r="AR74" s="20"/>
      <c r="AS74" s="51"/>
    </row>
    <row r="75" spans="1:45" s="21" customFormat="1" ht="30" customHeight="1" x14ac:dyDescent="0.2">
      <c r="A75" s="8">
        <v>59</v>
      </c>
      <c r="B75" s="46">
        <v>2</v>
      </c>
      <c r="C75" s="16" t="s">
        <v>52</v>
      </c>
      <c r="D75" s="48">
        <v>34297</v>
      </c>
      <c r="E75" s="47">
        <v>39</v>
      </c>
      <c r="F75" s="48">
        <v>6819</v>
      </c>
      <c r="G75" s="49">
        <v>3</v>
      </c>
      <c r="H75" s="48">
        <v>1</v>
      </c>
      <c r="I75" s="48">
        <v>2</v>
      </c>
      <c r="J75" s="48">
        <v>35</v>
      </c>
      <c r="K75" s="3">
        <f>400+200+35</f>
        <v>635</v>
      </c>
      <c r="L75" s="16"/>
      <c r="M75" s="57"/>
      <c r="N75" s="58"/>
      <c r="P75" s="16">
        <v>1</v>
      </c>
      <c r="Q75" s="20">
        <v>635</v>
      </c>
      <c r="R75" s="14">
        <v>200</v>
      </c>
      <c r="S75" s="20">
        <f t="shared" si="14"/>
        <v>127000</v>
      </c>
      <c r="T75" s="16"/>
      <c r="U75" s="16"/>
      <c r="V75" s="16"/>
      <c r="W75" s="5"/>
      <c r="X75" s="16"/>
      <c r="Y75" s="5"/>
      <c r="Z75" s="16"/>
      <c r="AA75" s="16"/>
      <c r="AB75" s="16"/>
      <c r="AC75" s="14"/>
      <c r="AD75" s="14"/>
      <c r="AE75" s="16"/>
      <c r="AG75" s="22"/>
      <c r="AH75" s="6"/>
      <c r="AJ75" s="20">
        <f t="shared" si="13"/>
        <v>0</v>
      </c>
      <c r="AK75" s="50"/>
      <c r="AL75" s="6"/>
      <c r="AM75" s="20">
        <f t="shared" si="7"/>
        <v>0</v>
      </c>
      <c r="AN75" s="20">
        <f t="shared" si="11"/>
        <v>127000</v>
      </c>
      <c r="AP75" s="20">
        <f t="shared" si="12"/>
        <v>127000</v>
      </c>
      <c r="AQ75" s="7"/>
      <c r="AR75" s="20"/>
      <c r="AS75" s="51"/>
    </row>
    <row r="76" spans="1:45" s="21" customFormat="1" ht="30" customHeight="1" x14ac:dyDescent="0.2">
      <c r="A76" s="8">
        <v>60</v>
      </c>
      <c r="B76" s="46">
        <v>3</v>
      </c>
      <c r="C76" s="16" t="s">
        <v>52</v>
      </c>
      <c r="D76" s="48">
        <v>19809</v>
      </c>
      <c r="E76" s="47">
        <v>272</v>
      </c>
      <c r="F76" s="48">
        <v>4383</v>
      </c>
      <c r="G76" s="49"/>
      <c r="H76" s="48">
        <v>0</v>
      </c>
      <c r="I76" s="48">
        <v>0</v>
      </c>
      <c r="J76" s="48">
        <v>49.07</v>
      </c>
      <c r="K76" s="3">
        <f>J76</f>
        <v>49.07</v>
      </c>
      <c r="L76" s="16"/>
      <c r="M76" s="57"/>
      <c r="N76" s="58"/>
      <c r="P76" s="16"/>
      <c r="Q76" s="20"/>
      <c r="R76" s="14">
        <v>2000</v>
      </c>
      <c r="S76" s="19">
        <f t="shared" si="14"/>
        <v>0</v>
      </c>
      <c r="T76" s="16"/>
      <c r="U76" s="17"/>
      <c r="V76" s="16"/>
      <c r="W76" s="5"/>
      <c r="X76" s="16"/>
      <c r="Y76" s="5"/>
      <c r="Z76" s="16"/>
      <c r="AA76" s="16"/>
      <c r="AB76" s="16"/>
      <c r="AC76" s="14"/>
      <c r="AD76" s="14"/>
      <c r="AE76" s="16"/>
      <c r="AG76" s="22"/>
      <c r="AH76" s="6"/>
      <c r="AJ76" s="20">
        <f t="shared" si="13"/>
        <v>0</v>
      </c>
      <c r="AK76" s="50"/>
      <c r="AL76" s="6"/>
      <c r="AM76" s="20">
        <f t="shared" si="7"/>
        <v>0</v>
      </c>
      <c r="AN76" s="20">
        <f t="shared" si="11"/>
        <v>0</v>
      </c>
      <c r="AP76" s="20">
        <f t="shared" si="12"/>
        <v>0</v>
      </c>
      <c r="AQ76" s="7"/>
      <c r="AR76" s="20"/>
      <c r="AS76" s="51"/>
    </row>
    <row r="77" spans="1:45" s="21" customFormat="1" ht="30" customHeight="1" x14ac:dyDescent="0.2">
      <c r="A77" s="8">
        <v>61</v>
      </c>
      <c r="B77" s="46">
        <v>1</v>
      </c>
      <c r="C77" s="16" t="s">
        <v>52</v>
      </c>
      <c r="D77" s="48">
        <v>2951</v>
      </c>
      <c r="E77" s="47">
        <v>134</v>
      </c>
      <c r="F77" s="48">
        <v>2013</v>
      </c>
      <c r="G77" s="49">
        <v>2</v>
      </c>
      <c r="H77" s="48">
        <v>2</v>
      </c>
      <c r="I77" s="48">
        <v>0</v>
      </c>
      <c r="J77" s="48">
        <v>93</v>
      </c>
      <c r="K77" s="3">
        <f>800+93</f>
        <v>893</v>
      </c>
      <c r="L77" s="16"/>
      <c r="M77" s="57"/>
      <c r="N77" s="58"/>
      <c r="P77" s="16">
        <v>1</v>
      </c>
      <c r="Q77" s="20">
        <v>893</v>
      </c>
      <c r="R77" s="14">
        <v>160</v>
      </c>
      <c r="S77" s="19">
        <f t="shared" si="14"/>
        <v>142880</v>
      </c>
      <c r="T77" s="16"/>
      <c r="U77" s="17"/>
      <c r="V77" s="17"/>
      <c r="W77" s="4"/>
      <c r="X77" s="16"/>
      <c r="Y77" s="5"/>
      <c r="Z77" s="16"/>
      <c r="AA77" s="16"/>
      <c r="AB77" s="16"/>
      <c r="AC77" s="14"/>
      <c r="AD77" s="14"/>
      <c r="AE77" s="16"/>
      <c r="AG77" s="22"/>
      <c r="AH77" s="6"/>
      <c r="AJ77" s="20">
        <f t="shared" si="13"/>
        <v>0</v>
      </c>
      <c r="AK77" s="50"/>
      <c r="AL77" s="6"/>
      <c r="AM77" s="20">
        <f t="shared" si="7"/>
        <v>0</v>
      </c>
      <c r="AN77" s="20">
        <f t="shared" si="11"/>
        <v>142880</v>
      </c>
      <c r="AP77" s="20">
        <f t="shared" si="12"/>
        <v>142880</v>
      </c>
      <c r="AQ77" s="7"/>
      <c r="AR77" s="20"/>
      <c r="AS77" s="51"/>
    </row>
    <row r="78" spans="1:45" s="21" customFormat="1" ht="30" customHeight="1" x14ac:dyDescent="0.2">
      <c r="A78" s="8">
        <v>62</v>
      </c>
      <c r="B78" s="46">
        <v>1</v>
      </c>
      <c r="C78" s="16" t="s">
        <v>52</v>
      </c>
      <c r="D78" s="48">
        <v>20619</v>
      </c>
      <c r="E78" s="47">
        <v>189</v>
      </c>
      <c r="F78" s="48">
        <v>4636</v>
      </c>
      <c r="G78" s="49">
        <v>1</v>
      </c>
      <c r="H78" s="48">
        <v>9</v>
      </c>
      <c r="I78" s="48">
        <v>2</v>
      </c>
      <c r="J78" s="48">
        <v>30</v>
      </c>
      <c r="K78" s="3">
        <f>(9*400)+200+30</f>
        <v>3830</v>
      </c>
      <c r="L78" s="16"/>
      <c r="M78" s="57"/>
      <c r="N78" s="58"/>
      <c r="P78" s="16">
        <v>1</v>
      </c>
      <c r="Q78" s="20">
        <v>3830</v>
      </c>
      <c r="R78" s="14">
        <v>160</v>
      </c>
      <c r="S78" s="20">
        <f t="shared" si="14"/>
        <v>612800</v>
      </c>
      <c r="T78" s="16"/>
      <c r="U78" s="17"/>
      <c r="V78" s="17"/>
      <c r="W78" s="4"/>
      <c r="X78" s="16"/>
      <c r="Y78" s="5"/>
      <c r="Z78" s="16"/>
      <c r="AA78" s="16"/>
      <c r="AB78" s="16"/>
      <c r="AC78" s="14"/>
      <c r="AD78" s="14"/>
      <c r="AE78" s="16"/>
      <c r="AG78" s="22"/>
      <c r="AH78" s="6"/>
      <c r="AJ78" s="20">
        <f t="shared" si="13"/>
        <v>0</v>
      </c>
      <c r="AK78" s="50"/>
      <c r="AL78" s="6"/>
      <c r="AM78" s="20">
        <f t="shared" si="7"/>
        <v>0</v>
      </c>
      <c r="AN78" s="20">
        <f t="shared" si="11"/>
        <v>612800</v>
      </c>
      <c r="AP78" s="20">
        <f t="shared" si="12"/>
        <v>612800</v>
      </c>
      <c r="AQ78" s="7"/>
      <c r="AR78" s="20"/>
      <c r="AS78" s="51"/>
    </row>
    <row r="79" spans="1:45" s="21" customFormat="1" ht="30" customHeight="1" x14ac:dyDescent="0.2">
      <c r="A79" s="8">
        <v>63</v>
      </c>
      <c r="B79" s="46">
        <v>2</v>
      </c>
      <c r="C79" s="16" t="s">
        <v>52</v>
      </c>
      <c r="D79" s="48">
        <v>21215</v>
      </c>
      <c r="E79" s="47">
        <v>197</v>
      </c>
      <c r="F79" s="48">
        <v>4716</v>
      </c>
      <c r="G79" s="49">
        <v>1</v>
      </c>
      <c r="H79" s="48">
        <v>0</v>
      </c>
      <c r="I79" s="48">
        <v>0</v>
      </c>
      <c r="J79" s="48">
        <v>56</v>
      </c>
      <c r="K79" s="3"/>
      <c r="L79" s="16">
        <v>56</v>
      </c>
      <c r="M79" s="57"/>
      <c r="N79" s="58"/>
      <c r="P79" s="16"/>
      <c r="Q79" s="20">
        <v>56</v>
      </c>
      <c r="R79" s="14">
        <v>3000</v>
      </c>
      <c r="S79" s="19">
        <f t="shared" si="14"/>
        <v>168000</v>
      </c>
      <c r="T79" s="16"/>
      <c r="U79" s="17" t="s">
        <v>63</v>
      </c>
      <c r="V79" s="17" t="s">
        <v>56</v>
      </c>
      <c r="W79" s="4">
        <v>100</v>
      </c>
      <c r="X79" s="16"/>
      <c r="Y79" s="5">
        <v>100</v>
      </c>
      <c r="Z79" s="16"/>
      <c r="AA79" s="16"/>
      <c r="AB79" s="16"/>
      <c r="AC79" s="14"/>
      <c r="AD79" s="14"/>
      <c r="AE79" s="16"/>
      <c r="AF79" s="21">
        <v>2</v>
      </c>
      <c r="AG79" s="22">
        <v>100</v>
      </c>
      <c r="AH79" s="6">
        <v>1</v>
      </c>
      <c r="AI79" s="21">
        <v>8100</v>
      </c>
      <c r="AJ79" s="20">
        <f t="shared" si="13"/>
        <v>810000</v>
      </c>
      <c r="AK79" s="50"/>
      <c r="AL79" s="6"/>
      <c r="AM79" s="20">
        <f t="shared" si="7"/>
        <v>810000</v>
      </c>
      <c r="AN79" s="20">
        <f t="shared" si="11"/>
        <v>978000</v>
      </c>
      <c r="AO79" s="21">
        <v>50</v>
      </c>
      <c r="AP79" s="20">
        <f t="shared" si="12"/>
        <v>978000</v>
      </c>
      <c r="AQ79" s="7"/>
      <c r="AR79" s="20"/>
      <c r="AS79" s="51"/>
    </row>
    <row r="80" spans="1:45" s="21" customFormat="1" ht="30" customHeight="1" x14ac:dyDescent="0.2">
      <c r="A80" s="8">
        <v>64</v>
      </c>
      <c r="B80" s="46">
        <v>1</v>
      </c>
      <c r="C80" s="16" t="s">
        <v>52</v>
      </c>
      <c r="D80" s="48">
        <v>3613</v>
      </c>
      <c r="E80" s="47">
        <v>96</v>
      </c>
      <c r="F80" s="48">
        <v>2244</v>
      </c>
      <c r="G80" s="49">
        <v>2</v>
      </c>
      <c r="H80" s="48">
        <v>4</v>
      </c>
      <c r="I80" s="48">
        <v>1</v>
      </c>
      <c r="J80" s="48">
        <v>94</v>
      </c>
      <c r="K80" s="3">
        <f>1600+100+94</f>
        <v>1794</v>
      </c>
      <c r="L80" s="16"/>
      <c r="M80" s="57"/>
      <c r="N80" s="58"/>
      <c r="P80" s="16">
        <v>1</v>
      </c>
      <c r="Q80" s="20">
        <v>1794</v>
      </c>
      <c r="R80" s="14">
        <v>160</v>
      </c>
      <c r="S80" s="19">
        <f t="shared" si="14"/>
        <v>287040</v>
      </c>
      <c r="T80" s="16"/>
      <c r="U80" s="17"/>
      <c r="V80" s="17"/>
      <c r="W80" s="4"/>
      <c r="X80" s="16"/>
      <c r="Y80" s="5"/>
      <c r="Z80" s="16"/>
      <c r="AA80" s="16"/>
      <c r="AB80" s="16"/>
      <c r="AE80" s="16"/>
      <c r="AG80" s="22"/>
      <c r="AH80" s="6"/>
      <c r="AJ80" s="20">
        <f t="shared" si="13"/>
        <v>0</v>
      </c>
      <c r="AK80" s="50"/>
      <c r="AL80" s="6"/>
      <c r="AM80" s="20">
        <f t="shared" si="7"/>
        <v>0</v>
      </c>
      <c r="AN80" s="20">
        <f t="shared" si="11"/>
        <v>287040</v>
      </c>
      <c r="AP80" s="20">
        <f t="shared" si="12"/>
        <v>287040</v>
      </c>
      <c r="AQ80" s="7"/>
      <c r="AR80" s="20"/>
      <c r="AS80" s="51"/>
    </row>
    <row r="81" spans="1:45" s="21" customFormat="1" ht="30" customHeight="1" x14ac:dyDescent="0.2">
      <c r="A81" s="8">
        <v>65</v>
      </c>
      <c r="B81" s="46">
        <v>1</v>
      </c>
      <c r="C81" s="16" t="s">
        <v>52</v>
      </c>
      <c r="D81" s="48">
        <v>18009</v>
      </c>
      <c r="E81" s="47">
        <v>16</v>
      </c>
      <c r="F81" s="48">
        <v>3958</v>
      </c>
      <c r="G81" s="49">
        <v>4</v>
      </c>
      <c r="H81" s="48">
        <v>12</v>
      </c>
      <c r="I81" s="48">
        <v>0</v>
      </c>
      <c r="J81" s="48">
        <v>10</v>
      </c>
      <c r="K81" s="3">
        <f>((12*400)+10)+27</f>
        <v>4837</v>
      </c>
      <c r="L81" s="16">
        <v>27</v>
      </c>
      <c r="M81" s="57"/>
      <c r="N81" s="58"/>
      <c r="P81" s="16">
        <v>5</v>
      </c>
      <c r="Q81" s="20">
        <f>12*400+10</f>
        <v>4810</v>
      </c>
      <c r="R81" s="14">
        <v>1000</v>
      </c>
      <c r="S81" s="20">
        <f t="shared" si="14"/>
        <v>4810000</v>
      </c>
      <c r="T81" s="16"/>
      <c r="U81" s="17"/>
      <c r="V81" s="17"/>
      <c r="W81" s="4"/>
      <c r="X81" s="16"/>
      <c r="Y81" s="5"/>
      <c r="Z81" s="16"/>
      <c r="AA81" s="16"/>
      <c r="AB81" s="16"/>
      <c r="AE81" s="16"/>
      <c r="AG81" s="22"/>
      <c r="AH81" s="6"/>
      <c r="AJ81" s="20"/>
      <c r="AK81" s="50"/>
      <c r="AL81" s="6"/>
      <c r="AM81" s="20"/>
      <c r="AN81" s="20"/>
      <c r="AP81" s="20"/>
      <c r="AQ81" s="7"/>
      <c r="AR81" s="20"/>
      <c r="AS81" s="51"/>
    </row>
    <row r="82" spans="1:45" s="21" customFormat="1" ht="30" customHeight="1" x14ac:dyDescent="0.2">
      <c r="A82" s="8"/>
      <c r="B82" s="46"/>
      <c r="C82" s="16"/>
      <c r="D82" s="48"/>
      <c r="E82" s="47"/>
      <c r="F82" s="48"/>
      <c r="G82" s="49"/>
      <c r="H82" s="48"/>
      <c r="I82" s="48"/>
      <c r="J82" s="48"/>
      <c r="K82" s="3"/>
      <c r="L82" s="16"/>
      <c r="M82" s="57"/>
      <c r="N82" s="58"/>
      <c r="P82" s="16">
        <v>1</v>
      </c>
      <c r="Q82" s="20">
        <f>4810-27</f>
        <v>4783</v>
      </c>
      <c r="R82" s="14" t="e">
        <v>#N/A</v>
      </c>
      <c r="S82" s="20" t="e">
        <f t="shared" si="14"/>
        <v>#N/A</v>
      </c>
      <c r="T82" s="16">
        <v>1</v>
      </c>
      <c r="U82" s="17"/>
      <c r="V82" s="17"/>
      <c r="W82" s="4"/>
      <c r="X82" s="16"/>
      <c r="Y82" s="5"/>
      <c r="Z82" s="16"/>
      <c r="AA82" s="16"/>
      <c r="AB82" s="16"/>
      <c r="AE82" s="16"/>
      <c r="AG82" s="22"/>
      <c r="AH82" s="6"/>
      <c r="AJ82" s="20"/>
      <c r="AK82" s="50"/>
      <c r="AL82" s="6"/>
      <c r="AM82" s="20"/>
      <c r="AN82" s="20"/>
      <c r="AP82" s="20"/>
      <c r="AQ82" s="7"/>
      <c r="AR82" s="20"/>
      <c r="AS82" s="51"/>
    </row>
    <row r="83" spans="1:45" s="21" customFormat="1" ht="30" customHeight="1" x14ac:dyDescent="0.2">
      <c r="A83" s="8"/>
      <c r="B83" s="46"/>
      <c r="C83" s="16"/>
      <c r="D83" s="48"/>
      <c r="E83" s="47"/>
      <c r="F83" s="48"/>
      <c r="G83" s="49"/>
      <c r="H83" s="48"/>
      <c r="I83" s="48"/>
      <c r="J83" s="48"/>
      <c r="K83" s="3"/>
      <c r="L83" s="16"/>
      <c r="M83" s="57"/>
      <c r="N83" s="58"/>
      <c r="P83" s="16">
        <v>2</v>
      </c>
      <c r="Q83" s="20">
        <f>108/4</f>
        <v>27</v>
      </c>
      <c r="R83" s="14" t="e">
        <v>#N/A</v>
      </c>
      <c r="S83" s="20" t="e">
        <f t="shared" si="14"/>
        <v>#N/A</v>
      </c>
      <c r="T83" s="16">
        <v>2</v>
      </c>
      <c r="U83" s="17" t="s">
        <v>57</v>
      </c>
      <c r="V83" s="17" t="s">
        <v>56</v>
      </c>
      <c r="W83" s="4"/>
      <c r="X83" s="16"/>
      <c r="Y83" s="5">
        <v>108</v>
      </c>
      <c r="Z83" s="16"/>
      <c r="AA83" s="16"/>
      <c r="AB83" s="16">
        <f>62-11</f>
        <v>51</v>
      </c>
      <c r="AE83" s="16"/>
      <c r="AF83" s="21">
        <v>2</v>
      </c>
      <c r="AG83" s="22">
        <v>108</v>
      </c>
      <c r="AH83" s="6">
        <v>1</v>
      </c>
      <c r="AI83" s="21">
        <v>7250</v>
      </c>
      <c r="AJ83" s="20">
        <f t="shared" ref="AJ83:AJ90" si="15">+AG83*AH83*AI83</f>
        <v>783000</v>
      </c>
      <c r="AK83" s="50">
        <v>51</v>
      </c>
      <c r="AL83" s="6">
        <v>0.76</v>
      </c>
      <c r="AM83" s="20">
        <f t="shared" ref="AM83:AM90" si="16">+AJ83-(AL83*AJ83)</f>
        <v>187920</v>
      </c>
      <c r="AN83" s="20" t="e">
        <f t="shared" ref="AN83:AN91" si="17">+S83+AM83</f>
        <v>#N/A</v>
      </c>
      <c r="AO83" s="21">
        <v>50</v>
      </c>
      <c r="AP83" s="20" t="e">
        <f t="shared" ref="AP83:AP119" si="18">AN83</f>
        <v>#N/A</v>
      </c>
      <c r="AQ83" s="7"/>
      <c r="AR83" s="20"/>
      <c r="AS83" s="51"/>
    </row>
    <row r="84" spans="1:45" s="21" customFormat="1" ht="30" customHeight="1" x14ac:dyDescent="0.2">
      <c r="A84" s="8">
        <v>66</v>
      </c>
      <c r="B84" s="46">
        <v>2</v>
      </c>
      <c r="C84" s="16" t="s">
        <v>52</v>
      </c>
      <c r="D84" s="48">
        <v>18010</v>
      </c>
      <c r="E84" s="47">
        <v>17</v>
      </c>
      <c r="F84" s="48">
        <v>3959</v>
      </c>
      <c r="G84" s="49">
        <v>4</v>
      </c>
      <c r="H84" s="48">
        <v>1</v>
      </c>
      <c r="I84" s="48">
        <v>1</v>
      </c>
      <c r="J84" s="48">
        <v>48</v>
      </c>
      <c r="K84" s="3">
        <v>548</v>
      </c>
      <c r="L84" s="16"/>
      <c r="M84" s="57"/>
      <c r="N84" s="58"/>
      <c r="P84" s="16">
        <v>1</v>
      </c>
      <c r="Q84" s="20">
        <v>548</v>
      </c>
      <c r="R84" s="14">
        <v>160</v>
      </c>
      <c r="S84" s="19">
        <f t="shared" si="14"/>
        <v>87680</v>
      </c>
      <c r="T84" s="16"/>
      <c r="U84" s="16"/>
      <c r="V84" s="16"/>
      <c r="W84" s="5"/>
      <c r="X84" s="16"/>
      <c r="Y84" s="5"/>
      <c r="Z84" s="16"/>
      <c r="AA84" s="16"/>
      <c r="AB84" s="16"/>
      <c r="AE84" s="16"/>
      <c r="AG84" s="22"/>
      <c r="AH84" s="6"/>
      <c r="AJ84" s="20">
        <f t="shared" si="15"/>
        <v>0</v>
      </c>
      <c r="AK84" s="50"/>
      <c r="AL84" s="6"/>
      <c r="AM84" s="20">
        <f t="shared" si="16"/>
        <v>0</v>
      </c>
      <c r="AN84" s="20">
        <f t="shared" si="17"/>
        <v>87680</v>
      </c>
      <c r="AP84" s="20">
        <f t="shared" si="18"/>
        <v>87680</v>
      </c>
      <c r="AQ84" s="7"/>
      <c r="AR84" s="20"/>
      <c r="AS84" s="51"/>
    </row>
    <row r="85" spans="1:45" s="21" customFormat="1" ht="30" customHeight="1" x14ac:dyDescent="0.2">
      <c r="A85" s="8">
        <v>67</v>
      </c>
      <c r="B85" s="46">
        <v>1</v>
      </c>
      <c r="C85" s="16" t="s">
        <v>52</v>
      </c>
      <c r="D85" s="48">
        <v>30207</v>
      </c>
      <c r="E85" s="47">
        <v>88</v>
      </c>
      <c r="F85" s="48">
        <v>5332</v>
      </c>
      <c r="G85" s="49">
        <v>1</v>
      </c>
      <c r="H85" s="48">
        <v>0</v>
      </c>
      <c r="I85" s="48">
        <v>3</v>
      </c>
      <c r="J85" s="48">
        <v>11</v>
      </c>
      <c r="K85" s="3">
        <f>311</f>
        <v>311</v>
      </c>
      <c r="L85" s="16"/>
      <c r="M85" s="57"/>
      <c r="N85" s="58"/>
      <c r="P85" s="16">
        <v>5</v>
      </c>
      <c r="Q85" s="20">
        <v>311</v>
      </c>
      <c r="R85" s="14">
        <v>200</v>
      </c>
      <c r="S85" s="19">
        <f t="shared" si="14"/>
        <v>62200</v>
      </c>
      <c r="T85" s="16"/>
      <c r="U85" s="17" t="s">
        <v>57</v>
      </c>
      <c r="V85" s="16" t="s">
        <v>56</v>
      </c>
      <c r="W85" s="5"/>
      <c r="X85" s="16"/>
      <c r="Y85" s="5">
        <f>10*20</f>
        <v>200</v>
      </c>
      <c r="Z85" s="16"/>
      <c r="AA85" s="16"/>
      <c r="AB85" s="16">
        <v>30</v>
      </c>
      <c r="AE85" s="16" t="s">
        <v>74</v>
      </c>
      <c r="AF85" s="21">
        <v>2</v>
      </c>
      <c r="AG85" s="22">
        <v>200</v>
      </c>
      <c r="AH85" s="6">
        <v>1</v>
      </c>
      <c r="AI85" s="21">
        <v>7250</v>
      </c>
      <c r="AJ85" s="20">
        <f t="shared" si="15"/>
        <v>1450000</v>
      </c>
      <c r="AK85" s="50">
        <v>30</v>
      </c>
      <c r="AL85" s="6">
        <v>0.5</v>
      </c>
      <c r="AM85" s="20">
        <f t="shared" si="16"/>
        <v>725000</v>
      </c>
      <c r="AN85" s="20">
        <f t="shared" si="17"/>
        <v>787200</v>
      </c>
      <c r="AO85" s="21">
        <v>50</v>
      </c>
      <c r="AP85" s="20">
        <f t="shared" si="18"/>
        <v>787200</v>
      </c>
      <c r="AQ85" s="7"/>
      <c r="AR85" s="20"/>
      <c r="AS85" s="51"/>
    </row>
    <row r="86" spans="1:45" s="21" customFormat="1" ht="30" customHeight="1" x14ac:dyDescent="0.2">
      <c r="A86" s="8">
        <v>68</v>
      </c>
      <c r="B86" s="46">
        <v>1</v>
      </c>
      <c r="C86" s="16" t="s">
        <v>52</v>
      </c>
      <c r="D86" s="48">
        <v>3022</v>
      </c>
      <c r="E86" s="47">
        <v>74</v>
      </c>
      <c r="F86" s="48">
        <v>2094</v>
      </c>
      <c r="G86" s="49">
        <v>2</v>
      </c>
      <c r="H86" s="48">
        <v>0</v>
      </c>
      <c r="I86" s="48">
        <v>2</v>
      </c>
      <c r="J86" s="48">
        <v>74</v>
      </c>
      <c r="K86" s="3"/>
      <c r="L86" s="16">
        <v>274</v>
      </c>
      <c r="M86" s="57"/>
      <c r="N86" s="58"/>
      <c r="P86" s="16">
        <v>2</v>
      </c>
      <c r="Q86" s="20">
        <v>274</v>
      </c>
      <c r="R86" s="14">
        <v>250</v>
      </c>
      <c r="S86" s="20">
        <f t="shared" si="14"/>
        <v>68500</v>
      </c>
      <c r="T86" s="16"/>
      <c r="U86" s="17" t="s">
        <v>57</v>
      </c>
      <c r="V86" s="17" t="s">
        <v>56</v>
      </c>
      <c r="W86" s="4"/>
      <c r="X86" s="16"/>
      <c r="Y86" s="5">
        <v>120</v>
      </c>
      <c r="Z86" s="16"/>
      <c r="AA86" s="16"/>
      <c r="AB86" s="16">
        <f>62-41</f>
        <v>21</v>
      </c>
      <c r="AE86" s="16" t="s">
        <v>74</v>
      </c>
      <c r="AF86" s="21">
        <v>2</v>
      </c>
      <c r="AG86" s="22">
        <v>120</v>
      </c>
      <c r="AH86" s="6">
        <v>1</v>
      </c>
      <c r="AI86" s="21">
        <v>7250</v>
      </c>
      <c r="AJ86" s="20">
        <f t="shared" si="15"/>
        <v>870000</v>
      </c>
      <c r="AK86" s="50">
        <v>21</v>
      </c>
      <c r="AL86" s="6">
        <v>0.32</v>
      </c>
      <c r="AM86" s="20">
        <f t="shared" si="16"/>
        <v>591600</v>
      </c>
      <c r="AN86" s="20">
        <f t="shared" si="17"/>
        <v>660100</v>
      </c>
      <c r="AO86" s="21">
        <v>50</v>
      </c>
      <c r="AP86" s="20">
        <f t="shared" si="18"/>
        <v>660100</v>
      </c>
      <c r="AQ86" s="7"/>
      <c r="AR86" s="20"/>
      <c r="AS86" s="51"/>
    </row>
    <row r="87" spans="1:45" s="21" customFormat="1" ht="30" customHeight="1" x14ac:dyDescent="0.2">
      <c r="A87" s="8">
        <v>69</v>
      </c>
      <c r="B87" s="46">
        <v>2</v>
      </c>
      <c r="C87" s="16" t="s">
        <v>52</v>
      </c>
      <c r="D87" s="48">
        <v>26611</v>
      </c>
      <c r="E87" s="47">
        <v>172</v>
      </c>
      <c r="F87" s="48">
        <v>4990</v>
      </c>
      <c r="G87" s="49">
        <v>2</v>
      </c>
      <c r="H87" s="48">
        <v>0</v>
      </c>
      <c r="I87" s="48">
        <v>1</v>
      </c>
      <c r="J87" s="48">
        <v>5</v>
      </c>
      <c r="K87" s="3">
        <v>105</v>
      </c>
      <c r="L87" s="16"/>
      <c r="M87" s="57"/>
      <c r="N87" s="58"/>
      <c r="P87" s="16">
        <v>1</v>
      </c>
      <c r="Q87" s="20">
        <v>105</v>
      </c>
      <c r="R87" s="14">
        <v>250</v>
      </c>
      <c r="S87" s="19">
        <f t="shared" si="14"/>
        <v>26250</v>
      </c>
      <c r="T87" s="16"/>
      <c r="U87" s="17"/>
      <c r="V87" s="17"/>
      <c r="W87" s="4"/>
      <c r="X87" s="16"/>
      <c r="Y87" s="5"/>
      <c r="Z87" s="16"/>
      <c r="AA87" s="16"/>
      <c r="AB87" s="16"/>
      <c r="AE87" s="16"/>
      <c r="AG87" s="22"/>
      <c r="AH87" s="6"/>
      <c r="AJ87" s="20">
        <f t="shared" si="15"/>
        <v>0</v>
      </c>
      <c r="AK87" s="50"/>
      <c r="AL87" s="6"/>
      <c r="AM87" s="20">
        <f t="shared" si="16"/>
        <v>0</v>
      </c>
      <c r="AN87" s="20">
        <f t="shared" si="17"/>
        <v>26250</v>
      </c>
      <c r="AP87" s="20">
        <f t="shared" si="18"/>
        <v>26250</v>
      </c>
      <c r="AQ87" s="7"/>
      <c r="AR87" s="20"/>
      <c r="AS87" s="51"/>
    </row>
    <row r="88" spans="1:45" s="21" customFormat="1" ht="30" customHeight="1" x14ac:dyDescent="0.2">
      <c r="A88" s="8">
        <v>70</v>
      </c>
      <c r="B88" s="46">
        <v>1</v>
      </c>
      <c r="C88" s="16" t="s">
        <v>52</v>
      </c>
      <c r="D88" s="48">
        <v>12328</v>
      </c>
      <c r="E88" s="47">
        <v>155</v>
      </c>
      <c r="F88" s="48">
        <v>3232</v>
      </c>
      <c r="G88" s="49">
        <v>1</v>
      </c>
      <c r="H88" s="48">
        <v>2</v>
      </c>
      <c r="I88" s="48">
        <v>0</v>
      </c>
      <c r="J88" s="48">
        <v>50</v>
      </c>
      <c r="K88" s="3">
        <v>850</v>
      </c>
      <c r="L88" s="16"/>
      <c r="M88" s="57"/>
      <c r="N88" s="58"/>
      <c r="P88" s="16">
        <v>1</v>
      </c>
      <c r="Q88" s="20">
        <v>850</v>
      </c>
      <c r="R88" s="14">
        <v>160</v>
      </c>
      <c r="S88" s="19">
        <f t="shared" si="14"/>
        <v>136000</v>
      </c>
      <c r="T88" s="16"/>
      <c r="U88" s="17"/>
      <c r="V88" s="17"/>
      <c r="W88" s="4"/>
      <c r="X88" s="16"/>
      <c r="Y88" s="5"/>
      <c r="Z88" s="16"/>
      <c r="AA88" s="16"/>
      <c r="AB88" s="16"/>
      <c r="AE88" s="16"/>
      <c r="AG88" s="22"/>
      <c r="AH88" s="6"/>
      <c r="AJ88" s="20">
        <f t="shared" si="15"/>
        <v>0</v>
      </c>
      <c r="AK88" s="50"/>
      <c r="AL88" s="6"/>
      <c r="AM88" s="20">
        <f t="shared" si="16"/>
        <v>0</v>
      </c>
      <c r="AN88" s="20">
        <f t="shared" si="17"/>
        <v>136000</v>
      </c>
      <c r="AP88" s="20">
        <f t="shared" si="18"/>
        <v>136000</v>
      </c>
      <c r="AQ88" s="7"/>
      <c r="AR88" s="20"/>
      <c r="AS88" s="51"/>
    </row>
    <row r="89" spans="1:45" ht="30" customHeight="1" x14ac:dyDescent="0.2">
      <c r="A89" s="8"/>
      <c r="C89" s="16"/>
      <c r="S89" s="20"/>
      <c r="AC89" s="21"/>
      <c r="AD89" s="21"/>
      <c r="AJ89" s="20"/>
      <c r="AM89" s="20"/>
      <c r="AN89" s="20"/>
      <c r="AP89" s="20"/>
      <c r="AR89" s="20"/>
    </row>
    <row r="90" spans="1:45" s="21" customFormat="1" ht="30" customHeight="1" x14ac:dyDescent="0.2">
      <c r="A90" s="8">
        <v>71</v>
      </c>
      <c r="B90" s="46">
        <v>1</v>
      </c>
      <c r="C90" s="16" t="s">
        <v>52</v>
      </c>
      <c r="D90" s="48">
        <v>31957</v>
      </c>
      <c r="E90" s="47">
        <v>241</v>
      </c>
      <c r="F90" s="48">
        <v>6276</v>
      </c>
      <c r="G90" s="49">
        <v>2</v>
      </c>
      <c r="H90" s="48">
        <v>0</v>
      </c>
      <c r="I90" s="48">
        <v>3</v>
      </c>
      <c r="J90" s="48">
        <v>35.049999999999997</v>
      </c>
      <c r="K90" s="3">
        <v>335.05</v>
      </c>
      <c r="L90" s="16"/>
      <c r="M90" s="57"/>
      <c r="N90" s="58"/>
      <c r="P90" s="16">
        <v>1</v>
      </c>
      <c r="Q90" s="20">
        <v>335.05</v>
      </c>
      <c r="R90" s="14">
        <v>160</v>
      </c>
      <c r="S90" s="19">
        <f t="shared" si="14"/>
        <v>53608</v>
      </c>
      <c r="T90" s="16"/>
      <c r="U90" s="17"/>
      <c r="V90" s="17"/>
      <c r="W90" s="4"/>
      <c r="X90" s="16"/>
      <c r="Y90" s="5"/>
      <c r="Z90" s="16"/>
      <c r="AA90" s="16"/>
      <c r="AB90" s="16"/>
      <c r="AE90" s="16"/>
      <c r="AG90" s="22"/>
      <c r="AH90" s="6"/>
      <c r="AJ90" s="20">
        <f t="shared" si="15"/>
        <v>0</v>
      </c>
      <c r="AK90" s="50"/>
      <c r="AL90" s="6"/>
      <c r="AM90" s="20">
        <f t="shared" si="16"/>
        <v>0</v>
      </c>
      <c r="AN90" s="20">
        <f t="shared" si="17"/>
        <v>53608</v>
      </c>
      <c r="AP90" s="20">
        <f t="shared" si="18"/>
        <v>53608</v>
      </c>
      <c r="AQ90" s="7"/>
      <c r="AR90" s="20"/>
      <c r="AS90" s="51"/>
    </row>
    <row r="91" spans="1:45" ht="30" customHeight="1" x14ac:dyDescent="0.2">
      <c r="A91" s="9">
        <v>72</v>
      </c>
      <c r="B91" s="13">
        <v>1</v>
      </c>
      <c r="C91" s="16" t="s">
        <v>65</v>
      </c>
      <c r="D91" s="17">
        <v>2169</v>
      </c>
      <c r="E91" s="17">
        <v>43</v>
      </c>
      <c r="H91" s="17">
        <v>24</v>
      </c>
      <c r="I91" s="17">
        <v>1</v>
      </c>
      <c r="J91" s="17">
        <v>0</v>
      </c>
      <c r="K91" s="10">
        <f>+(24*400+100)-L91</f>
        <v>9601.9</v>
      </c>
      <c r="L91" s="17">
        <f>+(169.4+115+108)/4</f>
        <v>98.1</v>
      </c>
      <c r="P91" s="17">
        <v>5</v>
      </c>
      <c r="Q91" s="19">
        <f>24*400+100</f>
        <v>9700</v>
      </c>
      <c r="R91" s="14">
        <v>160</v>
      </c>
      <c r="S91" s="19">
        <f t="shared" si="14"/>
        <v>1552000</v>
      </c>
      <c r="AC91" s="21"/>
      <c r="AD91" s="21"/>
      <c r="AJ91" s="20"/>
      <c r="AM91" s="20"/>
      <c r="AN91" s="20">
        <f t="shared" si="17"/>
        <v>1552000</v>
      </c>
      <c r="AP91" s="20">
        <f t="shared" si="18"/>
        <v>1552000</v>
      </c>
      <c r="AR91" s="60"/>
      <c r="AS91" s="123">
        <v>128</v>
      </c>
    </row>
    <row r="92" spans="1:45" ht="30" customHeight="1" x14ac:dyDescent="0.2">
      <c r="A92" s="9"/>
      <c r="C92" s="16"/>
      <c r="P92" s="17">
        <v>1</v>
      </c>
      <c r="Q92" s="19">
        <v>9629</v>
      </c>
      <c r="R92" s="14">
        <v>160</v>
      </c>
      <c r="S92" s="20">
        <f t="shared" si="14"/>
        <v>1540640</v>
      </c>
      <c r="T92" s="17">
        <v>1</v>
      </c>
      <c r="AC92" s="21"/>
      <c r="AD92" s="21"/>
      <c r="AJ92" s="20"/>
      <c r="AM92" s="20"/>
      <c r="AN92" s="20">
        <f>+S92</f>
        <v>1540640</v>
      </c>
      <c r="AP92" s="20">
        <f t="shared" si="18"/>
        <v>1540640</v>
      </c>
      <c r="AQ92" s="12">
        <v>1E-4</v>
      </c>
      <c r="AR92" s="24"/>
      <c r="AS92" s="124"/>
    </row>
    <row r="93" spans="1:45" ht="30" customHeight="1" x14ac:dyDescent="0.2">
      <c r="A93" s="9"/>
      <c r="C93" s="16"/>
      <c r="P93" s="17">
        <v>2</v>
      </c>
      <c r="Q93" s="19">
        <f>42.25+28.75</f>
        <v>71</v>
      </c>
      <c r="R93" s="14">
        <v>160</v>
      </c>
      <c r="S93" s="20">
        <f t="shared" si="14"/>
        <v>11360</v>
      </c>
      <c r="AC93" s="21"/>
      <c r="AD93" s="21"/>
      <c r="AJ93" s="20"/>
      <c r="AM93" s="20"/>
      <c r="AN93" s="20">
        <f>+S93</f>
        <v>11360</v>
      </c>
      <c r="AP93" s="20">
        <f t="shared" si="18"/>
        <v>11360</v>
      </c>
      <c r="AQ93" s="12">
        <v>2.0000000000000001E-4</v>
      </c>
      <c r="AR93" s="24"/>
      <c r="AS93" s="124"/>
    </row>
    <row r="94" spans="1:45" ht="30" customHeight="1" x14ac:dyDescent="0.2">
      <c r="A94" s="9"/>
      <c r="C94" s="16"/>
      <c r="P94" s="17">
        <v>2</v>
      </c>
      <c r="Q94" s="19">
        <f>169/4</f>
        <v>42.25</v>
      </c>
      <c r="R94" s="14" t="e">
        <v>#N/A</v>
      </c>
      <c r="S94" s="20" t="e">
        <f t="shared" si="14"/>
        <v>#N/A</v>
      </c>
      <c r="T94" s="17">
        <v>2</v>
      </c>
      <c r="U94" s="17" t="s">
        <v>57</v>
      </c>
      <c r="V94" s="17" t="s">
        <v>56</v>
      </c>
      <c r="Y94" s="4">
        <v>169.4</v>
      </c>
      <c r="AB94" s="17">
        <f>62-41</f>
        <v>21</v>
      </c>
      <c r="AC94" s="21"/>
      <c r="AD94" s="21"/>
      <c r="AF94" s="14">
        <v>2</v>
      </c>
      <c r="AG94" s="54">
        <v>169</v>
      </c>
      <c r="AH94" s="11">
        <v>1</v>
      </c>
      <c r="AI94" s="14">
        <v>7250</v>
      </c>
      <c r="AJ94" s="20">
        <f t="shared" ref="AJ94:AJ119" si="19">+AG94*AH94*AI94</f>
        <v>1225250</v>
      </c>
      <c r="AK94" s="23">
        <v>21</v>
      </c>
      <c r="AL94" s="11">
        <v>0.32</v>
      </c>
      <c r="AM94" s="20"/>
      <c r="AN94" s="20" t="e">
        <f>+S94</f>
        <v>#N/A</v>
      </c>
      <c r="AO94" s="14">
        <v>10</v>
      </c>
      <c r="AP94" s="20" t="e">
        <f t="shared" si="18"/>
        <v>#N/A</v>
      </c>
      <c r="AR94" s="24"/>
      <c r="AS94" s="124"/>
    </row>
    <row r="95" spans="1:45" ht="30" customHeight="1" x14ac:dyDescent="0.2">
      <c r="A95" s="9"/>
      <c r="C95" s="16"/>
      <c r="P95" s="17">
        <v>2</v>
      </c>
      <c r="Q95" s="19">
        <f>115/4</f>
        <v>28.75</v>
      </c>
      <c r="R95" s="14" t="e">
        <v>#N/A</v>
      </c>
      <c r="S95" s="20" t="e">
        <f t="shared" si="14"/>
        <v>#N/A</v>
      </c>
      <c r="T95" s="17">
        <v>3</v>
      </c>
      <c r="U95" s="17" t="s">
        <v>57</v>
      </c>
      <c r="V95" s="17" t="s">
        <v>56</v>
      </c>
      <c r="Y95" s="4">
        <v>115</v>
      </c>
      <c r="AB95" s="17">
        <v>21</v>
      </c>
      <c r="AC95" s="21"/>
      <c r="AD95" s="21"/>
      <c r="AF95" s="14">
        <v>2</v>
      </c>
      <c r="AG95" s="54">
        <v>115</v>
      </c>
      <c r="AH95" s="11">
        <v>1</v>
      </c>
      <c r="AI95" s="14">
        <v>7250</v>
      </c>
      <c r="AJ95" s="20">
        <f t="shared" si="19"/>
        <v>833750</v>
      </c>
      <c r="AK95" s="23">
        <v>21</v>
      </c>
      <c r="AL95" s="11">
        <v>0.32</v>
      </c>
      <c r="AM95" s="20"/>
      <c r="AN95" s="20" t="e">
        <f>+S95</f>
        <v>#N/A</v>
      </c>
      <c r="AO95" s="14">
        <v>10</v>
      </c>
      <c r="AP95" s="20" t="e">
        <f t="shared" si="18"/>
        <v>#N/A</v>
      </c>
      <c r="AR95" s="25"/>
      <c r="AS95" s="125"/>
    </row>
    <row r="96" spans="1:45" s="21" customFormat="1" ht="30" customHeight="1" x14ac:dyDescent="0.2">
      <c r="A96" s="8">
        <v>73</v>
      </c>
      <c r="B96" s="46">
        <v>1</v>
      </c>
      <c r="C96" s="16" t="s">
        <v>52</v>
      </c>
      <c r="D96" s="48">
        <v>35021</v>
      </c>
      <c r="E96" s="47">
        <v>86</v>
      </c>
      <c r="F96" s="48">
        <v>6818</v>
      </c>
      <c r="G96" s="49">
        <v>2</v>
      </c>
      <c r="H96" s="48">
        <v>3</v>
      </c>
      <c r="I96" s="48">
        <v>0</v>
      </c>
      <c r="J96" s="48">
        <v>1.06</v>
      </c>
      <c r="K96" s="3">
        <v>1201.06</v>
      </c>
      <c r="L96" s="16"/>
      <c r="M96" s="57"/>
      <c r="N96" s="58"/>
      <c r="P96" s="16">
        <v>1</v>
      </c>
      <c r="Q96" s="20">
        <v>1201.06</v>
      </c>
      <c r="R96" s="14">
        <v>160</v>
      </c>
      <c r="S96" s="19">
        <f t="shared" si="14"/>
        <v>192169.59999999998</v>
      </c>
      <c r="T96" s="16"/>
      <c r="U96" s="17"/>
      <c r="V96" s="17"/>
      <c r="W96" s="4"/>
      <c r="X96" s="16"/>
      <c r="Y96" s="5"/>
      <c r="Z96" s="16"/>
      <c r="AA96" s="16"/>
      <c r="AB96" s="16"/>
      <c r="AE96" s="16"/>
      <c r="AG96" s="22"/>
      <c r="AH96" s="6"/>
      <c r="AJ96" s="20">
        <f t="shared" si="19"/>
        <v>0</v>
      </c>
      <c r="AK96" s="50"/>
      <c r="AL96" s="6"/>
      <c r="AM96" s="20">
        <f t="shared" ref="AM96:AM119" si="20">+AJ96-(AL96*AJ96)</f>
        <v>0</v>
      </c>
      <c r="AN96" s="20">
        <f t="shared" ref="AN96:AN106" si="21">+S96+AM96</f>
        <v>192169.59999999998</v>
      </c>
      <c r="AP96" s="20">
        <f t="shared" si="18"/>
        <v>192169.59999999998</v>
      </c>
      <c r="AQ96" s="7"/>
      <c r="AR96" s="20"/>
      <c r="AS96" s="51">
        <v>1080</v>
      </c>
    </row>
    <row r="97" spans="1:48" s="21" customFormat="1" ht="30" customHeight="1" x14ac:dyDescent="0.2">
      <c r="A97" s="8">
        <v>74</v>
      </c>
      <c r="B97" s="46">
        <v>1</v>
      </c>
      <c r="C97" s="16" t="s">
        <v>52</v>
      </c>
      <c r="D97" s="48">
        <v>18233</v>
      </c>
      <c r="E97" s="47">
        <v>33</v>
      </c>
      <c r="F97" s="48">
        <v>4155</v>
      </c>
      <c r="G97" s="49">
        <v>5</v>
      </c>
      <c r="H97" s="48">
        <v>0</v>
      </c>
      <c r="I97" s="48">
        <v>0</v>
      </c>
      <c r="J97" s="48">
        <v>38</v>
      </c>
      <c r="K97" s="3"/>
      <c r="L97" s="16"/>
      <c r="M97" s="57"/>
      <c r="N97" s="58">
        <v>38</v>
      </c>
      <c r="P97" s="16">
        <v>4</v>
      </c>
      <c r="Q97" s="20">
        <v>38</v>
      </c>
      <c r="R97" s="14">
        <v>1500</v>
      </c>
      <c r="S97" s="20">
        <f t="shared" si="14"/>
        <v>57000</v>
      </c>
      <c r="T97" s="16"/>
      <c r="U97" s="16"/>
      <c r="V97" s="16"/>
      <c r="W97" s="5"/>
      <c r="X97" s="16"/>
      <c r="Y97" s="5"/>
      <c r="Z97" s="16"/>
      <c r="AA97" s="16"/>
      <c r="AB97" s="16"/>
      <c r="AE97" s="16"/>
      <c r="AG97" s="22"/>
      <c r="AH97" s="6"/>
      <c r="AJ97" s="20">
        <f t="shared" si="19"/>
        <v>0</v>
      </c>
      <c r="AK97" s="50"/>
      <c r="AL97" s="6"/>
      <c r="AM97" s="20">
        <f t="shared" si="20"/>
        <v>0</v>
      </c>
      <c r="AN97" s="20">
        <f t="shared" si="21"/>
        <v>57000</v>
      </c>
      <c r="AP97" s="20">
        <f t="shared" si="18"/>
        <v>57000</v>
      </c>
      <c r="AQ97" s="7">
        <v>3.0000000000000001E-3</v>
      </c>
      <c r="AR97" s="20"/>
      <c r="AS97" s="51"/>
    </row>
    <row r="98" spans="1:48" s="21" customFormat="1" ht="30" customHeight="1" x14ac:dyDescent="0.2">
      <c r="A98" s="8">
        <v>75</v>
      </c>
      <c r="B98" s="46">
        <v>2</v>
      </c>
      <c r="C98" s="16" t="s">
        <v>52</v>
      </c>
      <c r="D98" s="48">
        <v>30078</v>
      </c>
      <c r="E98" s="47">
        <v>94</v>
      </c>
      <c r="F98" s="48">
        <v>5790</v>
      </c>
      <c r="G98" s="49">
        <v>5</v>
      </c>
      <c r="H98" s="48">
        <v>0</v>
      </c>
      <c r="I98" s="48">
        <v>0</v>
      </c>
      <c r="J98" s="48">
        <v>37</v>
      </c>
      <c r="K98" s="3"/>
      <c r="L98" s="16"/>
      <c r="M98" s="57"/>
      <c r="N98" s="58">
        <v>37</v>
      </c>
      <c r="P98" s="16">
        <v>4</v>
      </c>
      <c r="Q98" s="20">
        <v>37</v>
      </c>
      <c r="R98" s="14">
        <v>1500</v>
      </c>
      <c r="S98" s="19">
        <f t="shared" si="14"/>
        <v>55500</v>
      </c>
      <c r="T98" s="16"/>
      <c r="U98" s="17"/>
      <c r="V98" s="16"/>
      <c r="W98" s="5"/>
      <c r="X98" s="16"/>
      <c r="Y98" s="5"/>
      <c r="Z98" s="16"/>
      <c r="AA98" s="16"/>
      <c r="AB98" s="16"/>
      <c r="AE98" s="16"/>
      <c r="AG98" s="22"/>
      <c r="AH98" s="6"/>
      <c r="AJ98" s="20">
        <f t="shared" si="19"/>
        <v>0</v>
      </c>
      <c r="AK98" s="50"/>
      <c r="AL98" s="6"/>
      <c r="AM98" s="20">
        <f t="shared" si="20"/>
        <v>0</v>
      </c>
      <c r="AN98" s="20">
        <f t="shared" si="21"/>
        <v>55500</v>
      </c>
      <c r="AP98" s="20">
        <f t="shared" si="18"/>
        <v>55500</v>
      </c>
      <c r="AQ98" s="7">
        <v>3.0000000000000001E-3</v>
      </c>
      <c r="AR98" s="20"/>
      <c r="AS98" s="51"/>
    </row>
    <row r="99" spans="1:48" s="21" customFormat="1" ht="30" customHeight="1" x14ac:dyDescent="0.2">
      <c r="A99" s="8">
        <v>76</v>
      </c>
      <c r="B99" s="46">
        <v>1</v>
      </c>
      <c r="C99" s="16" t="s">
        <v>52</v>
      </c>
      <c r="D99" s="48">
        <v>11685</v>
      </c>
      <c r="E99" s="47">
        <v>104</v>
      </c>
      <c r="F99" s="48">
        <v>3187</v>
      </c>
      <c r="G99" s="49">
        <v>3</v>
      </c>
      <c r="H99" s="48">
        <v>0</v>
      </c>
      <c r="I99" s="48">
        <v>0</v>
      </c>
      <c r="J99" s="48">
        <v>88.04</v>
      </c>
      <c r="K99" s="3"/>
      <c r="L99" s="16">
        <v>88.04</v>
      </c>
      <c r="M99" s="57"/>
      <c r="N99" s="58"/>
      <c r="P99" s="16">
        <v>2</v>
      </c>
      <c r="Q99" s="20">
        <v>88.04</v>
      </c>
      <c r="R99" s="14">
        <v>2000</v>
      </c>
      <c r="S99" s="19">
        <f t="shared" si="14"/>
        <v>176080</v>
      </c>
      <c r="T99" s="16"/>
      <c r="U99" s="17"/>
      <c r="V99" s="17"/>
      <c r="W99" s="4"/>
      <c r="X99" s="16"/>
      <c r="Y99" s="5"/>
      <c r="Z99" s="16"/>
      <c r="AA99" s="16"/>
      <c r="AB99" s="16"/>
      <c r="AC99" s="14"/>
      <c r="AD99" s="14"/>
      <c r="AE99" s="16"/>
      <c r="AG99" s="22"/>
      <c r="AH99" s="6"/>
      <c r="AJ99" s="20">
        <f t="shared" si="19"/>
        <v>0</v>
      </c>
      <c r="AK99" s="50"/>
      <c r="AL99" s="6"/>
      <c r="AM99" s="20">
        <f t="shared" si="20"/>
        <v>0</v>
      </c>
      <c r="AN99" s="20">
        <f t="shared" si="21"/>
        <v>176080</v>
      </c>
      <c r="AO99" s="21">
        <v>50</v>
      </c>
      <c r="AP99" s="20">
        <f t="shared" si="18"/>
        <v>176080</v>
      </c>
      <c r="AQ99" s="7"/>
      <c r="AR99" s="20"/>
      <c r="AS99" s="51"/>
    </row>
    <row r="100" spans="1:48" s="21" customFormat="1" ht="30" customHeight="1" x14ac:dyDescent="0.2">
      <c r="A100" s="8">
        <v>77</v>
      </c>
      <c r="B100" s="46">
        <v>1</v>
      </c>
      <c r="C100" s="16" t="s">
        <v>52</v>
      </c>
      <c r="D100" s="48">
        <v>445</v>
      </c>
      <c r="E100" s="47">
        <v>504</v>
      </c>
      <c r="F100" s="48">
        <v>70</v>
      </c>
      <c r="G100" s="49">
        <v>2</v>
      </c>
      <c r="H100" s="48">
        <v>0</v>
      </c>
      <c r="I100" s="48">
        <v>0</v>
      </c>
      <c r="J100" s="48">
        <v>76.03</v>
      </c>
      <c r="K100" s="3"/>
      <c r="L100" s="16"/>
      <c r="M100" s="57">
        <v>76.03</v>
      </c>
      <c r="N100" s="58"/>
      <c r="P100" s="16">
        <v>3</v>
      </c>
      <c r="Q100" s="20">
        <v>76.03</v>
      </c>
      <c r="R100" s="14">
        <v>2000</v>
      </c>
      <c r="S100" s="20">
        <f t="shared" si="14"/>
        <v>152060</v>
      </c>
      <c r="T100" s="16"/>
      <c r="U100" s="17" t="s">
        <v>63</v>
      </c>
      <c r="V100" s="17" t="s">
        <v>56</v>
      </c>
      <c r="W100" s="4">
        <v>171</v>
      </c>
      <c r="X100" s="16"/>
      <c r="Y100" s="5"/>
      <c r="Z100" s="16"/>
      <c r="AA100" s="16"/>
      <c r="AB100" s="16">
        <v>35</v>
      </c>
      <c r="AE100" s="16"/>
      <c r="AF100" s="21">
        <v>3</v>
      </c>
      <c r="AG100" s="22">
        <f>9*19</f>
        <v>171</v>
      </c>
      <c r="AH100" s="6">
        <v>1</v>
      </c>
      <c r="AI100" s="21">
        <v>8100</v>
      </c>
      <c r="AJ100" s="20">
        <f t="shared" si="19"/>
        <v>1385100</v>
      </c>
      <c r="AK100" s="50">
        <v>35</v>
      </c>
      <c r="AL100" s="6">
        <v>0.6</v>
      </c>
      <c r="AM100" s="20">
        <f t="shared" si="20"/>
        <v>554040</v>
      </c>
      <c r="AN100" s="20">
        <f t="shared" si="21"/>
        <v>706100</v>
      </c>
      <c r="AP100" s="20">
        <f t="shared" si="18"/>
        <v>706100</v>
      </c>
      <c r="AQ100" s="7">
        <v>3.0000000000000001E-3</v>
      </c>
      <c r="AR100" s="20"/>
      <c r="AS100" s="51">
        <v>6000</v>
      </c>
    </row>
    <row r="101" spans="1:48" s="21" customFormat="1" ht="30" customHeight="1" x14ac:dyDescent="0.2">
      <c r="A101" s="8">
        <v>78</v>
      </c>
      <c r="B101" s="46">
        <v>2</v>
      </c>
      <c r="C101" s="16" t="s">
        <v>52</v>
      </c>
      <c r="D101" s="48">
        <v>2482</v>
      </c>
      <c r="E101" s="47">
        <v>32</v>
      </c>
      <c r="F101" s="48">
        <v>1486</v>
      </c>
      <c r="G101" s="49">
        <v>2</v>
      </c>
      <c r="H101" s="48">
        <v>2</v>
      </c>
      <c r="I101" s="48">
        <v>3</v>
      </c>
      <c r="J101" s="48">
        <v>25</v>
      </c>
      <c r="K101" s="3">
        <f>800+300+25</f>
        <v>1125</v>
      </c>
      <c r="L101" s="16"/>
      <c r="M101" s="57"/>
      <c r="N101" s="58"/>
      <c r="P101" s="16">
        <v>1</v>
      </c>
      <c r="Q101" s="20">
        <v>1125</v>
      </c>
      <c r="R101" s="14">
        <v>160</v>
      </c>
      <c r="S101" s="19">
        <f t="shared" si="14"/>
        <v>180000</v>
      </c>
      <c r="T101" s="16"/>
      <c r="U101" s="17"/>
      <c r="V101" s="17"/>
      <c r="W101" s="4"/>
      <c r="X101" s="16"/>
      <c r="Y101" s="5"/>
      <c r="Z101" s="16"/>
      <c r="AA101" s="16"/>
      <c r="AB101" s="16"/>
      <c r="AC101" s="14"/>
      <c r="AD101" s="14"/>
      <c r="AE101" s="16"/>
      <c r="AG101" s="22"/>
      <c r="AH101" s="6"/>
      <c r="AJ101" s="20">
        <f t="shared" si="19"/>
        <v>0</v>
      </c>
      <c r="AK101" s="50"/>
      <c r="AL101" s="6"/>
      <c r="AM101" s="20">
        <f t="shared" si="20"/>
        <v>0</v>
      </c>
      <c r="AN101" s="20">
        <f t="shared" si="21"/>
        <v>180000</v>
      </c>
      <c r="AP101" s="20">
        <f t="shared" si="18"/>
        <v>180000</v>
      </c>
      <c r="AQ101" s="7"/>
      <c r="AR101" s="20">
        <v>6000</v>
      </c>
      <c r="AS101" s="51"/>
    </row>
    <row r="102" spans="1:48" s="21" customFormat="1" ht="30" customHeight="1" x14ac:dyDescent="0.2">
      <c r="A102" s="8">
        <v>79</v>
      </c>
      <c r="B102" s="46">
        <v>3</v>
      </c>
      <c r="C102" s="16" t="s">
        <v>52</v>
      </c>
      <c r="D102" s="48">
        <v>2955</v>
      </c>
      <c r="E102" s="47">
        <v>140</v>
      </c>
      <c r="F102" s="48">
        <v>2019</v>
      </c>
      <c r="G102" s="49">
        <v>2</v>
      </c>
      <c r="H102" s="48">
        <v>1</v>
      </c>
      <c r="I102" s="48">
        <v>2</v>
      </c>
      <c r="J102" s="48">
        <v>59</v>
      </c>
      <c r="K102" s="3">
        <f>400+200+59</f>
        <v>659</v>
      </c>
      <c r="L102" s="16"/>
      <c r="M102" s="57"/>
      <c r="N102" s="58"/>
      <c r="P102" s="16">
        <v>1</v>
      </c>
      <c r="Q102" s="20">
        <v>659</v>
      </c>
      <c r="R102" s="14">
        <v>160</v>
      </c>
      <c r="S102" s="19">
        <f t="shared" si="14"/>
        <v>105440</v>
      </c>
      <c r="T102" s="16"/>
      <c r="U102" s="17"/>
      <c r="V102" s="17"/>
      <c r="W102" s="4"/>
      <c r="X102" s="16"/>
      <c r="Y102" s="5"/>
      <c r="Z102" s="16"/>
      <c r="AA102" s="16"/>
      <c r="AB102" s="16"/>
      <c r="AC102" s="14"/>
      <c r="AD102" s="14"/>
      <c r="AE102" s="16"/>
      <c r="AG102" s="22"/>
      <c r="AH102" s="6"/>
      <c r="AJ102" s="20">
        <f t="shared" si="19"/>
        <v>0</v>
      </c>
      <c r="AK102" s="50"/>
      <c r="AL102" s="6"/>
      <c r="AM102" s="20">
        <f t="shared" si="20"/>
        <v>0</v>
      </c>
      <c r="AN102" s="20">
        <f t="shared" si="21"/>
        <v>105440</v>
      </c>
      <c r="AP102" s="20">
        <f t="shared" si="18"/>
        <v>105440</v>
      </c>
      <c r="AQ102" s="7"/>
      <c r="AR102" s="20"/>
      <c r="AS102" s="62">
        <f>2118.3+10.8</f>
        <v>2129.1000000000004</v>
      </c>
    </row>
    <row r="103" spans="1:48" s="21" customFormat="1" ht="30" customHeight="1" x14ac:dyDescent="0.2">
      <c r="A103" s="8">
        <v>80</v>
      </c>
      <c r="B103" s="46">
        <v>4</v>
      </c>
      <c r="C103" s="16" t="s">
        <v>52</v>
      </c>
      <c r="D103" s="48">
        <v>3161</v>
      </c>
      <c r="E103" s="47">
        <v>138</v>
      </c>
      <c r="F103" s="48">
        <v>2015</v>
      </c>
      <c r="G103" s="49">
        <v>2</v>
      </c>
      <c r="H103" s="48">
        <v>1</v>
      </c>
      <c r="I103" s="48">
        <v>2</v>
      </c>
      <c r="J103" s="48">
        <v>7</v>
      </c>
      <c r="K103" s="3">
        <v>607</v>
      </c>
      <c r="L103" s="16"/>
      <c r="M103" s="57"/>
      <c r="N103" s="58"/>
      <c r="P103" s="16">
        <v>1</v>
      </c>
      <c r="Q103" s="20">
        <v>607</v>
      </c>
      <c r="R103" s="14">
        <v>4500</v>
      </c>
      <c r="S103" s="20">
        <f t="shared" si="14"/>
        <v>2731500</v>
      </c>
      <c r="T103" s="16"/>
      <c r="U103" s="17"/>
      <c r="V103" s="17"/>
      <c r="W103" s="4"/>
      <c r="X103" s="16"/>
      <c r="Y103" s="5"/>
      <c r="Z103" s="16"/>
      <c r="AA103" s="16"/>
      <c r="AB103" s="16"/>
      <c r="AC103" s="14"/>
      <c r="AD103" s="14"/>
      <c r="AE103" s="16"/>
      <c r="AG103" s="22"/>
      <c r="AH103" s="6"/>
      <c r="AJ103" s="20">
        <f t="shared" si="19"/>
        <v>0</v>
      </c>
      <c r="AK103" s="50"/>
      <c r="AL103" s="6"/>
      <c r="AM103" s="20">
        <f t="shared" si="20"/>
        <v>0</v>
      </c>
      <c r="AN103" s="20">
        <f t="shared" si="21"/>
        <v>2731500</v>
      </c>
      <c r="AP103" s="20">
        <f t="shared" si="18"/>
        <v>2731500</v>
      </c>
      <c r="AQ103" s="7"/>
      <c r="AR103" s="20"/>
      <c r="AS103" s="51"/>
    </row>
    <row r="104" spans="1:48" ht="30" customHeight="1" x14ac:dyDescent="0.2">
      <c r="A104" s="8">
        <v>81</v>
      </c>
      <c r="B104" s="13">
        <v>5</v>
      </c>
      <c r="C104" s="16" t="s">
        <v>65</v>
      </c>
      <c r="D104" s="17">
        <v>1248</v>
      </c>
      <c r="E104" s="17">
        <v>103</v>
      </c>
      <c r="H104" s="17">
        <v>1</v>
      </c>
      <c r="I104" s="17">
        <v>1</v>
      </c>
      <c r="J104" s="17">
        <v>40</v>
      </c>
      <c r="K104" s="10">
        <v>540</v>
      </c>
      <c r="P104" s="17">
        <v>1</v>
      </c>
      <c r="Q104" s="19">
        <v>540</v>
      </c>
      <c r="R104" s="14">
        <v>200</v>
      </c>
      <c r="S104" s="19">
        <f t="shared" si="14"/>
        <v>108000</v>
      </c>
      <c r="AC104" s="21"/>
      <c r="AD104" s="21"/>
      <c r="AJ104" s="20">
        <f t="shared" si="19"/>
        <v>0</v>
      </c>
      <c r="AM104" s="20">
        <f t="shared" si="20"/>
        <v>0</v>
      </c>
      <c r="AN104" s="20">
        <f t="shared" si="21"/>
        <v>108000</v>
      </c>
      <c r="AP104" s="20">
        <f t="shared" si="18"/>
        <v>108000</v>
      </c>
      <c r="AQ104" s="12">
        <v>1E-4</v>
      </c>
      <c r="AR104" s="20"/>
    </row>
    <row r="105" spans="1:48" s="17" customFormat="1" ht="30" customHeight="1" x14ac:dyDescent="0.2">
      <c r="A105" s="2">
        <v>82</v>
      </c>
      <c r="B105" s="46">
        <v>1</v>
      </c>
      <c r="C105" s="16" t="s">
        <v>52</v>
      </c>
      <c r="D105" s="48">
        <v>30131</v>
      </c>
      <c r="E105" s="47">
        <v>528</v>
      </c>
      <c r="F105" s="48">
        <v>5792</v>
      </c>
      <c r="G105" s="49">
        <v>2</v>
      </c>
      <c r="H105" s="48">
        <v>0</v>
      </c>
      <c r="I105" s="48">
        <v>0</v>
      </c>
      <c r="J105" s="48">
        <v>23.03</v>
      </c>
      <c r="K105" s="28"/>
      <c r="L105" s="17">
        <v>23.03</v>
      </c>
      <c r="M105" s="63"/>
      <c r="N105" s="18">
        <v>23.03</v>
      </c>
      <c r="O105" s="14"/>
      <c r="P105" s="21"/>
      <c r="Q105" s="19">
        <f>+(H105*400)+(I105*100)+J105</f>
        <v>23.03</v>
      </c>
      <c r="R105" s="14">
        <v>160</v>
      </c>
      <c r="S105" s="19">
        <f t="shared" si="14"/>
        <v>3684.8</v>
      </c>
      <c r="U105" s="17" t="s">
        <v>63</v>
      </c>
      <c r="V105" s="17" t="s">
        <v>56</v>
      </c>
      <c r="W105" s="64">
        <v>216</v>
      </c>
      <c r="X105" s="63"/>
      <c r="Y105" s="28" t="s">
        <v>77</v>
      </c>
      <c r="Z105" s="63"/>
      <c r="AA105" s="65"/>
      <c r="AB105" s="63" t="s">
        <v>78</v>
      </c>
      <c r="AC105" s="21"/>
      <c r="AD105" s="29"/>
      <c r="AE105" s="29"/>
      <c r="AF105" s="14">
        <v>2</v>
      </c>
      <c r="AG105" s="14">
        <v>216</v>
      </c>
      <c r="AH105" s="11">
        <v>1</v>
      </c>
      <c r="AI105" s="14">
        <v>8100</v>
      </c>
      <c r="AJ105" s="20">
        <f>+AG105*AH105*AI105</f>
        <v>1749600</v>
      </c>
      <c r="AK105" s="66" t="str">
        <f>AB105</f>
        <v>7</v>
      </c>
      <c r="AL105" s="11">
        <v>7.0000000000000007E-2</v>
      </c>
      <c r="AM105" s="20">
        <f t="shared" si="20"/>
        <v>1627128</v>
      </c>
      <c r="AN105" s="20">
        <f t="shared" si="21"/>
        <v>1630812.8</v>
      </c>
      <c r="AO105" s="21"/>
      <c r="AP105" s="20">
        <f>AN105</f>
        <v>1630812.8</v>
      </c>
      <c r="AQ105" s="7">
        <v>2.0000000000000001E-4</v>
      </c>
      <c r="AR105" s="20">
        <v>2025</v>
      </c>
      <c r="AS105" s="51"/>
      <c r="AT105" s="21"/>
      <c r="AU105" s="21"/>
      <c r="AV105" s="21"/>
    </row>
    <row r="106" spans="1:48" s="17" customFormat="1" ht="30" customHeight="1" x14ac:dyDescent="0.2">
      <c r="A106" s="2">
        <v>83</v>
      </c>
      <c r="B106" s="46">
        <v>2</v>
      </c>
      <c r="C106" s="16" t="s">
        <v>52</v>
      </c>
      <c r="D106" s="48">
        <v>2486</v>
      </c>
      <c r="E106" s="47">
        <v>39</v>
      </c>
      <c r="F106" s="48">
        <v>1490</v>
      </c>
      <c r="G106" s="49">
        <v>2</v>
      </c>
      <c r="H106" s="48">
        <v>0</v>
      </c>
      <c r="I106" s="48">
        <v>2</v>
      </c>
      <c r="J106" s="48">
        <v>40</v>
      </c>
      <c r="K106" s="28"/>
      <c r="L106" s="17">
        <v>226.5</v>
      </c>
      <c r="M106" s="63">
        <v>13.5</v>
      </c>
      <c r="N106" s="18"/>
      <c r="O106" s="14"/>
      <c r="P106" s="21">
        <v>5</v>
      </c>
      <c r="Q106" s="19">
        <f>+(H106*400)+(I106*100)+J106</f>
        <v>240</v>
      </c>
      <c r="R106" s="14">
        <v>4500</v>
      </c>
      <c r="S106" s="19">
        <f t="shared" si="14"/>
        <v>1080000</v>
      </c>
      <c r="W106" s="4"/>
      <c r="Y106" s="67"/>
      <c r="AC106" s="21"/>
      <c r="AE106" s="14" t="s">
        <v>76</v>
      </c>
      <c r="AF106" s="21"/>
      <c r="AG106" s="22"/>
      <c r="AH106" s="21"/>
      <c r="AI106" s="21"/>
      <c r="AJ106" s="20">
        <f t="shared" si="19"/>
        <v>0</v>
      </c>
      <c r="AK106" s="50">
        <f>AB106</f>
        <v>0</v>
      </c>
      <c r="AL106" s="6"/>
      <c r="AM106" s="20">
        <f t="shared" si="20"/>
        <v>0</v>
      </c>
      <c r="AN106" s="20">
        <f t="shared" si="21"/>
        <v>1080000</v>
      </c>
      <c r="AO106" s="21"/>
      <c r="AP106" s="20">
        <f t="shared" si="18"/>
        <v>1080000</v>
      </c>
      <c r="AQ106" s="7"/>
      <c r="AR106" s="20"/>
      <c r="AS106" s="51">
        <v>2025</v>
      </c>
      <c r="AT106" s="21"/>
      <c r="AU106" s="21"/>
      <c r="AV106" s="21"/>
    </row>
    <row r="107" spans="1:48" s="17" customFormat="1" ht="30" customHeight="1" x14ac:dyDescent="0.2">
      <c r="A107" s="2"/>
      <c r="B107" s="46"/>
      <c r="C107" s="16"/>
      <c r="D107" s="48"/>
      <c r="E107" s="47"/>
      <c r="F107" s="48"/>
      <c r="G107" s="49"/>
      <c r="H107" s="48"/>
      <c r="I107" s="48"/>
      <c r="J107" s="48"/>
      <c r="K107" s="28"/>
      <c r="M107" s="63"/>
      <c r="N107" s="18"/>
      <c r="O107" s="14"/>
      <c r="P107" s="21"/>
      <c r="Q107" s="19"/>
      <c r="R107" s="14" t="e">
        <v>#N/A</v>
      </c>
      <c r="S107" s="19"/>
      <c r="T107" s="17">
        <v>1</v>
      </c>
      <c r="U107" s="17" t="s">
        <v>57</v>
      </c>
      <c r="V107" s="17" t="s">
        <v>56</v>
      </c>
      <c r="W107" s="4">
        <v>300</v>
      </c>
      <c r="Y107" s="67" t="s">
        <v>79</v>
      </c>
      <c r="Z107" s="17">
        <v>75</v>
      </c>
      <c r="AB107" s="17">
        <v>27</v>
      </c>
      <c r="AC107" s="21"/>
      <c r="AE107" s="14"/>
      <c r="AF107" s="21">
        <v>2</v>
      </c>
      <c r="AG107" s="22">
        <v>300</v>
      </c>
      <c r="AH107" s="68">
        <v>0.75</v>
      </c>
      <c r="AI107" s="21">
        <v>8100</v>
      </c>
      <c r="AJ107" s="20">
        <f t="shared" si="19"/>
        <v>1822500</v>
      </c>
      <c r="AK107" s="50">
        <f>AB107</f>
        <v>27</v>
      </c>
      <c r="AL107" s="6">
        <v>0.44</v>
      </c>
      <c r="AM107" s="20">
        <f t="shared" si="20"/>
        <v>1020600</v>
      </c>
      <c r="AN107" s="20">
        <f>+AM107+(S106*AH107)</f>
        <v>1830600</v>
      </c>
      <c r="AO107" s="21"/>
      <c r="AP107" s="20">
        <f t="shared" si="18"/>
        <v>1830600</v>
      </c>
      <c r="AQ107" s="7"/>
      <c r="AR107" s="20"/>
      <c r="AS107" s="51"/>
      <c r="AT107" s="21"/>
      <c r="AU107" s="21"/>
      <c r="AV107" s="21"/>
    </row>
    <row r="108" spans="1:48" s="17" customFormat="1" ht="30" customHeight="1" x14ac:dyDescent="0.2">
      <c r="A108" s="2"/>
      <c r="B108" s="46"/>
      <c r="C108" s="16"/>
      <c r="D108" s="48"/>
      <c r="E108" s="47"/>
      <c r="F108" s="48"/>
      <c r="G108" s="49"/>
      <c r="H108" s="48"/>
      <c r="I108" s="48"/>
      <c r="J108" s="48"/>
      <c r="K108" s="28"/>
      <c r="M108" s="63"/>
      <c r="N108" s="18"/>
      <c r="O108" s="14"/>
      <c r="P108" s="21"/>
      <c r="Q108" s="19"/>
      <c r="R108" s="14" t="e">
        <v>#N/A</v>
      </c>
      <c r="S108" s="19"/>
      <c r="W108" s="4"/>
      <c r="Y108" s="67"/>
      <c r="AC108" s="21"/>
      <c r="AE108" s="14"/>
      <c r="AF108" s="21">
        <v>3</v>
      </c>
      <c r="AG108" s="22">
        <v>300</v>
      </c>
      <c r="AH108" s="68">
        <v>0.25</v>
      </c>
      <c r="AI108" s="21">
        <v>8100</v>
      </c>
      <c r="AJ108" s="20">
        <f t="shared" si="19"/>
        <v>607500</v>
      </c>
      <c r="AK108" s="50">
        <f>AB108</f>
        <v>0</v>
      </c>
      <c r="AL108" s="6">
        <v>0.44</v>
      </c>
      <c r="AM108" s="20">
        <f t="shared" si="20"/>
        <v>340200</v>
      </c>
      <c r="AN108" s="20">
        <f>AM108+(S106*AH108)</f>
        <v>610200</v>
      </c>
      <c r="AO108" s="21"/>
      <c r="AP108" s="20">
        <f t="shared" si="18"/>
        <v>610200</v>
      </c>
      <c r="AQ108" s="7">
        <v>3.0000000000000001E-3</v>
      </c>
      <c r="AR108" s="20"/>
      <c r="AS108" s="51"/>
      <c r="AT108" s="21"/>
      <c r="AU108" s="21"/>
      <c r="AV108" s="21"/>
    </row>
    <row r="109" spans="1:48" s="21" customFormat="1" ht="30" customHeight="1" x14ac:dyDescent="0.2">
      <c r="A109" s="8">
        <v>84</v>
      </c>
      <c r="B109" s="46">
        <v>1</v>
      </c>
      <c r="C109" s="16" t="s">
        <v>52</v>
      </c>
      <c r="D109" s="48">
        <v>21253</v>
      </c>
      <c r="E109" s="47">
        <v>135</v>
      </c>
      <c r="F109" s="48">
        <v>4679</v>
      </c>
      <c r="G109" s="49">
        <v>5</v>
      </c>
      <c r="H109" s="48">
        <v>0</v>
      </c>
      <c r="I109" s="48">
        <v>2</v>
      </c>
      <c r="J109" s="48">
        <v>88</v>
      </c>
      <c r="K109" s="3">
        <v>288</v>
      </c>
      <c r="L109" s="16"/>
      <c r="M109" s="57"/>
      <c r="N109" s="58"/>
      <c r="P109" s="16">
        <v>1</v>
      </c>
      <c r="Q109" s="20">
        <v>288</v>
      </c>
      <c r="R109" s="14">
        <v>1100</v>
      </c>
      <c r="S109" s="19">
        <f t="shared" ref="S109:S118" si="22">+Q109*R109</f>
        <v>316800</v>
      </c>
      <c r="T109" s="16"/>
      <c r="U109" s="16"/>
      <c r="V109" s="16"/>
      <c r="W109" s="5"/>
      <c r="X109" s="16"/>
      <c r="Y109" s="5"/>
      <c r="Z109" s="16"/>
      <c r="AA109" s="16"/>
      <c r="AB109" s="16"/>
      <c r="AC109" s="14"/>
      <c r="AD109" s="14"/>
      <c r="AE109" s="16"/>
      <c r="AG109" s="22"/>
      <c r="AH109" s="6"/>
      <c r="AJ109" s="20">
        <f t="shared" si="19"/>
        <v>0</v>
      </c>
      <c r="AK109" s="50"/>
      <c r="AL109" s="6"/>
      <c r="AM109" s="20">
        <f t="shared" si="20"/>
        <v>0</v>
      </c>
      <c r="AN109" s="20">
        <f t="shared" ref="AN109:AN117" si="23">+S109+AM109</f>
        <v>316800</v>
      </c>
      <c r="AP109" s="20">
        <f t="shared" si="18"/>
        <v>316800</v>
      </c>
      <c r="AQ109" s="7"/>
      <c r="AR109" s="20"/>
      <c r="AS109" s="51"/>
    </row>
    <row r="110" spans="1:48" s="21" customFormat="1" ht="30" customHeight="1" x14ac:dyDescent="0.2">
      <c r="A110" s="8">
        <v>85</v>
      </c>
      <c r="B110" s="46">
        <v>1</v>
      </c>
      <c r="C110" s="16" t="s">
        <v>52</v>
      </c>
      <c r="D110" s="48">
        <v>35667</v>
      </c>
      <c r="E110" s="47">
        <v>141</v>
      </c>
      <c r="F110" s="48">
        <v>7070</v>
      </c>
      <c r="G110" s="49">
        <v>5</v>
      </c>
      <c r="H110" s="48">
        <v>0</v>
      </c>
      <c r="I110" s="48">
        <v>0</v>
      </c>
      <c r="J110" s="48">
        <v>76</v>
      </c>
      <c r="K110" s="3"/>
      <c r="L110" s="16"/>
      <c r="M110" s="57"/>
      <c r="N110" s="58">
        <v>76</v>
      </c>
      <c r="P110" s="16">
        <v>4</v>
      </c>
      <c r="Q110" s="20">
        <v>76</v>
      </c>
      <c r="R110" s="14">
        <v>160</v>
      </c>
      <c r="S110" s="20">
        <f t="shared" si="22"/>
        <v>12160</v>
      </c>
      <c r="T110" s="16"/>
      <c r="U110" s="17"/>
      <c r="V110" s="16"/>
      <c r="W110" s="5"/>
      <c r="X110" s="16"/>
      <c r="Y110" s="5"/>
      <c r="Z110" s="16"/>
      <c r="AA110" s="16"/>
      <c r="AB110" s="16"/>
      <c r="AC110" s="14"/>
      <c r="AD110" s="14"/>
      <c r="AE110" s="16"/>
      <c r="AG110" s="22"/>
      <c r="AH110" s="6"/>
      <c r="AJ110" s="20">
        <f t="shared" si="19"/>
        <v>0</v>
      </c>
      <c r="AK110" s="50"/>
      <c r="AL110" s="6"/>
      <c r="AM110" s="20">
        <f t="shared" si="20"/>
        <v>0</v>
      </c>
      <c r="AN110" s="20">
        <f t="shared" si="23"/>
        <v>12160</v>
      </c>
      <c r="AP110" s="20">
        <f t="shared" si="18"/>
        <v>12160</v>
      </c>
      <c r="AQ110" s="7">
        <v>3.0000000000000001E-3</v>
      </c>
      <c r="AR110" s="20"/>
      <c r="AS110" s="51"/>
    </row>
    <row r="111" spans="1:48" s="21" customFormat="1" ht="30" customHeight="1" x14ac:dyDescent="0.2">
      <c r="A111" s="8">
        <v>86</v>
      </c>
      <c r="B111" s="46">
        <v>1</v>
      </c>
      <c r="C111" s="16" t="s">
        <v>52</v>
      </c>
      <c r="D111" s="48">
        <v>15181</v>
      </c>
      <c r="E111" s="47">
        <v>62</v>
      </c>
      <c r="F111" s="48">
        <v>3401</v>
      </c>
      <c r="G111" s="49">
        <v>1</v>
      </c>
      <c r="H111" s="48">
        <v>0</v>
      </c>
      <c r="I111" s="48">
        <v>0</v>
      </c>
      <c r="J111" s="48">
        <v>77</v>
      </c>
      <c r="K111" s="3"/>
      <c r="L111" s="16"/>
      <c r="M111" s="57"/>
      <c r="N111" s="58">
        <v>77</v>
      </c>
      <c r="P111" s="16">
        <v>4</v>
      </c>
      <c r="Q111" s="20">
        <v>77</v>
      </c>
      <c r="R111" s="14">
        <v>250</v>
      </c>
      <c r="S111" s="19">
        <f t="shared" si="22"/>
        <v>19250</v>
      </c>
      <c r="T111" s="16"/>
      <c r="U111" s="17"/>
      <c r="V111" s="17"/>
      <c r="W111" s="4"/>
      <c r="X111" s="16"/>
      <c r="Y111" s="5"/>
      <c r="Z111" s="16"/>
      <c r="AA111" s="16"/>
      <c r="AB111" s="16"/>
      <c r="AE111" s="16"/>
      <c r="AG111" s="22"/>
      <c r="AH111" s="6"/>
      <c r="AJ111" s="20">
        <f t="shared" si="19"/>
        <v>0</v>
      </c>
      <c r="AK111" s="50"/>
      <c r="AL111" s="6"/>
      <c r="AM111" s="20">
        <f t="shared" si="20"/>
        <v>0</v>
      </c>
      <c r="AN111" s="20">
        <f t="shared" si="23"/>
        <v>19250</v>
      </c>
      <c r="AP111" s="20">
        <f t="shared" si="18"/>
        <v>19250</v>
      </c>
      <c r="AQ111" s="7">
        <v>3.0000000000000001E-3</v>
      </c>
      <c r="AR111" s="20"/>
      <c r="AS111" s="51"/>
    </row>
    <row r="112" spans="1:48" s="21" customFormat="1" ht="30" customHeight="1" x14ac:dyDescent="0.2">
      <c r="A112" s="8">
        <v>87</v>
      </c>
      <c r="B112" s="46">
        <v>1</v>
      </c>
      <c r="C112" s="16" t="s">
        <v>52</v>
      </c>
      <c r="D112" s="48">
        <v>5019</v>
      </c>
      <c r="E112" s="47">
        <v>7</v>
      </c>
      <c r="F112" s="48">
        <v>2760</v>
      </c>
      <c r="G112" s="49">
        <v>7</v>
      </c>
      <c r="H112" s="48">
        <v>5</v>
      </c>
      <c r="I112" s="48">
        <v>2</v>
      </c>
      <c r="J112" s="48">
        <v>28</v>
      </c>
      <c r="K112" s="3">
        <f>2000+200+28</f>
        <v>2228</v>
      </c>
      <c r="L112" s="16"/>
      <c r="M112" s="57"/>
      <c r="N112" s="58"/>
      <c r="P112" s="16">
        <v>1</v>
      </c>
      <c r="Q112" s="20">
        <v>2228</v>
      </c>
      <c r="R112" s="14">
        <v>160</v>
      </c>
      <c r="S112" s="19">
        <f t="shared" si="22"/>
        <v>356480</v>
      </c>
      <c r="T112" s="16"/>
      <c r="U112" s="17"/>
      <c r="V112" s="17"/>
      <c r="W112" s="4"/>
      <c r="X112" s="16"/>
      <c r="Y112" s="5"/>
      <c r="Z112" s="16"/>
      <c r="AA112" s="16"/>
      <c r="AB112" s="16"/>
      <c r="AE112" s="16"/>
      <c r="AG112" s="22"/>
      <c r="AH112" s="6"/>
      <c r="AJ112" s="20">
        <f t="shared" si="19"/>
        <v>0</v>
      </c>
      <c r="AK112" s="50"/>
      <c r="AL112" s="6"/>
      <c r="AM112" s="20">
        <f t="shared" si="20"/>
        <v>0</v>
      </c>
      <c r="AN112" s="20">
        <f t="shared" si="23"/>
        <v>356480</v>
      </c>
      <c r="AP112" s="20">
        <f t="shared" si="18"/>
        <v>356480</v>
      </c>
      <c r="AQ112" s="7"/>
      <c r="AR112" s="20"/>
      <c r="AS112" s="51"/>
    </row>
    <row r="113" spans="1:45" s="21" customFormat="1" ht="30" customHeight="1" x14ac:dyDescent="0.2">
      <c r="A113" s="8">
        <v>88</v>
      </c>
      <c r="B113" s="46">
        <v>1</v>
      </c>
      <c r="C113" s="16" t="s">
        <v>52</v>
      </c>
      <c r="D113" s="48">
        <v>17719</v>
      </c>
      <c r="E113" s="47">
        <v>56</v>
      </c>
      <c r="F113" s="48">
        <v>3847</v>
      </c>
      <c r="G113" s="49">
        <v>3</v>
      </c>
      <c r="H113" s="48">
        <v>0</v>
      </c>
      <c r="I113" s="48">
        <v>1</v>
      </c>
      <c r="J113" s="48">
        <v>60</v>
      </c>
      <c r="K113" s="3">
        <v>160</v>
      </c>
      <c r="L113" s="16"/>
      <c r="M113" s="57"/>
      <c r="N113" s="58"/>
      <c r="P113" s="16">
        <v>1</v>
      </c>
      <c r="Q113" s="20">
        <v>160</v>
      </c>
      <c r="R113" s="14">
        <v>2000</v>
      </c>
      <c r="S113" s="20">
        <f t="shared" si="22"/>
        <v>320000</v>
      </c>
      <c r="T113" s="16"/>
      <c r="U113" s="17"/>
      <c r="V113" s="17"/>
      <c r="W113" s="4"/>
      <c r="X113" s="16"/>
      <c r="Y113" s="5"/>
      <c r="Z113" s="16"/>
      <c r="AA113" s="16"/>
      <c r="AB113" s="16"/>
      <c r="AE113" s="16"/>
      <c r="AG113" s="22"/>
      <c r="AH113" s="6"/>
      <c r="AJ113" s="20">
        <f t="shared" si="19"/>
        <v>0</v>
      </c>
      <c r="AK113" s="50"/>
      <c r="AL113" s="6"/>
      <c r="AM113" s="20">
        <f t="shared" si="20"/>
        <v>0</v>
      </c>
      <c r="AN113" s="20">
        <f t="shared" si="23"/>
        <v>320000</v>
      </c>
      <c r="AP113" s="20">
        <f t="shared" si="18"/>
        <v>320000</v>
      </c>
      <c r="AQ113" s="7"/>
      <c r="AR113" s="20"/>
      <c r="AS113" s="51"/>
    </row>
    <row r="114" spans="1:45" ht="30" customHeight="1" x14ac:dyDescent="0.2">
      <c r="A114" s="8">
        <v>89</v>
      </c>
      <c r="B114" s="13">
        <v>2</v>
      </c>
      <c r="C114" s="16" t="s">
        <v>69</v>
      </c>
      <c r="E114" s="17" t="s">
        <v>80</v>
      </c>
      <c r="F114" s="17">
        <v>3</v>
      </c>
      <c r="G114" s="13">
        <v>5</v>
      </c>
      <c r="H114" s="17">
        <v>12</v>
      </c>
      <c r="I114" s="17">
        <v>2</v>
      </c>
      <c r="J114" s="17">
        <v>75</v>
      </c>
      <c r="K114" s="10">
        <v>5075</v>
      </c>
      <c r="P114" s="17">
        <v>1</v>
      </c>
      <c r="Q114" s="19">
        <v>5075</v>
      </c>
      <c r="R114" s="14">
        <v>160</v>
      </c>
      <c r="S114" s="19">
        <f t="shared" si="22"/>
        <v>812000</v>
      </c>
      <c r="AJ114" s="20">
        <f t="shared" si="19"/>
        <v>0</v>
      </c>
      <c r="AM114" s="20">
        <f t="shared" si="20"/>
        <v>0</v>
      </c>
      <c r="AN114" s="20">
        <f t="shared" si="23"/>
        <v>812000</v>
      </c>
      <c r="AP114" s="20">
        <f t="shared" si="18"/>
        <v>812000</v>
      </c>
      <c r="AQ114" s="12">
        <v>1E-4</v>
      </c>
      <c r="AR114" s="20"/>
    </row>
    <row r="115" spans="1:45" s="21" customFormat="1" ht="30" customHeight="1" x14ac:dyDescent="0.2">
      <c r="A115" s="8">
        <v>90</v>
      </c>
      <c r="B115" s="46">
        <v>1</v>
      </c>
      <c r="C115" s="16" t="s">
        <v>52</v>
      </c>
      <c r="D115" s="48">
        <v>11670</v>
      </c>
      <c r="E115" s="47">
        <v>77</v>
      </c>
      <c r="F115" s="48">
        <v>3184</v>
      </c>
      <c r="G115" s="49">
        <v>4</v>
      </c>
      <c r="H115" s="48">
        <v>0</v>
      </c>
      <c r="I115" s="48">
        <v>0</v>
      </c>
      <c r="J115" s="48">
        <v>43.04</v>
      </c>
      <c r="K115" s="3"/>
      <c r="L115" s="16"/>
      <c r="M115" s="57"/>
      <c r="N115" s="58">
        <v>43.04</v>
      </c>
      <c r="P115" s="16">
        <v>4</v>
      </c>
      <c r="Q115" s="20">
        <v>43.04</v>
      </c>
      <c r="R115" s="14">
        <v>250</v>
      </c>
      <c r="S115" s="19">
        <f t="shared" si="22"/>
        <v>10760</v>
      </c>
      <c r="T115" s="16"/>
      <c r="U115" s="17"/>
      <c r="V115" s="17"/>
      <c r="W115" s="4"/>
      <c r="X115" s="16"/>
      <c r="Y115" s="5"/>
      <c r="Z115" s="16"/>
      <c r="AA115" s="16"/>
      <c r="AB115" s="16"/>
      <c r="AE115" s="16"/>
      <c r="AG115" s="22"/>
      <c r="AH115" s="6"/>
      <c r="AJ115" s="20">
        <f t="shared" si="19"/>
        <v>0</v>
      </c>
      <c r="AK115" s="50"/>
      <c r="AL115" s="6"/>
      <c r="AM115" s="20">
        <f t="shared" si="20"/>
        <v>0</v>
      </c>
      <c r="AN115" s="20">
        <f t="shared" si="23"/>
        <v>10760</v>
      </c>
      <c r="AP115" s="20">
        <f t="shared" si="18"/>
        <v>10760</v>
      </c>
      <c r="AQ115" s="7">
        <v>3.0000000000000001E-3</v>
      </c>
      <c r="AR115" s="20"/>
      <c r="AS115" s="51"/>
    </row>
    <row r="116" spans="1:45" s="21" customFormat="1" ht="30" customHeight="1" x14ac:dyDescent="0.2">
      <c r="A116" s="8">
        <v>91</v>
      </c>
      <c r="B116" s="46">
        <v>1</v>
      </c>
      <c r="C116" s="16" t="s">
        <v>52</v>
      </c>
      <c r="D116" s="48">
        <v>4865</v>
      </c>
      <c r="E116" s="47">
        <v>13</v>
      </c>
      <c r="F116" s="48">
        <v>2555</v>
      </c>
      <c r="G116" s="49">
        <v>7</v>
      </c>
      <c r="H116" s="48">
        <v>0</v>
      </c>
      <c r="I116" s="48">
        <v>2</v>
      </c>
      <c r="J116" s="48">
        <v>85</v>
      </c>
      <c r="K116" s="3">
        <v>285</v>
      </c>
      <c r="L116" s="16"/>
      <c r="M116" s="57"/>
      <c r="N116" s="58"/>
      <c r="P116" s="16">
        <v>1</v>
      </c>
      <c r="Q116" s="20">
        <v>285</v>
      </c>
      <c r="R116" s="14">
        <v>750</v>
      </c>
      <c r="S116" s="20">
        <f t="shared" si="22"/>
        <v>213750</v>
      </c>
      <c r="T116" s="16"/>
      <c r="U116" s="17"/>
      <c r="V116" s="17"/>
      <c r="W116" s="4"/>
      <c r="X116" s="16"/>
      <c r="Y116" s="5"/>
      <c r="Z116" s="16"/>
      <c r="AA116" s="16"/>
      <c r="AB116" s="16"/>
      <c r="AE116" s="16"/>
      <c r="AG116" s="22"/>
      <c r="AH116" s="6"/>
      <c r="AJ116" s="20">
        <f t="shared" si="19"/>
        <v>0</v>
      </c>
      <c r="AK116" s="50"/>
      <c r="AL116" s="6"/>
      <c r="AM116" s="20">
        <f t="shared" si="20"/>
        <v>0</v>
      </c>
      <c r="AN116" s="20">
        <f t="shared" si="23"/>
        <v>213750</v>
      </c>
      <c r="AP116" s="20">
        <f t="shared" si="18"/>
        <v>213750</v>
      </c>
      <c r="AQ116" s="7"/>
      <c r="AR116" s="20"/>
      <c r="AS116" s="51"/>
    </row>
    <row r="117" spans="1:45" s="21" customFormat="1" ht="30" customHeight="1" x14ac:dyDescent="0.2">
      <c r="A117" s="8">
        <v>92</v>
      </c>
      <c r="B117" s="46">
        <v>2</v>
      </c>
      <c r="C117" s="16" t="s">
        <v>52</v>
      </c>
      <c r="D117" s="48">
        <v>34316</v>
      </c>
      <c r="E117" s="47">
        <v>72</v>
      </c>
      <c r="F117" s="48">
        <v>6800</v>
      </c>
      <c r="G117" s="49">
        <v>7</v>
      </c>
      <c r="H117" s="48">
        <v>0</v>
      </c>
      <c r="I117" s="48">
        <v>0</v>
      </c>
      <c r="J117" s="48">
        <v>96</v>
      </c>
      <c r="K117" s="3">
        <v>96</v>
      </c>
      <c r="L117" s="16"/>
      <c r="M117" s="57"/>
      <c r="N117" s="58"/>
      <c r="P117" s="16"/>
      <c r="Q117" s="20">
        <v>96</v>
      </c>
      <c r="R117" s="14">
        <v>200</v>
      </c>
      <c r="S117" s="19">
        <f t="shared" si="22"/>
        <v>19200</v>
      </c>
      <c r="T117" s="16"/>
      <c r="U117" s="17"/>
      <c r="V117" s="16"/>
      <c r="W117" s="5"/>
      <c r="X117" s="16"/>
      <c r="Y117" s="5"/>
      <c r="Z117" s="16"/>
      <c r="AA117" s="16"/>
      <c r="AB117" s="16"/>
      <c r="AE117" s="16"/>
      <c r="AG117" s="22"/>
      <c r="AH117" s="6"/>
      <c r="AJ117" s="20">
        <f t="shared" si="19"/>
        <v>0</v>
      </c>
      <c r="AK117" s="50"/>
      <c r="AL117" s="6"/>
      <c r="AM117" s="20">
        <f t="shared" si="20"/>
        <v>0</v>
      </c>
      <c r="AN117" s="20">
        <f t="shared" si="23"/>
        <v>19200</v>
      </c>
      <c r="AP117" s="20">
        <f t="shared" si="18"/>
        <v>19200</v>
      </c>
      <c r="AQ117" s="7"/>
      <c r="AR117" s="20"/>
      <c r="AS117" s="51"/>
    </row>
    <row r="118" spans="1:45" s="21" customFormat="1" ht="30" customHeight="1" x14ac:dyDescent="0.2">
      <c r="A118" s="8">
        <v>93</v>
      </c>
      <c r="B118" s="46">
        <v>1</v>
      </c>
      <c r="C118" s="16" t="s">
        <v>52</v>
      </c>
      <c r="D118" s="48">
        <v>5953</v>
      </c>
      <c r="E118" s="47">
        <v>46</v>
      </c>
      <c r="F118" s="48">
        <v>2989</v>
      </c>
      <c r="G118" s="49">
        <v>5</v>
      </c>
      <c r="H118" s="48">
        <v>0</v>
      </c>
      <c r="I118" s="48">
        <v>3</v>
      </c>
      <c r="J118" s="48">
        <v>13</v>
      </c>
      <c r="K118" s="3">
        <v>313</v>
      </c>
      <c r="L118" s="16"/>
      <c r="M118" s="57"/>
      <c r="N118" s="58"/>
      <c r="P118" s="16"/>
      <c r="Q118" s="20">
        <v>313</v>
      </c>
      <c r="R118" s="14">
        <v>250</v>
      </c>
      <c r="S118" s="19">
        <f t="shared" si="22"/>
        <v>78250</v>
      </c>
      <c r="T118" s="16"/>
      <c r="U118" s="17" t="s">
        <v>57</v>
      </c>
      <c r="V118" s="17" t="s">
        <v>56</v>
      </c>
      <c r="W118" s="4">
        <v>200</v>
      </c>
      <c r="X118" s="16"/>
      <c r="Y118" s="5">
        <v>175</v>
      </c>
      <c r="Z118" s="16"/>
      <c r="AA118" s="16"/>
      <c r="AB118" s="16">
        <v>30</v>
      </c>
      <c r="AE118" s="16">
        <f>25/200</f>
        <v>0.125</v>
      </c>
      <c r="AF118" s="21">
        <v>2</v>
      </c>
      <c r="AG118" s="22">
        <v>200</v>
      </c>
      <c r="AH118" s="6">
        <v>0.87</v>
      </c>
      <c r="AI118" s="21">
        <v>7250</v>
      </c>
      <c r="AJ118" s="20">
        <f t="shared" si="19"/>
        <v>1261500</v>
      </c>
      <c r="AK118" s="50">
        <v>30</v>
      </c>
      <c r="AL118" s="6">
        <v>0.5</v>
      </c>
      <c r="AM118" s="20">
        <f t="shared" si="20"/>
        <v>630750</v>
      </c>
      <c r="AN118" s="20">
        <f>+(S118*AH118)+AM118</f>
        <v>698827.5</v>
      </c>
      <c r="AP118" s="20">
        <f t="shared" si="18"/>
        <v>698827.5</v>
      </c>
      <c r="AQ118" s="7"/>
      <c r="AR118" s="20"/>
      <c r="AS118" s="51">
        <v>111</v>
      </c>
    </row>
    <row r="119" spans="1:45" s="21" customFormat="1" ht="30" customHeight="1" x14ac:dyDescent="0.2">
      <c r="A119" s="8"/>
      <c r="B119" s="46"/>
      <c r="C119" s="16"/>
      <c r="D119" s="48"/>
      <c r="E119" s="47"/>
      <c r="F119" s="48"/>
      <c r="G119" s="49"/>
      <c r="H119" s="48"/>
      <c r="I119" s="48"/>
      <c r="J119" s="48"/>
      <c r="K119" s="3"/>
      <c r="L119" s="16"/>
      <c r="M119" s="57"/>
      <c r="N119" s="58"/>
      <c r="P119" s="16"/>
      <c r="Q119" s="20"/>
      <c r="R119" s="14"/>
      <c r="S119" s="19"/>
      <c r="T119" s="16"/>
      <c r="U119" s="17"/>
      <c r="V119" s="17"/>
      <c r="W119" s="4"/>
      <c r="X119" s="16"/>
      <c r="Y119" s="5"/>
      <c r="Z119" s="16">
        <v>25</v>
      </c>
      <c r="AA119" s="16"/>
      <c r="AB119" s="16"/>
      <c r="AE119" s="16"/>
      <c r="AF119" s="21">
        <v>3</v>
      </c>
      <c r="AG119" s="22">
        <v>200</v>
      </c>
      <c r="AH119" s="6">
        <v>0.13</v>
      </c>
      <c r="AI119" s="21">
        <v>7250</v>
      </c>
      <c r="AJ119" s="20">
        <f t="shared" si="19"/>
        <v>188500</v>
      </c>
      <c r="AK119" s="50">
        <v>30</v>
      </c>
      <c r="AL119" s="6">
        <v>0.5</v>
      </c>
      <c r="AM119" s="20">
        <f t="shared" si="20"/>
        <v>94250</v>
      </c>
      <c r="AN119" s="20">
        <f>+(S118*AH119)+AM119</f>
        <v>104422.5</v>
      </c>
      <c r="AP119" s="20">
        <f t="shared" si="18"/>
        <v>104422.5</v>
      </c>
      <c r="AQ119" s="7">
        <v>3.0000000000000001E-3</v>
      </c>
      <c r="AR119" s="20"/>
      <c r="AS119" s="51"/>
    </row>
    <row r="120" spans="1:45" s="21" customFormat="1" ht="30" customHeight="1" x14ac:dyDescent="0.2">
      <c r="A120" s="8"/>
      <c r="B120" s="46"/>
      <c r="C120" s="16"/>
      <c r="D120" s="48"/>
      <c r="E120" s="47"/>
      <c r="F120" s="48"/>
      <c r="G120" s="49"/>
      <c r="H120" s="48"/>
      <c r="I120" s="48"/>
      <c r="J120" s="48"/>
      <c r="K120" s="3"/>
      <c r="L120" s="16"/>
      <c r="M120" s="57"/>
      <c r="N120" s="58"/>
      <c r="P120" s="16"/>
      <c r="Q120" s="20"/>
      <c r="R120" s="14"/>
      <c r="S120" s="19"/>
      <c r="T120" s="16"/>
      <c r="U120" s="17"/>
      <c r="V120" s="17"/>
      <c r="W120" s="4"/>
      <c r="X120" s="16"/>
      <c r="Y120" s="5"/>
      <c r="Z120" s="16"/>
      <c r="AA120" s="16"/>
      <c r="AB120" s="16"/>
      <c r="AE120" s="16"/>
      <c r="AG120" s="22"/>
      <c r="AH120" s="6"/>
      <c r="AJ120" s="20"/>
      <c r="AK120" s="50"/>
      <c r="AL120" s="6"/>
      <c r="AM120" s="20"/>
      <c r="AN120" s="20"/>
      <c r="AP120" s="20"/>
      <c r="AQ120" s="7"/>
      <c r="AR120" s="20"/>
      <c r="AS120" s="51"/>
    </row>
    <row r="121" spans="1:45" s="70" customFormat="1" ht="30" customHeight="1" x14ac:dyDescent="0.2">
      <c r="A121" s="72">
        <v>94</v>
      </c>
      <c r="B121" s="69"/>
      <c r="C121" s="73" t="s">
        <v>65</v>
      </c>
      <c r="D121" s="74">
        <v>1059</v>
      </c>
      <c r="E121" s="71">
        <v>91</v>
      </c>
      <c r="F121" s="74"/>
      <c r="G121" s="75"/>
      <c r="H121" s="74">
        <v>2</v>
      </c>
      <c r="I121" s="74">
        <v>3</v>
      </c>
      <c r="J121" s="74">
        <v>80</v>
      </c>
      <c r="K121" s="76"/>
      <c r="L121" s="73"/>
      <c r="M121" s="77"/>
      <c r="N121" s="78"/>
      <c r="P121" s="73"/>
      <c r="Q121" s="79">
        <v>1180</v>
      </c>
      <c r="R121" s="70">
        <v>160</v>
      </c>
      <c r="S121" s="79">
        <f t="shared" ref="S121:S183" si="24">+Q121*R121</f>
        <v>188800</v>
      </c>
      <c r="T121" s="73"/>
      <c r="U121" s="73"/>
      <c r="V121" s="73"/>
      <c r="W121" s="80"/>
      <c r="X121" s="73"/>
      <c r="Y121" s="80"/>
      <c r="Z121" s="73"/>
      <c r="AA121" s="73"/>
      <c r="AB121" s="73"/>
      <c r="AE121" s="73"/>
      <c r="AG121" s="81"/>
      <c r="AH121" s="82"/>
      <c r="AJ121" s="79"/>
      <c r="AK121" s="83"/>
      <c r="AL121" s="82"/>
      <c r="AM121" s="79"/>
      <c r="AN121" s="79"/>
      <c r="AP121" s="79"/>
      <c r="AQ121" s="84">
        <v>1E-4</v>
      </c>
      <c r="AR121" s="79"/>
      <c r="AS121" s="85"/>
    </row>
    <row r="122" spans="1:45" s="21" customFormat="1" ht="30" customHeight="1" x14ac:dyDescent="0.2">
      <c r="A122" s="8">
        <v>95</v>
      </c>
      <c r="B122" s="46">
        <v>1</v>
      </c>
      <c r="C122" s="16" t="s">
        <v>52</v>
      </c>
      <c r="D122" s="48">
        <v>34208</v>
      </c>
      <c r="E122" s="47">
        <v>90</v>
      </c>
      <c r="F122" s="48">
        <v>6809</v>
      </c>
      <c r="G122" s="49">
        <v>4</v>
      </c>
      <c r="H122" s="48">
        <v>0</v>
      </c>
      <c r="I122" s="48">
        <v>0</v>
      </c>
      <c r="J122" s="48">
        <v>40</v>
      </c>
      <c r="K122" s="3"/>
      <c r="L122" s="16">
        <v>40</v>
      </c>
      <c r="M122" s="57"/>
      <c r="N122" s="58"/>
      <c r="P122" s="16">
        <v>2</v>
      </c>
      <c r="Q122" s="20">
        <v>40</v>
      </c>
      <c r="R122" s="14">
        <v>2000</v>
      </c>
      <c r="S122" s="20">
        <f t="shared" si="24"/>
        <v>80000</v>
      </c>
      <c r="T122" s="16"/>
      <c r="U122" s="17" t="s">
        <v>57</v>
      </c>
      <c r="V122" s="17" t="s">
        <v>56</v>
      </c>
      <c r="W122" s="4"/>
      <c r="X122" s="16"/>
      <c r="Y122" s="5">
        <v>90</v>
      </c>
      <c r="Z122" s="16"/>
      <c r="AA122" s="16"/>
      <c r="AB122" s="16"/>
      <c r="AE122" s="16"/>
      <c r="AF122" s="21">
        <v>2</v>
      </c>
      <c r="AG122" s="22">
        <v>90</v>
      </c>
      <c r="AH122" s="6">
        <v>1</v>
      </c>
      <c r="AI122" s="21">
        <v>7250</v>
      </c>
      <c r="AJ122" s="20">
        <f t="shared" ref="AJ122:AJ182" si="25">+AG122*AH122*AI122</f>
        <v>652500</v>
      </c>
      <c r="AK122" s="50"/>
      <c r="AL122" s="6"/>
      <c r="AM122" s="20">
        <f t="shared" ref="AM122:AM182" si="26">+AJ122-(AL122*AJ122)</f>
        <v>652500</v>
      </c>
      <c r="AN122" s="20">
        <f t="shared" ref="AN122:AN153" si="27">+S122+AM122</f>
        <v>732500</v>
      </c>
      <c r="AO122" s="21">
        <v>50</v>
      </c>
      <c r="AP122" s="20">
        <f t="shared" ref="AP122:AP182" si="28">AN122</f>
        <v>732500</v>
      </c>
      <c r="AQ122" s="7"/>
      <c r="AR122" s="20"/>
      <c r="AS122" s="51"/>
    </row>
    <row r="123" spans="1:45" s="21" customFormat="1" ht="30" customHeight="1" x14ac:dyDescent="0.2">
      <c r="A123" s="8">
        <v>96</v>
      </c>
      <c r="B123" s="46">
        <v>1</v>
      </c>
      <c r="C123" s="16" t="s">
        <v>52</v>
      </c>
      <c r="D123" s="48">
        <v>3784</v>
      </c>
      <c r="E123" s="47">
        <v>88</v>
      </c>
      <c r="F123" s="48">
        <v>2339</v>
      </c>
      <c r="G123" s="49">
        <v>2</v>
      </c>
      <c r="H123" s="48">
        <v>0</v>
      </c>
      <c r="I123" s="48">
        <v>0</v>
      </c>
      <c r="J123" s="48">
        <v>55</v>
      </c>
      <c r="K123" s="3"/>
      <c r="L123" s="16">
        <v>55</v>
      </c>
      <c r="M123" s="57"/>
      <c r="N123" s="58"/>
      <c r="P123" s="16">
        <v>2</v>
      </c>
      <c r="Q123" s="20">
        <v>55</v>
      </c>
      <c r="R123" s="14">
        <v>250</v>
      </c>
      <c r="S123" s="19">
        <f t="shared" si="24"/>
        <v>13750</v>
      </c>
      <c r="T123" s="16"/>
      <c r="U123" s="17" t="s">
        <v>57</v>
      </c>
      <c r="V123" s="17" t="s">
        <v>56</v>
      </c>
      <c r="W123" s="4"/>
      <c r="X123" s="16"/>
      <c r="Y123" s="5">
        <v>56</v>
      </c>
      <c r="Z123" s="16"/>
      <c r="AA123" s="16"/>
      <c r="AB123" s="16"/>
      <c r="AE123" s="16"/>
      <c r="AF123" s="21">
        <v>2</v>
      </c>
      <c r="AG123" s="22">
        <v>56</v>
      </c>
      <c r="AH123" s="6">
        <v>1</v>
      </c>
      <c r="AI123" s="21">
        <v>7250</v>
      </c>
      <c r="AJ123" s="20">
        <f t="shared" si="25"/>
        <v>406000</v>
      </c>
      <c r="AK123" s="50"/>
      <c r="AL123" s="6"/>
      <c r="AM123" s="20">
        <f t="shared" si="26"/>
        <v>406000</v>
      </c>
      <c r="AN123" s="20">
        <f t="shared" si="27"/>
        <v>419750</v>
      </c>
      <c r="AO123" s="21">
        <v>50</v>
      </c>
      <c r="AP123" s="20">
        <f t="shared" si="28"/>
        <v>419750</v>
      </c>
      <c r="AQ123" s="7"/>
      <c r="AR123" s="20"/>
      <c r="AS123" s="51"/>
    </row>
    <row r="124" spans="1:45" s="21" customFormat="1" ht="30" customHeight="1" x14ac:dyDescent="0.2">
      <c r="A124" s="8">
        <v>97</v>
      </c>
      <c r="B124" s="46">
        <v>1</v>
      </c>
      <c r="C124" s="16" t="s">
        <v>52</v>
      </c>
      <c r="D124" s="48">
        <v>37620</v>
      </c>
      <c r="E124" s="47">
        <v>64</v>
      </c>
      <c r="F124" s="48">
        <v>7627</v>
      </c>
      <c r="G124" s="49">
        <v>4</v>
      </c>
      <c r="H124" s="48">
        <v>0</v>
      </c>
      <c r="I124" s="48">
        <v>0</v>
      </c>
      <c r="J124" s="48">
        <v>37</v>
      </c>
      <c r="K124" s="3"/>
      <c r="L124" s="16"/>
      <c r="M124" s="57"/>
      <c r="N124" s="58">
        <v>37</v>
      </c>
      <c r="P124" s="16">
        <v>4</v>
      </c>
      <c r="Q124" s="20">
        <v>37</v>
      </c>
      <c r="R124" s="14">
        <v>2000</v>
      </c>
      <c r="S124" s="19">
        <f t="shared" si="24"/>
        <v>74000</v>
      </c>
      <c r="T124" s="16"/>
      <c r="U124" s="17"/>
      <c r="V124" s="17"/>
      <c r="W124" s="4"/>
      <c r="X124" s="16"/>
      <c r="Y124" s="5"/>
      <c r="Z124" s="16"/>
      <c r="AA124" s="16"/>
      <c r="AB124" s="16"/>
      <c r="AE124" s="16"/>
      <c r="AG124" s="22"/>
      <c r="AH124" s="6"/>
      <c r="AJ124" s="20">
        <f t="shared" si="25"/>
        <v>0</v>
      </c>
      <c r="AK124" s="50"/>
      <c r="AL124" s="6"/>
      <c r="AM124" s="20">
        <f t="shared" si="26"/>
        <v>0</v>
      </c>
      <c r="AN124" s="20">
        <f t="shared" si="27"/>
        <v>74000</v>
      </c>
      <c r="AP124" s="20">
        <f t="shared" si="28"/>
        <v>74000</v>
      </c>
      <c r="AQ124" s="7">
        <v>3.0000000000000001E-3</v>
      </c>
      <c r="AR124" s="20"/>
      <c r="AS124" s="51"/>
    </row>
    <row r="125" spans="1:45" s="21" customFormat="1" ht="30" customHeight="1" x14ac:dyDescent="0.2">
      <c r="A125" s="9">
        <v>98</v>
      </c>
      <c r="B125" s="46">
        <v>1</v>
      </c>
      <c r="C125" s="16" t="s">
        <v>52</v>
      </c>
      <c r="D125" s="48">
        <v>3372</v>
      </c>
      <c r="E125" s="47">
        <v>14</v>
      </c>
      <c r="F125" s="48">
        <v>2158</v>
      </c>
      <c r="G125" s="49">
        <v>2</v>
      </c>
      <c r="H125" s="48">
        <v>0</v>
      </c>
      <c r="I125" s="48">
        <v>2</v>
      </c>
      <c r="J125" s="48">
        <v>78</v>
      </c>
      <c r="K125" s="3"/>
      <c r="L125" s="16"/>
      <c r="M125" s="57">
        <v>278</v>
      </c>
      <c r="N125" s="58"/>
      <c r="P125" s="16">
        <v>2</v>
      </c>
      <c r="Q125" s="20">
        <v>278</v>
      </c>
      <c r="R125" s="14">
        <v>250</v>
      </c>
      <c r="S125" s="20">
        <f t="shared" si="24"/>
        <v>69500</v>
      </c>
      <c r="T125" s="16"/>
      <c r="U125" s="17" t="s">
        <v>57</v>
      </c>
      <c r="V125" s="17" t="s">
        <v>56</v>
      </c>
      <c r="W125" s="4"/>
      <c r="X125" s="16"/>
      <c r="Y125" s="5"/>
      <c r="Z125" s="16">
        <v>103</v>
      </c>
      <c r="AA125" s="16"/>
      <c r="AB125" s="16">
        <v>20</v>
      </c>
      <c r="AC125" s="14" t="s">
        <v>81</v>
      </c>
      <c r="AD125" s="14"/>
      <c r="AE125" s="16"/>
      <c r="AF125" s="21">
        <v>2</v>
      </c>
      <c r="AG125" s="22">
        <v>103</v>
      </c>
      <c r="AH125" s="6">
        <v>1</v>
      </c>
      <c r="AI125" s="21">
        <v>7250</v>
      </c>
      <c r="AJ125" s="20">
        <f t="shared" si="25"/>
        <v>746750</v>
      </c>
      <c r="AK125" s="50">
        <v>20</v>
      </c>
      <c r="AL125" s="6">
        <v>0.3</v>
      </c>
      <c r="AM125" s="20">
        <f t="shared" si="26"/>
        <v>522725</v>
      </c>
      <c r="AN125" s="20">
        <f t="shared" si="27"/>
        <v>592225</v>
      </c>
      <c r="AP125" s="20">
        <f t="shared" si="28"/>
        <v>592225</v>
      </c>
      <c r="AQ125" s="7">
        <v>2.0000000000000001E-4</v>
      </c>
      <c r="AR125" s="20"/>
      <c r="AS125" s="51"/>
    </row>
    <row r="126" spans="1:45" s="21" customFormat="1" ht="30" customHeight="1" x14ac:dyDescent="0.2">
      <c r="A126" s="8">
        <v>99</v>
      </c>
      <c r="B126" s="46">
        <v>1</v>
      </c>
      <c r="C126" s="16" t="s">
        <v>52</v>
      </c>
      <c r="D126" s="48">
        <v>1969</v>
      </c>
      <c r="E126" s="47">
        <v>24</v>
      </c>
      <c r="F126" s="48">
        <v>1326</v>
      </c>
      <c r="G126" s="49">
        <v>2</v>
      </c>
      <c r="H126" s="48">
        <v>2</v>
      </c>
      <c r="I126" s="48">
        <v>2</v>
      </c>
      <c r="J126" s="48">
        <v>35</v>
      </c>
      <c r="K126" s="3">
        <f>800+200+35</f>
        <v>1035</v>
      </c>
      <c r="L126" s="16"/>
      <c r="M126" s="57"/>
      <c r="N126" s="58"/>
      <c r="P126" s="16">
        <v>1</v>
      </c>
      <c r="Q126" s="20">
        <v>1035</v>
      </c>
      <c r="R126" s="14">
        <v>160</v>
      </c>
      <c r="S126" s="19">
        <f t="shared" si="24"/>
        <v>165600</v>
      </c>
      <c r="T126" s="16"/>
      <c r="U126" s="16"/>
      <c r="V126" s="16"/>
      <c r="W126" s="5"/>
      <c r="X126" s="16"/>
      <c r="Y126" s="5"/>
      <c r="Z126" s="16"/>
      <c r="AA126" s="16"/>
      <c r="AB126" s="16"/>
      <c r="AE126" s="16"/>
      <c r="AG126" s="22"/>
      <c r="AH126" s="6"/>
      <c r="AJ126" s="20">
        <f t="shared" si="25"/>
        <v>0</v>
      </c>
      <c r="AK126" s="50"/>
      <c r="AL126" s="6"/>
      <c r="AM126" s="20">
        <f t="shared" si="26"/>
        <v>0</v>
      </c>
      <c r="AN126" s="20">
        <f t="shared" si="27"/>
        <v>165600</v>
      </c>
      <c r="AP126" s="20">
        <f t="shared" si="28"/>
        <v>165600</v>
      </c>
      <c r="AQ126" s="7"/>
      <c r="AR126" s="60"/>
      <c r="AS126" s="128">
        <f>20+8</f>
        <v>28</v>
      </c>
    </row>
    <row r="127" spans="1:45" s="21" customFormat="1" ht="30" customHeight="1" x14ac:dyDescent="0.2">
      <c r="A127" s="8">
        <v>100</v>
      </c>
      <c r="B127" s="46">
        <v>2</v>
      </c>
      <c r="C127" s="16" t="s">
        <v>52</v>
      </c>
      <c r="D127" s="48">
        <v>34360</v>
      </c>
      <c r="E127" s="47">
        <v>40</v>
      </c>
      <c r="F127" s="48">
        <v>6860</v>
      </c>
      <c r="G127" s="49">
        <v>4</v>
      </c>
      <c r="H127" s="48">
        <v>2</v>
      </c>
      <c r="I127" s="48">
        <v>3</v>
      </c>
      <c r="J127" s="48">
        <v>24</v>
      </c>
      <c r="K127" s="3">
        <f>800+300+24</f>
        <v>1124</v>
      </c>
      <c r="L127" s="16"/>
      <c r="M127" s="57"/>
      <c r="N127" s="58"/>
      <c r="P127" s="16">
        <v>1</v>
      </c>
      <c r="Q127" s="20">
        <v>1124</v>
      </c>
      <c r="R127" s="14">
        <v>200</v>
      </c>
      <c r="S127" s="20">
        <f t="shared" si="24"/>
        <v>224800</v>
      </c>
      <c r="T127" s="16"/>
      <c r="U127" s="17"/>
      <c r="V127" s="16"/>
      <c r="W127" s="5"/>
      <c r="X127" s="16"/>
      <c r="Y127" s="5"/>
      <c r="Z127" s="16"/>
      <c r="AA127" s="16"/>
      <c r="AB127" s="16"/>
      <c r="AC127" s="14"/>
      <c r="AD127" s="14"/>
      <c r="AE127" s="16"/>
      <c r="AG127" s="22"/>
      <c r="AH127" s="6"/>
      <c r="AJ127" s="20">
        <f t="shared" si="25"/>
        <v>0</v>
      </c>
      <c r="AK127" s="50"/>
      <c r="AL127" s="6"/>
      <c r="AM127" s="20">
        <f t="shared" si="26"/>
        <v>0</v>
      </c>
      <c r="AN127" s="20">
        <f t="shared" si="27"/>
        <v>224800</v>
      </c>
      <c r="AP127" s="20">
        <f t="shared" si="28"/>
        <v>224800</v>
      </c>
      <c r="AQ127" s="7"/>
      <c r="AR127" s="24"/>
      <c r="AS127" s="129"/>
    </row>
    <row r="128" spans="1:45" s="21" customFormat="1" ht="30" customHeight="1" x14ac:dyDescent="0.2">
      <c r="A128" s="8">
        <v>101</v>
      </c>
      <c r="B128" s="46">
        <v>3</v>
      </c>
      <c r="C128" s="16" t="s">
        <v>52</v>
      </c>
      <c r="D128" s="48">
        <v>34361</v>
      </c>
      <c r="E128" s="47">
        <v>41</v>
      </c>
      <c r="F128" s="48">
        <v>6861</v>
      </c>
      <c r="G128" s="49">
        <v>4</v>
      </c>
      <c r="H128" s="48">
        <v>3</v>
      </c>
      <c r="I128" s="48">
        <v>2</v>
      </c>
      <c r="J128" s="48">
        <v>87</v>
      </c>
      <c r="K128" s="3">
        <f>1200+200+87</f>
        <v>1487</v>
      </c>
      <c r="L128" s="16"/>
      <c r="M128" s="57"/>
      <c r="N128" s="58"/>
      <c r="P128" s="16">
        <v>1</v>
      </c>
      <c r="Q128" s="20">
        <v>1487</v>
      </c>
      <c r="R128" s="14">
        <v>160</v>
      </c>
      <c r="S128" s="19">
        <f t="shared" si="24"/>
        <v>237920</v>
      </c>
      <c r="T128" s="16"/>
      <c r="U128" s="17"/>
      <c r="V128" s="17"/>
      <c r="W128" s="4"/>
      <c r="X128" s="16"/>
      <c r="Y128" s="5"/>
      <c r="Z128" s="16"/>
      <c r="AA128" s="16"/>
      <c r="AB128" s="16"/>
      <c r="AC128" s="14"/>
      <c r="AD128" s="14"/>
      <c r="AE128" s="16"/>
      <c r="AG128" s="22"/>
      <c r="AH128" s="6"/>
      <c r="AJ128" s="20">
        <f t="shared" si="25"/>
        <v>0</v>
      </c>
      <c r="AK128" s="50"/>
      <c r="AL128" s="6"/>
      <c r="AM128" s="20">
        <f t="shared" si="26"/>
        <v>0</v>
      </c>
      <c r="AN128" s="20">
        <f t="shared" si="27"/>
        <v>237920</v>
      </c>
      <c r="AP128" s="20">
        <f t="shared" si="28"/>
        <v>237920</v>
      </c>
      <c r="AQ128" s="7"/>
      <c r="AR128" s="24"/>
      <c r="AS128" s="129"/>
    </row>
    <row r="129" spans="1:50" ht="30" customHeight="1" x14ac:dyDescent="0.2">
      <c r="A129" s="8"/>
      <c r="C129" s="16"/>
      <c r="AJ129" s="20"/>
      <c r="AM129" s="20"/>
      <c r="AN129" s="20"/>
      <c r="AP129" s="20"/>
      <c r="AR129" s="25"/>
      <c r="AS129" s="130"/>
    </row>
    <row r="130" spans="1:50" s="21" customFormat="1" ht="30" customHeight="1" x14ac:dyDescent="0.2">
      <c r="A130" s="8">
        <v>102</v>
      </c>
      <c r="B130" s="46">
        <v>1</v>
      </c>
      <c r="C130" s="16" t="s">
        <v>52</v>
      </c>
      <c r="D130" s="48">
        <v>16689</v>
      </c>
      <c r="E130" s="47">
        <v>84</v>
      </c>
      <c r="F130" s="48">
        <v>3717</v>
      </c>
      <c r="G130" s="49">
        <v>3</v>
      </c>
      <c r="H130" s="48">
        <v>4</v>
      </c>
      <c r="I130" s="48">
        <v>0</v>
      </c>
      <c r="J130" s="48">
        <v>47</v>
      </c>
      <c r="K130" s="3">
        <f>1600+47</f>
        <v>1647</v>
      </c>
      <c r="L130" s="16"/>
      <c r="M130" s="57"/>
      <c r="N130" s="58"/>
      <c r="P130" s="16">
        <v>1</v>
      </c>
      <c r="Q130" s="20">
        <v>1647</v>
      </c>
      <c r="R130" s="14">
        <v>160</v>
      </c>
      <c r="S130" s="20">
        <f t="shared" si="24"/>
        <v>263520</v>
      </c>
      <c r="T130" s="16"/>
      <c r="U130" s="17"/>
      <c r="V130" s="17"/>
      <c r="W130" s="4"/>
      <c r="X130" s="16"/>
      <c r="Y130" s="5"/>
      <c r="Z130" s="16"/>
      <c r="AA130" s="16"/>
      <c r="AB130" s="16"/>
      <c r="AC130" s="14"/>
      <c r="AD130" s="14"/>
      <c r="AE130" s="16"/>
      <c r="AG130" s="22"/>
      <c r="AH130" s="6"/>
      <c r="AJ130" s="20">
        <f t="shared" si="25"/>
        <v>0</v>
      </c>
      <c r="AK130" s="50"/>
      <c r="AL130" s="6"/>
      <c r="AM130" s="20">
        <f t="shared" si="26"/>
        <v>0</v>
      </c>
      <c r="AN130" s="20">
        <f t="shared" si="27"/>
        <v>263520</v>
      </c>
      <c r="AP130" s="20">
        <f t="shared" si="28"/>
        <v>263520</v>
      </c>
      <c r="AQ130" s="7"/>
      <c r="AR130" s="20"/>
      <c r="AS130" s="51">
        <v>9</v>
      </c>
    </row>
    <row r="131" spans="1:50" s="21" customFormat="1" ht="30" customHeight="1" x14ac:dyDescent="0.2">
      <c r="A131" s="8">
        <v>103</v>
      </c>
      <c r="B131" s="46">
        <v>1</v>
      </c>
      <c r="C131" s="16" t="s">
        <v>52</v>
      </c>
      <c r="D131" s="48">
        <v>4906</v>
      </c>
      <c r="E131" s="47">
        <v>74</v>
      </c>
      <c r="F131" s="48">
        <v>2780</v>
      </c>
      <c r="G131" s="49">
        <v>7</v>
      </c>
      <c r="H131" s="48">
        <v>9</v>
      </c>
      <c r="I131" s="48">
        <v>0</v>
      </c>
      <c r="J131" s="48">
        <v>78</v>
      </c>
      <c r="K131" s="3">
        <f>(9*400)+78</f>
        <v>3678</v>
      </c>
      <c r="L131" s="16"/>
      <c r="M131" s="57"/>
      <c r="N131" s="58"/>
      <c r="P131" s="16">
        <v>1</v>
      </c>
      <c r="Q131" s="20">
        <v>3678</v>
      </c>
      <c r="R131" s="14">
        <v>160</v>
      </c>
      <c r="S131" s="19">
        <f t="shared" si="24"/>
        <v>588480</v>
      </c>
      <c r="T131" s="16"/>
      <c r="U131" s="17"/>
      <c r="V131" s="17"/>
      <c r="W131" s="4"/>
      <c r="X131" s="16"/>
      <c r="Y131" s="5"/>
      <c r="Z131" s="16"/>
      <c r="AA131" s="16"/>
      <c r="AB131" s="16"/>
      <c r="AC131" s="14"/>
      <c r="AD131" s="14"/>
      <c r="AE131" s="16"/>
      <c r="AG131" s="22"/>
      <c r="AH131" s="6"/>
      <c r="AJ131" s="20">
        <f t="shared" si="25"/>
        <v>0</v>
      </c>
      <c r="AK131" s="50"/>
      <c r="AL131" s="6"/>
      <c r="AM131" s="20">
        <f t="shared" si="26"/>
        <v>0</v>
      </c>
      <c r="AN131" s="20">
        <f t="shared" si="27"/>
        <v>588480</v>
      </c>
      <c r="AP131" s="20">
        <f t="shared" si="28"/>
        <v>588480</v>
      </c>
      <c r="AQ131" s="7"/>
      <c r="AR131" s="20"/>
      <c r="AS131" s="51">
        <v>51</v>
      </c>
    </row>
    <row r="132" spans="1:50" ht="30" customHeight="1" x14ac:dyDescent="0.2">
      <c r="A132" s="8">
        <v>104</v>
      </c>
      <c r="B132" s="13">
        <v>1</v>
      </c>
      <c r="C132" s="16" t="s">
        <v>69</v>
      </c>
      <c r="E132" s="17">
        <v>1675</v>
      </c>
      <c r="F132" s="17">
        <v>8</v>
      </c>
      <c r="G132" s="13">
        <v>2</v>
      </c>
      <c r="H132" s="17">
        <v>4</v>
      </c>
      <c r="I132" s="17">
        <v>3</v>
      </c>
      <c r="J132" s="17">
        <v>73</v>
      </c>
      <c r="K132" s="10">
        <v>1973</v>
      </c>
      <c r="P132" s="17">
        <v>1</v>
      </c>
      <c r="Q132" s="19">
        <v>1973</v>
      </c>
      <c r="R132" s="14">
        <v>160</v>
      </c>
      <c r="S132" s="19">
        <f t="shared" si="24"/>
        <v>315680</v>
      </c>
      <c r="AJ132" s="20">
        <f t="shared" si="25"/>
        <v>0</v>
      </c>
      <c r="AM132" s="20">
        <f t="shared" si="26"/>
        <v>0</v>
      </c>
      <c r="AN132" s="20">
        <f t="shared" si="27"/>
        <v>315680</v>
      </c>
      <c r="AP132" s="20">
        <f t="shared" si="28"/>
        <v>315680</v>
      </c>
      <c r="AQ132" s="12">
        <v>1E-4</v>
      </c>
      <c r="AR132" s="20"/>
    </row>
    <row r="133" spans="1:50" s="21" customFormat="1" ht="30" customHeight="1" x14ac:dyDescent="0.2">
      <c r="A133" s="8">
        <v>105</v>
      </c>
      <c r="B133" s="46">
        <v>1</v>
      </c>
      <c r="C133" s="16" t="s">
        <v>52</v>
      </c>
      <c r="D133" s="48">
        <v>4179</v>
      </c>
      <c r="E133" s="47">
        <v>62</v>
      </c>
      <c r="F133" s="48">
        <v>2520</v>
      </c>
      <c r="G133" s="49">
        <v>1</v>
      </c>
      <c r="H133" s="48">
        <v>7</v>
      </c>
      <c r="I133" s="48">
        <v>2</v>
      </c>
      <c r="J133" s="48">
        <v>47</v>
      </c>
      <c r="K133" s="3">
        <f>(7/400)+200+47</f>
        <v>247.01750000000001</v>
      </c>
      <c r="L133" s="16"/>
      <c r="M133" s="57"/>
      <c r="N133" s="58"/>
      <c r="P133" s="16">
        <v>1</v>
      </c>
      <c r="Q133" s="20">
        <v>247.01750000000001</v>
      </c>
      <c r="R133" s="14">
        <v>200</v>
      </c>
      <c r="S133" s="20">
        <f t="shared" si="24"/>
        <v>49403.5</v>
      </c>
      <c r="T133" s="16"/>
      <c r="U133" s="17"/>
      <c r="V133" s="17"/>
      <c r="W133" s="4"/>
      <c r="X133" s="16"/>
      <c r="Y133" s="5"/>
      <c r="Z133" s="16"/>
      <c r="AA133" s="16"/>
      <c r="AB133" s="16"/>
      <c r="AC133" s="14"/>
      <c r="AD133" s="14"/>
      <c r="AE133" s="16"/>
      <c r="AG133" s="22"/>
      <c r="AH133" s="6"/>
      <c r="AJ133" s="20">
        <f t="shared" si="25"/>
        <v>0</v>
      </c>
      <c r="AK133" s="50"/>
      <c r="AL133" s="6"/>
      <c r="AM133" s="20">
        <f t="shared" si="26"/>
        <v>0</v>
      </c>
      <c r="AN133" s="20">
        <f t="shared" si="27"/>
        <v>49403.5</v>
      </c>
      <c r="AP133" s="20">
        <f t="shared" si="28"/>
        <v>49403.5</v>
      </c>
      <c r="AQ133" s="7"/>
      <c r="AR133" s="20"/>
      <c r="AS133" s="51"/>
    </row>
    <row r="134" spans="1:50" s="21" customFormat="1" ht="30" customHeight="1" x14ac:dyDescent="0.2">
      <c r="A134" s="8">
        <v>106</v>
      </c>
      <c r="B134" s="46">
        <v>1</v>
      </c>
      <c r="C134" s="16" t="s">
        <v>52</v>
      </c>
      <c r="D134" s="48">
        <v>1920</v>
      </c>
      <c r="E134" s="47">
        <v>28</v>
      </c>
      <c r="F134" s="48">
        <v>803</v>
      </c>
      <c r="G134" s="49">
        <v>4</v>
      </c>
      <c r="H134" s="48">
        <v>0</v>
      </c>
      <c r="I134" s="48">
        <v>0</v>
      </c>
      <c r="J134" s="48">
        <v>94</v>
      </c>
      <c r="K134" s="3">
        <v>94</v>
      </c>
      <c r="L134" s="16"/>
      <c r="M134" s="57"/>
      <c r="N134" s="58"/>
      <c r="P134" s="16"/>
      <c r="Q134" s="20">
        <f>+K134</f>
        <v>94</v>
      </c>
      <c r="R134" s="14">
        <v>250</v>
      </c>
      <c r="S134" s="20">
        <f t="shared" si="24"/>
        <v>23500</v>
      </c>
      <c r="T134" s="16"/>
      <c r="U134" s="17"/>
      <c r="V134" s="17"/>
      <c r="W134" s="4"/>
      <c r="X134" s="16"/>
      <c r="Y134" s="5"/>
      <c r="Z134" s="16"/>
      <c r="AA134" s="16"/>
      <c r="AB134" s="16"/>
      <c r="AE134" s="21" t="s">
        <v>82</v>
      </c>
      <c r="AG134" s="22">
        <f>Y134</f>
        <v>0</v>
      </c>
      <c r="AH134" s="6"/>
      <c r="AJ134" s="20">
        <f t="shared" si="25"/>
        <v>0</v>
      </c>
      <c r="AK134" s="50"/>
      <c r="AL134" s="6"/>
      <c r="AM134" s="20">
        <f t="shared" si="26"/>
        <v>0</v>
      </c>
      <c r="AN134" s="20">
        <f t="shared" si="27"/>
        <v>23500</v>
      </c>
      <c r="AP134" s="20">
        <f t="shared" si="28"/>
        <v>23500</v>
      </c>
      <c r="AQ134" s="7"/>
      <c r="AR134" s="20"/>
      <c r="AS134" s="51"/>
    </row>
    <row r="135" spans="1:50" s="21" customFormat="1" ht="30" customHeight="1" x14ac:dyDescent="0.2">
      <c r="A135" s="86">
        <v>107</v>
      </c>
      <c r="B135" s="46">
        <v>2</v>
      </c>
      <c r="C135" s="16" t="s">
        <v>52</v>
      </c>
      <c r="D135" s="48">
        <v>12635</v>
      </c>
      <c r="E135" s="47">
        <v>50</v>
      </c>
      <c r="F135" s="48">
        <v>3271</v>
      </c>
      <c r="G135" s="53">
        <v>4</v>
      </c>
      <c r="H135" s="48">
        <v>0</v>
      </c>
      <c r="I135" s="48">
        <v>1</v>
      </c>
      <c r="J135" s="48">
        <v>42</v>
      </c>
      <c r="K135" s="63">
        <v>142</v>
      </c>
      <c r="L135" s="63"/>
      <c r="M135" s="63"/>
      <c r="N135" s="63"/>
      <c r="O135" s="63"/>
      <c r="Q135" s="19">
        <f>+(H135*400)+(I135*100)+J135</f>
        <v>142</v>
      </c>
      <c r="R135" s="14">
        <v>160</v>
      </c>
      <c r="S135" s="19">
        <f t="shared" si="24"/>
        <v>22720</v>
      </c>
      <c r="T135" s="63"/>
      <c r="U135" s="87"/>
      <c r="V135" s="87"/>
      <c r="W135" s="28"/>
      <c r="X135" s="63"/>
      <c r="Y135" s="67"/>
      <c r="Z135" s="63"/>
      <c r="AA135" s="63"/>
      <c r="AB135" s="63"/>
      <c r="AC135" s="32"/>
      <c r="AD135" s="14"/>
      <c r="AE135" s="14" t="s">
        <v>83</v>
      </c>
      <c r="AG135" s="22"/>
      <c r="AJ135" s="20">
        <f t="shared" si="25"/>
        <v>0</v>
      </c>
      <c r="AK135" s="50">
        <f>AB135</f>
        <v>0</v>
      </c>
      <c r="AL135" s="6"/>
      <c r="AM135" s="20">
        <f t="shared" si="26"/>
        <v>0</v>
      </c>
      <c r="AN135" s="20">
        <f t="shared" si="27"/>
        <v>22720</v>
      </c>
      <c r="AP135" s="19">
        <f t="shared" si="28"/>
        <v>22720</v>
      </c>
      <c r="AQ135" s="7"/>
      <c r="AR135" s="20"/>
      <c r="AS135" s="88"/>
      <c r="AT135" s="14"/>
      <c r="AU135" s="14"/>
      <c r="AV135" s="14"/>
      <c r="AW135" s="14"/>
      <c r="AX135" s="14"/>
    </row>
    <row r="136" spans="1:50" s="29" customFormat="1" ht="30" customHeight="1" x14ac:dyDescent="0.2">
      <c r="A136" s="8">
        <v>108</v>
      </c>
      <c r="B136" s="46">
        <v>3</v>
      </c>
      <c r="C136" s="16" t="s">
        <v>52</v>
      </c>
      <c r="D136" s="48">
        <v>34209</v>
      </c>
      <c r="E136" s="47">
        <v>91</v>
      </c>
      <c r="F136" s="48">
        <v>6810</v>
      </c>
      <c r="G136" s="49">
        <v>4</v>
      </c>
      <c r="H136" s="48">
        <v>0</v>
      </c>
      <c r="I136" s="48">
        <v>0</v>
      </c>
      <c r="J136" s="48">
        <v>33</v>
      </c>
      <c r="K136" s="3"/>
      <c r="L136" s="16">
        <v>33</v>
      </c>
      <c r="M136" s="57"/>
      <c r="N136" s="58"/>
      <c r="O136" s="21"/>
      <c r="P136" s="16">
        <v>2</v>
      </c>
      <c r="Q136" s="20">
        <v>33</v>
      </c>
      <c r="R136" s="14">
        <v>2000</v>
      </c>
      <c r="S136" s="19">
        <f t="shared" si="24"/>
        <v>66000</v>
      </c>
      <c r="T136" s="16"/>
      <c r="U136" s="17" t="s">
        <v>57</v>
      </c>
      <c r="V136" s="17" t="s">
        <v>56</v>
      </c>
      <c r="W136" s="4">
        <f>12*12</f>
        <v>144</v>
      </c>
      <c r="X136" s="16"/>
      <c r="Y136" s="5">
        <v>144</v>
      </c>
      <c r="Z136" s="16"/>
      <c r="AA136" s="16"/>
      <c r="AB136" s="16"/>
      <c r="AC136" s="21"/>
      <c r="AD136" s="89"/>
      <c r="AE136" s="16"/>
      <c r="AF136" s="21">
        <v>2</v>
      </c>
      <c r="AG136" s="22">
        <v>100</v>
      </c>
      <c r="AH136" s="6">
        <v>1</v>
      </c>
      <c r="AI136" s="21">
        <v>7250</v>
      </c>
      <c r="AJ136" s="20">
        <f t="shared" si="25"/>
        <v>725000</v>
      </c>
      <c r="AK136" s="50"/>
      <c r="AL136" s="6"/>
      <c r="AM136" s="20">
        <f t="shared" si="26"/>
        <v>725000</v>
      </c>
      <c r="AN136" s="20">
        <f t="shared" si="27"/>
        <v>791000</v>
      </c>
      <c r="AO136" s="21">
        <v>50</v>
      </c>
      <c r="AP136" s="20">
        <f t="shared" si="28"/>
        <v>791000</v>
      </c>
      <c r="AQ136" s="7"/>
      <c r="AR136" s="20"/>
      <c r="AS136" s="90"/>
      <c r="AT136" s="21"/>
      <c r="AU136" s="21"/>
      <c r="AV136" s="21"/>
      <c r="AW136" s="89"/>
      <c r="AX136" s="89"/>
    </row>
    <row r="137" spans="1:50" s="21" customFormat="1" ht="30" customHeight="1" x14ac:dyDescent="0.2">
      <c r="A137" s="8">
        <v>109</v>
      </c>
      <c r="B137" s="46">
        <v>4</v>
      </c>
      <c r="C137" s="16" t="s">
        <v>52</v>
      </c>
      <c r="D137" s="48">
        <v>34210</v>
      </c>
      <c r="E137" s="47">
        <v>92</v>
      </c>
      <c r="F137" s="48">
        <v>6811</v>
      </c>
      <c r="G137" s="49">
        <v>4</v>
      </c>
      <c r="H137" s="48">
        <v>0</v>
      </c>
      <c r="I137" s="48">
        <v>0</v>
      </c>
      <c r="J137" s="48">
        <v>64</v>
      </c>
      <c r="K137" s="3"/>
      <c r="L137" s="16">
        <v>64</v>
      </c>
      <c r="M137" s="57"/>
      <c r="N137" s="58"/>
      <c r="P137" s="16">
        <v>2</v>
      </c>
      <c r="Q137" s="20">
        <v>64</v>
      </c>
      <c r="R137" s="14">
        <v>2000</v>
      </c>
      <c r="S137" s="19">
        <f t="shared" si="24"/>
        <v>128000</v>
      </c>
      <c r="T137" s="16"/>
      <c r="U137" s="16"/>
      <c r="V137" s="16"/>
      <c r="W137" s="5"/>
      <c r="X137" s="16"/>
      <c r="Y137" s="5"/>
      <c r="Z137" s="16"/>
      <c r="AA137" s="16"/>
      <c r="AB137" s="16"/>
      <c r="AE137" s="16"/>
      <c r="AG137" s="22"/>
      <c r="AH137" s="6"/>
      <c r="AJ137" s="20">
        <f t="shared" si="25"/>
        <v>0</v>
      </c>
      <c r="AK137" s="50"/>
      <c r="AL137" s="6"/>
      <c r="AM137" s="20">
        <f t="shared" si="26"/>
        <v>0</v>
      </c>
      <c r="AN137" s="20">
        <f t="shared" si="27"/>
        <v>128000</v>
      </c>
      <c r="AP137" s="20">
        <f t="shared" si="28"/>
        <v>128000</v>
      </c>
      <c r="AQ137" s="7"/>
      <c r="AR137" s="20"/>
      <c r="AS137" s="51"/>
    </row>
    <row r="138" spans="1:50" ht="30" customHeight="1" x14ac:dyDescent="0.2">
      <c r="A138" s="8">
        <v>110</v>
      </c>
      <c r="B138" s="13">
        <v>1</v>
      </c>
      <c r="C138" s="16" t="s">
        <v>65</v>
      </c>
      <c r="D138" s="17">
        <v>1927</v>
      </c>
      <c r="E138" s="17">
        <v>106</v>
      </c>
      <c r="H138" s="17">
        <v>2</v>
      </c>
      <c r="I138" s="17">
        <v>0</v>
      </c>
      <c r="J138" s="17">
        <v>60</v>
      </c>
      <c r="K138" s="10">
        <v>860</v>
      </c>
      <c r="Q138" s="19">
        <v>860</v>
      </c>
      <c r="R138" s="14">
        <v>160</v>
      </c>
      <c r="S138" s="20">
        <f t="shared" si="24"/>
        <v>137600</v>
      </c>
      <c r="AC138" s="21"/>
      <c r="AD138" s="21"/>
      <c r="AJ138" s="20">
        <f t="shared" si="25"/>
        <v>0</v>
      </c>
      <c r="AM138" s="20">
        <f t="shared" si="26"/>
        <v>0</v>
      </c>
      <c r="AN138" s="20">
        <f t="shared" si="27"/>
        <v>137600</v>
      </c>
      <c r="AP138" s="20">
        <f t="shared" si="28"/>
        <v>137600</v>
      </c>
      <c r="AQ138" s="12">
        <v>1E-4</v>
      </c>
      <c r="AR138" s="20"/>
    </row>
    <row r="139" spans="1:50" s="21" customFormat="1" ht="30" customHeight="1" x14ac:dyDescent="0.2">
      <c r="A139" s="8">
        <v>111</v>
      </c>
      <c r="B139" s="46">
        <v>1</v>
      </c>
      <c r="C139" s="16" t="s">
        <v>52</v>
      </c>
      <c r="D139" s="48">
        <v>2975</v>
      </c>
      <c r="E139" s="47">
        <v>4</v>
      </c>
      <c r="F139" s="48">
        <v>2043</v>
      </c>
      <c r="G139" s="49">
        <v>2</v>
      </c>
      <c r="H139" s="48">
        <v>4</v>
      </c>
      <c r="I139" s="48">
        <v>1</v>
      </c>
      <c r="J139" s="48">
        <v>60</v>
      </c>
      <c r="K139" s="3">
        <f>((4*400)+100+60)-L139</f>
        <v>1740</v>
      </c>
      <c r="L139" s="16">
        <v>20</v>
      </c>
      <c r="M139" s="57"/>
      <c r="N139" s="58"/>
      <c r="P139" s="16">
        <v>5</v>
      </c>
      <c r="Q139" s="20">
        <v>2160</v>
      </c>
      <c r="R139" s="14">
        <v>200</v>
      </c>
      <c r="S139" s="19">
        <f t="shared" si="24"/>
        <v>432000</v>
      </c>
      <c r="T139" s="16"/>
      <c r="U139" s="17" t="s">
        <v>57</v>
      </c>
      <c r="V139" s="16" t="s">
        <v>56</v>
      </c>
      <c r="W139" s="5">
        <v>80</v>
      </c>
      <c r="X139" s="16"/>
      <c r="Y139" s="5">
        <v>80</v>
      </c>
      <c r="Z139" s="16"/>
      <c r="AA139" s="16"/>
      <c r="AB139" s="16">
        <v>1</v>
      </c>
      <c r="AE139" s="16"/>
      <c r="AF139" s="21">
        <v>2</v>
      </c>
      <c r="AG139" s="22">
        <v>80</v>
      </c>
      <c r="AH139" s="6">
        <v>1</v>
      </c>
      <c r="AI139" s="21">
        <v>7250</v>
      </c>
      <c r="AJ139" s="20">
        <f t="shared" si="25"/>
        <v>580000</v>
      </c>
      <c r="AK139" s="50">
        <v>1</v>
      </c>
      <c r="AL139" s="6">
        <v>0.01</v>
      </c>
      <c r="AM139" s="20">
        <f t="shared" si="26"/>
        <v>574200</v>
      </c>
      <c r="AN139" s="20">
        <f t="shared" si="27"/>
        <v>1006200</v>
      </c>
      <c r="AP139" s="20">
        <f t="shared" si="28"/>
        <v>1006200</v>
      </c>
      <c r="AQ139" s="7"/>
      <c r="AR139" s="20"/>
      <c r="AS139" s="51"/>
    </row>
    <row r="140" spans="1:50" s="21" customFormat="1" ht="30" customHeight="1" x14ac:dyDescent="0.2">
      <c r="A140" s="8">
        <v>112</v>
      </c>
      <c r="B140" s="46">
        <v>1</v>
      </c>
      <c r="C140" s="16" t="s">
        <v>52</v>
      </c>
      <c r="D140" s="48">
        <v>2987</v>
      </c>
      <c r="E140" s="47">
        <v>10</v>
      </c>
      <c r="F140" s="48">
        <v>2055</v>
      </c>
      <c r="G140" s="49">
        <v>2</v>
      </c>
      <c r="H140" s="48">
        <v>0</v>
      </c>
      <c r="I140" s="48">
        <v>1</v>
      </c>
      <c r="J140" s="48">
        <v>58</v>
      </c>
      <c r="K140" s="3">
        <v>158</v>
      </c>
      <c r="L140" s="16"/>
      <c r="M140" s="57"/>
      <c r="N140" s="58"/>
      <c r="P140" s="16">
        <v>1</v>
      </c>
      <c r="Q140" s="20">
        <v>158</v>
      </c>
      <c r="R140" s="14">
        <v>250</v>
      </c>
      <c r="S140" s="19">
        <f t="shared" si="24"/>
        <v>39500</v>
      </c>
      <c r="T140" s="16"/>
      <c r="U140" s="17"/>
      <c r="V140" s="17"/>
      <c r="W140" s="4"/>
      <c r="X140" s="16"/>
      <c r="Y140" s="5"/>
      <c r="Z140" s="16"/>
      <c r="AA140" s="16"/>
      <c r="AB140" s="16"/>
      <c r="AE140" s="16"/>
      <c r="AG140" s="22"/>
      <c r="AH140" s="6"/>
      <c r="AJ140" s="20">
        <f t="shared" si="25"/>
        <v>0</v>
      </c>
      <c r="AK140" s="50"/>
      <c r="AL140" s="6"/>
      <c r="AM140" s="20">
        <f t="shared" si="26"/>
        <v>0</v>
      </c>
      <c r="AN140" s="20">
        <f t="shared" si="27"/>
        <v>39500</v>
      </c>
      <c r="AP140" s="20">
        <f t="shared" si="28"/>
        <v>39500</v>
      </c>
      <c r="AQ140" s="7"/>
      <c r="AR140" s="20"/>
      <c r="AS140" s="51"/>
    </row>
    <row r="141" spans="1:50" s="21" customFormat="1" ht="30" customHeight="1" x14ac:dyDescent="0.2">
      <c r="A141" s="8">
        <v>113</v>
      </c>
      <c r="B141" s="46">
        <v>1</v>
      </c>
      <c r="C141" s="16" t="s">
        <v>52</v>
      </c>
      <c r="D141" s="48">
        <v>1304</v>
      </c>
      <c r="E141" s="47">
        <v>1</v>
      </c>
      <c r="F141" s="48">
        <v>893</v>
      </c>
      <c r="G141" s="49">
        <v>2</v>
      </c>
      <c r="H141" s="48">
        <v>0</v>
      </c>
      <c r="I141" s="48">
        <v>2</v>
      </c>
      <c r="J141" s="48">
        <v>55</v>
      </c>
      <c r="K141" s="3"/>
      <c r="L141" s="16"/>
      <c r="M141" s="57"/>
      <c r="N141" s="58">
        <v>255</v>
      </c>
      <c r="P141" s="16">
        <v>4</v>
      </c>
      <c r="Q141" s="20">
        <f>+N141</f>
        <v>255</v>
      </c>
      <c r="R141" s="14">
        <v>160</v>
      </c>
      <c r="S141" s="20">
        <f t="shared" si="24"/>
        <v>40800</v>
      </c>
      <c r="T141" s="16"/>
      <c r="U141" s="17"/>
      <c r="V141" s="17"/>
      <c r="W141" s="4"/>
      <c r="X141" s="16"/>
      <c r="Y141" s="5"/>
      <c r="Z141" s="16"/>
      <c r="AA141" s="16"/>
      <c r="AB141" s="16"/>
      <c r="AE141" s="16"/>
      <c r="AG141" s="22">
        <f>Y141</f>
        <v>0</v>
      </c>
      <c r="AH141" s="6"/>
      <c r="AJ141" s="20">
        <f t="shared" si="25"/>
        <v>0</v>
      </c>
      <c r="AK141" s="50"/>
      <c r="AL141" s="6"/>
      <c r="AM141" s="20">
        <f t="shared" si="26"/>
        <v>0</v>
      </c>
      <c r="AN141" s="20">
        <f t="shared" si="27"/>
        <v>40800</v>
      </c>
      <c r="AP141" s="20">
        <f t="shared" si="28"/>
        <v>40800</v>
      </c>
      <c r="AQ141" s="7">
        <v>3.0000000000000001E-3</v>
      </c>
      <c r="AR141" s="20"/>
      <c r="AS141" s="51"/>
    </row>
    <row r="142" spans="1:50" s="21" customFormat="1" ht="30" customHeight="1" x14ac:dyDescent="0.2">
      <c r="A142" s="8">
        <v>114</v>
      </c>
      <c r="B142" s="46">
        <v>2</v>
      </c>
      <c r="C142" s="16" t="s">
        <v>52</v>
      </c>
      <c r="D142" s="48">
        <v>25993</v>
      </c>
      <c r="E142" s="47">
        <v>504</v>
      </c>
      <c r="F142" s="48">
        <v>4910</v>
      </c>
      <c r="G142" s="49">
        <v>1</v>
      </c>
      <c r="H142" s="48">
        <v>0</v>
      </c>
      <c r="I142" s="48">
        <v>0</v>
      </c>
      <c r="J142" s="48">
        <v>35</v>
      </c>
      <c r="K142" s="3">
        <v>35</v>
      </c>
      <c r="L142" s="16"/>
      <c r="M142" s="57"/>
      <c r="N142" s="58"/>
      <c r="P142" s="16">
        <v>1</v>
      </c>
      <c r="Q142" s="20">
        <v>35</v>
      </c>
      <c r="R142" s="14">
        <v>250</v>
      </c>
      <c r="S142" s="20">
        <f t="shared" si="24"/>
        <v>8750</v>
      </c>
      <c r="T142" s="16"/>
      <c r="U142" s="17"/>
      <c r="V142" s="17"/>
      <c r="W142" s="4"/>
      <c r="X142" s="16"/>
      <c r="Y142" s="5"/>
      <c r="Z142" s="16"/>
      <c r="AA142" s="16"/>
      <c r="AB142" s="16"/>
      <c r="AE142" s="16"/>
      <c r="AG142" s="22"/>
      <c r="AH142" s="6"/>
      <c r="AJ142" s="20">
        <f t="shared" si="25"/>
        <v>0</v>
      </c>
      <c r="AK142" s="50"/>
      <c r="AL142" s="6"/>
      <c r="AM142" s="20">
        <f t="shared" si="26"/>
        <v>0</v>
      </c>
      <c r="AN142" s="20">
        <f t="shared" si="27"/>
        <v>8750</v>
      </c>
      <c r="AP142" s="20">
        <f t="shared" si="28"/>
        <v>8750</v>
      </c>
      <c r="AQ142" s="7"/>
      <c r="AR142" s="20"/>
      <c r="AS142" s="51"/>
    </row>
    <row r="143" spans="1:50" s="21" customFormat="1" ht="30" customHeight="1" x14ac:dyDescent="0.2">
      <c r="A143" s="8">
        <v>115</v>
      </c>
      <c r="B143" s="46">
        <v>1</v>
      </c>
      <c r="C143" s="16" t="s">
        <v>52</v>
      </c>
      <c r="D143" s="48">
        <v>18764</v>
      </c>
      <c r="E143" s="47">
        <v>174</v>
      </c>
      <c r="F143" s="48">
        <v>4369</v>
      </c>
      <c r="G143" s="49">
        <v>1</v>
      </c>
      <c r="H143" s="48">
        <v>1</v>
      </c>
      <c r="I143" s="48">
        <v>1</v>
      </c>
      <c r="J143" s="48">
        <v>87</v>
      </c>
      <c r="K143" s="3">
        <v>587</v>
      </c>
      <c r="L143" s="16"/>
      <c r="M143" s="57"/>
      <c r="N143" s="58"/>
      <c r="P143" s="16">
        <v>1</v>
      </c>
      <c r="Q143" s="20">
        <v>587</v>
      </c>
      <c r="R143" s="14">
        <v>1500</v>
      </c>
      <c r="S143" s="19">
        <f t="shared" si="24"/>
        <v>880500</v>
      </c>
      <c r="T143" s="16"/>
      <c r="U143" s="17"/>
      <c r="V143" s="17"/>
      <c r="W143" s="4"/>
      <c r="X143" s="16"/>
      <c r="Y143" s="5"/>
      <c r="Z143" s="16"/>
      <c r="AA143" s="16"/>
      <c r="AB143" s="16"/>
      <c r="AE143" s="16"/>
      <c r="AG143" s="22"/>
      <c r="AH143" s="6"/>
      <c r="AJ143" s="20">
        <f t="shared" si="25"/>
        <v>0</v>
      </c>
      <c r="AK143" s="50"/>
      <c r="AL143" s="6"/>
      <c r="AM143" s="20">
        <f t="shared" si="26"/>
        <v>0</v>
      </c>
      <c r="AN143" s="20">
        <f t="shared" si="27"/>
        <v>880500</v>
      </c>
      <c r="AP143" s="20">
        <f t="shared" si="28"/>
        <v>880500</v>
      </c>
      <c r="AQ143" s="7"/>
      <c r="AR143" s="20"/>
      <c r="AS143" s="51">
        <v>9</v>
      </c>
    </row>
    <row r="144" spans="1:50" s="21" customFormat="1" ht="30" customHeight="1" x14ac:dyDescent="0.2">
      <c r="A144" s="8">
        <v>116</v>
      </c>
      <c r="B144" s="46">
        <v>1</v>
      </c>
      <c r="C144" s="16" t="s">
        <v>52</v>
      </c>
      <c r="D144" s="48">
        <v>2978</v>
      </c>
      <c r="E144" s="47">
        <v>5</v>
      </c>
      <c r="F144" s="48">
        <v>2046</v>
      </c>
      <c r="G144" s="49">
        <v>2</v>
      </c>
      <c r="H144" s="48">
        <v>0</v>
      </c>
      <c r="I144" s="48">
        <v>1</v>
      </c>
      <c r="J144" s="48">
        <v>23</v>
      </c>
      <c r="K144" s="3"/>
      <c r="L144" s="16"/>
      <c r="M144" s="57"/>
      <c r="N144" s="91">
        <v>123</v>
      </c>
      <c r="P144" s="16">
        <v>4</v>
      </c>
      <c r="Q144" s="20">
        <v>123</v>
      </c>
      <c r="R144" s="14">
        <v>160</v>
      </c>
      <c r="S144" s="19">
        <f t="shared" si="24"/>
        <v>19680</v>
      </c>
      <c r="T144" s="16"/>
      <c r="U144" s="17"/>
      <c r="V144" s="17"/>
      <c r="W144" s="4"/>
      <c r="X144" s="16"/>
      <c r="Y144" s="5"/>
      <c r="Z144" s="16"/>
      <c r="AA144" s="16"/>
      <c r="AB144" s="16"/>
      <c r="AE144" s="16"/>
      <c r="AG144" s="22"/>
      <c r="AH144" s="6"/>
      <c r="AJ144" s="20">
        <f t="shared" si="25"/>
        <v>0</v>
      </c>
      <c r="AK144" s="50"/>
      <c r="AL144" s="6"/>
      <c r="AM144" s="20">
        <f t="shared" si="26"/>
        <v>0</v>
      </c>
      <c r="AN144" s="20">
        <f t="shared" si="27"/>
        <v>19680</v>
      </c>
      <c r="AP144" s="20">
        <f t="shared" si="28"/>
        <v>19680</v>
      </c>
      <c r="AQ144" s="7">
        <v>3.0000000000000001E-3</v>
      </c>
      <c r="AR144" s="20"/>
      <c r="AS144" s="51">
        <v>2</v>
      </c>
    </row>
    <row r="145" spans="1:45" s="21" customFormat="1" ht="30" customHeight="1" x14ac:dyDescent="0.2">
      <c r="A145" s="8">
        <v>117</v>
      </c>
      <c r="B145" s="46">
        <v>2</v>
      </c>
      <c r="C145" s="16" t="s">
        <v>52</v>
      </c>
      <c r="D145" s="48">
        <v>35663</v>
      </c>
      <c r="E145" s="47">
        <v>137</v>
      </c>
      <c r="F145" s="48">
        <v>7066</v>
      </c>
      <c r="G145" s="49">
        <v>5</v>
      </c>
      <c r="H145" s="48">
        <v>0</v>
      </c>
      <c r="I145" s="48">
        <v>0</v>
      </c>
      <c r="J145" s="48">
        <v>64</v>
      </c>
      <c r="K145" s="3"/>
      <c r="L145" s="16"/>
      <c r="M145" s="57"/>
      <c r="N145" s="58">
        <v>64</v>
      </c>
      <c r="P145" s="16">
        <v>4</v>
      </c>
      <c r="Q145" s="20">
        <v>64</v>
      </c>
      <c r="R145" s="14">
        <v>160</v>
      </c>
      <c r="S145" s="19">
        <f t="shared" si="24"/>
        <v>10240</v>
      </c>
      <c r="T145" s="16"/>
      <c r="U145" s="17"/>
      <c r="V145" s="17"/>
      <c r="W145" s="4"/>
      <c r="X145" s="16"/>
      <c r="Y145" s="5"/>
      <c r="Z145" s="16"/>
      <c r="AA145" s="16"/>
      <c r="AB145" s="16"/>
      <c r="AC145" s="14"/>
      <c r="AD145" s="14"/>
      <c r="AE145" s="16"/>
      <c r="AG145" s="22">
        <f>Y145</f>
        <v>0</v>
      </c>
      <c r="AH145" s="6"/>
      <c r="AJ145" s="20">
        <f t="shared" si="25"/>
        <v>0</v>
      </c>
      <c r="AK145" s="50"/>
      <c r="AL145" s="6"/>
      <c r="AM145" s="20">
        <f t="shared" si="26"/>
        <v>0</v>
      </c>
      <c r="AN145" s="20">
        <f t="shared" si="27"/>
        <v>10240</v>
      </c>
      <c r="AP145" s="20">
        <f t="shared" si="28"/>
        <v>10240</v>
      </c>
      <c r="AQ145" s="7">
        <v>3.0000000000000001E-3</v>
      </c>
      <c r="AR145" s="20"/>
      <c r="AS145" s="51"/>
    </row>
    <row r="146" spans="1:45" s="21" customFormat="1" ht="30" customHeight="1" x14ac:dyDescent="0.2">
      <c r="A146" s="8">
        <v>118</v>
      </c>
      <c r="B146" s="46">
        <v>1</v>
      </c>
      <c r="C146" s="16" t="s">
        <v>52</v>
      </c>
      <c r="D146" s="48">
        <v>35577</v>
      </c>
      <c r="E146" s="47">
        <v>26</v>
      </c>
      <c r="F146" s="48">
        <v>6944</v>
      </c>
      <c r="G146" s="49">
        <v>1</v>
      </c>
      <c r="H146" s="48">
        <v>2</v>
      </c>
      <c r="I146" s="48">
        <v>3</v>
      </c>
      <c r="J146" s="48">
        <v>26.08</v>
      </c>
      <c r="K146" s="3">
        <f>800+300+26.08</f>
        <v>1126.08</v>
      </c>
      <c r="L146" s="16"/>
      <c r="M146" s="57"/>
      <c r="N146" s="58"/>
      <c r="P146" s="16">
        <v>1</v>
      </c>
      <c r="Q146" s="20">
        <v>1126.08</v>
      </c>
      <c r="R146" s="14">
        <v>160</v>
      </c>
      <c r="S146" s="20">
        <f t="shared" si="24"/>
        <v>180172.79999999999</v>
      </c>
      <c r="T146" s="16"/>
      <c r="U146" s="17"/>
      <c r="V146" s="17"/>
      <c r="W146" s="4"/>
      <c r="X146" s="16"/>
      <c r="Y146" s="5"/>
      <c r="Z146" s="16"/>
      <c r="AA146" s="16"/>
      <c r="AB146" s="16"/>
      <c r="AE146" s="16"/>
      <c r="AG146" s="22"/>
      <c r="AH146" s="6"/>
      <c r="AJ146" s="20">
        <f t="shared" si="25"/>
        <v>0</v>
      </c>
      <c r="AK146" s="50"/>
      <c r="AL146" s="6"/>
      <c r="AM146" s="20">
        <f t="shared" si="26"/>
        <v>0</v>
      </c>
      <c r="AN146" s="20">
        <f t="shared" si="27"/>
        <v>180172.79999999999</v>
      </c>
      <c r="AP146" s="20">
        <f t="shared" si="28"/>
        <v>180172.79999999999</v>
      </c>
      <c r="AQ146" s="7"/>
      <c r="AR146" s="20"/>
      <c r="AS146" s="51"/>
    </row>
    <row r="147" spans="1:45" ht="30" customHeight="1" x14ac:dyDescent="0.2">
      <c r="A147" s="8">
        <v>119</v>
      </c>
      <c r="B147" s="13">
        <v>1</v>
      </c>
      <c r="C147" s="16" t="s">
        <v>69</v>
      </c>
      <c r="E147" s="17">
        <v>162</v>
      </c>
      <c r="F147" s="17">
        <v>12</v>
      </c>
      <c r="G147" s="13">
        <v>1</v>
      </c>
      <c r="H147" s="17">
        <v>9</v>
      </c>
      <c r="I147" s="17">
        <v>1</v>
      </c>
      <c r="J147" s="17">
        <v>23</v>
      </c>
      <c r="K147" s="10">
        <v>3723</v>
      </c>
      <c r="P147" s="17">
        <v>1</v>
      </c>
      <c r="Q147" s="19">
        <v>3723</v>
      </c>
      <c r="R147" s="14">
        <v>160</v>
      </c>
      <c r="S147" s="19">
        <f t="shared" si="24"/>
        <v>595680</v>
      </c>
      <c r="AJ147" s="20">
        <f t="shared" si="25"/>
        <v>0</v>
      </c>
      <c r="AM147" s="20">
        <f t="shared" si="26"/>
        <v>0</v>
      </c>
      <c r="AN147" s="20">
        <f t="shared" si="27"/>
        <v>595680</v>
      </c>
      <c r="AP147" s="20">
        <f t="shared" si="28"/>
        <v>595680</v>
      </c>
      <c r="AQ147" s="12">
        <v>1E-4</v>
      </c>
      <c r="AR147" s="20"/>
    </row>
    <row r="148" spans="1:45" ht="30" customHeight="1" x14ac:dyDescent="0.2">
      <c r="A148" s="8">
        <v>120</v>
      </c>
      <c r="B148" s="13">
        <v>2</v>
      </c>
      <c r="C148" s="16" t="s">
        <v>69</v>
      </c>
      <c r="E148" s="17">
        <v>164</v>
      </c>
      <c r="F148" s="17">
        <v>2</v>
      </c>
      <c r="G148" s="13">
        <v>1</v>
      </c>
      <c r="H148" s="17">
        <v>37</v>
      </c>
      <c r="I148" s="17">
        <v>2</v>
      </c>
      <c r="J148" s="17">
        <v>53</v>
      </c>
      <c r="K148" s="10">
        <v>15053</v>
      </c>
      <c r="P148" s="17">
        <v>1</v>
      </c>
      <c r="Q148" s="19">
        <v>15053</v>
      </c>
      <c r="R148" s="14">
        <v>160</v>
      </c>
      <c r="S148" s="19">
        <f t="shared" si="24"/>
        <v>2408480</v>
      </c>
      <c r="AJ148" s="20">
        <f t="shared" si="25"/>
        <v>0</v>
      </c>
      <c r="AM148" s="20">
        <f t="shared" si="26"/>
        <v>0</v>
      </c>
      <c r="AN148" s="20">
        <f t="shared" si="27"/>
        <v>2408480</v>
      </c>
      <c r="AP148" s="20">
        <f t="shared" si="28"/>
        <v>2408480</v>
      </c>
      <c r="AQ148" s="12">
        <v>1E-4</v>
      </c>
      <c r="AR148" s="20"/>
    </row>
    <row r="149" spans="1:45" s="21" customFormat="1" ht="30" customHeight="1" x14ac:dyDescent="0.2">
      <c r="A149" s="8">
        <v>121</v>
      </c>
      <c r="B149" s="46">
        <v>1</v>
      </c>
      <c r="C149" s="16" t="s">
        <v>52</v>
      </c>
      <c r="D149" s="48">
        <v>33325</v>
      </c>
      <c r="E149" s="47">
        <v>333</v>
      </c>
      <c r="F149" s="48">
        <v>6701</v>
      </c>
      <c r="G149" s="49">
        <v>1</v>
      </c>
      <c r="H149" s="48">
        <v>0</v>
      </c>
      <c r="I149" s="48">
        <v>0</v>
      </c>
      <c r="J149" s="48">
        <v>71</v>
      </c>
      <c r="K149" s="3"/>
      <c r="L149" s="16">
        <v>71</v>
      </c>
      <c r="M149" s="57"/>
      <c r="N149" s="58"/>
      <c r="P149" s="16">
        <v>2</v>
      </c>
      <c r="Q149" s="20">
        <v>71</v>
      </c>
      <c r="R149" s="14">
        <v>250</v>
      </c>
      <c r="S149" s="20">
        <f t="shared" si="24"/>
        <v>17750</v>
      </c>
      <c r="T149" s="16"/>
      <c r="U149" s="16" t="s">
        <v>63</v>
      </c>
      <c r="V149" s="16" t="s">
        <v>56</v>
      </c>
      <c r="W149" s="5"/>
      <c r="X149" s="16"/>
      <c r="Y149" s="5">
        <v>108</v>
      </c>
      <c r="Z149" s="16"/>
      <c r="AA149" s="16"/>
      <c r="AB149" s="16">
        <f>62-54</f>
        <v>8</v>
      </c>
      <c r="AE149" s="16"/>
      <c r="AF149" s="21">
        <v>2</v>
      </c>
      <c r="AG149" s="22">
        <v>108</v>
      </c>
      <c r="AH149" s="6">
        <v>1</v>
      </c>
      <c r="AI149" s="21">
        <v>7250</v>
      </c>
      <c r="AJ149" s="20">
        <f t="shared" si="25"/>
        <v>783000</v>
      </c>
      <c r="AK149" s="50">
        <v>8</v>
      </c>
      <c r="AL149" s="6"/>
      <c r="AM149" s="20">
        <f t="shared" si="26"/>
        <v>783000</v>
      </c>
      <c r="AN149" s="20">
        <f t="shared" si="27"/>
        <v>800750</v>
      </c>
      <c r="AP149" s="20">
        <f t="shared" si="28"/>
        <v>800750</v>
      </c>
      <c r="AQ149" s="7"/>
      <c r="AR149" s="20"/>
      <c r="AS149" s="51"/>
    </row>
    <row r="150" spans="1:45" s="21" customFormat="1" ht="30" customHeight="1" x14ac:dyDescent="0.2">
      <c r="A150" s="8">
        <v>122</v>
      </c>
      <c r="B150" s="46">
        <v>1</v>
      </c>
      <c r="C150" s="16" t="s">
        <v>52</v>
      </c>
      <c r="D150" s="48">
        <v>1445</v>
      </c>
      <c r="E150" s="47">
        <v>20</v>
      </c>
      <c r="F150" s="48">
        <v>899</v>
      </c>
      <c r="G150" s="49">
        <v>2</v>
      </c>
      <c r="H150" s="48">
        <v>0</v>
      </c>
      <c r="I150" s="48">
        <v>0</v>
      </c>
      <c r="J150" s="48">
        <v>92</v>
      </c>
      <c r="K150" s="3"/>
      <c r="L150" s="21">
        <v>92</v>
      </c>
      <c r="M150" s="52"/>
      <c r="N150" s="58"/>
      <c r="P150" s="16">
        <v>3</v>
      </c>
      <c r="Q150" s="20">
        <v>92</v>
      </c>
      <c r="R150" s="14">
        <v>160</v>
      </c>
      <c r="S150" s="19">
        <f t="shared" si="24"/>
        <v>14720</v>
      </c>
      <c r="T150" s="16"/>
      <c r="U150" s="17" t="s">
        <v>63</v>
      </c>
      <c r="V150" s="16" t="s">
        <v>56</v>
      </c>
      <c r="W150" s="5"/>
      <c r="X150" s="16"/>
      <c r="Y150" s="5">
        <v>72</v>
      </c>
      <c r="Z150" s="16"/>
      <c r="AA150" s="16"/>
      <c r="AB150" s="16">
        <f>62-55</f>
        <v>7</v>
      </c>
      <c r="AE150" s="16"/>
      <c r="AF150" s="21">
        <v>2</v>
      </c>
      <c r="AG150" s="22">
        <v>72</v>
      </c>
      <c r="AH150" s="6">
        <v>1</v>
      </c>
      <c r="AI150" s="21">
        <v>7250</v>
      </c>
      <c r="AJ150" s="20">
        <f t="shared" si="25"/>
        <v>522000</v>
      </c>
      <c r="AK150" s="50">
        <v>7</v>
      </c>
      <c r="AL150" s="6"/>
      <c r="AM150" s="20">
        <f t="shared" si="26"/>
        <v>522000</v>
      </c>
      <c r="AN150" s="20">
        <f t="shared" si="27"/>
        <v>536720</v>
      </c>
      <c r="AP150" s="20">
        <f t="shared" si="28"/>
        <v>536720</v>
      </c>
      <c r="AQ150" s="7"/>
      <c r="AR150" s="20"/>
      <c r="AS150" s="51"/>
    </row>
    <row r="151" spans="1:45" s="21" customFormat="1" ht="30" customHeight="1" x14ac:dyDescent="0.2">
      <c r="A151" s="8">
        <v>123</v>
      </c>
      <c r="B151" s="46">
        <v>1</v>
      </c>
      <c r="C151" s="16" t="s">
        <v>52</v>
      </c>
      <c r="D151" s="48">
        <v>2601</v>
      </c>
      <c r="E151" s="47">
        <v>11</v>
      </c>
      <c r="F151" s="48">
        <v>1857</v>
      </c>
      <c r="G151" s="49">
        <v>1</v>
      </c>
      <c r="H151" s="48">
        <v>0</v>
      </c>
      <c r="I151" s="48">
        <v>1</v>
      </c>
      <c r="J151" s="48">
        <v>80</v>
      </c>
      <c r="K151" s="3"/>
      <c r="L151" s="16">
        <v>180</v>
      </c>
      <c r="M151" s="57"/>
      <c r="N151" s="58"/>
      <c r="P151" s="16">
        <v>1</v>
      </c>
      <c r="Q151" s="20">
        <v>180</v>
      </c>
      <c r="R151" s="14">
        <v>200</v>
      </c>
      <c r="S151" s="19">
        <f t="shared" si="24"/>
        <v>36000</v>
      </c>
      <c r="T151" s="16"/>
      <c r="U151" s="17"/>
      <c r="V151" s="17"/>
      <c r="W151" s="4"/>
      <c r="X151" s="16"/>
      <c r="Y151" s="5"/>
      <c r="Z151" s="16"/>
      <c r="AA151" s="16"/>
      <c r="AB151" s="16"/>
      <c r="AE151" s="16"/>
      <c r="AG151" s="22">
        <f t="shared" ref="AG151:AG177" si="29">Y151</f>
        <v>0</v>
      </c>
      <c r="AH151" s="6"/>
      <c r="AJ151" s="20">
        <f t="shared" si="25"/>
        <v>0</v>
      </c>
      <c r="AK151" s="50"/>
      <c r="AL151" s="6"/>
      <c r="AM151" s="20">
        <f t="shared" si="26"/>
        <v>0</v>
      </c>
      <c r="AN151" s="20">
        <f t="shared" si="27"/>
        <v>36000</v>
      </c>
      <c r="AP151" s="20">
        <f t="shared" si="28"/>
        <v>36000</v>
      </c>
      <c r="AQ151" s="7"/>
      <c r="AR151" s="20"/>
      <c r="AS151" s="51"/>
    </row>
    <row r="152" spans="1:45" s="21" customFormat="1" ht="30" customHeight="1" x14ac:dyDescent="0.2">
      <c r="A152" s="8">
        <v>124</v>
      </c>
      <c r="B152" s="46">
        <v>1</v>
      </c>
      <c r="C152" s="16" t="s">
        <v>52</v>
      </c>
      <c r="D152" s="48">
        <v>1096</v>
      </c>
      <c r="E152" s="47">
        <v>12</v>
      </c>
      <c r="F152" s="48">
        <v>985</v>
      </c>
      <c r="G152" s="49">
        <v>1</v>
      </c>
      <c r="H152" s="48">
        <v>3</v>
      </c>
      <c r="I152" s="48">
        <v>0</v>
      </c>
      <c r="J152" s="48">
        <v>28</v>
      </c>
      <c r="K152" s="3">
        <f>1200+28</f>
        <v>1228</v>
      </c>
      <c r="L152" s="16"/>
      <c r="M152" s="57"/>
      <c r="N152" s="58"/>
      <c r="P152" s="16">
        <v>1</v>
      </c>
      <c r="Q152" s="20">
        <v>1228</v>
      </c>
      <c r="R152" s="14">
        <v>200</v>
      </c>
      <c r="S152" s="20">
        <f t="shared" si="24"/>
        <v>245600</v>
      </c>
      <c r="T152" s="16"/>
      <c r="U152" s="17"/>
      <c r="V152" s="17"/>
      <c r="W152" s="4"/>
      <c r="X152" s="16"/>
      <c r="Y152" s="5"/>
      <c r="Z152" s="16"/>
      <c r="AA152" s="16"/>
      <c r="AB152" s="16"/>
      <c r="AC152" s="14"/>
      <c r="AD152" s="14"/>
      <c r="AE152" s="16"/>
      <c r="AG152" s="22">
        <f t="shared" si="29"/>
        <v>0</v>
      </c>
      <c r="AH152" s="6"/>
      <c r="AJ152" s="20">
        <f t="shared" si="25"/>
        <v>0</v>
      </c>
      <c r="AK152" s="50"/>
      <c r="AL152" s="6"/>
      <c r="AM152" s="20">
        <f t="shared" si="26"/>
        <v>0</v>
      </c>
      <c r="AN152" s="20">
        <f t="shared" si="27"/>
        <v>245600</v>
      </c>
      <c r="AP152" s="20">
        <f t="shared" si="28"/>
        <v>245600</v>
      </c>
      <c r="AQ152" s="7"/>
      <c r="AR152" s="20"/>
      <c r="AS152" s="51">
        <v>17</v>
      </c>
    </row>
    <row r="153" spans="1:45" ht="30" customHeight="1" x14ac:dyDescent="0.2">
      <c r="A153" s="8">
        <v>125</v>
      </c>
      <c r="B153" s="13">
        <v>1</v>
      </c>
      <c r="C153" s="16" t="s">
        <v>69</v>
      </c>
      <c r="E153" s="17">
        <v>2328</v>
      </c>
      <c r="F153" s="17">
        <v>28</v>
      </c>
      <c r="G153" s="13">
        <v>1</v>
      </c>
      <c r="H153" s="17">
        <v>2</v>
      </c>
      <c r="I153" s="17">
        <v>2</v>
      </c>
      <c r="J153" s="17">
        <v>34</v>
      </c>
      <c r="K153" s="10">
        <v>1034</v>
      </c>
      <c r="P153" s="17">
        <v>1</v>
      </c>
      <c r="Q153" s="19">
        <v>1034</v>
      </c>
      <c r="R153" s="14">
        <v>200</v>
      </c>
      <c r="S153" s="19">
        <f t="shared" si="24"/>
        <v>206800</v>
      </c>
      <c r="AG153" s="22">
        <f t="shared" si="29"/>
        <v>0</v>
      </c>
      <c r="AJ153" s="20">
        <f t="shared" si="25"/>
        <v>0</v>
      </c>
      <c r="AM153" s="20">
        <f t="shared" si="26"/>
        <v>0</v>
      </c>
      <c r="AN153" s="20">
        <f t="shared" si="27"/>
        <v>206800</v>
      </c>
      <c r="AP153" s="20">
        <f t="shared" si="28"/>
        <v>206800</v>
      </c>
      <c r="AQ153" s="12">
        <v>1E-4</v>
      </c>
      <c r="AR153" s="20"/>
    </row>
    <row r="154" spans="1:45" ht="30" customHeight="1" x14ac:dyDescent="0.2">
      <c r="A154" s="8">
        <v>126</v>
      </c>
      <c r="B154" s="13">
        <v>2</v>
      </c>
      <c r="C154" s="16" t="s">
        <v>69</v>
      </c>
      <c r="E154" s="17">
        <v>2328</v>
      </c>
      <c r="F154" s="17">
        <v>27</v>
      </c>
      <c r="G154" s="13">
        <v>1</v>
      </c>
      <c r="H154" s="17">
        <v>2</v>
      </c>
      <c r="I154" s="17">
        <v>1</v>
      </c>
      <c r="J154" s="17">
        <v>12</v>
      </c>
      <c r="K154" s="10">
        <v>912</v>
      </c>
      <c r="P154" s="17">
        <v>1</v>
      </c>
      <c r="Q154" s="19">
        <v>912</v>
      </c>
      <c r="R154" s="14">
        <v>200</v>
      </c>
      <c r="S154" s="19">
        <f t="shared" si="24"/>
        <v>182400</v>
      </c>
      <c r="AG154" s="22">
        <f t="shared" si="29"/>
        <v>0</v>
      </c>
      <c r="AJ154" s="20">
        <f t="shared" si="25"/>
        <v>0</v>
      </c>
      <c r="AM154" s="20">
        <f t="shared" si="26"/>
        <v>0</v>
      </c>
      <c r="AN154" s="20">
        <f t="shared" ref="AN154:AN182" si="30">+S154+AM154</f>
        <v>182400</v>
      </c>
      <c r="AP154" s="20">
        <f t="shared" si="28"/>
        <v>182400</v>
      </c>
      <c r="AQ154" s="12">
        <v>1E-4</v>
      </c>
      <c r="AR154" s="20"/>
    </row>
    <row r="155" spans="1:45" s="21" customFormat="1" ht="30" customHeight="1" x14ac:dyDescent="0.2">
      <c r="A155" s="8">
        <v>127</v>
      </c>
      <c r="B155" s="46">
        <v>1</v>
      </c>
      <c r="C155" s="16" t="s">
        <v>52</v>
      </c>
      <c r="D155" s="48">
        <v>3025</v>
      </c>
      <c r="E155" s="47">
        <v>71</v>
      </c>
      <c r="F155" s="48">
        <v>2097</v>
      </c>
      <c r="G155" s="49">
        <v>2</v>
      </c>
      <c r="H155" s="48">
        <v>0</v>
      </c>
      <c r="I155" s="48">
        <v>0</v>
      </c>
      <c r="J155" s="48">
        <v>34</v>
      </c>
      <c r="K155" s="3">
        <v>34</v>
      </c>
      <c r="L155" s="16"/>
      <c r="M155" s="57"/>
      <c r="N155" s="58"/>
      <c r="P155" s="16">
        <v>1</v>
      </c>
      <c r="Q155" s="20">
        <v>34</v>
      </c>
      <c r="R155" s="14">
        <v>250</v>
      </c>
      <c r="S155" s="20">
        <f t="shared" si="24"/>
        <v>8500</v>
      </c>
      <c r="T155" s="16"/>
      <c r="U155" s="17"/>
      <c r="V155" s="17"/>
      <c r="W155" s="4"/>
      <c r="X155" s="16"/>
      <c r="Y155" s="5"/>
      <c r="Z155" s="16"/>
      <c r="AA155" s="16"/>
      <c r="AB155" s="16"/>
      <c r="AE155" s="16"/>
      <c r="AG155" s="22">
        <f t="shared" si="29"/>
        <v>0</v>
      </c>
      <c r="AH155" s="6"/>
      <c r="AJ155" s="20">
        <f t="shared" si="25"/>
        <v>0</v>
      </c>
      <c r="AK155" s="50"/>
      <c r="AL155" s="6"/>
      <c r="AM155" s="20">
        <f t="shared" si="26"/>
        <v>0</v>
      </c>
      <c r="AN155" s="20">
        <f t="shared" si="30"/>
        <v>8500</v>
      </c>
      <c r="AP155" s="20">
        <f t="shared" si="28"/>
        <v>8500</v>
      </c>
      <c r="AQ155" s="7"/>
      <c r="AR155" s="20"/>
      <c r="AS155" s="51"/>
    </row>
    <row r="156" spans="1:45" s="21" customFormat="1" ht="30" customHeight="1" x14ac:dyDescent="0.2">
      <c r="A156" s="8">
        <v>128</v>
      </c>
      <c r="B156" s="46">
        <v>1</v>
      </c>
      <c r="C156" s="16" t="s">
        <v>52</v>
      </c>
      <c r="D156" s="48">
        <v>1551</v>
      </c>
      <c r="E156" s="47">
        <v>56</v>
      </c>
      <c r="F156" s="48">
        <v>469</v>
      </c>
      <c r="G156" s="49">
        <v>2</v>
      </c>
      <c r="H156" s="48">
        <v>1</v>
      </c>
      <c r="I156" s="48">
        <v>0</v>
      </c>
      <c r="J156" s="48">
        <v>0</v>
      </c>
      <c r="K156" s="3">
        <v>400</v>
      </c>
      <c r="L156" s="16"/>
      <c r="M156" s="57"/>
      <c r="N156" s="58"/>
      <c r="P156" s="16">
        <v>1</v>
      </c>
      <c r="Q156" s="20">
        <v>400</v>
      </c>
      <c r="R156" s="14">
        <v>200</v>
      </c>
      <c r="S156" s="19">
        <f t="shared" si="24"/>
        <v>80000</v>
      </c>
      <c r="T156" s="16"/>
      <c r="U156" s="17"/>
      <c r="V156" s="17"/>
      <c r="W156" s="4"/>
      <c r="X156" s="16"/>
      <c r="Y156" s="5"/>
      <c r="Z156" s="16"/>
      <c r="AA156" s="16"/>
      <c r="AB156" s="16"/>
      <c r="AC156" s="14"/>
      <c r="AD156" s="14"/>
      <c r="AE156" s="16"/>
      <c r="AG156" s="22">
        <f t="shared" si="29"/>
        <v>0</v>
      </c>
      <c r="AH156" s="6"/>
      <c r="AJ156" s="20">
        <f t="shared" si="25"/>
        <v>0</v>
      </c>
      <c r="AK156" s="50"/>
      <c r="AL156" s="6"/>
      <c r="AM156" s="20">
        <f t="shared" si="26"/>
        <v>0</v>
      </c>
      <c r="AN156" s="20">
        <f t="shared" si="30"/>
        <v>80000</v>
      </c>
      <c r="AP156" s="20">
        <f t="shared" si="28"/>
        <v>80000</v>
      </c>
      <c r="AQ156" s="7"/>
      <c r="AR156" s="20"/>
      <c r="AS156" s="51">
        <v>6</v>
      </c>
    </row>
    <row r="157" spans="1:45" s="21" customFormat="1" ht="30" customHeight="1" x14ac:dyDescent="0.2">
      <c r="A157" s="8">
        <v>129</v>
      </c>
      <c r="B157" s="46">
        <v>1</v>
      </c>
      <c r="C157" s="16" t="s">
        <v>52</v>
      </c>
      <c r="D157" s="48">
        <v>32071</v>
      </c>
      <c r="E157" s="47">
        <v>155</v>
      </c>
      <c r="F157" s="48">
        <v>6253</v>
      </c>
      <c r="G157" s="49">
        <v>2</v>
      </c>
      <c r="H157" s="48">
        <v>0</v>
      </c>
      <c r="I157" s="48">
        <v>0</v>
      </c>
      <c r="J157" s="48">
        <v>71</v>
      </c>
      <c r="K157" s="3"/>
      <c r="L157" s="16">
        <v>71</v>
      </c>
      <c r="M157" s="57"/>
      <c r="N157" s="58"/>
      <c r="P157" s="16">
        <v>2</v>
      </c>
      <c r="Q157" s="20">
        <v>71</v>
      </c>
      <c r="R157" s="14">
        <v>3000</v>
      </c>
      <c r="S157" s="19">
        <f t="shared" si="24"/>
        <v>213000</v>
      </c>
      <c r="T157" s="16"/>
      <c r="U157" s="17" t="s">
        <v>57</v>
      </c>
      <c r="V157" s="17" t="s">
        <v>84</v>
      </c>
      <c r="W157" s="4"/>
      <c r="X157" s="16"/>
      <c r="Y157" s="5">
        <v>128</v>
      </c>
      <c r="Z157" s="16"/>
      <c r="AA157" s="16"/>
      <c r="AB157" s="16"/>
      <c r="AC157" s="14"/>
      <c r="AD157" s="14"/>
      <c r="AE157" s="16"/>
      <c r="AF157" s="21">
        <v>7250</v>
      </c>
      <c r="AG157" s="22">
        <f t="shared" si="29"/>
        <v>128</v>
      </c>
      <c r="AH157" s="6">
        <v>1</v>
      </c>
      <c r="AI157" s="21">
        <v>128</v>
      </c>
      <c r="AJ157" s="20">
        <f t="shared" si="25"/>
        <v>16384</v>
      </c>
      <c r="AK157" s="50"/>
      <c r="AL157" s="6"/>
      <c r="AM157" s="20">
        <f t="shared" si="26"/>
        <v>16384</v>
      </c>
      <c r="AN157" s="20">
        <f t="shared" si="30"/>
        <v>229384</v>
      </c>
      <c r="AP157" s="20">
        <f t="shared" si="28"/>
        <v>229384</v>
      </c>
      <c r="AQ157" s="7"/>
      <c r="AR157" s="20"/>
      <c r="AS157" s="51"/>
    </row>
    <row r="158" spans="1:45" s="21" customFormat="1" ht="30" customHeight="1" x14ac:dyDescent="0.2">
      <c r="A158" s="8">
        <v>130</v>
      </c>
      <c r="B158" s="46">
        <v>2</v>
      </c>
      <c r="C158" s="16" t="s">
        <v>52</v>
      </c>
      <c r="D158" s="48">
        <v>32072</v>
      </c>
      <c r="E158" s="47">
        <v>149</v>
      </c>
      <c r="F158" s="48">
        <v>6247</v>
      </c>
      <c r="G158" s="49">
        <v>2</v>
      </c>
      <c r="H158" s="48">
        <v>2</v>
      </c>
      <c r="I158" s="48">
        <v>1</v>
      </c>
      <c r="J158" s="48">
        <v>75</v>
      </c>
      <c r="K158" s="3">
        <v>975</v>
      </c>
      <c r="L158" s="16"/>
      <c r="M158" s="57"/>
      <c r="N158" s="58"/>
      <c r="P158" s="16">
        <v>1</v>
      </c>
      <c r="Q158" s="20">
        <v>975</v>
      </c>
      <c r="R158" s="14">
        <v>160</v>
      </c>
      <c r="S158" s="20">
        <f t="shared" si="24"/>
        <v>156000</v>
      </c>
      <c r="T158" s="16"/>
      <c r="U158" s="16"/>
      <c r="V158" s="16"/>
      <c r="W158" s="5"/>
      <c r="X158" s="16"/>
      <c r="Y158" s="5"/>
      <c r="Z158" s="16"/>
      <c r="AA158" s="16"/>
      <c r="AB158" s="16"/>
      <c r="AC158" s="14"/>
      <c r="AD158" s="14"/>
      <c r="AE158" s="16"/>
      <c r="AG158" s="22">
        <f t="shared" si="29"/>
        <v>0</v>
      </c>
      <c r="AH158" s="6"/>
      <c r="AJ158" s="20">
        <f t="shared" si="25"/>
        <v>0</v>
      </c>
      <c r="AK158" s="50"/>
      <c r="AL158" s="6"/>
      <c r="AM158" s="20">
        <f t="shared" si="26"/>
        <v>0</v>
      </c>
      <c r="AN158" s="20">
        <f t="shared" si="30"/>
        <v>156000</v>
      </c>
      <c r="AP158" s="20">
        <f t="shared" si="28"/>
        <v>156000</v>
      </c>
      <c r="AQ158" s="7"/>
      <c r="AR158" s="20"/>
      <c r="AS158" s="51"/>
    </row>
    <row r="159" spans="1:45" s="21" customFormat="1" ht="30" customHeight="1" x14ac:dyDescent="0.2">
      <c r="A159" s="8">
        <v>131</v>
      </c>
      <c r="B159" s="46">
        <v>1</v>
      </c>
      <c r="C159" s="16" t="s">
        <v>52</v>
      </c>
      <c r="D159" s="48">
        <v>35385</v>
      </c>
      <c r="E159" s="47">
        <v>318</v>
      </c>
      <c r="F159" s="48">
        <v>6889</v>
      </c>
      <c r="G159" s="49">
        <v>1</v>
      </c>
      <c r="H159" s="48">
        <v>0</v>
      </c>
      <c r="I159" s="48">
        <v>0</v>
      </c>
      <c r="J159" s="48">
        <v>67</v>
      </c>
      <c r="K159" s="3"/>
      <c r="L159" s="16">
        <v>67</v>
      </c>
      <c r="M159" s="57"/>
      <c r="N159" s="58"/>
      <c r="P159" s="16">
        <v>2</v>
      </c>
      <c r="Q159" s="20">
        <v>67</v>
      </c>
      <c r="R159" s="14">
        <v>250</v>
      </c>
      <c r="S159" s="19">
        <f t="shared" si="24"/>
        <v>16750</v>
      </c>
      <c r="T159" s="16"/>
      <c r="U159" s="17" t="s">
        <v>57</v>
      </c>
      <c r="V159" s="16"/>
      <c r="W159" s="5"/>
      <c r="X159" s="16"/>
      <c r="Y159" s="5">
        <f>5*20</f>
        <v>100</v>
      </c>
      <c r="Z159" s="16"/>
      <c r="AA159" s="16"/>
      <c r="AB159" s="16"/>
      <c r="AC159" s="14"/>
      <c r="AD159" s="14"/>
      <c r="AE159" s="16"/>
      <c r="AF159" s="21">
        <v>7250</v>
      </c>
      <c r="AG159" s="22">
        <f t="shared" si="29"/>
        <v>100</v>
      </c>
      <c r="AH159" s="6">
        <v>1</v>
      </c>
      <c r="AI159" s="21">
        <v>100</v>
      </c>
      <c r="AJ159" s="20">
        <f t="shared" si="25"/>
        <v>10000</v>
      </c>
      <c r="AK159" s="50"/>
      <c r="AL159" s="6"/>
      <c r="AM159" s="20">
        <f t="shared" si="26"/>
        <v>10000</v>
      </c>
      <c r="AN159" s="20">
        <f t="shared" si="30"/>
        <v>26750</v>
      </c>
      <c r="AP159" s="20">
        <f t="shared" si="28"/>
        <v>26750</v>
      </c>
      <c r="AQ159" s="7"/>
      <c r="AR159" s="20"/>
      <c r="AS159" s="51"/>
    </row>
    <row r="160" spans="1:45" s="21" customFormat="1" ht="30" customHeight="1" x14ac:dyDescent="0.2">
      <c r="A160" s="8">
        <v>132</v>
      </c>
      <c r="B160" s="46">
        <v>1</v>
      </c>
      <c r="C160" s="16" t="s">
        <v>52</v>
      </c>
      <c r="D160" s="48">
        <v>31147</v>
      </c>
      <c r="E160" s="47">
        <v>128</v>
      </c>
      <c r="F160" s="48">
        <v>6092</v>
      </c>
      <c r="G160" s="49">
        <v>5</v>
      </c>
      <c r="H160" s="48">
        <v>0</v>
      </c>
      <c r="I160" s="48">
        <v>0</v>
      </c>
      <c r="J160" s="48">
        <v>26.04</v>
      </c>
      <c r="K160" s="3"/>
      <c r="L160" s="16">
        <v>26.04</v>
      </c>
      <c r="M160" s="57"/>
      <c r="N160" s="58"/>
      <c r="P160" s="16">
        <v>2</v>
      </c>
      <c r="Q160" s="20">
        <v>26.04</v>
      </c>
      <c r="R160" s="14">
        <v>1500</v>
      </c>
      <c r="S160" s="20">
        <f t="shared" si="24"/>
        <v>39060</v>
      </c>
      <c r="T160" s="16"/>
      <c r="U160" s="17"/>
      <c r="V160" s="17"/>
      <c r="W160" s="4"/>
      <c r="X160" s="16"/>
      <c r="Y160" s="5"/>
      <c r="Z160" s="16"/>
      <c r="AA160" s="16"/>
      <c r="AB160" s="16"/>
      <c r="AE160" s="16"/>
      <c r="AG160" s="22">
        <f t="shared" si="29"/>
        <v>0</v>
      </c>
      <c r="AH160" s="6"/>
      <c r="AJ160" s="20">
        <f t="shared" si="25"/>
        <v>0</v>
      </c>
      <c r="AK160" s="50"/>
      <c r="AL160" s="6"/>
      <c r="AM160" s="20">
        <f t="shared" si="26"/>
        <v>0</v>
      </c>
      <c r="AN160" s="20">
        <f t="shared" si="30"/>
        <v>39060</v>
      </c>
      <c r="AP160" s="20">
        <f t="shared" si="28"/>
        <v>39060</v>
      </c>
      <c r="AQ160" s="7"/>
      <c r="AR160" s="20"/>
      <c r="AS160" s="51"/>
    </row>
    <row r="161" spans="1:45" ht="30" customHeight="1" x14ac:dyDescent="0.2">
      <c r="A161" s="8"/>
      <c r="C161" s="16"/>
      <c r="AC161" s="21"/>
      <c r="AD161" s="21"/>
      <c r="AG161" s="22"/>
      <c r="AJ161" s="20"/>
      <c r="AM161" s="20"/>
      <c r="AN161" s="20"/>
      <c r="AP161" s="20"/>
      <c r="AR161" s="20"/>
    </row>
    <row r="162" spans="1:45" s="21" customFormat="1" ht="30" customHeight="1" x14ac:dyDescent="0.2">
      <c r="A162" s="8">
        <v>133</v>
      </c>
      <c r="B162" s="46">
        <v>1</v>
      </c>
      <c r="C162" s="16" t="s">
        <v>52</v>
      </c>
      <c r="D162" s="48">
        <v>23521</v>
      </c>
      <c r="E162" s="47">
        <v>119</v>
      </c>
      <c r="F162" s="48">
        <v>4863</v>
      </c>
      <c r="G162" s="49">
        <v>3</v>
      </c>
      <c r="H162" s="48">
        <v>4</v>
      </c>
      <c r="I162" s="48">
        <v>1</v>
      </c>
      <c r="J162" s="48">
        <v>56</v>
      </c>
      <c r="K162" s="3">
        <v>1756</v>
      </c>
      <c r="L162" s="16"/>
      <c r="M162" s="57"/>
      <c r="N162" s="58"/>
      <c r="P162" s="16">
        <v>1</v>
      </c>
      <c r="Q162" s="20">
        <v>1756</v>
      </c>
      <c r="R162" s="14">
        <v>160</v>
      </c>
      <c r="S162" s="19">
        <f t="shared" si="24"/>
        <v>280960</v>
      </c>
      <c r="T162" s="16"/>
      <c r="U162" s="17"/>
      <c r="V162" s="17"/>
      <c r="W162" s="4"/>
      <c r="X162" s="16"/>
      <c r="Y162" s="5"/>
      <c r="Z162" s="16"/>
      <c r="AA162" s="16"/>
      <c r="AB162" s="16"/>
      <c r="AE162" s="16"/>
      <c r="AG162" s="22">
        <f t="shared" si="29"/>
        <v>0</v>
      </c>
      <c r="AH162" s="6"/>
      <c r="AJ162" s="20">
        <f t="shared" si="25"/>
        <v>0</v>
      </c>
      <c r="AK162" s="50"/>
      <c r="AL162" s="6"/>
      <c r="AM162" s="20">
        <f t="shared" si="26"/>
        <v>0</v>
      </c>
      <c r="AN162" s="20">
        <f t="shared" si="30"/>
        <v>280960</v>
      </c>
      <c r="AP162" s="20">
        <f t="shared" si="28"/>
        <v>280960</v>
      </c>
      <c r="AQ162" s="7"/>
      <c r="AR162" s="20"/>
      <c r="AS162" s="51">
        <v>1155</v>
      </c>
    </row>
    <row r="163" spans="1:45" ht="30" customHeight="1" x14ac:dyDescent="0.2">
      <c r="A163" s="8">
        <v>134</v>
      </c>
      <c r="B163" s="13">
        <v>2</v>
      </c>
      <c r="C163" s="16" t="s">
        <v>52</v>
      </c>
      <c r="D163" s="17">
        <v>41289</v>
      </c>
      <c r="E163" s="17">
        <v>166</v>
      </c>
      <c r="F163" s="17">
        <v>8380</v>
      </c>
      <c r="G163" s="13">
        <v>3</v>
      </c>
      <c r="H163" s="17">
        <v>5</v>
      </c>
      <c r="I163" s="17">
        <v>1</v>
      </c>
      <c r="J163" s="17">
        <v>46</v>
      </c>
      <c r="K163" s="10">
        <v>2146</v>
      </c>
      <c r="P163" s="17">
        <v>1</v>
      </c>
      <c r="Q163" s="19">
        <v>1940</v>
      </c>
      <c r="R163" s="14">
        <v>160</v>
      </c>
      <c r="S163" s="20">
        <f t="shared" si="24"/>
        <v>310400</v>
      </c>
      <c r="AC163" s="21"/>
      <c r="AD163" s="21"/>
      <c r="AG163" s="22">
        <f t="shared" si="29"/>
        <v>0</v>
      </c>
      <c r="AJ163" s="20">
        <f t="shared" si="25"/>
        <v>0</v>
      </c>
      <c r="AM163" s="20">
        <f t="shared" si="26"/>
        <v>0</v>
      </c>
      <c r="AN163" s="20">
        <f t="shared" si="30"/>
        <v>310400</v>
      </c>
      <c r="AP163" s="20">
        <f t="shared" si="28"/>
        <v>310400</v>
      </c>
      <c r="AQ163" s="12">
        <v>1E-4</v>
      </c>
      <c r="AR163" s="20">
        <v>1155</v>
      </c>
    </row>
    <row r="164" spans="1:45" s="21" customFormat="1" ht="30" customHeight="1" x14ac:dyDescent="0.2">
      <c r="A164" s="8">
        <v>135</v>
      </c>
      <c r="B164" s="46">
        <v>1</v>
      </c>
      <c r="C164" s="16" t="s">
        <v>52</v>
      </c>
      <c r="D164" s="48">
        <v>1163</v>
      </c>
      <c r="E164" s="47">
        <v>1</v>
      </c>
      <c r="F164" s="48">
        <v>1001</v>
      </c>
      <c r="G164" s="49">
        <v>1</v>
      </c>
      <c r="H164" s="48">
        <v>27</v>
      </c>
      <c r="I164" s="48">
        <v>1</v>
      </c>
      <c r="J164" s="48">
        <v>44</v>
      </c>
      <c r="K164" s="3">
        <f>(27*400)+100+44</f>
        <v>10944</v>
      </c>
      <c r="L164" s="16"/>
      <c r="M164" s="57"/>
      <c r="N164" s="58"/>
      <c r="P164" s="16">
        <v>1</v>
      </c>
      <c r="Q164" s="20">
        <v>10944</v>
      </c>
      <c r="R164" s="14">
        <v>200</v>
      </c>
      <c r="S164" s="19">
        <f t="shared" si="24"/>
        <v>2188800</v>
      </c>
      <c r="T164" s="16"/>
      <c r="U164" s="17"/>
      <c r="V164" s="17"/>
      <c r="W164" s="4"/>
      <c r="X164" s="16"/>
      <c r="Y164" s="5"/>
      <c r="Z164" s="16"/>
      <c r="AA164" s="16"/>
      <c r="AB164" s="16"/>
      <c r="AE164" s="16"/>
      <c r="AG164" s="22">
        <f t="shared" si="29"/>
        <v>0</v>
      </c>
      <c r="AH164" s="6"/>
      <c r="AJ164" s="20">
        <f t="shared" si="25"/>
        <v>0</v>
      </c>
      <c r="AK164" s="50"/>
      <c r="AL164" s="6"/>
      <c r="AM164" s="20">
        <f t="shared" si="26"/>
        <v>0</v>
      </c>
      <c r="AN164" s="20">
        <f t="shared" si="30"/>
        <v>2188800</v>
      </c>
      <c r="AP164" s="20">
        <f t="shared" si="28"/>
        <v>2188800</v>
      </c>
      <c r="AQ164" s="7"/>
      <c r="AR164" s="20"/>
      <c r="AS164" s="51"/>
    </row>
    <row r="165" spans="1:45" s="21" customFormat="1" ht="30" customHeight="1" x14ac:dyDescent="0.2">
      <c r="A165" s="8">
        <v>136</v>
      </c>
      <c r="B165" s="46">
        <v>2</v>
      </c>
      <c r="C165" s="16" t="s">
        <v>52</v>
      </c>
      <c r="D165" s="48">
        <v>1333</v>
      </c>
      <c r="E165" s="47">
        <v>128</v>
      </c>
      <c r="F165" s="48">
        <v>621</v>
      </c>
      <c r="G165" s="49">
        <v>1</v>
      </c>
      <c r="H165" s="48">
        <v>0</v>
      </c>
      <c r="I165" s="48">
        <v>1</v>
      </c>
      <c r="J165" s="48">
        <v>11</v>
      </c>
      <c r="K165" s="3"/>
      <c r="L165" s="16"/>
      <c r="M165" s="57"/>
      <c r="N165" s="58">
        <v>111</v>
      </c>
      <c r="P165" s="16">
        <v>4</v>
      </c>
      <c r="Q165" s="20">
        <v>111</v>
      </c>
      <c r="R165" s="14">
        <v>3000</v>
      </c>
      <c r="S165" s="19">
        <f t="shared" si="24"/>
        <v>333000</v>
      </c>
      <c r="T165" s="16"/>
      <c r="U165" s="17"/>
      <c r="V165" s="17"/>
      <c r="W165" s="4"/>
      <c r="X165" s="16"/>
      <c r="Y165" s="5"/>
      <c r="Z165" s="16"/>
      <c r="AA165" s="16"/>
      <c r="AB165" s="16"/>
      <c r="AE165" s="16"/>
      <c r="AG165" s="22">
        <f t="shared" si="29"/>
        <v>0</v>
      </c>
      <c r="AH165" s="6"/>
      <c r="AJ165" s="20">
        <f t="shared" si="25"/>
        <v>0</v>
      </c>
      <c r="AK165" s="50"/>
      <c r="AL165" s="6"/>
      <c r="AM165" s="20">
        <f t="shared" si="26"/>
        <v>0</v>
      </c>
      <c r="AN165" s="20">
        <f t="shared" si="30"/>
        <v>333000</v>
      </c>
      <c r="AP165" s="20">
        <f t="shared" si="28"/>
        <v>333000</v>
      </c>
      <c r="AQ165" s="7">
        <v>3.0000000000000001E-3</v>
      </c>
      <c r="AR165" s="20"/>
      <c r="AS165" s="51"/>
    </row>
    <row r="166" spans="1:45" s="21" customFormat="1" ht="30" customHeight="1" x14ac:dyDescent="0.2">
      <c r="A166" s="8">
        <v>137</v>
      </c>
      <c r="B166" s="46">
        <v>3</v>
      </c>
      <c r="C166" s="16" t="s">
        <v>52</v>
      </c>
      <c r="D166" s="48">
        <v>36765</v>
      </c>
      <c r="E166" s="47">
        <v>512</v>
      </c>
      <c r="F166" s="48">
        <v>7010</v>
      </c>
      <c r="G166" s="49">
        <v>2</v>
      </c>
      <c r="H166" s="48">
        <v>0</v>
      </c>
      <c r="I166" s="48">
        <v>1</v>
      </c>
      <c r="J166" s="48">
        <v>78</v>
      </c>
      <c r="K166" s="3"/>
      <c r="L166" s="16">
        <v>178</v>
      </c>
      <c r="M166" s="57"/>
      <c r="N166" s="58"/>
      <c r="P166" s="16">
        <v>3</v>
      </c>
      <c r="Q166" s="20">
        <v>178</v>
      </c>
      <c r="R166" s="14">
        <v>2250</v>
      </c>
      <c r="S166" s="20">
        <f t="shared" si="24"/>
        <v>400500</v>
      </c>
      <c r="T166" s="16"/>
      <c r="U166" s="16" t="s">
        <v>63</v>
      </c>
      <c r="V166" s="16" t="s">
        <v>56</v>
      </c>
      <c r="W166" s="5"/>
      <c r="X166" s="16"/>
      <c r="Y166" s="5"/>
      <c r="Z166" s="16">
        <v>52</v>
      </c>
      <c r="AA166" s="16"/>
      <c r="AB166" s="16"/>
      <c r="AC166" s="21" t="s">
        <v>81</v>
      </c>
      <c r="AE166" s="16"/>
      <c r="AG166" s="22">
        <f t="shared" si="29"/>
        <v>0</v>
      </c>
      <c r="AH166" s="6"/>
      <c r="AJ166" s="20">
        <f t="shared" si="25"/>
        <v>0</v>
      </c>
      <c r="AK166" s="50"/>
      <c r="AL166" s="6"/>
      <c r="AM166" s="20">
        <f t="shared" si="26"/>
        <v>0</v>
      </c>
      <c r="AN166" s="20">
        <f t="shared" si="30"/>
        <v>400500</v>
      </c>
      <c r="AP166" s="20">
        <f t="shared" si="28"/>
        <v>400500</v>
      </c>
      <c r="AQ166" s="7">
        <v>2.0000000000000001E-4</v>
      </c>
      <c r="AR166" s="20"/>
      <c r="AS166" s="51"/>
    </row>
    <row r="167" spans="1:45" s="21" customFormat="1" ht="30" customHeight="1" x14ac:dyDescent="0.2">
      <c r="A167" s="8">
        <v>138</v>
      </c>
      <c r="B167" s="46">
        <v>1</v>
      </c>
      <c r="C167" s="16" t="s">
        <v>52</v>
      </c>
      <c r="D167" s="48">
        <v>25021</v>
      </c>
      <c r="E167" s="47">
        <v>72</v>
      </c>
      <c r="F167" s="48">
        <v>4975</v>
      </c>
      <c r="G167" s="49">
        <v>1</v>
      </c>
      <c r="H167" s="48">
        <v>0</v>
      </c>
      <c r="I167" s="48">
        <v>1</v>
      </c>
      <c r="J167" s="48">
        <v>45</v>
      </c>
      <c r="K167" s="3"/>
      <c r="L167" s="16">
        <v>145</v>
      </c>
      <c r="M167" s="57"/>
      <c r="N167" s="58"/>
      <c r="P167" s="16">
        <v>2</v>
      </c>
      <c r="Q167" s="20">
        <v>145</v>
      </c>
      <c r="R167" s="14">
        <v>250</v>
      </c>
      <c r="S167" s="19">
        <f t="shared" si="24"/>
        <v>36250</v>
      </c>
      <c r="T167" s="16"/>
      <c r="U167" s="17" t="s">
        <v>57</v>
      </c>
      <c r="V167" s="16" t="s">
        <v>56</v>
      </c>
      <c r="W167" s="5"/>
      <c r="X167" s="16"/>
      <c r="Y167" s="5">
        <v>117</v>
      </c>
      <c r="Z167" s="16"/>
      <c r="AA167" s="16"/>
      <c r="AB167" s="16"/>
      <c r="AE167" s="16"/>
      <c r="AF167" s="21">
        <v>2</v>
      </c>
      <c r="AG167" s="22">
        <f t="shared" si="29"/>
        <v>117</v>
      </c>
      <c r="AH167" s="6">
        <v>1</v>
      </c>
      <c r="AI167" s="21">
        <v>7250</v>
      </c>
      <c r="AJ167" s="20">
        <f t="shared" si="25"/>
        <v>848250</v>
      </c>
      <c r="AK167" s="50"/>
      <c r="AL167" s="6"/>
      <c r="AM167" s="20">
        <f t="shared" si="26"/>
        <v>848250</v>
      </c>
      <c r="AN167" s="20">
        <f t="shared" si="30"/>
        <v>884500</v>
      </c>
      <c r="AP167" s="20">
        <f t="shared" si="28"/>
        <v>884500</v>
      </c>
      <c r="AQ167" s="7"/>
      <c r="AR167" s="20"/>
      <c r="AS167" s="51"/>
    </row>
    <row r="168" spans="1:45" s="21" customFormat="1" ht="30" customHeight="1" x14ac:dyDescent="0.2">
      <c r="A168" s="8">
        <v>139</v>
      </c>
      <c r="B168" s="46">
        <v>2</v>
      </c>
      <c r="C168" s="16" t="s">
        <v>52</v>
      </c>
      <c r="D168" s="48">
        <v>32446</v>
      </c>
      <c r="E168" s="47">
        <v>324</v>
      </c>
      <c r="F168" s="48">
        <v>6418</v>
      </c>
      <c r="G168" s="49">
        <v>1</v>
      </c>
      <c r="H168" s="48">
        <v>4</v>
      </c>
      <c r="I168" s="48">
        <v>1</v>
      </c>
      <c r="J168" s="48">
        <v>16</v>
      </c>
      <c r="K168" s="3">
        <v>1716</v>
      </c>
      <c r="L168" s="16"/>
      <c r="M168" s="57"/>
      <c r="N168" s="58"/>
      <c r="P168" s="16">
        <v>1</v>
      </c>
      <c r="Q168" s="20">
        <v>1716</v>
      </c>
      <c r="R168" s="14">
        <v>200</v>
      </c>
      <c r="S168" s="19">
        <f t="shared" si="24"/>
        <v>343200</v>
      </c>
      <c r="T168" s="16"/>
      <c r="U168" s="17"/>
      <c r="V168" s="17"/>
      <c r="W168" s="4"/>
      <c r="X168" s="16"/>
      <c r="Y168" s="5"/>
      <c r="Z168" s="16"/>
      <c r="AA168" s="16"/>
      <c r="AB168" s="16"/>
      <c r="AE168" s="16"/>
      <c r="AG168" s="22">
        <f t="shared" si="29"/>
        <v>0</v>
      </c>
      <c r="AH168" s="6"/>
      <c r="AJ168" s="20">
        <f t="shared" si="25"/>
        <v>0</v>
      </c>
      <c r="AK168" s="50"/>
      <c r="AL168" s="6"/>
      <c r="AM168" s="20">
        <f t="shared" si="26"/>
        <v>0</v>
      </c>
      <c r="AN168" s="20">
        <f t="shared" si="30"/>
        <v>343200</v>
      </c>
      <c r="AP168" s="20">
        <f t="shared" si="28"/>
        <v>343200</v>
      </c>
      <c r="AQ168" s="7"/>
      <c r="AR168" s="20"/>
      <c r="AS168" s="51"/>
    </row>
    <row r="169" spans="1:45" s="21" customFormat="1" ht="30" customHeight="1" x14ac:dyDescent="0.2">
      <c r="A169" s="8">
        <v>140</v>
      </c>
      <c r="B169" s="46">
        <v>3</v>
      </c>
      <c r="C169" s="16" t="s">
        <v>52</v>
      </c>
      <c r="D169" s="48">
        <v>32450</v>
      </c>
      <c r="E169" s="47">
        <v>328</v>
      </c>
      <c r="F169" s="48">
        <v>6422</v>
      </c>
      <c r="G169" s="49">
        <v>1</v>
      </c>
      <c r="H169" s="48">
        <v>0</v>
      </c>
      <c r="I169" s="48">
        <v>0</v>
      </c>
      <c r="J169" s="48">
        <v>76</v>
      </c>
      <c r="K169" s="3"/>
      <c r="L169" s="16"/>
      <c r="M169" s="57"/>
      <c r="N169" s="58">
        <v>76</v>
      </c>
      <c r="P169" s="16">
        <v>4</v>
      </c>
      <c r="Q169" s="20">
        <v>76</v>
      </c>
      <c r="R169" s="14">
        <v>250</v>
      </c>
      <c r="S169" s="20">
        <f t="shared" si="24"/>
        <v>19000</v>
      </c>
      <c r="T169" s="16"/>
      <c r="U169" s="17"/>
      <c r="V169" s="17"/>
      <c r="W169" s="4"/>
      <c r="X169" s="16"/>
      <c r="Y169" s="5"/>
      <c r="Z169" s="16"/>
      <c r="AA169" s="16"/>
      <c r="AB169" s="16"/>
      <c r="AE169" s="16"/>
      <c r="AG169" s="22">
        <f t="shared" si="29"/>
        <v>0</v>
      </c>
      <c r="AH169" s="6"/>
      <c r="AJ169" s="20">
        <f t="shared" si="25"/>
        <v>0</v>
      </c>
      <c r="AK169" s="50"/>
      <c r="AL169" s="6"/>
      <c r="AM169" s="20">
        <f t="shared" si="26"/>
        <v>0</v>
      </c>
      <c r="AN169" s="20">
        <f t="shared" si="30"/>
        <v>19000</v>
      </c>
      <c r="AP169" s="20">
        <f t="shared" si="28"/>
        <v>19000</v>
      </c>
      <c r="AQ169" s="7">
        <v>3.0000000000000001E-3</v>
      </c>
      <c r="AR169" s="20"/>
      <c r="AS169" s="51"/>
    </row>
    <row r="170" spans="1:45" s="21" customFormat="1" ht="30" customHeight="1" x14ac:dyDescent="0.2">
      <c r="A170" s="8">
        <v>141</v>
      </c>
      <c r="B170" s="46">
        <v>4</v>
      </c>
      <c r="C170" s="16" t="s">
        <v>52</v>
      </c>
      <c r="D170" s="48">
        <v>35209</v>
      </c>
      <c r="E170" s="47">
        <v>322</v>
      </c>
      <c r="F170" s="48">
        <v>6999</v>
      </c>
      <c r="G170" s="49">
        <v>1</v>
      </c>
      <c r="H170" s="48">
        <v>0</v>
      </c>
      <c r="I170" s="48">
        <v>0</v>
      </c>
      <c r="J170" s="48">
        <v>41</v>
      </c>
      <c r="K170" s="3"/>
      <c r="L170" s="16"/>
      <c r="M170" s="57"/>
      <c r="N170" s="58">
        <v>41</v>
      </c>
      <c r="P170" s="16">
        <v>4</v>
      </c>
      <c r="Q170" s="20">
        <v>41</v>
      </c>
      <c r="R170" s="14">
        <v>3000</v>
      </c>
      <c r="S170" s="19">
        <f t="shared" si="24"/>
        <v>123000</v>
      </c>
      <c r="T170" s="16"/>
      <c r="U170" s="17"/>
      <c r="V170" s="17"/>
      <c r="W170" s="4"/>
      <c r="X170" s="16"/>
      <c r="Y170" s="5"/>
      <c r="Z170" s="16"/>
      <c r="AA170" s="16"/>
      <c r="AB170" s="16"/>
      <c r="AE170" s="16"/>
      <c r="AG170" s="22">
        <f t="shared" si="29"/>
        <v>0</v>
      </c>
      <c r="AH170" s="6"/>
      <c r="AJ170" s="20">
        <f t="shared" si="25"/>
        <v>0</v>
      </c>
      <c r="AK170" s="50"/>
      <c r="AL170" s="6"/>
      <c r="AM170" s="20">
        <f t="shared" si="26"/>
        <v>0</v>
      </c>
      <c r="AN170" s="20">
        <f t="shared" si="30"/>
        <v>123000</v>
      </c>
      <c r="AP170" s="20">
        <f t="shared" si="28"/>
        <v>123000</v>
      </c>
      <c r="AQ170" s="7">
        <v>3.0000000000000001E-3</v>
      </c>
      <c r="AR170" s="20"/>
      <c r="AS170" s="51"/>
    </row>
    <row r="171" spans="1:45" s="21" customFormat="1" ht="30" customHeight="1" x14ac:dyDescent="0.2">
      <c r="A171" s="8">
        <v>142</v>
      </c>
      <c r="B171" s="46">
        <v>1</v>
      </c>
      <c r="C171" s="16" t="s">
        <v>52</v>
      </c>
      <c r="D171" s="48">
        <v>20271</v>
      </c>
      <c r="E171" s="47">
        <v>126</v>
      </c>
      <c r="F171" s="48">
        <v>4582</v>
      </c>
      <c r="G171" s="49">
        <v>7</v>
      </c>
      <c r="H171" s="48">
        <v>0</v>
      </c>
      <c r="I171" s="48">
        <v>0</v>
      </c>
      <c r="J171" s="48">
        <v>58</v>
      </c>
      <c r="K171" s="3"/>
      <c r="L171" s="16">
        <v>58</v>
      </c>
      <c r="M171" s="57"/>
      <c r="N171" s="58"/>
      <c r="P171" s="16">
        <v>2</v>
      </c>
      <c r="Q171" s="20">
        <v>57</v>
      </c>
      <c r="R171" s="14">
        <v>1000</v>
      </c>
      <c r="S171" s="19">
        <f t="shared" si="24"/>
        <v>57000</v>
      </c>
      <c r="T171" s="16"/>
      <c r="U171" s="17"/>
      <c r="V171" s="17"/>
      <c r="W171" s="4"/>
      <c r="X171" s="16"/>
      <c r="Y171" s="5"/>
      <c r="Z171" s="16"/>
      <c r="AA171" s="16"/>
      <c r="AB171" s="16"/>
      <c r="AE171" s="16"/>
      <c r="AG171" s="22">
        <f t="shared" si="29"/>
        <v>0</v>
      </c>
      <c r="AH171" s="6"/>
      <c r="AJ171" s="20">
        <f t="shared" si="25"/>
        <v>0</v>
      </c>
      <c r="AK171" s="50"/>
      <c r="AL171" s="6"/>
      <c r="AM171" s="20">
        <f t="shared" si="26"/>
        <v>0</v>
      </c>
      <c r="AN171" s="20">
        <f t="shared" si="30"/>
        <v>57000</v>
      </c>
      <c r="AP171" s="20">
        <f t="shared" si="28"/>
        <v>57000</v>
      </c>
      <c r="AQ171" s="7"/>
      <c r="AR171" s="20"/>
      <c r="AS171" s="51"/>
    </row>
    <row r="172" spans="1:45" s="21" customFormat="1" ht="30" customHeight="1" x14ac:dyDescent="0.2">
      <c r="A172" s="8">
        <v>143</v>
      </c>
      <c r="B172" s="46">
        <v>1</v>
      </c>
      <c r="C172" s="16" t="s">
        <v>52</v>
      </c>
      <c r="D172" s="48">
        <v>25116</v>
      </c>
      <c r="E172" s="47">
        <v>216</v>
      </c>
      <c r="F172" s="48">
        <v>4979</v>
      </c>
      <c r="G172" s="49">
        <v>1</v>
      </c>
      <c r="H172" s="48">
        <v>0</v>
      </c>
      <c r="I172" s="48">
        <v>0</v>
      </c>
      <c r="J172" s="48">
        <v>54</v>
      </c>
      <c r="K172" s="3"/>
      <c r="L172" s="16">
        <v>54</v>
      </c>
      <c r="M172" s="57"/>
      <c r="N172" s="58"/>
      <c r="P172" s="16">
        <v>2</v>
      </c>
      <c r="Q172" s="20">
        <v>54</v>
      </c>
      <c r="R172" s="14">
        <v>250</v>
      </c>
      <c r="S172" s="20">
        <f t="shared" si="24"/>
        <v>13500</v>
      </c>
      <c r="T172" s="16"/>
      <c r="U172" s="17" t="s">
        <v>57</v>
      </c>
      <c r="V172" s="17" t="s">
        <v>56</v>
      </c>
      <c r="W172" s="4"/>
      <c r="X172" s="16"/>
      <c r="Y172" s="5">
        <v>58.5</v>
      </c>
      <c r="Z172" s="16"/>
      <c r="AA172" s="16"/>
      <c r="AB172" s="16"/>
      <c r="AE172" s="16"/>
      <c r="AF172" s="21">
        <v>2</v>
      </c>
      <c r="AG172" s="22">
        <f t="shared" si="29"/>
        <v>58.5</v>
      </c>
      <c r="AH172" s="6">
        <v>1</v>
      </c>
      <c r="AI172" s="21">
        <v>7250</v>
      </c>
      <c r="AJ172" s="20">
        <f t="shared" si="25"/>
        <v>424125</v>
      </c>
      <c r="AK172" s="50"/>
      <c r="AL172" s="6"/>
      <c r="AM172" s="20">
        <f t="shared" si="26"/>
        <v>424125</v>
      </c>
      <c r="AN172" s="20">
        <f t="shared" si="30"/>
        <v>437625</v>
      </c>
      <c r="AP172" s="20">
        <f t="shared" si="28"/>
        <v>437625</v>
      </c>
      <c r="AQ172" s="7"/>
      <c r="AR172" s="20"/>
      <c r="AS172" s="51"/>
    </row>
    <row r="173" spans="1:45" s="21" customFormat="1" ht="30" customHeight="1" x14ac:dyDescent="0.2">
      <c r="A173" s="8">
        <v>144</v>
      </c>
      <c r="B173" s="46">
        <v>1</v>
      </c>
      <c r="C173" s="16" t="s">
        <v>52</v>
      </c>
      <c r="D173" s="48">
        <v>32590</v>
      </c>
      <c r="E173" s="47">
        <v>143</v>
      </c>
      <c r="F173" s="48">
        <v>6428</v>
      </c>
      <c r="G173" s="49">
        <v>1</v>
      </c>
      <c r="H173" s="48">
        <v>0</v>
      </c>
      <c r="I173" s="48">
        <v>1</v>
      </c>
      <c r="J173" s="48">
        <v>10</v>
      </c>
      <c r="K173" s="3"/>
      <c r="L173" s="16">
        <v>110</v>
      </c>
      <c r="M173" s="57"/>
      <c r="N173" s="58"/>
      <c r="P173" s="16">
        <v>2</v>
      </c>
      <c r="Q173" s="20">
        <v>110</v>
      </c>
      <c r="R173" s="14">
        <v>250</v>
      </c>
      <c r="S173" s="19">
        <f t="shared" si="24"/>
        <v>27500</v>
      </c>
      <c r="T173" s="16"/>
      <c r="U173" s="16" t="s">
        <v>57</v>
      </c>
      <c r="V173" s="16" t="s">
        <v>56</v>
      </c>
      <c r="W173" s="5"/>
      <c r="X173" s="16"/>
      <c r="Y173" s="5">
        <v>72</v>
      </c>
      <c r="Z173" s="16"/>
      <c r="AA173" s="16"/>
      <c r="AB173" s="16"/>
      <c r="AC173" s="14"/>
      <c r="AD173" s="14"/>
      <c r="AE173" s="16"/>
      <c r="AF173" s="21">
        <v>2</v>
      </c>
      <c r="AG173" s="22">
        <f t="shared" si="29"/>
        <v>72</v>
      </c>
      <c r="AH173" s="6">
        <v>1</v>
      </c>
      <c r="AI173" s="21">
        <v>7250</v>
      </c>
      <c r="AJ173" s="20">
        <f t="shared" si="25"/>
        <v>522000</v>
      </c>
      <c r="AK173" s="50"/>
      <c r="AL173" s="6"/>
      <c r="AM173" s="20">
        <f t="shared" si="26"/>
        <v>522000</v>
      </c>
      <c r="AN173" s="20">
        <f t="shared" si="30"/>
        <v>549500</v>
      </c>
      <c r="AP173" s="20">
        <f t="shared" si="28"/>
        <v>549500</v>
      </c>
      <c r="AQ173" s="7"/>
      <c r="AR173" s="20"/>
      <c r="AS173" s="51"/>
    </row>
    <row r="174" spans="1:45" s="21" customFormat="1" ht="30" customHeight="1" x14ac:dyDescent="0.2">
      <c r="A174" s="8">
        <v>145</v>
      </c>
      <c r="B174" s="46">
        <v>1</v>
      </c>
      <c r="C174" s="16" t="s">
        <v>52</v>
      </c>
      <c r="D174" s="48">
        <v>4175</v>
      </c>
      <c r="E174" s="47">
        <v>78</v>
      </c>
      <c r="F174" s="48">
        <v>2516</v>
      </c>
      <c r="G174" s="49">
        <v>1</v>
      </c>
      <c r="H174" s="48">
        <v>4</v>
      </c>
      <c r="I174" s="48">
        <v>2</v>
      </c>
      <c r="J174" s="48">
        <v>1</v>
      </c>
      <c r="K174" s="3">
        <v>1801</v>
      </c>
      <c r="L174" s="16"/>
      <c r="M174" s="57"/>
      <c r="N174" s="58"/>
      <c r="P174" s="16">
        <v>1</v>
      </c>
      <c r="Q174" s="20">
        <v>1801</v>
      </c>
      <c r="R174" s="14">
        <v>200</v>
      </c>
      <c r="S174" s="19">
        <f t="shared" si="24"/>
        <v>360200</v>
      </c>
      <c r="T174" s="16"/>
      <c r="U174" s="17"/>
      <c r="V174" s="16"/>
      <c r="W174" s="5"/>
      <c r="X174" s="16"/>
      <c r="Y174" s="5"/>
      <c r="Z174" s="16"/>
      <c r="AA174" s="16"/>
      <c r="AB174" s="16"/>
      <c r="AE174" s="16"/>
      <c r="AG174" s="22">
        <f t="shared" si="29"/>
        <v>0</v>
      </c>
      <c r="AH174" s="6"/>
      <c r="AJ174" s="20">
        <f t="shared" si="25"/>
        <v>0</v>
      </c>
      <c r="AK174" s="50"/>
      <c r="AL174" s="6"/>
      <c r="AM174" s="20">
        <f t="shared" si="26"/>
        <v>0</v>
      </c>
      <c r="AN174" s="20">
        <f t="shared" si="30"/>
        <v>360200</v>
      </c>
      <c r="AP174" s="20">
        <f t="shared" si="28"/>
        <v>360200</v>
      </c>
      <c r="AQ174" s="7"/>
      <c r="AR174" s="20"/>
      <c r="AS174" s="51"/>
    </row>
    <row r="175" spans="1:45" s="21" customFormat="1" ht="30" customHeight="1" x14ac:dyDescent="0.2">
      <c r="A175" s="8">
        <v>146</v>
      </c>
      <c r="B175" s="46">
        <v>2</v>
      </c>
      <c r="C175" s="16" t="s">
        <v>52</v>
      </c>
      <c r="D175" s="48">
        <v>4183</v>
      </c>
      <c r="E175" s="47">
        <v>41</v>
      </c>
      <c r="F175" s="48">
        <v>2524</v>
      </c>
      <c r="G175" s="49">
        <v>1</v>
      </c>
      <c r="H175" s="48">
        <v>6</v>
      </c>
      <c r="I175" s="48">
        <v>0</v>
      </c>
      <c r="J175" s="48">
        <v>18</v>
      </c>
      <c r="K175" s="3">
        <v>2418</v>
      </c>
      <c r="L175" s="16"/>
      <c r="M175" s="57"/>
      <c r="N175" s="58"/>
      <c r="P175" s="16">
        <v>1</v>
      </c>
      <c r="Q175" s="20">
        <v>2418</v>
      </c>
      <c r="R175" s="14">
        <v>160</v>
      </c>
      <c r="S175" s="20">
        <f t="shared" si="24"/>
        <v>386880</v>
      </c>
      <c r="T175" s="16"/>
      <c r="U175" s="17"/>
      <c r="V175" s="17"/>
      <c r="W175" s="4"/>
      <c r="X175" s="16"/>
      <c r="Y175" s="5"/>
      <c r="Z175" s="16"/>
      <c r="AA175" s="16"/>
      <c r="AB175" s="16"/>
      <c r="AC175" s="14"/>
      <c r="AD175" s="14"/>
      <c r="AE175" s="16"/>
      <c r="AG175" s="22">
        <f t="shared" si="29"/>
        <v>0</v>
      </c>
      <c r="AH175" s="6"/>
      <c r="AJ175" s="20">
        <f t="shared" si="25"/>
        <v>0</v>
      </c>
      <c r="AK175" s="50"/>
      <c r="AL175" s="6"/>
      <c r="AM175" s="20">
        <f t="shared" si="26"/>
        <v>0</v>
      </c>
      <c r="AN175" s="20">
        <f t="shared" si="30"/>
        <v>386880</v>
      </c>
      <c r="AP175" s="20">
        <f t="shared" si="28"/>
        <v>386880</v>
      </c>
      <c r="AQ175" s="7"/>
      <c r="AR175" s="20"/>
      <c r="AS175" s="51"/>
    </row>
    <row r="176" spans="1:45" ht="30" customHeight="1" x14ac:dyDescent="0.2">
      <c r="A176" s="8"/>
      <c r="C176" s="16"/>
      <c r="AC176" s="21"/>
      <c r="AD176" s="21"/>
      <c r="AG176" s="22"/>
      <c r="AJ176" s="20"/>
      <c r="AM176" s="20"/>
      <c r="AN176" s="20"/>
      <c r="AP176" s="20"/>
      <c r="AR176" s="20"/>
    </row>
    <row r="177" spans="1:45" s="21" customFormat="1" ht="30" customHeight="1" x14ac:dyDescent="0.2">
      <c r="A177" s="8">
        <v>147</v>
      </c>
      <c r="B177" s="46">
        <v>1</v>
      </c>
      <c r="C177" s="16" t="s">
        <v>52</v>
      </c>
      <c r="D177" s="48">
        <v>28205</v>
      </c>
      <c r="E177" s="47">
        <v>77</v>
      </c>
      <c r="F177" s="48">
        <v>5291</v>
      </c>
      <c r="G177" s="49">
        <v>2</v>
      </c>
      <c r="H177" s="48">
        <v>0</v>
      </c>
      <c r="I177" s="48">
        <v>3</v>
      </c>
      <c r="J177" s="48">
        <v>65</v>
      </c>
      <c r="K177" s="3">
        <v>365</v>
      </c>
      <c r="L177" s="16"/>
      <c r="M177" s="57"/>
      <c r="N177" s="58"/>
      <c r="P177" s="16">
        <v>1</v>
      </c>
      <c r="Q177" s="20">
        <v>365</v>
      </c>
      <c r="R177" s="14">
        <v>200</v>
      </c>
      <c r="S177" s="19">
        <f t="shared" si="24"/>
        <v>73000</v>
      </c>
      <c r="T177" s="16"/>
      <c r="U177" s="17"/>
      <c r="V177" s="17"/>
      <c r="W177" s="4"/>
      <c r="X177" s="16"/>
      <c r="Y177" s="5"/>
      <c r="Z177" s="16"/>
      <c r="AA177" s="16"/>
      <c r="AB177" s="16"/>
      <c r="AC177" s="14"/>
      <c r="AD177" s="14"/>
      <c r="AE177" s="16"/>
      <c r="AG177" s="22">
        <f t="shared" si="29"/>
        <v>0</v>
      </c>
      <c r="AH177" s="6"/>
      <c r="AJ177" s="20">
        <f t="shared" si="25"/>
        <v>0</v>
      </c>
      <c r="AK177" s="50"/>
      <c r="AL177" s="6"/>
      <c r="AM177" s="20">
        <f t="shared" si="26"/>
        <v>0</v>
      </c>
      <c r="AN177" s="20">
        <f t="shared" si="30"/>
        <v>73000</v>
      </c>
      <c r="AP177" s="20">
        <f t="shared" si="28"/>
        <v>73000</v>
      </c>
      <c r="AQ177" s="7"/>
      <c r="AR177" s="20"/>
      <c r="AS177" s="51"/>
    </row>
    <row r="178" spans="1:45" s="21" customFormat="1" ht="30" customHeight="1" x14ac:dyDescent="0.2">
      <c r="A178" s="8">
        <v>148</v>
      </c>
      <c r="B178" s="46">
        <v>1</v>
      </c>
      <c r="C178" s="16" t="s">
        <v>52</v>
      </c>
      <c r="D178" s="48">
        <v>34301</v>
      </c>
      <c r="E178" s="47">
        <v>262</v>
      </c>
      <c r="F178" s="48">
        <v>6850</v>
      </c>
      <c r="G178" s="49">
        <v>2</v>
      </c>
      <c r="H178" s="48">
        <v>0</v>
      </c>
      <c r="I178" s="48">
        <v>0</v>
      </c>
      <c r="J178" s="48">
        <v>31</v>
      </c>
      <c r="K178" s="3"/>
      <c r="L178" s="16">
        <v>31</v>
      </c>
      <c r="M178" s="57"/>
      <c r="N178" s="58"/>
      <c r="O178" s="16"/>
      <c r="P178" s="16">
        <v>2</v>
      </c>
      <c r="Q178" s="92">
        <v>31</v>
      </c>
      <c r="R178" s="14">
        <v>4500</v>
      </c>
      <c r="S178" s="20">
        <f t="shared" si="24"/>
        <v>139500</v>
      </c>
      <c r="T178" s="16"/>
      <c r="U178" s="17" t="s">
        <v>63</v>
      </c>
      <c r="V178" s="17" t="s">
        <v>56</v>
      </c>
      <c r="W178" s="4">
        <v>160</v>
      </c>
      <c r="X178" s="16"/>
      <c r="Y178" s="5">
        <v>160</v>
      </c>
      <c r="Z178" s="16"/>
      <c r="AA178" s="16"/>
      <c r="AB178" s="16">
        <v>6</v>
      </c>
      <c r="AC178" s="14"/>
      <c r="AD178" s="14"/>
      <c r="AE178" s="16"/>
      <c r="AF178" s="21">
        <v>2</v>
      </c>
      <c r="AG178" s="22">
        <v>160</v>
      </c>
      <c r="AH178" s="6">
        <v>1</v>
      </c>
      <c r="AI178" s="21">
        <v>8100</v>
      </c>
      <c r="AJ178" s="20">
        <f t="shared" si="25"/>
        <v>1296000</v>
      </c>
      <c r="AK178" s="50"/>
      <c r="AL178" s="6"/>
      <c r="AM178" s="20">
        <f t="shared" si="26"/>
        <v>1296000</v>
      </c>
      <c r="AN178" s="20">
        <f t="shared" si="30"/>
        <v>1435500</v>
      </c>
      <c r="AP178" s="20">
        <f t="shared" si="28"/>
        <v>1435500</v>
      </c>
      <c r="AQ178" s="7"/>
      <c r="AR178" s="20"/>
      <c r="AS178" s="51"/>
    </row>
    <row r="179" spans="1:45" s="21" customFormat="1" ht="30" customHeight="1" x14ac:dyDescent="0.2">
      <c r="A179" s="8">
        <v>149</v>
      </c>
      <c r="B179" s="46">
        <v>1</v>
      </c>
      <c r="C179" s="16" t="s">
        <v>52</v>
      </c>
      <c r="D179" s="48">
        <v>31137</v>
      </c>
      <c r="E179" s="47">
        <v>130</v>
      </c>
      <c r="F179" s="48">
        <v>6082</v>
      </c>
      <c r="G179" s="49">
        <v>5</v>
      </c>
      <c r="H179" s="48">
        <v>0</v>
      </c>
      <c r="I179" s="48">
        <v>0</v>
      </c>
      <c r="J179" s="48">
        <v>31.01</v>
      </c>
      <c r="K179" s="3"/>
      <c r="L179" s="16">
        <v>31.01</v>
      </c>
      <c r="M179" s="57"/>
      <c r="N179" s="58"/>
      <c r="P179" s="16">
        <v>2</v>
      </c>
      <c r="Q179" s="20">
        <v>31.01</v>
      </c>
      <c r="R179" s="14">
        <v>1500</v>
      </c>
      <c r="S179" s="19">
        <f t="shared" si="24"/>
        <v>46515</v>
      </c>
      <c r="T179" s="16"/>
      <c r="U179" s="17" t="s">
        <v>87</v>
      </c>
      <c r="V179" s="17" t="s">
        <v>88</v>
      </c>
      <c r="W179" s="4"/>
      <c r="X179" s="16"/>
      <c r="Y179" s="5">
        <v>120</v>
      </c>
      <c r="Z179" s="16"/>
      <c r="AA179" s="16"/>
      <c r="AB179" s="16"/>
      <c r="AC179" s="14"/>
      <c r="AD179" s="14"/>
      <c r="AE179" s="16"/>
      <c r="AF179" s="21">
        <v>2</v>
      </c>
      <c r="AG179" s="22">
        <v>120</v>
      </c>
      <c r="AH179" s="6">
        <v>1</v>
      </c>
      <c r="AI179" s="21">
        <v>7200</v>
      </c>
      <c r="AJ179" s="20">
        <f t="shared" si="25"/>
        <v>864000</v>
      </c>
      <c r="AK179" s="50"/>
      <c r="AL179" s="6"/>
      <c r="AM179" s="20">
        <f t="shared" si="26"/>
        <v>864000</v>
      </c>
      <c r="AN179" s="20">
        <f t="shared" si="30"/>
        <v>910515</v>
      </c>
      <c r="AP179" s="20">
        <f t="shared" si="28"/>
        <v>910515</v>
      </c>
      <c r="AQ179" s="7"/>
      <c r="AR179" s="20"/>
      <c r="AS179" s="51"/>
    </row>
    <row r="180" spans="1:45" s="21" customFormat="1" ht="30" customHeight="1" x14ac:dyDescent="0.2">
      <c r="A180" s="8">
        <v>150</v>
      </c>
      <c r="B180" s="46">
        <v>1</v>
      </c>
      <c r="C180" s="16" t="s">
        <v>52</v>
      </c>
      <c r="D180" s="48">
        <v>1877</v>
      </c>
      <c r="E180" s="47">
        <v>9</v>
      </c>
      <c r="F180" s="48">
        <v>1267</v>
      </c>
      <c r="G180" s="49">
        <v>2</v>
      </c>
      <c r="H180" s="48">
        <v>5</v>
      </c>
      <c r="I180" s="48">
        <v>0</v>
      </c>
      <c r="J180" s="48">
        <v>50</v>
      </c>
      <c r="K180" s="3">
        <v>2050</v>
      </c>
      <c r="L180" s="16"/>
      <c r="M180" s="57"/>
      <c r="N180" s="58"/>
      <c r="P180" s="16">
        <v>1</v>
      </c>
      <c r="Q180" s="20">
        <v>2050</v>
      </c>
      <c r="R180" s="14">
        <v>160</v>
      </c>
      <c r="S180" s="20">
        <f t="shared" si="24"/>
        <v>328000</v>
      </c>
      <c r="T180" s="16"/>
      <c r="U180" s="16"/>
      <c r="V180" s="16"/>
      <c r="W180" s="5"/>
      <c r="X180" s="16"/>
      <c r="Y180" s="5"/>
      <c r="Z180" s="16"/>
      <c r="AA180" s="16"/>
      <c r="AB180" s="16"/>
      <c r="AE180" s="16"/>
      <c r="AG180" s="22">
        <f>Y180</f>
        <v>0</v>
      </c>
      <c r="AH180" s="6"/>
      <c r="AJ180" s="20">
        <f t="shared" si="25"/>
        <v>0</v>
      </c>
      <c r="AK180" s="50"/>
      <c r="AL180" s="6"/>
      <c r="AM180" s="20">
        <f t="shared" si="26"/>
        <v>0</v>
      </c>
      <c r="AN180" s="20">
        <f t="shared" si="30"/>
        <v>328000</v>
      </c>
      <c r="AP180" s="20">
        <f t="shared" si="28"/>
        <v>328000</v>
      </c>
      <c r="AQ180" s="7"/>
      <c r="AR180" s="20"/>
      <c r="AS180" s="51">
        <v>1944</v>
      </c>
    </row>
    <row r="181" spans="1:45" s="21" customFormat="1" ht="30" customHeight="1" x14ac:dyDescent="0.2">
      <c r="A181" s="8">
        <v>151</v>
      </c>
      <c r="B181" s="46">
        <v>2</v>
      </c>
      <c r="C181" s="16" t="s">
        <v>52</v>
      </c>
      <c r="D181" s="48">
        <v>11827</v>
      </c>
      <c r="E181" s="47">
        <v>54</v>
      </c>
      <c r="F181" s="48">
        <v>3219</v>
      </c>
      <c r="G181" s="49">
        <v>2</v>
      </c>
      <c r="H181" s="48">
        <v>2</v>
      </c>
      <c r="I181" s="48">
        <v>0</v>
      </c>
      <c r="J181" s="48">
        <v>86.02</v>
      </c>
      <c r="K181" s="3">
        <v>886.02</v>
      </c>
      <c r="L181" s="16"/>
      <c r="M181" s="57"/>
      <c r="N181" s="58"/>
      <c r="P181" s="16">
        <v>1</v>
      </c>
      <c r="Q181" s="20">
        <v>886.02</v>
      </c>
      <c r="R181" s="14">
        <v>160</v>
      </c>
      <c r="S181" s="19">
        <f t="shared" si="24"/>
        <v>141763.20000000001</v>
      </c>
      <c r="T181" s="16"/>
      <c r="U181" s="17"/>
      <c r="V181" s="16"/>
      <c r="W181" s="5"/>
      <c r="X181" s="16"/>
      <c r="Y181" s="5"/>
      <c r="Z181" s="16"/>
      <c r="AA181" s="16"/>
      <c r="AB181" s="16"/>
      <c r="AE181" s="16"/>
      <c r="AG181" s="22">
        <f>Y181</f>
        <v>0</v>
      </c>
      <c r="AH181" s="6"/>
      <c r="AJ181" s="20">
        <f t="shared" si="25"/>
        <v>0</v>
      </c>
      <c r="AK181" s="50"/>
      <c r="AL181" s="6"/>
      <c r="AM181" s="20">
        <f t="shared" si="26"/>
        <v>0</v>
      </c>
      <c r="AN181" s="20">
        <f t="shared" si="30"/>
        <v>141763.20000000001</v>
      </c>
      <c r="AP181" s="20">
        <f t="shared" si="28"/>
        <v>141763.20000000001</v>
      </c>
      <c r="AQ181" s="7"/>
      <c r="AR181" s="20">
        <v>1944</v>
      </c>
      <c r="AS181" s="51"/>
    </row>
    <row r="182" spans="1:45" s="21" customFormat="1" ht="30" customHeight="1" x14ac:dyDescent="0.2">
      <c r="A182" s="8">
        <v>152</v>
      </c>
      <c r="B182" s="46">
        <v>1</v>
      </c>
      <c r="C182" s="16" t="s">
        <v>52</v>
      </c>
      <c r="D182" s="48">
        <v>35905</v>
      </c>
      <c r="E182" s="47">
        <v>184</v>
      </c>
      <c r="F182" s="48">
        <v>7005</v>
      </c>
      <c r="G182" s="49"/>
      <c r="H182" s="48">
        <v>4</v>
      </c>
      <c r="I182" s="48">
        <v>3</v>
      </c>
      <c r="J182" s="48">
        <v>14</v>
      </c>
      <c r="K182" s="3">
        <v>1914</v>
      </c>
      <c r="L182" s="16"/>
      <c r="M182" s="57"/>
      <c r="N182" s="58"/>
      <c r="P182" s="16">
        <v>1</v>
      </c>
      <c r="Q182" s="20">
        <v>1914</v>
      </c>
      <c r="R182" s="14">
        <v>160</v>
      </c>
      <c r="S182" s="19">
        <f t="shared" si="24"/>
        <v>306240</v>
      </c>
      <c r="T182" s="16"/>
      <c r="U182" s="17"/>
      <c r="V182" s="17"/>
      <c r="W182" s="4"/>
      <c r="X182" s="16"/>
      <c r="Y182" s="5"/>
      <c r="Z182" s="16"/>
      <c r="AA182" s="16"/>
      <c r="AB182" s="16"/>
      <c r="AE182" s="16"/>
      <c r="AG182" s="22">
        <f>Y182</f>
        <v>0</v>
      </c>
      <c r="AH182" s="6"/>
      <c r="AJ182" s="20">
        <f t="shared" si="25"/>
        <v>0</v>
      </c>
      <c r="AK182" s="50"/>
      <c r="AL182" s="6"/>
      <c r="AM182" s="20">
        <f t="shared" si="26"/>
        <v>0</v>
      </c>
      <c r="AN182" s="20">
        <f t="shared" si="30"/>
        <v>306240</v>
      </c>
      <c r="AP182" s="20">
        <f t="shared" si="28"/>
        <v>306240</v>
      </c>
      <c r="AQ182" s="7"/>
      <c r="AR182" s="20"/>
      <c r="AS182" s="51"/>
    </row>
    <row r="183" spans="1:45" s="21" customFormat="1" ht="30" customHeight="1" x14ac:dyDescent="0.2">
      <c r="A183" s="8">
        <v>153</v>
      </c>
      <c r="B183" s="46">
        <v>1</v>
      </c>
      <c r="C183" s="16" t="s">
        <v>52</v>
      </c>
      <c r="D183" s="48">
        <v>2313</v>
      </c>
      <c r="E183" s="47">
        <v>25</v>
      </c>
      <c r="F183" s="48">
        <v>1143</v>
      </c>
      <c r="G183" s="49">
        <v>4</v>
      </c>
      <c r="H183" s="48">
        <v>0</v>
      </c>
      <c r="I183" s="48">
        <v>2</v>
      </c>
      <c r="J183" s="48">
        <v>22</v>
      </c>
      <c r="K183" s="3"/>
      <c r="L183" s="16"/>
      <c r="M183" s="57"/>
      <c r="N183" s="58"/>
      <c r="O183" s="21">
        <v>222</v>
      </c>
      <c r="P183" s="16">
        <v>5</v>
      </c>
      <c r="Q183" s="20">
        <v>222</v>
      </c>
      <c r="R183" s="14">
        <v>2000</v>
      </c>
      <c r="S183" s="20">
        <f t="shared" si="24"/>
        <v>444000</v>
      </c>
      <c r="T183" s="16"/>
      <c r="U183" s="17"/>
      <c r="V183" s="17"/>
      <c r="W183" s="4"/>
      <c r="X183" s="16"/>
      <c r="Y183" s="5"/>
      <c r="Z183" s="16"/>
      <c r="AA183" s="16"/>
      <c r="AB183" s="16"/>
      <c r="AE183" s="16"/>
      <c r="AG183" s="22"/>
      <c r="AH183" s="6"/>
      <c r="AJ183" s="20"/>
      <c r="AK183" s="50"/>
      <c r="AL183" s="6"/>
      <c r="AM183" s="20"/>
      <c r="AN183" s="20"/>
      <c r="AP183" s="20"/>
      <c r="AQ183" s="7"/>
      <c r="AR183" s="20"/>
      <c r="AS183" s="51"/>
    </row>
    <row r="184" spans="1:45" s="21" customFormat="1" ht="30" customHeight="1" x14ac:dyDescent="0.2">
      <c r="A184" s="8"/>
      <c r="B184" s="46"/>
      <c r="C184" s="16"/>
      <c r="D184" s="48"/>
      <c r="E184" s="47"/>
      <c r="F184" s="48"/>
      <c r="G184" s="49"/>
      <c r="H184" s="48"/>
      <c r="I184" s="48"/>
      <c r="J184" s="48"/>
      <c r="K184" s="3"/>
      <c r="L184" s="16"/>
      <c r="M184" s="57"/>
      <c r="N184" s="58"/>
      <c r="P184" s="16">
        <v>1</v>
      </c>
      <c r="Q184" s="20">
        <f>222-50</f>
        <v>172</v>
      </c>
      <c r="R184" s="14">
        <v>2000</v>
      </c>
      <c r="S184" s="20"/>
      <c r="T184" s="16">
        <v>1</v>
      </c>
      <c r="U184" s="17"/>
      <c r="V184" s="17"/>
      <c r="W184" s="4"/>
      <c r="X184" s="16"/>
      <c r="Y184" s="5"/>
      <c r="Z184" s="16"/>
      <c r="AA184" s="16"/>
      <c r="AB184" s="16"/>
      <c r="AE184" s="16"/>
      <c r="AF184" s="21">
        <v>1</v>
      </c>
      <c r="AG184" s="22"/>
      <c r="AH184" s="6"/>
      <c r="AJ184" s="20"/>
      <c r="AK184" s="50"/>
      <c r="AL184" s="6"/>
      <c r="AM184" s="20"/>
      <c r="AN184" s="20"/>
      <c r="AP184" s="20"/>
      <c r="AQ184" s="7"/>
      <c r="AR184" s="20"/>
      <c r="AS184" s="51"/>
    </row>
    <row r="185" spans="1:45" s="21" customFormat="1" ht="30" customHeight="1" x14ac:dyDescent="0.2">
      <c r="A185" s="8"/>
      <c r="B185" s="46"/>
      <c r="C185" s="16"/>
      <c r="D185" s="48"/>
      <c r="E185" s="47"/>
      <c r="F185" s="48"/>
      <c r="G185" s="49"/>
      <c r="H185" s="48"/>
      <c r="I185" s="48"/>
      <c r="J185" s="48"/>
      <c r="K185" s="3"/>
      <c r="L185" s="16"/>
      <c r="M185" s="57"/>
      <c r="N185" s="58"/>
      <c r="P185" s="16"/>
      <c r="Q185" s="20"/>
      <c r="R185" s="14"/>
      <c r="S185" s="20"/>
      <c r="T185" s="16">
        <v>2</v>
      </c>
      <c r="U185" s="17" t="s">
        <v>57</v>
      </c>
      <c r="V185" s="17" t="s">
        <v>56</v>
      </c>
      <c r="W185" s="4">
        <v>200</v>
      </c>
      <c r="X185" s="16"/>
      <c r="Y185" s="5">
        <v>175</v>
      </c>
      <c r="Z185" s="16">
        <v>25</v>
      </c>
      <c r="AA185" s="16"/>
      <c r="AB185" s="16">
        <v>23</v>
      </c>
      <c r="AE185" s="16" t="s">
        <v>89</v>
      </c>
      <c r="AF185" s="21">
        <v>2</v>
      </c>
      <c r="AG185" s="22">
        <v>200</v>
      </c>
      <c r="AH185" s="6">
        <v>0.87</v>
      </c>
      <c r="AI185" s="21">
        <v>7250</v>
      </c>
      <c r="AJ185" s="20">
        <f t="shared" ref="AJ185:AJ209" si="31">+AG185*AH185*AI185</f>
        <v>1261500</v>
      </c>
      <c r="AK185" s="50">
        <v>23</v>
      </c>
      <c r="AL185" s="6">
        <v>0.36</v>
      </c>
      <c r="AM185" s="20">
        <f t="shared" ref="AM185:AM209" si="32">+AJ185-(AL185*AJ185)</f>
        <v>807360</v>
      </c>
      <c r="AN185" s="20">
        <f>+AM185+((50*2000)*AH185)</f>
        <v>894360</v>
      </c>
      <c r="AP185" s="20">
        <f t="shared" ref="AP185:AP209" si="33">AN185</f>
        <v>894360</v>
      </c>
      <c r="AQ185" s="7">
        <v>2.0000000000000001E-4</v>
      </c>
      <c r="AR185" s="20"/>
      <c r="AS185" s="51"/>
    </row>
    <row r="186" spans="1:45" s="21" customFormat="1" ht="30" customHeight="1" x14ac:dyDescent="0.2">
      <c r="A186" s="8"/>
      <c r="B186" s="46"/>
      <c r="C186" s="16"/>
      <c r="D186" s="48"/>
      <c r="E186" s="47"/>
      <c r="F186" s="48"/>
      <c r="G186" s="49"/>
      <c r="H186" s="48"/>
      <c r="I186" s="48"/>
      <c r="J186" s="48"/>
      <c r="K186" s="3"/>
      <c r="L186" s="16"/>
      <c r="M186" s="57"/>
      <c r="N186" s="58"/>
      <c r="P186" s="16"/>
      <c r="Q186" s="20"/>
      <c r="R186" s="14"/>
      <c r="S186" s="20"/>
      <c r="T186" s="16">
        <v>3</v>
      </c>
      <c r="U186" s="17"/>
      <c r="V186" s="17"/>
      <c r="W186" s="4"/>
      <c r="X186" s="16"/>
      <c r="Y186" s="5"/>
      <c r="Z186" s="16"/>
      <c r="AA186" s="16"/>
      <c r="AB186" s="16"/>
      <c r="AE186" s="16"/>
      <c r="AF186" s="21">
        <v>3</v>
      </c>
      <c r="AG186" s="22">
        <v>200</v>
      </c>
      <c r="AH186" s="6">
        <v>0.13</v>
      </c>
      <c r="AI186" s="21">
        <v>7250</v>
      </c>
      <c r="AJ186" s="20">
        <f t="shared" si="31"/>
        <v>188500</v>
      </c>
      <c r="AK186" s="50">
        <v>23</v>
      </c>
      <c r="AL186" s="6">
        <v>0.36</v>
      </c>
      <c r="AM186" s="20">
        <f t="shared" si="32"/>
        <v>120640</v>
      </c>
      <c r="AN186" s="20">
        <f>+AM186+((50*2000)*AH186)</f>
        <v>133640</v>
      </c>
      <c r="AP186" s="20">
        <f t="shared" si="33"/>
        <v>133640</v>
      </c>
      <c r="AQ186" s="7">
        <v>3.0000000000000001E-3</v>
      </c>
      <c r="AR186" s="20"/>
      <c r="AS186" s="51"/>
    </row>
    <row r="187" spans="1:45" s="21" customFormat="1" ht="30" customHeight="1" x14ac:dyDescent="0.2">
      <c r="A187" s="8">
        <v>154</v>
      </c>
      <c r="B187" s="46">
        <v>1</v>
      </c>
      <c r="C187" s="16" t="s">
        <v>52</v>
      </c>
      <c r="D187" s="48">
        <v>29209</v>
      </c>
      <c r="E187" s="47">
        <v>233</v>
      </c>
      <c r="F187" s="48">
        <v>5404</v>
      </c>
      <c r="G187" s="49">
        <v>1</v>
      </c>
      <c r="H187" s="48">
        <v>0</v>
      </c>
      <c r="I187" s="48">
        <v>0</v>
      </c>
      <c r="J187" s="48">
        <v>93</v>
      </c>
      <c r="K187" s="3">
        <v>93</v>
      </c>
      <c r="L187" s="16"/>
      <c r="M187" s="57"/>
      <c r="N187" s="58"/>
      <c r="P187" s="16">
        <v>1</v>
      </c>
      <c r="Q187" s="20">
        <v>93</v>
      </c>
      <c r="R187" s="14">
        <v>3000</v>
      </c>
      <c r="S187" s="19">
        <f t="shared" ref="S187:S210" si="34">+Q187*R187</f>
        <v>279000</v>
      </c>
      <c r="T187" s="16"/>
      <c r="U187" s="17"/>
      <c r="V187" s="17"/>
      <c r="W187" s="4"/>
      <c r="X187" s="16"/>
      <c r="Y187" s="5"/>
      <c r="Z187" s="16"/>
      <c r="AA187" s="16"/>
      <c r="AB187" s="16"/>
      <c r="AE187" s="16"/>
      <c r="AG187" s="22">
        <f t="shared" ref="AG187:AG192" si="35">Y187</f>
        <v>0</v>
      </c>
      <c r="AH187" s="6"/>
      <c r="AJ187" s="20">
        <f t="shared" si="31"/>
        <v>0</v>
      </c>
      <c r="AK187" s="50"/>
      <c r="AL187" s="6"/>
      <c r="AM187" s="20">
        <f t="shared" si="32"/>
        <v>0</v>
      </c>
      <c r="AN187" s="20">
        <f t="shared" ref="AN187:AN209" si="36">+S187+AM187</f>
        <v>279000</v>
      </c>
      <c r="AP187" s="20">
        <f t="shared" si="33"/>
        <v>279000</v>
      </c>
      <c r="AQ187" s="7"/>
      <c r="AR187" s="20"/>
      <c r="AS187" s="51"/>
    </row>
    <row r="188" spans="1:45" ht="30" customHeight="1" x14ac:dyDescent="0.2">
      <c r="A188" s="8">
        <v>155</v>
      </c>
      <c r="B188" s="13">
        <v>2</v>
      </c>
      <c r="C188" s="16" t="s">
        <v>69</v>
      </c>
      <c r="E188" s="17">
        <v>162</v>
      </c>
      <c r="F188" s="17">
        <v>17</v>
      </c>
      <c r="G188" s="13">
        <v>1</v>
      </c>
      <c r="H188" s="17">
        <v>22</v>
      </c>
      <c r="I188" s="17">
        <v>2</v>
      </c>
      <c r="J188" s="17">
        <v>93</v>
      </c>
      <c r="K188" s="10">
        <v>9093</v>
      </c>
      <c r="P188" s="17">
        <v>1</v>
      </c>
      <c r="Q188" s="19">
        <v>9093</v>
      </c>
      <c r="R188" s="14">
        <v>160</v>
      </c>
      <c r="S188" s="19">
        <f t="shared" si="34"/>
        <v>1454880</v>
      </c>
      <c r="AG188" s="22">
        <f t="shared" si="35"/>
        <v>0</v>
      </c>
      <c r="AJ188" s="20">
        <f t="shared" si="31"/>
        <v>0</v>
      </c>
      <c r="AM188" s="20">
        <f t="shared" si="32"/>
        <v>0</v>
      </c>
      <c r="AN188" s="20">
        <f t="shared" si="36"/>
        <v>1454880</v>
      </c>
      <c r="AP188" s="20">
        <f t="shared" si="33"/>
        <v>1454880</v>
      </c>
      <c r="AQ188" s="12">
        <v>1E-4</v>
      </c>
      <c r="AR188" s="20"/>
    </row>
    <row r="189" spans="1:45" s="21" customFormat="1" ht="30" customHeight="1" x14ac:dyDescent="0.2">
      <c r="A189" s="8">
        <v>156</v>
      </c>
      <c r="B189" s="46">
        <v>1</v>
      </c>
      <c r="C189" s="16" t="s">
        <v>52</v>
      </c>
      <c r="D189" s="48">
        <v>3207</v>
      </c>
      <c r="E189" s="47">
        <v>82</v>
      </c>
      <c r="F189" s="48">
        <v>2140</v>
      </c>
      <c r="G189" s="49">
        <v>2</v>
      </c>
      <c r="H189" s="48">
        <v>1</v>
      </c>
      <c r="I189" s="48">
        <v>2</v>
      </c>
      <c r="J189" s="48">
        <v>2</v>
      </c>
      <c r="K189" s="3">
        <v>602</v>
      </c>
      <c r="L189" s="16"/>
      <c r="M189" s="57"/>
      <c r="N189" s="58"/>
      <c r="P189" s="16">
        <v>1</v>
      </c>
      <c r="Q189" s="20">
        <v>602</v>
      </c>
      <c r="R189" s="14">
        <v>200</v>
      </c>
      <c r="S189" s="20">
        <f t="shared" si="34"/>
        <v>120400</v>
      </c>
      <c r="T189" s="16"/>
      <c r="U189" s="17"/>
      <c r="V189" s="17"/>
      <c r="W189" s="4"/>
      <c r="X189" s="16"/>
      <c r="Y189" s="5"/>
      <c r="Z189" s="16"/>
      <c r="AA189" s="16"/>
      <c r="AB189" s="16"/>
      <c r="AE189" s="16"/>
      <c r="AG189" s="22">
        <f t="shared" si="35"/>
        <v>0</v>
      </c>
      <c r="AH189" s="6"/>
      <c r="AJ189" s="20">
        <f t="shared" si="31"/>
        <v>0</v>
      </c>
      <c r="AK189" s="50"/>
      <c r="AL189" s="6"/>
      <c r="AM189" s="20">
        <f t="shared" si="32"/>
        <v>0</v>
      </c>
      <c r="AN189" s="20">
        <f t="shared" si="36"/>
        <v>120400</v>
      </c>
      <c r="AP189" s="20">
        <f t="shared" si="33"/>
        <v>120400</v>
      </c>
      <c r="AQ189" s="7"/>
      <c r="AR189" s="20"/>
      <c r="AS189" s="51"/>
    </row>
    <row r="190" spans="1:45" s="21" customFormat="1" ht="30" customHeight="1" x14ac:dyDescent="0.2">
      <c r="A190" s="8">
        <v>157</v>
      </c>
      <c r="B190" s="46">
        <v>2</v>
      </c>
      <c r="C190" s="16" t="s">
        <v>52</v>
      </c>
      <c r="D190" s="48">
        <v>3386</v>
      </c>
      <c r="E190" s="47">
        <v>58</v>
      </c>
      <c r="F190" s="48">
        <v>2172</v>
      </c>
      <c r="G190" s="49">
        <v>2</v>
      </c>
      <c r="H190" s="48">
        <v>0</v>
      </c>
      <c r="I190" s="48">
        <v>2</v>
      </c>
      <c r="J190" s="48">
        <v>70</v>
      </c>
      <c r="K190" s="3">
        <v>270</v>
      </c>
      <c r="L190" s="16"/>
      <c r="M190" s="57"/>
      <c r="N190" s="58"/>
      <c r="P190" s="16">
        <v>1</v>
      </c>
      <c r="Q190" s="20">
        <v>270</v>
      </c>
      <c r="R190" s="14">
        <v>160</v>
      </c>
      <c r="S190" s="19">
        <f t="shared" si="34"/>
        <v>43200</v>
      </c>
      <c r="T190" s="16"/>
      <c r="U190" s="17"/>
      <c r="V190" s="17"/>
      <c r="W190" s="4"/>
      <c r="X190" s="16"/>
      <c r="Y190" s="5"/>
      <c r="Z190" s="16"/>
      <c r="AA190" s="16"/>
      <c r="AB190" s="16"/>
      <c r="AE190" s="16"/>
      <c r="AG190" s="22">
        <f t="shared" si="35"/>
        <v>0</v>
      </c>
      <c r="AH190" s="6"/>
      <c r="AJ190" s="20">
        <f t="shared" si="31"/>
        <v>0</v>
      </c>
      <c r="AK190" s="50"/>
      <c r="AL190" s="6"/>
      <c r="AM190" s="20">
        <f t="shared" si="32"/>
        <v>0</v>
      </c>
      <c r="AN190" s="20">
        <f t="shared" si="36"/>
        <v>43200</v>
      </c>
      <c r="AP190" s="20">
        <f t="shared" si="33"/>
        <v>43200</v>
      </c>
      <c r="AQ190" s="7"/>
      <c r="AR190" s="20"/>
      <c r="AS190" s="51"/>
    </row>
    <row r="191" spans="1:45" ht="30" customHeight="1" x14ac:dyDescent="0.2">
      <c r="A191" s="8">
        <v>158</v>
      </c>
      <c r="B191" s="13">
        <v>1</v>
      </c>
      <c r="C191" s="16" t="s">
        <v>65</v>
      </c>
      <c r="D191" s="17">
        <v>331</v>
      </c>
      <c r="E191" s="17">
        <v>76</v>
      </c>
      <c r="H191" s="17">
        <v>3</v>
      </c>
      <c r="I191" s="17">
        <v>2</v>
      </c>
      <c r="J191" s="17">
        <v>51</v>
      </c>
      <c r="K191" s="10">
        <v>1451</v>
      </c>
      <c r="P191" s="17">
        <v>1</v>
      </c>
      <c r="Q191" s="19">
        <v>1451</v>
      </c>
      <c r="R191" s="14">
        <v>160</v>
      </c>
      <c r="S191" s="19">
        <f t="shared" si="34"/>
        <v>232160</v>
      </c>
      <c r="AC191" s="21"/>
      <c r="AD191" s="21"/>
      <c r="AG191" s="22">
        <f t="shared" si="35"/>
        <v>0</v>
      </c>
      <c r="AJ191" s="20">
        <f t="shared" si="31"/>
        <v>0</v>
      </c>
      <c r="AM191" s="20">
        <f t="shared" si="32"/>
        <v>0</v>
      </c>
      <c r="AN191" s="20">
        <f t="shared" si="36"/>
        <v>232160</v>
      </c>
      <c r="AP191" s="20">
        <f t="shared" si="33"/>
        <v>232160</v>
      </c>
      <c r="AQ191" s="12">
        <v>1E-4</v>
      </c>
      <c r="AR191" s="20"/>
      <c r="AS191" s="26">
        <v>13</v>
      </c>
    </row>
    <row r="192" spans="1:45" s="21" customFormat="1" ht="30" customHeight="1" x14ac:dyDescent="0.2">
      <c r="A192" s="8">
        <v>159</v>
      </c>
      <c r="B192" s="46">
        <v>1</v>
      </c>
      <c r="C192" s="16" t="s">
        <v>52</v>
      </c>
      <c r="D192" s="48">
        <v>814</v>
      </c>
      <c r="E192" s="47">
        <v>24</v>
      </c>
      <c r="F192" s="48">
        <v>289</v>
      </c>
      <c r="G192" s="49">
        <v>6</v>
      </c>
      <c r="H192" s="48">
        <v>1</v>
      </c>
      <c r="I192" s="48">
        <v>3</v>
      </c>
      <c r="J192" s="48">
        <v>88</v>
      </c>
      <c r="K192" s="3">
        <v>788</v>
      </c>
      <c r="L192" s="16"/>
      <c r="M192" s="57"/>
      <c r="N192" s="58"/>
      <c r="P192" s="16">
        <v>1</v>
      </c>
      <c r="Q192" s="20">
        <v>788</v>
      </c>
      <c r="R192" s="14">
        <v>160</v>
      </c>
      <c r="S192" s="20">
        <f t="shared" si="34"/>
        <v>126080</v>
      </c>
      <c r="T192" s="16"/>
      <c r="U192" s="16"/>
      <c r="V192" s="16"/>
      <c r="W192" s="5"/>
      <c r="X192" s="16"/>
      <c r="Y192" s="5"/>
      <c r="Z192" s="16"/>
      <c r="AA192" s="16"/>
      <c r="AB192" s="16"/>
      <c r="AE192" s="16"/>
      <c r="AG192" s="22">
        <f t="shared" si="35"/>
        <v>0</v>
      </c>
      <c r="AH192" s="6"/>
      <c r="AJ192" s="20">
        <f t="shared" si="31"/>
        <v>0</v>
      </c>
      <c r="AK192" s="50"/>
      <c r="AL192" s="6"/>
      <c r="AM192" s="20">
        <f t="shared" si="32"/>
        <v>0</v>
      </c>
      <c r="AN192" s="20">
        <f t="shared" si="36"/>
        <v>126080</v>
      </c>
      <c r="AP192" s="20">
        <f t="shared" si="33"/>
        <v>126080</v>
      </c>
      <c r="AQ192" s="7"/>
      <c r="AR192" s="20"/>
      <c r="AS192" s="51"/>
    </row>
    <row r="193" spans="1:48" s="29" customFormat="1" ht="30" customHeight="1" x14ac:dyDescent="0.2">
      <c r="A193" s="86">
        <v>160</v>
      </c>
      <c r="B193" s="46">
        <v>2</v>
      </c>
      <c r="C193" s="16" t="s">
        <v>52</v>
      </c>
      <c r="D193" s="48">
        <v>11718</v>
      </c>
      <c r="E193" s="47">
        <v>48</v>
      </c>
      <c r="F193" s="48">
        <v>3191</v>
      </c>
      <c r="G193" s="53">
        <v>6</v>
      </c>
      <c r="H193" s="48">
        <v>0</v>
      </c>
      <c r="I193" s="48">
        <v>0</v>
      </c>
      <c r="J193" s="48">
        <v>50.05</v>
      </c>
      <c r="K193" s="63"/>
      <c r="L193" s="63"/>
      <c r="M193" s="63"/>
      <c r="N193" s="63">
        <v>50.05</v>
      </c>
      <c r="O193" s="63"/>
      <c r="P193" s="21"/>
      <c r="Q193" s="19">
        <f>+(H193*400)+(I193*100)+J193</f>
        <v>50.05</v>
      </c>
      <c r="R193" s="14">
        <v>1500</v>
      </c>
      <c r="S193" s="19">
        <f t="shared" si="34"/>
        <v>75075</v>
      </c>
      <c r="T193" s="63"/>
      <c r="U193" s="87"/>
      <c r="V193" s="87"/>
      <c r="W193" s="28"/>
      <c r="X193" s="63"/>
      <c r="Y193" s="67"/>
      <c r="Z193" s="63"/>
      <c r="AA193" s="63"/>
      <c r="AB193" s="63"/>
      <c r="AC193" s="21"/>
      <c r="AD193" s="93"/>
      <c r="AE193" s="14" t="s">
        <v>90</v>
      </c>
      <c r="AF193" s="21"/>
      <c r="AG193" s="22"/>
      <c r="AH193" s="21"/>
      <c r="AI193" s="21"/>
      <c r="AJ193" s="20">
        <f t="shared" si="31"/>
        <v>0</v>
      </c>
      <c r="AK193" s="50">
        <f>AB193</f>
        <v>0</v>
      </c>
      <c r="AL193" s="6"/>
      <c r="AM193" s="20">
        <f t="shared" si="32"/>
        <v>0</v>
      </c>
      <c r="AN193" s="20">
        <f t="shared" si="36"/>
        <v>75075</v>
      </c>
      <c r="AO193" s="21"/>
      <c r="AP193" s="19">
        <f t="shared" si="33"/>
        <v>75075</v>
      </c>
      <c r="AQ193" s="7">
        <v>3.0000000000000001E-3</v>
      </c>
      <c r="AR193" s="20"/>
      <c r="AS193" s="26"/>
      <c r="AT193" s="14"/>
      <c r="AU193" s="14"/>
      <c r="AV193" s="14"/>
    </row>
    <row r="194" spans="1:48" s="21" customFormat="1" ht="30" customHeight="1" x14ac:dyDescent="0.2">
      <c r="A194" s="8">
        <v>161</v>
      </c>
      <c r="B194" s="46">
        <v>1</v>
      </c>
      <c r="C194" s="16" t="s">
        <v>52</v>
      </c>
      <c r="D194" s="48">
        <v>975</v>
      </c>
      <c r="E194" s="47">
        <v>2</v>
      </c>
      <c r="F194" s="48">
        <v>379</v>
      </c>
      <c r="G194" s="49">
        <v>1</v>
      </c>
      <c r="H194" s="48">
        <v>0</v>
      </c>
      <c r="I194" s="48">
        <v>2</v>
      </c>
      <c r="J194" s="48">
        <v>96</v>
      </c>
      <c r="K194" s="3">
        <v>296</v>
      </c>
      <c r="L194" s="16"/>
      <c r="M194" s="57"/>
      <c r="N194" s="58"/>
      <c r="P194" s="16">
        <v>1</v>
      </c>
      <c r="Q194" s="20">
        <v>296</v>
      </c>
      <c r="R194" s="14">
        <v>2250</v>
      </c>
      <c r="S194" s="19">
        <f t="shared" si="34"/>
        <v>666000</v>
      </c>
      <c r="T194" s="16"/>
      <c r="U194" s="17"/>
      <c r="V194" s="16"/>
      <c r="W194" s="5"/>
      <c r="X194" s="16"/>
      <c r="Y194" s="5"/>
      <c r="Z194" s="16"/>
      <c r="AA194" s="16"/>
      <c r="AB194" s="16"/>
      <c r="AE194" s="16"/>
      <c r="AG194" s="22">
        <f t="shared" ref="AG194:AG209" si="37">Y194</f>
        <v>0</v>
      </c>
      <c r="AH194" s="6"/>
      <c r="AJ194" s="20">
        <f t="shared" si="31"/>
        <v>0</v>
      </c>
      <c r="AK194" s="50"/>
      <c r="AL194" s="6"/>
      <c r="AM194" s="20">
        <f t="shared" si="32"/>
        <v>0</v>
      </c>
      <c r="AN194" s="20">
        <f t="shared" si="36"/>
        <v>666000</v>
      </c>
      <c r="AP194" s="20">
        <f t="shared" si="33"/>
        <v>666000</v>
      </c>
      <c r="AQ194" s="7"/>
      <c r="AR194" s="20"/>
      <c r="AS194" s="51"/>
    </row>
    <row r="195" spans="1:48" s="21" customFormat="1" ht="30" customHeight="1" x14ac:dyDescent="0.2">
      <c r="A195" s="8">
        <v>162</v>
      </c>
      <c r="B195" s="46">
        <v>1</v>
      </c>
      <c r="C195" s="16" t="s">
        <v>52</v>
      </c>
      <c r="D195" s="48">
        <v>32809</v>
      </c>
      <c r="E195" s="47">
        <v>286</v>
      </c>
      <c r="F195" s="48">
        <v>6436</v>
      </c>
      <c r="G195" s="49">
        <v>1</v>
      </c>
      <c r="H195" s="48">
        <v>0</v>
      </c>
      <c r="I195" s="48">
        <v>0</v>
      </c>
      <c r="J195" s="48">
        <v>45</v>
      </c>
      <c r="K195" s="3">
        <v>45</v>
      </c>
      <c r="L195" s="16"/>
      <c r="M195" s="57"/>
      <c r="N195" s="58"/>
      <c r="P195" s="16">
        <v>1</v>
      </c>
      <c r="Q195" s="20">
        <v>45</v>
      </c>
      <c r="R195" s="14">
        <v>160</v>
      </c>
      <c r="S195" s="19">
        <f t="shared" si="34"/>
        <v>7200</v>
      </c>
      <c r="T195" s="16"/>
      <c r="U195" s="17"/>
      <c r="V195" s="17"/>
      <c r="W195" s="4"/>
      <c r="X195" s="16"/>
      <c r="Y195" s="5"/>
      <c r="Z195" s="16"/>
      <c r="AA195" s="16"/>
      <c r="AB195" s="16"/>
      <c r="AE195" s="16"/>
      <c r="AG195" s="22">
        <f t="shared" si="37"/>
        <v>0</v>
      </c>
      <c r="AH195" s="6"/>
      <c r="AJ195" s="20">
        <f t="shared" si="31"/>
        <v>0</v>
      </c>
      <c r="AK195" s="50"/>
      <c r="AL195" s="6"/>
      <c r="AM195" s="20">
        <f t="shared" si="32"/>
        <v>0</v>
      </c>
      <c r="AN195" s="20">
        <f t="shared" si="36"/>
        <v>7200</v>
      </c>
      <c r="AP195" s="20">
        <f t="shared" si="33"/>
        <v>7200</v>
      </c>
      <c r="AQ195" s="7"/>
      <c r="AR195" s="20"/>
      <c r="AS195" s="51"/>
    </row>
    <row r="196" spans="1:48" s="21" customFormat="1" ht="30" customHeight="1" x14ac:dyDescent="0.2">
      <c r="A196" s="8">
        <v>163</v>
      </c>
      <c r="B196" s="46">
        <v>2</v>
      </c>
      <c r="C196" s="16" t="s">
        <v>52</v>
      </c>
      <c r="D196" s="48">
        <v>32810</v>
      </c>
      <c r="E196" s="47">
        <v>287</v>
      </c>
      <c r="F196" s="48">
        <v>6437</v>
      </c>
      <c r="G196" s="49">
        <v>1</v>
      </c>
      <c r="H196" s="48">
        <v>0</v>
      </c>
      <c r="I196" s="48">
        <v>0</v>
      </c>
      <c r="J196" s="48">
        <v>42</v>
      </c>
      <c r="K196" s="3">
        <v>42</v>
      </c>
      <c r="L196" s="16"/>
      <c r="M196" s="57"/>
      <c r="N196" s="58"/>
      <c r="P196" s="16">
        <v>1</v>
      </c>
      <c r="Q196" s="20">
        <v>42</v>
      </c>
      <c r="R196" s="14">
        <v>160</v>
      </c>
      <c r="S196" s="20">
        <f t="shared" si="34"/>
        <v>6720</v>
      </c>
      <c r="T196" s="16"/>
      <c r="U196" s="17"/>
      <c r="V196" s="17"/>
      <c r="W196" s="4"/>
      <c r="X196" s="16"/>
      <c r="Y196" s="5"/>
      <c r="Z196" s="16"/>
      <c r="AA196" s="16"/>
      <c r="AB196" s="16"/>
      <c r="AE196" s="16"/>
      <c r="AG196" s="22">
        <f t="shared" si="37"/>
        <v>0</v>
      </c>
      <c r="AH196" s="6"/>
      <c r="AJ196" s="20">
        <f t="shared" si="31"/>
        <v>0</v>
      </c>
      <c r="AK196" s="50"/>
      <c r="AL196" s="6"/>
      <c r="AM196" s="20">
        <f t="shared" si="32"/>
        <v>0</v>
      </c>
      <c r="AN196" s="20">
        <f t="shared" si="36"/>
        <v>6720</v>
      </c>
      <c r="AP196" s="20">
        <f t="shared" si="33"/>
        <v>6720</v>
      </c>
      <c r="AQ196" s="7"/>
      <c r="AR196" s="20"/>
      <c r="AS196" s="51"/>
    </row>
    <row r="197" spans="1:48" s="21" customFormat="1" ht="30" customHeight="1" x14ac:dyDescent="0.2">
      <c r="A197" s="8">
        <v>164</v>
      </c>
      <c r="B197" s="46">
        <v>1</v>
      </c>
      <c r="C197" s="16" t="s">
        <v>52</v>
      </c>
      <c r="D197" s="48">
        <v>1564</v>
      </c>
      <c r="E197" s="47">
        <v>97</v>
      </c>
      <c r="F197" s="48">
        <v>486</v>
      </c>
      <c r="G197" s="49">
        <v>2</v>
      </c>
      <c r="H197" s="48">
        <v>5</v>
      </c>
      <c r="I197" s="48">
        <v>0</v>
      </c>
      <c r="J197" s="48">
        <v>83</v>
      </c>
      <c r="K197" s="3">
        <v>2083</v>
      </c>
      <c r="L197" s="16"/>
      <c r="M197" s="57"/>
      <c r="N197" s="58"/>
      <c r="P197" s="16">
        <v>1</v>
      </c>
      <c r="Q197" s="20">
        <v>2083</v>
      </c>
      <c r="R197" s="14">
        <v>160</v>
      </c>
      <c r="S197" s="19">
        <f t="shared" si="34"/>
        <v>333280</v>
      </c>
      <c r="T197" s="16"/>
      <c r="U197" s="17"/>
      <c r="V197" s="17"/>
      <c r="W197" s="4"/>
      <c r="X197" s="16"/>
      <c r="Y197" s="5"/>
      <c r="Z197" s="16"/>
      <c r="AA197" s="16"/>
      <c r="AB197" s="16"/>
      <c r="AC197" s="14"/>
      <c r="AD197" s="14"/>
      <c r="AE197" s="16"/>
      <c r="AG197" s="22">
        <f t="shared" si="37"/>
        <v>0</v>
      </c>
      <c r="AH197" s="6"/>
      <c r="AJ197" s="20">
        <f t="shared" si="31"/>
        <v>0</v>
      </c>
      <c r="AK197" s="50"/>
      <c r="AL197" s="6"/>
      <c r="AM197" s="20">
        <f t="shared" si="32"/>
        <v>0</v>
      </c>
      <c r="AN197" s="20">
        <f t="shared" si="36"/>
        <v>333280</v>
      </c>
      <c r="AP197" s="20">
        <f t="shared" si="33"/>
        <v>333280</v>
      </c>
      <c r="AQ197" s="7"/>
      <c r="AR197" s="20"/>
      <c r="AS197" s="51"/>
    </row>
    <row r="198" spans="1:48" s="21" customFormat="1" ht="30" customHeight="1" x14ac:dyDescent="0.2">
      <c r="A198" s="8">
        <v>165</v>
      </c>
      <c r="B198" s="46">
        <v>1</v>
      </c>
      <c r="C198" s="16" t="s">
        <v>52</v>
      </c>
      <c r="D198" s="48">
        <v>894</v>
      </c>
      <c r="E198" s="47">
        <v>2</v>
      </c>
      <c r="F198" s="48">
        <v>189</v>
      </c>
      <c r="G198" s="49">
        <v>1</v>
      </c>
      <c r="H198" s="48">
        <v>2</v>
      </c>
      <c r="I198" s="48">
        <v>2</v>
      </c>
      <c r="J198" s="48">
        <v>90</v>
      </c>
      <c r="K198" s="3">
        <v>1090</v>
      </c>
      <c r="L198" s="16"/>
      <c r="M198" s="57"/>
      <c r="N198" s="58"/>
      <c r="P198" s="16">
        <v>1</v>
      </c>
      <c r="Q198" s="20">
        <v>1090</v>
      </c>
      <c r="R198" s="14">
        <v>200</v>
      </c>
      <c r="S198" s="19">
        <f t="shared" si="34"/>
        <v>218000</v>
      </c>
      <c r="T198" s="16"/>
      <c r="U198" s="17"/>
      <c r="V198" s="17"/>
      <c r="W198" s="4"/>
      <c r="X198" s="16"/>
      <c r="Y198" s="5"/>
      <c r="Z198" s="16"/>
      <c r="AA198" s="16"/>
      <c r="AB198" s="16"/>
      <c r="AE198" s="16"/>
      <c r="AG198" s="22">
        <f t="shared" si="37"/>
        <v>0</v>
      </c>
      <c r="AH198" s="6"/>
      <c r="AJ198" s="20">
        <f t="shared" si="31"/>
        <v>0</v>
      </c>
      <c r="AK198" s="50"/>
      <c r="AL198" s="6"/>
      <c r="AM198" s="20">
        <f t="shared" si="32"/>
        <v>0</v>
      </c>
      <c r="AN198" s="20">
        <f t="shared" si="36"/>
        <v>218000</v>
      </c>
      <c r="AP198" s="20">
        <f t="shared" si="33"/>
        <v>218000</v>
      </c>
      <c r="AQ198" s="7"/>
      <c r="AR198" s="20"/>
      <c r="AS198" s="51"/>
    </row>
    <row r="199" spans="1:48" s="21" customFormat="1" ht="30" customHeight="1" x14ac:dyDescent="0.2">
      <c r="A199" s="8">
        <v>166</v>
      </c>
      <c r="B199" s="46">
        <v>2</v>
      </c>
      <c r="C199" s="16" t="s">
        <v>52</v>
      </c>
      <c r="D199" s="48">
        <v>15178</v>
      </c>
      <c r="E199" s="47">
        <v>59</v>
      </c>
      <c r="F199" s="48">
        <v>3398</v>
      </c>
      <c r="G199" s="49">
        <v>1</v>
      </c>
      <c r="H199" s="48">
        <v>0</v>
      </c>
      <c r="I199" s="48">
        <v>2</v>
      </c>
      <c r="J199" s="48">
        <v>6</v>
      </c>
      <c r="K199" s="3"/>
      <c r="L199" s="16">
        <v>206</v>
      </c>
      <c r="M199" s="57"/>
      <c r="N199" s="58"/>
      <c r="P199" s="16">
        <v>2</v>
      </c>
      <c r="Q199" s="20">
        <v>206</v>
      </c>
      <c r="R199" s="14">
        <v>250</v>
      </c>
      <c r="S199" s="20">
        <f t="shared" si="34"/>
        <v>51500</v>
      </c>
      <c r="T199" s="16"/>
      <c r="U199" s="17" t="s">
        <v>57</v>
      </c>
      <c r="V199" s="17" t="s">
        <v>56</v>
      </c>
      <c r="W199" s="4"/>
      <c r="X199" s="16"/>
      <c r="Y199" s="5">
        <v>108</v>
      </c>
      <c r="Z199" s="16"/>
      <c r="AA199" s="16"/>
      <c r="AB199" s="16"/>
      <c r="AC199" s="14"/>
      <c r="AD199" s="14"/>
      <c r="AE199" s="16" t="s">
        <v>91</v>
      </c>
      <c r="AF199" s="21">
        <v>2</v>
      </c>
      <c r="AG199" s="22">
        <f t="shared" si="37"/>
        <v>108</v>
      </c>
      <c r="AH199" s="6">
        <v>1</v>
      </c>
      <c r="AI199" s="21">
        <v>7250</v>
      </c>
      <c r="AJ199" s="20">
        <f t="shared" si="31"/>
        <v>783000</v>
      </c>
      <c r="AK199" s="50"/>
      <c r="AL199" s="6"/>
      <c r="AM199" s="20">
        <f t="shared" si="32"/>
        <v>783000</v>
      </c>
      <c r="AN199" s="20">
        <f t="shared" si="36"/>
        <v>834500</v>
      </c>
      <c r="AP199" s="20">
        <f t="shared" si="33"/>
        <v>834500</v>
      </c>
      <c r="AQ199" s="7"/>
      <c r="AR199" s="20"/>
      <c r="AS199" s="51"/>
    </row>
    <row r="200" spans="1:48" s="21" customFormat="1" ht="30" customHeight="1" x14ac:dyDescent="0.2">
      <c r="A200" s="8">
        <v>167</v>
      </c>
      <c r="B200" s="46">
        <v>1</v>
      </c>
      <c r="C200" s="16" t="s">
        <v>52</v>
      </c>
      <c r="D200" s="48">
        <v>2988</v>
      </c>
      <c r="E200" s="47">
        <v>9</v>
      </c>
      <c r="F200" s="48">
        <v>2056</v>
      </c>
      <c r="G200" s="49">
        <v>2</v>
      </c>
      <c r="H200" s="48">
        <v>0</v>
      </c>
      <c r="I200" s="48">
        <v>1</v>
      </c>
      <c r="J200" s="48">
        <v>42</v>
      </c>
      <c r="K200" s="3">
        <v>142</v>
      </c>
      <c r="L200" s="16"/>
      <c r="M200" s="57"/>
      <c r="N200" s="58"/>
      <c r="P200" s="16">
        <v>1</v>
      </c>
      <c r="Q200" s="20">
        <v>142</v>
      </c>
      <c r="R200" s="14">
        <v>250</v>
      </c>
      <c r="S200" s="19">
        <f t="shared" si="34"/>
        <v>35500</v>
      </c>
      <c r="T200" s="16"/>
      <c r="U200" s="16"/>
      <c r="V200" s="16"/>
      <c r="W200" s="5"/>
      <c r="X200" s="16"/>
      <c r="Y200" s="5"/>
      <c r="Z200" s="16"/>
      <c r="AA200" s="16"/>
      <c r="AB200" s="16"/>
      <c r="AC200" s="14"/>
      <c r="AD200" s="14"/>
      <c r="AE200" s="16"/>
      <c r="AG200" s="22">
        <f t="shared" si="37"/>
        <v>0</v>
      </c>
      <c r="AH200" s="6"/>
      <c r="AJ200" s="20">
        <f t="shared" si="31"/>
        <v>0</v>
      </c>
      <c r="AK200" s="50"/>
      <c r="AL200" s="6"/>
      <c r="AM200" s="20">
        <f t="shared" si="32"/>
        <v>0</v>
      </c>
      <c r="AN200" s="20">
        <f t="shared" si="36"/>
        <v>35500</v>
      </c>
      <c r="AP200" s="20">
        <f t="shared" si="33"/>
        <v>35500</v>
      </c>
      <c r="AQ200" s="7"/>
      <c r="AR200" s="20"/>
      <c r="AS200" s="51"/>
    </row>
    <row r="201" spans="1:48" s="21" customFormat="1" ht="30" customHeight="1" x14ac:dyDescent="0.2">
      <c r="A201" s="8">
        <v>168</v>
      </c>
      <c r="B201" s="46">
        <v>1</v>
      </c>
      <c r="C201" s="16" t="s">
        <v>52</v>
      </c>
      <c r="D201" s="48">
        <v>31422</v>
      </c>
      <c r="E201" s="47">
        <v>74</v>
      </c>
      <c r="F201" s="48">
        <v>6205</v>
      </c>
      <c r="G201" s="49">
        <v>4</v>
      </c>
      <c r="H201" s="48">
        <v>0</v>
      </c>
      <c r="I201" s="48">
        <v>0</v>
      </c>
      <c r="J201" s="48">
        <v>65</v>
      </c>
      <c r="K201" s="3"/>
      <c r="L201" s="16">
        <v>65</v>
      </c>
      <c r="M201" s="57"/>
      <c r="N201" s="58"/>
      <c r="P201" s="16">
        <v>2</v>
      </c>
      <c r="Q201" s="20">
        <v>65</v>
      </c>
      <c r="R201" s="14">
        <v>250</v>
      </c>
      <c r="S201" s="19">
        <f t="shared" si="34"/>
        <v>16250</v>
      </c>
      <c r="T201" s="16"/>
      <c r="U201" s="17" t="s">
        <v>57</v>
      </c>
      <c r="V201" s="16" t="s">
        <v>56</v>
      </c>
      <c r="W201" s="5"/>
      <c r="X201" s="16"/>
      <c r="Y201" s="5">
        <v>150</v>
      </c>
      <c r="Z201" s="16"/>
      <c r="AA201" s="16"/>
      <c r="AB201" s="16"/>
      <c r="AC201" s="14"/>
      <c r="AD201" s="14"/>
      <c r="AE201" s="16" t="s">
        <v>92</v>
      </c>
      <c r="AF201" s="21">
        <v>2</v>
      </c>
      <c r="AG201" s="22">
        <f t="shared" si="37"/>
        <v>150</v>
      </c>
      <c r="AH201" s="6">
        <v>1</v>
      </c>
      <c r="AI201" s="21">
        <v>7250</v>
      </c>
      <c r="AJ201" s="20">
        <f t="shared" si="31"/>
        <v>1087500</v>
      </c>
      <c r="AK201" s="50"/>
      <c r="AL201" s="6"/>
      <c r="AM201" s="20">
        <f t="shared" si="32"/>
        <v>1087500</v>
      </c>
      <c r="AN201" s="20">
        <f t="shared" si="36"/>
        <v>1103750</v>
      </c>
      <c r="AP201" s="20">
        <f t="shared" si="33"/>
        <v>1103750</v>
      </c>
      <c r="AQ201" s="7"/>
      <c r="AR201" s="20"/>
      <c r="AS201" s="51"/>
    </row>
    <row r="202" spans="1:48" s="21" customFormat="1" ht="30" customHeight="1" x14ac:dyDescent="0.2">
      <c r="A202" s="8">
        <v>169</v>
      </c>
      <c r="B202" s="46">
        <v>1</v>
      </c>
      <c r="C202" s="16" t="s">
        <v>52</v>
      </c>
      <c r="D202" s="48">
        <v>29781</v>
      </c>
      <c r="E202" s="47">
        <v>72</v>
      </c>
      <c r="F202" s="48">
        <v>5320</v>
      </c>
      <c r="G202" s="49">
        <v>4</v>
      </c>
      <c r="H202" s="48">
        <v>3</v>
      </c>
      <c r="I202" s="48">
        <v>1</v>
      </c>
      <c r="J202" s="48">
        <v>17</v>
      </c>
      <c r="K202" s="3">
        <v>1317</v>
      </c>
      <c r="L202" s="16"/>
      <c r="M202" s="57"/>
      <c r="N202" s="58"/>
      <c r="P202" s="16">
        <v>1</v>
      </c>
      <c r="Q202" s="20">
        <v>1317</v>
      </c>
      <c r="R202" s="14">
        <v>200</v>
      </c>
      <c r="S202" s="20">
        <f t="shared" si="34"/>
        <v>263400</v>
      </c>
      <c r="T202" s="16"/>
      <c r="U202" s="17"/>
      <c r="V202" s="17"/>
      <c r="W202" s="4"/>
      <c r="X202" s="16"/>
      <c r="Y202" s="5"/>
      <c r="Z202" s="16"/>
      <c r="AA202" s="16"/>
      <c r="AB202" s="16"/>
      <c r="AC202" s="14"/>
      <c r="AD202" s="14"/>
      <c r="AE202" s="16"/>
      <c r="AG202" s="22">
        <f t="shared" si="37"/>
        <v>0</v>
      </c>
      <c r="AH202" s="6"/>
      <c r="AJ202" s="20">
        <f t="shared" si="31"/>
        <v>0</v>
      </c>
      <c r="AK202" s="50"/>
      <c r="AL202" s="6"/>
      <c r="AM202" s="20">
        <f t="shared" si="32"/>
        <v>0</v>
      </c>
      <c r="AN202" s="20">
        <f t="shared" si="36"/>
        <v>263400</v>
      </c>
      <c r="AP202" s="20">
        <f t="shared" si="33"/>
        <v>263400</v>
      </c>
      <c r="AQ202" s="7"/>
      <c r="AR202" s="20"/>
      <c r="AS202" s="51"/>
    </row>
    <row r="203" spans="1:48" s="21" customFormat="1" ht="30" customHeight="1" x14ac:dyDescent="0.2">
      <c r="A203" s="8">
        <v>170</v>
      </c>
      <c r="B203" s="46">
        <v>2</v>
      </c>
      <c r="C203" s="16" t="s">
        <v>52</v>
      </c>
      <c r="D203" s="48">
        <v>37837</v>
      </c>
      <c r="E203" s="47">
        <v>125</v>
      </c>
      <c r="F203" s="48">
        <v>7661</v>
      </c>
      <c r="G203" s="49">
        <v>4</v>
      </c>
      <c r="H203" s="48">
        <v>0</v>
      </c>
      <c r="I203" s="48">
        <v>0</v>
      </c>
      <c r="J203" s="48">
        <v>43</v>
      </c>
      <c r="K203" s="3"/>
      <c r="L203" s="16">
        <v>43</v>
      </c>
      <c r="M203" s="57"/>
      <c r="N203" s="58"/>
      <c r="P203" s="16">
        <v>2</v>
      </c>
      <c r="Q203" s="20">
        <v>43</v>
      </c>
      <c r="R203" s="14">
        <v>2000</v>
      </c>
      <c r="S203" s="19">
        <f t="shared" si="34"/>
        <v>86000</v>
      </c>
      <c r="T203" s="16"/>
      <c r="U203" s="17" t="s">
        <v>57</v>
      </c>
      <c r="V203" s="17" t="s">
        <v>56</v>
      </c>
      <c r="W203" s="4">
        <f>4*20</f>
        <v>80</v>
      </c>
      <c r="X203" s="16"/>
      <c r="Y203" s="5">
        <v>80</v>
      </c>
      <c r="Z203" s="16"/>
      <c r="AA203" s="16"/>
      <c r="AB203" s="16"/>
      <c r="AC203" s="14"/>
      <c r="AD203" s="14"/>
      <c r="AE203" s="16"/>
      <c r="AF203" s="21">
        <v>2</v>
      </c>
      <c r="AG203" s="22">
        <f t="shared" si="37"/>
        <v>80</v>
      </c>
      <c r="AH203" s="6">
        <v>1</v>
      </c>
      <c r="AI203" s="21">
        <v>7250</v>
      </c>
      <c r="AJ203" s="20">
        <f t="shared" si="31"/>
        <v>580000</v>
      </c>
      <c r="AK203" s="50"/>
      <c r="AL203" s="6"/>
      <c r="AM203" s="20">
        <f t="shared" si="32"/>
        <v>580000</v>
      </c>
      <c r="AN203" s="20">
        <f t="shared" si="36"/>
        <v>666000</v>
      </c>
      <c r="AP203" s="20">
        <f t="shared" si="33"/>
        <v>666000</v>
      </c>
      <c r="AQ203" s="7"/>
      <c r="AR203" s="20"/>
      <c r="AS203" s="51"/>
    </row>
    <row r="204" spans="1:48" s="21" customFormat="1" ht="30" customHeight="1" x14ac:dyDescent="0.2">
      <c r="A204" s="8">
        <v>171</v>
      </c>
      <c r="B204" s="46">
        <v>1</v>
      </c>
      <c r="C204" s="16" t="s">
        <v>52</v>
      </c>
      <c r="D204" s="48">
        <v>2588</v>
      </c>
      <c r="E204" s="47">
        <v>36</v>
      </c>
      <c r="F204" s="48">
        <v>1844</v>
      </c>
      <c r="G204" s="49">
        <v>1</v>
      </c>
      <c r="H204" s="48">
        <v>0</v>
      </c>
      <c r="I204" s="48">
        <v>3</v>
      </c>
      <c r="J204" s="48">
        <v>39</v>
      </c>
      <c r="K204" s="3"/>
      <c r="L204" s="16"/>
      <c r="M204" s="57">
        <v>339</v>
      </c>
      <c r="N204" s="58"/>
      <c r="P204" s="16">
        <v>3</v>
      </c>
      <c r="Q204" s="20">
        <v>339</v>
      </c>
      <c r="R204" s="14">
        <v>250</v>
      </c>
      <c r="S204" s="19">
        <f t="shared" si="34"/>
        <v>84750</v>
      </c>
      <c r="T204" s="16"/>
      <c r="U204" s="17" t="s">
        <v>57</v>
      </c>
      <c r="V204" s="17" t="s">
        <v>56</v>
      </c>
      <c r="W204" s="4">
        <v>65</v>
      </c>
      <c r="X204" s="16"/>
      <c r="Y204" s="5">
        <v>65</v>
      </c>
      <c r="Z204" s="16"/>
      <c r="AA204" s="16"/>
      <c r="AB204" s="16">
        <f>62-39</f>
        <v>23</v>
      </c>
      <c r="AE204" s="16"/>
      <c r="AF204" s="21">
        <v>2</v>
      </c>
      <c r="AG204" s="22">
        <f t="shared" si="37"/>
        <v>65</v>
      </c>
      <c r="AH204" s="6">
        <v>1</v>
      </c>
      <c r="AI204" s="21">
        <v>7250</v>
      </c>
      <c r="AJ204" s="20">
        <f t="shared" si="31"/>
        <v>471250</v>
      </c>
      <c r="AK204" s="50">
        <v>23</v>
      </c>
      <c r="AL204" s="6">
        <v>0.36</v>
      </c>
      <c r="AM204" s="20">
        <f t="shared" si="32"/>
        <v>301600</v>
      </c>
      <c r="AN204" s="20">
        <f t="shared" si="36"/>
        <v>386350</v>
      </c>
      <c r="AP204" s="20">
        <f t="shared" si="33"/>
        <v>386350</v>
      </c>
      <c r="AQ204" s="7">
        <v>2.0000000000000001E-4</v>
      </c>
      <c r="AR204" s="60"/>
      <c r="AS204" s="128">
        <v>128</v>
      </c>
    </row>
    <row r="205" spans="1:48" s="21" customFormat="1" ht="30" customHeight="1" x14ac:dyDescent="0.2">
      <c r="A205" s="8">
        <v>172</v>
      </c>
      <c r="B205" s="46">
        <v>2</v>
      </c>
      <c r="C205" s="16" t="s">
        <v>52</v>
      </c>
      <c r="D205" s="48">
        <v>2615</v>
      </c>
      <c r="E205" s="47">
        <v>26</v>
      </c>
      <c r="F205" s="48">
        <v>1873</v>
      </c>
      <c r="G205" s="49">
        <v>1</v>
      </c>
      <c r="H205" s="48">
        <v>2</v>
      </c>
      <c r="I205" s="48">
        <v>3</v>
      </c>
      <c r="J205" s="48">
        <v>91</v>
      </c>
      <c r="K205" s="3">
        <f>800+300+91</f>
        <v>1191</v>
      </c>
      <c r="L205" s="16"/>
      <c r="M205" s="57"/>
      <c r="N205" s="58"/>
      <c r="P205" s="16">
        <v>1</v>
      </c>
      <c r="Q205" s="20">
        <v>1191</v>
      </c>
      <c r="R205" s="14">
        <v>160</v>
      </c>
      <c r="S205" s="20">
        <f t="shared" si="34"/>
        <v>190560</v>
      </c>
      <c r="T205" s="16"/>
      <c r="U205" s="17"/>
      <c r="V205" s="17"/>
      <c r="W205" s="4"/>
      <c r="X205" s="16"/>
      <c r="Y205" s="5"/>
      <c r="Z205" s="16"/>
      <c r="AA205" s="16"/>
      <c r="AB205" s="16"/>
      <c r="AE205" s="16"/>
      <c r="AG205" s="22">
        <f t="shared" si="37"/>
        <v>0</v>
      </c>
      <c r="AH205" s="6"/>
      <c r="AJ205" s="20">
        <f t="shared" si="31"/>
        <v>0</v>
      </c>
      <c r="AK205" s="50"/>
      <c r="AL205" s="6"/>
      <c r="AM205" s="20">
        <f t="shared" si="32"/>
        <v>0</v>
      </c>
      <c r="AN205" s="20">
        <f t="shared" si="36"/>
        <v>190560</v>
      </c>
      <c r="AP205" s="20">
        <f t="shared" si="33"/>
        <v>190560</v>
      </c>
      <c r="AQ205" s="7"/>
      <c r="AR205" s="24"/>
      <c r="AS205" s="129"/>
    </row>
    <row r="206" spans="1:48" s="21" customFormat="1" ht="30" customHeight="1" x14ac:dyDescent="0.2">
      <c r="A206" s="8">
        <v>173</v>
      </c>
      <c r="B206" s="46">
        <v>3</v>
      </c>
      <c r="C206" s="16" t="s">
        <v>52</v>
      </c>
      <c r="D206" s="48">
        <v>2616</v>
      </c>
      <c r="E206" s="47">
        <v>28</v>
      </c>
      <c r="F206" s="48">
        <v>1874</v>
      </c>
      <c r="G206" s="49">
        <v>1</v>
      </c>
      <c r="H206" s="48">
        <v>2</v>
      </c>
      <c r="I206" s="48">
        <v>0</v>
      </c>
      <c r="J206" s="48">
        <v>10</v>
      </c>
      <c r="K206" s="3">
        <v>810</v>
      </c>
      <c r="L206" s="16"/>
      <c r="M206" s="57"/>
      <c r="N206" s="58"/>
      <c r="P206" s="16">
        <v>1</v>
      </c>
      <c r="Q206" s="20">
        <v>810</v>
      </c>
      <c r="R206" s="14">
        <v>160</v>
      </c>
      <c r="S206" s="19">
        <f t="shared" si="34"/>
        <v>129600</v>
      </c>
      <c r="T206" s="16"/>
      <c r="U206" s="17"/>
      <c r="V206" s="17"/>
      <c r="W206" s="4"/>
      <c r="X206" s="16"/>
      <c r="Y206" s="5"/>
      <c r="Z206" s="16"/>
      <c r="AA206" s="16"/>
      <c r="AB206" s="16"/>
      <c r="AE206" s="16"/>
      <c r="AG206" s="22">
        <f t="shared" si="37"/>
        <v>0</v>
      </c>
      <c r="AH206" s="6"/>
      <c r="AJ206" s="20">
        <f t="shared" si="31"/>
        <v>0</v>
      </c>
      <c r="AK206" s="50"/>
      <c r="AL206" s="6"/>
      <c r="AM206" s="20">
        <f t="shared" si="32"/>
        <v>0</v>
      </c>
      <c r="AN206" s="20">
        <f t="shared" si="36"/>
        <v>129600</v>
      </c>
      <c r="AP206" s="20">
        <f t="shared" si="33"/>
        <v>129600</v>
      </c>
      <c r="AQ206" s="7"/>
      <c r="AR206" s="24"/>
      <c r="AS206" s="129"/>
    </row>
    <row r="207" spans="1:48" s="21" customFormat="1" ht="30" customHeight="1" x14ac:dyDescent="0.2">
      <c r="A207" s="8">
        <v>174</v>
      </c>
      <c r="B207" s="46">
        <v>4</v>
      </c>
      <c r="C207" s="16" t="s">
        <v>52</v>
      </c>
      <c r="D207" s="48">
        <v>2617</v>
      </c>
      <c r="E207" s="47">
        <v>29</v>
      </c>
      <c r="F207" s="48">
        <v>1875</v>
      </c>
      <c r="G207" s="49">
        <v>1</v>
      </c>
      <c r="H207" s="48">
        <v>0</v>
      </c>
      <c r="I207" s="48">
        <v>2</v>
      </c>
      <c r="J207" s="48">
        <v>33</v>
      </c>
      <c r="K207" s="3">
        <v>233</v>
      </c>
      <c r="L207" s="16"/>
      <c r="M207" s="57"/>
      <c r="N207" s="58"/>
      <c r="P207" s="16"/>
      <c r="Q207" s="20">
        <v>233</v>
      </c>
      <c r="R207" s="14">
        <v>160</v>
      </c>
      <c r="S207" s="19">
        <f t="shared" si="34"/>
        <v>37280</v>
      </c>
      <c r="T207" s="16"/>
      <c r="U207" s="16"/>
      <c r="V207" s="16"/>
      <c r="W207" s="5"/>
      <c r="X207" s="16"/>
      <c r="Y207" s="5"/>
      <c r="Z207" s="16"/>
      <c r="AA207" s="16"/>
      <c r="AB207" s="16"/>
      <c r="AE207" s="16"/>
      <c r="AG207" s="22">
        <f t="shared" si="37"/>
        <v>0</v>
      </c>
      <c r="AH207" s="6"/>
      <c r="AJ207" s="20">
        <f t="shared" si="31"/>
        <v>0</v>
      </c>
      <c r="AK207" s="50"/>
      <c r="AL207" s="6"/>
      <c r="AM207" s="20">
        <f t="shared" si="32"/>
        <v>0</v>
      </c>
      <c r="AN207" s="20">
        <f t="shared" si="36"/>
        <v>37280</v>
      </c>
      <c r="AP207" s="20">
        <f t="shared" si="33"/>
        <v>37280</v>
      </c>
      <c r="AQ207" s="7"/>
      <c r="AR207" s="24"/>
      <c r="AS207" s="129"/>
    </row>
    <row r="208" spans="1:48" s="21" customFormat="1" ht="30" customHeight="1" x14ac:dyDescent="0.2">
      <c r="A208" s="8">
        <v>175</v>
      </c>
      <c r="B208" s="46">
        <v>5</v>
      </c>
      <c r="C208" s="16" t="s">
        <v>52</v>
      </c>
      <c r="D208" s="48">
        <v>2620</v>
      </c>
      <c r="E208" s="47">
        <v>32</v>
      </c>
      <c r="F208" s="48">
        <v>1865</v>
      </c>
      <c r="G208" s="49">
        <v>1</v>
      </c>
      <c r="H208" s="48">
        <v>0</v>
      </c>
      <c r="I208" s="48">
        <v>0</v>
      </c>
      <c r="J208" s="48">
        <v>53</v>
      </c>
      <c r="K208" s="3">
        <v>53</v>
      </c>
      <c r="L208" s="16"/>
      <c r="M208" s="57"/>
      <c r="N208" s="58"/>
      <c r="P208" s="16"/>
      <c r="Q208" s="20">
        <v>53</v>
      </c>
      <c r="R208" s="14">
        <v>160</v>
      </c>
      <c r="S208" s="20">
        <f t="shared" si="34"/>
        <v>8480</v>
      </c>
      <c r="T208" s="16"/>
      <c r="U208" s="17"/>
      <c r="V208" s="16"/>
      <c r="W208" s="5"/>
      <c r="X208" s="16"/>
      <c r="Y208" s="5"/>
      <c r="Z208" s="16"/>
      <c r="AA208" s="16"/>
      <c r="AB208" s="16"/>
      <c r="AE208" s="16"/>
      <c r="AG208" s="22">
        <f t="shared" si="37"/>
        <v>0</v>
      </c>
      <c r="AH208" s="6"/>
      <c r="AJ208" s="20">
        <f t="shared" si="31"/>
        <v>0</v>
      </c>
      <c r="AK208" s="50"/>
      <c r="AL208" s="6"/>
      <c r="AM208" s="20">
        <f t="shared" si="32"/>
        <v>0</v>
      </c>
      <c r="AN208" s="20">
        <f t="shared" si="36"/>
        <v>8480</v>
      </c>
      <c r="AP208" s="20">
        <f t="shared" si="33"/>
        <v>8480</v>
      </c>
      <c r="AQ208" s="7"/>
      <c r="AR208" s="24"/>
      <c r="AS208" s="129"/>
    </row>
    <row r="209" spans="1:45" s="21" customFormat="1" ht="30" customHeight="1" x14ac:dyDescent="0.2">
      <c r="A209" s="8">
        <v>176</v>
      </c>
      <c r="B209" s="46">
        <v>6</v>
      </c>
      <c r="C209" s="16" t="s">
        <v>52</v>
      </c>
      <c r="D209" s="48">
        <v>22329</v>
      </c>
      <c r="E209" s="47">
        <v>65</v>
      </c>
      <c r="F209" s="48">
        <v>4790</v>
      </c>
      <c r="G209" s="49">
        <v>1</v>
      </c>
      <c r="H209" s="48">
        <v>7</v>
      </c>
      <c r="I209" s="48">
        <v>1</v>
      </c>
      <c r="J209" s="48">
        <v>1</v>
      </c>
      <c r="K209" s="3">
        <f>2100+100+1</f>
        <v>2201</v>
      </c>
      <c r="L209" s="16"/>
      <c r="M209" s="57"/>
      <c r="N209" s="58"/>
      <c r="P209" s="16"/>
      <c r="Q209" s="20">
        <v>2201</v>
      </c>
      <c r="R209" s="14">
        <v>200</v>
      </c>
      <c r="S209" s="19">
        <f t="shared" si="34"/>
        <v>440200</v>
      </c>
      <c r="T209" s="16"/>
      <c r="U209" s="17"/>
      <c r="V209" s="17"/>
      <c r="W209" s="4"/>
      <c r="X209" s="16"/>
      <c r="Y209" s="5"/>
      <c r="Z209" s="16"/>
      <c r="AA209" s="16"/>
      <c r="AB209" s="16"/>
      <c r="AE209" s="16"/>
      <c r="AG209" s="22">
        <f t="shared" si="37"/>
        <v>0</v>
      </c>
      <c r="AH209" s="6"/>
      <c r="AJ209" s="20">
        <f t="shared" si="31"/>
        <v>0</v>
      </c>
      <c r="AK209" s="50"/>
      <c r="AL209" s="6"/>
      <c r="AM209" s="20">
        <f t="shared" si="32"/>
        <v>0</v>
      </c>
      <c r="AN209" s="20">
        <f t="shared" si="36"/>
        <v>440200</v>
      </c>
      <c r="AP209" s="20">
        <f t="shared" si="33"/>
        <v>440200</v>
      </c>
      <c r="AQ209" s="7"/>
      <c r="AR209" s="24"/>
      <c r="AS209" s="129"/>
    </row>
    <row r="210" spans="1:45" s="21" customFormat="1" ht="30" customHeight="1" x14ac:dyDescent="0.2">
      <c r="A210" s="8">
        <v>177</v>
      </c>
      <c r="B210" s="46">
        <v>7</v>
      </c>
      <c r="C210" s="16" t="s">
        <v>52</v>
      </c>
      <c r="D210" s="48">
        <v>22331</v>
      </c>
      <c r="E210" s="47">
        <v>205</v>
      </c>
      <c r="F210" s="48">
        <v>4792</v>
      </c>
      <c r="G210" s="49">
        <v>1</v>
      </c>
      <c r="H210" s="48">
        <v>1</v>
      </c>
      <c r="I210" s="48">
        <v>3</v>
      </c>
      <c r="J210" s="48">
        <v>51</v>
      </c>
      <c r="K210" s="3">
        <f>(751)-L210</f>
        <v>690.5</v>
      </c>
      <c r="L210" s="16">
        <v>60.5</v>
      </c>
      <c r="M210" s="57"/>
      <c r="N210" s="58"/>
      <c r="P210" s="16">
        <v>5</v>
      </c>
      <c r="Q210" s="20">
        <v>751</v>
      </c>
      <c r="R210" s="14">
        <v>200</v>
      </c>
      <c r="S210" s="19">
        <f t="shared" si="34"/>
        <v>150200</v>
      </c>
      <c r="T210" s="16"/>
      <c r="U210" s="17"/>
      <c r="V210" s="17"/>
      <c r="W210" s="4"/>
      <c r="X210" s="16"/>
      <c r="Y210" s="5"/>
      <c r="Z210" s="16"/>
      <c r="AA210" s="16"/>
      <c r="AB210" s="16"/>
      <c r="AE210" s="16"/>
      <c r="AG210" s="22"/>
      <c r="AH210" s="6"/>
      <c r="AJ210" s="20"/>
      <c r="AK210" s="50"/>
      <c r="AL210" s="6"/>
      <c r="AM210" s="20"/>
      <c r="AN210" s="20"/>
      <c r="AP210" s="20"/>
      <c r="AQ210" s="7"/>
      <c r="AR210" s="25"/>
      <c r="AS210" s="130"/>
    </row>
    <row r="211" spans="1:45" s="21" customFormat="1" ht="30" customHeight="1" x14ac:dyDescent="0.2">
      <c r="A211" s="8"/>
      <c r="B211" s="46"/>
      <c r="C211" s="16"/>
      <c r="D211" s="48"/>
      <c r="E211" s="47"/>
      <c r="F211" s="48"/>
      <c r="G211" s="49"/>
      <c r="H211" s="48"/>
      <c r="I211" s="48"/>
      <c r="J211" s="48"/>
      <c r="K211" s="3"/>
      <c r="L211" s="16"/>
      <c r="M211" s="57"/>
      <c r="N211" s="58"/>
      <c r="P211" s="16"/>
      <c r="Q211" s="20"/>
      <c r="R211" s="14" t="e">
        <v>#N/A</v>
      </c>
      <c r="S211" s="19"/>
      <c r="T211" s="16"/>
      <c r="U211" s="17" t="s">
        <v>93</v>
      </c>
      <c r="V211" s="17" t="s">
        <v>56</v>
      </c>
      <c r="W211" s="4"/>
      <c r="X211" s="16">
        <v>243</v>
      </c>
      <c r="Y211" s="5">
        <v>243</v>
      </c>
      <c r="Z211" s="16"/>
      <c r="AA211" s="16"/>
      <c r="AB211" s="16">
        <v>2</v>
      </c>
      <c r="AE211" s="16"/>
      <c r="AF211" s="21">
        <v>2</v>
      </c>
      <c r="AG211" s="22">
        <f t="shared" ref="AG211:AG218" si="38">Y211</f>
        <v>243</v>
      </c>
      <c r="AH211" s="6">
        <v>1</v>
      </c>
      <c r="AI211" s="21">
        <v>8100</v>
      </c>
      <c r="AJ211" s="20">
        <f t="shared" ref="AJ211:AJ274" si="39">+AG211*AH211*AI211</f>
        <v>1968300</v>
      </c>
      <c r="AK211" s="50">
        <v>2</v>
      </c>
      <c r="AL211" s="6">
        <v>0.02</v>
      </c>
      <c r="AM211" s="20">
        <f t="shared" ref="AM211:AM274" si="40">+AJ211-(AL211*AJ211)</f>
        <v>1928934</v>
      </c>
      <c r="AN211" s="20">
        <f>+AM211+(L210*R210)</f>
        <v>1941034</v>
      </c>
      <c r="AP211" s="20">
        <f t="shared" ref="AP211:AP274" si="41">AN211</f>
        <v>1941034</v>
      </c>
      <c r="AQ211" s="7"/>
      <c r="AR211" s="25"/>
      <c r="AS211" s="94"/>
    </row>
    <row r="212" spans="1:45" s="21" customFormat="1" ht="30" customHeight="1" x14ac:dyDescent="0.2">
      <c r="A212" s="8"/>
      <c r="B212" s="46"/>
      <c r="C212" s="16"/>
      <c r="D212" s="48"/>
      <c r="E212" s="47"/>
      <c r="F212" s="48"/>
      <c r="G212" s="49"/>
      <c r="H212" s="48"/>
      <c r="I212" s="48"/>
      <c r="J212" s="48"/>
      <c r="K212" s="3"/>
      <c r="L212" s="16"/>
      <c r="M212" s="57"/>
      <c r="N212" s="58"/>
      <c r="P212" s="16"/>
      <c r="Q212" s="20"/>
      <c r="R212" s="14" t="e">
        <v>#N/A</v>
      </c>
      <c r="S212" s="19"/>
      <c r="T212" s="16"/>
      <c r="U212" s="17"/>
      <c r="V212" s="17"/>
      <c r="W212" s="4"/>
      <c r="X212" s="16"/>
      <c r="Y212" s="5"/>
      <c r="Z212" s="16"/>
      <c r="AA212" s="16"/>
      <c r="AB212" s="16"/>
      <c r="AE212" s="16"/>
      <c r="AG212" s="22">
        <f t="shared" si="38"/>
        <v>0</v>
      </c>
      <c r="AH212" s="6"/>
      <c r="AJ212" s="20">
        <f t="shared" si="39"/>
        <v>0</v>
      </c>
      <c r="AK212" s="50"/>
      <c r="AL212" s="6"/>
      <c r="AM212" s="20">
        <f t="shared" si="40"/>
        <v>0</v>
      </c>
      <c r="AN212" s="20">
        <f>+K210*R210</f>
        <v>138100</v>
      </c>
      <c r="AP212" s="20">
        <f t="shared" si="41"/>
        <v>138100</v>
      </c>
      <c r="AQ212" s="7"/>
      <c r="AR212" s="25"/>
      <c r="AS212" s="94"/>
    </row>
    <row r="213" spans="1:45" s="21" customFormat="1" ht="30" customHeight="1" x14ac:dyDescent="0.2">
      <c r="A213" s="8">
        <v>178</v>
      </c>
      <c r="B213" s="46">
        <v>1</v>
      </c>
      <c r="C213" s="16" t="s">
        <v>52</v>
      </c>
      <c r="D213" s="48">
        <v>34133</v>
      </c>
      <c r="E213" s="47">
        <v>308</v>
      </c>
      <c r="F213" s="48">
        <v>6778</v>
      </c>
      <c r="G213" s="49">
        <v>1</v>
      </c>
      <c r="H213" s="48">
        <v>0</v>
      </c>
      <c r="I213" s="48">
        <v>0</v>
      </c>
      <c r="J213" s="48">
        <v>70</v>
      </c>
      <c r="K213" s="3">
        <v>70</v>
      </c>
      <c r="L213" s="16"/>
      <c r="M213" s="57"/>
      <c r="N213" s="58"/>
      <c r="P213" s="16">
        <v>1</v>
      </c>
      <c r="Q213" s="20">
        <v>70</v>
      </c>
      <c r="R213" s="14">
        <v>200</v>
      </c>
      <c r="S213" s="20">
        <f t="shared" ref="S213:S276" si="42">+Q213*R213</f>
        <v>14000</v>
      </c>
      <c r="T213" s="16"/>
      <c r="U213" s="17"/>
      <c r="V213" s="17"/>
      <c r="W213" s="4"/>
      <c r="X213" s="16"/>
      <c r="Y213" s="5"/>
      <c r="Z213" s="16"/>
      <c r="AA213" s="16"/>
      <c r="AB213" s="16"/>
      <c r="AE213" s="16"/>
      <c r="AG213" s="22">
        <f t="shared" si="38"/>
        <v>0</v>
      </c>
      <c r="AH213" s="6"/>
      <c r="AJ213" s="20">
        <f t="shared" si="39"/>
        <v>0</v>
      </c>
      <c r="AK213" s="50"/>
      <c r="AL213" s="6"/>
      <c r="AM213" s="20">
        <f t="shared" si="40"/>
        <v>0</v>
      </c>
      <c r="AN213" s="20">
        <f t="shared" ref="AN213:AN244" si="43">+S213+AM213</f>
        <v>14000</v>
      </c>
      <c r="AP213" s="20">
        <f t="shared" si="41"/>
        <v>14000</v>
      </c>
      <c r="AQ213" s="7"/>
      <c r="AR213" s="20"/>
      <c r="AS213" s="51"/>
    </row>
    <row r="214" spans="1:45" s="21" customFormat="1" ht="30" customHeight="1" x14ac:dyDescent="0.2">
      <c r="A214" s="8">
        <v>179</v>
      </c>
      <c r="B214" s="46">
        <v>1</v>
      </c>
      <c r="C214" s="16" t="s">
        <v>52</v>
      </c>
      <c r="D214" s="48">
        <v>23816</v>
      </c>
      <c r="E214" s="47">
        <v>164</v>
      </c>
      <c r="F214" s="48">
        <v>4720</v>
      </c>
      <c r="G214" s="49">
        <v>2</v>
      </c>
      <c r="H214" s="48">
        <v>0</v>
      </c>
      <c r="I214" s="48">
        <v>0</v>
      </c>
      <c r="J214" s="48">
        <v>38</v>
      </c>
      <c r="K214" s="3"/>
      <c r="L214" s="16"/>
      <c r="M214" s="57"/>
      <c r="N214" s="58">
        <v>38</v>
      </c>
      <c r="P214" s="16">
        <v>4</v>
      </c>
      <c r="Q214" s="20">
        <v>38</v>
      </c>
      <c r="R214" s="14">
        <v>250</v>
      </c>
      <c r="S214" s="19">
        <f t="shared" si="42"/>
        <v>9500</v>
      </c>
      <c r="T214" s="16"/>
      <c r="U214" s="17"/>
      <c r="V214" s="17"/>
      <c r="W214" s="4"/>
      <c r="X214" s="16"/>
      <c r="Y214" s="5"/>
      <c r="Z214" s="16"/>
      <c r="AA214" s="16"/>
      <c r="AB214" s="16"/>
      <c r="AE214" s="16"/>
      <c r="AG214" s="22">
        <f t="shared" si="38"/>
        <v>0</v>
      </c>
      <c r="AH214" s="6"/>
      <c r="AJ214" s="20">
        <f t="shared" si="39"/>
        <v>0</v>
      </c>
      <c r="AK214" s="50"/>
      <c r="AL214" s="6"/>
      <c r="AM214" s="20">
        <f t="shared" si="40"/>
        <v>0</v>
      </c>
      <c r="AN214" s="20">
        <f t="shared" si="43"/>
        <v>9500</v>
      </c>
      <c r="AP214" s="20">
        <f t="shared" si="41"/>
        <v>9500</v>
      </c>
      <c r="AQ214" s="7">
        <v>3.0000000000000001E-3</v>
      </c>
      <c r="AR214" s="20"/>
      <c r="AS214" s="51"/>
    </row>
    <row r="215" spans="1:45" s="21" customFormat="1" ht="30" customHeight="1" x14ac:dyDescent="0.2">
      <c r="A215" s="8">
        <v>180</v>
      </c>
      <c r="B215" s="46">
        <v>2</v>
      </c>
      <c r="C215" s="16" t="s">
        <v>52</v>
      </c>
      <c r="D215" s="48">
        <v>23817</v>
      </c>
      <c r="E215" s="47">
        <v>165</v>
      </c>
      <c r="F215" s="48">
        <v>4721</v>
      </c>
      <c r="G215" s="49">
        <v>2</v>
      </c>
      <c r="H215" s="48">
        <v>0</v>
      </c>
      <c r="I215" s="48">
        <v>0</v>
      </c>
      <c r="J215" s="48">
        <v>36</v>
      </c>
      <c r="K215" s="3"/>
      <c r="L215" s="16"/>
      <c r="M215" s="57"/>
      <c r="N215" s="58">
        <v>36</v>
      </c>
      <c r="P215" s="16">
        <v>4</v>
      </c>
      <c r="Q215" s="20">
        <v>36</v>
      </c>
      <c r="R215" s="14">
        <v>250</v>
      </c>
      <c r="S215" s="19">
        <f t="shared" si="42"/>
        <v>9000</v>
      </c>
      <c r="T215" s="16"/>
      <c r="U215" s="17"/>
      <c r="V215" s="17"/>
      <c r="W215" s="4"/>
      <c r="X215" s="16"/>
      <c r="Y215" s="5"/>
      <c r="Z215" s="16"/>
      <c r="AA215" s="16"/>
      <c r="AB215" s="16"/>
      <c r="AE215" s="16"/>
      <c r="AG215" s="22">
        <f t="shared" si="38"/>
        <v>0</v>
      </c>
      <c r="AH215" s="6"/>
      <c r="AJ215" s="20">
        <f t="shared" si="39"/>
        <v>0</v>
      </c>
      <c r="AK215" s="50"/>
      <c r="AL215" s="6"/>
      <c r="AM215" s="20">
        <f t="shared" si="40"/>
        <v>0</v>
      </c>
      <c r="AN215" s="20">
        <f t="shared" si="43"/>
        <v>9000</v>
      </c>
      <c r="AP215" s="20">
        <f t="shared" si="41"/>
        <v>9000</v>
      </c>
      <c r="AQ215" s="7">
        <v>3.0000000000000001E-3</v>
      </c>
      <c r="AR215" s="20"/>
      <c r="AS215" s="51"/>
    </row>
    <row r="216" spans="1:45" s="21" customFormat="1" ht="30" customHeight="1" x14ac:dyDescent="0.2">
      <c r="A216" s="8">
        <v>181</v>
      </c>
      <c r="B216" s="46">
        <v>3</v>
      </c>
      <c r="C216" s="16" t="s">
        <v>52</v>
      </c>
      <c r="D216" s="48">
        <v>805</v>
      </c>
      <c r="E216" s="47">
        <v>6</v>
      </c>
      <c r="F216" s="48">
        <v>276</v>
      </c>
      <c r="G216" s="49">
        <v>6</v>
      </c>
      <c r="H216" s="48">
        <v>6</v>
      </c>
      <c r="I216" s="48">
        <v>3</v>
      </c>
      <c r="J216" s="48">
        <v>96</v>
      </c>
      <c r="K216" s="3">
        <f>2400+300+96</f>
        <v>2796</v>
      </c>
      <c r="L216" s="16"/>
      <c r="M216" s="57"/>
      <c r="N216" s="58"/>
      <c r="P216" s="16">
        <v>1</v>
      </c>
      <c r="Q216" s="20">
        <v>2796</v>
      </c>
      <c r="R216" s="14">
        <v>160</v>
      </c>
      <c r="S216" s="20">
        <f t="shared" si="42"/>
        <v>447360</v>
      </c>
      <c r="T216" s="16"/>
      <c r="U216" s="16"/>
      <c r="V216" s="16"/>
      <c r="W216" s="5"/>
      <c r="X216" s="16"/>
      <c r="Y216" s="5"/>
      <c r="Z216" s="16"/>
      <c r="AA216" s="16"/>
      <c r="AB216" s="16"/>
      <c r="AE216" s="16"/>
      <c r="AG216" s="22">
        <f t="shared" si="38"/>
        <v>0</v>
      </c>
      <c r="AH216" s="6"/>
      <c r="AJ216" s="20">
        <f t="shared" si="39"/>
        <v>0</v>
      </c>
      <c r="AK216" s="50"/>
      <c r="AL216" s="6"/>
      <c r="AM216" s="20">
        <f t="shared" si="40"/>
        <v>0</v>
      </c>
      <c r="AN216" s="20">
        <f t="shared" si="43"/>
        <v>447360</v>
      </c>
      <c r="AP216" s="20">
        <f t="shared" si="41"/>
        <v>447360</v>
      </c>
      <c r="AQ216" s="7"/>
      <c r="AR216" s="20"/>
      <c r="AS216" s="51"/>
    </row>
    <row r="217" spans="1:45" s="21" customFormat="1" ht="30" customHeight="1" x14ac:dyDescent="0.2">
      <c r="A217" s="8">
        <v>182</v>
      </c>
      <c r="B217" s="46">
        <v>4</v>
      </c>
      <c r="C217" s="16" t="s">
        <v>52</v>
      </c>
      <c r="D217" s="48">
        <v>1659</v>
      </c>
      <c r="E217" s="47">
        <v>9</v>
      </c>
      <c r="F217" s="48">
        <v>277</v>
      </c>
      <c r="G217" s="49">
        <v>6</v>
      </c>
      <c r="H217" s="48">
        <v>9</v>
      </c>
      <c r="I217" s="48">
        <v>0</v>
      </c>
      <c r="J217" s="48">
        <v>30</v>
      </c>
      <c r="K217" s="3">
        <v>2730</v>
      </c>
      <c r="L217" s="16"/>
      <c r="M217" s="57"/>
      <c r="N217" s="58"/>
      <c r="P217" s="16">
        <v>1</v>
      </c>
      <c r="Q217" s="20">
        <v>2730</v>
      </c>
      <c r="R217" s="14">
        <v>160</v>
      </c>
      <c r="S217" s="19">
        <f t="shared" si="42"/>
        <v>436800</v>
      </c>
      <c r="T217" s="16"/>
      <c r="U217" s="17"/>
      <c r="V217" s="16"/>
      <c r="W217" s="5"/>
      <c r="X217" s="16"/>
      <c r="Y217" s="5"/>
      <c r="Z217" s="16"/>
      <c r="AA217" s="16"/>
      <c r="AB217" s="16"/>
      <c r="AC217" s="14"/>
      <c r="AD217" s="14"/>
      <c r="AE217" s="16"/>
      <c r="AG217" s="22">
        <f t="shared" si="38"/>
        <v>0</v>
      </c>
      <c r="AH217" s="6"/>
      <c r="AJ217" s="20">
        <f t="shared" si="39"/>
        <v>0</v>
      </c>
      <c r="AK217" s="50"/>
      <c r="AL217" s="6"/>
      <c r="AM217" s="20">
        <f t="shared" si="40"/>
        <v>0</v>
      </c>
      <c r="AN217" s="20">
        <f t="shared" si="43"/>
        <v>436800</v>
      </c>
      <c r="AP217" s="20">
        <f t="shared" si="41"/>
        <v>436800</v>
      </c>
      <c r="AQ217" s="7"/>
      <c r="AR217" s="20"/>
      <c r="AS217" s="51"/>
    </row>
    <row r="218" spans="1:45" s="21" customFormat="1" ht="30" customHeight="1" x14ac:dyDescent="0.2">
      <c r="A218" s="8">
        <v>183</v>
      </c>
      <c r="B218" s="46">
        <v>1</v>
      </c>
      <c r="C218" s="16" t="s">
        <v>52</v>
      </c>
      <c r="D218" s="48">
        <v>12622</v>
      </c>
      <c r="E218" s="47">
        <v>94</v>
      </c>
      <c r="F218" s="48">
        <v>3269</v>
      </c>
      <c r="G218" s="49">
        <v>2</v>
      </c>
      <c r="H218" s="48">
        <v>0</v>
      </c>
      <c r="I218" s="48">
        <v>0</v>
      </c>
      <c r="J218" s="48">
        <v>38</v>
      </c>
      <c r="K218" s="3"/>
      <c r="L218" s="16">
        <v>38</v>
      </c>
      <c r="M218" s="57"/>
      <c r="N218" s="58"/>
      <c r="P218" s="16">
        <v>2</v>
      </c>
      <c r="Q218" s="20">
        <v>38</v>
      </c>
      <c r="R218" s="14">
        <v>250</v>
      </c>
      <c r="S218" s="19">
        <f t="shared" si="42"/>
        <v>9500</v>
      </c>
      <c r="T218" s="16"/>
      <c r="U218" s="17" t="s">
        <v>57</v>
      </c>
      <c r="V218" s="17" t="s">
        <v>56</v>
      </c>
      <c r="W218" s="4">
        <f>4*12</f>
        <v>48</v>
      </c>
      <c r="X218" s="16"/>
      <c r="Y218" s="5">
        <v>48</v>
      </c>
      <c r="Z218" s="16"/>
      <c r="AA218" s="16"/>
      <c r="AB218" s="16">
        <v>20</v>
      </c>
      <c r="AE218" s="16"/>
      <c r="AF218" s="21">
        <v>2</v>
      </c>
      <c r="AG218" s="22">
        <f t="shared" si="38"/>
        <v>48</v>
      </c>
      <c r="AH218" s="6">
        <v>1</v>
      </c>
      <c r="AI218" s="21">
        <v>7250</v>
      </c>
      <c r="AJ218" s="20">
        <f t="shared" si="39"/>
        <v>348000</v>
      </c>
      <c r="AK218" s="50"/>
      <c r="AL218" s="6"/>
      <c r="AM218" s="20">
        <f t="shared" si="40"/>
        <v>348000</v>
      </c>
      <c r="AN218" s="20">
        <f t="shared" si="43"/>
        <v>357500</v>
      </c>
      <c r="AP218" s="20">
        <f t="shared" si="41"/>
        <v>357500</v>
      </c>
      <c r="AQ218" s="7"/>
      <c r="AR218" s="20"/>
      <c r="AS218" s="51"/>
    </row>
    <row r="219" spans="1:45" s="21" customFormat="1" ht="30" customHeight="1" x14ac:dyDescent="0.2">
      <c r="A219" s="8"/>
      <c r="B219" s="46"/>
      <c r="C219" s="16"/>
      <c r="D219" s="48"/>
      <c r="E219" s="47"/>
      <c r="F219" s="48"/>
      <c r="G219" s="49"/>
      <c r="H219" s="48"/>
      <c r="I219" s="48"/>
      <c r="J219" s="48"/>
      <c r="K219" s="3"/>
      <c r="L219" s="16"/>
      <c r="M219" s="57"/>
      <c r="N219" s="58"/>
      <c r="P219" s="16"/>
      <c r="Q219" s="20"/>
      <c r="R219" s="14"/>
      <c r="S219" s="19"/>
      <c r="T219" s="16"/>
      <c r="U219" s="17"/>
      <c r="V219" s="17"/>
      <c r="W219" s="4"/>
      <c r="X219" s="16"/>
      <c r="Y219" s="5"/>
      <c r="Z219" s="16"/>
      <c r="AA219" s="16"/>
      <c r="AB219" s="16"/>
      <c r="AE219" s="16"/>
      <c r="AG219" s="22"/>
      <c r="AH219" s="6"/>
      <c r="AJ219" s="20"/>
      <c r="AK219" s="50"/>
      <c r="AL219" s="6"/>
      <c r="AM219" s="20"/>
      <c r="AN219" s="20"/>
      <c r="AP219" s="20"/>
      <c r="AQ219" s="7"/>
      <c r="AR219" s="20"/>
      <c r="AS219" s="51"/>
    </row>
    <row r="220" spans="1:45" s="21" customFormat="1" ht="30" customHeight="1" x14ac:dyDescent="0.2">
      <c r="A220" s="8">
        <v>184</v>
      </c>
      <c r="B220" s="46">
        <v>1</v>
      </c>
      <c r="C220" s="16" t="s">
        <v>52</v>
      </c>
      <c r="D220" s="48">
        <v>30944</v>
      </c>
      <c r="E220" s="47">
        <v>114</v>
      </c>
      <c r="F220" s="48">
        <v>5896</v>
      </c>
      <c r="G220" s="49">
        <v>2</v>
      </c>
      <c r="H220" s="48">
        <v>0</v>
      </c>
      <c r="I220" s="48">
        <v>0</v>
      </c>
      <c r="J220" s="48">
        <v>99.02</v>
      </c>
      <c r="K220" s="3"/>
      <c r="L220" s="16">
        <v>99.02</v>
      </c>
      <c r="M220" s="57"/>
      <c r="N220" s="58"/>
      <c r="P220" s="16">
        <v>2</v>
      </c>
      <c r="Q220" s="20">
        <v>99.02</v>
      </c>
      <c r="R220" s="14">
        <v>160</v>
      </c>
      <c r="S220" s="20">
        <f t="shared" si="42"/>
        <v>15843.199999999999</v>
      </c>
      <c r="T220" s="16"/>
      <c r="U220" s="17" t="s">
        <v>57</v>
      </c>
      <c r="V220" s="17" t="s">
        <v>56</v>
      </c>
      <c r="W220" s="4">
        <f>15*8</f>
        <v>120</v>
      </c>
      <c r="X220" s="16"/>
      <c r="Y220" s="5"/>
      <c r="Z220" s="16"/>
      <c r="AA220" s="16"/>
      <c r="AB220" s="16">
        <v>5</v>
      </c>
      <c r="AC220" s="14"/>
      <c r="AD220" s="14"/>
      <c r="AE220" s="16"/>
      <c r="AF220" s="21">
        <v>2</v>
      </c>
      <c r="AG220" s="22">
        <v>120</v>
      </c>
      <c r="AH220" s="6">
        <v>1</v>
      </c>
      <c r="AI220" s="21">
        <v>7250</v>
      </c>
      <c r="AJ220" s="20">
        <f t="shared" si="39"/>
        <v>870000</v>
      </c>
      <c r="AK220" s="50">
        <v>5</v>
      </c>
      <c r="AL220" s="6"/>
      <c r="AM220" s="20">
        <f t="shared" si="40"/>
        <v>870000</v>
      </c>
      <c r="AN220" s="20">
        <f t="shared" si="43"/>
        <v>885843.2</v>
      </c>
      <c r="AP220" s="20">
        <f t="shared" si="41"/>
        <v>885843.2</v>
      </c>
      <c r="AQ220" s="7"/>
      <c r="AR220" s="20"/>
      <c r="AS220" s="51"/>
    </row>
    <row r="221" spans="1:45" ht="30" customHeight="1" x14ac:dyDescent="0.2">
      <c r="A221" s="8"/>
      <c r="C221" s="16"/>
      <c r="AG221" s="22"/>
      <c r="AJ221" s="20"/>
      <c r="AM221" s="20"/>
      <c r="AN221" s="20"/>
      <c r="AP221" s="20"/>
      <c r="AR221" s="20"/>
    </row>
    <row r="222" spans="1:45" s="21" customFormat="1" ht="30" customHeight="1" x14ac:dyDescent="0.2">
      <c r="A222" s="8">
        <v>185</v>
      </c>
      <c r="B222" s="46">
        <v>1</v>
      </c>
      <c r="C222" s="16" t="s">
        <v>52</v>
      </c>
      <c r="D222" s="48">
        <v>1156</v>
      </c>
      <c r="E222" s="47">
        <v>8</v>
      </c>
      <c r="F222" s="48">
        <v>973</v>
      </c>
      <c r="G222" s="49">
        <v>1</v>
      </c>
      <c r="H222" s="48">
        <v>4</v>
      </c>
      <c r="I222" s="48">
        <v>1</v>
      </c>
      <c r="J222" s="48">
        <v>67</v>
      </c>
      <c r="K222" s="3">
        <v>1367</v>
      </c>
      <c r="L222" s="16"/>
      <c r="M222" s="57"/>
      <c r="N222" s="58"/>
      <c r="P222" s="16">
        <v>1</v>
      </c>
      <c r="Q222" s="20">
        <v>1167</v>
      </c>
      <c r="R222" s="14">
        <v>160</v>
      </c>
      <c r="S222" s="19">
        <f t="shared" si="42"/>
        <v>186720</v>
      </c>
      <c r="T222" s="16"/>
      <c r="U222" s="17"/>
      <c r="V222" s="17"/>
      <c r="W222" s="4"/>
      <c r="X222" s="16"/>
      <c r="Y222" s="5"/>
      <c r="Z222" s="16"/>
      <c r="AA222" s="16"/>
      <c r="AB222" s="16"/>
      <c r="AC222" s="14"/>
      <c r="AD222" s="14"/>
      <c r="AE222" s="16"/>
      <c r="AG222" s="22">
        <f t="shared" ref="AG222:AG280" si="44">Y222</f>
        <v>0</v>
      </c>
      <c r="AH222" s="6"/>
      <c r="AJ222" s="20">
        <f t="shared" si="39"/>
        <v>0</v>
      </c>
      <c r="AK222" s="50"/>
      <c r="AL222" s="6"/>
      <c r="AM222" s="20">
        <f t="shared" si="40"/>
        <v>0</v>
      </c>
      <c r="AN222" s="20">
        <f t="shared" si="43"/>
        <v>186720</v>
      </c>
      <c r="AP222" s="20">
        <f t="shared" si="41"/>
        <v>186720</v>
      </c>
      <c r="AQ222" s="7"/>
      <c r="AR222" s="20"/>
      <c r="AS222" s="51">
        <v>13</v>
      </c>
    </row>
    <row r="223" spans="1:45" ht="30" customHeight="1" x14ac:dyDescent="0.2">
      <c r="A223" s="8">
        <v>186</v>
      </c>
      <c r="B223" s="13">
        <v>1</v>
      </c>
      <c r="C223" s="16" t="s">
        <v>65</v>
      </c>
      <c r="D223" s="17">
        <v>606</v>
      </c>
      <c r="E223" s="17">
        <v>68</v>
      </c>
      <c r="H223" s="17">
        <v>6</v>
      </c>
      <c r="I223" s="17">
        <v>0</v>
      </c>
      <c r="J223" s="17">
        <v>56</v>
      </c>
      <c r="K223" s="10">
        <v>2456</v>
      </c>
      <c r="P223" s="17">
        <v>1</v>
      </c>
      <c r="Q223" s="19">
        <v>2456</v>
      </c>
      <c r="R223" s="14">
        <v>160</v>
      </c>
      <c r="S223" s="20">
        <f t="shared" si="42"/>
        <v>392960</v>
      </c>
      <c r="AC223" s="21"/>
      <c r="AD223" s="21"/>
      <c r="AG223" s="22">
        <f t="shared" si="44"/>
        <v>0</v>
      </c>
      <c r="AJ223" s="20">
        <f t="shared" si="39"/>
        <v>0</v>
      </c>
      <c r="AM223" s="20">
        <f t="shared" si="40"/>
        <v>0</v>
      </c>
      <c r="AN223" s="20">
        <f t="shared" si="43"/>
        <v>392960</v>
      </c>
      <c r="AP223" s="20">
        <f t="shared" si="41"/>
        <v>392960</v>
      </c>
      <c r="AQ223" s="12">
        <v>1E-4</v>
      </c>
      <c r="AR223" s="20"/>
    </row>
    <row r="224" spans="1:45" ht="30" customHeight="1" x14ac:dyDescent="0.2">
      <c r="A224" s="8"/>
      <c r="C224" s="16"/>
      <c r="U224" s="95"/>
      <c r="AG224" s="22"/>
      <c r="AJ224" s="20"/>
      <c r="AM224" s="20"/>
      <c r="AN224" s="20"/>
      <c r="AP224" s="20"/>
      <c r="AR224" s="20"/>
    </row>
    <row r="225" spans="1:45" s="21" customFormat="1" ht="30" customHeight="1" x14ac:dyDescent="0.2">
      <c r="A225" s="8">
        <v>187</v>
      </c>
      <c r="B225" s="46">
        <v>1</v>
      </c>
      <c r="C225" s="16" t="s">
        <v>52</v>
      </c>
      <c r="D225" s="48">
        <v>29471</v>
      </c>
      <c r="E225" s="47">
        <v>102</v>
      </c>
      <c r="F225" s="48">
        <v>5592</v>
      </c>
      <c r="G225" s="49">
        <v>1</v>
      </c>
      <c r="H225" s="48">
        <v>2</v>
      </c>
      <c r="I225" s="48">
        <v>2</v>
      </c>
      <c r="J225" s="48">
        <v>83</v>
      </c>
      <c r="K225" s="3">
        <v>1083</v>
      </c>
      <c r="L225" s="16"/>
      <c r="M225" s="57"/>
      <c r="N225" s="58"/>
      <c r="P225" s="16"/>
      <c r="Q225" s="20">
        <v>1083</v>
      </c>
      <c r="R225" s="14">
        <v>200</v>
      </c>
      <c r="S225" s="19">
        <f t="shared" si="42"/>
        <v>216600</v>
      </c>
      <c r="T225" s="16"/>
      <c r="U225" s="17"/>
      <c r="V225" s="17"/>
      <c r="W225" s="4"/>
      <c r="X225" s="16"/>
      <c r="Y225" s="5"/>
      <c r="Z225" s="16"/>
      <c r="AA225" s="16"/>
      <c r="AB225" s="16"/>
      <c r="AC225" s="14"/>
      <c r="AD225" s="14"/>
      <c r="AE225" s="16"/>
      <c r="AG225" s="22">
        <f t="shared" si="44"/>
        <v>0</v>
      </c>
      <c r="AH225" s="6"/>
      <c r="AJ225" s="20">
        <f t="shared" si="39"/>
        <v>0</v>
      </c>
      <c r="AK225" s="50"/>
      <c r="AL225" s="6"/>
      <c r="AM225" s="20">
        <f t="shared" si="40"/>
        <v>0</v>
      </c>
      <c r="AN225" s="20">
        <f t="shared" si="43"/>
        <v>216600</v>
      </c>
      <c r="AP225" s="20">
        <f t="shared" si="41"/>
        <v>216600</v>
      </c>
      <c r="AQ225" s="7"/>
      <c r="AR225" s="20"/>
      <c r="AS225" s="51"/>
    </row>
    <row r="226" spans="1:45" s="21" customFormat="1" ht="30" customHeight="1" x14ac:dyDescent="0.2">
      <c r="A226" s="8">
        <v>188</v>
      </c>
      <c r="B226" s="46">
        <v>2</v>
      </c>
      <c r="C226" s="16" t="s">
        <v>52</v>
      </c>
      <c r="D226" s="48">
        <v>29472</v>
      </c>
      <c r="E226" s="47">
        <v>103</v>
      </c>
      <c r="F226" s="48">
        <v>5593</v>
      </c>
      <c r="G226" s="49">
        <v>1</v>
      </c>
      <c r="H226" s="48">
        <v>0</v>
      </c>
      <c r="I226" s="48">
        <v>0</v>
      </c>
      <c r="J226" s="48">
        <v>73</v>
      </c>
      <c r="K226" s="3">
        <v>73</v>
      </c>
      <c r="L226" s="16"/>
      <c r="M226" s="57"/>
      <c r="N226" s="58"/>
      <c r="P226" s="16">
        <v>1</v>
      </c>
      <c r="Q226" s="20">
        <v>73</v>
      </c>
      <c r="R226" s="14">
        <v>250</v>
      </c>
      <c r="S226" s="20">
        <f t="shared" si="42"/>
        <v>18250</v>
      </c>
      <c r="T226" s="16"/>
      <c r="U226" s="17"/>
      <c r="V226" s="17"/>
      <c r="W226" s="4"/>
      <c r="X226" s="16"/>
      <c r="Y226" s="5"/>
      <c r="Z226" s="16"/>
      <c r="AA226" s="16"/>
      <c r="AB226" s="16"/>
      <c r="AC226" s="14"/>
      <c r="AD226" s="14"/>
      <c r="AE226" s="16"/>
      <c r="AG226" s="22">
        <f t="shared" si="44"/>
        <v>0</v>
      </c>
      <c r="AH226" s="6"/>
      <c r="AJ226" s="20">
        <f t="shared" si="39"/>
        <v>0</v>
      </c>
      <c r="AK226" s="50"/>
      <c r="AL226" s="6"/>
      <c r="AM226" s="20">
        <f t="shared" si="40"/>
        <v>0</v>
      </c>
      <c r="AN226" s="20">
        <f t="shared" si="43"/>
        <v>18250</v>
      </c>
      <c r="AP226" s="20">
        <f t="shared" si="41"/>
        <v>18250</v>
      </c>
      <c r="AQ226" s="7"/>
      <c r="AR226" s="20"/>
      <c r="AS226" s="51"/>
    </row>
    <row r="227" spans="1:45" s="21" customFormat="1" ht="30" customHeight="1" x14ac:dyDescent="0.2">
      <c r="A227" s="8">
        <v>189</v>
      </c>
      <c r="B227" s="46">
        <v>3</v>
      </c>
      <c r="C227" s="16" t="s">
        <v>52</v>
      </c>
      <c r="D227" s="48">
        <v>29473</v>
      </c>
      <c r="E227" s="47">
        <v>104</v>
      </c>
      <c r="F227" s="48">
        <v>5594</v>
      </c>
      <c r="G227" s="49">
        <v>1</v>
      </c>
      <c r="H227" s="48">
        <v>0</v>
      </c>
      <c r="I227" s="48">
        <v>0</v>
      </c>
      <c r="J227" s="48">
        <v>72</v>
      </c>
      <c r="K227" s="3">
        <v>72</v>
      </c>
      <c r="L227" s="16"/>
      <c r="M227" s="57"/>
      <c r="N227" s="58"/>
      <c r="P227" s="16">
        <v>1</v>
      </c>
      <c r="Q227" s="20">
        <v>72</v>
      </c>
      <c r="R227" s="14">
        <v>250</v>
      </c>
      <c r="S227" s="19">
        <f t="shared" si="42"/>
        <v>18000</v>
      </c>
      <c r="T227" s="16"/>
      <c r="U227" s="16"/>
      <c r="V227" s="16"/>
      <c r="W227" s="5"/>
      <c r="X227" s="16"/>
      <c r="Y227" s="5"/>
      <c r="Z227" s="16"/>
      <c r="AA227" s="16"/>
      <c r="AB227" s="16"/>
      <c r="AC227" s="14"/>
      <c r="AD227" s="14"/>
      <c r="AE227" s="16"/>
      <c r="AG227" s="22">
        <f t="shared" si="44"/>
        <v>0</v>
      </c>
      <c r="AH227" s="6"/>
      <c r="AJ227" s="20">
        <f t="shared" si="39"/>
        <v>0</v>
      </c>
      <c r="AK227" s="50"/>
      <c r="AL227" s="6"/>
      <c r="AM227" s="20">
        <f t="shared" si="40"/>
        <v>0</v>
      </c>
      <c r="AN227" s="20">
        <f t="shared" si="43"/>
        <v>18000</v>
      </c>
      <c r="AP227" s="20">
        <f t="shared" si="41"/>
        <v>18000</v>
      </c>
      <c r="AQ227" s="7"/>
      <c r="AR227" s="20"/>
      <c r="AS227" s="51"/>
    </row>
    <row r="228" spans="1:45" s="21" customFormat="1" ht="30" customHeight="1" x14ac:dyDescent="0.2">
      <c r="A228" s="8">
        <v>190</v>
      </c>
      <c r="B228" s="46">
        <v>4</v>
      </c>
      <c r="C228" s="16" t="s">
        <v>52</v>
      </c>
      <c r="D228" s="48">
        <v>29474</v>
      </c>
      <c r="E228" s="47">
        <v>105</v>
      </c>
      <c r="F228" s="48">
        <v>5595</v>
      </c>
      <c r="G228" s="49">
        <v>1</v>
      </c>
      <c r="H228" s="48">
        <v>0</v>
      </c>
      <c r="I228" s="48">
        <v>0</v>
      </c>
      <c r="J228" s="48">
        <v>75</v>
      </c>
      <c r="K228" s="3">
        <v>75</v>
      </c>
      <c r="L228" s="16"/>
      <c r="M228" s="57"/>
      <c r="N228" s="58"/>
      <c r="P228" s="16">
        <v>1</v>
      </c>
      <c r="Q228" s="20">
        <v>75</v>
      </c>
      <c r="R228" s="14">
        <v>250</v>
      </c>
      <c r="S228" s="19">
        <f t="shared" si="42"/>
        <v>18750</v>
      </c>
      <c r="T228" s="16"/>
      <c r="U228" s="17"/>
      <c r="V228" s="16"/>
      <c r="W228" s="5"/>
      <c r="X228" s="16"/>
      <c r="Y228" s="5"/>
      <c r="Z228" s="16"/>
      <c r="AA228" s="16"/>
      <c r="AB228" s="16"/>
      <c r="AE228" s="16"/>
      <c r="AG228" s="22">
        <f t="shared" si="44"/>
        <v>0</v>
      </c>
      <c r="AH228" s="6"/>
      <c r="AJ228" s="20">
        <f t="shared" si="39"/>
        <v>0</v>
      </c>
      <c r="AK228" s="50"/>
      <c r="AL228" s="6"/>
      <c r="AM228" s="20">
        <f t="shared" si="40"/>
        <v>0</v>
      </c>
      <c r="AN228" s="20">
        <f t="shared" si="43"/>
        <v>18750</v>
      </c>
      <c r="AP228" s="20">
        <f t="shared" si="41"/>
        <v>18750</v>
      </c>
      <c r="AQ228" s="7"/>
      <c r="AR228" s="20"/>
      <c r="AS228" s="51"/>
    </row>
    <row r="229" spans="1:45" s="21" customFormat="1" ht="30" customHeight="1" x14ac:dyDescent="0.2">
      <c r="A229" s="8">
        <v>191</v>
      </c>
      <c r="B229" s="46">
        <v>5</v>
      </c>
      <c r="C229" s="16" t="s">
        <v>52</v>
      </c>
      <c r="D229" s="48">
        <v>29475</v>
      </c>
      <c r="E229" s="47">
        <v>106</v>
      </c>
      <c r="F229" s="48">
        <v>5596</v>
      </c>
      <c r="G229" s="49">
        <v>1</v>
      </c>
      <c r="H229" s="48">
        <v>0</v>
      </c>
      <c r="I229" s="48">
        <v>0</v>
      </c>
      <c r="J229" s="48">
        <v>74</v>
      </c>
      <c r="K229" s="3">
        <v>74</v>
      </c>
      <c r="L229" s="16"/>
      <c r="M229" s="57"/>
      <c r="N229" s="58"/>
      <c r="P229" s="16">
        <v>1</v>
      </c>
      <c r="Q229" s="20">
        <v>74</v>
      </c>
      <c r="R229" s="14">
        <v>250</v>
      </c>
      <c r="S229" s="20">
        <f t="shared" si="42"/>
        <v>18500</v>
      </c>
      <c r="T229" s="16"/>
      <c r="U229" s="17"/>
      <c r="V229" s="17"/>
      <c r="W229" s="4"/>
      <c r="X229" s="16"/>
      <c r="Y229" s="5"/>
      <c r="Z229" s="16"/>
      <c r="AA229" s="16"/>
      <c r="AB229" s="16"/>
      <c r="AE229" s="16"/>
      <c r="AG229" s="22">
        <f t="shared" si="44"/>
        <v>0</v>
      </c>
      <c r="AH229" s="6"/>
      <c r="AJ229" s="20">
        <f t="shared" si="39"/>
        <v>0</v>
      </c>
      <c r="AK229" s="50"/>
      <c r="AL229" s="6"/>
      <c r="AM229" s="20">
        <f t="shared" si="40"/>
        <v>0</v>
      </c>
      <c r="AN229" s="20">
        <f t="shared" si="43"/>
        <v>18500</v>
      </c>
      <c r="AP229" s="20">
        <f t="shared" si="41"/>
        <v>18500</v>
      </c>
      <c r="AQ229" s="7"/>
      <c r="AR229" s="20"/>
      <c r="AS229" s="51"/>
    </row>
    <row r="230" spans="1:45" s="21" customFormat="1" ht="30" customHeight="1" x14ac:dyDescent="0.2">
      <c r="A230" s="8">
        <v>192</v>
      </c>
      <c r="B230" s="46">
        <v>6</v>
      </c>
      <c r="C230" s="16" t="s">
        <v>52</v>
      </c>
      <c r="D230" s="48">
        <v>29476</v>
      </c>
      <c r="E230" s="47">
        <v>107</v>
      </c>
      <c r="F230" s="48">
        <v>5597</v>
      </c>
      <c r="G230" s="49">
        <v>1</v>
      </c>
      <c r="H230" s="48">
        <v>0</v>
      </c>
      <c r="I230" s="48">
        <v>0</v>
      </c>
      <c r="J230" s="48">
        <v>77</v>
      </c>
      <c r="K230" s="3">
        <v>77</v>
      </c>
      <c r="L230" s="16"/>
      <c r="M230" s="57"/>
      <c r="N230" s="58"/>
      <c r="P230" s="16">
        <v>1</v>
      </c>
      <c r="Q230" s="20">
        <v>77</v>
      </c>
      <c r="R230" s="14">
        <v>250</v>
      </c>
      <c r="S230" s="19">
        <f t="shared" si="42"/>
        <v>19250</v>
      </c>
      <c r="T230" s="16"/>
      <c r="U230" s="17"/>
      <c r="V230" s="17"/>
      <c r="W230" s="4"/>
      <c r="X230" s="16"/>
      <c r="Y230" s="5"/>
      <c r="Z230" s="16"/>
      <c r="AA230" s="16"/>
      <c r="AB230" s="16"/>
      <c r="AE230" s="16"/>
      <c r="AG230" s="22">
        <f t="shared" si="44"/>
        <v>0</v>
      </c>
      <c r="AH230" s="6"/>
      <c r="AJ230" s="20">
        <f t="shared" si="39"/>
        <v>0</v>
      </c>
      <c r="AK230" s="50"/>
      <c r="AL230" s="6"/>
      <c r="AM230" s="20">
        <f t="shared" si="40"/>
        <v>0</v>
      </c>
      <c r="AN230" s="20">
        <f t="shared" si="43"/>
        <v>19250</v>
      </c>
      <c r="AP230" s="20">
        <f t="shared" si="41"/>
        <v>19250</v>
      </c>
      <c r="AQ230" s="7"/>
      <c r="AR230" s="20"/>
      <c r="AS230" s="51"/>
    </row>
    <row r="231" spans="1:45" s="21" customFormat="1" ht="30" customHeight="1" x14ac:dyDescent="0.2">
      <c r="A231" s="8">
        <v>193</v>
      </c>
      <c r="B231" s="46">
        <v>7</v>
      </c>
      <c r="C231" s="16" t="s">
        <v>52</v>
      </c>
      <c r="D231" s="48">
        <v>29477</v>
      </c>
      <c r="E231" s="47">
        <v>108</v>
      </c>
      <c r="F231" s="48">
        <v>5598</v>
      </c>
      <c r="G231" s="49">
        <v>1</v>
      </c>
      <c r="H231" s="48">
        <v>0</v>
      </c>
      <c r="I231" s="48">
        <v>0</v>
      </c>
      <c r="J231" s="48">
        <v>69</v>
      </c>
      <c r="K231" s="3">
        <v>69</v>
      </c>
      <c r="L231" s="16"/>
      <c r="M231" s="57"/>
      <c r="N231" s="58"/>
      <c r="P231" s="16">
        <v>1</v>
      </c>
      <c r="Q231" s="20">
        <v>69</v>
      </c>
      <c r="R231" s="14">
        <v>250</v>
      </c>
      <c r="S231" s="19">
        <f t="shared" si="42"/>
        <v>17250</v>
      </c>
      <c r="T231" s="16"/>
      <c r="U231" s="17"/>
      <c r="V231" s="17"/>
      <c r="W231" s="4"/>
      <c r="X231" s="16"/>
      <c r="Y231" s="5"/>
      <c r="Z231" s="16"/>
      <c r="AA231" s="16"/>
      <c r="AB231" s="16"/>
      <c r="AE231" s="16"/>
      <c r="AG231" s="22">
        <f t="shared" si="44"/>
        <v>0</v>
      </c>
      <c r="AH231" s="6"/>
      <c r="AJ231" s="20">
        <f t="shared" si="39"/>
        <v>0</v>
      </c>
      <c r="AK231" s="50"/>
      <c r="AL231" s="6"/>
      <c r="AM231" s="20">
        <f t="shared" si="40"/>
        <v>0</v>
      </c>
      <c r="AN231" s="20">
        <f t="shared" si="43"/>
        <v>17250</v>
      </c>
      <c r="AP231" s="20">
        <f t="shared" si="41"/>
        <v>17250</v>
      </c>
      <c r="AQ231" s="7"/>
      <c r="AR231" s="20"/>
      <c r="AS231" s="51"/>
    </row>
    <row r="232" spans="1:45" s="21" customFormat="1" ht="30" customHeight="1" x14ac:dyDescent="0.2">
      <c r="A232" s="8">
        <v>194</v>
      </c>
      <c r="B232" s="46">
        <v>8</v>
      </c>
      <c r="C232" s="16" t="s">
        <v>52</v>
      </c>
      <c r="D232" s="48">
        <v>29478</v>
      </c>
      <c r="E232" s="47">
        <v>109</v>
      </c>
      <c r="F232" s="48">
        <v>5599</v>
      </c>
      <c r="G232" s="49">
        <v>1</v>
      </c>
      <c r="H232" s="48">
        <v>0</v>
      </c>
      <c r="I232" s="48">
        <v>0</v>
      </c>
      <c r="J232" s="48">
        <v>74</v>
      </c>
      <c r="K232" s="3">
        <v>74</v>
      </c>
      <c r="L232" s="16"/>
      <c r="M232" s="57"/>
      <c r="N232" s="58"/>
      <c r="P232" s="16">
        <v>1</v>
      </c>
      <c r="Q232" s="20">
        <v>74</v>
      </c>
      <c r="R232" s="14">
        <v>250</v>
      </c>
      <c r="S232" s="20">
        <f t="shared" si="42"/>
        <v>18500</v>
      </c>
      <c r="T232" s="16"/>
      <c r="U232" s="17"/>
      <c r="V232" s="17"/>
      <c r="W232" s="4"/>
      <c r="X232" s="16"/>
      <c r="Y232" s="5"/>
      <c r="Z232" s="16"/>
      <c r="AA232" s="16"/>
      <c r="AB232" s="16"/>
      <c r="AE232" s="16"/>
      <c r="AG232" s="22">
        <f t="shared" si="44"/>
        <v>0</v>
      </c>
      <c r="AH232" s="6"/>
      <c r="AJ232" s="20">
        <f t="shared" si="39"/>
        <v>0</v>
      </c>
      <c r="AK232" s="50"/>
      <c r="AL232" s="6"/>
      <c r="AM232" s="20">
        <f t="shared" si="40"/>
        <v>0</v>
      </c>
      <c r="AN232" s="20">
        <f t="shared" si="43"/>
        <v>18500</v>
      </c>
      <c r="AP232" s="20">
        <f t="shared" si="41"/>
        <v>18500</v>
      </c>
      <c r="AQ232" s="7"/>
      <c r="AR232" s="20"/>
      <c r="AS232" s="51"/>
    </row>
    <row r="233" spans="1:45" s="21" customFormat="1" ht="30" customHeight="1" x14ac:dyDescent="0.2">
      <c r="A233" s="8">
        <v>195</v>
      </c>
      <c r="B233" s="46">
        <v>9</v>
      </c>
      <c r="C233" s="16" t="s">
        <v>52</v>
      </c>
      <c r="D233" s="48">
        <v>29479</v>
      </c>
      <c r="E233" s="47">
        <v>110</v>
      </c>
      <c r="F233" s="48">
        <v>5600</v>
      </c>
      <c r="G233" s="49">
        <v>1</v>
      </c>
      <c r="H233" s="48">
        <v>1</v>
      </c>
      <c r="I233" s="48">
        <v>3</v>
      </c>
      <c r="J233" s="48">
        <v>54</v>
      </c>
      <c r="K233" s="3">
        <v>754</v>
      </c>
      <c r="L233" s="16"/>
      <c r="M233" s="57"/>
      <c r="N233" s="58"/>
      <c r="P233" s="16">
        <v>1</v>
      </c>
      <c r="Q233" s="20">
        <v>754</v>
      </c>
      <c r="R233" s="14">
        <v>200</v>
      </c>
      <c r="S233" s="19">
        <f t="shared" si="42"/>
        <v>150800</v>
      </c>
      <c r="T233" s="16"/>
      <c r="U233" s="17"/>
      <c r="V233" s="17"/>
      <c r="W233" s="4"/>
      <c r="X233" s="16"/>
      <c r="Y233" s="5"/>
      <c r="Z233" s="16"/>
      <c r="AA233" s="16"/>
      <c r="AB233" s="16"/>
      <c r="AE233" s="16"/>
      <c r="AG233" s="22">
        <f t="shared" si="44"/>
        <v>0</v>
      </c>
      <c r="AH233" s="6"/>
      <c r="AJ233" s="20">
        <f t="shared" si="39"/>
        <v>0</v>
      </c>
      <c r="AK233" s="50"/>
      <c r="AL233" s="6"/>
      <c r="AM233" s="20">
        <f t="shared" si="40"/>
        <v>0</v>
      </c>
      <c r="AN233" s="20">
        <f t="shared" si="43"/>
        <v>150800</v>
      </c>
      <c r="AP233" s="20">
        <f t="shared" si="41"/>
        <v>150800</v>
      </c>
      <c r="AQ233" s="7"/>
      <c r="AR233" s="20"/>
      <c r="AS233" s="51"/>
    </row>
    <row r="234" spans="1:45" s="21" customFormat="1" ht="30" customHeight="1" x14ac:dyDescent="0.2">
      <c r="A234" s="8">
        <v>196</v>
      </c>
      <c r="B234" s="46">
        <v>1</v>
      </c>
      <c r="C234" s="16" t="s">
        <v>52</v>
      </c>
      <c r="D234" s="48">
        <v>30331</v>
      </c>
      <c r="E234" s="47">
        <v>33</v>
      </c>
      <c r="F234" s="48">
        <v>5269</v>
      </c>
      <c r="G234" s="49">
        <v>3</v>
      </c>
      <c r="H234" s="48">
        <v>0</v>
      </c>
      <c r="I234" s="48">
        <v>0</v>
      </c>
      <c r="J234" s="48">
        <v>23</v>
      </c>
      <c r="K234" s="3">
        <v>23</v>
      </c>
      <c r="L234" s="16"/>
      <c r="M234" s="57"/>
      <c r="N234" s="58"/>
      <c r="P234" s="16">
        <v>1</v>
      </c>
      <c r="Q234" s="20">
        <v>23</v>
      </c>
      <c r="R234" s="14">
        <v>250</v>
      </c>
      <c r="S234" s="19">
        <f t="shared" si="42"/>
        <v>5750</v>
      </c>
      <c r="T234" s="16"/>
      <c r="U234" s="16"/>
      <c r="V234" s="16"/>
      <c r="W234" s="5"/>
      <c r="X234" s="16"/>
      <c r="Y234" s="5"/>
      <c r="Z234" s="16"/>
      <c r="AA234" s="16"/>
      <c r="AB234" s="16"/>
      <c r="AE234" s="16"/>
      <c r="AG234" s="22">
        <f t="shared" si="44"/>
        <v>0</v>
      </c>
      <c r="AH234" s="6"/>
      <c r="AJ234" s="20">
        <f t="shared" si="39"/>
        <v>0</v>
      </c>
      <c r="AK234" s="50"/>
      <c r="AL234" s="6"/>
      <c r="AM234" s="20">
        <f t="shared" si="40"/>
        <v>0</v>
      </c>
      <c r="AN234" s="20">
        <f t="shared" si="43"/>
        <v>5750</v>
      </c>
      <c r="AP234" s="20">
        <f t="shared" si="41"/>
        <v>5750</v>
      </c>
      <c r="AQ234" s="7"/>
      <c r="AR234" s="20"/>
      <c r="AS234" s="51">
        <v>1</v>
      </c>
    </row>
    <row r="235" spans="1:45" s="21" customFormat="1" ht="30" customHeight="1" x14ac:dyDescent="0.2">
      <c r="A235" s="8">
        <v>197</v>
      </c>
      <c r="B235" s="46">
        <v>1</v>
      </c>
      <c r="C235" s="16" t="s">
        <v>52</v>
      </c>
      <c r="D235" s="48">
        <v>30246</v>
      </c>
      <c r="E235" s="47">
        <v>122</v>
      </c>
      <c r="F235" s="48">
        <v>5297</v>
      </c>
      <c r="G235" s="49">
        <v>1</v>
      </c>
      <c r="H235" s="48">
        <v>1</v>
      </c>
      <c r="I235" s="48">
        <v>1</v>
      </c>
      <c r="J235" s="48">
        <v>64</v>
      </c>
      <c r="K235" s="3">
        <v>564</v>
      </c>
      <c r="L235" s="16"/>
      <c r="M235" s="57"/>
      <c r="N235" s="58"/>
      <c r="P235" s="16">
        <v>1</v>
      </c>
      <c r="Q235" s="20">
        <v>564</v>
      </c>
      <c r="R235" s="14">
        <v>160</v>
      </c>
      <c r="S235" s="20">
        <f t="shared" si="42"/>
        <v>90240</v>
      </c>
      <c r="T235" s="16"/>
      <c r="U235" s="17"/>
      <c r="V235" s="16"/>
      <c r="W235" s="5"/>
      <c r="X235" s="16"/>
      <c r="Y235" s="5"/>
      <c r="Z235" s="16"/>
      <c r="AA235" s="16"/>
      <c r="AB235" s="16"/>
      <c r="AE235" s="16"/>
      <c r="AG235" s="22">
        <f t="shared" si="44"/>
        <v>0</v>
      </c>
      <c r="AH235" s="6"/>
      <c r="AJ235" s="20">
        <f t="shared" si="39"/>
        <v>0</v>
      </c>
      <c r="AK235" s="50"/>
      <c r="AL235" s="6"/>
      <c r="AM235" s="20">
        <f t="shared" si="40"/>
        <v>0</v>
      </c>
      <c r="AN235" s="20">
        <f t="shared" si="43"/>
        <v>90240</v>
      </c>
      <c r="AP235" s="20">
        <f t="shared" si="41"/>
        <v>90240</v>
      </c>
      <c r="AQ235" s="7"/>
      <c r="AR235" s="20"/>
      <c r="AS235" s="51"/>
    </row>
    <row r="236" spans="1:45" s="21" customFormat="1" ht="30" customHeight="1" x14ac:dyDescent="0.2">
      <c r="A236" s="8">
        <v>198</v>
      </c>
      <c r="B236" s="46">
        <v>2</v>
      </c>
      <c r="C236" s="16" t="s">
        <v>52</v>
      </c>
      <c r="D236" s="48">
        <v>30251</v>
      </c>
      <c r="E236" s="47">
        <v>127</v>
      </c>
      <c r="F236" s="48">
        <v>5302</v>
      </c>
      <c r="G236" s="49">
        <v>1</v>
      </c>
      <c r="H236" s="48">
        <v>5</v>
      </c>
      <c r="I236" s="48">
        <v>3</v>
      </c>
      <c r="J236" s="48">
        <v>36</v>
      </c>
      <c r="K236" s="3">
        <v>2336</v>
      </c>
      <c r="L236" s="16"/>
      <c r="M236" s="57"/>
      <c r="N236" s="58"/>
      <c r="P236" s="16">
        <v>1</v>
      </c>
      <c r="Q236" s="20">
        <v>2336</v>
      </c>
      <c r="R236" s="14">
        <v>200</v>
      </c>
      <c r="S236" s="19">
        <f t="shared" si="42"/>
        <v>467200</v>
      </c>
      <c r="T236" s="16"/>
      <c r="U236" s="17"/>
      <c r="V236" s="17"/>
      <c r="W236" s="4"/>
      <c r="X236" s="16"/>
      <c r="Y236" s="5"/>
      <c r="Z236" s="16"/>
      <c r="AA236" s="16"/>
      <c r="AB236" s="16"/>
      <c r="AE236" s="16"/>
      <c r="AG236" s="22">
        <f t="shared" si="44"/>
        <v>0</v>
      </c>
      <c r="AH236" s="6"/>
      <c r="AJ236" s="20">
        <f t="shared" si="39"/>
        <v>0</v>
      </c>
      <c r="AK236" s="50"/>
      <c r="AL236" s="6"/>
      <c r="AM236" s="20">
        <f t="shared" si="40"/>
        <v>0</v>
      </c>
      <c r="AN236" s="20">
        <f t="shared" si="43"/>
        <v>467200</v>
      </c>
      <c r="AP236" s="20">
        <f t="shared" si="41"/>
        <v>467200</v>
      </c>
      <c r="AQ236" s="7"/>
      <c r="AR236" s="20"/>
      <c r="AS236" s="51"/>
    </row>
    <row r="237" spans="1:45" s="21" customFormat="1" ht="30" customHeight="1" x14ac:dyDescent="0.2">
      <c r="A237" s="8">
        <v>199</v>
      </c>
      <c r="B237" s="46">
        <v>1</v>
      </c>
      <c r="C237" s="16" t="s">
        <v>52</v>
      </c>
      <c r="D237" s="48">
        <v>31050</v>
      </c>
      <c r="E237" s="47">
        <v>126</v>
      </c>
      <c r="F237" s="48">
        <v>6000</v>
      </c>
      <c r="G237" s="49">
        <v>2</v>
      </c>
      <c r="H237" s="48">
        <v>17</v>
      </c>
      <c r="I237" s="48">
        <v>2</v>
      </c>
      <c r="J237" s="48">
        <v>69.03</v>
      </c>
      <c r="K237" s="3">
        <f>(17*400)+200+69.03</f>
        <v>7069.03</v>
      </c>
      <c r="L237" s="16"/>
      <c r="M237" s="57"/>
      <c r="N237" s="58"/>
      <c r="P237" s="16">
        <v>1</v>
      </c>
      <c r="Q237" s="20">
        <v>7069.03</v>
      </c>
      <c r="R237" s="14">
        <v>200</v>
      </c>
      <c r="S237" s="19">
        <f t="shared" si="42"/>
        <v>1413806</v>
      </c>
      <c r="T237" s="16"/>
      <c r="U237" s="17"/>
      <c r="V237" s="17"/>
      <c r="W237" s="4"/>
      <c r="X237" s="16"/>
      <c r="Y237" s="5"/>
      <c r="Z237" s="16"/>
      <c r="AA237" s="16"/>
      <c r="AB237" s="16"/>
      <c r="AE237" s="16"/>
      <c r="AG237" s="22">
        <f t="shared" si="44"/>
        <v>0</v>
      </c>
      <c r="AH237" s="6"/>
      <c r="AJ237" s="20">
        <f t="shared" si="39"/>
        <v>0</v>
      </c>
      <c r="AK237" s="50"/>
      <c r="AL237" s="6"/>
      <c r="AM237" s="20">
        <f t="shared" si="40"/>
        <v>0</v>
      </c>
      <c r="AN237" s="20">
        <f t="shared" si="43"/>
        <v>1413806</v>
      </c>
      <c r="AP237" s="20">
        <f t="shared" si="41"/>
        <v>1413806</v>
      </c>
      <c r="AQ237" s="7"/>
      <c r="AR237" s="20"/>
      <c r="AS237" s="51">
        <v>98</v>
      </c>
    </row>
    <row r="238" spans="1:45" s="21" customFormat="1" ht="30" customHeight="1" x14ac:dyDescent="0.2">
      <c r="A238" s="8">
        <v>200</v>
      </c>
      <c r="B238" s="46">
        <v>1</v>
      </c>
      <c r="C238" s="16" t="s">
        <v>52</v>
      </c>
      <c r="D238" s="48">
        <v>1109</v>
      </c>
      <c r="E238" s="47">
        <v>2</v>
      </c>
      <c r="F238" s="48">
        <v>998</v>
      </c>
      <c r="G238" s="49">
        <v>1</v>
      </c>
      <c r="H238" s="48">
        <v>11</v>
      </c>
      <c r="I238" s="48">
        <v>3</v>
      </c>
      <c r="J238" s="48">
        <v>25</v>
      </c>
      <c r="K238" s="3">
        <f>(11*400)+300+25</f>
        <v>4725</v>
      </c>
      <c r="L238" s="16"/>
      <c r="M238" s="57"/>
      <c r="N238" s="58"/>
      <c r="P238" s="16">
        <v>1</v>
      </c>
      <c r="Q238" s="20">
        <v>4725</v>
      </c>
      <c r="R238" s="14">
        <v>160</v>
      </c>
      <c r="S238" s="20">
        <f t="shared" si="42"/>
        <v>756000</v>
      </c>
      <c r="T238" s="16"/>
      <c r="U238" s="17"/>
      <c r="V238" s="17"/>
      <c r="W238" s="4"/>
      <c r="X238" s="16"/>
      <c r="Y238" s="5"/>
      <c r="Z238" s="16"/>
      <c r="AA238" s="16"/>
      <c r="AB238" s="16"/>
      <c r="AE238" s="16"/>
      <c r="AG238" s="22">
        <f t="shared" si="44"/>
        <v>0</v>
      </c>
      <c r="AH238" s="6"/>
      <c r="AJ238" s="20">
        <f t="shared" si="39"/>
        <v>0</v>
      </c>
      <c r="AK238" s="50"/>
      <c r="AL238" s="6"/>
      <c r="AM238" s="20">
        <f t="shared" si="40"/>
        <v>0</v>
      </c>
      <c r="AN238" s="20">
        <f t="shared" si="43"/>
        <v>756000</v>
      </c>
      <c r="AP238" s="20">
        <f t="shared" si="41"/>
        <v>756000</v>
      </c>
      <c r="AQ238" s="7"/>
      <c r="AR238" s="60"/>
      <c r="AS238" s="128" t="s">
        <v>96</v>
      </c>
    </row>
    <row r="239" spans="1:45" s="21" customFormat="1" ht="30" customHeight="1" x14ac:dyDescent="0.2">
      <c r="A239" s="8">
        <v>201</v>
      </c>
      <c r="B239" s="46">
        <v>2</v>
      </c>
      <c r="C239" s="16" t="s">
        <v>52</v>
      </c>
      <c r="D239" s="48">
        <v>22296</v>
      </c>
      <c r="E239" s="47">
        <v>200</v>
      </c>
      <c r="F239" s="48">
        <v>4784</v>
      </c>
      <c r="G239" s="49">
        <v>1</v>
      </c>
      <c r="H239" s="48">
        <v>0</v>
      </c>
      <c r="I239" s="48">
        <v>1</v>
      </c>
      <c r="J239" s="48">
        <v>65</v>
      </c>
      <c r="K239" s="3">
        <v>165</v>
      </c>
      <c r="L239" s="16"/>
      <c r="M239" s="57"/>
      <c r="N239" s="58"/>
      <c r="P239" s="16">
        <v>1</v>
      </c>
      <c r="Q239" s="20">
        <v>165</v>
      </c>
      <c r="R239" s="14">
        <v>250</v>
      </c>
      <c r="S239" s="19">
        <f t="shared" si="42"/>
        <v>41250</v>
      </c>
      <c r="T239" s="16"/>
      <c r="U239" s="17"/>
      <c r="V239" s="17"/>
      <c r="W239" s="4"/>
      <c r="X239" s="16"/>
      <c r="Y239" s="5"/>
      <c r="Z239" s="16"/>
      <c r="AA239" s="16"/>
      <c r="AB239" s="16"/>
      <c r="AC239" s="14"/>
      <c r="AD239" s="14"/>
      <c r="AE239" s="16"/>
      <c r="AG239" s="22">
        <f t="shared" si="44"/>
        <v>0</v>
      </c>
      <c r="AH239" s="6"/>
      <c r="AJ239" s="20">
        <f t="shared" si="39"/>
        <v>0</v>
      </c>
      <c r="AK239" s="50"/>
      <c r="AL239" s="6"/>
      <c r="AM239" s="20">
        <f t="shared" si="40"/>
        <v>0</v>
      </c>
      <c r="AN239" s="20">
        <f t="shared" si="43"/>
        <v>41250</v>
      </c>
      <c r="AP239" s="20">
        <f t="shared" si="41"/>
        <v>41250</v>
      </c>
      <c r="AQ239" s="7"/>
      <c r="AR239" s="24"/>
      <c r="AS239" s="129"/>
    </row>
    <row r="240" spans="1:45" s="21" customFormat="1" ht="30" customHeight="1" x14ac:dyDescent="0.2">
      <c r="A240" s="8">
        <v>202</v>
      </c>
      <c r="B240" s="46">
        <v>3</v>
      </c>
      <c r="C240" s="16" t="s">
        <v>52</v>
      </c>
      <c r="D240" s="48">
        <v>33809</v>
      </c>
      <c r="E240" s="47">
        <v>346</v>
      </c>
      <c r="F240" s="48">
        <v>6749</v>
      </c>
      <c r="G240" s="49">
        <v>1</v>
      </c>
      <c r="H240" s="48">
        <v>1</v>
      </c>
      <c r="I240" s="48">
        <v>1</v>
      </c>
      <c r="J240" s="48">
        <v>40</v>
      </c>
      <c r="K240" s="3">
        <v>540</v>
      </c>
      <c r="L240" s="16"/>
      <c r="M240" s="57"/>
      <c r="N240" s="58"/>
      <c r="P240" s="16">
        <v>1</v>
      </c>
      <c r="Q240" s="20">
        <v>540</v>
      </c>
      <c r="R240" s="14">
        <v>160</v>
      </c>
      <c r="S240" s="19">
        <f t="shared" si="42"/>
        <v>86400</v>
      </c>
      <c r="T240" s="16"/>
      <c r="U240" s="17"/>
      <c r="V240" s="17"/>
      <c r="W240" s="4"/>
      <c r="X240" s="16"/>
      <c r="Y240" s="5"/>
      <c r="Z240" s="16"/>
      <c r="AA240" s="16"/>
      <c r="AB240" s="16"/>
      <c r="AE240" s="16"/>
      <c r="AG240" s="22">
        <f t="shared" si="44"/>
        <v>0</v>
      </c>
      <c r="AH240" s="6"/>
      <c r="AJ240" s="20">
        <f t="shared" si="39"/>
        <v>0</v>
      </c>
      <c r="AK240" s="50"/>
      <c r="AL240" s="6"/>
      <c r="AM240" s="20">
        <f t="shared" si="40"/>
        <v>0</v>
      </c>
      <c r="AN240" s="20">
        <f t="shared" si="43"/>
        <v>86400</v>
      </c>
      <c r="AP240" s="20">
        <f t="shared" si="41"/>
        <v>86400</v>
      </c>
      <c r="AQ240" s="7"/>
      <c r="AR240" s="24"/>
      <c r="AS240" s="129"/>
    </row>
    <row r="241" spans="1:45" ht="30" customHeight="1" x14ac:dyDescent="0.2">
      <c r="A241" s="8">
        <v>203</v>
      </c>
      <c r="B241" s="13">
        <v>4</v>
      </c>
      <c r="C241" s="16" t="s">
        <v>65</v>
      </c>
      <c r="D241" s="17">
        <v>2324</v>
      </c>
      <c r="E241" s="17">
        <v>301</v>
      </c>
      <c r="H241" s="17">
        <v>10</v>
      </c>
      <c r="I241" s="17">
        <v>1</v>
      </c>
      <c r="J241" s="17">
        <v>76</v>
      </c>
      <c r="K241" s="10">
        <v>4176</v>
      </c>
      <c r="P241" s="17">
        <v>1</v>
      </c>
      <c r="Q241" s="19">
        <v>4176</v>
      </c>
      <c r="R241" s="14">
        <v>2000</v>
      </c>
      <c r="S241" s="20">
        <f t="shared" si="42"/>
        <v>8352000</v>
      </c>
      <c r="AE241" s="17" t="s">
        <v>94</v>
      </c>
      <c r="AG241" s="22">
        <f t="shared" si="44"/>
        <v>0</v>
      </c>
      <c r="AJ241" s="20">
        <f t="shared" si="39"/>
        <v>0</v>
      </c>
      <c r="AM241" s="20">
        <f t="shared" si="40"/>
        <v>0</v>
      </c>
      <c r="AN241" s="20">
        <f t="shared" si="43"/>
        <v>8352000</v>
      </c>
      <c r="AP241" s="20">
        <f t="shared" si="41"/>
        <v>8352000</v>
      </c>
      <c r="AQ241" s="12">
        <v>1E-4</v>
      </c>
      <c r="AR241" s="25"/>
      <c r="AS241" s="130"/>
    </row>
    <row r="242" spans="1:45" s="21" customFormat="1" ht="30" customHeight="1" x14ac:dyDescent="0.2">
      <c r="A242" s="8">
        <v>204</v>
      </c>
      <c r="B242" s="46">
        <v>1</v>
      </c>
      <c r="C242" s="16" t="s">
        <v>52</v>
      </c>
      <c r="D242" s="48">
        <v>32592</v>
      </c>
      <c r="E242" s="47">
        <v>145</v>
      </c>
      <c r="F242" s="48">
        <v>6430</v>
      </c>
      <c r="G242" s="49">
        <v>1</v>
      </c>
      <c r="H242" s="48">
        <v>0</v>
      </c>
      <c r="I242" s="48">
        <v>0</v>
      </c>
      <c r="J242" s="48">
        <v>78</v>
      </c>
      <c r="K242" s="3">
        <v>78</v>
      </c>
      <c r="L242" s="16"/>
      <c r="M242" s="57"/>
      <c r="N242" s="58"/>
      <c r="P242" s="16">
        <v>1</v>
      </c>
      <c r="Q242" s="20">
        <v>78</v>
      </c>
      <c r="R242" s="14">
        <v>250</v>
      </c>
      <c r="S242" s="19">
        <f t="shared" si="42"/>
        <v>19500</v>
      </c>
      <c r="T242" s="16"/>
      <c r="U242" s="16"/>
      <c r="V242" s="16"/>
      <c r="W242" s="5"/>
      <c r="X242" s="16"/>
      <c r="Y242" s="5"/>
      <c r="Z242" s="16"/>
      <c r="AA242" s="16"/>
      <c r="AB242" s="16"/>
      <c r="AC242" s="14"/>
      <c r="AD242" s="14"/>
      <c r="AE242" s="16"/>
      <c r="AG242" s="22">
        <f t="shared" si="44"/>
        <v>0</v>
      </c>
      <c r="AH242" s="6"/>
      <c r="AJ242" s="20">
        <f t="shared" si="39"/>
        <v>0</v>
      </c>
      <c r="AK242" s="50"/>
      <c r="AL242" s="6"/>
      <c r="AM242" s="20">
        <f t="shared" si="40"/>
        <v>0</v>
      </c>
      <c r="AN242" s="20">
        <f t="shared" si="43"/>
        <v>19500</v>
      </c>
      <c r="AP242" s="20">
        <f t="shared" si="41"/>
        <v>19500</v>
      </c>
      <c r="AQ242" s="7"/>
      <c r="AR242" s="20"/>
      <c r="AS242" s="51"/>
    </row>
    <row r="243" spans="1:45" s="21" customFormat="1" ht="30" customHeight="1" x14ac:dyDescent="0.2">
      <c r="A243" s="8">
        <v>205</v>
      </c>
      <c r="B243" s="46">
        <v>1</v>
      </c>
      <c r="C243" s="16" t="s">
        <v>52</v>
      </c>
      <c r="D243" s="48">
        <v>1166</v>
      </c>
      <c r="E243" s="47">
        <v>14</v>
      </c>
      <c r="F243" s="48">
        <v>1004</v>
      </c>
      <c r="G243" s="49">
        <v>1</v>
      </c>
      <c r="H243" s="48">
        <v>2</v>
      </c>
      <c r="I243" s="48">
        <v>0</v>
      </c>
      <c r="J243" s="48">
        <v>40</v>
      </c>
      <c r="K243" s="3">
        <v>840</v>
      </c>
      <c r="L243" s="16"/>
      <c r="M243" s="57"/>
      <c r="N243" s="58"/>
      <c r="P243" s="16">
        <v>1</v>
      </c>
      <c r="Q243" s="20">
        <v>840</v>
      </c>
      <c r="R243" s="14">
        <v>200</v>
      </c>
      <c r="S243" s="19">
        <f t="shared" si="42"/>
        <v>168000</v>
      </c>
      <c r="T243" s="16"/>
      <c r="U243" s="17"/>
      <c r="V243" s="16"/>
      <c r="W243" s="5"/>
      <c r="X243" s="16"/>
      <c r="Y243" s="5"/>
      <c r="Z243" s="16"/>
      <c r="AA243" s="16"/>
      <c r="AB243" s="16"/>
      <c r="AC243" s="14"/>
      <c r="AD243" s="14"/>
      <c r="AE243" s="16"/>
      <c r="AG243" s="22">
        <f t="shared" si="44"/>
        <v>0</v>
      </c>
      <c r="AH243" s="6"/>
      <c r="AJ243" s="20">
        <f t="shared" si="39"/>
        <v>0</v>
      </c>
      <c r="AK243" s="50"/>
      <c r="AL243" s="6"/>
      <c r="AM243" s="20">
        <f t="shared" si="40"/>
        <v>0</v>
      </c>
      <c r="AN243" s="20">
        <f t="shared" si="43"/>
        <v>168000</v>
      </c>
      <c r="AP243" s="20">
        <f t="shared" si="41"/>
        <v>168000</v>
      </c>
      <c r="AQ243" s="7"/>
      <c r="AR243" s="20"/>
      <c r="AS243" s="51"/>
    </row>
    <row r="244" spans="1:45" s="21" customFormat="1" ht="30" customHeight="1" x14ac:dyDescent="0.2">
      <c r="A244" s="8">
        <v>206</v>
      </c>
      <c r="B244" s="46">
        <v>1</v>
      </c>
      <c r="C244" s="16" t="s">
        <v>52</v>
      </c>
      <c r="D244" s="48">
        <v>2385</v>
      </c>
      <c r="E244" s="47">
        <v>11</v>
      </c>
      <c r="F244" s="48">
        <v>1717</v>
      </c>
      <c r="G244" s="49">
        <v>4</v>
      </c>
      <c r="H244" s="48">
        <v>0</v>
      </c>
      <c r="I244" s="48">
        <v>0</v>
      </c>
      <c r="J244" s="48">
        <v>13</v>
      </c>
      <c r="K244" s="3">
        <v>13</v>
      </c>
      <c r="L244" s="16"/>
      <c r="M244" s="57"/>
      <c r="N244" s="58"/>
      <c r="P244" s="16">
        <v>1</v>
      </c>
      <c r="Q244" s="20">
        <v>13</v>
      </c>
      <c r="R244" s="14">
        <v>160</v>
      </c>
      <c r="S244" s="20">
        <f t="shared" si="42"/>
        <v>2080</v>
      </c>
      <c r="T244" s="16"/>
      <c r="U244" s="17"/>
      <c r="V244" s="17"/>
      <c r="W244" s="4"/>
      <c r="X244" s="16"/>
      <c r="Y244" s="5"/>
      <c r="Z244" s="16"/>
      <c r="AA244" s="16"/>
      <c r="AB244" s="16"/>
      <c r="AC244" s="14"/>
      <c r="AD244" s="14"/>
      <c r="AE244" s="16"/>
      <c r="AG244" s="22">
        <f t="shared" si="44"/>
        <v>0</v>
      </c>
      <c r="AH244" s="6"/>
      <c r="AJ244" s="20">
        <f t="shared" si="39"/>
        <v>0</v>
      </c>
      <c r="AK244" s="50"/>
      <c r="AL244" s="6"/>
      <c r="AM244" s="20">
        <f t="shared" si="40"/>
        <v>0</v>
      </c>
      <c r="AN244" s="20">
        <f t="shared" si="43"/>
        <v>2080</v>
      </c>
      <c r="AP244" s="20">
        <f t="shared" si="41"/>
        <v>2080</v>
      </c>
      <c r="AQ244" s="7"/>
      <c r="AR244" s="20"/>
      <c r="AS244" s="51"/>
    </row>
    <row r="245" spans="1:45" ht="30" customHeight="1" x14ac:dyDescent="0.2">
      <c r="A245" s="8">
        <v>207</v>
      </c>
      <c r="B245" s="13">
        <v>2</v>
      </c>
      <c r="C245" s="16" t="s">
        <v>65</v>
      </c>
      <c r="D245" s="17">
        <v>1757</v>
      </c>
      <c r="E245" s="17">
        <v>3</v>
      </c>
      <c r="H245" s="17">
        <v>0</v>
      </c>
      <c r="I245" s="17">
        <v>3</v>
      </c>
      <c r="J245" s="17">
        <v>60</v>
      </c>
      <c r="K245" s="10">
        <v>360</v>
      </c>
      <c r="P245" s="17">
        <v>1</v>
      </c>
      <c r="Q245" s="19">
        <v>360</v>
      </c>
      <c r="R245" s="14">
        <v>160</v>
      </c>
      <c r="S245" s="19">
        <f t="shared" si="42"/>
        <v>57600</v>
      </c>
      <c r="AG245" s="22">
        <f t="shared" si="44"/>
        <v>0</v>
      </c>
      <c r="AJ245" s="20">
        <f t="shared" si="39"/>
        <v>0</v>
      </c>
      <c r="AM245" s="20">
        <f t="shared" si="40"/>
        <v>0</v>
      </c>
      <c r="AN245" s="20">
        <f t="shared" ref="AN245:AN276" si="45">+S245+AM245</f>
        <v>57600</v>
      </c>
      <c r="AP245" s="20">
        <f t="shared" si="41"/>
        <v>57600</v>
      </c>
      <c r="AQ245" s="12">
        <v>1E-4</v>
      </c>
      <c r="AR245" s="20"/>
    </row>
    <row r="246" spans="1:45" s="21" customFormat="1" ht="30" customHeight="1" x14ac:dyDescent="0.2">
      <c r="A246" s="8">
        <v>208</v>
      </c>
      <c r="B246" s="46">
        <v>1</v>
      </c>
      <c r="C246" s="16" t="s">
        <v>52</v>
      </c>
      <c r="D246" s="48">
        <v>35666</v>
      </c>
      <c r="E246" s="47">
        <v>140</v>
      </c>
      <c r="F246" s="48">
        <v>7069</v>
      </c>
      <c r="G246" s="49">
        <v>5</v>
      </c>
      <c r="H246" s="48">
        <v>0</v>
      </c>
      <c r="I246" s="48">
        <v>0</v>
      </c>
      <c r="J246" s="48">
        <v>27</v>
      </c>
      <c r="K246" s="3"/>
      <c r="L246" s="16">
        <v>27</v>
      </c>
      <c r="M246" s="57"/>
      <c r="N246" s="58"/>
      <c r="P246" s="16">
        <v>2</v>
      </c>
      <c r="Q246" s="20">
        <v>27</v>
      </c>
      <c r="R246" s="14">
        <v>160</v>
      </c>
      <c r="S246" s="19">
        <f t="shared" si="42"/>
        <v>4320</v>
      </c>
      <c r="T246" s="16"/>
      <c r="U246" s="17" t="s">
        <v>87</v>
      </c>
      <c r="V246" s="17" t="s">
        <v>88</v>
      </c>
      <c r="W246" s="4"/>
      <c r="X246" s="16"/>
      <c r="Y246" s="5"/>
      <c r="Z246" s="16"/>
      <c r="AA246" s="16"/>
      <c r="AB246" s="16"/>
      <c r="AC246" s="14"/>
      <c r="AD246" s="14"/>
      <c r="AE246" s="16"/>
      <c r="AG246" s="22">
        <f t="shared" si="44"/>
        <v>0</v>
      </c>
      <c r="AH246" s="6"/>
      <c r="AJ246" s="20">
        <f t="shared" si="39"/>
        <v>0</v>
      </c>
      <c r="AK246" s="50"/>
      <c r="AL246" s="6"/>
      <c r="AM246" s="20">
        <f t="shared" si="40"/>
        <v>0</v>
      </c>
      <c r="AN246" s="20">
        <f t="shared" si="45"/>
        <v>4320</v>
      </c>
      <c r="AP246" s="20">
        <f t="shared" si="41"/>
        <v>4320</v>
      </c>
      <c r="AQ246" s="7"/>
      <c r="AR246" s="20"/>
      <c r="AS246" s="51"/>
    </row>
    <row r="247" spans="1:45" s="21" customFormat="1" ht="30" customHeight="1" x14ac:dyDescent="0.2">
      <c r="A247" s="8">
        <v>209</v>
      </c>
      <c r="B247" s="46">
        <v>1</v>
      </c>
      <c r="C247" s="16" t="s">
        <v>52</v>
      </c>
      <c r="D247" s="48">
        <v>2983</v>
      </c>
      <c r="E247" s="47">
        <v>10</v>
      </c>
      <c r="F247" s="48">
        <v>2051</v>
      </c>
      <c r="G247" s="49">
        <v>2</v>
      </c>
      <c r="H247" s="48">
        <v>0</v>
      </c>
      <c r="I247" s="48">
        <v>0</v>
      </c>
      <c r="J247" s="48">
        <v>82</v>
      </c>
      <c r="K247" s="3">
        <v>82</v>
      </c>
      <c r="L247" s="16"/>
      <c r="M247" s="57"/>
      <c r="N247" s="58"/>
      <c r="P247" s="16">
        <v>1</v>
      </c>
      <c r="Q247" s="20">
        <v>82</v>
      </c>
      <c r="R247" s="14">
        <v>250</v>
      </c>
      <c r="S247" s="20">
        <f t="shared" si="42"/>
        <v>20500</v>
      </c>
      <c r="T247" s="16"/>
      <c r="U247" s="17"/>
      <c r="V247" s="17"/>
      <c r="W247" s="4"/>
      <c r="X247" s="16"/>
      <c r="Y247" s="5"/>
      <c r="Z247" s="16"/>
      <c r="AA247" s="16"/>
      <c r="AB247" s="16"/>
      <c r="AC247" s="14"/>
      <c r="AD247" s="14"/>
      <c r="AE247" s="16"/>
      <c r="AG247" s="22">
        <f t="shared" si="44"/>
        <v>0</v>
      </c>
      <c r="AH247" s="6"/>
      <c r="AJ247" s="20">
        <f t="shared" si="39"/>
        <v>0</v>
      </c>
      <c r="AK247" s="50"/>
      <c r="AL247" s="6"/>
      <c r="AM247" s="20">
        <f t="shared" si="40"/>
        <v>0</v>
      </c>
      <c r="AN247" s="20">
        <f t="shared" si="45"/>
        <v>20500</v>
      </c>
      <c r="AP247" s="20">
        <f t="shared" si="41"/>
        <v>20500</v>
      </c>
      <c r="AQ247" s="7"/>
      <c r="AR247" s="20"/>
      <c r="AS247" s="51"/>
    </row>
    <row r="248" spans="1:45" ht="30" customHeight="1" x14ac:dyDescent="0.2">
      <c r="A248" s="8">
        <v>210</v>
      </c>
      <c r="B248" s="46">
        <v>1</v>
      </c>
      <c r="C248" s="16" t="s">
        <v>65</v>
      </c>
      <c r="D248" s="17">
        <v>1386</v>
      </c>
      <c r="E248" s="17">
        <v>74</v>
      </c>
      <c r="H248" s="17">
        <v>7</v>
      </c>
      <c r="I248" s="17">
        <v>2</v>
      </c>
      <c r="J248" s="17">
        <v>30</v>
      </c>
      <c r="K248" s="10">
        <v>3030</v>
      </c>
      <c r="P248" s="17">
        <v>1</v>
      </c>
      <c r="Q248" s="19">
        <v>3030</v>
      </c>
      <c r="R248" s="14">
        <v>160</v>
      </c>
      <c r="S248" s="19">
        <f t="shared" si="42"/>
        <v>484800</v>
      </c>
      <c r="AG248" s="22">
        <f t="shared" si="44"/>
        <v>0</v>
      </c>
      <c r="AJ248" s="20">
        <f t="shared" si="39"/>
        <v>0</v>
      </c>
      <c r="AM248" s="20">
        <f t="shared" si="40"/>
        <v>0</v>
      </c>
      <c r="AN248" s="20">
        <f t="shared" si="45"/>
        <v>484800</v>
      </c>
      <c r="AP248" s="20">
        <f t="shared" si="41"/>
        <v>484800</v>
      </c>
      <c r="AQ248" s="12">
        <v>1E-4</v>
      </c>
      <c r="AR248" s="20"/>
    </row>
    <row r="249" spans="1:45" s="21" customFormat="1" ht="30" customHeight="1" x14ac:dyDescent="0.2">
      <c r="A249" s="8">
        <v>211</v>
      </c>
      <c r="B249" s="46">
        <v>1</v>
      </c>
      <c r="C249" s="16" t="s">
        <v>52</v>
      </c>
      <c r="D249" s="48">
        <v>27015</v>
      </c>
      <c r="E249" s="47">
        <v>159</v>
      </c>
      <c r="F249" s="48">
        <v>5020</v>
      </c>
      <c r="G249" s="49"/>
      <c r="H249" s="48">
        <v>0</v>
      </c>
      <c r="I249" s="48">
        <v>0</v>
      </c>
      <c r="J249" s="48">
        <v>67.06</v>
      </c>
      <c r="K249" s="3"/>
      <c r="L249" s="16">
        <v>67.06</v>
      </c>
      <c r="M249" s="57"/>
      <c r="N249" s="58"/>
      <c r="P249" s="16">
        <v>2</v>
      </c>
      <c r="Q249" s="20">
        <v>67.06</v>
      </c>
      <c r="R249" s="14">
        <v>2000</v>
      </c>
      <c r="S249" s="19">
        <f t="shared" si="42"/>
        <v>134120</v>
      </c>
      <c r="T249" s="16"/>
      <c r="U249" s="17" t="s">
        <v>57</v>
      </c>
      <c r="V249" s="17" t="s">
        <v>56</v>
      </c>
      <c r="W249" s="4"/>
      <c r="X249" s="16"/>
      <c r="Y249" s="5">
        <v>110</v>
      </c>
      <c r="Z249" s="16"/>
      <c r="AA249" s="16"/>
      <c r="AB249" s="16"/>
      <c r="AE249" s="16"/>
      <c r="AF249" s="21">
        <v>2</v>
      </c>
      <c r="AG249" s="22">
        <f t="shared" si="44"/>
        <v>110</v>
      </c>
      <c r="AH249" s="6">
        <v>1</v>
      </c>
      <c r="AI249" s="21">
        <v>7250</v>
      </c>
      <c r="AJ249" s="20">
        <f t="shared" si="39"/>
        <v>797500</v>
      </c>
      <c r="AK249" s="50"/>
      <c r="AL249" s="6"/>
      <c r="AM249" s="20">
        <f t="shared" si="40"/>
        <v>797500</v>
      </c>
      <c r="AN249" s="20">
        <f t="shared" si="45"/>
        <v>931620</v>
      </c>
      <c r="AP249" s="20">
        <f t="shared" si="41"/>
        <v>931620</v>
      </c>
      <c r="AQ249" s="7"/>
      <c r="AR249" s="20"/>
      <c r="AS249" s="51"/>
    </row>
    <row r="250" spans="1:45" s="21" customFormat="1" ht="30" customHeight="1" x14ac:dyDescent="0.2">
      <c r="A250" s="8">
        <v>212</v>
      </c>
      <c r="B250" s="46">
        <v>1</v>
      </c>
      <c r="C250" s="16" t="s">
        <v>52</v>
      </c>
      <c r="D250" s="48">
        <v>1221</v>
      </c>
      <c r="E250" s="47">
        <v>17</v>
      </c>
      <c r="F250" s="48">
        <v>1397</v>
      </c>
      <c r="G250" s="49"/>
      <c r="H250" s="48">
        <v>5</v>
      </c>
      <c r="I250" s="48">
        <v>0</v>
      </c>
      <c r="J250" s="48">
        <v>97</v>
      </c>
      <c r="K250" s="3">
        <v>2097</v>
      </c>
      <c r="L250" s="16"/>
      <c r="M250" s="57"/>
      <c r="N250" s="58"/>
      <c r="P250" s="16">
        <v>1</v>
      </c>
      <c r="Q250" s="20">
        <v>2097</v>
      </c>
      <c r="R250" s="14">
        <v>160</v>
      </c>
      <c r="S250" s="20">
        <f t="shared" si="42"/>
        <v>335520</v>
      </c>
      <c r="T250" s="16"/>
      <c r="U250" s="17"/>
      <c r="V250" s="17"/>
      <c r="W250" s="4"/>
      <c r="X250" s="16"/>
      <c r="Y250" s="5"/>
      <c r="Z250" s="16"/>
      <c r="AA250" s="16"/>
      <c r="AB250" s="16"/>
      <c r="AE250" s="16"/>
      <c r="AG250" s="22">
        <f t="shared" si="44"/>
        <v>0</v>
      </c>
      <c r="AH250" s="6"/>
      <c r="AJ250" s="20">
        <f t="shared" si="39"/>
        <v>0</v>
      </c>
      <c r="AK250" s="50"/>
      <c r="AL250" s="6"/>
      <c r="AM250" s="20">
        <f t="shared" si="40"/>
        <v>0</v>
      </c>
      <c r="AN250" s="20">
        <f t="shared" si="45"/>
        <v>335520</v>
      </c>
      <c r="AP250" s="20">
        <f t="shared" si="41"/>
        <v>335520</v>
      </c>
      <c r="AQ250" s="7"/>
      <c r="AR250" s="20"/>
      <c r="AS250" s="51"/>
    </row>
    <row r="251" spans="1:45" ht="30" customHeight="1" x14ac:dyDescent="0.2">
      <c r="A251" s="8">
        <v>213</v>
      </c>
      <c r="B251" s="46">
        <v>1</v>
      </c>
      <c r="C251" s="16" t="s">
        <v>65</v>
      </c>
      <c r="D251" s="17">
        <v>3863</v>
      </c>
      <c r="E251" s="17">
        <v>215</v>
      </c>
      <c r="H251" s="17">
        <v>0</v>
      </c>
      <c r="I251" s="17">
        <v>3</v>
      </c>
      <c r="J251" s="17">
        <v>82</v>
      </c>
      <c r="K251" s="10">
        <v>382</v>
      </c>
      <c r="P251" s="17">
        <v>1</v>
      </c>
      <c r="Q251" s="19">
        <v>382</v>
      </c>
      <c r="R251" s="14">
        <v>200</v>
      </c>
      <c r="S251" s="19">
        <f t="shared" si="42"/>
        <v>76400</v>
      </c>
      <c r="AE251" s="17" t="s">
        <v>95</v>
      </c>
      <c r="AG251" s="22">
        <f t="shared" si="44"/>
        <v>0</v>
      </c>
      <c r="AJ251" s="20">
        <f t="shared" si="39"/>
        <v>0</v>
      </c>
      <c r="AM251" s="20">
        <f t="shared" si="40"/>
        <v>0</v>
      </c>
      <c r="AN251" s="20">
        <f t="shared" si="45"/>
        <v>76400</v>
      </c>
      <c r="AP251" s="20">
        <f t="shared" si="41"/>
        <v>76400</v>
      </c>
      <c r="AQ251" s="12">
        <v>1E-4</v>
      </c>
      <c r="AR251" s="20"/>
    </row>
    <row r="252" spans="1:45" s="21" customFormat="1" ht="30" customHeight="1" x14ac:dyDescent="0.2">
      <c r="A252" s="8">
        <v>214</v>
      </c>
      <c r="B252" s="46">
        <v>1</v>
      </c>
      <c r="C252" s="16" t="s">
        <v>52</v>
      </c>
      <c r="D252" s="48">
        <v>3417</v>
      </c>
      <c r="E252" s="47">
        <v>14</v>
      </c>
      <c r="F252" s="48">
        <v>2191</v>
      </c>
      <c r="G252" s="49">
        <v>2</v>
      </c>
      <c r="H252" s="48">
        <v>1</v>
      </c>
      <c r="I252" s="48">
        <v>2</v>
      </c>
      <c r="J252" s="48">
        <v>79.08</v>
      </c>
      <c r="K252" s="3"/>
      <c r="L252" s="16">
        <v>679.08</v>
      </c>
      <c r="M252" s="57"/>
      <c r="N252" s="58"/>
      <c r="P252" s="16">
        <v>2</v>
      </c>
      <c r="Q252" s="20">
        <v>679.1</v>
      </c>
      <c r="R252" s="14">
        <v>200</v>
      </c>
      <c r="S252" s="19">
        <f t="shared" si="42"/>
        <v>135820</v>
      </c>
      <c r="T252" s="16"/>
      <c r="U252" s="16" t="s">
        <v>57</v>
      </c>
      <c r="V252" s="16" t="s">
        <v>56</v>
      </c>
      <c r="W252" s="5"/>
      <c r="X252" s="16"/>
      <c r="Y252" s="5">
        <v>98.25</v>
      </c>
      <c r="Z252" s="16"/>
      <c r="AA252" s="16"/>
      <c r="AB252" s="16"/>
      <c r="AE252" s="16"/>
      <c r="AF252" s="21">
        <v>2</v>
      </c>
      <c r="AG252" s="22">
        <f t="shared" si="44"/>
        <v>98.25</v>
      </c>
      <c r="AH252" s="6">
        <v>1</v>
      </c>
      <c r="AI252" s="21">
        <v>7250</v>
      </c>
      <c r="AJ252" s="20">
        <f t="shared" si="39"/>
        <v>712312.5</v>
      </c>
      <c r="AK252" s="50"/>
      <c r="AL252" s="6"/>
      <c r="AM252" s="20">
        <f t="shared" si="40"/>
        <v>712312.5</v>
      </c>
      <c r="AN252" s="20">
        <f t="shared" si="45"/>
        <v>848132.5</v>
      </c>
      <c r="AP252" s="20">
        <f t="shared" si="41"/>
        <v>848132.5</v>
      </c>
      <c r="AQ252" s="7"/>
      <c r="AR252" s="20"/>
      <c r="AS252" s="51"/>
    </row>
    <row r="253" spans="1:45" s="21" customFormat="1" ht="30" customHeight="1" x14ac:dyDescent="0.2">
      <c r="A253" s="8">
        <v>215</v>
      </c>
      <c r="B253" s="46">
        <v>2</v>
      </c>
      <c r="C253" s="16" t="s">
        <v>52</v>
      </c>
      <c r="D253" s="48">
        <v>1869</v>
      </c>
      <c r="E253" s="47">
        <v>110</v>
      </c>
      <c r="F253" s="48">
        <v>1259</v>
      </c>
      <c r="G253" s="49"/>
      <c r="H253" s="48">
        <v>5</v>
      </c>
      <c r="I253" s="48">
        <v>0</v>
      </c>
      <c r="J253" s="48">
        <v>28</v>
      </c>
      <c r="K253" s="3">
        <v>2028</v>
      </c>
      <c r="L253" s="16"/>
      <c r="M253" s="57"/>
      <c r="N253" s="58"/>
      <c r="P253" s="16">
        <v>1</v>
      </c>
      <c r="Q253" s="20">
        <v>2028</v>
      </c>
      <c r="R253" s="14">
        <v>160</v>
      </c>
      <c r="S253" s="20">
        <f t="shared" si="42"/>
        <v>324480</v>
      </c>
      <c r="T253" s="16"/>
      <c r="U253" s="17"/>
      <c r="V253" s="16"/>
      <c r="W253" s="5"/>
      <c r="X253" s="16"/>
      <c r="Y253" s="5"/>
      <c r="Z253" s="16"/>
      <c r="AA253" s="16"/>
      <c r="AB253" s="16"/>
      <c r="AE253" s="16"/>
      <c r="AG253" s="22">
        <f t="shared" si="44"/>
        <v>0</v>
      </c>
      <c r="AH253" s="6"/>
      <c r="AJ253" s="20">
        <f t="shared" si="39"/>
        <v>0</v>
      </c>
      <c r="AK253" s="50"/>
      <c r="AL253" s="6"/>
      <c r="AM253" s="20">
        <f t="shared" si="40"/>
        <v>0</v>
      </c>
      <c r="AN253" s="20">
        <f t="shared" si="45"/>
        <v>324480</v>
      </c>
      <c r="AP253" s="20">
        <f t="shared" si="41"/>
        <v>324480</v>
      </c>
      <c r="AQ253" s="7"/>
      <c r="AR253" s="20"/>
      <c r="AS253" s="51"/>
    </row>
    <row r="254" spans="1:45" s="21" customFormat="1" ht="30" customHeight="1" x14ac:dyDescent="0.2">
      <c r="A254" s="8">
        <v>216</v>
      </c>
      <c r="B254" s="46">
        <v>1</v>
      </c>
      <c r="C254" s="16" t="s">
        <v>52</v>
      </c>
      <c r="D254" s="48">
        <v>5034</v>
      </c>
      <c r="E254" s="47">
        <v>35</v>
      </c>
      <c r="F254" s="48">
        <v>2816</v>
      </c>
      <c r="G254" s="49">
        <v>7</v>
      </c>
      <c r="H254" s="48">
        <v>0</v>
      </c>
      <c r="I254" s="48">
        <v>2</v>
      </c>
      <c r="J254" s="48">
        <v>0</v>
      </c>
      <c r="K254" s="3">
        <v>200</v>
      </c>
      <c r="L254" s="16"/>
      <c r="M254" s="57"/>
      <c r="N254" s="58"/>
      <c r="P254" s="16">
        <v>1</v>
      </c>
      <c r="Q254" s="20">
        <v>200</v>
      </c>
      <c r="R254" s="14">
        <v>160</v>
      </c>
      <c r="S254" s="19">
        <f t="shared" si="42"/>
        <v>32000</v>
      </c>
      <c r="T254" s="16"/>
      <c r="U254" s="17"/>
      <c r="V254" s="17"/>
      <c r="W254" s="4"/>
      <c r="X254" s="16"/>
      <c r="Y254" s="5"/>
      <c r="Z254" s="16"/>
      <c r="AA254" s="16"/>
      <c r="AB254" s="16"/>
      <c r="AE254" s="16"/>
      <c r="AG254" s="22">
        <f t="shared" si="44"/>
        <v>0</v>
      </c>
      <c r="AH254" s="6"/>
      <c r="AJ254" s="20">
        <f t="shared" si="39"/>
        <v>0</v>
      </c>
      <c r="AK254" s="50"/>
      <c r="AL254" s="6"/>
      <c r="AM254" s="20">
        <f t="shared" si="40"/>
        <v>0</v>
      </c>
      <c r="AN254" s="20">
        <f t="shared" si="45"/>
        <v>32000</v>
      </c>
      <c r="AP254" s="20">
        <f t="shared" si="41"/>
        <v>32000</v>
      </c>
      <c r="AQ254" s="7"/>
      <c r="AR254" s="20"/>
      <c r="AS254" s="51">
        <v>3</v>
      </c>
    </row>
    <row r="255" spans="1:45" ht="30" customHeight="1" x14ac:dyDescent="0.2">
      <c r="A255" s="8"/>
      <c r="C255" s="16"/>
      <c r="AC255" s="21"/>
      <c r="AD255" s="21"/>
      <c r="AG255" s="22"/>
      <c r="AJ255" s="20"/>
      <c r="AM255" s="20"/>
      <c r="AN255" s="20"/>
      <c r="AP255" s="20"/>
      <c r="AR255" s="20"/>
    </row>
    <row r="256" spans="1:45" s="21" customFormat="1" ht="30" customHeight="1" x14ac:dyDescent="0.2">
      <c r="A256" s="8">
        <v>217</v>
      </c>
      <c r="B256" s="46">
        <v>1</v>
      </c>
      <c r="C256" s="16" t="s">
        <v>52</v>
      </c>
      <c r="D256" s="48">
        <v>37840</v>
      </c>
      <c r="E256" s="47">
        <v>128</v>
      </c>
      <c r="F256" s="48">
        <v>7664</v>
      </c>
      <c r="G256" s="49">
        <v>4</v>
      </c>
      <c r="H256" s="48">
        <v>0</v>
      </c>
      <c r="I256" s="48">
        <v>1</v>
      </c>
      <c r="J256" s="48">
        <v>7</v>
      </c>
      <c r="K256" s="3">
        <v>107</v>
      </c>
      <c r="L256" s="16"/>
      <c r="M256" s="57"/>
      <c r="N256" s="58"/>
      <c r="P256" s="16">
        <v>1</v>
      </c>
      <c r="Q256" s="20">
        <v>107</v>
      </c>
      <c r="R256" s="14">
        <v>250</v>
      </c>
      <c r="S256" s="20">
        <f t="shared" si="42"/>
        <v>26750</v>
      </c>
      <c r="T256" s="16"/>
      <c r="U256" s="17"/>
      <c r="V256" s="17"/>
      <c r="W256" s="4"/>
      <c r="X256" s="16"/>
      <c r="Y256" s="5"/>
      <c r="Z256" s="16"/>
      <c r="AA256" s="16"/>
      <c r="AB256" s="16"/>
      <c r="AE256" s="16"/>
      <c r="AG256" s="22">
        <f t="shared" si="44"/>
        <v>0</v>
      </c>
      <c r="AH256" s="6"/>
      <c r="AJ256" s="20">
        <f t="shared" si="39"/>
        <v>0</v>
      </c>
      <c r="AK256" s="50"/>
      <c r="AL256" s="6"/>
      <c r="AM256" s="20">
        <f t="shared" si="40"/>
        <v>0</v>
      </c>
      <c r="AN256" s="20">
        <f t="shared" si="45"/>
        <v>26750</v>
      </c>
      <c r="AP256" s="20">
        <f t="shared" si="41"/>
        <v>26750</v>
      </c>
      <c r="AQ256" s="7"/>
      <c r="AR256" s="20"/>
      <c r="AS256" s="51"/>
    </row>
    <row r="257" spans="1:45" s="21" customFormat="1" ht="30" customHeight="1" x14ac:dyDescent="0.2">
      <c r="A257" s="8">
        <v>218</v>
      </c>
      <c r="B257" s="13">
        <v>1</v>
      </c>
      <c r="C257" s="16" t="s">
        <v>52</v>
      </c>
      <c r="D257" s="48">
        <v>35432</v>
      </c>
      <c r="E257" s="47">
        <v>327</v>
      </c>
      <c r="F257" s="48">
        <v>7041</v>
      </c>
      <c r="G257" s="49">
        <v>1</v>
      </c>
      <c r="H257" s="48">
        <v>0</v>
      </c>
      <c r="I257" s="48">
        <v>0</v>
      </c>
      <c r="J257" s="48">
        <v>90</v>
      </c>
      <c r="K257" s="3">
        <v>90</v>
      </c>
      <c r="L257" s="16"/>
      <c r="M257" s="57"/>
      <c r="N257" s="58"/>
      <c r="P257" s="16">
        <v>1</v>
      </c>
      <c r="Q257" s="20">
        <v>90</v>
      </c>
      <c r="R257" s="14">
        <v>160</v>
      </c>
      <c r="S257" s="19">
        <f t="shared" si="42"/>
        <v>14400</v>
      </c>
      <c r="T257" s="16"/>
      <c r="U257" s="17"/>
      <c r="V257" s="17"/>
      <c r="W257" s="4"/>
      <c r="X257" s="16"/>
      <c r="Y257" s="5"/>
      <c r="Z257" s="16"/>
      <c r="AA257" s="16"/>
      <c r="AB257" s="16"/>
      <c r="AE257" s="16"/>
      <c r="AG257" s="22">
        <f t="shared" si="44"/>
        <v>0</v>
      </c>
      <c r="AH257" s="6"/>
      <c r="AJ257" s="20">
        <f t="shared" si="39"/>
        <v>0</v>
      </c>
      <c r="AK257" s="50"/>
      <c r="AL257" s="6"/>
      <c r="AM257" s="20">
        <f t="shared" si="40"/>
        <v>0</v>
      </c>
      <c r="AN257" s="20">
        <f t="shared" si="45"/>
        <v>14400</v>
      </c>
      <c r="AP257" s="20">
        <f t="shared" si="41"/>
        <v>14400</v>
      </c>
      <c r="AQ257" s="7"/>
      <c r="AR257" s="20"/>
      <c r="AS257" s="51"/>
    </row>
    <row r="258" spans="1:45" s="21" customFormat="1" ht="30" customHeight="1" x14ac:dyDescent="0.2">
      <c r="A258" s="8">
        <v>219</v>
      </c>
      <c r="B258" s="46">
        <v>1</v>
      </c>
      <c r="C258" s="16" t="s">
        <v>52</v>
      </c>
      <c r="D258" s="48">
        <v>2995</v>
      </c>
      <c r="E258" s="47">
        <v>5</v>
      </c>
      <c r="F258" s="48">
        <v>2063</v>
      </c>
      <c r="G258" s="49">
        <v>2</v>
      </c>
      <c r="H258" s="48">
        <v>0</v>
      </c>
      <c r="I258" s="48">
        <v>1</v>
      </c>
      <c r="J258" s="48">
        <v>45</v>
      </c>
      <c r="K258" s="3"/>
      <c r="L258" s="16">
        <v>145</v>
      </c>
      <c r="M258" s="57"/>
      <c r="N258" s="58"/>
      <c r="P258" s="16">
        <v>2</v>
      </c>
      <c r="Q258" s="20">
        <v>145</v>
      </c>
      <c r="R258" s="14">
        <v>250</v>
      </c>
      <c r="S258" s="19">
        <f t="shared" si="42"/>
        <v>36250</v>
      </c>
      <c r="T258" s="16"/>
      <c r="U258" s="17" t="s">
        <v>57</v>
      </c>
      <c r="V258" s="17" t="s">
        <v>56</v>
      </c>
      <c r="W258" s="4"/>
      <c r="X258" s="16"/>
      <c r="Y258" s="5">
        <v>120</v>
      </c>
      <c r="Z258" s="16"/>
      <c r="AA258" s="16"/>
      <c r="AB258" s="16"/>
      <c r="AE258" s="16"/>
      <c r="AF258" s="21">
        <v>2</v>
      </c>
      <c r="AG258" s="22">
        <f t="shared" si="44"/>
        <v>120</v>
      </c>
      <c r="AH258" s="6">
        <v>1</v>
      </c>
      <c r="AI258" s="21">
        <v>7250</v>
      </c>
      <c r="AJ258" s="20">
        <f t="shared" si="39"/>
        <v>870000</v>
      </c>
      <c r="AK258" s="50"/>
      <c r="AL258" s="6"/>
      <c r="AM258" s="20">
        <f t="shared" si="40"/>
        <v>870000</v>
      </c>
      <c r="AN258" s="20">
        <f t="shared" si="45"/>
        <v>906250</v>
      </c>
      <c r="AP258" s="20">
        <f t="shared" si="41"/>
        <v>906250</v>
      </c>
      <c r="AQ258" s="7"/>
      <c r="AR258" s="20"/>
      <c r="AS258" s="51"/>
    </row>
    <row r="259" spans="1:45" s="21" customFormat="1" ht="30" customHeight="1" x14ac:dyDescent="0.2">
      <c r="A259" s="8">
        <v>220</v>
      </c>
      <c r="B259" s="13">
        <v>1</v>
      </c>
      <c r="C259" s="16" t="s">
        <v>52</v>
      </c>
      <c r="D259" s="48">
        <v>4657</v>
      </c>
      <c r="E259" s="47">
        <v>35</v>
      </c>
      <c r="F259" s="48">
        <v>2483</v>
      </c>
      <c r="G259" s="49">
        <v>1</v>
      </c>
      <c r="H259" s="48">
        <v>8</v>
      </c>
      <c r="I259" s="48">
        <v>1</v>
      </c>
      <c r="J259" s="48">
        <v>77</v>
      </c>
      <c r="K259" s="3">
        <f>(8*400)+100+77</f>
        <v>3377</v>
      </c>
      <c r="L259" s="16"/>
      <c r="M259" s="57"/>
      <c r="N259" s="58"/>
      <c r="P259" s="16">
        <v>1</v>
      </c>
      <c r="Q259" s="20">
        <v>3377</v>
      </c>
      <c r="R259" s="14">
        <v>160</v>
      </c>
      <c r="S259" s="20">
        <f t="shared" si="42"/>
        <v>540320</v>
      </c>
      <c r="T259" s="16"/>
      <c r="U259" s="17"/>
      <c r="V259" s="17"/>
      <c r="W259" s="4"/>
      <c r="X259" s="16"/>
      <c r="Y259" s="5"/>
      <c r="Z259" s="16"/>
      <c r="AA259" s="16"/>
      <c r="AB259" s="16"/>
      <c r="AE259" s="16"/>
      <c r="AG259" s="22">
        <f t="shared" si="44"/>
        <v>0</v>
      </c>
      <c r="AH259" s="6"/>
      <c r="AJ259" s="20">
        <f t="shared" si="39"/>
        <v>0</v>
      </c>
      <c r="AK259" s="50"/>
      <c r="AL259" s="6"/>
      <c r="AM259" s="20">
        <f t="shared" si="40"/>
        <v>0</v>
      </c>
      <c r="AN259" s="20">
        <f t="shared" si="45"/>
        <v>540320</v>
      </c>
      <c r="AP259" s="20">
        <f t="shared" si="41"/>
        <v>540320</v>
      </c>
      <c r="AQ259" s="7"/>
      <c r="AR259" s="20"/>
      <c r="AS259" s="51">
        <v>46</v>
      </c>
    </row>
    <row r="260" spans="1:45" s="21" customFormat="1" ht="30" customHeight="1" x14ac:dyDescent="0.2">
      <c r="A260" s="8">
        <v>221</v>
      </c>
      <c r="B260" s="46">
        <v>1</v>
      </c>
      <c r="C260" s="16" t="s">
        <v>52</v>
      </c>
      <c r="D260" s="48">
        <v>907</v>
      </c>
      <c r="E260" s="47">
        <v>33</v>
      </c>
      <c r="F260" s="48">
        <v>205</v>
      </c>
      <c r="G260" s="49">
        <v>1</v>
      </c>
      <c r="H260" s="48">
        <v>0</v>
      </c>
      <c r="I260" s="48">
        <v>1</v>
      </c>
      <c r="J260" s="48">
        <v>2</v>
      </c>
      <c r="K260" s="3"/>
      <c r="L260" s="16">
        <v>102</v>
      </c>
      <c r="M260" s="57"/>
      <c r="N260" s="58"/>
      <c r="P260" s="16">
        <v>2</v>
      </c>
      <c r="Q260" s="20">
        <v>102</v>
      </c>
      <c r="R260" s="14">
        <v>250</v>
      </c>
      <c r="S260" s="19">
        <f t="shared" si="42"/>
        <v>25500</v>
      </c>
      <c r="T260" s="16"/>
      <c r="U260" s="16"/>
      <c r="V260" s="16"/>
      <c r="W260" s="5"/>
      <c r="X260" s="16"/>
      <c r="Y260" s="5">
        <v>108</v>
      </c>
      <c r="Z260" s="16"/>
      <c r="AA260" s="16"/>
      <c r="AB260" s="16"/>
      <c r="AE260" s="16"/>
      <c r="AF260" s="21">
        <v>2</v>
      </c>
      <c r="AG260" s="22">
        <f t="shared" si="44"/>
        <v>108</v>
      </c>
      <c r="AH260" s="6">
        <v>1</v>
      </c>
      <c r="AI260" s="21">
        <v>7250</v>
      </c>
      <c r="AJ260" s="20">
        <f t="shared" si="39"/>
        <v>783000</v>
      </c>
      <c r="AK260" s="50"/>
      <c r="AL260" s="6"/>
      <c r="AM260" s="20">
        <f t="shared" si="40"/>
        <v>783000</v>
      </c>
      <c r="AN260" s="20">
        <f t="shared" si="45"/>
        <v>808500</v>
      </c>
      <c r="AP260" s="20">
        <f t="shared" si="41"/>
        <v>808500</v>
      </c>
      <c r="AQ260" s="7"/>
      <c r="AR260" s="60"/>
      <c r="AS260" s="128">
        <v>2</v>
      </c>
    </row>
    <row r="261" spans="1:45" s="21" customFormat="1" ht="30" customHeight="1" x14ac:dyDescent="0.2">
      <c r="A261" s="8">
        <v>222</v>
      </c>
      <c r="B261" s="46">
        <v>2</v>
      </c>
      <c r="C261" s="16" t="s">
        <v>52</v>
      </c>
      <c r="D261" s="48">
        <v>12958</v>
      </c>
      <c r="E261" s="47">
        <v>150</v>
      </c>
      <c r="F261" s="48">
        <v>3281</v>
      </c>
      <c r="G261" s="49">
        <v>1</v>
      </c>
      <c r="H261" s="48">
        <v>0</v>
      </c>
      <c r="I261" s="48">
        <v>0</v>
      </c>
      <c r="J261" s="48">
        <v>95</v>
      </c>
      <c r="K261" s="3"/>
      <c r="L261" s="16"/>
      <c r="M261" s="57"/>
      <c r="N261" s="58"/>
      <c r="P261" s="16">
        <v>2</v>
      </c>
      <c r="Q261" s="20">
        <v>95</v>
      </c>
      <c r="R261" s="14">
        <v>250</v>
      </c>
      <c r="S261" s="19">
        <f t="shared" si="42"/>
        <v>23750</v>
      </c>
      <c r="T261" s="16"/>
      <c r="U261" s="17"/>
      <c r="V261" s="16"/>
      <c r="W261" s="5"/>
      <c r="X261" s="16"/>
      <c r="Y261" s="5">
        <v>94.5</v>
      </c>
      <c r="Z261" s="16"/>
      <c r="AA261" s="16"/>
      <c r="AB261" s="16"/>
      <c r="AE261" s="16"/>
      <c r="AF261" s="21">
        <v>2</v>
      </c>
      <c r="AG261" s="22">
        <f t="shared" si="44"/>
        <v>94.5</v>
      </c>
      <c r="AH261" s="6">
        <v>1</v>
      </c>
      <c r="AI261" s="21">
        <v>7250</v>
      </c>
      <c r="AJ261" s="20">
        <f t="shared" si="39"/>
        <v>685125</v>
      </c>
      <c r="AK261" s="50"/>
      <c r="AL261" s="6"/>
      <c r="AM261" s="20">
        <f t="shared" si="40"/>
        <v>685125</v>
      </c>
      <c r="AN261" s="20">
        <f t="shared" si="45"/>
        <v>708875</v>
      </c>
      <c r="AP261" s="20">
        <f t="shared" si="41"/>
        <v>708875</v>
      </c>
      <c r="AQ261" s="7"/>
      <c r="AR261" s="24"/>
      <c r="AS261" s="129"/>
    </row>
    <row r="262" spans="1:45" s="21" customFormat="1" ht="30" customHeight="1" x14ac:dyDescent="0.2">
      <c r="A262" s="8">
        <v>223</v>
      </c>
      <c r="B262" s="46">
        <v>3</v>
      </c>
      <c r="C262" s="16" t="s">
        <v>52</v>
      </c>
      <c r="D262" s="48">
        <v>30992</v>
      </c>
      <c r="E262" s="47">
        <v>161</v>
      </c>
      <c r="F262" s="48">
        <v>5944</v>
      </c>
      <c r="G262" s="49">
        <v>2</v>
      </c>
      <c r="H262" s="48">
        <v>0</v>
      </c>
      <c r="I262" s="48">
        <v>1</v>
      </c>
      <c r="J262" s="48">
        <v>48.06</v>
      </c>
      <c r="K262" s="3">
        <v>148.06</v>
      </c>
      <c r="L262" s="16"/>
      <c r="M262" s="57"/>
      <c r="N262" s="58"/>
      <c r="P262" s="16">
        <v>1</v>
      </c>
      <c r="Q262" s="20">
        <v>148.06</v>
      </c>
      <c r="R262" s="14">
        <v>200</v>
      </c>
      <c r="S262" s="20">
        <f t="shared" si="42"/>
        <v>29612</v>
      </c>
      <c r="T262" s="16"/>
      <c r="U262" s="17"/>
      <c r="V262" s="17"/>
      <c r="W262" s="4"/>
      <c r="X262" s="16"/>
      <c r="Y262" s="5"/>
      <c r="Z262" s="16"/>
      <c r="AA262" s="16"/>
      <c r="AB262" s="16"/>
      <c r="AC262" s="14"/>
      <c r="AD262" s="14"/>
      <c r="AE262" s="16"/>
      <c r="AG262" s="22">
        <f t="shared" si="44"/>
        <v>0</v>
      </c>
      <c r="AH262" s="6"/>
      <c r="AJ262" s="20">
        <f t="shared" si="39"/>
        <v>0</v>
      </c>
      <c r="AK262" s="50"/>
      <c r="AL262" s="6"/>
      <c r="AM262" s="20">
        <f t="shared" si="40"/>
        <v>0</v>
      </c>
      <c r="AN262" s="20">
        <f t="shared" si="45"/>
        <v>29612</v>
      </c>
      <c r="AP262" s="20">
        <f t="shared" si="41"/>
        <v>29612</v>
      </c>
      <c r="AQ262" s="7"/>
      <c r="AR262" s="24"/>
      <c r="AS262" s="129"/>
    </row>
    <row r="263" spans="1:45" s="21" customFormat="1" ht="30" customHeight="1" x14ac:dyDescent="0.2">
      <c r="A263" s="8">
        <v>224</v>
      </c>
      <c r="B263" s="46">
        <v>4</v>
      </c>
      <c r="C263" s="16" t="s">
        <v>52</v>
      </c>
      <c r="D263" s="48">
        <v>30993</v>
      </c>
      <c r="E263" s="47">
        <v>162</v>
      </c>
      <c r="F263" s="48">
        <v>5945</v>
      </c>
      <c r="G263" s="49">
        <v>2</v>
      </c>
      <c r="H263" s="48">
        <v>0</v>
      </c>
      <c r="I263" s="48">
        <v>1</v>
      </c>
      <c r="J263" s="48">
        <v>74.05</v>
      </c>
      <c r="K263" s="3">
        <v>174.05</v>
      </c>
      <c r="L263" s="16"/>
      <c r="M263" s="57"/>
      <c r="N263" s="58"/>
      <c r="P263" s="16">
        <v>1</v>
      </c>
      <c r="Q263" s="20">
        <f>+K263</f>
        <v>174.05</v>
      </c>
      <c r="R263" s="14">
        <v>200</v>
      </c>
      <c r="S263" s="19">
        <f t="shared" si="42"/>
        <v>34810</v>
      </c>
      <c r="T263" s="16"/>
      <c r="U263" s="17"/>
      <c r="V263" s="17"/>
      <c r="W263" s="4"/>
      <c r="X263" s="16"/>
      <c r="Y263" s="5"/>
      <c r="Z263" s="16"/>
      <c r="AA263" s="16"/>
      <c r="AB263" s="16"/>
      <c r="AE263" s="16"/>
      <c r="AG263" s="22">
        <f t="shared" si="44"/>
        <v>0</v>
      </c>
      <c r="AH263" s="6"/>
      <c r="AJ263" s="20">
        <f t="shared" si="39"/>
        <v>0</v>
      </c>
      <c r="AK263" s="50"/>
      <c r="AL263" s="6"/>
      <c r="AM263" s="20">
        <f t="shared" si="40"/>
        <v>0</v>
      </c>
      <c r="AN263" s="20">
        <f t="shared" si="45"/>
        <v>34810</v>
      </c>
      <c r="AP263" s="20">
        <f t="shared" si="41"/>
        <v>34810</v>
      </c>
      <c r="AQ263" s="7"/>
      <c r="AR263" s="24"/>
      <c r="AS263" s="129"/>
    </row>
    <row r="264" spans="1:45" s="21" customFormat="1" ht="30" customHeight="1" x14ac:dyDescent="0.2">
      <c r="A264" s="8">
        <v>225</v>
      </c>
      <c r="B264" s="46">
        <v>5</v>
      </c>
      <c r="C264" s="16" t="s">
        <v>52</v>
      </c>
      <c r="D264" s="48">
        <v>30994</v>
      </c>
      <c r="E264" s="47">
        <v>163</v>
      </c>
      <c r="F264" s="48">
        <v>5946</v>
      </c>
      <c r="G264" s="49">
        <v>2</v>
      </c>
      <c r="H264" s="48">
        <v>6</v>
      </c>
      <c r="I264" s="48">
        <v>0</v>
      </c>
      <c r="J264" s="48">
        <v>24.03</v>
      </c>
      <c r="K264" s="3">
        <v>2424.0300000000002</v>
      </c>
      <c r="L264" s="16"/>
      <c r="M264" s="57"/>
      <c r="N264" s="58"/>
      <c r="P264" s="16">
        <v>1</v>
      </c>
      <c r="Q264" s="20">
        <f>+K264</f>
        <v>2424.0300000000002</v>
      </c>
      <c r="R264" s="14">
        <v>160</v>
      </c>
      <c r="S264" s="19">
        <f t="shared" si="42"/>
        <v>387844.80000000005</v>
      </c>
      <c r="T264" s="16"/>
      <c r="U264" s="17"/>
      <c r="V264" s="17"/>
      <c r="W264" s="4"/>
      <c r="X264" s="16"/>
      <c r="Y264" s="5"/>
      <c r="Z264" s="16"/>
      <c r="AA264" s="16"/>
      <c r="AB264" s="16"/>
      <c r="AC264" s="14"/>
      <c r="AD264" s="14"/>
      <c r="AE264" s="16"/>
      <c r="AG264" s="22">
        <f t="shared" si="44"/>
        <v>0</v>
      </c>
      <c r="AH264" s="6"/>
      <c r="AJ264" s="20">
        <f t="shared" si="39"/>
        <v>0</v>
      </c>
      <c r="AK264" s="50"/>
      <c r="AL264" s="6"/>
      <c r="AM264" s="20">
        <f t="shared" si="40"/>
        <v>0</v>
      </c>
      <c r="AN264" s="20">
        <f t="shared" si="45"/>
        <v>387844.80000000005</v>
      </c>
      <c r="AP264" s="20">
        <f t="shared" si="41"/>
        <v>387844.80000000005</v>
      </c>
      <c r="AQ264" s="7"/>
      <c r="AR264" s="24"/>
      <c r="AS264" s="129"/>
    </row>
    <row r="265" spans="1:45" ht="30" customHeight="1" x14ac:dyDescent="0.2">
      <c r="A265" s="8">
        <v>226</v>
      </c>
      <c r="B265" s="13">
        <v>6</v>
      </c>
      <c r="C265" s="16" t="s">
        <v>65</v>
      </c>
      <c r="D265" s="17">
        <v>829</v>
      </c>
      <c r="E265" s="17">
        <v>94</v>
      </c>
      <c r="H265" s="17">
        <v>6</v>
      </c>
      <c r="I265" s="17">
        <v>3</v>
      </c>
      <c r="J265" s="17">
        <v>26</v>
      </c>
      <c r="K265" s="10">
        <v>2726</v>
      </c>
      <c r="P265" s="17">
        <v>1</v>
      </c>
      <c r="Q265" s="19">
        <f>+K265</f>
        <v>2726</v>
      </c>
      <c r="R265" s="14">
        <v>200</v>
      </c>
      <c r="S265" s="20">
        <f t="shared" si="42"/>
        <v>545200</v>
      </c>
      <c r="AE265" s="17" t="s">
        <v>94</v>
      </c>
      <c r="AG265" s="22">
        <f t="shared" si="44"/>
        <v>0</v>
      </c>
      <c r="AJ265" s="20">
        <f t="shared" si="39"/>
        <v>0</v>
      </c>
      <c r="AM265" s="20">
        <f t="shared" si="40"/>
        <v>0</v>
      </c>
      <c r="AN265" s="20">
        <f t="shared" si="45"/>
        <v>545200</v>
      </c>
      <c r="AP265" s="20">
        <f t="shared" si="41"/>
        <v>545200</v>
      </c>
      <c r="AQ265" s="12">
        <v>1E-4</v>
      </c>
      <c r="AR265" s="25"/>
      <c r="AS265" s="130"/>
    </row>
    <row r="266" spans="1:45" s="21" customFormat="1" ht="30" customHeight="1" x14ac:dyDescent="0.2">
      <c r="A266" s="9">
        <v>227</v>
      </c>
      <c r="B266" s="46">
        <v>1</v>
      </c>
      <c r="C266" s="16" t="s">
        <v>52</v>
      </c>
      <c r="D266" s="48">
        <v>1643</v>
      </c>
      <c r="E266" s="47">
        <v>18</v>
      </c>
      <c r="F266" s="48">
        <v>1441</v>
      </c>
      <c r="G266" s="49">
        <v>3</v>
      </c>
      <c r="H266" s="48">
        <v>3</v>
      </c>
      <c r="I266" s="48">
        <v>3</v>
      </c>
      <c r="J266" s="48">
        <v>59</v>
      </c>
      <c r="K266" s="3"/>
      <c r="L266" s="16">
        <f>1200+300+59</f>
        <v>1559</v>
      </c>
      <c r="M266" s="57"/>
      <c r="N266" s="58"/>
      <c r="P266" s="16">
        <v>2</v>
      </c>
      <c r="Q266" s="20">
        <f>+L266</f>
        <v>1559</v>
      </c>
      <c r="R266" s="14">
        <v>160</v>
      </c>
      <c r="S266" s="19">
        <f t="shared" si="42"/>
        <v>249440</v>
      </c>
      <c r="T266" s="16">
        <v>1</v>
      </c>
      <c r="U266" s="17" t="s">
        <v>57</v>
      </c>
      <c r="V266" s="17" t="s">
        <v>88</v>
      </c>
      <c r="W266" s="4"/>
      <c r="X266" s="16"/>
      <c r="Y266" s="5">
        <v>147.25</v>
      </c>
      <c r="Z266" s="16"/>
      <c r="AA266" s="16"/>
      <c r="AB266" s="16"/>
      <c r="AC266" s="14"/>
      <c r="AD266" s="14"/>
      <c r="AE266" s="16"/>
      <c r="AF266" s="21">
        <v>2</v>
      </c>
      <c r="AG266" s="22">
        <f t="shared" si="44"/>
        <v>147.25</v>
      </c>
      <c r="AH266" s="6">
        <v>1</v>
      </c>
      <c r="AI266" s="21">
        <v>7250</v>
      </c>
      <c r="AJ266" s="20">
        <f t="shared" si="39"/>
        <v>1067562.5</v>
      </c>
      <c r="AK266" s="50"/>
      <c r="AL266" s="6"/>
      <c r="AM266" s="20">
        <f t="shared" si="40"/>
        <v>1067562.5</v>
      </c>
      <c r="AN266" s="20">
        <f t="shared" si="45"/>
        <v>1317002.5</v>
      </c>
      <c r="AP266" s="20">
        <f t="shared" si="41"/>
        <v>1317002.5</v>
      </c>
      <c r="AQ266" s="7"/>
      <c r="AR266" s="20"/>
      <c r="AS266" s="51"/>
    </row>
    <row r="267" spans="1:45" ht="30" customHeight="1" x14ac:dyDescent="0.2">
      <c r="C267" s="16"/>
      <c r="AC267" s="21"/>
      <c r="AD267" s="21"/>
      <c r="AG267" s="22"/>
      <c r="AJ267" s="20"/>
      <c r="AM267" s="20"/>
      <c r="AN267" s="20"/>
      <c r="AP267" s="20"/>
      <c r="AR267" s="20"/>
    </row>
    <row r="268" spans="1:45" s="21" customFormat="1" ht="30" customHeight="1" x14ac:dyDescent="0.2">
      <c r="A268" s="8">
        <v>228</v>
      </c>
      <c r="B268" s="46">
        <v>1</v>
      </c>
      <c r="C268" s="16" t="s">
        <v>52</v>
      </c>
      <c r="D268" s="48">
        <v>28814</v>
      </c>
      <c r="E268" s="47">
        <v>217</v>
      </c>
      <c r="F268" s="48">
        <v>5469</v>
      </c>
      <c r="G268" s="49"/>
      <c r="H268" s="48">
        <v>0</v>
      </c>
      <c r="I268" s="48">
        <v>1</v>
      </c>
      <c r="J268" s="48">
        <v>89</v>
      </c>
      <c r="K268" s="3">
        <v>189</v>
      </c>
      <c r="L268" s="16"/>
      <c r="M268" s="57"/>
      <c r="N268" s="58"/>
      <c r="P268" s="16">
        <v>1</v>
      </c>
      <c r="Q268" s="20">
        <f>+K268</f>
        <v>189</v>
      </c>
      <c r="R268" s="14">
        <v>160</v>
      </c>
      <c r="S268" s="19">
        <f t="shared" si="42"/>
        <v>30240</v>
      </c>
      <c r="T268" s="16"/>
      <c r="U268" s="17"/>
      <c r="V268" s="17"/>
      <c r="W268" s="4"/>
      <c r="X268" s="16"/>
      <c r="Y268" s="5"/>
      <c r="Z268" s="16"/>
      <c r="AA268" s="16"/>
      <c r="AB268" s="16"/>
      <c r="AC268" s="14"/>
      <c r="AD268" s="14"/>
      <c r="AE268" s="16"/>
      <c r="AG268" s="22">
        <f t="shared" si="44"/>
        <v>0</v>
      </c>
      <c r="AH268" s="6"/>
      <c r="AJ268" s="20">
        <f t="shared" si="39"/>
        <v>0</v>
      </c>
      <c r="AK268" s="50"/>
      <c r="AL268" s="6"/>
      <c r="AM268" s="20">
        <f t="shared" si="40"/>
        <v>0</v>
      </c>
      <c r="AN268" s="20">
        <f t="shared" si="45"/>
        <v>30240</v>
      </c>
      <c r="AP268" s="20">
        <f t="shared" si="41"/>
        <v>30240</v>
      </c>
      <c r="AQ268" s="7"/>
      <c r="AR268" s="20"/>
      <c r="AS268" s="51"/>
    </row>
    <row r="269" spans="1:45" s="21" customFormat="1" ht="30" customHeight="1" x14ac:dyDescent="0.2">
      <c r="A269" s="2">
        <v>229</v>
      </c>
      <c r="B269" s="46">
        <v>1</v>
      </c>
      <c r="C269" s="16" t="s">
        <v>52</v>
      </c>
      <c r="D269" s="48">
        <v>31937</v>
      </c>
      <c r="E269" s="47">
        <v>238</v>
      </c>
      <c r="F269" s="48">
        <v>6164</v>
      </c>
      <c r="G269" s="49">
        <v>2</v>
      </c>
      <c r="H269" s="48">
        <v>0</v>
      </c>
      <c r="I269" s="48">
        <v>3</v>
      </c>
      <c r="J269" s="48">
        <v>25.04</v>
      </c>
      <c r="K269" s="3">
        <v>325.04000000000002</v>
      </c>
      <c r="L269" s="16"/>
      <c r="M269" s="57"/>
      <c r="N269" s="58"/>
      <c r="P269" s="16">
        <v>1</v>
      </c>
      <c r="Q269" s="20">
        <f>+K269</f>
        <v>325.04000000000002</v>
      </c>
      <c r="R269" s="14">
        <v>250</v>
      </c>
      <c r="S269" s="20">
        <f t="shared" si="42"/>
        <v>81260</v>
      </c>
      <c r="T269" s="16"/>
      <c r="U269" s="16"/>
      <c r="V269" s="16"/>
      <c r="W269" s="5"/>
      <c r="X269" s="16"/>
      <c r="Y269" s="5"/>
      <c r="Z269" s="16"/>
      <c r="AA269" s="16"/>
      <c r="AB269" s="16"/>
      <c r="AC269" s="14"/>
      <c r="AD269" s="14"/>
      <c r="AE269" s="16"/>
      <c r="AG269" s="22">
        <f t="shared" si="44"/>
        <v>0</v>
      </c>
      <c r="AH269" s="6"/>
      <c r="AJ269" s="20">
        <f t="shared" si="39"/>
        <v>0</v>
      </c>
      <c r="AK269" s="50"/>
      <c r="AL269" s="6"/>
      <c r="AM269" s="20">
        <f t="shared" si="40"/>
        <v>0</v>
      </c>
      <c r="AN269" s="20">
        <f t="shared" si="45"/>
        <v>81260</v>
      </c>
      <c r="AP269" s="20">
        <f t="shared" si="41"/>
        <v>81260</v>
      </c>
      <c r="AQ269" s="7"/>
      <c r="AR269" s="60"/>
      <c r="AS269" s="128">
        <v>10</v>
      </c>
    </row>
    <row r="270" spans="1:45" s="21" customFormat="1" ht="30" customHeight="1" x14ac:dyDescent="0.2">
      <c r="A270" s="8">
        <v>230</v>
      </c>
      <c r="B270" s="46">
        <v>2</v>
      </c>
      <c r="C270" s="16" t="s">
        <v>52</v>
      </c>
      <c r="D270" s="48">
        <v>31938</v>
      </c>
      <c r="E270" s="47">
        <v>239</v>
      </c>
      <c r="F270" s="48">
        <v>6165</v>
      </c>
      <c r="G270" s="49">
        <v>2</v>
      </c>
      <c r="H270" s="48">
        <v>1</v>
      </c>
      <c r="I270" s="48">
        <v>0</v>
      </c>
      <c r="J270" s="48">
        <v>6.05</v>
      </c>
      <c r="K270" s="3">
        <v>406.05</v>
      </c>
      <c r="L270" s="16"/>
      <c r="M270" s="57"/>
      <c r="N270" s="58"/>
      <c r="P270" s="16">
        <v>1</v>
      </c>
      <c r="Q270" s="20">
        <f>+K270</f>
        <v>406.05</v>
      </c>
      <c r="R270" s="14">
        <v>200</v>
      </c>
      <c r="S270" s="19">
        <f t="shared" si="42"/>
        <v>81210</v>
      </c>
      <c r="T270" s="16"/>
      <c r="U270" s="17"/>
      <c r="V270" s="16"/>
      <c r="W270" s="5"/>
      <c r="X270" s="16"/>
      <c r="Y270" s="5"/>
      <c r="Z270" s="16"/>
      <c r="AA270" s="16"/>
      <c r="AB270" s="16"/>
      <c r="AC270" s="14"/>
      <c r="AD270" s="14"/>
      <c r="AE270" s="16"/>
      <c r="AG270" s="22">
        <f t="shared" si="44"/>
        <v>0</v>
      </c>
      <c r="AH270" s="6"/>
      <c r="AJ270" s="20">
        <f t="shared" si="39"/>
        <v>0</v>
      </c>
      <c r="AK270" s="50"/>
      <c r="AL270" s="6"/>
      <c r="AM270" s="20">
        <f t="shared" si="40"/>
        <v>0</v>
      </c>
      <c r="AN270" s="20">
        <f t="shared" si="45"/>
        <v>81210</v>
      </c>
      <c r="AP270" s="20">
        <f t="shared" si="41"/>
        <v>81210</v>
      </c>
      <c r="AQ270" s="7"/>
      <c r="AR270" s="25"/>
      <c r="AS270" s="130"/>
    </row>
    <row r="271" spans="1:45" ht="30" customHeight="1" x14ac:dyDescent="0.2">
      <c r="C271" s="16"/>
      <c r="AC271" s="21"/>
      <c r="AD271" s="21"/>
      <c r="AG271" s="22"/>
      <c r="AJ271" s="20"/>
      <c r="AM271" s="20"/>
      <c r="AN271" s="20"/>
      <c r="AP271" s="20"/>
      <c r="AR271" s="20"/>
    </row>
    <row r="272" spans="1:45" s="21" customFormat="1" ht="30" customHeight="1" x14ac:dyDescent="0.2">
      <c r="A272" s="8">
        <v>231</v>
      </c>
      <c r="B272" s="46">
        <v>1</v>
      </c>
      <c r="C272" s="16" t="s">
        <v>52</v>
      </c>
      <c r="D272" s="48">
        <v>1230</v>
      </c>
      <c r="E272" s="47">
        <v>27</v>
      </c>
      <c r="F272" s="48">
        <v>254</v>
      </c>
      <c r="G272" s="49">
        <v>6</v>
      </c>
      <c r="H272" s="48">
        <v>4</v>
      </c>
      <c r="I272" s="48">
        <v>1</v>
      </c>
      <c r="J272" s="48">
        <v>62</v>
      </c>
      <c r="K272" s="3">
        <v>1762</v>
      </c>
      <c r="L272" s="16"/>
      <c r="M272" s="57"/>
      <c r="N272" s="58"/>
      <c r="P272" s="16">
        <v>1</v>
      </c>
      <c r="Q272" s="20">
        <f>+L273</f>
        <v>112.06</v>
      </c>
      <c r="R272" s="14">
        <v>750</v>
      </c>
      <c r="S272" s="20">
        <f t="shared" si="42"/>
        <v>84045</v>
      </c>
      <c r="T272" s="16"/>
      <c r="U272" s="17"/>
      <c r="V272" s="17"/>
      <c r="W272" s="4"/>
      <c r="X272" s="16"/>
      <c r="Y272" s="5"/>
      <c r="Z272" s="16"/>
      <c r="AA272" s="16"/>
      <c r="AB272" s="16"/>
      <c r="AE272" s="16"/>
      <c r="AG272" s="22">
        <f t="shared" si="44"/>
        <v>0</v>
      </c>
      <c r="AH272" s="6"/>
      <c r="AJ272" s="20">
        <f t="shared" si="39"/>
        <v>0</v>
      </c>
      <c r="AK272" s="50"/>
      <c r="AL272" s="6"/>
      <c r="AM272" s="20">
        <f t="shared" si="40"/>
        <v>0</v>
      </c>
      <c r="AN272" s="20">
        <f t="shared" si="45"/>
        <v>84045</v>
      </c>
      <c r="AP272" s="20">
        <f t="shared" si="41"/>
        <v>84045</v>
      </c>
      <c r="AQ272" s="7"/>
      <c r="AR272" s="20"/>
      <c r="AS272" s="51"/>
    </row>
    <row r="273" spans="1:45" s="21" customFormat="1" ht="30" customHeight="1" x14ac:dyDescent="0.2">
      <c r="A273" s="2">
        <v>232</v>
      </c>
      <c r="B273" s="13">
        <v>1</v>
      </c>
      <c r="C273" s="16" t="s">
        <v>52</v>
      </c>
      <c r="D273" s="48">
        <v>34568</v>
      </c>
      <c r="E273" s="47">
        <v>232</v>
      </c>
      <c r="F273" s="48">
        <v>6910</v>
      </c>
      <c r="G273" s="49">
        <v>2</v>
      </c>
      <c r="H273" s="48">
        <v>0</v>
      </c>
      <c r="I273" s="48">
        <v>1</v>
      </c>
      <c r="J273" s="48">
        <v>12.06</v>
      </c>
      <c r="K273" s="3"/>
      <c r="L273" s="16">
        <v>112.06</v>
      </c>
      <c r="M273" s="57"/>
      <c r="N273" s="58"/>
      <c r="P273" s="16">
        <v>2</v>
      </c>
      <c r="Q273" s="20">
        <f>+L273</f>
        <v>112.06</v>
      </c>
      <c r="R273" s="14">
        <v>2250</v>
      </c>
      <c r="S273" s="19">
        <f t="shared" si="42"/>
        <v>252135</v>
      </c>
      <c r="T273" s="16"/>
      <c r="U273" s="17" t="s">
        <v>57</v>
      </c>
      <c r="V273" s="17" t="s">
        <v>56</v>
      </c>
      <c r="W273" s="4"/>
      <c r="X273" s="16"/>
      <c r="Y273" s="5">
        <v>48</v>
      </c>
      <c r="Z273" s="16"/>
      <c r="AA273" s="16"/>
      <c r="AB273" s="16"/>
      <c r="AE273" s="16"/>
      <c r="AF273" s="21">
        <v>2</v>
      </c>
      <c r="AG273" s="22">
        <f t="shared" si="44"/>
        <v>48</v>
      </c>
      <c r="AH273" s="6">
        <v>1</v>
      </c>
      <c r="AI273" s="21">
        <v>7250</v>
      </c>
      <c r="AJ273" s="20">
        <f t="shared" si="39"/>
        <v>348000</v>
      </c>
      <c r="AK273" s="50"/>
      <c r="AL273" s="6"/>
      <c r="AM273" s="20">
        <f t="shared" si="40"/>
        <v>348000</v>
      </c>
      <c r="AN273" s="20">
        <f t="shared" si="45"/>
        <v>600135</v>
      </c>
      <c r="AP273" s="20">
        <f t="shared" si="41"/>
        <v>600135</v>
      </c>
      <c r="AQ273" s="7"/>
      <c r="AR273" s="20"/>
      <c r="AS273" s="51"/>
    </row>
    <row r="274" spans="1:45" ht="30" customHeight="1" x14ac:dyDescent="0.2">
      <c r="A274" s="8">
        <v>233</v>
      </c>
      <c r="B274" s="46">
        <v>1</v>
      </c>
      <c r="C274" s="16" t="s">
        <v>65</v>
      </c>
      <c r="D274" s="17">
        <v>3567</v>
      </c>
      <c r="E274" s="17">
        <v>45</v>
      </c>
      <c r="H274" s="17">
        <v>0</v>
      </c>
      <c r="I274" s="17">
        <v>1</v>
      </c>
      <c r="J274" s="17">
        <v>99</v>
      </c>
      <c r="K274" s="10">
        <v>199</v>
      </c>
      <c r="P274" s="17">
        <v>1</v>
      </c>
      <c r="Q274" s="19">
        <f>+K274</f>
        <v>199</v>
      </c>
      <c r="R274" s="14">
        <v>1100</v>
      </c>
      <c r="S274" s="19">
        <f t="shared" si="42"/>
        <v>218900</v>
      </c>
      <c r="AC274" s="21"/>
      <c r="AD274" s="21"/>
      <c r="AG274" s="22">
        <f t="shared" si="44"/>
        <v>0</v>
      </c>
      <c r="AJ274" s="20">
        <f t="shared" si="39"/>
        <v>0</v>
      </c>
      <c r="AM274" s="20">
        <f t="shared" si="40"/>
        <v>0</v>
      </c>
      <c r="AN274" s="20">
        <f t="shared" si="45"/>
        <v>218900</v>
      </c>
      <c r="AP274" s="20">
        <f t="shared" si="41"/>
        <v>218900</v>
      </c>
      <c r="AQ274" s="12">
        <v>1E-4</v>
      </c>
      <c r="AR274" s="20"/>
    </row>
    <row r="275" spans="1:45" s="21" customFormat="1" ht="30" customHeight="1" x14ac:dyDescent="0.2">
      <c r="A275" s="2">
        <v>234</v>
      </c>
      <c r="B275" s="46">
        <v>1</v>
      </c>
      <c r="C275" s="16" t="s">
        <v>52</v>
      </c>
      <c r="D275" s="48">
        <v>31072</v>
      </c>
      <c r="E275" s="47">
        <v>132</v>
      </c>
      <c r="F275" s="48">
        <v>6022</v>
      </c>
      <c r="G275" s="49">
        <v>2</v>
      </c>
      <c r="H275" s="48">
        <v>0</v>
      </c>
      <c r="I275" s="48">
        <v>0</v>
      </c>
      <c r="J275" s="48">
        <v>87.06</v>
      </c>
      <c r="K275" s="3"/>
      <c r="L275" s="16"/>
      <c r="M275" s="57"/>
      <c r="N275" s="58">
        <v>87.06</v>
      </c>
      <c r="P275" s="16">
        <v>4</v>
      </c>
      <c r="Q275" s="20">
        <v>87.06</v>
      </c>
      <c r="R275" s="14">
        <v>250</v>
      </c>
      <c r="S275" s="20">
        <f t="shared" si="42"/>
        <v>21765</v>
      </c>
      <c r="T275" s="16"/>
      <c r="U275" s="17"/>
      <c r="V275" s="17"/>
      <c r="W275" s="4"/>
      <c r="X275" s="16"/>
      <c r="Y275" s="5"/>
      <c r="Z275" s="16"/>
      <c r="AA275" s="16"/>
      <c r="AB275" s="16"/>
      <c r="AE275" s="16"/>
      <c r="AG275" s="22">
        <f t="shared" si="44"/>
        <v>0</v>
      </c>
      <c r="AH275" s="6"/>
      <c r="AJ275" s="20">
        <f t="shared" ref="AJ275:AJ280" si="46">+AG275*AH275*AI275</f>
        <v>0</v>
      </c>
      <c r="AK275" s="50"/>
      <c r="AL275" s="6"/>
      <c r="AM275" s="20">
        <f t="shared" ref="AM275:AM280" si="47">+AJ275-(AL275*AJ275)</f>
        <v>0</v>
      </c>
      <c r="AN275" s="20">
        <f t="shared" si="45"/>
        <v>21765</v>
      </c>
      <c r="AO275" s="14"/>
      <c r="AP275" s="20">
        <f t="shared" ref="AP275:AP280" si="48">AN275</f>
        <v>21765</v>
      </c>
      <c r="AQ275" s="7">
        <v>3.0000000000000001E-3</v>
      </c>
      <c r="AR275" s="20"/>
      <c r="AS275" s="51"/>
    </row>
    <row r="276" spans="1:45" s="21" customFormat="1" ht="30" customHeight="1" x14ac:dyDescent="0.2">
      <c r="A276" s="8">
        <v>235</v>
      </c>
      <c r="B276" s="46">
        <v>2</v>
      </c>
      <c r="C276" s="16" t="s">
        <v>52</v>
      </c>
      <c r="D276" s="48">
        <v>31909</v>
      </c>
      <c r="E276" s="47">
        <v>100</v>
      </c>
      <c r="F276" s="48">
        <v>6136</v>
      </c>
      <c r="G276" s="49">
        <v>2</v>
      </c>
      <c r="H276" s="48">
        <v>3</v>
      </c>
      <c r="I276" s="48">
        <v>0</v>
      </c>
      <c r="J276" s="48">
        <v>20.05</v>
      </c>
      <c r="K276" s="3">
        <v>1220.05</v>
      </c>
      <c r="L276" s="16"/>
      <c r="M276" s="57"/>
      <c r="N276" s="58"/>
      <c r="P276" s="16">
        <v>1</v>
      </c>
      <c r="Q276" s="20">
        <f>+K276</f>
        <v>1220.05</v>
      </c>
      <c r="R276" s="14">
        <v>160</v>
      </c>
      <c r="S276" s="19">
        <f t="shared" si="42"/>
        <v>195208</v>
      </c>
      <c r="T276" s="16"/>
      <c r="U276" s="17"/>
      <c r="V276" s="17"/>
      <c r="W276" s="4"/>
      <c r="X276" s="16"/>
      <c r="Y276" s="5"/>
      <c r="Z276" s="16"/>
      <c r="AA276" s="16"/>
      <c r="AB276" s="16"/>
      <c r="AE276" s="16"/>
      <c r="AG276" s="22">
        <f t="shared" si="44"/>
        <v>0</v>
      </c>
      <c r="AH276" s="6"/>
      <c r="AJ276" s="20">
        <f t="shared" si="46"/>
        <v>0</v>
      </c>
      <c r="AK276" s="50"/>
      <c r="AL276" s="6"/>
      <c r="AM276" s="20">
        <f t="shared" si="47"/>
        <v>0</v>
      </c>
      <c r="AN276" s="20">
        <f t="shared" si="45"/>
        <v>195208</v>
      </c>
      <c r="AP276" s="20">
        <f t="shared" si="48"/>
        <v>195208</v>
      </c>
      <c r="AQ276" s="7"/>
      <c r="AR276" s="20"/>
      <c r="AS276" s="51"/>
    </row>
    <row r="277" spans="1:45" s="21" customFormat="1" ht="30" customHeight="1" x14ac:dyDescent="0.2">
      <c r="A277" s="2">
        <v>236</v>
      </c>
      <c r="B277" s="46">
        <v>1</v>
      </c>
      <c r="C277" s="16" t="s">
        <v>52</v>
      </c>
      <c r="D277" s="48">
        <v>11652</v>
      </c>
      <c r="E277" s="47">
        <v>119</v>
      </c>
      <c r="F277" s="48">
        <v>3176</v>
      </c>
      <c r="G277" s="49">
        <v>2</v>
      </c>
      <c r="H277" s="48">
        <v>1</v>
      </c>
      <c r="I277" s="48">
        <v>2</v>
      </c>
      <c r="J277" s="48">
        <v>40.020000000000003</v>
      </c>
      <c r="K277" s="3">
        <v>6040.02</v>
      </c>
      <c r="L277" s="16"/>
      <c r="M277" s="57"/>
      <c r="N277" s="58"/>
      <c r="P277" s="16">
        <v>1</v>
      </c>
      <c r="Q277" s="20">
        <f>+K277</f>
        <v>6040.02</v>
      </c>
      <c r="R277" s="14">
        <v>160</v>
      </c>
      <c r="S277" s="19">
        <f>+Q277*R277</f>
        <v>966403.20000000007</v>
      </c>
      <c r="T277" s="16"/>
      <c r="U277" s="17"/>
      <c r="V277" s="17"/>
      <c r="W277" s="4"/>
      <c r="X277" s="16"/>
      <c r="Y277" s="5"/>
      <c r="Z277" s="16"/>
      <c r="AA277" s="16"/>
      <c r="AB277" s="16"/>
      <c r="AE277" s="16"/>
      <c r="AG277" s="22">
        <f t="shared" si="44"/>
        <v>0</v>
      </c>
      <c r="AH277" s="6"/>
      <c r="AJ277" s="20">
        <f t="shared" si="46"/>
        <v>0</v>
      </c>
      <c r="AK277" s="50"/>
      <c r="AL277" s="6"/>
      <c r="AM277" s="20">
        <f t="shared" si="47"/>
        <v>0</v>
      </c>
      <c r="AN277" s="20">
        <f>+S277+AM277</f>
        <v>966403.20000000007</v>
      </c>
      <c r="AP277" s="20">
        <f t="shared" si="48"/>
        <v>966403.20000000007</v>
      </c>
      <c r="AQ277" s="7"/>
      <c r="AR277" s="20"/>
      <c r="AS277" s="51"/>
    </row>
    <row r="278" spans="1:45" s="21" customFormat="1" ht="30" customHeight="1" x14ac:dyDescent="0.2">
      <c r="A278" s="8">
        <v>237</v>
      </c>
      <c r="B278" s="46">
        <v>1</v>
      </c>
      <c r="C278" s="16" t="s">
        <v>52</v>
      </c>
      <c r="D278" s="48">
        <v>36702</v>
      </c>
      <c r="E278" s="47">
        <v>174</v>
      </c>
      <c r="F278" s="48">
        <v>7246</v>
      </c>
      <c r="G278" s="49">
        <v>5</v>
      </c>
      <c r="H278" s="48">
        <v>1</v>
      </c>
      <c r="I278" s="48">
        <v>0</v>
      </c>
      <c r="J278" s="48">
        <v>41.05</v>
      </c>
      <c r="K278" s="3">
        <v>441.05</v>
      </c>
      <c r="L278" s="16"/>
      <c r="M278" s="57"/>
      <c r="N278" s="58"/>
      <c r="P278" s="16">
        <v>1</v>
      </c>
      <c r="Q278" s="20">
        <f>+K278</f>
        <v>441.05</v>
      </c>
      <c r="R278" s="14">
        <v>200</v>
      </c>
      <c r="S278" s="20">
        <f>+Q278*R278</f>
        <v>88210</v>
      </c>
      <c r="T278" s="16"/>
      <c r="U278" s="16"/>
      <c r="V278" s="16"/>
      <c r="W278" s="5"/>
      <c r="X278" s="16"/>
      <c r="Y278" s="5"/>
      <c r="Z278" s="16"/>
      <c r="AA278" s="16"/>
      <c r="AB278" s="16"/>
      <c r="AE278" s="16"/>
      <c r="AG278" s="22">
        <f t="shared" si="44"/>
        <v>0</v>
      </c>
      <c r="AH278" s="6"/>
      <c r="AJ278" s="20">
        <f t="shared" si="46"/>
        <v>0</v>
      </c>
      <c r="AK278" s="50"/>
      <c r="AL278" s="6"/>
      <c r="AM278" s="20">
        <f t="shared" si="47"/>
        <v>0</v>
      </c>
      <c r="AN278" s="20">
        <f>+S278+AM278</f>
        <v>88210</v>
      </c>
      <c r="AP278" s="20">
        <f t="shared" si="48"/>
        <v>88210</v>
      </c>
      <c r="AQ278" s="7"/>
      <c r="AR278" s="20"/>
      <c r="AS278" s="51"/>
    </row>
    <row r="279" spans="1:45" s="21" customFormat="1" ht="30" customHeight="1" x14ac:dyDescent="0.2">
      <c r="A279" s="61">
        <v>238</v>
      </c>
      <c r="B279" s="46">
        <v>1</v>
      </c>
      <c r="C279" s="16" t="s">
        <v>52</v>
      </c>
      <c r="D279" s="48">
        <v>5952</v>
      </c>
      <c r="E279" s="47">
        <v>45</v>
      </c>
      <c r="F279" s="48">
        <v>2988</v>
      </c>
      <c r="G279" s="49">
        <v>5</v>
      </c>
      <c r="H279" s="48">
        <v>1</v>
      </c>
      <c r="I279" s="48">
        <v>1</v>
      </c>
      <c r="J279" s="48">
        <v>38</v>
      </c>
      <c r="K279" s="3"/>
      <c r="L279" s="16">
        <v>538</v>
      </c>
      <c r="M279" s="57"/>
      <c r="N279" s="58"/>
      <c r="P279" s="16">
        <v>2</v>
      </c>
      <c r="Q279" s="20">
        <f>+L279</f>
        <v>538</v>
      </c>
      <c r="R279" s="14">
        <v>200</v>
      </c>
      <c r="S279" s="19">
        <f>+Q279*R279</f>
        <v>107600</v>
      </c>
      <c r="T279" s="16"/>
      <c r="U279" s="17" t="s">
        <v>57</v>
      </c>
      <c r="V279" s="16" t="s">
        <v>84</v>
      </c>
      <c r="W279" s="5"/>
      <c r="X279" s="16"/>
      <c r="Y279" s="5">
        <v>180</v>
      </c>
      <c r="Z279" s="16"/>
      <c r="AA279" s="16"/>
      <c r="AB279" s="16"/>
      <c r="AE279" s="16"/>
      <c r="AF279" s="21">
        <v>2</v>
      </c>
      <c r="AG279" s="22">
        <f t="shared" si="44"/>
        <v>180</v>
      </c>
      <c r="AH279" s="6">
        <v>1</v>
      </c>
      <c r="AI279" s="21">
        <v>7250</v>
      </c>
      <c r="AJ279" s="20">
        <f t="shared" si="46"/>
        <v>1305000</v>
      </c>
      <c r="AK279" s="50"/>
      <c r="AL279" s="6"/>
      <c r="AM279" s="20">
        <f t="shared" si="47"/>
        <v>1305000</v>
      </c>
      <c r="AN279" s="20">
        <f>+S279+AM279</f>
        <v>1412600</v>
      </c>
      <c r="AP279" s="20">
        <f t="shared" si="48"/>
        <v>1412600</v>
      </c>
      <c r="AQ279" s="7"/>
      <c r="AR279" s="60"/>
      <c r="AS279" s="128">
        <v>83</v>
      </c>
    </row>
    <row r="280" spans="1:45" s="21" customFormat="1" ht="30" customHeight="1" x14ac:dyDescent="0.2">
      <c r="A280" s="61"/>
      <c r="B280" s="46"/>
      <c r="C280" s="16"/>
      <c r="D280" s="48"/>
      <c r="E280" s="47"/>
      <c r="F280" s="48"/>
      <c r="G280" s="49"/>
      <c r="H280" s="48"/>
      <c r="I280" s="48"/>
      <c r="J280" s="48"/>
      <c r="K280" s="3"/>
      <c r="L280" s="16"/>
      <c r="M280" s="57"/>
      <c r="N280" s="58"/>
      <c r="P280" s="16"/>
      <c r="Q280" s="20"/>
      <c r="R280" s="14" t="e">
        <v>#N/A</v>
      </c>
      <c r="S280" s="19"/>
      <c r="T280" s="16"/>
      <c r="U280" s="17" t="s">
        <v>57</v>
      </c>
      <c r="V280" s="16" t="s">
        <v>56</v>
      </c>
      <c r="W280" s="5"/>
      <c r="X280" s="16"/>
      <c r="Y280" s="5">
        <v>127.5</v>
      </c>
      <c r="Z280" s="16"/>
      <c r="AA280" s="16"/>
      <c r="AB280" s="16"/>
      <c r="AE280" s="16"/>
      <c r="AF280" s="21">
        <v>2</v>
      </c>
      <c r="AG280" s="22">
        <f t="shared" si="44"/>
        <v>127.5</v>
      </c>
      <c r="AH280" s="6">
        <v>1</v>
      </c>
      <c r="AI280" s="21">
        <v>7250</v>
      </c>
      <c r="AJ280" s="20">
        <f t="shared" si="46"/>
        <v>924375</v>
      </c>
      <c r="AK280" s="50"/>
      <c r="AL280" s="6"/>
      <c r="AM280" s="20">
        <f t="shared" si="47"/>
        <v>924375</v>
      </c>
      <c r="AN280" s="20">
        <f>+AM280+(S279*0.1681)</f>
        <v>942462.56</v>
      </c>
      <c r="AP280" s="20">
        <f t="shared" si="48"/>
        <v>942462.56</v>
      </c>
      <c r="AQ280" s="7"/>
      <c r="AR280" s="24"/>
      <c r="AS280" s="129"/>
    </row>
    <row r="281" spans="1:45" s="21" customFormat="1" ht="30" customHeight="1" x14ac:dyDescent="0.2">
      <c r="A281" s="61"/>
      <c r="B281" s="46"/>
      <c r="C281" s="16"/>
      <c r="D281" s="48"/>
      <c r="E281" s="47"/>
      <c r="F281" s="48"/>
      <c r="G281" s="49"/>
      <c r="H281" s="48"/>
      <c r="I281" s="48"/>
      <c r="J281" s="48"/>
      <c r="K281" s="3"/>
      <c r="L281" s="16"/>
      <c r="M281" s="57"/>
      <c r="N281" s="58"/>
      <c r="P281" s="16"/>
      <c r="Q281" s="20"/>
      <c r="R281" s="14"/>
      <c r="S281" s="19"/>
      <c r="T281" s="16"/>
      <c r="U281" s="17"/>
      <c r="V281" s="16"/>
      <c r="W281" s="5"/>
      <c r="X281" s="16"/>
      <c r="Y281" s="5"/>
      <c r="Z281" s="16"/>
      <c r="AA281" s="16"/>
      <c r="AB281" s="16"/>
      <c r="AE281" s="16"/>
      <c r="AG281" s="22"/>
      <c r="AH281" s="6"/>
      <c r="AJ281" s="20"/>
      <c r="AK281" s="50"/>
      <c r="AL281" s="6"/>
      <c r="AM281" s="20"/>
      <c r="AN281" s="20"/>
      <c r="AP281" s="20"/>
      <c r="AQ281" s="7"/>
      <c r="AR281" s="24"/>
      <c r="AS281" s="129"/>
    </row>
    <row r="282" spans="1:45" s="21" customFormat="1" ht="30" customHeight="1" x14ac:dyDescent="0.2">
      <c r="A282" s="61"/>
      <c r="B282" s="46"/>
      <c r="C282" s="16"/>
      <c r="D282" s="48"/>
      <c r="E282" s="47"/>
      <c r="F282" s="48"/>
      <c r="G282" s="49"/>
      <c r="H282" s="48"/>
      <c r="I282" s="48"/>
      <c r="J282" s="48"/>
      <c r="K282" s="3"/>
      <c r="L282" s="16"/>
      <c r="M282" s="57"/>
      <c r="N282" s="58"/>
      <c r="P282" s="16"/>
      <c r="Q282" s="20"/>
      <c r="R282" s="14"/>
      <c r="S282" s="19"/>
      <c r="T282" s="16"/>
      <c r="U282" s="17"/>
      <c r="V282" s="16"/>
      <c r="W282" s="5"/>
      <c r="X282" s="16"/>
      <c r="Y282" s="5"/>
      <c r="Z282" s="16"/>
      <c r="AA282" s="16"/>
      <c r="AB282" s="16"/>
      <c r="AE282" s="16"/>
      <c r="AG282" s="22"/>
      <c r="AH282" s="6"/>
      <c r="AJ282" s="20"/>
      <c r="AK282" s="50"/>
      <c r="AL282" s="6"/>
      <c r="AM282" s="20"/>
      <c r="AN282" s="20"/>
      <c r="AP282" s="20"/>
      <c r="AQ282" s="7"/>
      <c r="AR282" s="24"/>
      <c r="AS282" s="129"/>
    </row>
    <row r="283" spans="1:45" ht="30" customHeight="1" x14ac:dyDescent="0.2">
      <c r="A283" s="2">
        <v>239</v>
      </c>
      <c r="B283" s="13">
        <v>2</v>
      </c>
      <c r="C283" s="16" t="s">
        <v>65</v>
      </c>
      <c r="D283" s="17">
        <v>1293</v>
      </c>
      <c r="E283" s="17">
        <v>7</v>
      </c>
      <c r="H283" s="17">
        <v>10</v>
      </c>
      <c r="I283" s="17">
        <v>0</v>
      </c>
      <c r="J283" s="17">
        <v>0</v>
      </c>
      <c r="K283" s="10">
        <v>4000</v>
      </c>
      <c r="Q283" s="19">
        <f>+K283</f>
        <v>4000</v>
      </c>
      <c r="R283" s="14">
        <v>3350</v>
      </c>
      <c r="S283" s="20">
        <f t="shared" ref="S283:S290" si="49">+Q283*R283</f>
        <v>13400000</v>
      </c>
      <c r="AC283" s="21"/>
      <c r="AD283" s="21"/>
      <c r="AE283" s="17" t="s">
        <v>94</v>
      </c>
      <c r="AG283" s="22">
        <f t="shared" ref="AG283:AG289" si="50">Y283</f>
        <v>0</v>
      </c>
      <c r="AJ283" s="20">
        <f t="shared" ref="AJ283:AJ293" si="51">+AG283*AH283*AI283</f>
        <v>0</v>
      </c>
      <c r="AM283" s="20">
        <f t="shared" ref="AM283:AM293" si="52">+AJ283-(AL283*AJ283)</f>
        <v>0</v>
      </c>
      <c r="AN283" s="20">
        <f t="shared" ref="AN283:AN289" si="53">+S283+AM283</f>
        <v>13400000</v>
      </c>
      <c r="AP283" s="20">
        <f t="shared" ref="AP283:AP293" si="54">AN283</f>
        <v>13400000</v>
      </c>
      <c r="AQ283" s="12">
        <v>1E-4</v>
      </c>
      <c r="AR283" s="25"/>
      <c r="AS283" s="130"/>
    </row>
    <row r="284" spans="1:45" s="21" customFormat="1" ht="30" customHeight="1" x14ac:dyDescent="0.2">
      <c r="A284" s="8">
        <v>240</v>
      </c>
      <c r="B284" s="46">
        <v>1</v>
      </c>
      <c r="C284" s="16" t="s">
        <v>52</v>
      </c>
      <c r="D284" s="48">
        <v>2050</v>
      </c>
      <c r="E284" s="47">
        <v>17</v>
      </c>
      <c r="F284" s="48">
        <v>1162</v>
      </c>
      <c r="G284" s="49">
        <v>4</v>
      </c>
      <c r="H284" s="48">
        <v>0</v>
      </c>
      <c r="I284" s="48">
        <v>3</v>
      </c>
      <c r="J284" s="48">
        <v>81.02</v>
      </c>
      <c r="K284" s="3"/>
      <c r="L284" s="16">
        <v>381.02</v>
      </c>
      <c r="M284" s="57"/>
      <c r="N284" s="58"/>
      <c r="P284" s="16">
        <v>2</v>
      </c>
      <c r="Q284" s="20">
        <f>+L284</f>
        <v>381.02</v>
      </c>
      <c r="R284" s="14">
        <v>1500</v>
      </c>
      <c r="S284" s="19">
        <f t="shared" si="49"/>
        <v>571530</v>
      </c>
      <c r="T284" s="16"/>
      <c r="U284" s="17" t="s">
        <v>57</v>
      </c>
      <c r="V284" s="17" t="s">
        <v>56</v>
      </c>
      <c r="W284" s="4"/>
      <c r="X284" s="16"/>
      <c r="Y284" s="5">
        <v>225</v>
      </c>
      <c r="Z284" s="16"/>
      <c r="AA284" s="16"/>
      <c r="AB284" s="16"/>
      <c r="AE284" s="16"/>
      <c r="AF284" s="21">
        <v>2</v>
      </c>
      <c r="AG284" s="22">
        <f t="shared" si="50"/>
        <v>225</v>
      </c>
      <c r="AH284" s="6">
        <v>1</v>
      </c>
      <c r="AI284" s="21">
        <v>7250</v>
      </c>
      <c r="AJ284" s="20">
        <f t="shared" si="51"/>
        <v>1631250</v>
      </c>
      <c r="AK284" s="50"/>
      <c r="AL284" s="6"/>
      <c r="AM284" s="20">
        <f t="shared" si="52"/>
        <v>1631250</v>
      </c>
      <c r="AN284" s="20">
        <f t="shared" si="53"/>
        <v>2202780</v>
      </c>
      <c r="AP284" s="20">
        <f t="shared" si="54"/>
        <v>2202780</v>
      </c>
      <c r="AQ284" s="7"/>
      <c r="AR284" s="60"/>
      <c r="AS284" s="128">
        <v>7</v>
      </c>
    </row>
    <row r="285" spans="1:45" ht="30" customHeight="1" x14ac:dyDescent="0.2">
      <c r="A285" s="2">
        <v>241</v>
      </c>
      <c r="B285" s="13">
        <v>2</v>
      </c>
      <c r="C285" s="16" t="s">
        <v>65</v>
      </c>
      <c r="D285" s="17">
        <v>3721</v>
      </c>
      <c r="E285" s="17">
        <v>171</v>
      </c>
      <c r="H285" s="17">
        <v>0</v>
      </c>
      <c r="I285" s="17">
        <v>1</v>
      </c>
      <c r="J285" s="17">
        <v>9</v>
      </c>
      <c r="K285" s="10">
        <v>109</v>
      </c>
      <c r="P285" s="17">
        <v>1</v>
      </c>
      <c r="Q285" s="19">
        <f>+K285</f>
        <v>109</v>
      </c>
      <c r="R285" s="14">
        <v>2000</v>
      </c>
      <c r="S285" s="19">
        <f t="shared" si="49"/>
        <v>218000</v>
      </c>
      <c r="AC285" s="21"/>
      <c r="AD285" s="21"/>
      <c r="AG285" s="22">
        <f t="shared" si="50"/>
        <v>0</v>
      </c>
      <c r="AJ285" s="20">
        <f t="shared" si="51"/>
        <v>0</v>
      </c>
      <c r="AM285" s="20">
        <f t="shared" si="52"/>
        <v>0</v>
      </c>
      <c r="AN285" s="20">
        <f t="shared" si="53"/>
        <v>218000</v>
      </c>
      <c r="AP285" s="20">
        <f t="shared" si="54"/>
        <v>218000</v>
      </c>
      <c r="AQ285" s="12">
        <v>1E-4</v>
      </c>
      <c r="AR285" s="25"/>
      <c r="AS285" s="130"/>
    </row>
    <row r="286" spans="1:45" s="21" customFormat="1" ht="30" customHeight="1" x14ac:dyDescent="0.2">
      <c r="A286" s="8">
        <v>242</v>
      </c>
      <c r="B286" s="46">
        <v>1</v>
      </c>
      <c r="C286" s="16" t="s">
        <v>52</v>
      </c>
      <c r="D286" s="48">
        <v>3762</v>
      </c>
      <c r="E286" s="47">
        <v>37</v>
      </c>
      <c r="F286" s="48">
        <v>2286</v>
      </c>
      <c r="G286" s="49">
        <v>2</v>
      </c>
      <c r="H286" s="48">
        <v>3</v>
      </c>
      <c r="I286" s="48">
        <v>2</v>
      </c>
      <c r="J286" s="48">
        <v>45</v>
      </c>
      <c r="K286" s="3">
        <v>1445</v>
      </c>
      <c r="L286" s="16"/>
      <c r="M286" s="57"/>
      <c r="N286" s="58"/>
      <c r="P286" s="16">
        <v>1</v>
      </c>
      <c r="Q286" s="20">
        <f>+K286</f>
        <v>1445</v>
      </c>
      <c r="R286" s="14">
        <v>200</v>
      </c>
      <c r="S286" s="20">
        <f t="shared" si="49"/>
        <v>289000</v>
      </c>
      <c r="T286" s="16"/>
      <c r="U286" s="17"/>
      <c r="V286" s="17"/>
      <c r="W286" s="4"/>
      <c r="X286" s="16"/>
      <c r="Y286" s="5"/>
      <c r="Z286" s="16"/>
      <c r="AA286" s="16"/>
      <c r="AB286" s="16"/>
      <c r="AE286" s="16"/>
      <c r="AG286" s="22">
        <f t="shared" si="50"/>
        <v>0</v>
      </c>
      <c r="AH286" s="6"/>
      <c r="AJ286" s="20">
        <f t="shared" si="51"/>
        <v>0</v>
      </c>
      <c r="AK286" s="50"/>
      <c r="AL286" s="6"/>
      <c r="AM286" s="20">
        <f t="shared" si="52"/>
        <v>0</v>
      </c>
      <c r="AN286" s="20">
        <f t="shared" si="53"/>
        <v>289000</v>
      </c>
      <c r="AP286" s="20">
        <f t="shared" si="54"/>
        <v>289000</v>
      </c>
      <c r="AQ286" s="7"/>
      <c r="AR286" s="20"/>
      <c r="AS286" s="51"/>
    </row>
    <row r="287" spans="1:45" s="21" customFormat="1" ht="30" customHeight="1" x14ac:dyDescent="0.2">
      <c r="A287" s="2">
        <v>243</v>
      </c>
      <c r="B287" s="46">
        <v>1</v>
      </c>
      <c r="C287" s="16" t="s">
        <v>52</v>
      </c>
      <c r="D287" s="48">
        <v>4628</v>
      </c>
      <c r="E287" s="47">
        <v>47</v>
      </c>
      <c r="F287" s="48">
        <v>2449</v>
      </c>
      <c r="G287" s="49">
        <v>1</v>
      </c>
      <c r="H287" s="48">
        <v>14</v>
      </c>
      <c r="I287" s="48">
        <v>0</v>
      </c>
      <c r="J287" s="48">
        <v>0</v>
      </c>
      <c r="K287" s="3">
        <f>14*400</f>
        <v>5600</v>
      </c>
      <c r="L287" s="16"/>
      <c r="M287" s="57"/>
      <c r="N287" s="58"/>
      <c r="P287" s="16">
        <v>1</v>
      </c>
      <c r="Q287" s="20">
        <f>+K287</f>
        <v>5600</v>
      </c>
      <c r="R287" s="14">
        <v>160</v>
      </c>
      <c r="S287" s="19">
        <f t="shared" si="49"/>
        <v>896000</v>
      </c>
      <c r="T287" s="16"/>
      <c r="U287" s="17"/>
      <c r="V287" s="17"/>
      <c r="W287" s="4"/>
      <c r="X287" s="16"/>
      <c r="Y287" s="5"/>
      <c r="Z287" s="16"/>
      <c r="AA287" s="16"/>
      <c r="AB287" s="16"/>
      <c r="AE287" s="16"/>
      <c r="AG287" s="22">
        <f t="shared" si="50"/>
        <v>0</v>
      </c>
      <c r="AH287" s="6"/>
      <c r="AJ287" s="20">
        <f t="shared" si="51"/>
        <v>0</v>
      </c>
      <c r="AK287" s="50"/>
      <c r="AL287" s="6"/>
      <c r="AM287" s="20">
        <f t="shared" si="52"/>
        <v>0</v>
      </c>
      <c r="AN287" s="20">
        <f t="shared" si="53"/>
        <v>896000</v>
      </c>
      <c r="AP287" s="20">
        <f t="shared" si="54"/>
        <v>896000</v>
      </c>
      <c r="AQ287" s="7"/>
      <c r="AR287" s="20"/>
      <c r="AS287" s="51"/>
    </row>
    <row r="288" spans="1:45" s="21" customFormat="1" ht="30" customHeight="1" x14ac:dyDescent="0.2">
      <c r="A288" s="8">
        <v>244</v>
      </c>
      <c r="B288" s="46">
        <v>1</v>
      </c>
      <c r="C288" s="16" t="s">
        <v>52</v>
      </c>
      <c r="D288" s="48">
        <v>31143</v>
      </c>
      <c r="E288" s="47">
        <v>124</v>
      </c>
      <c r="F288" s="48">
        <v>6088</v>
      </c>
      <c r="G288" s="49">
        <v>5</v>
      </c>
      <c r="H288" s="48">
        <v>0</v>
      </c>
      <c r="I288" s="48">
        <v>0</v>
      </c>
      <c r="J288" s="48">
        <v>36.020000000000003</v>
      </c>
      <c r="K288" s="3"/>
      <c r="L288" s="16">
        <v>36.020000000000003</v>
      </c>
      <c r="M288" s="57"/>
      <c r="N288" s="58"/>
      <c r="P288" s="16">
        <v>2</v>
      </c>
      <c r="Q288" s="20">
        <f>+L288</f>
        <v>36.020000000000003</v>
      </c>
      <c r="R288" s="14">
        <v>250</v>
      </c>
      <c r="S288" s="19">
        <f t="shared" si="49"/>
        <v>9005</v>
      </c>
      <c r="T288" s="16"/>
      <c r="U288" s="17" t="s">
        <v>63</v>
      </c>
      <c r="V288" s="17" t="s">
        <v>56</v>
      </c>
      <c r="W288" s="4"/>
      <c r="X288" s="16"/>
      <c r="Y288" s="5">
        <v>97</v>
      </c>
      <c r="Z288" s="16"/>
      <c r="AA288" s="16"/>
      <c r="AB288" s="16"/>
      <c r="AE288" s="16"/>
      <c r="AF288" s="21">
        <v>2</v>
      </c>
      <c r="AG288" s="22">
        <f t="shared" si="50"/>
        <v>97</v>
      </c>
      <c r="AH288" s="6">
        <v>1</v>
      </c>
      <c r="AI288" s="21">
        <v>8100</v>
      </c>
      <c r="AJ288" s="20">
        <f t="shared" si="51"/>
        <v>785700</v>
      </c>
      <c r="AK288" s="50"/>
      <c r="AL288" s="6"/>
      <c r="AM288" s="20">
        <f t="shared" si="52"/>
        <v>785700</v>
      </c>
      <c r="AN288" s="20">
        <f t="shared" si="53"/>
        <v>794705</v>
      </c>
      <c r="AP288" s="20">
        <f t="shared" si="54"/>
        <v>794705</v>
      </c>
      <c r="AQ288" s="7"/>
      <c r="AR288" s="20"/>
      <c r="AS288" s="51"/>
    </row>
    <row r="289" spans="1:46" ht="30" customHeight="1" x14ac:dyDescent="0.2">
      <c r="A289" s="2">
        <v>245</v>
      </c>
      <c r="B289" s="46">
        <v>1</v>
      </c>
      <c r="C289" s="16" t="s">
        <v>65</v>
      </c>
      <c r="D289" s="17">
        <v>3742</v>
      </c>
      <c r="E289" s="17">
        <v>106</v>
      </c>
      <c r="H289" s="17">
        <v>2</v>
      </c>
      <c r="I289" s="17">
        <v>1</v>
      </c>
      <c r="J289" s="17">
        <v>16</v>
      </c>
      <c r="K289" s="10">
        <v>916</v>
      </c>
      <c r="P289" s="17">
        <v>1</v>
      </c>
      <c r="Q289" s="19">
        <f>+K289</f>
        <v>916</v>
      </c>
      <c r="S289" s="20">
        <f t="shared" si="49"/>
        <v>0</v>
      </c>
      <c r="AC289" s="21"/>
      <c r="AD289" s="21"/>
      <c r="AG289" s="22">
        <f t="shared" si="50"/>
        <v>0</v>
      </c>
      <c r="AJ289" s="20">
        <f t="shared" si="51"/>
        <v>0</v>
      </c>
      <c r="AM289" s="20">
        <f t="shared" si="52"/>
        <v>0</v>
      </c>
      <c r="AN289" s="20">
        <f t="shared" si="53"/>
        <v>0</v>
      </c>
      <c r="AP289" s="20">
        <f t="shared" si="54"/>
        <v>0</v>
      </c>
      <c r="AQ289" s="12">
        <v>1E-4</v>
      </c>
      <c r="AR289" s="20"/>
    </row>
    <row r="290" spans="1:46" s="21" customFormat="1" ht="30" customHeight="1" x14ac:dyDescent="0.2">
      <c r="A290" s="2">
        <v>246</v>
      </c>
      <c r="B290" s="46">
        <v>1</v>
      </c>
      <c r="C290" s="16" t="s">
        <v>52</v>
      </c>
      <c r="D290" s="48">
        <v>25117</v>
      </c>
      <c r="E290" s="47">
        <v>217</v>
      </c>
      <c r="F290" s="48">
        <v>4980</v>
      </c>
      <c r="G290" s="49">
        <v>1</v>
      </c>
      <c r="H290" s="48">
        <v>0</v>
      </c>
      <c r="I290" s="48">
        <v>1</v>
      </c>
      <c r="J290" s="48">
        <v>52</v>
      </c>
      <c r="K290" s="3"/>
      <c r="L290" s="16"/>
      <c r="M290" s="57"/>
      <c r="N290" s="58"/>
      <c r="O290" s="21">
        <v>46</v>
      </c>
      <c r="P290" s="16">
        <v>2</v>
      </c>
      <c r="Q290" s="20">
        <v>152</v>
      </c>
      <c r="R290" s="14">
        <v>250</v>
      </c>
      <c r="S290" s="19">
        <f t="shared" si="49"/>
        <v>38000</v>
      </c>
      <c r="T290" s="16"/>
      <c r="U290" s="16" t="s">
        <v>63</v>
      </c>
      <c r="V290" s="16" t="s">
        <v>56</v>
      </c>
      <c r="W290" s="5">
        <f>8*23</f>
        <v>184</v>
      </c>
      <c r="X290" s="16"/>
      <c r="Y290" s="5"/>
      <c r="Z290" s="16">
        <v>15</v>
      </c>
      <c r="AA290" s="16"/>
      <c r="AB290" s="16"/>
      <c r="AE290" s="16">
        <f>15/184</f>
        <v>8.1521739130434784E-2</v>
      </c>
      <c r="AF290" s="21">
        <v>2</v>
      </c>
      <c r="AG290" s="22">
        <v>184</v>
      </c>
      <c r="AH290" s="6">
        <v>0.92</v>
      </c>
      <c r="AI290" s="21">
        <v>8100</v>
      </c>
      <c r="AJ290" s="20">
        <f t="shared" si="51"/>
        <v>1371168</v>
      </c>
      <c r="AK290" s="50"/>
      <c r="AL290" s="6"/>
      <c r="AM290" s="20">
        <f t="shared" si="52"/>
        <v>1371168</v>
      </c>
      <c r="AN290" s="20">
        <f>+(S290*0.92)+AM290</f>
        <v>1406128</v>
      </c>
      <c r="AP290" s="20">
        <f t="shared" si="54"/>
        <v>1406128</v>
      </c>
      <c r="AQ290" s="7"/>
      <c r="AR290" s="20"/>
      <c r="AS290" s="51"/>
    </row>
    <row r="291" spans="1:46" s="21" customFormat="1" ht="30" customHeight="1" x14ac:dyDescent="0.2">
      <c r="A291" s="2"/>
      <c r="B291" s="46"/>
      <c r="C291" s="16"/>
      <c r="D291" s="48"/>
      <c r="E291" s="47"/>
      <c r="F291" s="48"/>
      <c r="G291" s="49"/>
      <c r="H291" s="48"/>
      <c r="I291" s="48"/>
      <c r="J291" s="48"/>
      <c r="K291" s="3"/>
      <c r="L291" s="16"/>
      <c r="M291" s="57"/>
      <c r="N291" s="58"/>
      <c r="P291" s="16"/>
      <c r="Q291" s="20"/>
      <c r="R291" s="14" t="e">
        <v>#N/A</v>
      </c>
      <c r="S291" s="19"/>
      <c r="T291" s="16"/>
      <c r="U291" s="16"/>
      <c r="V291" s="16"/>
      <c r="W291" s="5"/>
      <c r="X291" s="16"/>
      <c r="Y291" s="5"/>
      <c r="Z291" s="16"/>
      <c r="AA291" s="16"/>
      <c r="AB291" s="16"/>
      <c r="AE291" s="16"/>
      <c r="AF291" s="21">
        <v>3</v>
      </c>
      <c r="AG291" s="22">
        <v>184</v>
      </c>
      <c r="AH291" s="6">
        <v>0.08</v>
      </c>
      <c r="AI291" s="21">
        <v>8100</v>
      </c>
      <c r="AJ291" s="20">
        <f t="shared" si="51"/>
        <v>119232</v>
      </c>
      <c r="AK291" s="50"/>
      <c r="AL291" s="6"/>
      <c r="AM291" s="20">
        <f t="shared" si="52"/>
        <v>119232</v>
      </c>
      <c r="AN291" s="20">
        <f>+(S290*0.08)+AM291</f>
        <v>122272</v>
      </c>
      <c r="AP291" s="20">
        <f t="shared" si="54"/>
        <v>122272</v>
      </c>
      <c r="AQ291" s="7">
        <v>3.0000000000000001E-3</v>
      </c>
      <c r="AR291" s="20"/>
      <c r="AS291" s="51"/>
    </row>
    <row r="292" spans="1:46" ht="30" customHeight="1" x14ac:dyDescent="0.2">
      <c r="A292" s="8"/>
      <c r="B292" s="46"/>
      <c r="C292" s="16"/>
      <c r="S292" s="20"/>
      <c r="AC292" s="21"/>
      <c r="AD292" s="21"/>
      <c r="AG292" s="22"/>
      <c r="AJ292" s="20"/>
      <c r="AM292" s="20"/>
      <c r="AN292" s="20"/>
      <c r="AP292" s="20"/>
      <c r="AR292" s="20"/>
    </row>
    <row r="293" spans="1:46" s="21" customFormat="1" ht="30" customHeight="1" x14ac:dyDescent="0.2">
      <c r="A293" s="2">
        <v>247</v>
      </c>
      <c r="B293" s="46">
        <v>1</v>
      </c>
      <c r="C293" s="16" t="s">
        <v>52</v>
      </c>
      <c r="D293" s="48">
        <v>2998</v>
      </c>
      <c r="E293" s="47">
        <v>2</v>
      </c>
      <c r="F293" s="48">
        <v>2066</v>
      </c>
      <c r="G293" s="49">
        <v>2</v>
      </c>
      <c r="H293" s="48">
        <v>0</v>
      </c>
      <c r="I293" s="48">
        <v>0</v>
      </c>
      <c r="J293" s="48">
        <v>44</v>
      </c>
      <c r="K293" s="3">
        <v>44</v>
      </c>
      <c r="L293" s="16"/>
      <c r="M293" s="57"/>
      <c r="N293" s="58"/>
      <c r="P293" s="16">
        <v>1</v>
      </c>
      <c r="Q293" s="20">
        <f>+K293</f>
        <v>44</v>
      </c>
      <c r="R293" s="14">
        <v>200</v>
      </c>
      <c r="S293" s="19">
        <f>+Q293*R293</f>
        <v>8800</v>
      </c>
      <c r="T293" s="16"/>
      <c r="U293" s="17"/>
      <c r="V293" s="16"/>
      <c r="W293" s="5"/>
      <c r="X293" s="16"/>
      <c r="Y293" s="5"/>
      <c r="Z293" s="16"/>
      <c r="AA293" s="16"/>
      <c r="AB293" s="16"/>
      <c r="AC293" s="14"/>
      <c r="AD293" s="14"/>
      <c r="AE293" s="16"/>
      <c r="AG293" s="22">
        <f>Y293</f>
        <v>0</v>
      </c>
      <c r="AH293" s="6"/>
      <c r="AJ293" s="20">
        <f t="shared" si="51"/>
        <v>0</v>
      </c>
      <c r="AK293" s="50"/>
      <c r="AL293" s="6"/>
      <c r="AM293" s="20">
        <f t="shared" si="52"/>
        <v>0</v>
      </c>
      <c r="AN293" s="20">
        <f>+S293+AM293</f>
        <v>8800</v>
      </c>
      <c r="AP293" s="20">
        <f t="shared" si="54"/>
        <v>8800</v>
      </c>
      <c r="AQ293" s="7"/>
      <c r="AR293" s="20"/>
      <c r="AS293" s="51"/>
    </row>
    <row r="294" spans="1:46" s="21" customFormat="1" ht="30" customHeight="1" x14ac:dyDescent="0.2">
      <c r="A294" s="8">
        <v>248</v>
      </c>
      <c r="B294" s="46">
        <v>2</v>
      </c>
      <c r="C294" s="16" t="s">
        <v>52</v>
      </c>
      <c r="D294" s="48">
        <v>34285</v>
      </c>
      <c r="E294" s="47">
        <v>18</v>
      </c>
      <c r="F294" s="48">
        <v>6813</v>
      </c>
      <c r="G294" s="49">
        <v>2</v>
      </c>
      <c r="H294" s="48">
        <v>4</v>
      </c>
      <c r="I294" s="48">
        <v>1</v>
      </c>
      <c r="J294" s="48">
        <v>59</v>
      </c>
      <c r="K294" s="3">
        <f>((4*400)+100+59)-L294</f>
        <v>1734.5</v>
      </c>
      <c r="L294" s="16">
        <v>24.5</v>
      </c>
      <c r="M294" s="57"/>
      <c r="N294" s="58"/>
      <c r="P294" s="16">
        <v>5</v>
      </c>
      <c r="Q294" s="20">
        <v>1759</v>
      </c>
      <c r="R294" s="14">
        <v>200</v>
      </c>
      <c r="S294" s="19">
        <f>+Q294*R294</f>
        <v>351800</v>
      </c>
      <c r="T294" s="16"/>
      <c r="U294" s="17"/>
      <c r="V294" s="17"/>
      <c r="W294" s="4"/>
      <c r="X294" s="16"/>
      <c r="Y294" s="5"/>
      <c r="Z294" s="16"/>
      <c r="AA294" s="16"/>
      <c r="AB294" s="16"/>
      <c r="AC294" s="14"/>
      <c r="AD294" s="14"/>
      <c r="AE294" s="16"/>
      <c r="AG294" s="22"/>
      <c r="AH294" s="6"/>
      <c r="AJ294" s="20"/>
      <c r="AK294" s="50"/>
      <c r="AL294" s="6"/>
      <c r="AM294" s="20"/>
      <c r="AN294" s="20"/>
      <c r="AP294" s="20"/>
      <c r="AQ294" s="7"/>
      <c r="AR294" s="20"/>
      <c r="AS294" s="51"/>
    </row>
    <row r="295" spans="1:46" s="21" customFormat="1" ht="30" customHeight="1" x14ac:dyDescent="0.2">
      <c r="A295" s="8"/>
      <c r="B295" s="46"/>
      <c r="C295" s="16"/>
      <c r="D295" s="48"/>
      <c r="E295" s="47"/>
      <c r="F295" s="48"/>
      <c r="G295" s="49"/>
      <c r="H295" s="48"/>
      <c r="I295" s="48"/>
      <c r="J295" s="48"/>
      <c r="K295" s="3"/>
      <c r="L295" s="16"/>
      <c r="M295" s="57"/>
      <c r="N295" s="58"/>
      <c r="P295" s="16"/>
      <c r="Q295" s="20"/>
      <c r="R295" s="14" t="e">
        <v>#N/A</v>
      </c>
      <c r="S295" s="19"/>
      <c r="T295" s="16">
        <v>1</v>
      </c>
      <c r="U295" s="17"/>
      <c r="V295" s="17"/>
      <c r="W295" s="4"/>
      <c r="X295" s="16"/>
      <c r="Y295" s="5"/>
      <c r="Z295" s="16"/>
      <c r="AA295" s="16"/>
      <c r="AB295" s="16"/>
      <c r="AC295" s="14"/>
      <c r="AD295" s="14"/>
      <c r="AE295" s="16"/>
      <c r="AG295" s="22"/>
      <c r="AH295" s="6"/>
      <c r="AJ295" s="20">
        <f>+AG295*AH295*AI295</f>
        <v>0</v>
      </c>
      <c r="AK295" s="50"/>
      <c r="AL295" s="6"/>
      <c r="AM295" s="20">
        <f>+AJ295-(AL295*AJ295)</f>
        <v>0</v>
      </c>
      <c r="AN295" s="20">
        <f>(K294*R294)+AM295</f>
        <v>346900</v>
      </c>
      <c r="AP295" s="20">
        <f>AN295</f>
        <v>346900</v>
      </c>
      <c r="AQ295" s="7"/>
      <c r="AR295" s="20"/>
      <c r="AS295" s="51"/>
    </row>
    <row r="296" spans="1:46" s="21" customFormat="1" ht="30" customHeight="1" x14ac:dyDescent="0.2">
      <c r="A296" s="8"/>
      <c r="B296" s="46"/>
      <c r="C296" s="16"/>
      <c r="D296" s="48"/>
      <c r="E296" s="47"/>
      <c r="F296" s="48"/>
      <c r="G296" s="49"/>
      <c r="H296" s="48"/>
      <c r="I296" s="48"/>
      <c r="J296" s="48"/>
      <c r="K296" s="3"/>
      <c r="L296" s="16"/>
      <c r="M296" s="57"/>
      <c r="N296" s="58"/>
      <c r="P296" s="16"/>
      <c r="Q296" s="20"/>
      <c r="R296" s="14" t="e">
        <v>#N/A</v>
      </c>
      <c r="S296" s="19"/>
      <c r="T296" s="16">
        <v>2</v>
      </c>
      <c r="U296" s="17" t="s">
        <v>57</v>
      </c>
      <c r="V296" s="17" t="s">
        <v>56</v>
      </c>
      <c r="W296" s="4"/>
      <c r="X296" s="16"/>
      <c r="Y296" s="5">
        <v>98</v>
      </c>
      <c r="Z296" s="16"/>
      <c r="AA296" s="16"/>
      <c r="AB296" s="16"/>
      <c r="AC296" s="14"/>
      <c r="AD296" s="14"/>
      <c r="AE296" s="16"/>
      <c r="AF296" s="21">
        <v>2</v>
      </c>
      <c r="AG296" s="22">
        <f>Y296</f>
        <v>98</v>
      </c>
      <c r="AH296" s="6">
        <v>1</v>
      </c>
      <c r="AI296" s="21">
        <v>7250</v>
      </c>
      <c r="AJ296" s="20">
        <f>+AG296*AH296*AI296</f>
        <v>710500</v>
      </c>
      <c r="AK296" s="50"/>
      <c r="AL296" s="6"/>
      <c r="AM296" s="20">
        <f>+AJ296-(AL296*AJ296)</f>
        <v>710500</v>
      </c>
      <c r="AN296" s="20">
        <f>+AM296+(0.01392*S294)</f>
        <v>715397.05599999998</v>
      </c>
      <c r="AP296" s="20">
        <f>AN296</f>
        <v>715397.05599999998</v>
      </c>
      <c r="AQ296" s="7"/>
      <c r="AR296" s="20"/>
      <c r="AS296" s="51"/>
    </row>
    <row r="297" spans="1:46" ht="30" customHeight="1" x14ac:dyDescent="0.2">
      <c r="C297" s="16"/>
      <c r="S297" s="20"/>
      <c r="AG297" s="22"/>
      <c r="AJ297" s="20"/>
      <c r="AM297" s="20"/>
      <c r="AN297" s="20"/>
      <c r="AP297" s="20"/>
      <c r="AR297" s="20"/>
    </row>
    <row r="298" spans="1:46" ht="30" customHeight="1" x14ac:dyDescent="0.2">
      <c r="A298" s="8"/>
      <c r="C298" s="16"/>
      <c r="AG298" s="22"/>
      <c r="AJ298" s="20"/>
      <c r="AM298" s="20"/>
      <c r="AN298" s="20"/>
      <c r="AP298" s="20"/>
      <c r="AR298" s="20"/>
    </row>
    <row r="299" spans="1:46" ht="30" customHeight="1" x14ac:dyDescent="0.2">
      <c r="A299" s="2">
        <v>249</v>
      </c>
      <c r="B299" s="13">
        <v>5</v>
      </c>
      <c r="C299" s="16" t="s">
        <v>65</v>
      </c>
      <c r="D299" s="17">
        <v>985</v>
      </c>
      <c r="E299" s="17">
        <v>40</v>
      </c>
      <c r="H299" s="17">
        <v>2</v>
      </c>
      <c r="I299" s="17">
        <v>3</v>
      </c>
      <c r="J299" s="17">
        <v>80</v>
      </c>
      <c r="K299" s="10">
        <v>1180</v>
      </c>
      <c r="P299" s="17">
        <v>1</v>
      </c>
      <c r="Q299" s="19">
        <f>+K299</f>
        <v>1180</v>
      </c>
      <c r="R299" s="14">
        <v>1000</v>
      </c>
      <c r="S299" s="19">
        <f t="shared" ref="S299:S312" si="55">+Q299*R299</f>
        <v>1180000</v>
      </c>
      <c r="AC299" s="21"/>
      <c r="AD299" s="21"/>
      <c r="AG299" s="22">
        <f>Y299</f>
        <v>0</v>
      </c>
      <c r="AJ299" s="20">
        <f>+AG299*AH299*AI299</f>
        <v>0</v>
      </c>
      <c r="AM299" s="20">
        <f>+AJ299-(AL299*AJ299)</f>
        <v>0</v>
      </c>
      <c r="AN299" s="20">
        <f>+S299+AM299</f>
        <v>1180000</v>
      </c>
      <c r="AP299" s="20">
        <f>AN299</f>
        <v>1180000</v>
      </c>
      <c r="AQ299" s="12">
        <v>1E-4</v>
      </c>
      <c r="AR299" s="20"/>
    </row>
    <row r="300" spans="1:46" s="21" customFormat="1" ht="30" customHeight="1" x14ac:dyDescent="0.2">
      <c r="A300" s="2">
        <v>250</v>
      </c>
      <c r="B300" s="46">
        <v>1</v>
      </c>
      <c r="C300" s="16" t="s">
        <v>52</v>
      </c>
      <c r="D300" s="48">
        <v>1034</v>
      </c>
      <c r="E300" s="47">
        <v>49</v>
      </c>
      <c r="F300" s="48">
        <v>391</v>
      </c>
      <c r="G300" s="49">
        <v>1</v>
      </c>
      <c r="H300" s="48">
        <v>0</v>
      </c>
      <c r="I300" s="48">
        <v>3</v>
      </c>
      <c r="J300" s="48">
        <v>93</v>
      </c>
      <c r="K300" s="3"/>
      <c r="L300" s="16">
        <v>393</v>
      </c>
      <c r="M300" s="57"/>
      <c r="N300" s="58"/>
      <c r="P300" s="16">
        <v>5</v>
      </c>
      <c r="Q300" s="20">
        <f>+L300</f>
        <v>393</v>
      </c>
      <c r="R300" s="14">
        <v>3000</v>
      </c>
      <c r="S300" s="19">
        <f t="shared" si="55"/>
        <v>1179000</v>
      </c>
      <c r="T300" s="16"/>
      <c r="U300" s="17"/>
      <c r="V300" s="17"/>
      <c r="W300" s="4"/>
      <c r="X300" s="16"/>
      <c r="Y300" s="5"/>
      <c r="Z300" s="16"/>
      <c r="AA300" s="16"/>
      <c r="AB300" s="16"/>
      <c r="AC300" s="14"/>
      <c r="AD300" s="14"/>
      <c r="AE300" s="16"/>
      <c r="AG300" s="22"/>
      <c r="AH300" s="6"/>
      <c r="AJ300" s="20"/>
      <c r="AK300" s="50"/>
      <c r="AL300" s="6"/>
      <c r="AM300" s="20"/>
      <c r="AN300" s="20"/>
      <c r="AP300" s="20"/>
      <c r="AQ300" s="7"/>
      <c r="AR300" s="96" t="s">
        <v>98</v>
      </c>
      <c r="AS300" s="96">
        <f>10+1740</f>
        <v>1750</v>
      </c>
    </row>
    <row r="301" spans="1:46" s="21" customFormat="1" ht="30" customHeight="1" x14ac:dyDescent="0.2">
      <c r="A301" s="2"/>
      <c r="B301" s="46"/>
      <c r="C301" s="16"/>
      <c r="D301" s="48"/>
      <c r="E301" s="47"/>
      <c r="F301" s="48"/>
      <c r="G301" s="49"/>
      <c r="H301" s="48"/>
      <c r="I301" s="48"/>
      <c r="J301" s="48"/>
      <c r="K301" s="3"/>
      <c r="L301" s="16"/>
      <c r="M301" s="57"/>
      <c r="N301" s="58"/>
      <c r="P301" s="16">
        <v>2</v>
      </c>
      <c r="Q301" s="20"/>
      <c r="R301" s="14">
        <v>3000</v>
      </c>
      <c r="S301" s="19">
        <f t="shared" si="55"/>
        <v>0</v>
      </c>
      <c r="T301" s="16">
        <v>1</v>
      </c>
      <c r="U301" s="17" t="s">
        <v>57</v>
      </c>
      <c r="V301" s="17" t="s">
        <v>56</v>
      </c>
      <c r="W301" s="4"/>
      <c r="X301" s="16"/>
      <c r="Y301" s="5">
        <v>208</v>
      </c>
      <c r="Z301" s="16"/>
      <c r="AA301" s="16"/>
      <c r="AB301" s="16"/>
      <c r="AC301" s="14"/>
      <c r="AD301" s="14"/>
      <c r="AE301" s="16"/>
      <c r="AF301" s="21">
        <v>2</v>
      </c>
      <c r="AG301" s="22">
        <f>Y301</f>
        <v>208</v>
      </c>
      <c r="AH301" s="6">
        <v>1</v>
      </c>
      <c r="AI301" s="21">
        <v>7250</v>
      </c>
      <c r="AJ301" s="20">
        <f t="shared" ref="AJ301:AJ323" si="56">+AG301*AH301*AI301</f>
        <v>1508000</v>
      </c>
      <c r="AK301" s="50"/>
      <c r="AL301" s="6"/>
      <c r="AM301" s="20">
        <f t="shared" ref="AM301:AM364" si="57">+AJ301-(AL301*AJ301)</f>
        <v>1508000</v>
      </c>
      <c r="AN301" s="20">
        <f>(L300*0.13)+AM301</f>
        <v>1508051.09</v>
      </c>
      <c r="AP301" s="20">
        <f t="shared" ref="AP301:AP364" si="58">AN301</f>
        <v>1508051.09</v>
      </c>
      <c r="AQ301" s="7"/>
      <c r="AR301" s="97"/>
      <c r="AS301" s="97"/>
    </row>
    <row r="302" spans="1:46" s="21" customFormat="1" ht="30" customHeight="1" x14ac:dyDescent="0.2">
      <c r="A302" s="2"/>
      <c r="B302" s="46"/>
      <c r="C302" s="16"/>
      <c r="D302" s="48"/>
      <c r="E302" s="47"/>
      <c r="F302" s="48"/>
      <c r="G302" s="49"/>
      <c r="H302" s="48"/>
      <c r="I302" s="48"/>
      <c r="J302" s="48"/>
      <c r="K302" s="3"/>
      <c r="L302" s="16"/>
      <c r="M302" s="57"/>
      <c r="N302" s="58"/>
      <c r="P302" s="16">
        <v>3</v>
      </c>
      <c r="Q302" s="20">
        <v>8</v>
      </c>
      <c r="R302" s="14">
        <v>3000</v>
      </c>
      <c r="S302" s="19">
        <f t="shared" si="55"/>
        <v>24000</v>
      </c>
      <c r="T302" s="16"/>
      <c r="U302" s="17"/>
      <c r="V302" s="17"/>
      <c r="W302" s="4"/>
      <c r="X302" s="16"/>
      <c r="Y302" s="5"/>
      <c r="Z302" s="16"/>
      <c r="AA302" s="16"/>
      <c r="AB302" s="16"/>
      <c r="AC302" s="14"/>
      <c r="AD302" s="14"/>
      <c r="AE302" s="16"/>
      <c r="AF302" s="21">
        <v>3</v>
      </c>
      <c r="AG302" s="22">
        <v>7.6</v>
      </c>
      <c r="AH302" s="6">
        <v>1</v>
      </c>
      <c r="AI302" s="21">
        <v>550</v>
      </c>
      <c r="AJ302" s="20">
        <f t="shared" si="56"/>
        <v>4180</v>
      </c>
      <c r="AK302" s="50"/>
      <c r="AL302" s="6"/>
      <c r="AM302" s="20">
        <f t="shared" si="57"/>
        <v>4180</v>
      </c>
      <c r="AN302" s="20">
        <f>+AM302+S302</f>
        <v>28180</v>
      </c>
      <c r="AP302" s="20">
        <f t="shared" si="58"/>
        <v>28180</v>
      </c>
      <c r="AQ302" s="7">
        <v>3.0000000000000001E-3</v>
      </c>
      <c r="AR302" s="97" t="s">
        <v>99</v>
      </c>
      <c r="AS302" s="97"/>
      <c r="AT302" s="22"/>
    </row>
    <row r="303" spans="1:46" s="21" customFormat="1" ht="30" customHeight="1" x14ac:dyDescent="0.2">
      <c r="A303" s="8">
        <v>251</v>
      </c>
      <c r="B303" s="46">
        <v>2</v>
      </c>
      <c r="C303" s="16" t="s">
        <v>52</v>
      </c>
      <c r="D303" s="48">
        <v>31579</v>
      </c>
      <c r="E303" s="47">
        <v>198</v>
      </c>
      <c r="F303" s="48">
        <v>6230</v>
      </c>
      <c r="G303" s="49">
        <v>2</v>
      </c>
      <c r="H303" s="48">
        <v>0</v>
      </c>
      <c r="I303" s="48">
        <v>0</v>
      </c>
      <c r="J303" s="48">
        <v>26</v>
      </c>
      <c r="K303" s="3"/>
      <c r="L303" s="16"/>
      <c r="M303" s="57"/>
      <c r="N303" s="58">
        <v>26</v>
      </c>
      <c r="P303" s="16">
        <v>4</v>
      </c>
      <c r="Q303" s="20">
        <f>+N303</f>
        <v>26</v>
      </c>
      <c r="R303" s="14">
        <v>200</v>
      </c>
      <c r="S303" s="19">
        <f t="shared" si="55"/>
        <v>5200</v>
      </c>
      <c r="T303" s="16"/>
      <c r="U303" s="17"/>
      <c r="V303" s="17"/>
      <c r="W303" s="4"/>
      <c r="X303" s="16"/>
      <c r="Y303" s="5"/>
      <c r="Z303" s="16"/>
      <c r="AA303" s="16"/>
      <c r="AB303" s="16"/>
      <c r="AC303" s="14"/>
      <c r="AD303" s="14"/>
      <c r="AE303" s="16"/>
      <c r="AG303" s="22">
        <f t="shared" ref="AG303:AG310" si="59">Y303</f>
        <v>0</v>
      </c>
      <c r="AH303" s="6"/>
      <c r="AJ303" s="20">
        <f t="shared" si="56"/>
        <v>0</v>
      </c>
      <c r="AK303" s="50"/>
      <c r="AL303" s="6"/>
      <c r="AM303" s="20">
        <f t="shared" si="57"/>
        <v>0</v>
      </c>
      <c r="AN303" s="20">
        <f t="shared" ref="AN303:AN311" si="60">+S303+AM303</f>
        <v>5200</v>
      </c>
      <c r="AP303" s="20">
        <f t="shared" si="58"/>
        <v>5200</v>
      </c>
      <c r="AQ303" s="7">
        <v>3.0000000000000001E-3</v>
      </c>
      <c r="AR303" s="24">
        <v>1740</v>
      </c>
      <c r="AS303" s="97"/>
    </row>
    <row r="304" spans="1:46" s="21" customFormat="1" ht="30" customHeight="1" x14ac:dyDescent="0.2">
      <c r="A304" s="2">
        <v>252</v>
      </c>
      <c r="B304" s="46">
        <v>3</v>
      </c>
      <c r="C304" s="16" t="s">
        <v>52</v>
      </c>
      <c r="D304" s="48">
        <v>31580</v>
      </c>
      <c r="E304" s="47">
        <v>199</v>
      </c>
      <c r="F304" s="48">
        <v>6231</v>
      </c>
      <c r="G304" s="49">
        <v>2</v>
      </c>
      <c r="H304" s="48">
        <v>0</v>
      </c>
      <c r="I304" s="48">
        <v>0</v>
      </c>
      <c r="J304" s="48">
        <v>26</v>
      </c>
      <c r="K304" s="3"/>
      <c r="L304" s="16"/>
      <c r="M304" s="57"/>
      <c r="N304" s="58">
        <v>26</v>
      </c>
      <c r="P304" s="16">
        <v>4</v>
      </c>
      <c r="Q304" s="20">
        <f>+N304</f>
        <v>26</v>
      </c>
      <c r="R304" s="14">
        <v>200</v>
      </c>
      <c r="S304" s="20">
        <f t="shared" si="55"/>
        <v>5200</v>
      </c>
      <c r="T304" s="16"/>
      <c r="U304" s="17"/>
      <c r="V304" s="17"/>
      <c r="W304" s="4"/>
      <c r="X304" s="16"/>
      <c r="Y304" s="5"/>
      <c r="Z304" s="16"/>
      <c r="AA304" s="16"/>
      <c r="AB304" s="16"/>
      <c r="AE304" s="16"/>
      <c r="AG304" s="22">
        <f t="shared" si="59"/>
        <v>0</v>
      </c>
      <c r="AH304" s="6"/>
      <c r="AJ304" s="20">
        <f t="shared" si="56"/>
        <v>0</v>
      </c>
      <c r="AK304" s="50"/>
      <c r="AL304" s="6"/>
      <c r="AM304" s="20">
        <f t="shared" si="57"/>
        <v>0</v>
      </c>
      <c r="AN304" s="20">
        <f t="shared" si="60"/>
        <v>5200</v>
      </c>
      <c r="AP304" s="20">
        <f t="shared" si="58"/>
        <v>5200</v>
      </c>
      <c r="AQ304" s="7">
        <v>3.0000000000000001E-3</v>
      </c>
      <c r="AR304" s="24"/>
      <c r="AS304" s="97"/>
    </row>
    <row r="305" spans="1:48" s="21" customFormat="1" ht="30" customHeight="1" x14ac:dyDescent="0.2">
      <c r="A305" s="8">
        <v>253</v>
      </c>
      <c r="B305" s="46">
        <v>4</v>
      </c>
      <c r="C305" s="16" t="s">
        <v>52</v>
      </c>
      <c r="D305" s="48">
        <v>31581</v>
      </c>
      <c r="E305" s="47">
        <v>200</v>
      </c>
      <c r="F305" s="48">
        <v>6232</v>
      </c>
      <c r="G305" s="49">
        <v>2</v>
      </c>
      <c r="H305" s="48">
        <v>0</v>
      </c>
      <c r="I305" s="48">
        <v>0</v>
      </c>
      <c r="J305" s="48">
        <v>25</v>
      </c>
      <c r="K305" s="3"/>
      <c r="L305" s="16"/>
      <c r="M305" s="57"/>
      <c r="N305" s="58">
        <v>25</v>
      </c>
      <c r="P305" s="16">
        <v>4</v>
      </c>
      <c r="Q305" s="20">
        <f>+N305</f>
        <v>25</v>
      </c>
      <c r="R305" s="14">
        <v>200</v>
      </c>
      <c r="S305" s="19">
        <f t="shared" si="55"/>
        <v>5000</v>
      </c>
      <c r="T305" s="16"/>
      <c r="U305" s="16"/>
      <c r="V305" s="16"/>
      <c r="W305" s="5"/>
      <c r="X305" s="16"/>
      <c r="Y305" s="5"/>
      <c r="Z305" s="16"/>
      <c r="AA305" s="16"/>
      <c r="AB305" s="16"/>
      <c r="AE305" s="16"/>
      <c r="AG305" s="22">
        <f t="shared" si="59"/>
        <v>0</v>
      </c>
      <c r="AH305" s="6"/>
      <c r="AJ305" s="20">
        <f t="shared" si="56"/>
        <v>0</v>
      </c>
      <c r="AK305" s="50"/>
      <c r="AL305" s="6"/>
      <c r="AM305" s="20">
        <f t="shared" si="57"/>
        <v>0</v>
      </c>
      <c r="AN305" s="20">
        <f t="shared" si="60"/>
        <v>5000</v>
      </c>
      <c r="AP305" s="20">
        <f t="shared" si="58"/>
        <v>5000</v>
      </c>
      <c r="AQ305" s="7">
        <v>3.0000000000000001E-3</v>
      </c>
      <c r="AR305" s="24"/>
      <c r="AS305" s="97"/>
    </row>
    <row r="306" spans="1:48" s="21" customFormat="1" ht="30" customHeight="1" x14ac:dyDescent="0.2">
      <c r="A306" s="2">
        <v>254</v>
      </c>
      <c r="B306" s="46">
        <v>5</v>
      </c>
      <c r="C306" s="16" t="s">
        <v>52</v>
      </c>
      <c r="D306" s="48">
        <v>31582</v>
      </c>
      <c r="E306" s="47">
        <v>201</v>
      </c>
      <c r="F306" s="48">
        <v>6233</v>
      </c>
      <c r="G306" s="49">
        <v>2</v>
      </c>
      <c r="H306" s="48">
        <v>0</v>
      </c>
      <c r="I306" s="48">
        <v>0</v>
      </c>
      <c r="J306" s="48">
        <v>24</v>
      </c>
      <c r="K306" s="3"/>
      <c r="L306" s="16"/>
      <c r="M306" s="57"/>
      <c r="N306" s="58">
        <v>24</v>
      </c>
      <c r="P306" s="16">
        <v>4</v>
      </c>
      <c r="Q306" s="20">
        <f>+N306</f>
        <v>24</v>
      </c>
      <c r="R306" s="14">
        <v>200</v>
      </c>
      <c r="S306" s="19">
        <f t="shared" si="55"/>
        <v>4800</v>
      </c>
      <c r="T306" s="16"/>
      <c r="U306" s="17"/>
      <c r="V306" s="16"/>
      <c r="W306" s="5"/>
      <c r="X306" s="16"/>
      <c r="Y306" s="5"/>
      <c r="Z306" s="16"/>
      <c r="AA306" s="16"/>
      <c r="AB306" s="16"/>
      <c r="AE306" s="16"/>
      <c r="AG306" s="22">
        <f t="shared" si="59"/>
        <v>0</v>
      </c>
      <c r="AH306" s="6"/>
      <c r="AJ306" s="20">
        <f t="shared" si="56"/>
        <v>0</v>
      </c>
      <c r="AK306" s="50"/>
      <c r="AL306" s="6"/>
      <c r="AM306" s="20">
        <f t="shared" si="57"/>
        <v>0</v>
      </c>
      <c r="AN306" s="20">
        <f t="shared" si="60"/>
        <v>4800</v>
      </c>
      <c r="AP306" s="20">
        <f t="shared" si="58"/>
        <v>4800</v>
      </c>
      <c r="AQ306" s="7">
        <v>3.0000000000000001E-3</v>
      </c>
      <c r="AR306" s="24"/>
      <c r="AS306" s="97"/>
    </row>
    <row r="307" spans="1:48" s="21" customFormat="1" ht="30" customHeight="1" x14ac:dyDescent="0.2">
      <c r="A307" s="8">
        <v>255</v>
      </c>
      <c r="B307" s="46">
        <v>6</v>
      </c>
      <c r="C307" s="16" t="s">
        <v>52</v>
      </c>
      <c r="D307" s="48">
        <v>31935</v>
      </c>
      <c r="E307" s="47">
        <v>236</v>
      </c>
      <c r="F307" s="48">
        <v>6162</v>
      </c>
      <c r="G307" s="49">
        <v>2</v>
      </c>
      <c r="H307" s="48">
        <v>0</v>
      </c>
      <c r="I307" s="48">
        <v>2</v>
      </c>
      <c r="J307" s="48">
        <v>85.04</v>
      </c>
      <c r="K307" s="3">
        <v>285.04000000000002</v>
      </c>
      <c r="L307" s="16"/>
      <c r="M307" s="57"/>
      <c r="N307" s="58"/>
      <c r="P307" s="16">
        <v>1</v>
      </c>
      <c r="Q307" s="20">
        <f>+K307</f>
        <v>285.04000000000002</v>
      </c>
      <c r="R307" s="14">
        <v>250</v>
      </c>
      <c r="S307" s="20">
        <f t="shared" si="55"/>
        <v>71260</v>
      </c>
      <c r="T307" s="16"/>
      <c r="U307" s="17"/>
      <c r="V307" s="17"/>
      <c r="W307" s="4"/>
      <c r="X307" s="16"/>
      <c r="Y307" s="5"/>
      <c r="Z307" s="16"/>
      <c r="AA307" s="16"/>
      <c r="AB307" s="16"/>
      <c r="AE307" s="16"/>
      <c r="AG307" s="22">
        <f t="shared" si="59"/>
        <v>0</v>
      </c>
      <c r="AH307" s="6"/>
      <c r="AJ307" s="20">
        <f t="shared" si="56"/>
        <v>0</v>
      </c>
      <c r="AK307" s="50"/>
      <c r="AL307" s="6"/>
      <c r="AM307" s="20">
        <f t="shared" si="57"/>
        <v>0</v>
      </c>
      <c r="AN307" s="20">
        <f t="shared" si="60"/>
        <v>71260</v>
      </c>
      <c r="AP307" s="20">
        <f t="shared" si="58"/>
        <v>71260</v>
      </c>
      <c r="AQ307" s="7"/>
      <c r="AR307" s="24"/>
      <c r="AS307" s="97"/>
    </row>
    <row r="308" spans="1:48" s="21" customFormat="1" ht="30" customHeight="1" x14ac:dyDescent="0.2">
      <c r="A308" s="2">
        <v>256</v>
      </c>
      <c r="B308" s="46">
        <v>7</v>
      </c>
      <c r="C308" s="16" t="s">
        <v>52</v>
      </c>
      <c r="D308" s="48">
        <v>31936</v>
      </c>
      <c r="E308" s="47">
        <v>237</v>
      </c>
      <c r="F308" s="48">
        <v>6163</v>
      </c>
      <c r="G308" s="49">
        <v>2</v>
      </c>
      <c r="H308" s="48">
        <v>1</v>
      </c>
      <c r="I308" s="48">
        <v>0</v>
      </c>
      <c r="J308" s="48">
        <v>22.07</v>
      </c>
      <c r="K308" s="3">
        <v>422.07</v>
      </c>
      <c r="L308" s="16"/>
      <c r="M308" s="57"/>
      <c r="N308" s="58"/>
      <c r="P308" s="16">
        <v>1</v>
      </c>
      <c r="Q308" s="20">
        <f>+K308</f>
        <v>422.07</v>
      </c>
      <c r="R308" s="14">
        <v>200</v>
      </c>
      <c r="S308" s="19">
        <f t="shared" si="55"/>
        <v>84414</v>
      </c>
      <c r="T308" s="16"/>
      <c r="U308" s="17"/>
      <c r="V308" s="17"/>
      <c r="W308" s="4"/>
      <c r="X308" s="16"/>
      <c r="Y308" s="5"/>
      <c r="Z308" s="16"/>
      <c r="AA308" s="16"/>
      <c r="AB308" s="16"/>
      <c r="AE308" s="16"/>
      <c r="AG308" s="22">
        <f t="shared" si="59"/>
        <v>0</v>
      </c>
      <c r="AH308" s="6"/>
      <c r="AJ308" s="20">
        <f t="shared" si="56"/>
        <v>0</v>
      </c>
      <c r="AK308" s="50"/>
      <c r="AL308" s="6"/>
      <c r="AM308" s="20">
        <f t="shared" si="57"/>
        <v>0</v>
      </c>
      <c r="AN308" s="20">
        <f t="shared" si="60"/>
        <v>84414</v>
      </c>
      <c r="AP308" s="20">
        <f t="shared" si="58"/>
        <v>84414</v>
      </c>
      <c r="AQ308" s="7"/>
      <c r="AR308" s="25"/>
      <c r="AS308" s="98"/>
    </row>
    <row r="309" spans="1:48" s="21" customFormat="1" ht="30" customHeight="1" x14ac:dyDescent="0.2">
      <c r="A309" s="8">
        <v>257</v>
      </c>
      <c r="B309" s="46">
        <v>1</v>
      </c>
      <c r="C309" s="16" t="s">
        <v>52</v>
      </c>
      <c r="D309" s="48">
        <v>29158</v>
      </c>
      <c r="E309" s="47">
        <v>254</v>
      </c>
      <c r="F309" s="48">
        <v>5353</v>
      </c>
      <c r="G309" s="49">
        <v>1</v>
      </c>
      <c r="H309" s="48">
        <v>0</v>
      </c>
      <c r="I309" s="48">
        <v>3</v>
      </c>
      <c r="J309" s="48">
        <v>90.09</v>
      </c>
      <c r="K309" s="3">
        <v>390.9</v>
      </c>
      <c r="L309" s="16"/>
      <c r="M309" s="57"/>
      <c r="N309" s="58"/>
      <c r="P309" s="16">
        <v>1</v>
      </c>
      <c r="Q309" s="20">
        <f>+K309</f>
        <v>390.9</v>
      </c>
      <c r="R309" s="14">
        <v>250</v>
      </c>
      <c r="S309" s="19">
        <f t="shared" si="55"/>
        <v>97725</v>
      </c>
      <c r="T309" s="16"/>
      <c r="U309" s="17"/>
      <c r="V309" s="17"/>
      <c r="W309" s="4"/>
      <c r="X309" s="16"/>
      <c r="Y309" s="5"/>
      <c r="Z309" s="16"/>
      <c r="AA309" s="16"/>
      <c r="AB309" s="16"/>
      <c r="AE309" s="16"/>
      <c r="AG309" s="22">
        <f t="shared" si="59"/>
        <v>0</v>
      </c>
      <c r="AH309" s="6"/>
      <c r="AJ309" s="20">
        <f t="shared" si="56"/>
        <v>0</v>
      </c>
      <c r="AK309" s="50"/>
      <c r="AL309" s="6"/>
      <c r="AM309" s="20">
        <f t="shared" si="57"/>
        <v>0</v>
      </c>
      <c r="AN309" s="20">
        <f t="shared" si="60"/>
        <v>97725</v>
      </c>
      <c r="AP309" s="20">
        <f t="shared" si="58"/>
        <v>97725</v>
      </c>
      <c r="AQ309" s="7"/>
      <c r="AR309" s="20"/>
      <c r="AS309" s="51"/>
    </row>
    <row r="310" spans="1:48" s="21" customFormat="1" ht="30" customHeight="1" x14ac:dyDescent="0.2">
      <c r="A310" s="2">
        <v>258</v>
      </c>
      <c r="B310" s="46">
        <v>1</v>
      </c>
      <c r="C310" s="16" t="s">
        <v>52</v>
      </c>
      <c r="D310" s="48">
        <v>2619</v>
      </c>
      <c r="E310" s="47">
        <v>24</v>
      </c>
      <c r="F310" s="48">
        <v>1878</v>
      </c>
      <c r="G310" s="49">
        <v>1</v>
      </c>
      <c r="H310" s="48">
        <v>5</v>
      </c>
      <c r="I310" s="48">
        <v>3</v>
      </c>
      <c r="J310" s="48">
        <v>51</v>
      </c>
      <c r="K310" s="3">
        <v>1851</v>
      </c>
      <c r="L310" s="16"/>
      <c r="M310" s="57"/>
      <c r="N310" s="58"/>
      <c r="P310" s="16">
        <v>1</v>
      </c>
      <c r="Q310" s="20">
        <f>+K310</f>
        <v>1851</v>
      </c>
      <c r="R310" s="14">
        <v>160</v>
      </c>
      <c r="S310" s="20">
        <f t="shared" si="55"/>
        <v>296160</v>
      </c>
      <c r="T310" s="16"/>
      <c r="U310" s="17"/>
      <c r="V310" s="17"/>
      <c r="W310" s="4"/>
      <c r="X310" s="16"/>
      <c r="Y310" s="5"/>
      <c r="Z310" s="16"/>
      <c r="AA310" s="16"/>
      <c r="AB310" s="16"/>
      <c r="AE310" s="16"/>
      <c r="AG310" s="22">
        <f t="shared" si="59"/>
        <v>0</v>
      </c>
      <c r="AH310" s="6"/>
      <c r="AJ310" s="20">
        <f t="shared" si="56"/>
        <v>0</v>
      </c>
      <c r="AK310" s="50"/>
      <c r="AL310" s="6"/>
      <c r="AM310" s="20">
        <f t="shared" si="57"/>
        <v>0</v>
      </c>
      <c r="AN310" s="20">
        <f t="shared" si="60"/>
        <v>296160</v>
      </c>
      <c r="AP310" s="20">
        <f t="shared" si="58"/>
        <v>296160</v>
      </c>
      <c r="AQ310" s="7"/>
      <c r="AR310" s="20"/>
      <c r="AS310" s="51"/>
    </row>
    <row r="311" spans="1:48" ht="30" customHeight="1" x14ac:dyDescent="0.2">
      <c r="A311" s="2">
        <v>259</v>
      </c>
      <c r="B311" s="46">
        <v>2</v>
      </c>
      <c r="C311" s="16" t="s">
        <v>52</v>
      </c>
      <c r="D311" s="48">
        <v>18770</v>
      </c>
      <c r="E311" s="47">
        <v>167</v>
      </c>
      <c r="F311" s="48">
        <v>3682</v>
      </c>
      <c r="G311" s="49">
        <v>1</v>
      </c>
      <c r="H311" s="48">
        <v>0</v>
      </c>
      <c r="I311" s="48">
        <v>1</v>
      </c>
      <c r="J311" s="48">
        <v>39</v>
      </c>
      <c r="K311" s="28"/>
      <c r="L311" s="17">
        <v>139</v>
      </c>
      <c r="M311" s="63"/>
      <c r="P311" s="21">
        <v>2</v>
      </c>
      <c r="Q311" s="19">
        <f>+(H311*400)+(I311*100)+J311</f>
        <v>139</v>
      </c>
      <c r="R311" s="14">
        <v>250</v>
      </c>
      <c r="S311" s="19">
        <f t="shared" si="55"/>
        <v>34750</v>
      </c>
      <c r="U311" s="17" t="s">
        <v>57</v>
      </c>
      <c r="V311" s="17" t="s">
        <v>56</v>
      </c>
      <c r="Y311" s="67">
        <v>204</v>
      </c>
      <c r="AB311" s="17">
        <f>62-41</f>
        <v>21</v>
      </c>
      <c r="AD311" s="17"/>
      <c r="AE311" s="14" t="s">
        <v>100</v>
      </c>
      <c r="AF311" s="21">
        <v>2</v>
      </c>
      <c r="AG311" s="22">
        <v>204</v>
      </c>
      <c r="AH311" s="6">
        <v>1</v>
      </c>
      <c r="AI311" s="21">
        <v>7250</v>
      </c>
      <c r="AJ311" s="20">
        <f t="shared" si="56"/>
        <v>1479000</v>
      </c>
      <c r="AK311" s="50">
        <f>AB311</f>
        <v>21</v>
      </c>
      <c r="AL311" s="6"/>
      <c r="AM311" s="20">
        <f t="shared" si="57"/>
        <v>1479000</v>
      </c>
      <c r="AN311" s="20">
        <f t="shared" si="60"/>
        <v>1513750</v>
      </c>
      <c r="AO311" s="21"/>
      <c r="AP311" s="20">
        <f t="shared" si="58"/>
        <v>1513750</v>
      </c>
      <c r="AQ311" s="7"/>
      <c r="AR311" s="24"/>
      <c r="AS311" s="97"/>
      <c r="AT311" s="21"/>
      <c r="AU311" s="21"/>
      <c r="AV311" s="21"/>
    </row>
    <row r="312" spans="1:48" s="21" customFormat="1" ht="30" customHeight="1" x14ac:dyDescent="0.2">
      <c r="A312" s="8">
        <v>260</v>
      </c>
      <c r="B312" s="46">
        <v>1</v>
      </c>
      <c r="C312" s="16" t="s">
        <v>52</v>
      </c>
      <c r="D312" s="48">
        <v>31643</v>
      </c>
      <c r="E312" s="47">
        <v>320</v>
      </c>
      <c r="F312" s="48">
        <v>6213</v>
      </c>
      <c r="G312" s="49">
        <v>1</v>
      </c>
      <c r="H312" s="48">
        <v>0</v>
      </c>
      <c r="I312" s="48">
        <v>1</v>
      </c>
      <c r="J312" s="48">
        <v>48</v>
      </c>
      <c r="K312" s="3"/>
      <c r="L312" s="16">
        <v>148</v>
      </c>
      <c r="M312" s="57"/>
      <c r="N312" s="58"/>
      <c r="P312" s="16">
        <v>2</v>
      </c>
      <c r="Q312" s="20">
        <f>+L312</f>
        <v>148</v>
      </c>
      <c r="R312" s="14">
        <v>3000</v>
      </c>
      <c r="S312" s="19">
        <f t="shared" si="55"/>
        <v>444000</v>
      </c>
      <c r="T312" s="16">
        <v>1</v>
      </c>
      <c r="U312" s="17" t="s">
        <v>57</v>
      </c>
      <c r="V312" s="17" t="s">
        <v>56</v>
      </c>
      <c r="W312" s="4"/>
      <c r="X312" s="16"/>
      <c r="Y312" s="5">
        <v>80</v>
      </c>
      <c r="Z312" s="16"/>
      <c r="AA312" s="16"/>
      <c r="AB312" s="16"/>
      <c r="AE312" s="16"/>
      <c r="AF312" s="21">
        <v>2</v>
      </c>
      <c r="AG312" s="22">
        <f>Y312</f>
        <v>80</v>
      </c>
      <c r="AH312" s="6">
        <v>1</v>
      </c>
      <c r="AI312" s="21">
        <v>7250</v>
      </c>
      <c r="AJ312" s="20">
        <f t="shared" si="56"/>
        <v>580000</v>
      </c>
      <c r="AK312" s="50"/>
      <c r="AL312" s="6"/>
      <c r="AM312" s="20">
        <f t="shared" si="57"/>
        <v>580000</v>
      </c>
      <c r="AN312" s="20">
        <f>+(S312*0.69)+AM312</f>
        <v>886360</v>
      </c>
      <c r="AP312" s="20">
        <f t="shared" si="58"/>
        <v>886360</v>
      </c>
      <c r="AQ312" s="7"/>
      <c r="AR312" s="20"/>
      <c r="AS312" s="51"/>
    </row>
    <row r="313" spans="1:48" s="21" customFormat="1" ht="30" customHeight="1" x14ac:dyDescent="0.2">
      <c r="A313" s="8"/>
      <c r="B313" s="46"/>
      <c r="C313" s="16"/>
      <c r="D313" s="48"/>
      <c r="E313" s="47"/>
      <c r="F313" s="48"/>
      <c r="G313" s="49"/>
      <c r="H313" s="48"/>
      <c r="I313" s="48"/>
      <c r="J313" s="48"/>
      <c r="K313" s="3"/>
      <c r="L313" s="16"/>
      <c r="M313" s="57"/>
      <c r="N313" s="58"/>
      <c r="P313" s="16"/>
      <c r="Q313" s="20"/>
      <c r="R313" s="14" t="e">
        <v>#N/A</v>
      </c>
      <c r="S313" s="19"/>
      <c r="T313" s="16">
        <v>2</v>
      </c>
      <c r="U313" s="17" t="s">
        <v>101</v>
      </c>
      <c r="V313" s="17" t="s">
        <v>56</v>
      </c>
      <c r="W313" s="4">
        <v>36</v>
      </c>
      <c r="X313" s="16"/>
      <c r="Y313" s="5"/>
      <c r="Z313" s="16">
        <v>36</v>
      </c>
      <c r="AA313" s="16"/>
      <c r="AB313" s="16"/>
      <c r="AE313" s="16"/>
      <c r="AF313" s="21">
        <v>3</v>
      </c>
      <c r="AG313" s="22">
        <v>36</v>
      </c>
      <c r="AH313" s="6">
        <v>1</v>
      </c>
      <c r="AI313" s="21">
        <v>3750</v>
      </c>
      <c r="AJ313" s="20">
        <f t="shared" si="56"/>
        <v>135000</v>
      </c>
      <c r="AK313" s="50">
        <v>6</v>
      </c>
      <c r="AL313" s="6">
        <v>0.06</v>
      </c>
      <c r="AM313" s="20">
        <f t="shared" si="57"/>
        <v>126900</v>
      </c>
      <c r="AN313" s="20">
        <f>+(S312*0.31)+AM313</f>
        <v>264540</v>
      </c>
      <c r="AP313" s="20">
        <f t="shared" si="58"/>
        <v>264540</v>
      </c>
      <c r="AQ313" s="7">
        <v>3.0000000000000001E-3</v>
      </c>
      <c r="AR313" s="20"/>
      <c r="AS313" s="51"/>
    </row>
    <row r="314" spans="1:48" s="21" customFormat="1" ht="30" customHeight="1" x14ac:dyDescent="0.2">
      <c r="A314" s="2">
        <v>261</v>
      </c>
      <c r="B314" s="46">
        <v>1</v>
      </c>
      <c r="C314" s="16" t="s">
        <v>52</v>
      </c>
      <c r="D314" s="48">
        <v>18662</v>
      </c>
      <c r="E314" s="47">
        <v>42</v>
      </c>
      <c r="F314" s="48">
        <v>4207</v>
      </c>
      <c r="G314" s="49">
        <v>3</v>
      </c>
      <c r="H314" s="48">
        <v>4</v>
      </c>
      <c r="I314" s="48">
        <v>0</v>
      </c>
      <c r="J314" s="48">
        <v>85</v>
      </c>
      <c r="K314" s="3">
        <v>1685</v>
      </c>
      <c r="L314" s="16"/>
      <c r="M314" s="57"/>
      <c r="N314" s="58"/>
      <c r="P314" s="16">
        <v>1</v>
      </c>
      <c r="Q314" s="20">
        <f>+K314</f>
        <v>1685</v>
      </c>
      <c r="R314" s="14">
        <v>160</v>
      </c>
      <c r="S314" s="19">
        <f t="shared" ref="S314:S320" si="61">+Q314*R314</f>
        <v>269600</v>
      </c>
      <c r="T314" s="16"/>
      <c r="U314" s="16"/>
      <c r="V314" s="16"/>
      <c r="W314" s="5"/>
      <c r="X314" s="16"/>
      <c r="Y314" s="5"/>
      <c r="Z314" s="16"/>
      <c r="AA314" s="16"/>
      <c r="AB314" s="16"/>
      <c r="AE314" s="16"/>
      <c r="AG314" s="22">
        <f>Y314</f>
        <v>0</v>
      </c>
      <c r="AH314" s="6"/>
      <c r="AJ314" s="20">
        <f t="shared" si="56"/>
        <v>0</v>
      </c>
      <c r="AK314" s="50"/>
      <c r="AL314" s="6"/>
      <c r="AM314" s="20">
        <f t="shared" si="57"/>
        <v>0</v>
      </c>
      <c r="AN314" s="20">
        <f t="shared" ref="AN314:AN345" si="62">+S314+AM314</f>
        <v>269600</v>
      </c>
      <c r="AP314" s="20">
        <f t="shared" si="58"/>
        <v>269600</v>
      </c>
      <c r="AQ314" s="7"/>
      <c r="AR314" s="20"/>
      <c r="AS314" s="51"/>
    </row>
    <row r="315" spans="1:48" s="21" customFormat="1" ht="30" customHeight="1" x14ac:dyDescent="0.2">
      <c r="A315" s="8">
        <v>262</v>
      </c>
      <c r="B315" s="46">
        <v>1</v>
      </c>
      <c r="C315" s="16" t="s">
        <v>52</v>
      </c>
      <c r="D315" s="48">
        <v>3604</v>
      </c>
      <c r="E315" s="47">
        <v>87</v>
      </c>
      <c r="F315" s="48">
        <v>2235</v>
      </c>
      <c r="G315" s="49">
        <v>2</v>
      </c>
      <c r="H315" s="48">
        <v>2</v>
      </c>
      <c r="I315" s="48">
        <v>0</v>
      </c>
      <c r="J315" s="48">
        <v>76</v>
      </c>
      <c r="K315" s="3">
        <v>876</v>
      </c>
      <c r="L315" s="16"/>
      <c r="M315" s="57"/>
      <c r="N315" s="58"/>
      <c r="P315" s="16">
        <v>1</v>
      </c>
      <c r="Q315" s="20">
        <f>+K315</f>
        <v>876</v>
      </c>
      <c r="R315" s="14">
        <v>200</v>
      </c>
      <c r="S315" s="20">
        <f t="shared" si="61"/>
        <v>175200</v>
      </c>
      <c r="T315" s="16"/>
      <c r="U315" s="17"/>
      <c r="V315" s="16"/>
      <c r="W315" s="5"/>
      <c r="X315" s="16"/>
      <c r="Y315" s="5"/>
      <c r="Z315" s="16"/>
      <c r="AA315" s="16"/>
      <c r="AB315" s="16"/>
      <c r="AE315" s="16"/>
      <c r="AG315" s="22">
        <f>Y315</f>
        <v>0</v>
      </c>
      <c r="AH315" s="6"/>
      <c r="AJ315" s="20">
        <f t="shared" si="56"/>
        <v>0</v>
      </c>
      <c r="AK315" s="50"/>
      <c r="AL315" s="6"/>
      <c r="AM315" s="20">
        <f t="shared" si="57"/>
        <v>0</v>
      </c>
      <c r="AN315" s="20">
        <f t="shared" si="62"/>
        <v>175200</v>
      </c>
      <c r="AP315" s="20">
        <f t="shared" si="58"/>
        <v>175200</v>
      </c>
      <c r="AQ315" s="7"/>
      <c r="AR315" s="20"/>
      <c r="AS315" s="51"/>
    </row>
    <row r="316" spans="1:48" s="21" customFormat="1" ht="30" customHeight="1" x14ac:dyDescent="0.2">
      <c r="A316" s="2">
        <v>263</v>
      </c>
      <c r="B316" s="46">
        <v>1</v>
      </c>
      <c r="C316" s="16" t="s">
        <v>52</v>
      </c>
      <c r="D316" s="48">
        <v>1342</v>
      </c>
      <c r="E316" s="47">
        <v>119</v>
      </c>
      <c r="F316" s="48">
        <v>631</v>
      </c>
      <c r="G316" s="49">
        <v>1</v>
      </c>
      <c r="H316" s="48">
        <v>0</v>
      </c>
      <c r="I316" s="48">
        <v>1</v>
      </c>
      <c r="J316" s="48">
        <v>46</v>
      </c>
      <c r="K316" s="3"/>
      <c r="L316" s="16">
        <v>146</v>
      </c>
      <c r="M316" s="57"/>
      <c r="N316" s="58"/>
      <c r="P316" s="16">
        <v>2</v>
      </c>
      <c r="Q316" s="20">
        <f>+L316</f>
        <v>146</v>
      </c>
      <c r="R316" s="14">
        <v>2250</v>
      </c>
      <c r="S316" s="19">
        <f t="shared" si="61"/>
        <v>328500</v>
      </c>
      <c r="T316" s="16"/>
      <c r="U316" s="17"/>
      <c r="V316" s="17"/>
      <c r="W316" s="4"/>
      <c r="X316" s="16"/>
      <c r="Y316" s="5">
        <v>122.5</v>
      </c>
      <c r="Z316" s="16"/>
      <c r="AA316" s="16"/>
      <c r="AB316" s="16"/>
      <c r="AE316" s="16"/>
      <c r="AF316" s="21">
        <v>2</v>
      </c>
      <c r="AG316" s="22">
        <f>Y316</f>
        <v>122.5</v>
      </c>
      <c r="AH316" s="6">
        <v>1</v>
      </c>
      <c r="AI316" s="21">
        <v>7250</v>
      </c>
      <c r="AJ316" s="20">
        <f t="shared" si="56"/>
        <v>888125</v>
      </c>
      <c r="AK316" s="50"/>
      <c r="AL316" s="6"/>
      <c r="AM316" s="20">
        <f t="shared" si="57"/>
        <v>888125</v>
      </c>
      <c r="AN316" s="20">
        <f t="shared" si="62"/>
        <v>1216625</v>
      </c>
      <c r="AP316" s="20">
        <f t="shared" si="58"/>
        <v>1216625</v>
      </c>
      <c r="AQ316" s="7"/>
      <c r="AR316" s="20"/>
      <c r="AS316" s="51"/>
    </row>
    <row r="317" spans="1:48" s="21" customFormat="1" ht="30" customHeight="1" x14ac:dyDescent="0.2">
      <c r="A317" s="8">
        <v>264</v>
      </c>
      <c r="B317" s="46">
        <v>1</v>
      </c>
      <c r="C317" s="16" t="s">
        <v>52</v>
      </c>
      <c r="D317" s="48">
        <v>29780</v>
      </c>
      <c r="E317" s="47">
        <v>71</v>
      </c>
      <c r="F317" s="48">
        <v>5319</v>
      </c>
      <c r="G317" s="49">
        <v>4</v>
      </c>
      <c r="H317" s="48">
        <v>2</v>
      </c>
      <c r="I317" s="48">
        <v>2</v>
      </c>
      <c r="J317" s="48">
        <v>9</v>
      </c>
      <c r="K317" s="3">
        <v>1009</v>
      </c>
      <c r="L317" s="16"/>
      <c r="M317" s="57"/>
      <c r="N317" s="58"/>
      <c r="P317" s="16">
        <v>1</v>
      </c>
      <c r="Q317" s="20">
        <f>+K317</f>
        <v>1009</v>
      </c>
      <c r="R317" s="14">
        <v>1000</v>
      </c>
      <c r="S317" s="19">
        <f t="shared" si="61"/>
        <v>1009000</v>
      </c>
      <c r="T317" s="16"/>
      <c r="U317" s="17"/>
      <c r="V317" s="17"/>
      <c r="W317" s="4"/>
      <c r="X317" s="16"/>
      <c r="Y317" s="5"/>
      <c r="Z317" s="16"/>
      <c r="AA317" s="16"/>
      <c r="AB317" s="16"/>
      <c r="AC317" s="14"/>
      <c r="AD317" s="14"/>
      <c r="AE317" s="16"/>
      <c r="AG317" s="22">
        <f>Y317</f>
        <v>0</v>
      </c>
      <c r="AH317" s="6"/>
      <c r="AJ317" s="20">
        <f t="shared" si="56"/>
        <v>0</v>
      </c>
      <c r="AK317" s="50"/>
      <c r="AL317" s="6"/>
      <c r="AM317" s="20">
        <f t="shared" si="57"/>
        <v>0</v>
      </c>
      <c r="AN317" s="20">
        <f t="shared" si="62"/>
        <v>1009000</v>
      </c>
      <c r="AP317" s="20">
        <f t="shared" si="58"/>
        <v>1009000</v>
      </c>
      <c r="AQ317" s="7"/>
      <c r="AR317" s="20"/>
      <c r="AS317" s="51"/>
    </row>
    <row r="318" spans="1:48" s="21" customFormat="1" ht="30" customHeight="1" x14ac:dyDescent="0.2">
      <c r="A318" s="2">
        <v>265</v>
      </c>
      <c r="B318" s="46">
        <v>2</v>
      </c>
      <c r="C318" s="16" t="s">
        <v>52</v>
      </c>
      <c r="D318" s="48">
        <v>37836</v>
      </c>
      <c r="E318" s="47">
        <v>124</v>
      </c>
      <c r="F318" s="48">
        <v>7660</v>
      </c>
      <c r="G318" s="49">
        <v>4</v>
      </c>
      <c r="H318" s="48">
        <v>0</v>
      </c>
      <c r="I318" s="48">
        <v>0</v>
      </c>
      <c r="J318" s="48">
        <v>49</v>
      </c>
      <c r="K318" s="3"/>
      <c r="L318" s="16">
        <v>49</v>
      </c>
      <c r="M318" s="57"/>
      <c r="N318" s="58"/>
      <c r="P318" s="16">
        <v>2</v>
      </c>
      <c r="Q318" s="20">
        <f>+L318</f>
        <v>49</v>
      </c>
      <c r="R318" s="14">
        <v>2000</v>
      </c>
      <c r="S318" s="20">
        <f t="shared" si="61"/>
        <v>98000</v>
      </c>
      <c r="T318" s="16"/>
      <c r="U318" s="17" t="s">
        <v>57</v>
      </c>
      <c r="V318" s="17" t="s">
        <v>56</v>
      </c>
      <c r="W318" s="4">
        <f>7*15</f>
        <v>105</v>
      </c>
      <c r="X318" s="16"/>
      <c r="Y318" s="5"/>
      <c r="Z318" s="16"/>
      <c r="AA318" s="16"/>
      <c r="AB318" s="16"/>
      <c r="AE318" s="16"/>
      <c r="AF318" s="21">
        <v>2</v>
      </c>
      <c r="AG318" s="22">
        <v>105</v>
      </c>
      <c r="AH318" s="6">
        <v>1</v>
      </c>
      <c r="AI318" s="21">
        <v>7250</v>
      </c>
      <c r="AJ318" s="20">
        <f t="shared" si="56"/>
        <v>761250</v>
      </c>
      <c r="AK318" s="50"/>
      <c r="AL318" s="6"/>
      <c r="AM318" s="20">
        <f t="shared" si="57"/>
        <v>761250</v>
      </c>
      <c r="AN318" s="20">
        <f t="shared" si="62"/>
        <v>859250</v>
      </c>
      <c r="AP318" s="20">
        <f t="shared" si="58"/>
        <v>859250</v>
      </c>
      <c r="AQ318" s="7"/>
      <c r="AR318" s="20"/>
      <c r="AS318" s="51"/>
    </row>
    <row r="319" spans="1:48" s="21" customFormat="1" ht="30" customHeight="1" x14ac:dyDescent="0.2">
      <c r="A319" s="8">
        <v>266</v>
      </c>
      <c r="B319" s="46">
        <v>1</v>
      </c>
      <c r="C319" s="16" t="s">
        <v>52</v>
      </c>
      <c r="D319" s="48">
        <v>4876</v>
      </c>
      <c r="E319" s="47">
        <v>1</v>
      </c>
      <c r="F319" s="48">
        <v>2613</v>
      </c>
      <c r="G319" s="49">
        <v>7</v>
      </c>
      <c r="H319" s="48">
        <v>0</v>
      </c>
      <c r="I319" s="48">
        <v>0</v>
      </c>
      <c r="J319" s="48">
        <v>52</v>
      </c>
      <c r="K319" s="3"/>
      <c r="L319" s="16">
        <v>52</v>
      </c>
      <c r="M319" s="57"/>
      <c r="N319" s="58"/>
      <c r="P319" s="16">
        <v>2</v>
      </c>
      <c r="Q319" s="20">
        <f>+L319</f>
        <v>52</v>
      </c>
      <c r="R319" s="14">
        <v>160</v>
      </c>
      <c r="S319" s="19">
        <f t="shared" si="61"/>
        <v>8320</v>
      </c>
      <c r="T319" s="16"/>
      <c r="U319" s="17" t="s">
        <v>57</v>
      </c>
      <c r="V319" s="17" t="s">
        <v>56</v>
      </c>
      <c r="W319" s="4"/>
      <c r="X319" s="16"/>
      <c r="Y319" s="5">
        <v>100</v>
      </c>
      <c r="Z319" s="16"/>
      <c r="AA319" s="16"/>
      <c r="AB319" s="16">
        <f>62-33</f>
        <v>29</v>
      </c>
      <c r="AC319" s="14"/>
      <c r="AD319" s="14"/>
      <c r="AE319" s="16"/>
      <c r="AF319" s="21">
        <v>2</v>
      </c>
      <c r="AG319" s="22">
        <f>Y319</f>
        <v>100</v>
      </c>
      <c r="AH319" s="6">
        <v>1</v>
      </c>
      <c r="AI319" s="21">
        <v>7250</v>
      </c>
      <c r="AJ319" s="20">
        <f t="shared" si="56"/>
        <v>725000</v>
      </c>
      <c r="AK319" s="50">
        <v>29</v>
      </c>
      <c r="AL319" s="6">
        <v>0.48</v>
      </c>
      <c r="AM319" s="20">
        <f t="shared" si="57"/>
        <v>377000</v>
      </c>
      <c r="AN319" s="20">
        <f t="shared" si="62"/>
        <v>385320</v>
      </c>
      <c r="AP319" s="20">
        <f t="shared" si="58"/>
        <v>385320</v>
      </c>
      <c r="AQ319" s="7"/>
      <c r="AR319" s="20"/>
      <c r="AS319" s="51"/>
    </row>
    <row r="320" spans="1:48" s="21" customFormat="1" ht="30" customHeight="1" x14ac:dyDescent="0.2">
      <c r="A320" s="2">
        <v>267</v>
      </c>
      <c r="B320" s="46">
        <v>1</v>
      </c>
      <c r="C320" s="16" t="s">
        <v>52</v>
      </c>
      <c r="D320" s="48">
        <v>36976</v>
      </c>
      <c r="E320" s="47">
        <v>336</v>
      </c>
      <c r="F320" s="48">
        <v>7123</v>
      </c>
      <c r="G320" s="49">
        <v>1</v>
      </c>
      <c r="H320" s="48">
        <v>0</v>
      </c>
      <c r="I320" s="48">
        <v>0</v>
      </c>
      <c r="J320" s="48">
        <v>38.090000000000003</v>
      </c>
      <c r="K320" s="3"/>
      <c r="L320" s="16">
        <v>38.090000000000003</v>
      </c>
      <c r="M320" s="57"/>
      <c r="N320" s="58"/>
      <c r="P320" s="16">
        <v>2</v>
      </c>
      <c r="Q320" s="20">
        <f>+L320</f>
        <v>38.090000000000003</v>
      </c>
      <c r="R320" s="14">
        <v>3000</v>
      </c>
      <c r="S320" s="19">
        <f t="shared" si="61"/>
        <v>114270.00000000001</v>
      </c>
      <c r="T320" s="16"/>
      <c r="U320" s="17" t="s">
        <v>63</v>
      </c>
      <c r="V320" s="17" t="s">
        <v>56</v>
      </c>
      <c r="W320" s="4">
        <f>5*20</f>
        <v>100</v>
      </c>
      <c r="X320" s="16"/>
      <c r="Y320" s="5">
        <v>84</v>
      </c>
      <c r="Z320" s="16"/>
      <c r="AA320" s="16"/>
      <c r="AB320" s="16"/>
      <c r="AC320" s="14"/>
      <c r="AD320" s="14"/>
      <c r="AE320" s="16">
        <f>16/100</f>
        <v>0.16</v>
      </c>
      <c r="AF320" s="21">
        <v>2</v>
      </c>
      <c r="AG320" s="22">
        <v>100</v>
      </c>
      <c r="AH320" s="6">
        <v>0.84</v>
      </c>
      <c r="AI320" s="21">
        <v>8100</v>
      </c>
      <c r="AJ320" s="20">
        <f t="shared" si="56"/>
        <v>680400</v>
      </c>
      <c r="AK320" s="50"/>
      <c r="AL320" s="6"/>
      <c r="AM320" s="20">
        <f t="shared" si="57"/>
        <v>680400</v>
      </c>
      <c r="AN320" s="20">
        <f t="shared" si="62"/>
        <v>794670</v>
      </c>
      <c r="AP320" s="20">
        <f t="shared" si="58"/>
        <v>794670</v>
      </c>
      <c r="AQ320" s="7"/>
      <c r="AR320" s="20"/>
      <c r="AS320" s="51"/>
    </row>
    <row r="321" spans="1:49" s="21" customFormat="1" ht="30" customHeight="1" x14ac:dyDescent="0.2">
      <c r="A321" s="2"/>
      <c r="B321" s="46"/>
      <c r="C321" s="16"/>
      <c r="D321" s="48"/>
      <c r="E321" s="47"/>
      <c r="F321" s="48"/>
      <c r="G321" s="49"/>
      <c r="H321" s="48"/>
      <c r="I321" s="48"/>
      <c r="J321" s="48"/>
      <c r="K321" s="3"/>
      <c r="L321" s="16"/>
      <c r="M321" s="57"/>
      <c r="N321" s="58"/>
      <c r="P321" s="16"/>
      <c r="Q321" s="20"/>
      <c r="R321" s="14"/>
      <c r="S321" s="19"/>
      <c r="T321" s="16"/>
      <c r="U321" s="17"/>
      <c r="V321" s="17"/>
      <c r="W321" s="4"/>
      <c r="X321" s="16"/>
      <c r="Y321" s="5"/>
      <c r="Z321" s="16">
        <v>16</v>
      </c>
      <c r="AA321" s="16"/>
      <c r="AB321" s="16"/>
      <c r="AC321" s="14"/>
      <c r="AD321" s="14"/>
      <c r="AE321" s="16"/>
      <c r="AF321" s="21">
        <v>3</v>
      </c>
      <c r="AG321" s="22">
        <v>100</v>
      </c>
      <c r="AH321" s="6">
        <v>0.16</v>
      </c>
      <c r="AI321" s="21">
        <v>8100</v>
      </c>
      <c r="AJ321" s="20">
        <f t="shared" si="56"/>
        <v>129600</v>
      </c>
      <c r="AK321" s="50"/>
      <c r="AL321" s="6"/>
      <c r="AM321" s="20">
        <f t="shared" si="57"/>
        <v>129600</v>
      </c>
      <c r="AN321" s="20">
        <f t="shared" si="62"/>
        <v>129600</v>
      </c>
      <c r="AP321" s="20">
        <f t="shared" si="58"/>
        <v>129600</v>
      </c>
      <c r="AQ321" s="7">
        <v>3.0000000000000001E-3</v>
      </c>
      <c r="AR321" s="20"/>
      <c r="AS321" s="51"/>
    </row>
    <row r="322" spans="1:49" s="21" customFormat="1" ht="30" customHeight="1" x14ac:dyDescent="0.2">
      <c r="A322" s="8">
        <v>268</v>
      </c>
      <c r="B322" s="46">
        <v>1</v>
      </c>
      <c r="C322" s="16" t="s">
        <v>52</v>
      </c>
      <c r="D322" s="48">
        <v>5030</v>
      </c>
      <c r="E322" s="47">
        <v>31</v>
      </c>
      <c r="F322" s="48">
        <v>2812</v>
      </c>
      <c r="G322" s="49">
        <v>7</v>
      </c>
      <c r="H322" s="48">
        <v>0</v>
      </c>
      <c r="I322" s="48">
        <v>2</v>
      </c>
      <c r="J322" s="48">
        <v>6</v>
      </c>
      <c r="K322" s="3">
        <v>206</v>
      </c>
      <c r="L322" s="16"/>
      <c r="M322" s="57"/>
      <c r="N322" s="58"/>
      <c r="P322" s="16">
        <v>1</v>
      </c>
      <c r="Q322" s="20">
        <f>+K322</f>
        <v>206</v>
      </c>
      <c r="R322" s="14">
        <v>160</v>
      </c>
      <c r="S322" s="20">
        <f t="shared" ref="S322:S365" si="63">+Q322*R322</f>
        <v>32960</v>
      </c>
      <c r="T322" s="16"/>
      <c r="U322" s="16"/>
      <c r="V322" s="16"/>
      <c r="W322" s="5"/>
      <c r="X322" s="16"/>
      <c r="Y322" s="5"/>
      <c r="Z322" s="16"/>
      <c r="AA322" s="16"/>
      <c r="AB322" s="16"/>
      <c r="AC322" s="14"/>
      <c r="AD322" s="14"/>
      <c r="AE322" s="16"/>
      <c r="AG322" s="22">
        <f>Y322</f>
        <v>0</v>
      </c>
      <c r="AH322" s="6"/>
      <c r="AJ322" s="20">
        <f t="shared" si="56"/>
        <v>0</v>
      </c>
      <c r="AK322" s="50"/>
      <c r="AL322" s="6"/>
      <c r="AM322" s="20">
        <f t="shared" si="57"/>
        <v>0</v>
      </c>
      <c r="AN322" s="20">
        <f t="shared" si="62"/>
        <v>32960</v>
      </c>
      <c r="AP322" s="20">
        <f t="shared" si="58"/>
        <v>32960</v>
      </c>
      <c r="AQ322" s="7"/>
      <c r="AR322" s="20"/>
      <c r="AS322" s="51">
        <v>3</v>
      </c>
    </row>
    <row r="323" spans="1:49" s="21" customFormat="1" ht="30" customHeight="1" x14ac:dyDescent="0.2">
      <c r="A323" s="2">
        <v>269</v>
      </c>
      <c r="B323" s="46">
        <v>1</v>
      </c>
      <c r="C323" s="16" t="s">
        <v>52</v>
      </c>
      <c r="D323" s="48">
        <v>2327</v>
      </c>
      <c r="E323" s="47">
        <v>47</v>
      </c>
      <c r="F323" s="48">
        <v>1602</v>
      </c>
      <c r="G323" s="49">
        <v>3</v>
      </c>
      <c r="H323" s="48">
        <v>0</v>
      </c>
      <c r="I323" s="48">
        <v>1</v>
      </c>
      <c r="J323" s="48">
        <v>11</v>
      </c>
      <c r="K323" s="3"/>
      <c r="L323" s="16">
        <v>111</v>
      </c>
      <c r="M323" s="57"/>
      <c r="N323" s="58"/>
      <c r="P323" s="16">
        <v>2</v>
      </c>
      <c r="Q323" s="20">
        <f>+L323</f>
        <v>111</v>
      </c>
      <c r="R323" s="14">
        <v>2000</v>
      </c>
      <c r="S323" s="19">
        <f t="shared" si="63"/>
        <v>222000</v>
      </c>
      <c r="T323" s="16"/>
      <c r="U323" s="17" t="s">
        <v>63</v>
      </c>
      <c r="V323" s="16" t="s">
        <v>56</v>
      </c>
      <c r="W323" s="5"/>
      <c r="X323" s="16"/>
      <c r="Y323" s="5">
        <v>120</v>
      </c>
      <c r="Z323" s="16"/>
      <c r="AA323" s="16"/>
      <c r="AB323" s="16"/>
      <c r="AC323" s="14"/>
      <c r="AD323" s="14"/>
      <c r="AE323" s="16"/>
      <c r="AF323" s="21">
        <v>2</v>
      </c>
      <c r="AG323" s="22">
        <f>Y323</f>
        <v>120</v>
      </c>
      <c r="AH323" s="6">
        <v>1</v>
      </c>
      <c r="AI323" s="21">
        <v>8100</v>
      </c>
      <c r="AJ323" s="20">
        <f t="shared" si="56"/>
        <v>972000</v>
      </c>
      <c r="AK323" s="50"/>
      <c r="AL323" s="6"/>
      <c r="AM323" s="20">
        <f t="shared" si="57"/>
        <v>972000</v>
      </c>
      <c r="AN323" s="20">
        <f t="shared" si="62"/>
        <v>1194000</v>
      </c>
      <c r="AP323" s="20">
        <f t="shared" si="58"/>
        <v>1194000</v>
      </c>
      <c r="AQ323" s="7"/>
      <c r="AR323" s="20"/>
      <c r="AS323" s="51"/>
    </row>
    <row r="324" spans="1:49" s="21" customFormat="1" ht="30" customHeight="1" x14ac:dyDescent="0.2">
      <c r="A324" s="8">
        <v>270</v>
      </c>
      <c r="B324" s="46">
        <v>1</v>
      </c>
      <c r="C324" s="16" t="s">
        <v>52</v>
      </c>
      <c r="D324" s="48">
        <v>25041</v>
      </c>
      <c r="E324" s="47">
        <v>69</v>
      </c>
      <c r="F324" s="48">
        <v>4951</v>
      </c>
      <c r="G324" s="49">
        <v>1</v>
      </c>
      <c r="H324" s="48">
        <v>0</v>
      </c>
      <c r="I324" s="48">
        <v>0</v>
      </c>
      <c r="J324" s="48">
        <v>53</v>
      </c>
      <c r="K324" s="3"/>
      <c r="L324" s="16"/>
      <c r="M324" s="57"/>
      <c r="N324" s="58">
        <v>53</v>
      </c>
      <c r="P324" s="16">
        <v>4</v>
      </c>
      <c r="Q324" s="20">
        <v>53</v>
      </c>
      <c r="R324" s="14">
        <v>750</v>
      </c>
      <c r="S324" s="19">
        <f t="shared" si="63"/>
        <v>39750</v>
      </c>
      <c r="T324" s="16"/>
      <c r="U324" s="17"/>
      <c r="V324" s="17"/>
      <c r="W324" s="4"/>
      <c r="X324" s="16"/>
      <c r="Y324" s="5"/>
      <c r="Z324" s="16"/>
      <c r="AA324" s="16"/>
      <c r="AB324" s="16"/>
      <c r="AC324" s="14"/>
      <c r="AD324" s="14"/>
      <c r="AE324" s="16"/>
      <c r="AG324" s="22"/>
      <c r="AH324" s="6"/>
      <c r="AJ324" s="20"/>
      <c r="AK324" s="50"/>
      <c r="AL324" s="6"/>
      <c r="AM324" s="20">
        <f t="shared" si="57"/>
        <v>0</v>
      </c>
      <c r="AN324" s="20">
        <f t="shared" si="62"/>
        <v>39750</v>
      </c>
      <c r="AP324" s="20">
        <f t="shared" si="58"/>
        <v>39750</v>
      </c>
      <c r="AQ324" s="7">
        <v>3.0000000000000001E-3</v>
      </c>
      <c r="AR324" s="60"/>
      <c r="AS324" s="128">
        <f>1+1+18</f>
        <v>20</v>
      </c>
      <c r="AW324" s="21" t="s">
        <v>102</v>
      </c>
    </row>
    <row r="325" spans="1:49" s="21" customFormat="1" ht="30" customHeight="1" x14ac:dyDescent="0.2">
      <c r="A325" s="2">
        <v>271</v>
      </c>
      <c r="B325" s="46">
        <v>2</v>
      </c>
      <c r="C325" s="16" t="s">
        <v>52</v>
      </c>
      <c r="D325" s="48">
        <v>29755</v>
      </c>
      <c r="E325" s="47">
        <v>152</v>
      </c>
      <c r="F325" s="48">
        <v>5345</v>
      </c>
      <c r="G325" s="49">
        <v>2</v>
      </c>
      <c r="H325" s="48">
        <v>0</v>
      </c>
      <c r="I325" s="48">
        <v>0</v>
      </c>
      <c r="J325" s="48">
        <v>53</v>
      </c>
      <c r="K325" s="3"/>
      <c r="L325" s="16"/>
      <c r="M325" s="57"/>
      <c r="N325" s="58">
        <v>53</v>
      </c>
      <c r="P325" s="16">
        <v>4</v>
      </c>
      <c r="Q325" s="20">
        <f>+N325</f>
        <v>53</v>
      </c>
      <c r="R325" s="14">
        <v>160</v>
      </c>
      <c r="S325" s="20">
        <f t="shared" si="63"/>
        <v>8480</v>
      </c>
      <c r="T325" s="16"/>
      <c r="U325" s="17"/>
      <c r="V325" s="17"/>
      <c r="W325" s="4"/>
      <c r="X325" s="16"/>
      <c r="Y325" s="5"/>
      <c r="Z325" s="16"/>
      <c r="AA325" s="16"/>
      <c r="AB325" s="16"/>
      <c r="AE325" s="16"/>
      <c r="AG325" s="22">
        <f t="shared" ref="AG325:AG364" si="64">Y325</f>
        <v>0</v>
      </c>
      <c r="AH325" s="6"/>
      <c r="AJ325" s="20">
        <f t="shared" ref="AJ325:AJ364" si="65">+AG325*AH325*AI325</f>
        <v>0</v>
      </c>
      <c r="AK325" s="50"/>
      <c r="AL325" s="6"/>
      <c r="AM325" s="20">
        <f t="shared" si="57"/>
        <v>0</v>
      </c>
      <c r="AN325" s="20">
        <f t="shared" si="62"/>
        <v>8480</v>
      </c>
      <c r="AP325" s="20">
        <f t="shared" si="58"/>
        <v>8480</v>
      </c>
      <c r="AQ325" s="7">
        <v>3.0000000000000001E-3</v>
      </c>
      <c r="AR325" s="24"/>
      <c r="AS325" s="129"/>
    </row>
    <row r="326" spans="1:49" s="21" customFormat="1" ht="30" customHeight="1" x14ac:dyDescent="0.2">
      <c r="A326" s="8">
        <v>272</v>
      </c>
      <c r="B326" s="46">
        <v>3</v>
      </c>
      <c r="C326" s="16" t="s">
        <v>52</v>
      </c>
      <c r="D326" s="48">
        <v>821</v>
      </c>
      <c r="E326" s="47">
        <v>46</v>
      </c>
      <c r="F326" s="48">
        <v>305</v>
      </c>
      <c r="G326" s="49">
        <v>6</v>
      </c>
      <c r="H326" s="48">
        <v>3</v>
      </c>
      <c r="I326" s="48">
        <v>0</v>
      </c>
      <c r="J326" s="48">
        <v>75</v>
      </c>
      <c r="K326" s="3">
        <v>1275</v>
      </c>
      <c r="L326" s="16"/>
      <c r="M326" s="57"/>
      <c r="N326" s="58"/>
      <c r="P326" s="16">
        <v>1</v>
      </c>
      <c r="Q326" s="20">
        <f>+K326</f>
        <v>1275</v>
      </c>
      <c r="R326" s="14">
        <v>160</v>
      </c>
      <c r="S326" s="19">
        <f t="shared" si="63"/>
        <v>204000</v>
      </c>
      <c r="T326" s="16"/>
      <c r="U326" s="17"/>
      <c r="V326" s="17"/>
      <c r="W326" s="4"/>
      <c r="X326" s="16"/>
      <c r="Y326" s="5"/>
      <c r="Z326" s="16"/>
      <c r="AA326" s="16"/>
      <c r="AB326" s="16"/>
      <c r="AE326" s="16"/>
      <c r="AG326" s="22">
        <f t="shared" si="64"/>
        <v>0</v>
      </c>
      <c r="AH326" s="6"/>
      <c r="AJ326" s="20">
        <f t="shared" si="65"/>
        <v>0</v>
      </c>
      <c r="AK326" s="50"/>
      <c r="AL326" s="6"/>
      <c r="AM326" s="20">
        <f t="shared" si="57"/>
        <v>0</v>
      </c>
      <c r="AN326" s="20">
        <f t="shared" si="62"/>
        <v>204000</v>
      </c>
      <c r="AP326" s="20">
        <f t="shared" si="58"/>
        <v>204000</v>
      </c>
      <c r="AQ326" s="7"/>
      <c r="AR326" s="24"/>
      <c r="AS326" s="129"/>
    </row>
    <row r="327" spans="1:49" s="21" customFormat="1" ht="30" customHeight="1" x14ac:dyDescent="0.2">
      <c r="A327" s="2">
        <v>273</v>
      </c>
      <c r="B327" s="46">
        <v>4</v>
      </c>
      <c r="C327" s="16" t="s">
        <v>52</v>
      </c>
      <c r="D327" s="48">
        <v>18708</v>
      </c>
      <c r="E327" s="47">
        <v>23</v>
      </c>
      <c r="F327" s="48">
        <v>3634</v>
      </c>
      <c r="G327" s="49">
        <v>6</v>
      </c>
      <c r="H327" s="48">
        <v>0</v>
      </c>
      <c r="I327" s="48">
        <v>2</v>
      </c>
      <c r="J327" s="48">
        <v>9</v>
      </c>
      <c r="K327" s="3"/>
      <c r="L327" s="16">
        <v>209</v>
      </c>
      <c r="M327" s="57"/>
      <c r="N327" s="58"/>
      <c r="P327" s="16"/>
      <c r="Q327" s="20">
        <f>+L327</f>
        <v>209</v>
      </c>
      <c r="R327" s="14">
        <v>750</v>
      </c>
      <c r="S327" s="19">
        <f t="shared" si="63"/>
        <v>156750</v>
      </c>
      <c r="T327" s="16"/>
      <c r="U327" s="17" t="s">
        <v>57</v>
      </c>
      <c r="V327" s="17" t="s">
        <v>56</v>
      </c>
      <c r="W327" s="4"/>
      <c r="X327" s="16"/>
      <c r="Y327" s="5">
        <v>72</v>
      </c>
      <c r="Z327" s="16"/>
      <c r="AA327" s="16"/>
      <c r="AB327" s="16"/>
      <c r="AE327" s="16"/>
      <c r="AF327" s="21">
        <v>2</v>
      </c>
      <c r="AG327" s="22">
        <f t="shared" si="64"/>
        <v>72</v>
      </c>
      <c r="AH327" s="6">
        <v>1</v>
      </c>
      <c r="AI327" s="21">
        <v>7250</v>
      </c>
      <c r="AJ327" s="20">
        <f t="shared" si="65"/>
        <v>522000</v>
      </c>
      <c r="AK327" s="50"/>
      <c r="AL327" s="6"/>
      <c r="AM327" s="20">
        <f t="shared" si="57"/>
        <v>522000</v>
      </c>
      <c r="AN327" s="20">
        <f t="shared" si="62"/>
        <v>678750</v>
      </c>
      <c r="AP327" s="20">
        <f t="shared" si="58"/>
        <v>678750</v>
      </c>
      <c r="AQ327" s="7"/>
      <c r="AR327" s="24"/>
      <c r="AS327" s="129"/>
    </row>
    <row r="328" spans="1:49" s="21" customFormat="1" ht="30" customHeight="1" x14ac:dyDescent="0.2">
      <c r="A328" s="8">
        <v>274</v>
      </c>
      <c r="B328" s="46">
        <v>5</v>
      </c>
      <c r="C328" s="16" t="s">
        <v>52</v>
      </c>
      <c r="D328" s="48">
        <v>24542</v>
      </c>
      <c r="E328" s="47">
        <v>34</v>
      </c>
      <c r="F328" s="48">
        <v>3949</v>
      </c>
      <c r="G328" s="49">
        <v>6</v>
      </c>
      <c r="H328" s="48">
        <v>0</v>
      </c>
      <c r="I328" s="48">
        <v>0</v>
      </c>
      <c r="J328" s="48">
        <v>45</v>
      </c>
      <c r="K328" s="3"/>
      <c r="L328" s="16"/>
      <c r="M328" s="57"/>
      <c r="N328" s="58">
        <v>42</v>
      </c>
      <c r="P328" s="16">
        <v>4</v>
      </c>
      <c r="Q328" s="20">
        <f>+N328</f>
        <v>42</v>
      </c>
      <c r="R328" s="14">
        <v>1500</v>
      </c>
      <c r="S328" s="20">
        <f t="shared" si="63"/>
        <v>63000</v>
      </c>
      <c r="T328" s="16"/>
      <c r="U328" s="17"/>
      <c r="V328" s="17"/>
      <c r="W328" s="4"/>
      <c r="X328" s="16"/>
      <c r="Y328" s="5"/>
      <c r="Z328" s="16"/>
      <c r="AA328" s="16"/>
      <c r="AB328" s="16"/>
      <c r="AE328" s="16"/>
      <c r="AG328" s="22">
        <f t="shared" si="64"/>
        <v>0</v>
      </c>
      <c r="AH328" s="6"/>
      <c r="AJ328" s="20">
        <f t="shared" si="65"/>
        <v>0</v>
      </c>
      <c r="AK328" s="50"/>
      <c r="AL328" s="6"/>
      <c r="AM328" s="20">
        <f t="shared" si="57"/>
        <v>0</v>
      </c>
      <c r="AN328" s="20">
        <f t="shared" si="62"/>
        <v>63000</v>
      </c>
      <c r="AP328" s="20">
        <f t="shared" si="58"/>
        <v>63000</v>
      </c>
      <c r="AQ328" s="7">
        <v>3.0000000000000001E-3</v>
      </c>
      <c r="AR328" s="24"/>
      <c r="AS328" s="129"/>
    </row>
    <row r="329" spans="1:49" ht="30" customHeight="1" x14ac:dyDescent="0.2">
      <c r="A329" s="2">
        <v>275</v>
      </c>
      <c r="B329" s="13">
        <v>6</v>
      </c>
      <c r="C329" s="16" t="s">
        <v>65</v>
      </c>
      <c r="D329" s="17">
        <v>1709</v>
      </c>
      <c r="E329" s="17">
        <v>29</v>
      </c>
      <c r="H329" s="17">
        <v>2</v>
      </c>
      <c r="I329" s="17">
        <v>1</v>
      </c>
      <c r="J329" s="17">
        <v>20</v>
      </c>
      <c r="K329" s="10">
        <v>920</v>
      </c>
      <c r="P329" s="17">
        <v>1</v>
      </c>
      <c r="Q329" s="19">
        <f t="shared" ref="Q329:Q337" si="66">+K329</f>
        <v>920</v>
      </c>
      <c r="R329" s="14">
        <v>160</v>
      </c>
      <c r="S329" s="19">
        <f t="shared" si="63"/>
        <v>147200</v>
      </c>
      <c r="AC329" s="21"/>
      <c r="AD329" s="21"/>
      <c r="AG329" s="22">
        <f t="shared" si="64"/>
        <v>0</v>
      </c>
      <c r="AJ329" s="20">
        <f t="shared" si="65"/>
        <v>0</v>
      </c>
      <c r="AM329" s="20">
        <f t="shared" si="57"/>
        <v>0</v>
      </c>
      <c r="AN329" s="20">
        <f t="shared" si="62"/>
        <v>147200</v>
      </c>
      <c r="AP329" s="20">
        <f t="shared" si="58"/>
        <v>147200</v>
      </c>
      <c r="AQ329" s="12">
        <v>1E-4</v>
      </c>
      <c r="AR329" s="25"/>
      <c r="AS329" s="130"/>
    </row>
    <row r="330" spans="1:49" s="21" customFormat="1" ht="30" customHeight="1" x14ac:dyDescent="0.2">
      <c r="A330" s="8">
        <v>276</v>
      </c>
      <c r="B330" s="46">
        <v>1</v>
      </c>
      <c r="C330" s="16" t="s">
        <v>52</v>
      </c>
      <c r="D330" s="48">
        <v>2198</v>
      </c>
      <c r="E330" s="47">
        <v>20</v>
      </c>
      <c r="F330" s="48">
        <v>1645</v>
      </c>
      <c r="G330" s="49">
        <v>3</v>
      </c>
      <c r="H330" s="48">
        <v>1</v>
      </c>
      <c r="I330" s="48">
        <v>0</v>
      </c>
      <c r="J330" s="48">
        <v>81</v>
      </c>
      <c r="K330" s="3">
        <v>481</v>
      </c>
      <c r="L330" s="16"/>
      <c r="M330" s="57"/>
      <c r="N330" s="58"/>
      <c r="P330" s="16">
        <v>1</v>
      </c>
      <c r="Q330" s="20">
        <f t="shared" si="66"/>
        <v>481</v>
      </c>
      <c r="R330" s="14">
        <v>200</v>
      </c>
      <c r="S330" s="19">
        <f t="shared" si="63"/>
        <v>96200</v>
      </c>
      <c r="T330" s="16"/>
      <c r="U330" s="16"/>
      <c r="V330" s="16"/>
      <c r="W330" s="5"/>
      <c r="X330" s="16"/>
      <c r="Y330" s="5"/>
      <c r="Z330" s="16"/>
      <c r="AA330" s="16"/>
      <c r="AB330" s="16"/>
      <c r="AE330" s="16"/>
      <c r="AG330" s="22">
        <f t="shared" si="64"/>
        <v>0</v>
      </c>
      <c r="AH330" s="6"/>
      <c r="AJ330" s="20">
        <f t="shared" si="65"/>
        <v>0</v>
      </c>
      <c r="AK330" s="50"/>
      <c r="AL330" s="6"/>
      <c r="AM330" s="20">
        <f t="shared" si="57"/>
        <v>0</v>
      </c>
      <c r="AN330" s="20">
        <f t="shared" si="62"/>
        <v>96200</v>
      </c>
      <c r="AP330" s="20">
        <f t="shared" si="58"/>
        <v>96200</v>
      </c>
      <c r="AQ330" s="7"/>
      <c r="AR330" s="20"/>
      <c r="AS330" s="51"/>
    </row>
    <row r="331" spans="1:49" s="21" customFormat="1" ht="30" customHeight="1" x14ac:dyDescent="0.2">
      <c r="A331" s="2">
        <v>277</v>
      </c>
      <c r="B331" s="46">
        <v>1</v>
      </c>
      <c r="C331" s="16" t="s">
        <v>52</v>
      </c>
      <c r="D331" s="48">
        <v>30996</v>
      </c>
      <c r="E331" s="47">
        <v>165</v>
      </c>
      <c r="F331" s="48">
        <v>5948</v>
      </c>
      <c r="G331" s="49">
        <v>2</v>
      </c>
      <c r="H331" s="48">
        <v>1</v>
      </c>
      <c r="I331" s="48">
        <v>2</v>
      </c>
      <c r="J331" s="48">
        <v>98</v>
      </c>
      <c r="K331" s="3">
        <v>698</v>
      </c>
      <c r="L331" s="16"/>
      <c r="M331" s="57"/>
      <c r="N331" s="58"/>
      <c r="P331" s="16">
        <v>1</v>
      </c>
      <c r="Q331" s="20">
        <f t="shared" si="66"/>
        <v>698</v>
      </c>
      <c r="R331" s="14">
        <v>200</v>
      </c>
      <c r="S331" s="20">
        <f t="shared" si="63"/>
        <v>139600</v>
      </c>
      <c r="T331" s="16"/>
      <c r="U331" s="17"/>
      <c r="V331" s="16"/>
      <c r="W331" s="5"/>
      <c r="X331" s="16"/>
      <c r="Y331" s="5"/>
      <c r="Z331" s="16"/>
      <c r="AA331" s="16"/>
      <c r="AB331" s="16"/>
      <c r="AE331" s="16"/>
      <c r="AG331" s="22">
        <f t="shared" si="64"/>
        <v>0</v>
      </c>
      <c r="AH331" s="6"/>
      <c r="AJ331" s="20">
        <f t="shared" si="65"/>
        <v>0</v>
      </c>
      <c r="AK331" s="50"/>
      <c r="AL331" s="6"/>
      <c r="AM331" s="20">
        <f t="shared" si="57"/>
        <v>0</v>
      </c>
      <c r="AN331" s="20">
        <f t="shared" si="62"/>
        <v>139600</v>
      </c>
      <c r="AP331" s="20">
        <f t="shared" si="58"/>
        <v>139600</v>
      </c>
      <c r="AQ331" s="7"/>
      <c r="AR331" s="20"/>
      <c r="AS331" s="51"/>
    </row>
    <row r="332" spans="1:49" s="21" customFormat="1" ht="30" customHeight="1" x14ac:dyDescent="0.2">
      <c r="A332" s="8">
        <v>278</v>
      </c>
      <c r="B332" s="46">
        <v>2</v>
      </c>
      <c r="C332" s="16" t="s">
        <v>52</v>
      </c>
      <c r="D332" s="48">
        <v>30997</v>
      </c>
      <c r="E332" s="47">
        <v>166</v>
      </c>
      <c r="F332" s="48">
        <v>5949</v>
      </c>
      <c r="G332" s="49">
        <v>2</v>
      </c>
      <c r="H332" s="48">
        <v>0</v>
      </c>
      <c r="I332" s="48">
        <v>0</v>
      </c>
      <c r="J332" s="48">
        <v>96.05</v>
      </c>
      <c r="K332" s="3">
        <v>96.05</v>
      </c>
      <c r="L332" s="16"/>
      <c r="M332" s="57"/>
      <c r="N332" s="58"/>
      <c r="P332" s="16">
        <v>1</v>
      </c>
      <c r="Q332" s="20">
        <f t="shared" si="66"/>
        <v>96.05</v>
      </c>
      <c r="R332" s="14">
        <v>250</v>
      </c>
      <c r="S332" s="19">
        <f t="shared" si="63"/>
        <v>24012.5</v>
      </c>
      <c r="T332" s="16"/>
      <c r="U332" s="17"/>
      <c r="V332" s="17"/>
      <c r="W332" s="4"/>
      <c r="X332" s="16"/>
      <c r="Y332" s="5"/>
      <c r="Z332" s="16"/>
      <c r="AA332" s="16"/>
      <c r="AB332" s="16"/>
      <c r="AE332" s="16"/>
      <c r="AG332" s="22">
        <f t="shared" si="64"/>
        <v>0</v>
      </c>
      <c r="AH332" s="6"/>
      <c r="AJ332" s="20">
        <f t="shared" si="65"/>
        <v>0</v>
      </c>
      <c r="AK332" s="50"/>
      <c r="AL332" s="6"/>
      <c r="AM332" s="20">
        <f t="shared" si="57"/>
        <v>0</v>
      </c>
      <c r="AN332" s="20">
        <f t="shared" si="62"/>
        <v>24012.5</v>
      </c>
      <c r="AP332" s="20">
        <f t="shared" si="58"/>
        <v>24012.5</v>
      </c>
      <c r="AQ332" s="7"/>
      <c r="AR332" s="20"/>
      <c r="AS332" s="51"/>
    </row>
    <row r="333" spans="1:49" s="21" customFormat="1" ht="30" customHeight="1" x14ac:dyDescent="0.2">
      <c r="A333" s="2">
        <v>279</v>
      </c>
      <c r="B333" s="46">
        <v>3</v>
      </c>
      <c r="C333" s="16" t="s">
        <v>52</v>
      </c>
      <c r="D333" s="48">
        <v>30998</v>
      </c>
      <c r="E333" s="47">
        <v>167</v>
      </c>
      <c r="F333" s="48">
        <v>5950</v>
      </c>
      <c r="G333" s="49">
        <v>2</v>
      </c>
      <c r="H333" s="48">
        <v>0</v>
      </c>
      <c r="I333" s="48">
        <v>0</v>
      </c>
      <c r="J333" s="48">
        <v>88.03</v>
      </c>
      <c r="K333" s="3">
        <v>88.03</v>
      </c>
      <c r="L333" s="16"/>
      <c r="M333" s="57"/>
      <c r="N333" s="58"/>
      <c r="P333" s="16">
        <v>1</v>
      </c>
      <c r="Q333" s="20">
        <f t="shared" si="66"/>
        <v>88.03</v>
      </c>
      <c r="R333" s="14">
        <v>250</v>
      </c>
      <c r="S333" s="19">
        <f t="shared" si="63"/>
        <v>22007.5</v>
      </c>
      <c r="T333" s="16"/>
      <c r="U333" s="17"/>
      <c r="V333" s="17"/>
      <c r="W333" s="4"/>
      <c r="X333" s="16"/>
      <c r="Y333" s="5"/>
      <c r="Z333" s="16"/>
      <c r="AA333" s="16"/>
      <c r="AB333" s="16"/>
      <c r="AE333" s="16"/>
      <c r="AG333" s="22">
        <f t="shared" si="64"/>
        <v>0</v>
      </c>
      <c r="AH333" s="6"/>
      <c r="AJ333" s="20">
        <f t="shared" si="65"/>
        <v>0</v>
      </c>
      <c r="AK333" s="50"/>
      <c r="AL333" s="6"/>
      <c r="AM333" s="20">
        <f t="shared" si="57"/>
        <v>0</v>
      </c>
      <c r="AN333" s="20">
        <f t="shared" si="62"/>
        <v>22007.5</v>
      </c>
      <c r="AP333" s="20">
        <f t="shared" si="58"/>
        <v>22007.5</v>
      </c>
      <c r="AQ333" s="7"/>
      <c r="AR333" s="20"/>
      <c r="AS333" s="51"/>
    </row>
    <row r="334" spans="1:49" s="21" customFormat="1" ht="30" customHeight="1" x14ac:dyDescent="0.2">
      <c r="A334" s="8">
        <v>280</v>
      </c>
      <c r="B334" s="46">
        <v>4</v>
      </c>
      <c r="C334" s="16" t="s">
        <v>52</v>
      </c>
      <c r="D334" s="48">
        <v>30999</v>
      </c>
      <c r="E334" s="47">
        <v>168</v>
      </c>
      <c r="F334" s="48">
        <v>5951</v>
      </c>
      <c r="G334" s="49">
        <v>2</v>
      </c>
      <c r="H334" s="48">
        <v>1</v>
      </c>
      <c r="I334" s="48">
        <v>1</v>
      </c>
      <c r="J334" s="48">
        <v>59.03</v>
      </c>
      <c r="K334" s="3">
        <v>559.03</v>
      </c>
      <c r="L334" s="16"/>
      <c r="M334" s="57"/>
      <c r="N334" s="58"/>
      <c r="P334" s="16">
        <v>1</v>
      </c>
      <c r="Q334" s="20">
        <f t="shared" si="66"/>
        <v>559.03</v>
      </c>
      <c r="R334" s="14">
        <v>250</v>
      </c>
      <c r="S334" s="20">
        <f t="shared" si="63"/>
        <v>139757.5</v>
      </c>
      <c r="T334" s="16"/>
      <c r="U334" s="17"/>
      <c r="V334" s="17"/>
      <c r="W334" s="4"/>
      <c r="X334" s="16"/>
      <c r="Y334" s="5"/>
      <c r="Z334" s="16"/>
      <c r="AA334" s="16"/>
      <c r="AB334" s="16"/>
      <c r="AE334" s="16"/>
      <c r="AG334" s="22">
        <f t="shared" si="64"/>
        <v>0</v>
      </c>
      <c r="AH334" s="6"/>
      <c r="AJ334" s="20">
        <f t="shared" si="65"/>
        <v>0</v>
      </c>
      <c r="AK334" s="50"/>
      <c r="AL334" s="6"/>
      <c r="AM334" s="20">
        <f t="shared" si="57"/>
        <v>0</v>
      </c>
      <c r="AN334" s="20">
        <f t="shared" si="62"/>
        <v>139757.5</v>
      </c>
      <c r="AP334" s="20">
        <f t="shared" si="58"/>
        <v>139757.5</v>
      </c>
      <c r="AQ334" s="7"/>
      <c r="AR334" s="20"/>
      <c r="AS334" s="51"/>
    </row>
    <row r="335" spans="1:49" s="21" customFormat="1" ht="30" customHeight="1" x14ac:dyDescent="0.2">
      <c r="A335" s="2">
        <v>281</v>
      </c>
      <c r="B335" s="46">
        <v>1</v>
      </c>
      <c r="C335" s="16" t="s">
        <v>52</v>
      </c>
      <c r="D335" s="48">
        <v>31251</v>
      </c>
      <c r="E335" s="47">
        <v>102</v>
      </c>
      <c r="F335" s="48">
        <v>5839</v>
      </c>
      <c r="G335" s="49">
        <v>1</v>
      </c>
      <c r="H335" s="48">
        <v>4</v>
      </c>
      <c r="I335" s="48">
        <v>0</v>
      </c>
      <c r="J335" s="48">
        <v>0</v>
      </c>
      <c r="K335" s="3">
        <v>1200</v>
      </c>
      <c r="L335" s="16"/>
      <c r="M335" s="57"/>
      <c r="N335" s="58"/>
      <c r="P335" s="16">
        <v>1</v>
      </c>
      <c r="Q335" s="20">
        <f t="shared" si="66"/>
        <v>1200</v>
      </c>
      <c r="R335" s="14">
        <v>160</v>
      </c>
      <c r="S335" s="19">
        <f t="shared" si="63"/>
        <v>192000</v>
      </c>
      <c r="T335" s="16"/>
      <c r="U335" s="17"/>
      <c r="V335" s="17"/>
      <c r="W335" s="4"/>
      <c r="X335" s="16"/>
      <c r="Y335" s="5"/>
      <c r="Z335" s="16"/>
      <c r="AA335" s="16"/>
      <c r="AB335" s="16"/>
      <c r="AE335" s="16"/>
      <c r="AG335" s="22">
        <f t="shared" si="64"/>
        <v>0</v>
      </c>
      <c r="AH335" s="6"/>
      <c r="AJ335" s="20">
        <f t="shared" si="65"/>
        <v>0</v>
      </c>
      <c r="AK335" s="50"/>
      <c r="AL335" s="6"/>
      <c r="AM335" s="20">
        <f t="shared" si="57"/>
        <v>0</v>
      </c>
      <c r="AN335" s="20">
        <f t="shared" si="62"/>
        <v>192000</v>
      </c>
      <c r="AP335" s="20">
        <f t="shared" si="58"/>
        <v>192000</v>
      </c>
      <c r="AQ335" s="7"/>
      <c r="AR335" s="20"/>
      <c r="AS335" s="51"/>
    </row>
    <row r="336" spans="1:49" s="21" customFormat="1" ht="30" customHeight="1" x14ac:dyDescent="0.2">
      <c r="A336" s="8">
        <v>282</v>
      </c>
      <c r="B336" s="46">
        <v>1</v>
      </c>
      <c r="C336" s="16" t="s">
        <v>52</v>
      </c>
      <c r="D336" s="48">
        <v>3607</v>
      </c>
      <c r="E336" s="47">
        <v>90</v>
      </c>
      <c r="F336" s="48">
        <v>2238</v>
      </c>
      <c r="G336" s="49">
        <v>2</v>
      </c>
      <c r="H336" s="48">
        <v>2</v>
      </c>
      <c r="I336" s="48">
        <v>3</v>
      </c>
      <c r="J336" s="48">
        <v>35</v>
      </c>
      <c r="K336" s="3">
        <v>1135</v>
      </c>
      <c r="L336" s="16"/>
      <c r="M336" s="57"/>
      <c r="N336" s="58"/>
      <c r="P336" s="16">
        <v>1</v>
      </c>
      <c r="Q336" s="20">
        <f t="shared" si="66"/>
        <v>1135</v>
      </c>
      <c r="R336" s="14">
        <v>200</v>
      </c>
      <c r="S336" s="19">
        <f t="shared" si="63"/>
        <v>227000</v>
      </c>
      <c r="T336" s="16"/>
      <c r="U336" s="17"/>
      <c r="V336" s="17"/>
      <c r="W336" s="4"/>
      <c r="X336" s="16"/>
      <c r="Y336" s="5"/>
      <c r="Z336" s="16"/>
      <c r="AA336" s="16"/>
      <c r="AB336" s="16"/>
      <c r="AE336" s="16"/>
      <c r="AG336" s="22">
        <f t="shared" si="64"/>
        <v>0</v>
      </c>
      <c r="AH336" s="6"/>
      <c r="AJ336" s="20">
        <f t="shared" si="65"/>
        <v>0</v>
      </c>
      <c r="AK336" s="50"/>
      <c r="AL336" s="6"/>
      <c r="AM336" s="20">
        <f t="shared" si="57"/>
        <v>0</v>
      </c>
      <c r="AN336" s="20">
        <f t="shared" si="62"/>
        <v>227000</v>
      </c>
      <c r="AP336" s="20">
        <f t="shared" si="58"/>
        <v>227000</v>
      </c>
      <c r="AQ336" s="7"/>
      <c r="AR336" s="60"/>
      <c r="AS336" s="128">
        <v>16</v>
      </c>
    </row>
    <row r="337" spans="1:45" s="21" customFormat="1" ht="30" customHeight="1" x14ac:dyDescent="0.2">
      <c r="A337" s="2">
        <v>283</v>
      </c>
      <c r="B337" s="46">
        <v>2</v>
      </c>
      <c r="C337" s="16" t="s">
        <v>52</v>
      </c>
      <c r="D337" s="48">
        <v>21063</v>
      </c>
      <c r="E337" s="47">
        <v>201</v>
      </c>
      <c r="F337" s="48">
        <v>4635</v>
      </c>
      <c r="G337" s="49">
        <v>2</v>
      </c>
      <c r="H337" s="48">
        <v>0</v>
      </c>
      <c r="I337" s="48">
        <v>0</v>
      </c>
      <c r="J337" s="48">
        <v>62</v>
      </c>
      <c r="K337" s="3">
        <v>62</v>
      </c>
      <c r="L337" s="16"/>
      <c r="M337" s="57"/>
      <c r="N337" s="58"/>
      <c r="P337" s="16">
        <v>1</v>
      </c>
      <c r="Q337" s="20">
        <f t="shared" si="66"/>
        <v>62</v>
      </c>
      <c r="R337" s="14">
        <v>250</v>
      </c>
      <c r="S337" s="20">
        <f t="shared" si="63"/>
        <v>15500</v>
      </c>
      <c r="T337" s="16"/>
      <c r="U337" s="16"/>
      <c r="V337" s="16"/>
      <c r="W337" s="5"/>
      <c r="X337" s="16"/>
      <c r="Y337" s="5"/>
      <c r="Z337" s="16"/>
      <c r="AA337" s="16"/>
      <c r="AB337" s="16"/>
      <c r="AC337" s="14"/>
      <c r="AD337" s="14"/>
      <c r="AE337" s="16"/>
      <c r="AG337" s="22">
        <f t="shared" si="64"/>
        <v>0</v>
      </c>
      <c r="AH337" s="6"/>
      <c r="AJ337" s="20">
        <f t="shared" si="65"/>
        <v>0</v>
      </c>
      <c r="AK337" s="50"/>
      <c r="AL337" s="6"/>
      <c r="AM337" s="20">
        <f t="shared" si="57"/>
        <v>0</v>
      </c>
      <c r="AN337" s="20">
        <f t="shared" si="62"/>
        <v>15500</v>
      </c>
      <c r="AP337" s="20">
        <f t="shared" si="58"/>
        <v>15500</v>
      </c>
      <c r="AQ337" s="7"/>
      <c r="AR337" s="25"/>
      <c r="AS337" s="130"/>
    </row>
    <row r="338" spans="1:45" s="21" customFormat="1" ht="30" customHeight="1" x14ac:dyDescent="0.2">
      <c r="A338" s="8">
        <v>284</v>
      </c>
      <c r="B338" s="46">
        <v>1</v>
      </c>
      <c r="C338" s="16" t="s">
        <v>52</v>
      </c>
      <c r="D338" s="48">
        <v>8354</v>
      </c>
      <c r="E338" s="47">
        <v>26</v>
      </c>
      <c r="F338" s="48">
        <v>3122</v>
      </c>
      <c r="G338" s="49">
        <v>3</v>
      </c>
      <c r="H338" s="48">
        <v>0</v>
      </c>
      <c r="I338" s="48">
        <v>1</v>
      </c>
      <c r="J338" s="48">
        <v>25.04</v>
      </c>
      <c r="K338" s="3"/>
      <c r="L338" s="16">
        <v>125.04</v>
      </c>
      <c r="M338" s="57"/>
      <c r="N338" s="58"/>
      <c r="P338" s="16">
        <v>2</v>
      </c>
      <c r="Q338" s="20">
        <f>+L338</f>
        <v>125.04</v>
      </c>
      <c r="R338" s="14">
        <v>2000</v>
      </c>
      <c r="S338" s="19">
        <f t="shared" si="63"/>
        <v>250080</v>
      </c>
      <c r="T338" s="16"/>
      <c r="U338" s="17"/>
      <c r="V338" s="16"/>
      <c r="W338" s="5"/>
      <c r="X338" s="16"/>
      <c r="Y338" s="5">
        <v>98</v>
      </c>
      <c r="Z338" s="16"/>
      <c r="AA338" s="16"/>
      <c r="AB338" s="16"/>
      <c r="AE338" s="16"/>
      <c r="AF338" s="21">
        <v>2</v>
      </c>
      <c r="AG338" s="22">
        <f t="shared" si="64"/>
        <v>98</v>
      </c>
      <c r="AH338" s="6">
        <v>1</v>
      </c>
      <c r="AI338" s="21">
        <v>7250</v>
      </c>
      <c r="AJ338" s="20">
        <f t="shared" si="65"/>
        <v>710500</v>
      </c>
      <c r="AK338" s="50"/>
      <c r="AL338" s="6"/>
      <c r="AM338" s="20">
        <f t="shared" si="57"/>
        <v>710500</v>
      </c>
      <c r="AN338" s="20">
        <f t="shared" si="62"/>
        <v>960580</v>
      </c>
      <c r="AP338" s="20">
        <f t="shared" si="58"/>
        <v>960580</v>
      </c>
      <c r="AQ338" s="7"/>
      <c r="AR338" s="20"/>
      <c r="AS338" s="51"/>
    </row>
    <row r="339" spans="1:45" s="21" customFormat="1" ht="30" customHeight="1" x14ac:dyDescent="0.2">
      <c r="A339" s="2">
        <v>285</v>
      </c>
      <c r="B339" s="46">
        <v>1</v>
      </c>
      <c r="C339" s="16" t="s">
        <v>52</v>
      </c>
      <c r="D339" s="48">
        <v>2986</v>
      </c>
      <c r="E339" s="47">
        <v>11</v>
      </c>
      <c r="F339" s="48">
        <v>2054</v>
      </c>
      <c r="G339" s="49">
        <v>2</v>
      </c>
      <c r="H339" s="48">
        <v>0</v>
      </c>
      <c r="I339" s="48">
        <v>3</v>
      </c>
      <c r="J339" s="48">
        <v>61</v>
      </c>
      <c r="K339" s="3">
        <v>361</v>
      </c>
      <c r="L339" s="16"/>
      <c r="M339" s="57"/>
      <c r="N339" s="58"/>
      <c r="P339" s="16">
        <v>1</v>
      </c>
      <c r="Q339" s="20">
        <f t="shared" ref="Q339:Q356" si="67">+K339</f>
        <v>361</v>
      </c>
      <c r="R339" s="14">
        <v>250</v>
      </c>
      <c r="S339" s="19">
        <f t="shared" si="63"/>
        <v>90250</v>
      </c>
      <c r="T339" s="16"/>
      <c r="U339" s="17"/>
      <c r="V339" s="17"/>
      <c r="W339" s="4"/>
      <c r="X339" s="16"/>
      <c r="Y339" s="5"/>
      <c r="Z339" s="16"/>
      <c r="AA339" s="16"/>
      <c r="AB339" s="16"/>
      <c r="AC339" s="14"/>
      <c r="AD339" s="14"/>
      <c r="AE339" s="16"/>
      <c r="AG339" s="22">
        <f t="shared" si="64"/>
        <v>0</v>
      </c>
      <c r="AH339" s="6"/>
      <c r="AJ339" s="20">
        <f t="shared" si="65"/>
        <v>0</v>
      </c>
      <c r="AK339" s="50"/>
      <c r="AL339" s="6"/>
      <c r="AM339" s="20">
        <f t="shared" si="57"/>
        <v>0</v>
      </c>
      <c r="AN339" s="20">
        <f t="shared" si="62"/>
        <v>90250</v>
      </c>
      <c r="AP339" s="20">
        <f t="shared" si="58"/>
        <v>90250</v>
      </c>
      <c r="AQ339" s="7"/>
      <c r="AR339" s="20"/>
      <c r="AS339" s="51"/>
    </row>
    <row r="340" spans="1:45" s="21" customFormat="1" ht="30" customHeight="1" x14ac:dyDescent="0.2">
      <c r="A340" s="8">
        <v>286</v>
      </c>
      <c r="B340" s="46">
        <v>1</v>
      </c>
      <c r="C340" s="16" t="s">
        <v>52</v>
      </c>
      <c r="D340" s="48">
        <v>1143</v>
      </c>
      <c r="E340" s="47">
        <v>84</v>
      </c>
      <c r="F340" s="48">
        <v>955</v>
      </c>
      <c r="G340" s="49">
        <v>1</v>
      </c>
      <c r="H340" s="48">
        <v>2</v>
      </c>
      <c r="I340" s="48">
        <v>1</v>
      </c>
      <c r="J340" s="48">
        <v>37</v>
      </c>
      <c r="K340" s="3">
        <v>937</v>
      </c>
      <c r="L340" s="16"/>
      <c r="M340" s="57"/>
      <c r="N340" s="58"/>
      <c r="P340" s="16">
        <v>1</v>
      </c>
      <c r="Q340" s="20">
        <f t="shared" si="67"/>
        <v>937</v>
      </c>
      <c r="R340" s="14">
        <v>160</v>
      </c>
      <c r="S340" s="20">
        <f t="shared" si="63"/>
        <v>149920</v>
      </c>
      <c r="T340" s="16"/>
      <c r="U340" s="17"/>
      <c r="V340" s="17"/>
      <c r="W340" s="4"/>
      <c r="X340" s="16"/>
      <c r="Y340" s="5"/>
      <c r="Z340" s="16"/>
      <c r="AA340" s="16"/>
      <c r="AB340" s="16"/>
      <c r="AC340" s="14"/>
      <c r="AD340" s="14"/>
      <c r="AE340" s="16"/>
      <c r="AG340" s="22">
        <f t="shared" si="64"/>
        <v>0</v>
      </c>
      <c r="AH340" s="6"/>
      <c r="AJ340" s="20">
        <f t="shared" si="65"/>
        <v>0</v>
      </c>
      <c r="AK340" s="50"/>
      <c r="AL340" s="6"/>
      <c r="AM340" s="20">
        <f t="shared" si="57"/>
        <v>0</v>
      </c>
      <c r="AN340" s="20">
        <f t="shared" si="62"/>
        <v>149920</v>
      </c>
      <c r="AP340" s="20">
        <f t="shared" si="58"/>
        <v>149920</v>
      </c>
      <c r="AQ340" s="7"/>
      <c r="AR340" s="20"/>
      <c r="AS340" s="51"/>
    </row>
    <row r="341" spans="1:45" s="21" customFormat="1" ht="30" customHeight="1" x14ac:dyDescent="0.2">
      <c r="A341" s="2">
        <v>287</v>
      </c>
      <c r="B341" s="46">
        <v>1</v>
      </c>
      <c r="C341" s="16" t="s">
        <v>52</v>
      </c>
      <c r="D341" s="48">
        <v>12543</v>
      </c>
      <c r="E341" s="47">
        <v>124</v>
      </c>
      <c r="F341" s="48">
        <v>3246</v>
      </c>
      <c r="G341" s="49">
        <v>2</v>
      </c>
      <c r="H341" s="48">
        <v>2</v>
      </c>
      <c r="I341" s="48">
        <v>0</v>
      </c>
      <c r="J341" s="48">
        <v>46</v>
      </c>
      <c r="K341" s="3">
        <v>846</v>
      </c>
      <c r="L341" s="16"/>
      <c r="M341" s="57"/>
      <c r="N341" s="58"/>
      <c r="P341" s="16">
        <v>1</v>
      </c>
      <c r="Q341" s="20">
        <f t="shared" si="67"/>
        <v>846</v>
      </c>
      <c r="R341" s="14">
        <v>250</v>
      </c>
      <c r="S341" s="19">
        <f t="shared" si="63"/>
        <v>211500</v>
      </c>
      <c r="T341" s="16"/>
      <c r="U341" s="17"/>
      <c r="V341" s="17"/>
      <c r="W341" s="4"/>
      <c r="X341" s="16"/>
      <c r="Y341" s="5"/>
      <c r="Z341" s="16"/>
      <c r="AA341" s="16"/>
      <c r="AB341" s="16"/>
      <c r="AC341" s="14"/>
      <c r="AD341" s="14"/>
      <c r="AE341" s="16"/>
      <c r="AG341" s="22">
        <f t="shared" si="64"/>
        <v>0</v>
      </c>
      <c r="AH341" s="6"/>
      <c r="AJ341" s="20">
        <f t="shared" si="65"/>
        <v>0</v>
      </c>
      <c r="AK341" s="50"/>
      <c r="AL341" s="6"/>
      <c r="AM341" s="20">
        <f t="shared" si="57"/>
        <v>0</v>
      </c>
      <c r="AN341" s="20">
        <f t="shared" si="62"/>
        <v>211500</v>
      </c>
      <c r="AP341" s="20">
        <f t="shared" si="58"/>
        <v>211500</v>
      </c>
      <c r="AQ341" s="7"/>
      <c r="AR341" s="20"/>
      <c r="AS341" s="51"/>
    </row>
    <row r="342" spans="1:45" s="21" customFormat="1" ht="30" customHeight="1" x14ac:dyDescent="0.2">
      <c r="A342" s="8">
        <v>288</v>
      </c>
      <c r="B342" s="46">
        <v>1</v>
      </c>
      <c r="C342" s="16" t="s">
        <v>52</v>
      </c>
      <c r="D342" s="48">
        <v>22946</v>
      </c>
      <c r="E342" s="47">
        <v>167</v>
      </c>
      <c r="F342" s="48">
        <v>4840</v>
      </c>
      <c r="G342" s="49">
        <v>2</v>
      </c>
      <c r="H342" s="48">
        <v>1</v>
      </c>
      <c r="I342" s="48">
        <v>1</v>
      </c>
      <c r="J342" s="48">
        <v>64</v>
      </c>
      <c r="K342" s="3">
        <v>564</v>
      </c>
      <c r="L342" s="16"/>
      <c r="M342" s="57"/>
      <c r="N342" s="58"/>
      <c r="P342" s="16">
        <v>1</v>
      </c>
      <c r="Q342" s="20">
        <f t="shared" si="67"/>
        <v>564</v>
      </c>
      <c r="R342" s="14">
        <v>200</v>
      </c>
      <c r="S342" s="19">
        <f t="shared" si="63"/>
        <v>112800</v>
      </c>
      <c r="T342" s="16"/>
      <c r="U342" s="17"/>
      <c r="V342" s="17"/>
      <c r="W342" s="4"/>
      <c r="X342" s="16"/>
      <c r="Y342" s="5"/>
      <c r="Z342" s="16"/>
      <c r="AA342" s="16"/>
      <c r="AB342" s="16"/>
      <c r="AC342" s="14"/>
      <c r="AD342" s="14"/>
      <c r="AE342" s="16"/>
      <c r="AG342" s="22">
        <f t="shared" si="64"/>
        <v>0</v>
      </c>
      <c r="AH342" s="6"/>
      <c r="AJ342" s="20">
        <f t="shared" si="65"/>
        <v>0</v>
      </c>
      <c r="AK342" s="50"/>
      <c r="AL342" s="6"/>
      <c r="AM342" s="20">
        <f t="shared" si="57"/>
        <v>0</v>
      </c>
      <c r="AN342" s="20">
        <f t="shared" si="62"/>
        <v>112800</v>
      </c>
      <c r="AP342" s="20">
        <f t="shared" si="58"/>
        <v>112800</v>
      </c>
      <c r="AQ342" s="7"/>
      <c r="AR342" s="20"/>
      <c r="AS342" s="51"/>
    </row>
    <row r="343" spans="1:45" s="21" customFormat="1" ht="30" customHeight="1" x14ac:dyDescent="0.2">
      <c r="A343" s="2">
        <v>289</v>
      </c>
      <c r="B343" s="46">
        <v>1</v>
      </c>
      <c r="C343" s="16" t="s">
        <v>52</v>
      </c>
      <c r="D343" s="48">
        <v>33341</v>
      </c>
      <c r="E343" s="47">
        <v>338</v>
      </c>
      <c r="F343" s="48">
        <v>6707</v>
      </c>
      <c r="G343" s="49">
        <v>1</v>
      </c>
      <c r="H343" s="48">
        <v>0</v>
      </c>
      <c r="I343" s="48">
        <v>0</v>
      </c>
      <c r="J343" s="48">
        <v>86</v>
      </c>
      <c r="K343" s="3">
        <v>86</v>
      </c>
      <c r="L343" s="16"/>
      <c r="M343" s="57"/>
      <c r="N343" s="58"/>
      <c r="P343" s="16">
        <v>1</v>
      </c>
      <c r="Q343" s="20">
        <f t="shared" si="67"/>
        <v>86</v>
      </c>
      <c r="R343" s="14">
        <v>160</v>
      </c>
      <c r="S343" s="20">
        <f t="shared" si="63"/>
        <v>13760</v>
      </c>
      <c r="T343" s="16"/>
      <c r="U343" s="17"/>
      <c r="V343" s="17"/>
      <c r="W343" s="4"/>
      <c r="X343" s="16"/>
      <c r="Y343" s="5"/>
      <c r="Z343" s="16"/>
      <c r="AA343" s="16"/>
      <c r="AB343" s="16"/>
      <c r="AC343" s="14"/>
      <c r="AD343" s="14"/>
      <c r="AE343" s="16"/>
      <c r="AG343" s="22">
        <f t="shared" si="64"/>
        <v>0</v>
      </c>
      <c r="AH343" s="6"/>
      <c r="AJ343" s="20">
        <f t="shared" si="65"/>
        <v>0</v>
      </c>
      <c r="AK343" s="50"/>
      <c r="AL343" s="6"/>
      <c r="AM343" s="20">
        <f t="shared" si="57"/>
        <v>0</v>
      </c>
      <c r="AN343" s="20">
        <f t="shared" si="62"/>
        <v>13760</v>
      </c>
      <c r="AP343" s="20">
        <f t="shared" si="58"/>
        <v>13760</v>
      </c>
      <c r="AQ343" s="7"/>
      <c r="AR343" s="20"/>
      <c r="AS343" s="51"/>
    </row>
    <row r="344" spans="1:45" s="21" customFormat="1" ht="30" customHeight="1" x14ac:dyDescent="0.2">
      <c r="A344" s="8">
        <v>290</v>
      </c>
      <c r="B344" s="46">
        <v>1</v>
      </c>
      <c r="C344" s="16" t="s">
        <v>52</v>
      </c>
      <c r="D344" s="48">
        <v>35152</v>
      </c>
      <c r="E344" s="47">
        <v>146</v>
      </c>
      <c r="F344" s="48">
        <v>7022</v>
      </c>
      <c r="G344" s="49">
        <v>1</v>
      </c>
      <c r="H344" s="48">
        <v>1</v>
      </c>
      <c r="I344" s="48">
        <v>2</v>
      </c>
      <c r="J344" s="48">
        <v>69</v>
      </c>
      <c r="K344" s="3">
        <v>669</v>
      </c>
      <c r="L344" s="16"/>
      <c r="M344" s="57"/>
      <c r="N344" s="58"/>
      <c r="P344" s="16">
        <v>1</v>
      </c>
      <c r="Q344" s="20">
        <f t="shared" si="67"/>
        <v>669</v>
      </c>
      <c r="R344" s="14">
        <v>250</v>
      </c>
      <c r="S344" s="19">
        <f t="shared" si="63"/>
        <v>167250</v>
      </c>
      <c r="T344" s="16"/>
      <c r="U344" s="16"/>
      <c r="V344" s="16"/>
      <c r="W344" s="5"/>
      <c r="X344" s="16"/>
      <c r="Y344" s="5"/>
      <c r="Z344" s="16"/>
      <c r="AA344" s="16"/>
      <c r="AB344" s="16"/>
      <c r="AE344" s="16"/>
      <c r="AG344" s="22">
        <f t="shared" si="64"/>
        <v>0</v>
      </c>
      <c r="AH344" s="6"/>
      <c r="AJ344" s="20">
        <f t="shared" si="65"/>
        <v>0</v>
      </c>
      <c r="AK344" s="50"/>
      <c r="AL344" s="6"/>
      <c r="AM344" s="20">
        <f t="shared" si="57"/>
        <v>0</v>
      </c>
      <c r="AN344" s="20">
        <f t="shared" si="62"/>
        <v>167250</v>
      </c>
      <c r="AP344" s="20">
        <f t="shared" si="58"/>
        <v>167250</v>
      </c>
      <c r="AQ344" s="7"/>
      <c r="AR344" s="20"/>
      <c r="AS344" s="51"/>
    </row>
    <row r="345" spans="1:45" s="21" customFormat="1" ht="30" customHeight="1" x14ac:dyDescent="0.2">
      <c r="A345" s="2">
        <v>291</v>
      </c>
      <c r="B345" s="46">
        <v>1</v>
      </c>
      <c r="C345" s="16" t="s">
        <v>52</v>
      </c>
      <c r="D345" s="48">
        <v>31910</v>
      </c>
      <c r="E345" s="47">
        <v>101</v>
      </c>
      <c r="F345" s="48">
        <v>6137</v>
      </c>
      <c r="G345" s="49">
        <v>2</v>
      </c>
      <c r="H345" s="48">
        <v>3</v>
      </c>
      <c r="I345" s="48">
        <v>1</v>
      </c>
      <c r="J345" s="48">
        <v>23.01</v>
      </c>
      <c r="K345" s="3">
        <v>1323.01</v>
      </c>
      <c r="L345" s="16"/>
      <c r="M345" s="57"/>
      <c r="N345" s="58"/>
      <c r="P345" s="16">
        <v>1</v>
      </c>
      <c r="Q345" s="20">
        <f t="shared" si="67"/>
        <v>1323.01</v>
      </c>
      <c r="R345" s="14">
        <v>160</v>
      </c>
      <c r="S345" s="19">
        <f t="shared" si="63"/>
        <v>211681.6</v>
      </c>
      <c r="T345" s="16"/>
      <c r="U345" s="17"/>
      <c r="V345" s="16"/>
      <c r="W345" s="5"/>
      <c r="X345" s="16"/>
      <c r="Y345" s="5"/>
      <c r="Z345" s="16"/>
      <c r="AA345" s="16"/>
      <c r="AB345" s="16"/>
      <c r="AE345" s="16"/>
      <c r="AG345" s="22">
        <f t="shared" si="64"/>
        <v>0</v>
      </c>
      <c r="AH345" s="6"/>
      <c r="AJ345" s="20">
        <f t="shared" si="65"/>
        <v>0</v>
      </c>
      <c r="AK345" s="50"/>
      <c r="AL345" s="6"/>
      <c r="AM345" s="20">
        <f t="shared" si="57"/>
        <v>0</v>
      </c>
      <c r="AN345" s="20">
        <f t="shared" si="62"/>
        <v>211681.6</v>
      </c>
      <c r="AP345" s="20">
        <f t="shared" si="58"/>
        <v>211681.6</v>
      </c>
      <c r="AQ345" s="7"/>
      <c r="AR345" s="20"/>
      <c r="AS345" s="51"/>
    </row>
    <row r="346" spans="1:45" ht="30" customHeight="1" x14ac:dyDescent="0.2">
      <c r="A346" s="8"/>
      <c r="C346" s="16"/>
      <c r="S346" s="20"/>
      <c r="AC346" s="21"/>
      <c r="AD346" s="21"/>
      <c r="AG346" s="22"/>
      <c r="AJ346" s="20"/>
      <c r="AM346" s="20"/>
      <c r="AN346" s="20"/>
      <c r="AP346" s="20"/>
      <c r="AR346" s="20"/>
    </row>
    <row r="347" spans="1:45" ht="30" customHeight="1" x14ac:dyDescent="0.2">
      <c r="C347" s="16"/>
      <c r="AG347" s="22"/>
      <c r="AJ347" s="20"/>
      <c r="AM347" s="20"/>
      <c r="AN347" s="20"/>
      <c r="AP347" s="20"/>
      <c r="AR347" s="20"/>
    </row>
    <row r="348" spans="1:45" ht="30" customHeight="1" x14ac:dyDescent="0.2">
      <c r="A348" s="8">
        <v>292</v>
      </c>
      <c r="B348" s="13">
        <v>1</v>
      </c>
      <c r="C348" s="16" t="s">
        <v>65</v>
      </c>
      <c r="D348" s="17">
        <v>1232</v>
      </c>
      <c r="E348" s="17">
        <v>87</v>
      </c>
      <c r="H348" s="17">
        <v>3</v>
      </c>
      <c r="I348" s="17">
        <v>3</v>
      </c>
      <c r="J348" s="17">
        <v>49</v>
      </c>
      <c r="K348" s="10">
        <v>1549</v>
      </c>
      <c r="P348" s="17">
        <v>1</v>
      </c>
      <c r="Q348" s="19">
        <f t="shared" si="67"/>
        <v>1549</v>
      </c>
      <c r="R348" s="14">
        <v>200</v>
      </c>
      <c r="S348" s="19">
        <f t="shared" si="63"/>
        <v>309800</v>
      </c>
      <c r="AC348" s="21"/>
      <c r="AD348" s="21"/>
      <c r="AG348" s="22">
        <f t="shared" si="64"/>
        <v>0</v>
      </c>
      <c r="AJ348" s="20">
        <f t="shared" si="65"/>
        <v>0</v>
      </c>
      <c r="AM348" s="20">
        <f t="shared" si="57"/>
        <v>0</v>
      </c>
      <c r="AN348" s="20">
        <f t="shared" ref="AN348:AN364" si="68">+S348+AM348</f>
        <v>309800</v>
      </c>
      <c r="AP348" s="20">
        <f t="shared" si="58"/>
        <v>309800</v>
      </c>
      <c r="AQ348" s="12">
        <v>1E-4</v>
      </c>
      <c r="AR348" s="20"/>
    </row>
    <row r="349" spans="1:45" s="21" customFormat="1" ht="30" customHeight="1" x14ac:dyDescent="0.2">
      <c r="A349" s="2">
        <v>293</v>
      </c>
      <c r="B349" s="46">
        <v>1</v>
      </c>
      <c r="C349" s="16" t="s">
        <v>52</v>
      </c>
      <c r="D349" s="48">
        <v>3599</v>
      </c>
      <c r="E349" s="47">
        <v>56</v>
      </c>
      <c r="F349" s="48">
        <v>2230</v>
      </c>
      <c r="G349" s="49">
        <v>2</v>
      </c>
      <c r="H349" s="48">
        <v>5</v>
      </c>
      <c r="I349" s="48">
        <v>1</v>
      </c>
      <c r="J349" s="48">
        <v>59</v>
      </c>
      <c r="K349" s="3">
        <v>2159</v>
      </c>
      <c r="L349" s="16"/>
      <c r="M349" s="57"/>
      <c r="N349" s="58"/>
      <c r="P349" s="16">
        <v>1</v>
      </c>
      <c r="Q349" s="20">
        <f t="shared" si="67"/>
        <v>2159</v>
      </c>
      <c r="R349" s="14">
        <v>160</v>
      </c>
      <c r="S349" s="20">
        <f t="shared" si="63"/>
        <v>345440</v>
      </c>
      <c r="T349" s="16"/>
      <c r="U349" s="17"/>
      <c r="V349" s="17"/>
      <c r="W349" s="4"/>
      <c r="X349" s="16"/>
      <c r="Y349" s="5"/>
      <c r="Z349" s="16"/>
      <c r="AA349" s="16"/>
      <c r="AB349" s="16"/>
      <c r="AE349" s="16"/>
      <c r="AG349" s="22">
        <f t="shared" si="64"/>
        <v>0</v>
      </c>
      <c r="AH349" s="6"/>
      <c r="AJ349" s="20">
        <f t="shared" si="65"/>
        <v>0</v>
      </c>
      <c r="AK349" s="50"/>
      <c r="AL349" s="6"/>
      <c r="AM349" s="20">
        <f t="shared" si="57"/>
        <v>0</v>
      </c>
      <c r="AN349" s="20">
        <f t="shared" si="68"/>
        <v>345440</v>
      </c>
      <c r="AP349" s="20">
        <f t="shared" si="58"/>
        <v>345440</v>
      </c>
      <c r="AQ349" s="7"/>
      <c r="AR349" s="20"/>
      <c r="AS349" s="51"/>
    </row>
    <row r="350" spans="1:45" s="21" customFormat="1" ht="30" customHeight="1" x14ac:dyDescent="0.2">
      <c r="A350" s="8">
        <v>294</v>
      </c>
      <c r="B350" s="46">
        <v>1</v>
      </c>
      <c r="C350" s="16" t="s">
        <v>52</v>
      </c>
      <c r="D350" s="48">
        <v>36124</v>
      </c>
      <c r="E350" s="47">
        <v>150</v>
      </c>
      <c r="F350" s="48">
        <v>7057</v>
      </c>
      <c r="G350" s="49">
        <v>1</v>
      </c>
      <c r="H350" s="48">
        <v>1</v>
      </c>
      <c r="I350" s="48">
        <v>3</v>
      </c>
      <c r="J350" s="48">
        <v>23</v>
      </c>
      <c r="K350" s="3">
        <v>723</v>
      </c>
      <c r="L350" s="16"/>
      <c r="M350" s="57"/>
      <c r="N350" s="58"/>
      <c r="P350" s="16">
        <v>1</v>
      </c>
      <c r="Q350" s="20">
        <f t="shared" si="67"/>
        <v>723</v>
      </c>
      <c r="R350" s="14">
        <v>160</v>
      </c>
      <c r="S350" s="19">
        <f t="shared" si="63"/>
        <v>115680</v>
      </c>
      <c r="T350" s="16"/>
      <c r="U350" s="17"/>
      <c r="V350" s="17"/>
      <c r="W350" s="4"/>
      <c r="X350" s="16"/>
      <c r="Y350" s="5"/>
      <c r="Z350" s="16"/>
      <c r="AA350" s="16"/>
      <c r="AB350" s="16"/>
      <c r="AE350" s="16"/>
      <c r="AG350" s="22">
        <f t="shared" si="64"/>
        <v>0</v>
      </c>
      <c r="AH350" s="6"/>
      <c r="AJ350" s="20">
        <f t="shared" si="65"/>
        <v>0</v>
      </c>
      <c r="AK350" s="50"/>
      <c r="AL350" s="6"/>
      <c r="AM350" s="20">
        <f t="shared" si="57"/>
        <v>0</v>
      </c>
      <c r="AN350" s="20">
        <f t="shared" si="68"/>
        <v>115680</v>
      </c>
      <c r="AP350" s="20">
        <f t="shared" si="58"/>
        <v>115680</v>
      </c>
      <c r="AQ350" s="7"/>
      <c r="AR350" s="20"/>
      <c r="AS350" s="51"/>
    </row>
    <row r="351" spans="1:45" s="21" customFormat="1" ht="30" customHeight="1" x14ac:dyDescent="0.2">
      <c r="A351" s="2">
        <v>295</v>
      </c>
      <c r="B351" s="46">
        <v>1</v>
      </c>
      <c r="C351" s="16" t="s">
        <v>52</v>
      </c>
      <c r="D351" s="48">
        <v>4620</v>
      </c>
      <c r="E351" s="47">
        <v>83</v>
      </c>
      <c r="F351" s="48">
        <v>2440</v>
      </c>
      <c r="G351" s="49">
        <v>1</v>
      </c>
      <c r="H351" s="48">
        <v>3</v>
      </c>
      <c r="I351" s="48">
        <v>2</v>
      </c>
      <c r="J351" s="48">
        <v>27</v>
      </c>
      <c r="K351" s="3">
        <v>1427</v>
      </c>
      <c r="L351" s="16"/>
      <c r="M351" s="57"/>
      <c r="N351" s="58"/>
      <c r="P351" s="16">
        <v>1</v>
      </c>
      <c r="Q351" s="20">
        <f t="shared" si="67"/>
        <v>1427</v>
      </c>
      <c r="R351" s="14">
        <v>160</v>
      </c>
      <c r="S351" s="19">
        <f t="shared" si="63"/>
        <v>228320</v>
      </c>
      <c r="T351" s="16"/>
      <c r="U351" s="17"/>
      <c r="V351" s="17"/>
      <c r="W351" s="4"/>
      <c r="X351" s="16"/>
      <c r="Y351" s="5"/>
      <c r="Z351" s="16"/>
      <c r="AA351" s="16"/>
      <c r="AB351" s="16"/>
      <c r="AE351" s="16"/>
      <c r="AG351" s="22">
        <f t="shared" si="64"/>
        <v>0</v>
      </c>
      <c r="AH351" s="6"/>
      <c r="AJ351" s="20">
        <f t="shared" si="65"/>
        <v>0</v>
      </c>
      <c r="AK351" s="50"/>
      <c r="AL351" s="6"/>
      <c r="AM351" s="20">
        <f t="shared" si="57"/>
        <v>0</v>
      </c>
      <c r="AN351" s="20">
        <f t="shared" si="68"/>
        <v>228320</v>
      </c>
      <c r="AP351" s="20">
        <f t="shared" si="58"/>
        <v>228320</v>
      </c>
      <c r="AQ351" s="7"/>
      <c r="AR351" s="20"/>
      <c r="AS351" s="51"/>
    </row>
    <row r="352" spans="1:45" s="21" customFormat="1" ht="30" customHeight="1" x14ac:dyDescent="0.2">
      <c r="A352" s="8">
        <v>296</v>
      </c>
      <c r="B352" s="46">
        <v>1</v>
      </c>
      <c r="C352" s="16" t="s">
        <v>52</v>
      </c>
      <c r="D352" s="48">
        <v>25040</v>
      </c>
      <c r="E352" s="47">
        <v>68</v>
      </c>
      <c r="F352" s="48">
        <v>4950</v>
      </c>
      <c r="G352" s="49">
        <v>1</v>
      </c>
      <c r="H352" s="48">
        <v>1</v>
      </c>
      <c r="I352" s="48">
        <v>1</v>
      </c>
      <c r="J352" s="48">
        <v>33</v>
      </c>
      <c r="K352" s="3">
        <v>533</v>
      </c>
      <c r="L352" s="16"/>
      <c r="M352" s="57"/>
      <c r="N352" s="58"/>
      <c r="P352" s="16">
        <v>1</v>
      </c>
      <c r="Q352" s="20">
        <f t="shared" si="67"/>
        <v>533</v>
      </c>
      <c r="R352" s="14">
        <v>750</v>
      </c>
      <c r="S352" s="20">
        <f t="shared" si="63"/>
        <v>399750</v>
      </c>
      <c r="T352" s="16"/>
      <c r="U352" s="17"/>
      <c r="V352" s="17"/>
      <c r="W352" s="4"/>
      <c r="X352" s="16"/>
      <c r="Y352" s="5"/>
      <c r="Z352" s="16"/>
      <c r="AA352" s="16"/>
      <c r="AB352" s="16"/>
      <c r="AE352" s="16"/>
      <c r="AG352" s="22">
        <f t="shared" si="64"/>
        <v>0</v>
      </c>
      <c r="AH352" s="6"/>
      <c r="AJ352" s="20">
        <f t="shared" si="65"/>
        <v>0</v>
      </c>
      <c r="AK352" s="50"/>
      <c r="AL352" s="6"/>
      <c r="AM352" s="20">
        <f t="shared" si="57"/>
        <v>0</v>
      </c>
      <c r="AN352" s="20">
        <f t="shared" si="68"/>
        <v>399750</v>
      </c>
      <c r="AP352" s="20">
        <f t="shared" si="58"/>
        <v>399750</v>
      </c>
      <c r="AQ352" s="7"/>
      <c r="AR352" s="20"/>
      <c r="AS352" s="51"/>
    </row>
    <row r="353" spans="1:45" s="21" customFormat="1" ht="30" customHeight="1" x14ac:dyDescent="0.2">
      <c r="A353" s="2">
        <v>297</v>
      </c>
      <c r="B353" s="46">
        <v>1</v>
      </c>
      <c r="C353" s="16" t="s">
        <v>52</v>
      </c>
      <c r="D353" s="48">
        <v>31894</v>
      </c>
      <c r="E353" s="47">
        <v>247</v>
      </c>
      <c r="F353" s="48">
        <v>6121</v>
      </c>
      <c r="G353" s="49">
        <v>2</v>
      </c>
      <c r="H353" s="48">
        <v>7</v>
      </c>
      <c r="I353" s="48">
        <v>1</v>
      </c>
      <c r="J353" s="48">
        <v>37.04</v>
      </c>
      <c r="K353" s="3">
        <v>2937.04</v>
      </c>
      <c r="L353" s="16"/>
      <c r="M353" s="57"/>
      <c r="N353" s="58"/>
      <c r="P353" s="16">
        <v>1</v>
      </c>
      <c r="Q353" s="20">
        <f t="shared" si="67"/>
        <v>2937.04</v>
      </c>
      <c r="R353" s="14">
        <v>200</v>
      </c>
      <c r="S353" s="19">
        <f t="shared" si="63"/>
        <v>587408</v>
      </c>
      <c r="T353" s="16"/>
      <c r="U353" s="17"/>
      <c r="V353" s="17"/>
      <c r="W353" s="4"/>
      <c r="X353" s="16"/>
      <c r="Y353" s="5"/>
      <c r="Z353" s="16"/>
      <c r="AA353" s="16"/>
      <c r="AB353" s="16"/>
      <c r="AE353" s="16"/>
      <c r="AG353" s="22">
        <f t="shared" si="64"/>
        <v>0</v>
      </c>
      <c r="AH353" s="6"/>
      <c r="AJ353" s="20">
        <f t="shared" si="65"/>
        <v>0</v>
      </c>
      <c r="AK353" s="50"/>
      <c r="AL353" s="6"/>
      <c r="AM353" s="20">
        <f t="shared" si="57"/>
        <v>0</v>
      </c>
      <c r="AN353" s="20">
        <f t="shared" si="68"/>
        <v>587408</v>
      </c>
      <c r="AP353" s="20">
        <f t="shared" si="58"/>
        <v>587408</v>
      </c>
      <c r="AQ353" s="7"/>
      <c r="AR353" s="60"/>
      <c r="AS353" s="128">
        <v>56</v>
      </c>
    </row>
    <row r="354" spans="1:45" s="21" customFormat="1" ht="30" customHeight="1" x14ac:dyDescent="0.2">
      <c r="A354" s="8">
        <v>298</v>
      </c>
      <c r="B354" s="46">
        <v>2</v>
      </c>
      <c r="C354" s="16" t="s">
        <v>52</v>
      </c>
      <c r="D354" s="48">
        <v>31896</v>
      </c>
      <c r="E354" s="47">
        <v>249</v>
      </c>
      <c r="F354" s="48">
        <v>6123</v>
      </c>
      <c r="G354" s="49">
        <v>2</v>
      </c>
      <c r="H354" s="48">
        <v>5</v>
      </c>
      <c r="I354" s="48">
        <v>0</v>
      </c>
      <c r="J354" s="48">
        <v>77.02</v>
      </c>
      <c r="K354" s="3">
        <v>2077.02</v>
      </c>
      <c r="L354" s="16"/>
      <c r="M354" s="57"/>
      <c r="N354" s="58"/>
      <c r="P354" s="16">
        <v>1</v>
      </c>
      <c r="Q354" s="20">
        <f t="shared" si="67"/>
        <v>2077.02</v>
      </c>
      <c r="R354" s="14">
        <v>200</v>
      </c>
      <c r="S354" s="19">
        <f t="shared" si="63"/>
        <v>415404</v>
      </c>
      <c r="T354" s="16"/>
      <c r="U354" s="16"/>
      <c r="V354" s="16"/>
      <c r="W354" s="5"/>
      <c r="X354" s="16"/>
      <c r="Y354" s="5"/>
      <c r="Z354" s="16"/>
      <c r="AA354" s="16"/>
      <c r="AB354" s="16"/>
      <c r="AE354" s="16"/>
      <c r="AG354" s="22">
        <f t="shared" si="64"/>
        <v>0</v>
      </c>
      <c r="AH354" s="6"/>
      <c r="AJ354" s="20">
        <f t="shared" si="65"/>
        <v>0</v>
      </c>
      <c r="AK354" s="50"/>
      <c r="AL354" s="6"/>
      <c r="AM354" s="20">
        <f t="shared" si="57"/>
        <v>0</v>
      </c>
      <c r="AN354" s="20">
        <f t="shared" si="68"/>
        <v>415404</v>
      </c>
      <c r="AP354" s="20">
        <f t="shared" si="58"/>
        <v>415404</v>
      </c>
      <c r="AQ354" s="7"/>
      <c r="AR354" s="25"/>
      <c r="AS354" s="130"/>
    </row>
    <row r="355" spans="1:45" ht="30" customHeight="1" x14ac:dyDescent="0.2">
      <c r="A355" s="8"/>
      <c r="C355" s="16"/>
      <c r="AG355" s="22"/>
      <c r="AJ355" s="20"/>
      <c r="AM355" s="20"/>
      <c r="AN355" s="20"/>
      <c r="AP355" s="20"/>
      <c r="AR355" s="20"/>
    </row>
    <row r="356" spans="1:45" s="21" customFormat="1" ht="30" customHeight="1" x14ac:dyDescent="0.2">
      <c r="A356" s="2">
        <v>299</v>
      </c>
      <c r="B356" s="46">
        <v>1</v>
      </c>
      <c r="C356" s="16" t="s">
        <v>52</v>
      </c>
      <c r="D356" s="48">
        <v>33741</v>
      </c>
      <c r="E356" s="47">
        <v>104</v>
      </c>
      <c r="F356" s="48">
        <v>6382</v>
      </c>
      <c r="G356" s="49">
        <v>1</v>
      </c>
      <c r="H356" s="48">
        <v>9</v>
      </c>
      <c r="I356" s="48">
        <v>1</v>
      </c>
      <c r="J356" s="48">
        <v>93</v>
      </c>
      <c r="K356" s="3">
        <v>3793</v>
      </c>
      <c r="L356" s="16"/>
      <c r="M356" s="57"/>
      <c r="N356" s="58"/>
      <c r="P356" s="16">
        <v>1</v>
      </c>
      <c r="Q356" s="20">
        <f t="shared" si="67"/>
        <v>3793</v>
      </c>
      <c r="R356" s="14">
        <v>160</v>
      </c>
      <c r="S356" s="19">
        <f t="shared" si="63"/>
        <v>606880</v>
      </c>
      <c r="T356" s="16"/>
      <c r="U356" s="17"/>
      <c r="V356" s="17"/>
      <c r="W356" s="4"/>
      <c r="X356" s="16"/>
      <c r="Y356" s="5"/>
      <c r="Z356" s="16"/>
      <c r="AA356" s="16"/>
      <c r="AB356" s="16"/>
      <c r="AE356" s="16"/>
      <c r="AG356" s="22">
        <f t="shared" si="64"/>
        <v>0</v>
      </c>
      <c r="AH356" s="6"/>
      <c r="AJ356" s="20">
        <f t="shared" si="65"/>
        <v>0</v>
      </c>
      <c r="AK356" s="50"/>
      <c r="AL356" s="6"/>
      <c r="AM356" s="20">
        <f t="shared" si="57"/>
        <v>0</v>
      </c>
      <c r="AN356" s="20">
        <f t="shared" si="68"/>
        <v>606880</v>
      </c>
      <c r="AP356" s="20">
        <f t="shared" si="58"/>
        <v>606880</v>
      </c>
      <c r="AQ356" s="7"/>
      <c r="AR356" s="20"/>
      <c r="AS356" s="51">
        <v>28</v>
      </c>
    </row>
    <row r="357" spans="1:45" s="21" customFormat="1" ht="30" customHeight="1" x14ac:dyDescent="0.2">
      <c r="A357" s="8">
        <v>300</v>
      </c>
      <c r="B357" s="46">
        <v>1</v>
      </c>
      <c r="C357" s="16" t="s">
        <v>52</v>
      </c>
      <c r="D357" s="48">
        <v>1509</v>
      </c>
      <c r="E357" s="47">
        <v>84</v>
      </c>
      <c r="F357" s="48">
        <v>1097</v>
      </c>
      <c r="G357" s="49">
        <v>3</v>
      </c>
      <c r="H357" s="48">
        <v>11</v>
      </c>
      <c r="I357" s="48">
        <v>3</v>
      </c>
      <c r="J357" s="48">
        <v>44</v>
      </c>
      <c r="K357" s="3">
        <v>4744</v>
      </c>
      <c r="L357" s="16"/>
      <c r="M357" s="57"/>
      <c r="N357" s="58"/>
      <c r="P357" s="16">
        <v>1</v>
      </c>
      <c r="Q357" s="20">
        <f>+K358</f>
        <v>431</v>
      </c>
      <c r="R357" s="14">
        <v>160</v>
      </c>
      <c r="S357" s="20">
        <f t="shared" si="63"/>
        <v>68960</v>
      </c>
      <c r="T357" s="16"/>
      <c r="U357" s="17"/>
      <c r="V357" s="17"/>
      <c r="W357" s="4"/>
      <c r="X357" s="16"/>
      <c r="Y357" s="5"/>
      <c r="Z357" s="16"/>
      <c r="AA357" s="16"/>
      <c r="AB357" s="16"/>
      <c r="AE357" s="16"/>
      <c r="AG357" s="22">
        <f t="shared" si="64"/>
        <v>0</v>
      </c>
      <c r="AH357" s="6"/>
      <c r="AJ357" s="20">
        <f t="shared" si="65"/>
        <v>0</v>
      </c>
      <c r="AK357" s="50"/>
      <c r="AL357" s="6"/>
      <c r="AM357" s="20">
        <f t="shared" si="57"/>
        <v>0</v>
      </c>
      <c r="AN357" s="20">
        <f t="shared" si="68"/>
        <v>68960</v>
      </c>
      <c r="AP357" s="20">
        <f t="shared" si="58"/>
        <v>68960</v>
      </c>
      <c r="AQ357" s="7"/>
      <c r="AR357" s="20"/>
      <c r="AS357" s="51"/>
    </row>
    <row r="358" spans="1:45" s="21" customFormat="1" ht="30" customHeight="1" x14ac:dyDescent="0.2">
      <c r="A358" s="2">
        <v>301</v>
      </c>
      <c r="B358" s="46">
        <v>2</v>
      </c>
      <c r="C358" s="16" t="s">
        <v>52</v>
      </c>
      <c r="D358" s="48">
        <v>31194</v>
      </c>
      <c r="E358" s="47">
        <v>214</v>
      </c>
      <c r="F358" s="48">
        <v>5854</v>
      </c>
      <c r="G358" s="49"/>
      <c r="H358" s="48">
        <v>1</v>
      </c>
      <c r="I358" s="48">
        <v>0</v>
      </c>
      <c r="J358" s="48">
        <v>31</v>
      </c>
      <c r="K358" s="3">
        <v>431</v>
      </c>
      <c r="L358" s="16"/>
      <c r="M358" s="57"/>
      <c r="N358" s="58"/>
      <c r="P358" s="16">
        <v>1</v>
      </c>
      <c r="Q358" s="20">
        <f>+K358</f>
        <v>431</v>
      </c>
      <c r="R358" s="14">
        <v>160</v>
      </c>
      <c r="S358" s="19">
        <f t="shared" si="63"/>
        <v>68960</v>
      </c>
      <c r="T358" s="16"/>
      <c r="U358" s="17"/>
      <c r="V358" s="17"/>
      <c r="W358" s="4"/>
      <c r="X358" s="16"/>
      <c r="Y358" s="5"/>
      <c r="Z358" s="16"/>
      <c r="AA358" s="16"/>
      <c r="AB358" s="16"/>
      <c r="AC358" s="14"/>
      <c r="AD358" s="14"/>
      <c r="AE358" s="16"/>
      <c r="AG358" s="22">
        <f t="shared" si="64"/>
        <v>0</v>
      </c>
      <c r="AH358" s="6"/>
      <c r="AJ358" s="20">
        <f t="shared" si="65"/>
        <v>0</v>
      </c>
      <c r="AK358" s="50"/>
      <c r="AL358" s="6"/>
      <c r="AM358" s="20">
        <f t="shared" si="57"/>
        <v>0</v>
      </c>
      <c r="AN358" s="20">
        <f t="shared" si="68"/>
        <v>68960</v>
      </c>
      <c r="AP358" s="20">
        <f t="shared" si="58"/>
        <v>68960</v>
      </c>
      <c r="AQ358" s="7"/>
      <c r="AR358" s="20"/>
      <c r="AS358" s="51"/>
    </row>
    <row r="359" spans="1:45" s="21" customFormat="1" ht="30" customHeight="1" x14ac:dyDescent="0.2">
      <c r="A359" s="8">
        <v>302</v>
      </c>
      <c r="B359" s="46">
        <v>1</v>
      </c>
      <c r="C359" s="16" t="s">
        <v>52</v>
      </c>
      <c r="D359" s="48">
        <v>2243</v>
      </c>
      <c r="E359" s="47">
        <v>14</v>
      </c>
      <c r="F359" s="48">
        <v>1578</v>
      </c>
      <c r="G359" s="49">
        <v>3</v>
      </c>
      <c r="H359" s="48">
        <v>2</v>
      </c>
      <c r="I359" s="48">
        <v>2</v>
      </c>
      <c r="J359" s="48">
        <v>68.069999999999993</v>
      </c>
      <c r="K359" s="3">
        <v>1068.07</v>
      </c>
      <c r="L359" s="16"/>
      <c r="M359" s="57"/>
      <c r="N359" s="58"/>
      <c r="P359" s="16">
        <v>1</v>
      </c>
      <c r="Q359" s="20">
        <f>+K359</f>
        <v>1068.07</v>
      </c>
      <c r="R359" s="14">
        <v>200</v>
      </c>
      <c r="S359" s="19">
        <f t="shared" si="63"/>
        <v>213614</v>
      </c>
      <c r="T359" s="16"/>
      <c r="U359" s="17"/>
      <c r="V359" s="17"/>
      <c r="W359" s="4"/>
      <c r="X359" s="16"/>
      <c r="Y359" s="5"/>
      <c r="Z359" s="16"/>
      <c r="AA359" s="16"/>
      <c r="AB359" s="16"/>
      <c r="AE359" s="16"/>
      <c r="AG359" s="22">
        <f t="shared" si="64"/>
        <v>0</v>
      </c>
      <c r="AH359" s="6"/>
      <c r="AJ359" s="20">
        <f t="shared" si="65"/>
        <v>0</v>
      </c>
      <c r="AK359" s="50"/>
      <c r="AL359" s="6"/>
      <c r="AM359" s="20">
        <f t="shared" si="57"/>
        <v>0</v>
      </c>
      <c r="AN359" s="20">
        <f t="shared" si="68"/>
        <v>213614</v>
      </c>
      <c r="AP359" s="20">
        <f t="shared" si="58"/>
        <v>213614</v>
      </c>
      <c r="AQ359" s="7"/>
      <c r="AR359" s="20"/>
      <c r="AS359" s="51"/>
    </row>
    <row r="360" spans="1:45" s="21" customFormat="1" ht="30" customHeight="1" x14ac:dyDescent="0.2">
      <c r="A360" s="8">
        <v>303</v>
      </c>
      <c r="B360" s="46">
        <v>2</v>
      </c>
      <c r="C360" s="16" t="s">
        <v>52</v>
      </c>
      <c r="D360" s="48">
        <v>17665</v>
      </c>
      <c r="E360" s="47">
        <v>14</v>
      </c>
      <c r="F360" s="48">
        <v>3793</v>
      </c>
      <c r="G360" s="49">
        <v>3</v>
      </c>
      <c r="H360" s="48">
        <v>8</v>
      </c>
      <c r="I360" s="48">
        <v>3</v>
      </c>
      <c r="J360" s="48">
        <v>98</v>
      </c>
      <c r="K360" s="3">
        <v>2798</v>
      </c>
      <c r="L360" s="16"/>
      <c r="M360" s="57"/>
      <c r="N360" s="58"/>
      <c r="P360" s="16">
        <v>1</v>
      </c>
      <c r="Q360" s="20">
        <f>+(H360*400)+(I360*100)+J360</f>
        <v>3598</v>
      </c>
      <c r="R360" s="14">
        <v>200</v>
      </c>
      <c r="S360" s="19">
        <f t="shared" si="63"/>
        <v>719600</v>
      </c>
      <c r="T360" s="16"/>
      <c r="U360" s="17"/>
      <c r="V360" s="17"/>
      <c r="W360" s="4"/>
      <c r="X360" s="16"/>
      <c r="Y360" s="5"/>
      <c r="Z360" s="16"/>
      <c r="AA360" s="16"/>
      <c r="AB360" s="16"/>
      <c r="AE360" s="21" t="s">
        <v>103</v>
      </c>
      <c r="AG360" s="22">
        <f t="shared" si="64"/>
        <v>0</v>
      </c>
      <c r="AH360" s="6"/>
      <c r="AJ360" s="20">
        <f t="shared" si="65"/>
        <v>0</v>
      </c>
      <c r="AK360" s="50"/>
      <c r="AL360" s="6"/>
      <c r="AM360" s="20">
        <f t="shared" si="57"/>
        <v>0</v>
      </c>
      <c r="AN360" s="20">
        <f t="shared" si="68"/>
        <v>719600</v>
      </c>
      <c r="AP360" s="20">
        <f t="shared" si="58"/>
        <v>719600</v>
      </c>
      <c r="AQ360" s="7"/>
      <c r="AR360" s="20"/>
      <c r="AS360" s="51"/>
    </row>
    <row r="361" spans="1:45" ht="30" customHeight="1" x14ac:dyDescent="0.2">
      <c r="C361" s="16"/>
      <c r="S361" s="20"/>
      <c r="AG361" s="22"/>
      <c r="AJ361" s="20"/>
      <c r="AM361" s="20"/>
      <c r="AN361" s="20"/>
      <c r="AP361" s="20"/>
      <c r="AR361" s="20"/>
    </row>
    <row r="362" spans="1:45" ht="30" customHeight="1" x14ac:dyDescent="0.2">
      <c r="A362" s="8"/>
      <c r="C362" s="16"/>
      <c r="AG362" s="22"/>
      <c r="AJ362" s="20"/>
      <c r="AM362" s="20"/>
      <c r="AN362" s="20"/>
      <c r="AP362" s="20"/>
      <c r="AR362" s="20"/>
    </row>
    <row r="363" spans="1:45" s="21" customFormat="1" ht="30" customHeight="1" x14ac:dyDescent="0.2">
      <c r="A363" s="2">
        <v>304</v>
      </c>
      <c r="B363" s="46">
        <v>1</v>
      </c>
      <c r="C363" s="16" t="s">
        <v>52</v>
      </c>
      <c r="D363" s="48">
        <v>4864</v>
      </c>
      <c r="E363" s="47">
        <v>12</v>
      </c>
      <c r="F363" s="48">
        <v>2554</v>
      </c>
      <c r="G363" s="49">
        <v>7</v>
      </c>
      <c r="H363" s="48">
        <v>0</v>
      </c>
      <c r="I363" s="48">
        <v>1</v>
      </c>
      <c r="J363" s="48">
        <v>66</v>
      </c>
      <c r="K363" s="3"/>
      <c r="L363" s="16">
        <v>166</v>
      </c>
      <c r="M363" s="57"/>
      <c r="N363" s="58"/>
      <c r="P363" s="16">
        <v>2</v>
      </c>
      <c r="Q363" s="20">
        <f>+L363</f>
        <v>166</v>
      </c>
      <c r="R363" s="14">
        <v>880</v>
      </c>
      <c r="S363" s="19">
        <f t="shared" si="63"/>
        <v>146080</v>
      </c>
      <c r="T363" s="16"/>
      <c r="U363" s="17" t="s">
        <v>57</v>
      </c>
      <c r="V363" s="17" t="s">
        <v>56</v>
      </c>
      <c r="W363" s="4"/>
      <c r="X363" s="16"/>
      <c r="Y363" s="5">
        <v>60</v>
      </c>
      <c r="Z363" s="16"/>
      <c r="AA363" s="16"/>
      <c r="AB363" s="16">
        <f>62-54</f>
        <v>8</v>
      </c>
      <c r="AC363" s="14"/>
      <c r="AD363" s="14"/>
      <c r="AE363" s="16"/>
      <c r="AF363" s="21">
        <v>2</v>
      </c>
      <c r="AG363" s="22">
        <f t="shared" si="64"/>
        <v>60</v>
      </c>
      <c r="AH363" s="6">
        <v>1</v>
      </c>
      <c r="AI363" s="21">
        <v>7250</v>
      </c>
      <c r="AJ363" s="20">
        <f t="shared" si="65"/>
        <v>435000</v>
      </c>
      <c r="AK363" s="50">
        <v>8</v>
      </c>
      <c r="AL363" s="6">
        <v>0.08</v>
      </c>
      <c r="AM363" s="20">
        <f t="shared" si="57"/>
        <v>400200</v>
      </c>
      <c r="AN363" s="20">
        <f t="shared" si="68"/>
        <v>546280</v>
      </c>
      <c r="AP363" s="20">
        <f t="shared" si="58"/>
        <v>546280</v>
      </c>
      <c r="AQ363" s="7"/>
      <c r="AR363" s="20"/>
      <c r="AS363" s="51"/>
    </row>
    <row r="364" spans="1:45" s="21" customFormat="1" ht="30" customHeight="1" x14ac:dyDescent="0.2">
      <c r="A364" s="8">
        <v>305</v>
      </c>
      <c r="B364" s="46">
        <v>1</v>
      </c>
      <c r="C364" s="16" t="s">
        <v>52</v>
      </c>
      <c r="D364" s="48">
        <v>796</v>
      </c>
      <c r="E364" s="47">
        <v>530</v>
      </c>
      <c r="F364" s="48">
        <v>114</v>
      </c>
      <c r="G364" s="49">
        <v>2</v>
      </c>
      <c r="H364" s="48">
        <v>0</v>
      </c>
      <c r="I364" s="48">
        <v>0</v>
      </c>
      <c r="J364" s="48">
        <v>48.03</v>
      </c>
      <c r="K364" s="3"/>
      <c r="L364" s="16"/>
      <c r="M364" s="57"/>
      <c r="N364" s="58">
        <v>48.03</v>
      </c>
      <c r="P364" s="16">
        <v>4</v>
      </c>
      <c r="Q364" s="20">
        <f>+N364</f>
        <v>48.03</v>
      </c>
      <c r="R364" s="14">
        <v>250</v>
      </c>
      <c r="S364" s="20">
        <f t="shared" si="63"/>
        <v>12007.5</v>
      </c>
      <c r="T364" s="16"/>
      <c r="U364" s="17"/>
      <c r="V364" s="16"/>
      <c r="W364" s="5"/>
      <c r="X364" s="16"/>
      <c r="Y364" s="5"/>
      <c r="Z364" s="16"/>
      <c r="AA364" s="16"/>
      <c r="AB364" s="16"/>
      <c r="AC364" s="14"/>
      <c r="AD364" s="14"/>
      <c r="AE364" s="16"/>
      <c r="AG364" s="22">
        <f t="shared" si="64"/>
        <v>0</v>
      </c>
      <c r="AH364" s="6"/>
      <c r="AJ364" s="20">
        <f t="shared" si="65"/>
        <v>0</v>
      </c>
      <c r="AK364" s="50"/>
      <c r="AL364" s="6"/>
      <c r="AM364" s="20">
        <f t="shared" si="57"/>
        <v>0</v>
      </c>
      <c r="AN364" s="20">
        <f t="shared" si="68"/>
        <v>12007.5</v>
      </c>
      <c r="AP364" s="20">
        <f t="shared" si="58"/>
        <v>12007.5</v>
      </c>
      <c r="AQ364" s="7">
        <v>3.0000000000000001E-3</v>
      </c>
      <c r="AR364" s="20"/>
      <c r="AS364" s="51"/>
    </row>
    <row r="365" spans="1:45" s="21" customFormat="1" ht="30" customHeight="1" x14ac:dyDescent="0.2">
      <c r="A365" s="2">
        <v>306</v>
      </c>
      <c r="B365" s="46">
        <v>1</v>
      </c>
      <c r="C365" s="16" t="s">
        <v>52</v>
      </c>
      <c r="D365" s="48">
        <v>2125</v>
      </c>
      <c r="E365" s="47">
        <v>20</v>
      </c>
      <c r="F365" s="48">
        <v>816</v>
      </c>
      <c r="G365" s="49">
        <v>4</v>
      </c>
      <c r="H365" s="48">
        <v>1</v>
      </c>
      <c r="I365" s="48">
        <v>1</v>
      </c>
      <c r="J365" s="48">
        <v>88</v>
      </c>
      <c r="K365" s="3"/>
      <c r="L365" s="16">
        <v>588</v>
      </c>
      <c r="M365" s="57"/>
      <c r="N365" s="58"/>
      <c r="P365" s="16">
        <v>5</v>
      </c>
      <c r="Q365" s="20">
        <f>+L365</f>
        <v>588</v>
      </c>
      <c r="R365" s="14">
        <v>500</v>
      </c>
      <c r="S365" s="19">
        <f t="shared" si="63"/>
        <v>294000</v>
      </c>
      <c r="T365" s="16"/>
      <c r="U365" s="17"/>
      <c r="V365" s="17"/>
      <c r="W365" s="4"/>
      <c r="X365" s="16"/>
      <c r="Y365" s="5"/>
      <c r="Z365" s="16"/>
      <c r="AA365" s="16"/>
      <c r="AB365" s="16"/>
      <c r="AC365" s="14"/>
      <c r="AD365" s="14"/>
      <c r="AE365" s="16"/>
      <c r="AG365" s="22"/>
      <c r="AH365" s="6"/>
      <c r="AJ365" s="20"/>
      <c r="AK365" s="50"/>
      <c r="AL365" s="6"/>
      <c r="AM365" s="20"/>
      <c r="AN365" s="20"/>
      <c r="AP365" s="20"/>
      <c r="AQ365" s="7"/>
      <c r="AR365" s="20"/>
      <c r="AS365" s="51"/>
    </row>
    <row r="366" spans="1:45" s="21" customFormat="1" ht="30" customHeight="1" x14ac:dyDescent="0.2">
      <c r="A366" s="2"/>
      <c r="B366" s="46"/>
      <c r="C366" s="16"/>
      <c r="D366" s="48"/>
      <c r="E366" s="47"/>
      <c r="F366" s="48"/>
      <c r="G366" s="49"/>
      <c r="H366" s="48"/>
      <c r="I366" s="48"/>
      <c r="J366" s="48"/>
      <c r="K366" s="3"/>
      <c r="L366" s="16"/>
      <c r="M366" s="57"/>
      <c r="N366" s="58"/>
      <c r="P366" s="16">
        <v>1</v>
      </c>
      <c r="Q366" s="20"/>
      <c r="R366" s="14" t="e">
        <v>#N/A</v>
      </c>
      <c r="S366" s="19"/>
      <c r="T366" s="16"/>
      <c r="U366" s="17"/>
      <c r="V366" s="17"/>
      <c r="W366" s="4"/>
      <c r="X366" s="16"/>
      <c r="Y366" s="5"/>
      <c r="Z366" s="16"/>
      <c r="AA366" s="16"/>
      <c r="AB366" s="16"/>
      <c r="AC366" s="14"/>
      <c r="AD366" s="14"/>
      <c r="AE366" s="16"/>
      <c r="AG366" s="22"/>
      <c r="AH366" s="6"/>
      <c r="AJ366" s="20">
        <f t="shared" ref="AJ366:AJ388" si="69">+AG366*AH366*AI366</f>
        <v>0</v>
      </c>
      <c r="AK366" s="50"/>
      <c r="AL366" s="6"/>
      <c r="AM366" s="20">
        <f t="shared" ref="AM366:AM388" si="70">+AJ366-(AL366*AJ366)</f>
        <v>0</v>
      </c>
      <c r="AN366" s="20">
        <f>(S365*0.93)+AM366</f>
        <v>273420</v>
      </c>
      <c r="AP366" s="20">
        <f t="shared" ref="AP366:AP388" si="71">AN366</f>
        <v>273420</v>
      </c>
      <c r="AQ366" s="7"/>
      <c r="AR366" s="20"/>
      <c r="AS366" s="51"/>
    </row>
    <row r="367" spans="1:45" s="21" customFormat="1" ht="30" customHeight="1" x14ac:dyDescent="0.2">
      <c r="A367" s="2"/>
      <c r="B367" s="46"/>
      <c r="C367" s="16"/>
      <c r="D367" s="48"/>
      <c r="E367" s="47"/>
      <c r="F367" s="48"/>
      <c r="G367" s="49"/>
      <c r="H367" s="48"/>
      <c r="I367" s="48"/>
      <c r="J367" s="48"/>
      <c r="K367" s="3"/>
      <c r="L367" s="16"/>
      <c r="M367" s="57"/>
      <c r="N367" s="58"/>
      <c r="P367" s="16">
        <v>2</v>
      </c>
      <c r="Q367" s="20"/>
      <c r="R367" s="14" t="e">
        <v>#N/A</v>
      </c>
      <c r="S367" s="19"/>
      <c r="T367" s="16"/>
      <c r="U367" s="17"/>
      <c r="V367" s="17"/>
      <c r="W367" s="4"/>
      <c r="X367" s="16"/>
      <c r="Y367" s="5">
        <v>181.5</v>
      </c>
      <c r="Z367" s="16"/>
      <c r="AA367" s="16"/>
      <c r="AB367" s="16">
        <f>62-42</f>
        <v>20</v>
      </c>
      <c r="AC367" s="14"/>
      <c r="AD367" s="14"/>
      <c r="AE367" s="16"/>
      <c r="AF367" s="21">
        <v>2</v>
      </c>
      <c r="AG367" s="22">
        <f t="shared" ref="AG367:AG388" si="72">Y367</f>
        <v>181.5</v>
      </c>
      <c r="AH367" s="6">
        <v>1</v>
      </c>
      <c r="AI367" s="21">
        <v>7250</v>
      </c>
      <c r="AJ367" s="20">
        <f t="shared" si="69"/>
        <v>1315875</v>
      </c>
      <c r="AK367" s="50">
        <v>20</v>
      </c>
      <c r="AL367" s="6">
        <v>0.3</v>
      </c>
      <c r="AM367" s="20">
        <f t="shared" si="70"/>
        <v>921112.5</v>
      </c>
      <c r="AN367" s="20">
        <f>(0.07*S365)+AM367</f>
        <v>941692.5</v>
      </c>
      <c r="AP367" s="20">
        <f t="shared" si="71"/>
        <v>941692.5</v>
      </c>
      <c r="AQ367" s="7"/>
      <c r="AR367" s="20"/>
      <c r="AS367" s="51"/>
    </row>
    <row r="368" spans="1:45" s="21" customFormat="1" ht="30" customHeight="1" x14ac:dyDescent="0.2">
      <c r="A368" s="8">
        <v>307</v>
      </c>
      <c r="B368" s="46">
        <v>1</v>
      </c>
      <c r="C368" s="16" t="s">
        <v>52</v>
      </c>
      <c r="D368" s="48">
        <v>1615</v>
      </c>
      <c r="E368" s="47">
        <v>3</v>
      </c>
      <c r="F368" s="48">
        <v>846</v>
      </c>
      <c r="G368" s="49">
        <v>4</v>
      </c>
      <c r="H368" s="48">
        <v>5</v>
      </c>
      <c r="I368" s="48">
        <v>2</v>
      </c>
      <c r="J368" s="48">
        <v>74</v>
      </c>
      <c r="K368" s="3">
        <v>2274</v>
      </c>
      <c r="L368" s="16"/>
      <c r="M368" s="57"/>
      <c r="N368" s="58"/>
      <c r="P368" s="16">
        <v>1</v>
      </c>
      <c r="Q368" s="20">
        <f t="shared" ref="Q368:Q378" si="73">+K368</f>
        <v>2274</v>
      </c>
      <c r="R368" s="14">
        <v>200</v>
      </c>
      <c r="S368" s="19">
        <f t="shared" ref="S368:S389" si="74">+Q368*R368</f>
        <v>454800</v>
      </c>
      <c r="T368" s="16"/>
      <c r="U368" s="17"/>
      <c r="V368" s="17"/>
      <c r="W368" s="4"/>
      <c r="X368" s="16"/>
      <c r="Y368" s="5"/>
      <c r="Z368" s="16"/>
      <c r="AA368" s="16"/>
      <c r="AB368" s="16"/>
      <c r="AC368" s="14"/>
      <c r="AD368" s="14"/>
      <c r="AE368" s="16"/>
      <c r="AG368" s="22">
        <f t="shared" si="72"/>
        <v>0</v>
      </c>
      <c r="AH368" s="6"/>
      <c r="AJ368" s="20">
        <f t="shared" si="69"/>
        <v>0</v>
      </c>
      <c r="AK368" s="50"/>
      <c r="AL368" s="6"/>
      <c r="AM368" s="20">
        <f t="shared" si="70"/>
        <v>0</v>
      </c>
      <c r="AN368" s="20">
        <f t="shared" ref="AN368:AN388" si="75">+S368+AM368</f>
        <v>454800</v>
      </c>
      <c r="AP368" s="20">
        <f t="shared" si="71"/>
        <v>454800</v>
      </c>
      <c r="AQ368" s="7"/>
      <c r="AR368" s="20"/>
      <c r="AS368" s="51"/>
    </row>
    <row r="369" spans="1:45" s="21" customFormat="1" ht="30" customHeight="1" x14ac:dyDescent="0.2">
      <c r="A369" s="2">
        <v>308</v>
      </c>
      <c r="B369" s="46">
        <v>2</v>
      </c>
      <c r="C369" s="16" t="s">
        <v>52</v>
      </c>
      <c r="D369" s="48">
        <v>2452</v>
      </c>
      <c r="E369" s="47">
        <v>10</v>
      </c>
      <c r="F369" s="48">
        <v>856</v>
      </c>
      <c r="G369" s="49">
        <v>4</v>
      </c>
      <c r="H369" s="48">
        <v>5</v>
      </c>
      <c r="I369" s="48">
        <v>1</v>
      </c>
      <c r="J369" s="48">
        <v>49</v>
      </c>
      <c r="K369" s="3">
        <v>2149</v>
      </c>
      <c r="L369" s="16"/>
      <c r="M369" s="57"/>
      <c r="N369" s="58"/>
      <c r="P369" s="16">
        <v>1</v>
      </c>
      <c r="Q369" s="20">
        <f t="shared" si="73"/>
        <v>2149</v>
      </c>
      <c r="R369" s="14">
        <v>160</v>
      </c>
      <c r="S369" s="20">
        <f t="shared" si="74"/>
        <v>343840</v>
      </c>
      <c r="T369" s="16"/>
      <c r="U369" s="17"/>
      <c r="V369" s="17"/>
      <c r="W369" s="4"/>
      <c r="X369" s="16"/>
      <c r="Y369" s="5"/>
      <c r="Z369" s="16"/>
      <c r="AA369" s="16"/>
      <c r="AB369" s="16"/>
      <c r="AE369" s="16"/>
      <c r="AG369" s="22">
        <f t="shared" si="72"/>
        <v>0</v>
      </c>
      <c r="AH369" s="6"/>
      <c r="AJ369" s="20">
        <f t="shared" si="69"/>
        <v>0</v>
      </c>
      <c r="AK369" s="50"/>
      <c r="AL369" s="6"/>
      <c r="AM369" s="20">
        <f t="shared" si="70"/>
        <v>0</v>
      </c>
      <c r="AN369" s="20">
        <f t="shared" si="75"/>
        <v>343840</v>
      </c>
      <c r="AP369" s="20">
        <f t="shared" si="71"/>
        <v>343840</v>
      </c>
      <c r="AQ369" s="7"/>
      <c r="AR369" s="20"/>
      <c r="AS369" s="51"/>
    </row>
    <row r="370" spans="1:45" s="21" customFormat="1" ht="30" customHeight="1" x14ac:dyDescent="0.2">
      <c r="A370" s="8">
        <v>309</v>
      </c>
      <c r="B370" s="46">
        <v>1</v>
      </c>
      <c r="C370" s="16" t="s">
        <v>52</v>
      </c>
      <c r="D370" s="48">
        <v>29165</v>
      </c>
      <c r="E370" s="47">
        <v>261</v>
      </c>
      <c r="F370" s="48">
        <v>5360</v>
      </c>
      <c r="G370" s="49">
        <v>1</v>
      </c>
      <c r="H370" s="48">
        <v>0</v>
      </c>
      <c r="I370" s="48">
        <v>2</v>
      </c>
      <c r="J370" s="48">
        <v>22</v>
      </c>
      <c r="K370" s="3">
        <v>222</v>
      </c>
      <c r="L370" s="16"/>
      <c r="M370" s="57"/>
      <c r="N370" s="58"/>
      <c r="P370" s="16">
        <v>1</v>
      </c>
      <c r="Q370" s="20">
        <f t="shared" si="73"/>
        <v>222</v>
      </c>
      <c r="R370" s="14">
        <v>250</v>
      </c>
      <c r="S370" s="19">
        <f t="shared" si="74"/>
        <v>55500</v>
      </c>
      <c r="T370" s="16"/>
      <c r="U370" s="17"/>
      <c r="V370" s="17"/>
      <c r="W370" s="4"/>
      <c r="X370" s="16"/>
      <c r="Y370" s="5"/>
      <c r="Z370" s="16"/>
      <c r="AA370" s="16"/>
      <c r="AB370" s="16"/>
      <c r="AE370" s="16"/>
      <c r="AG370" s="22">
        <f t="shared" si="72"/>
        <v>0</v>
      </c>
      <c r="AH370" s="6"/>
      <c r="AJ370" s="20">
        <f t="shared" si="69"/>
        <v>0</v>
      </c>
      <c r="AK370" s="50"/>
      <c r="AL370" s="6"/>
      <c r="AM370" s="20">
        <f t="shared" si="70"/>
        <v>0</v>
      </c>
      <c r="AN370" s="20">
        <f t="shared" si="75"/>
        <v>55500</v>
      </c>
      <c r="AP370" s="20">
        <f t="shared" si="71"/>
        <v>55500</v>
      </c>
      <c r="AQ370" s="7"/>
      <c r="AR370" s="20"/>
      <c r="AS370" s="51"/>
    </row>
    <row r="371" spans="1:45" s="21" customFormat="1" ht="30" customHeight="1" x14ac:dyDescent="0.2">
      <c r="A371" s="2">
        <v>310</v>
      </c>
      <c r="B371" s="46">
        <v>2</v>
      </c>
      <c r="C371" s="16" t="s">
        <v>52</v>
      </c>
      <c r="D371" s="48">
        <v>3741</v>
      </c>
      <c r="E371" s="47">
        <v>107</v>
      </c>
      <c r="F371" s="48">
        <v>2261</v>
      </c>
      <c r="G371" s="49">
        <v>2</v>
      </c>
      <c r="H371" s="48">
        <v>8</v>
      </c>
      <c r="I371" s="48">
        <v>1</v>
      </c>
      <c r="J371" s="48">
        <v>15</v>
      </c>
      <c r="K371" s="3">
        <v>3315</v>
      </c>
      <c r="L371" s="16"/>
      <c r="M371" s="57"/>
      <c r="N371" s="58"/>
      <c r="P371" s="16">
        <v>1</v>
      </c>
      <c r="Q371" s="20">
        <f t="shared" si="73"/>
        <v>3315</v>
      </c>
      <c r="R371" s="14">
        <v>200</v>
      </c>
      <c r="S371" s="19">
        <f t="shared" si="74"/>
        <v>663000</v>
      </c>
      <c r="T371" s="16"/>
      <c r="U371" s="17"/>
      <c r="V371" s="17"/>
      <c r="W371" s="4"/>
      <c r="X371" s="16"/>
      <c r="Y371" s="5"/>
      <c r="Z371" s="16"/>
      <c r="AA371" s="16"/>
      <c r="AB371" s="16"/>
      <c r="AE371" s="16"/>
      <c r="AG371" s="22">
        <f t="shared" si="72"/>
        <v>0</v>
      </c>
      <c r="AH371" s="6"/>
      <c r="AJ371" s="20">
        <f t="shared" si="69"/>
        <v>0</v>
      </c>
      <c r="AK371" s="50"/>
      <c r="AL371" s="6"/>
      <c r="AM371" s="20">
        <f t="shared" si="70"/>
        <v>0</v>
      </c>
      <c r="AN371" s="20">
        <f t="shared" si="75"/>
        <v>663000</v>
      </c>
      <c r="AP371" s="20">
        <f t="shared" si="71"/>
        <v>663000</v>
      </c>
      <c r="AQ371" s="7"/>
      <c r="AR371" s="20"/>
      <c r="AS371" s="51"/>
    </row>
    <row r="372" spans="1:45" s="21" customFormat="1" ht="30" customHeight="1" x14ac:dyDescent="0.2">
      <c r="A372" s="8">
        <v>311</v>
      </c>
      <c r="B372" s="46">
        <v>3</v>
      </c>
      <c r="C372" s="16" t="s">
        <v>52</v>
      </c>
      <c r="D372" s="48">
        <v>4937</v>
      </c>
      <c r="E372" s="47">
        <v>114</v>
      </c>
      <c r="F372" s="48">
        <v>2268</v>
      </c>
      <c r="G372" s="49">
        <v>2</v>
      </c>
      <c r="H372" s="48">
        <v>10</v>
      </c>
      <c r="I372" s="48">
        <v>2</v>
      </c>
      <c r="J372" s="48">
        <v>88</v>
      </c>
      <c r="K372" s="3">
        <v>4288</v>
      </c>
      <c r="L372" s="16"/>
      <c r="M372" s="57"/>
      <c r="N372" s="58"/>
      <c r="P372" s="16">
        <v>1</v>
      </c>
      <c r="Q372" s="20">
        <f t="shared" si="73"/>
        <v>4288</v>
      </c>
      <c r="R372" s="14">
        <v>160</v>
      </c>
      <c r="S372" s="20">
        <f t="shared" si="74"/>
        <v>686080</v>
      </c>
      <c r="T372" s="16"/>
      <c r="U372" s="16"/>
      <c r="V372" s="16"/>
      <c r="W372" s="5"/>
      <c r="X372" s="16"/>
      <c r="Y372" s="5"/>
      <c r="Z372" s="16"/>
      <c r="AA372" s="16"/>
      <c r="AB372" s="16"/>
      <c r="AE372" s="16"/>
      <c r="AG372" s="22">
        <f t="shared" si="72"/>
        <v>0</v>
      </c>
      <c r="AH372" s="6"/>
      <c r="AJ372" s="20">
        <f t="shared" si="69"/>
        <v>0</v>
      </c>
      <c r="AK372" s="50"/>
      <c r="AL372" s="6"/>
      <c r="AM372" s="20">
        <f t="shared" si="70"/>
        <v>0</v>
      </c>
      <c r="AN372" s="20">
        <f t="shared" si="75"/>
        <v>686080</v>
      </c>
      <c r="AP372" s="20">
        <f t="shared" si="71"/>
        <v>686080</v>
      </c>
      <c r="AQ372" s="7"/>
      <c r="AR372" s="20"/>
      <c r="AS372" s="51"/>
    </row>
    <row r="373" spans="1:45" s="21" customFormat="1" ht="30" customHeight="1" x14ac:dyDescent="0.2">
      <c r="A373" s="2">
        <v>312</v>
      </c>
      <c r="B373" s="46">
        <v>4</v>
      </c>
      <c r="C373" s="16" t="s">
        <v>52</v>
      </c>
      <c r="D373" s="48">
        <v>25651</v>
      </c>
      <c r="E373" s="47">
        <v>84</v>
      </c>
      <c r="F373" s="48">
        <v>4724</v>
      </c>
      <c r="G373" s="49">
        <v>2</v>
      </c>
      <c r="H373" s="48">
        <v>0</v>
      </c>
      <c r="I373" s="48">
        <v>1</v>
      </c>
      <c r="J373" s="48">
        <v>70</v>
      </c>
      <c r="K373" s="3">
        <v>170</v>
      </c>
      <c r="L373" s="16"/>
      <c r="M373" s="57"/>
      <c r="N373" s="58"/>
      <c r="P373" s="16">
        <v>1</v>
      </c>
      <c r="Q373" s="20">
        <f t="shared" si="73"/>
        <v>170</v>
      </c>
      <c r="R373" s="14">
        <v>200</v>
      </c>
      <c r="S373" s="19">
        <f t="shared" si="74"/>
        <v>34000</v>
      </c>
      <c r="T373" s="16"/>
      <c r="U373" s="17"/>
      <c r="V373" s="16"/>
      <c r="W373" s="5"/>
      <c r="X373" s="16"/>
      <c r="Y373" s="5"/>
      <c r="Z373" s="16"/>
      <c r="AA373" s="16"/>
      <c r="AB373" s="16"/>
      <c r="AE373" s="16"/>
      <c r="AG373" s="22">
        <f t="shared" si="72"/>
        <v>0</v>
      </c>
      <c r="AH373" s="6"/>
      <c r="AJ373" s="20">
        <f t="shared" si="69"/>
        <v>0</v>
      </c>
      <c r="AK373" s="50"/>
      <c r="AL373" s="6"/>
      <c r="AM373" s="20">
        <f t="shared" si="70"/>
        <v>0</v>
      </c>
      <c r="AN373" s="20">
        <f t="shared" si="75"/>
        <v>34000</v>
      </c>
      <c r="AP373" s="20">
        <f t="shared" si="71"/>
        <v>34000</v>
      </c>
      <c r="AQ373" s="7"/>
      <c r="AR373" s="20"/>
      <c r="AS373" s="51"/>
    </row>
    <row r="374" spans="1:45" s="21" customFormat="1" ht="30" customHeight="1" x14ac:dyDescent="0.2">
      <c r="A374" s="8">
        <v>313</v>
      </c>
      <c r="B374" s="46">
        <v>5</v>
      </c>
      <c r="C374" s="16" t="s">
        <v>52</v>
      </c>
      <c r="D374" s="48">
        <v>30928</v>
      </c>
      <c r="E374" s="47">
        <v>91</v>
      </c>
      <c r="F374" s="48">
        <v>5880</v>
      </c>
      <c r="G374" s="49">
        <v>2</v>
      </c>
      <c r="H374" s="48">
        <v>2</v>
      </c>
      <c r="I374" s="48">
        <v>2</v>
      </c>
      <c r="J374" s="48">
        <v>57</v>
      </c>
      <c r="K374" s="3">
        <v>1057</v>
      </c>
      <c r="L374" s="16"/>
      <c r="M374" s="57"/>
      <c r="N374" s="58"/>
      <c r="P374" s="16">
        <v>1</v>
      </c>
      <c r="Q374" s="20">
        <f t="shared" si="73"/>
        <v>1057</v>
      </c>
      <c r="R374" s="14">
        <v>160</v>
      </c>
      <c r="S374" s="19">
        <f t="shared" si="74"/>
        <v>169120</v>
      </c>
      <c r="T374" s="16"/>
      <c r="U374" s="17"/>
      <c r="V374" s="17"/>
      <c r="W374" s="4"/>
      <c r="X374" s="16"/>
      <c r="Y374" s="5"/>
      <c r="Z374" s="16"/>
      <c r="AA374" s="16"/>
      <c r="AB374" s="16"/>
      <c r="AE374" s="16"/>
      <c r="AG374" s="22">
        <f t="shared" si="72"/>
        <v>0</v>
      </c>
      <c r="AH374" s="6"/>
      <c r="AJ374" s="20">
        <f t="shared" si="69"/>
        <v>0</v>
      </c>
      <c r="AK374" s="50"/>
      <c r="AL374" s="6"/>
      <c r="AM374" s="20">
        <f t="shared" si="70"/>
        <v>0</v>
      </c>
      <c r="AN374" s="20">
        <f t="shared" si="75"/>
        <v>169120</v>
      </c>
      <c r="AP374" s="20">
        <f t="shared" si="71"/>
        <v>169120</v>
      </c>
      <c r="AQ374" s="7"/>
      <c r="AR374" s="20"/>
      <c r="AS374" s="51"/>
    </row>
    <row r="375" spans="1:45" s="21" customFormat="1" ht="30" customHeight="1" x14ac:dyDescent="0.2">
      <c r="A375" s="2">
        <v>314</v>
      </c>
      <c r="B375" s="46">
        <v>6</v>
      </c>
      <c r="C375" s="16" t="s">
        <v>52</v>
      </c>
      <c r="D375" s="48">
        <v>30958</v>
      </c>
      <c r="E375" s="47">
        <v>84</v>
      </c>
      <c r="F375" s="48">
        <v>5910</v>
      </c>
      <c r="G375" s="49">
        <v>2</v>
      </c>
      <c r="H375" s="48">
        <v>3</v>
      </c>
      <c r="I375" s="48">
        <v>2</v>
      </c>
      <c r="J375" s="48">
        <v>87.01</v>
      </c>
      <c r="K375" s="3">
        <v>1487.01</v>
      </c>
      <c r="L375" s="16"/>
      <c r="M375" s="57"/>
      <c r="N375" s="58"/>
      <c r="P375" s="16">
        <v>1</v>
      </c>
      <c r="Q375" s="20">
        <f t="shared" si="73"/>
        <v>1487.01</v>
      </c>
      <c r="R375" s="14">
        <v>160</v>
      </c>
      <c r="S375" s="20">
        <f t="shared" si="74"/>
        <v>237921.6</v>
      </c>
      <c r="T375" s="16"/>
      <c r="U375" s="17"/>
      <c r="V375" s="17"/>
      <c r="W375" s="4"/>
      <c r="X375" s="16"/>
      <c r="Y375" s="5"/>
      <c r="Z375" s="16"/>
      <c r="AA375" s="16"/>
      <c r="AB375" s="16"/>
      <c r="AE375" s="16"/>
      <c r="AG375" s="22">
        <f t="shared" si="72"/>
        <v>0</v>
      </c>
      <c r="AH375" s="6"/>
      <c r="AJ375" s="20">
        <f t="shared" si="69"/>
        <v>0</v>
      </c>
      <c r="AK375" s="50"/>
      <c r="AL375" s="6"/>
      <c r="AM375" s="20">
        <f t="shared" si="70"/>
        <v>0</v>
      </c>
      <c r="AN375" s="20">
        <f t="shared" si="75"/>
        <v>237921.6</v>
      </c>
      <c r="AP375" s="20">
        <f t="shared" si="71"/>
        <v>237921.6</v>
      </c>
      <c r="AQ375" s="7"/>
      <c r="AR375" s="20"/>
      <c r="AS375" s="51"/>
    </row>
    <row r="376" spans="1:45" s="21" customFormat="1" ht="30" customHeight="1" x14ac:dyDescent="0.2">
      <c r="A376" s="8">
        <v>315</v>
      </c>
      <c r="B376" s="46">
        <v>7</v>
      </c>
      <c r="C376" s="16" t="s">
        <v>52</v>
      </c>
      <c r="D376" s="48">
        <v>15965</v>
      </c>
      <c r="E376" s="47">
        <v>26</v>
      </c>
      <c r="F376" s="48">
        <v>3474</v>
      </c>
      <c r="G376" s="49">
        <v>3</v>
      </c>
      <c r="H376" s="48">
        <v>8</v>
      </c>
      <c r="I376" s="48">
        <v>3</v>
      </c>
      <c r="J376" s="48">
        <v>83</v>
      </c>
      <c r="K376" s="3">
        <v>3583</v>
      </c>
      <c r="L376" s="16"/>
      <c r="M376" s="57"/>
      <c r="N376" s="58"/>
      <c r="P376" s="16">
        <v>1</v>
      </c>
      <c r="Q376" s="20">
        <f t="shared" si="73"/>
        <v>3583</v>
      </c>
      <c r="R376" s="14">
        <v>500</v>
      </c>
      <c r="S376" s="19">
        <f t="shared" si="74"/>
        <v>1791500</v>
      </c>
      <c r="T376" s="16"/>
      <c r="U376" s="17"/>
      <c r="V376" s="17"/>
      <c r="W376" s="4"/>
      <c r="X376" s="16"/>
      <c r="Y376" s="5"/>
      <c r="Z376" s="16"/>
      <c r="AA376" s="16"/>
      <c r="AB376" s="16"/>
      <c r="AE376" s="16"/>
      <c r="AG376" s="22">
        <f t="shared" si="72"/>
        <v>0</v>
      </c>
      <c r="AH376" s="6"/>
      <c r="AJ376" s="20">
        <f t="shared" si="69"/>
        <v>0</v>
      </c>
      <c r="AK376" s="50"/>
      <c r="AL376" s="6"/>
      <c r="AM376" s="20">
        <f t="shared" si="70"/>
        <v>0</v>
      </c>
      <c r="AN376" s="20">
        <f t="shared" si="75"/>
        <v>1791500</v>
      </c>
      <c r="AP376" s="20">
        <f t="shared" si="71"/>
        <v>1791500</v>
      </c>
      <c r="AQ376" s="7"/>
      <c r="AR376" s="20"/>
      <c r="AS376" s="51"/>
    </row>
    <row r="377" spans="1:45" ht="30" customHeight="1" x14ac:dyDescent="0.2">
      <c r="A377" s="2">
        <v>316</v>
      </c>
      <c r="B377" s="13">
        <v>8</v>
      </c>
      <c r="C377" s="16" t="s">
        <v>65</v>
      </c>
      <c r="D377" s="17">
        <v>2383</v>
      </c>
      <c r="E377" s="17">
        <v>252</v>
      </c>
      <c r="H377" s="17">
        <v>0</v>
      </c>
      <c r="I377" s="17">
        <v>0</v>
      </c>
      <c r="J377" s="17">
        <v>70</v>
      </c>
      <c r="K377" s="10">
        <v>70</v>
      </c>
      <c r="Q377" s="19">
        <f t="shared" si="73"/>
        <v>70</v>
      </c>
      <c r="R377" s="14">
        <v>250</v>
      </c>
      <c r="S377" s="19">
        <f t="shared" si="74"/>
        <v>17500</v>
      </c>
      <c r="AE377" s="17" t="s">
        <v>95</v>
      </c>
      <c r="AG377" s="22">
        <f t="shared" si="72"/>
        <v>0</v>
      </c>
      <c r="AJ377" s="20">
        <f t="shared" si="69"/>
        <v>0</v>
      </c>
      <c r="AM377" s="20">
        <f t="shared" si="70"/>
        <v>0</v>
      </c>
      <c r="AN377" s="20">
        <f t="shared" si="75"/>
        <v>17500</v>
      </c>
      <c r="AP377" s="20">
        <f t="shared" si="71"/>
        <v>17500</v>
      </c>
      <c r="AQ377" s="12">
        <v>1E-4</v>
      </c>
      <c r="AR377" s="20"/>
    </row>
    <row r="378" spans="1:45" s="21" customFormat="1" ht="30" customHeight="1" x14ac:dyDescent="0.2">
      <c r="A378" s="8">
        <v>317</v>
      </c>
      <c r="B378" s="46">
        <v>1</v>
      </c>
      <c r="C378" s="16" t="s">
        <v>52</v>
      </c>
      <c r="D378" s="48">
        <v>1981</v>
      </c>
      <c r="E378" s="47">
        <v>21</v>
      </c>
      <c r="F378" s="48">
        <v>815</v>
      </c>
      <c r="G378" s="49">
        <v>4</v>
      </c>
      <c r="H378" s="48">
        <v>2</v>
      </c>
      <c r="I378" s="48">
        <v>2</v>
      </c>
      <c r="J378" s="48">
        <v>64</v>
      </c>
      <c r="K378" s="3">
        <v>1064</v>
      </c>
      <c r="L378" s="16"/>
      <c r="M378" s="57"/>
      <c r="N378" s="58"/>
      <c r="P378" s="16">
        <v>1</v>
      </c>
      <c r="Q378" s="20">
        <f t="shared" si="73"/>
        <v>1064</v>
      </c>
      <c r="R378" s="14">
        <v>500</v>
      </c>
      <c r="S378" s="20">
        <f t="shared" si="74"/>
        <v>532000</v>
      </c>
      <c r="T378" s="16"/>
      <c r="U378" s="17"/>
      <c r="V378" s="17"/>
      <c r="W378" s="4"/>
      <c r="X378" s="16"/>
      <c r="Y378" s="5"/>
      <c r="Z378" s="16"/>
      <c r="AA378" s="16"/>
      <c r="AB378" s="16"/>
      <c r="AE378" s="16"/>
      <c r="AG378" s="22">
        <f t="shared" si="72"/>
        <v>0</v>
      </c>
      <c r="AH378" s="6"/>
      <c r="AJ378" s="20">
        <f t="shared" si="69"/>
        <v>0</v>
      </c>
      <c r="AK378" s="50"/>
      <c r="AL378" s="6"/>
      <c r="AM378" s="20">
        <f t="shared" si="70"/>
        <v>0</v>
      </c>
      <c r="AN378" s="20">
        <f t="shared" si="75"/>
        <v>532000</v>
      </c>
      <c r="AP378" s="20">
        <f t="shared" si="71"/>
        <v>532000</v>
      </c>
      <c r="AQ378" s="7"/>
      <c r="AR378" s="20"/>
      <c r="AS378" s="51"/>
    </row>
    <row r="379" spans="1:45" s="21" customFormat="1" ht="30" customHeight="1" x14ac:dyDescent="0.2">
      <c r="A379" s="2">
        <v>318</v>
      </c>
      <c r="B379" s="46">
        <v>1</v>
      </c>
      <c r="C379" s="16" t="s">
        <v>52</v>
      </c>
      <c r="D379" s="48">
        <v>4818</v>
      </c>
      <c r="E379" s="47">
        <v>3</v>
      </c>
      <c r="F379" s="48">
        <v>2707</v>
      </c>
      <c r="G379" s="49">
        <v>7</v>
      </c>
      <c r="H379" s="48">
        <v>0</v>
      </c>
      <c r="I379" s="48">
        <v>1</v>
      </c>
      <c r="J379" s="48">
        <v>33</v>
      </c>
      <c r="K379" s="3"/>
      <c r="L379" s="16">
        <v>133</v>
      </c>
      <c r="M379" s="57"/>
      <c r="N379" s="58"/>
      <c r="P379" s="16">
        <v>2</v>
      </c>
      <c r="Q379" s="20">
        <f>+L379</f>
        <v>133</v>
      </c>
      <c r="R379" s="14">
        <v>160</v>
      </c>
      <c r="S379" s="19">
        <f t="shared" si="74"/>
        <v>21280</v>
      </c>
      <c r="T379" s="16"/>
      <c r="U379" s="17" t="s">
        <v>57</v>
      </c>
      <c r="V379" s="17" t="s">
        <v>56</v>
      </c>
      <c r="W379" s="4"/>
      <c r="X379" s="16"/>
      <c r="Y379" s="5">
        <v>96</v>
      </c>
      <c r="Z379" s="16"/>
      <c r="AA379" s="16"/>
      <c r="AB379" s="16">
        <f>62-32</f>
        <v>30</v>
      </c>
      <c r="AE379" s="16"/>
      <c r="AF379" s="21">
        <v>2</v>
      </c>
      <c r="AG379" s="22">
        <f t="shared" si="72"/>
        <v>96</v>
      </c>
      <c r="AH379" s="6">
        <v>1</v>
      </c>
      <c r="AI379" s="21">
        <v>7250</v>
      </c>
      <c r="AJ379" s="20">
        <f t="shared" si="69"/>
        <v>696000</v>
      </c>
      <c r="AK379" s="50">
        <v>30</v>
      </c>
      <c r="AL379" s="6">
        <v>0.5</v>
      </c>
      <c r="AM379" s="20">
        <f t="shared" si="70"/>
        <v>348000</v>
      </c>
      <c r="AN379" s="20">
        <f t="shared" si="75"/>
        <v>369280</v>
      </c>
      <c r="AP379" s="20">
        <f t="shared" si="71"/>
        <v>369280</v>
      </c>
      <c r="AQ379" s="7"/>
      <c r="AR379" s="20"/>
      <c r="AS379" s="51"/>
    </row>
    <row r="380" spans="1:45" s="21" customFormat="1" ht="30" customHeight="1" x14ac:dyDescent="0.2">
      <c r="A380" s="8">
        <v>319</v>
      </c>
      <c r="B380" s="46">
        <v>1</v>
      </c>
      <c r="C380" s="16" t="s">
        <v>52</v>
      </c>
      <c r="D380" s="48">
        <v>31151</v>
      </c>
      <c r="E380" s="47">
        <v>222</v>
      </c>
      <c r="F380" s="48">
        <v>6096</v>
      </c>
      <c r="G380" s="49">
        <v>2</v>
      </c>
      <c r="H380" s="48">
        <v>0</v>
      </c>
      <c r="I380" s="48">
        <v>1</v>
      </c>
      <c r="J380" s="48">
        <v>67.069999999999993</v>
      </c>
      <c r="K380" s="3">
        <v>167.07</v>
      </c>
      <c r="L380" s="16"/>
      <c r="M380" s="57"/>
      <c r="N380" s="58"/>
      <c r="P380" s="16">
        <v>1</v>
      </c>
      <c r="Q380" s="20">
        <f>+K380</f>
        <v>167.07</v>
      </c>
      <c r="R380" s="14">
        <v>250</v>
      </c>
      <c r="S380" s="19">
        <f t="shared" si="74"/>
        <v>41767.5</v>
      </c>
      <c r="T380" s="16"/>
      <c r="U380" s="16"/>
      <c r="V380" s="16"/>
      <c r="W380" s="5"/>
      <c r="X380" s="16"/>
      <c r="Y380" s="5"/>
      <c r="Z380" s="16"/>
      <c r="AA380" s="16"/>
      <c r="AB380" s="16"/>
      <c r="AE380" s="16"/>
      <c r="AG380" s="22">
        <f t="shared" si="72"/>
        <v>0</v>
      </c>
      <c r="AH380" s="6"/>
      <c r="AJ380" s="20">
        <f t="shared" si="69"/>
        <v>0</v>
      </c>
      <c r="AK380" s="50"/>
      <c r="AL380" s="6"/>
      <c r="AM380" s="20">
        <f t="shared" si="70"/>
        <v>0</v>
      </c>
      <c r="AN380" s="20">
        <f t="shared" si="75"/>
        <v>41767.5</v>
      </c>
      <c r="AP380" s="20">
        <f t="shared" si="71"/>
        <v>41767.5</v>
      </c>
      <c r="AQ380" s="7"/>
      <c r="AR380" s="20"/>
      <c r="AS380" s="51">
        <v>2</v>
      </c>
    </row>
    <row r="381" spans="1:45" s="21" customFormat="1" ht="30" customHeight="1" x14ac:dyDescent="0.2">
      <c r="A381" s="2">
        <v>320</v>
      </c>
      <c r="B381" s="46">
        <v>1</v>
      </c>
      <c r="C381" s="16" t="s">
        <v>52</v>
      </c>
      <c r="D381" s="48">
        <v>875</v>
      </c>
      <c r="E381" s="47">
        <v>14</v>
      </c>
      <c r="F381" s="48">
        <v>168</v>
      </c>
      <c r="G381" s="49">
        <v>1</v>
      </c>
      <c r="H381" s="48">
        <v>13</v>
      </c>
      <c r="I381" s="48">
        <v>0</v>
      </c>
      <c r="J381" s="48">
        <v>9</v>
      </c>
      <c r="K381" s="3">
        <f>(13*400)+9</f>
        <v>5209</v>
      </c>
      <c r="L381" s="16"/>
      <c r="M381" s="57"/>
      <c r="N381" s="58"/>
      <c r="P381" s="16">
        <v>1</v>
      </c>
      <c r="Q381" s="20">
        <f>+K381</f>
        <v>5209</v>
      </c>
      <c r="R381" s="14">
        <v>200</v>
      </c>
      <c r="S381" s="20">
        <f t="shared" si="74"/>
        <v>1041800</v>
      </c>
      <c r="T381" s="16"/>
      <c r="U381" s="17"/>
      <c r="V381" s="16"/>
      <c r="W381" s="5"/>
      <c r="X381" s="16"/>
      <c r="Y381" s="5"/>
      <c r="Z381" s="16"/>
      <c r="AA381" s="16"/>
      <c r="AB381" s="16"/>
      <c r="AC381" s="14"/>
      <c r="AD381" s="14"/>
      <c r="AE381" s="16"/>
      <c r="AG381" s="22">
        <f t="shared" si="72"/>
        <v>0</v>
      </c>
      <c r="AH381" s="6"/>
      <c r="AJ381" s="20">
        <f t="shared" si="69"/>
        <v>0</v>
      </c>
      <c r="AK381" s="50"/>
      <c r="AL381" s="6"/>
      <c r="AM381" s="20">
        <f t="shared" si="70"/>
        <v>0</v>
      </c>
      <c r="AN381" s="20">
        <f t="shared" si="75"/>
        <v>1041800</v>
      </c>
      <c r="AP381" s="20">
        <f t="shared" si="71"/>
        <v>1041800</v>
      </c>
      <c r="AQ381" s="7"/>
      <c r="AR381" s="20"/>
      <c r="AS381" s="51"/>
    </row>
    <row r="382" spans="1:45" s="21" customFormat="1" ht="30" customHeight="1" x14ac:dyDescent="0.2">
      <c r="A382" s="8">
        <v>321</v>
      </c>
      <c r="B382" s="46">
        <v>1</v>
      </c>
      <c r="C382" s="16" t="s">
        <v>52</v>
      </c>
      <c r="D382" s="48">
        <v>37838</v>
      </c>
      <c r="E382" s="47">
        <v>126</v>
      </c>
      <c r="F382" s="48">
        <v>7662</v>
      </c>
      <c r="G382" s="49">
        <v>4</v>
      </c>
      <c r="H382" s="48">
        <v>0</v>
      </c>
      <c r="I382" s="48">
        <v>0</v>
      </c>
      <c r="J382" s="48">
        <v>95</v>
      </c>
      <c r="K382" s="3">
        <v>95</v>
      </c>
      <c r="L382" s="16"/>
      <c r="M382" s="57"/>
      <c r="N382" s="99"/>
      <c r="P382" s="16">
        <v>1</v>
      </c>
      <c r="Q382" s="20">
        <v>95</v>
      </c>
      <c r="R382" s="14">
        <v>250</v>
      </c>
      <c r="S382" s="19">
        <f t="shared" si="74"/>
        <v>23750</v>
      </c>
      <c r="T382" s="16"/>
      <c r="U382" s="17"/>
      <c r="V382" s="17"/>
      <c r="W382" s="4"/>
      <c r="X382" s="16"/>
      <c r="Y382" s="5"/>
      <c r="Z382" s="16"/>
      <c r="AA382" s="16"/>
      <c r="AB382" s="16"/>
      <c r="AE382" s="16"/>
      <c r="AG382" s="22">
        <f t="shared" si="72"/>
        <v>0</v>
      </c>
      <c r="AH382" s="6"/>
      <c r="AJ382" s="20">
        <f t="shared" si="69"/>
        <v>0</v>
      </c>
      <c r="AK382" s="50"/>
      <c r="AL382" s="6"/>
      <c r="AM382" s="20">
        <f t="shared" si="70"/>
        <v>0</v>
      </c>
      <c r="AN382" s="20">
        <f t="shared" si="75"/>
        <v>23750</v>
      </c>
      <c r="AP382" s="20">
        <f t="shared" si="71"/>
        <v>23750</v>
      </c>
      <c r="AQ382" s="7"/>
      <c r="AR382" s="20"/>
      <c r="AS382" s="51"/>
    </row>
    <row r="383" spans="1:45" s="21" customFormat="1" ht="30" customHeight="1" x14ac:dyDescent="0.2">
      <c r="A383" s="2">
        <v>322</v>
      </c>
      <c r="B383" s="46">
        <v>2</v>
      </c>
      <c r="C383" s="16" t="s">
        <v>52</v>
      </c>
      <c r="D383" s="48">
        <v>37839</v>
      </c>
      <c r="E383" s="47">
        <v>127</v>
      </c>
      <c r="F383" s="48">
        <v>7663</v>
      </c>
      <c r="G383" s="49">
        <v>4</v>
      </c>
      <c r="H383" s="48">
        <v>0</v>
      </c>
      <c r="I383" s="48">
        <v>0</v>
      </c>
      <c r="J383" s="48">
        <v>30</v>
      </c>
      <c r="K383" s="3">
        <v>30</v>
      </c>
      <c r="L383" s="16"/>
      <c r="M383" s="57"/>
      <c r="N383" s="99"/>
      <c r="P383" s="16">
        <v>1</v>
      </c>
      <c r="Q383" s="20">
        <f>+N383</f>
        <v>0</v>
      </c>
      <c r="R383" s="14">
        <v>250</v>
      </c>
      <c r="S383" s="19">
        <f t="shared" si="74"/>
        <v>0</v>
      </c>
      <c r="T383" s="16"/>
      <c r="U383" s="17"/>
      <c r="V383" s="17"/>
      <c r="W383" s="4"/>
      <c r="X383" s="16"/>
      <c r="Y383" s="5"/>
      <c r="Z383" s="16"/>
      <c r="AA383" s="16"/>
      <c r="AB383" s="16"/>
      <c r="AC383" s="14"/>
      <c r="AD383" s="14"/>
      <c r="AE383" s="16"/>
      <c r="AG383" s="22">
        <f t="shared" si="72"/>
        <v>0</v>
      </c>
      <c r="AH383" s="6"/>
      <c r="AJ383" s="20">
        <f t="shared" si="69"/>
        <v>0</v>
      </c>
      <c r="AK383" s="50"/>
      <c r="AL383" s="6"/>
      <c r="AM383" s="20">
        <f t="shared" si="70"/>
        <v>0</v>
      </c>
      <c r="AN383" s="20">
        <f t="shared" si="75"/>
        <v>0</v>
      </c>
      <c r="AP383" s="20">
        <f t="shared" si="71"/>
        <v>0</v>
      </c>
      <c r="AQ383" s="7"/>
      <c r="AR383" s="20"/>
      <c r="AS383" s="51"/>
    </row>
    <row r="384" spans="1:45" s="21" customFormat="1" ht="30" customHeight="1" x14ac:dyDescent="0.2">
      <c r="A384" s="8">
        <v>323</v>
      </c>
      <c r="B384" s="46">
        <v>1</v>
      </c>
      <c r="C384" s="16" t="s">
        <v>52</v>
      </c>
      <c r="D384" s="48">
        <v>12639</v>
      </c>
      <c r="E384" s="47">
        <v>54</v>
      </c>
      <c r="F384" s="48">
        <v>3278</v>
      </c>
      <c r="G384" s="49">
        <v>4</v>
      </c>
      <c r="H384" s="48">
        <v>2</v>
      </c>
      <c r="I384" s="48">
        <v>2</v>
      </c>
      <c r="J384" s="48">
        <v>65</v>
      </c>
      <c r="K384" s="3">
        <v>1065</v>
      </c>
      <c r="L384" s="16"/>
      <c r="M384" s="57"/>
      <c r="N384" s="58"/>
      <c r="P384" s="16">
        <v>1</v>
      </c>
      <c r="Q384" s="20">
        <f>+K384</f>
        <v>1065</v>
      </c>
      <c r="R384" s="14">
        <v>2000</v>
      </c>
      <c r="S384" s="20">
        <f t="shared" si="74"/>
        <v>2130000</v>
      </c>
      <c r="T384" s="16"/>
      <c r="U384" s="17"/>
      <c r="V384" s="17"/>
      <c r="W384" s="4"/>
      <c r="X384" s="16"/>
      <c r="Y384" s="5"/>
      <c r="Z384" s="16"/>
      <c r="AA384" s="16"/>
      <c r="AB384" s="16"/>
      <c r="AC384" s="14"/>
      <c r="AD384" s="14"/>
      <c r="AE384" s="16"/>
      <c r="AG384" s="22">
        <f t="shared" si="72"/>
        <v>0</v>
      </c>
      <c r="AH384" s="6"/>
      <c r="AJ384" s="20">
        <f t="shared" si="69"/>
        <v>0</v>
      </c>
      <c r="AK384" s="50"/>
      <c r="AL384" s="6"/>
      <c r="AM384" s="20">
        <f t="shared" si="70"/>
        <v>0</v>
      </c>
      <c r="AN384" s="20">
        <f t="shared" si="75"/>
        <v>2130000</v>
      </c>
      <c r="AP384" s="20">
        <f t="shared" si="71"/>
        <v>2130000</v>
      </c>
      <c r="AQ384" s="7"/>
      <c r="AR384" s="20"/>
      <c r="AS384" s="51"/>
    </row>
    <row r="385" spans="1:45" s="21" customFormat="1" ht="30" customHeight="1" x14ac:dyDescent="0.2">
      <c r="A385" s="2">
        <v>324</v>
      </c>
      <c r="B385" s="46">
        <v>1</v>
      </c>
      <c r="C385" s="16" t="s">
        <v>52</v>
      </c>
      <c r="D385" s="48">
        <v>20520</v>
      </c>
      <c r="E385" s="47">
        <v>26</v>
      </c>
      <c r="F385" s="48">
        <v>4557</v>
      </c>
      <c r="G385" s="49">
        <v>6</v>
      </c>
      <c r="H385" s="48">
        <v>0</v>
      </c>
      <c r="I385" s="48">
        <v>0</v>
      </c>
      <c r="J385" s="48">
        <v>58</v>
      </c>
      <c r="K385" s="3"/>
      <c r="L385" s="16">
        <v>58</v>
      </c>
      <c r="M385" s="57"/>
      <c r="N385" s="58"/>
      <c r="P385" s="16">
        <v>2</v>
      </c>
      <c r="Q385" s="20">
        <f>+L385</f>
        <v>58</v>
      </c>
      <c r="R385" s="14">
        <v>1500</v>
      </c>
      <c r="S385" s="19">
        <f t="shared" si="74"/>
        <v>87000</v>
      </c>
      <c r="T385" s="16"/>
      <c r="U385" s="17" t="s">
        <v>57</v>
      </c>
      <c r="V385" s="17" t="s">
        <v>56</v>
      </c>
      <c r="W385" s="4"/>
      <c r="X385" s="16"/>
      <c r="Y385" s="5">
        <v>57.5</v>
      </c>
      <c r="Z385" s="16"/>
      <c r="AA385" s="16"/>
      <c r="AB385" s="16">
        <f>62-33</f>
        <v>29</v>
      </c>
      <c r="AC385" s="14"/>
      <c r="AD385" s="14"/>
      <c r="AE385" s="16"/>
      <c r="AF385" s="21">
        <v>2</v>
      </c>
      <c r="AG385" s="22">
        <f t="shared" si="72"/>
        <v>57.5</v>
      </c>
      <c r="AH385" s="6">
        <v>1</v>
      </c>
      <c r="AI385" s="21">
        <v>7250</v>
      </c>
      <c r="AJ385" s="20">
        <f t="shared" si="69"/>
        <v>416875</v>
      </c>
      <c r="AK385" s="50">
        <v>29</v>
      </c>
      <c r="AL385" s="6">
        <v>0.48</v>
      </c>
      <c r="AM385" s="20">
        <f t="shared" si="70"/>
        <v>216775</v>
      </c>
      <c r="AN385" s="20">
        <f t="shared" si="75"/>
        <v>303775</v>
      </c>
      <c r="AP385" s="20">
        <f t="shared" si="71"/>
        <v>303775</v>
      </c>
      <c r="AQ385" s="7"/>
      <c r="AR385" s="20"/>
      <c r="AS385" s="51"/>
    </row>
    <row r="386" spans="1:45" s="21" customFormat="1" ht="30" customHeight="1" x14ac:dyDescent="0.2">
      <c r="A386" s="8">
        <v>325</v>
      </c>
      <c r="B386" s="46">
        <v>1</v>
      </c>
      <c r="C386" s="16" t="s">
        <v>52</v>
      </c>
      <c r="D386" s="48">
        <v>21027</v>
      </c>
      <c r="E386" s="47">
        <v>77</v>
      </c>
      <c r="F386" s="48">
        <v>4674</v>
      </c>
      <c r="G386" s="49">
        <v>1</v>
      </c>
      <c r="H386" s="48">
        <v>0</v>
      </c>
      <c r="I386" s="48">
        <v>0</v>
      </c>
      <c r="J386" s="48">
        <v>49</v>
      </c>
      <c r="K386" s="3"/>
      <c r="L386" s="16"/>
      <c r="M386" s="57"/>
      <c r="N386" s="58">
        <v>49</v>
      </c>
      <c r="P386" s="16">
        <v>4</v>
      </c>
      <c r="Q386" s="20">
        <f>+N386</f>
        <v>49</v>
      </c>
      <c r="R386" s="14">
        <v>3000</v>
      </c>
      <c r="S386" s="19">
        <f t="shared" si="74"/>
        <v>147000</v>
      </c>
      <c r="T386" s="16"/>
      <c r="U386" s="16"/>
      <c r="V386" s="16"/>
      <c r="W386" s="5"/>
      <c r="X386" s="16"/>
      <c r="Y386" s="5"/>
      <c r="Z386" s="16"/>
      <c r="AA386" s="16"/>
      <c r="AB386" s="16"/>
      <c r="AC386" s="14"/>
      <c r="AD386" s="14"/>
      <c r="AE386" s="16"/>
      <c r="AG386" s="22">
        <f t="shared" si="72"/>
        <v>0</v>
      </c>
      <c r="AH386" s="6"/>
      <c r="AJ386" s="20">
        <f t="shared" si="69"/>
        <v>0</v>
      </c>
      <c r="AK386" s="50"/>
      <c r="AL386" s="6"/>
      <c r="AM386" s="20">
        <f t="shared" si="70"/>
        <v>0</v>
      </c>
      <c r="AN386" s="20">
        <f t="shared" si="75"/>
        <v>147000</v>
      </c>
      <c r="AP386" s="20">
        <f t="shared" si="71"/>
        <v>147000</v>
      </c>
      <c r="AQ386" s="7">
        <v>3.0000000000000001E-3</v>
      </c>
      <c r="AR386" s="20"/>
      <c r="AS386" s="51"/>
    </row>
    <row r="387" spans="1:45" s="21" customFormat="1" ht="30" customHeight="1" x14ac:dyDescent="0.2">
      <c r="A387" s="2">
        <v>326</v>
      </c>
      <c r="B387" s="46">
        <v>1</v>
      </c>
      <c r="C387" s="16" t="s">
        <v>52</v>
      </c>
      <c r="D387" s="48">
        <v>4793</v>
      </c>
      <c r="E387" s="47">
        <v>101</v>
      </c>
      <c r="F387" s="48">
        <v>2664</v>
      </c>
      <c r="G387" s="49">
        <v>7</v>
      </c>
      <c r="H387" s="48">
        <v>4</v>
      </c>
      <c r="I387" s="48">
        <v>2</v>
      </c>
      <c r="J387" s="48">
        <v>86</v>
      </c>
      <c r="K387" s="3">
        <v>1886</v>
      </c>
      <c r="L387" s="16"/>
      <c r="M387" s="57"/>
      <c r="N387" s="58"/>
      <c r="P387" s="16">
        <v>1</v>
      </c>
      <c r="Q387" s="20">
        <f>+K387</f>
        <v>1886</v>
      </c>
      <c r="R387" s="14">
        <v>160</v>
      </c>
      <c r="S387" s="20">
        <f t="shared" si="74"/>
        <v>301760</v>
      </c>
      <c r="T387" s="16"/>
      <c r="U387" s="17"/>
      <c r="V387" s="16"/>
      <c r="W387" s="5"/>
      <c r="X387" s="16"/>
      <c r="Y387" s="5"/>
      <c r="Z387" s="16"/>
      <c r="AA387" s="16"/>
      <c r="AB387" s="16"/>
      <c r="AE387" s="16"/>
      <c r="AG387" s="22">
        <f t="shared" si="72"/>
        <v>0</v>
      </c>
      <c r="AH387" s="6"/>
      <c r="AJ387" s="20">
        <f t="shared" si="69"/>
        <v>0</v>
      </c>
      <c r="AK387" s="50"/>
      <c r="AL387" s="6"/>
      <c r="AM387" s="20">
        <f t="shared" si="70"/>
        <v>0</v>
      </c>
      <c r="AN387" s="20">
        <f t="shared" si="75"/>
        <v>301760</v>
      </c>
      <c r="AP387" s="20">
        <f t="shared" si="71"/>
        <v>301760</v>
      </c>
      <c r="AQ387" s="7"/>
      <c r="AR387" s="20"/>
      <c r="AS387" s="51"/>
    </row>
    <row r="388" spans="1:45" s="21" customFormat="1" ht="30" customHeight="1" x14ac:dyDescent="0.2">
      <c r="A388" s="8">
        <v>327</v>
      </c>
      <c r="B388" s="46">
        <v>1</v>
      </c>
      <c r="C388" s="16" t="s">
        <v>52</v>
      </c>
      <c r="D388" s="48">
        <v>812</v>
      </c>
      <c r="E388" s="47">
        <v>20</v>
      </c>
      <c r="F388" s="48">
        <v>287</v>
      </c>
      <c r="G388" s="49">
        <v>6</v>
      </c>
      <c r="H388" s="48">
        <v>0</v>
      </c>
      <c r="I388" s="48">
        <v>1</v>
      </c>
      <c r="J388" s="48">
        <v>92.06</v>
      </c>
      <c r="K388" s="3"/>
      <c r="L388" s="16"/>
      <c r="M388" s="57"/>
      <c r="N388" s="58">
        <v>192.06</v>
      </c>
      <c r="P388" s="16">
        <v>4</v>
      </c>
      <c r="Q388" s="20">
        <v>192.06</v>
      </c>
      <c r="R388" s="14">
        <v>1100</v>
      </c>
      <c r="S388" s="19">
        <f t="shared" si="74"/>
        <v>211266</v>
      </c>
      <c r="T388" s="16"/>
      <c r="U388" s="17"/>
      <c r="V388" s="17"/>
      <c r="W388" s="4"/>
      <c r="X388" s="16"/>
      <c r="Y388" s="5"/>
      <c r="Z388" s="16"/>
      <c r="AA388" s="16"/>
      <c r="AB388" s="16"/>
      <c r="AE388" s="16"/>
      <c r="AG388" s="22">
        <f t="shared" si="72"/>
        <v>0</v>
      </c>
      <c r="AH388" s="6"/>
      <c r="AJ388" s="20">
        <f t="shared" si="69"/>
        <v>0</v>
      </c>
      <c r="AK388" s="50"/>
      <c r="AL388" s="6"/>
      <c r="AM388" s="20">
        <f t="shared" si="70"/>
        <v>0</v>
      </c>
      <c r="AN388" s="20">
        <f t="shared" si="75"/>
        <v>211266</v>
      </c>
      <c r="AP388" s="20">
        <f t="shared" si="71"/>
        <v>211266</v>
      </c>
      <c r="AQ388" s="7"/>
      <c r="AR388" s="20"/>
      <c r="AS388" s="51"/>
    </row>
    <row r="389" spans="1:45" s="21" customFormat="1" ht="30" customHeight="1" x14ac:dyDescent="0.2">
      <c r="A389" s="132">
        <v>328</v>
      </c>
      <c r="B389" s="46">
        <v>1</v>
      </c>
      <c r="C389" s="16" t="s">
        <v>52</v>
      </c>
      <c r="D389" s="48">
        <v>4759</v>
      </c>
      <c r="E389" s="47">
        <v>69</v>
      </c>
      <c r="F389" s="48">
        <v>2628</v>
      </c>
      <c r="G389" s="49">
        <v>7</v>
      </c>
      <c r="H389" s="48">
        <v>6</v>
      </c>
      <c r="I389" s="48">
        <v>3</v>
      </c>
      <c r="J389" s="48">
        <v>72</v>
      </c>
      <c r="K389" s="3">
        <f>((6/4)+300+72)-(67.75)</f>
        <v>305.75</v>
      </c>
      <c r="L389" s="16">
        <v>67.75</v>
      </c>
      <c r="M389" s="57"/>
      <c r="N389" s="58"/>
      <c r="P389" s="16">
        <v>5</v>
      </c>
      <c r="Q389" s="20">
        <f>6*400+372</f>
        <v>2772</v>
      </c>
      <c r="R389" s="14">
        <v>160</v>
      </c>
      <c r="S389" s="19">
        <f t="shared" si="74"/>
        <v>443520</v>
      </c>
      <c r="T389" s="16"/>
      <c r="U389" s="17"/>
      <c r="V389" s="17"/>
      <c r="W389" s="4"/>
      <c r="X389" s="16"/>
      <c r="Y389" s="5"/>
      <c r="Z389" s="16"/>
      <c r="AA389" s="16"/>
      <c r="AB389" s="16"/>
      <c r="AE389" s="16"/>
      <c r="AG389" s="22"/>
      <c r="AH389" s="6"/>
      <c r="AJ389" s="20"/>
      <c r="AK389" s="50"/>
      <c r="AL389" s="6"/>
      <c r="AM389" s="20"/>
      <c r="AN389" s="20"/>
      <c r="AP389" s="20"/>
      <c r="AQ389" s="7"/>
      <c r="AR389" s="20"/>
      <c r="AS389" s="51"/>
    </row>
    <row r="390" spans="1:45" s="21" customFormat="1" ht="30" customHeight="1" x14ac:dyDescent="0.2">
      <c r="A390" s="132"/>
      <c r="B390" s="46"/>
      <c r="C390" s="16"/>
      <c r="D390" s="48"/>
      <c r="E390" s="47"/>
      <c r="F390" s="48"/>
      <c r="G390" s="49"/>
      <c r="H390" s="48"/>
      <c r="I390" s="48"/>
      <c r="J390" s="48"/>
      <c r="K390" s="3"/>
      <c r="L390" s="16"/>
      <c r="M390" s="57"/>
      <c r="N390" s="58"/>
      <c r="P390" s="16"/>
      <c r="Q390" s="20"/>
      <c r="R390" s="14" t="e">
        <v>#N/A</v>
      </c>
      <c r="S390" s="19"/>
      <c r="T390" s="16"/>
      <c r="U390" s="17" t="s">
        <v>63</v>
      </c>
      <c r="V390" s="17"/>
      <c r="W390" s="4"/>
      <c r="X390" s="16"/>
      <c r="Y390" s="5">
        <v>150</v>
      </c>
      <c r="Z390" s="16"/>
      <c r="AA390" s="16"/>
      <c r="AB390" s="16">
        <f>62-34</f>
        <v>28</v>
      </c>
      <c r="AE390" s="16"/>
      <c r="AF390" s="21">
        <v>1</v>
      </c>
      <c r="AG390" s="22">
        <f>Y390</f>
        <v>150</v>
      </c>
      <c r="AH390" s="6">
        <v>1</v>
      </c>
      <c r="AI390" s="21">
        <v>8100</v>
      </c>
      <c r="AJ390" s="20">
        <f t="shared" ref="AJ390:AJ407" si="76">+AG390*AH390*AI390</f>
        <v>1215000</v>
      </c>
      <c r="AK390" s="50">
        <v>28</v>
      </c>
      <c r="AL390" s="6">
        <v>0.46</v>
      </c>
      <c r="AM390" s="20">
        <f t="shared" ref="AM390:AM406" si="77">+AJ390-(AL390*AJ390)</f>
        <v>656100</v>
      </c>
      <c r="AN390" s="20">
        <f>+AM390+(S389*0.0135)</f>
        <v>662087.52</v>
      </c>
      <c r="AP390" s="20">
        <f t="shared" ref="AP390:AP407" si="78">AN390</f>
        <v>662087.52</v>
      </c>
      <c r="AQ390" s="7"/>
      <c r="AR390" s="20"/>
      <c r="AS390" s="51"/>
    </row>
    <row r="391" spans="1:45" s="21" customFormat="1" ht="30" customHeight="1" x14ac:dyDescent="0.2">
      <c r="A391" s="132"/>
      <c r="B391" s="46"/>
      <c r="C391" s="16"/>
      <c r="D391" s="48"/>
      <c r="E391" s="47"/>
      <c r="F391" s="48"/>
      <c r="G391" s="49"/>
      <c r="H391" s="48"/>
      <c r="I391" s="48"/>
      <c r="J391" s="48"/>
      <c r="K391" s="3"/>
      <c r="L391" s="16"/>
      <c r="M391" s="57"/>
      <c r="N391" s="58"/>
      <c r="P391" s="16"/>
      <c r="Q391" s="20"/>
      <c r="R391" s="14" t="e">
        <v>#N/A</v>
      </c>
      <c r="S391" s="20"/>
      <c r="T391" s="16"/>
      <c r="U391" s="17" t="s">
        <v>63</v>
      </c>
      <c r="V391" s="17"/>
      <c r="W391" s="4"/>
      <c r="X391" s="16"/>
      <c r="Y391" s="5">
        <v>65</v>
      </c>
      <c r="Z391" s="16"/>
      <c r="AA391" s="16"/>
      <c r="AB391" s="16">
        <f>62-48</f>
        <v>14</v>
      </c>
      <c r="AE391" s="16"/>
      <c r="AF391" s="21">
        <v>1</v>
      </c>
      <c r="AG391" s="22">
        <f>Y391</f>
        <v>65</v>
      </c>
      <c r="AH391" s="6">
        <v>1</v>
      </c>
      <c r="AI391" s="21">
        <v>8100</v>
      </c>
      <c r="AJ391" s="20">
        <f t="shared" si="76"/>
        <v>526500</v>
      </c>
      <c r="AK391" s="50">
        <v>14</v>
      </c>
      <c r="AL391" s="6">
        <v>0.18</v>
      </c>
      <c r="AM391" s="20">
        <f t="shared" si="77"/>
        <v>431730</v>
      </c>
      <c r="AN391" s="20">
        <f>+AM391+(S389*0.0058)</f>
        <v>434302.41600000003</v>
      </c>
      <c r="AP391" s="20">
        <f t="shared" si="78"/>
        <v>434302.41600000003</v>
      </c>
      <c r="AQ391" s="7"/>
      <c r="AR391" s="20"/>
      <c r="AS391" s="51"/>
    </row>
    <row r="392" spans="1:45" s="21" customFormat="1" ht="30" customHeight="1" x14ac:dyDescent="0.2">
      <c r="A392" s="132"/>
      <c r="B392" s="46"/>
      <c r="C392" s="16"/>
      <c r="D392" s="48"/>
      <c r="E392" s="47"/>
      <c r="F392" s="48"/>
      <c r="G392" s="49"/>
      <c r="H392" s="48"/>
      <c r="I392" s="48"/>
      <c r="J392" s="48"/>
      <c r="K392" s="3"/>
      <c r="L392" s="16"/>
      <c r="M392" s="57"/>
      <c r="N392" s="58"/>
      <c r="P392" s="16"/>
      <c r="Q392" s="20"/>
      <c r="R392" s="14" t="e">
        <v>#N/A</v>
      </c>
      <c r="S392" s="19"/>
      <c r="T392" s="16"/>
      <c r="U392" s="17" t="s">
        <v>104</v>
      </c>
      <c r="V392" s="17" t="s">
        <v>56</v>
      </c>
      <c r="W392" s="4"/>
      <c r="X392" s="16"/>
      <c r="Y392" s="5">
        <v>56</v>
      </c>
      <c r="Z392" s="16"/>
      <c r="AA392" s="16"/>
      <c r="AB392" s="16"/>
      <c r="AE392" s="16"/>
      <c r="AF392" s="21">
        <v>1</v>
      </c>
      <c r="AG392" s="22">
        <f>Y392</f>
        <v>56</v>
      </c>
      <c r="AH392" s="6">
        <v>1</v>
      </c>
      <c r="AI392" s="21">
        <v>3750</v>
      </c>
      <c r="AJ392" s="20">
        <f t="shared" si="76"/>
        <v>210000</v>
      </c>
      <c r="AK392" s="50"/>
      <c r="AL392" s="6"/>
      <c r="AM392" s="20">
        <f t="shared" si="77"/>
        <v>210000</v>
      </c>
      <c r="AN392" s="20">
        <f t="shared" ref="AN392:AN407" si="79">+S392+AM392</f>
        <v>210000</v>
      </c>
      <c r="AP392" s="20">
        <f t="shared" si="78"/>
        <v>210000</v>
      </c>
      <c r="AQ392" s="7"/>
      <c r="AR392" s="20"/>
      <c r="AS392" s="51"/>
    </row>
    <row r="393" spans="1:45" ht="30" customHeight="1" x14ac:dyDescent="0.2">
      <c r="A393" s="2">
        <v>329</v>
      </c>
      <c r="B393" s="46">
        <v>1</v>
      </c>
      <c r="C393" s="16" t="s">
        <v>69</v>
      </c>
      <c r="E393" s="17">
        <v>1495</v>
      </c>
      <c r="F393" s="17">
        <v>3</v>
      </c>
      <c r="G393" s="13">
        <v>6</v>
      </c>
      <c r="H393" s="17">
        <v>50</v>
      </c>
      <c r="I393" s="17">
        <v>0</v>
      </c>
      <c r="J393" s="17">
        <v>0</v>
      </c>
      <c r="K393" s="10">
        <v>20000</v>
      </c>
      <c r="P393" s="17">
        <v>1</v>
      </c>
      <c r="Q393" s="19">
        <v>20000</v>
      </c>
      <c r="R393" s="14">
        <v>200</v>
      </c>
      <c r="S393" s="19">
        <f t="shared" ref="S393:S407" si="80">+Q393*R393</f>
        <v>4000000</v>
      </c>
      <c r="AG393" s="22">
        <f>Y393</f>
        <v>0</v>
      </c>
      <c r="AJ393" s="20">
        <f t="shared" si="76"/>
        <v>0</v>
      </c>
      <c r="AM393" s="20">
        <f t="shared" si="77"/>
        <v>0</v>
      </c>
      <c r="AN393" s="20">
        <f t="shared" si="79"/>
        <v>4000000</v>
      </c>
      <c r="AP393" s="20">
        <f t="shared" si="78"/>
        <v>4000000</v>
      </c>
      <c r="AQ393" s="12">
        <v>1E-4</v>
      </c>
      <c r="AR393" s="20"/>
    </row>
    <row r="394" spans="1:45" s="21" customFormat="1" ht="30" customHeight="1" x14ac:dyDescent="0.2">
      <c r="A394" s="2">
        <v>330</v>
      </c>
      <c r="B394" s="46">
        <v>1</v>
      </c>
      <c r="C394" s="16" t="s">
        <v>52</v>
      </c>
      <c r="D394" s="48">
        <v>23453</v>
      </c>
      <c r="E394" s="47">
        <v>210</v>
      </c>
      <c r="F394" s="48">
        <v>4856</v>
      </c>
      <c r="G394" s="49">
        <v>1</v>
      </c>
      <c r="H394" s="48">
        <v>0</v>
      </c>
      <c r="I394" s="48">
        <v>1</v>
      </c>
      <c r="J394" s="48">
        <v>46</v>
      </c>
      <c r="K394" s="3">
        <v>146</v>
      </c>
      <c r="L394" s="16"/>
      <c r="M394" s="57"/>
      <c r="N394" s="58"/>
      <c r="P394" s="16">
        <v>1</v>
      </c>
      <c r="Q394" s="20">
        <f>+K394</f>
        <v>146</v>
      </c>
      <c r="R394" s="14">
        <v>200</v>
      </c>
      <c r="S394" s="19">
        <f t="shared" si="80"/>
        <v>29200</v>
      </c>
      <c r="T394" s="16"/>
      <c r="U394" s="17"/>
      <c r="V394" s="17"/>
      <c r="W394" s="4"/>
      <c r="X394" s="16"/>
      <c r="Y394" s="5"/>
      <c r="Z394" s="16"/>
      <c r="AA394" s="16"/>
      <c r="AB394" s="16"/>
      <c r="AE394" s="16"/>
      <c r="AG394" s="22">
        <f>Y394</f>
        <v>0</v>
      </c>
      <c r="AH394" s="6"/>
      <c r="AJ394" s="20">
        <f t="shared" si="76"/>
        <v>0</v>
      </c>
      <c r="AK394" s="50"/>
      <c r="AL394" s="6"/>
      <c r="AM394" s="20">
        <f t="shared" si="77"/>
        <v>0</v>
      </c>
      <c r="AN394" s="20">
        <f t="shared" si="79"/>
        <v>29200</v>
      </c>
      <c r="AP394" s="20">
        <f t="shared" si="78"/>
        <v>29200</v>
      </c>
      <c r="AQ394" s="7"/>
      <c r="AR394" s="20"/>
      <c r="AS394" s="51"/>
    </row>
    <row r="395" spans="1:45" ht="30" customHeight="1" x14ac:dyDescent="0.2">
      <c r="A395" s="2">
        <v>331</v>
      </c>
      <c r="B395" s="46">
        <v>2</v>
      </c>
      <c r="C395" s="16" t="s">
        <v>52</v>
      </c>
      <c r="D395" s="48">
        <v>953</v>
      </c>
      <c r="E395" s="47">
        <v>1</v>
      </c>
      <c r="F395" s="48">
        <v>354</v>
      </c>
      <c r="G395" s="49">
        <v>1</v>
      </c>
      <c r="H395" s="48">
        <v>7</v>
      </c>
      <c r="I395" s="48">
        <v>2</v>
      </c>
      <c r="J395" s="48">
        <v>1</v>
      </c>
      <c r="K395" s="28">
        <v>3001</v>
      </c>
      <c r="M395" s="63"/>
      <c r="P395" s="14">
        <v>1</v>
      </c>
      <c r="Q395" s="19">
        <f>+(H395*400)+(I395*100)+J395</f>
        <v>3001</v>
      </c>
      <c r="R395" s="14">
        <v>200</v>
      </c>
      <c r="S395" s="19">
        <f t="shared" si="80"/>
        <v>600200</v>
      </c>
      <c r="Y395" s="28"/>
      <c r="AC395" s="21"/>
      <c r="AD395" s="17"/>
      <c r="AE395" s="14"/>
      <c r="AF395" s="21"/>
      <c r="AG395" s="21"/>
      <c r="AH395" s="6"/>
      <c r="AI395" s="21"/>
      <c r="AJ395" s="20">
        <f t="shared" si="76"/>
        <v>0</v>
      </c>
      <c r="AK395" s="20">
        <f>AB395</f>
        <v>0</v>
      </c>
      <c r="AL395" s="6"/>
      <c r="AM395" s="20">
        <f t="shared" si="77"/>
        <v>0</v>
      </c>
      <c r="AN395" s="55">
        <f t="shared" si="79"/>
        <v>600200</v>
      </c>
      <c r="AO395" s="21"/>
      <c r="AP395" s="55">
        <f t="shared" si="78"/>
        <v>600200</v>
      </c>
      <c r="AQ395" s="7"/>
      <c r="AR395" s="60">
        <v>552</v>
      </c>
      <c r="AS395" s="100">
        <f>552+1800</f>
        <v>2352</v>
      </c>
    </row>
    <row r="396" spans="1:45" s="21" customFormat="1" ht="30" customHeight="1" x14ac:dyDescent="0.2">
      <c r="A396" s="8">
        <v>332</v>
      </c>
      <c r="B396" s="46">
        <v>1</v>
      </c>
      <c r="C396" s="16" t="s">
        <v>52</v>
      </c>
      <c r="D396" s="48">
        <v>773</v>
      </c>
      <c r="E396" s="47">
        <v>515</v>
      </c>
      <c r="F396" s="48">
        <v>107</v>
      </c>
      <c r="G396" s="49">
        <v>2</v>
      </c>
      <c r="H396" s="48">
        <v>0</v>
      </c>
      <c r="I396" s="48">
        <v>0</v>
      </c>
      <c r="J396" s="48">
        <v>25.09</v>
      </c>
      <c r="K396" s="3"/>
      <c r="L396" s="16">
        <v>25.09</v>
      </c>
      <c r="M396" s="57"/>
      <c r="N396" s="58"/>
      <c r="P396" s="16">
        <v>2</v>
      </c>
      <c r="Q396" s="20">
        <f>+L396</f>
        <v>25.09</v>
      </c>
      <c r="R396" s="14">
        <v>4500</v>
      </c>
      <c r="S396" s="19">
        <f t="shared" si="80"/>
        <v>112905</v>
      </c>
      <c r="T396" s="16"/>
      <c r="U396" s="16" t="s">
        <v>63</v>
      </c>
      <c r="V396" s="16" t="s">
        <v>56</v>
      </c>
      <c r="W396" s="5">
        <v>300</v>
      </c>
      <c r="X396" s="16"/>
      <c r="Y396" s="5">
        <v>200</v>
      </c>
      <c r="Z396" s="16"/>
      <c r="AA396" s="16"/>
      <c r="AB396" s="16"/>
      <c r="AE396" s="16"/>
      <c r="AF396" s="21">
        <v>2</v>
      </c>
      <c r="AG396" s="22">
        <f t="shared" ref="AG396:AG407" si="81">Y396</f>
        <v>200</v>
      </c>
      <c r="AH396" s="6">
        <v>1</v>
      </c>
      <c r="AI396" s="21">
        <v>8100</v>
      </c>
      <c r="AJ396" s="20">
        <f t="shared" si="76"/>
        <v>1620000</v>
      </c>
      <c r="AK396" s="50"/>
      <c r="AL396" s="6"/>
      <c r="AM396" s="20">
        <f t="shared" si="77"/>
        <v>1620000</v>
      </c>
      <c r="AN396" s="20">
        <f t="shared" si="79"/>
        <v>1732905</v>
      </c>
      <c r="AP396" s="20">
        <f t="shared" si="78"/>
        <v>1732905</v>
      </c>
      <c r="AQ396" s="7"/>
      <c r="AR396" s="20"/>
      <c r="AS396" s="51"/>
    </row>
    <row r="397" spans="1:45" s="21" customFormat="1" ht="30" customHeight="1" x14ac:dyDescent="0.2">
      <c r="A397" s="2">
        <v>333</v>
      </c>
      <c r="B397" s="46">
        <v>1</v>
      </c>
      <c r="C397" s="16" t="s">
        <v>52</v>
      </c>
      <c r="D397" s="48">
        <v>14106</v>
      </c>
      <c r="E397" s="47">
        <v>526</v>
      </c>
      <c r="F397" s="48">
        <v>3295</v>
      </c>
      <c r="G397" s="49">
        <v>2</v>
      </c>
      <c r="H397" s="48">
        <v>0</v>
      </c>
      <c r="I397" s="48">
        <v>1</v>
      </c>
      <c r="J397" s="48">
        <v>5.01</v>
      </c>
      <c r="K397" s="3"/>
      <c r="L397" s="16"/>
      <c r="M397" s="57"/>
      <c r="N397" s="58">
        <v>105.01</v>
      </c>
      <c r="P397" s="16">
        <v>4</v>
      </c>
      <c r="Q397" s="20">
        <f>+N397</f>
        <v>105.01</v>
      </c>
      <c r="R397" s="14">
        <v>250</v>
      </c>
      <c r="S397" s="20">
        <f t="shared" si="80"/>
        <v>26252.5</v>
      </c>
      <c r="T397" s="16"/>
      <c r="U397" s="17"/>
      <c r="V397" s="16"/>
      <c r="W397" s="5"/>
      <c r="X397" s="16"/>
      <c r="Y397" s="5"/>
      <c r="Z397" s="16"/>
      <c r="AA397" s="16"/>
      <c r="AB397" s="16"/>
      <c r="AE397" s="16"/>
      <c r="AG397" s="22">
        <f t="shared" si="81"/>
        <v>0</v>
      </c>
      <c r="AH397" s="6"/>
      <c r="AJ397" s="20">
        <f t="shared" si="76"/>
        <v>0</v>
      </c>
      <c r="AK397" s="50"/>
      <c r="AL397" s="6"/>
      <c r="AM397" s="20">
        <f t="shared" si="77"/>
        <v>0</v>
      </c>
      <c r="AN397" s="20">
        <f t="shared" si="79"/>
        <v>26252.5</v>
      </c>
      <c r="AP397" s="20">
        <f t="shared" si="78"/>
        <v>26252.5</v>
      </c>
      <c r="AQ397" s="7">
        <v>3.0000000000000001E-3</v>
      </c>
      <c r="AR397" s="20"/>
      <c r="AS397" s="51"/>
    </row>
    <row r="398" spans="1:45" s="21" customFormat="1" ht="30" customHeight="1" x14ac:dyDescent="0.2">
      <c r="A398" s="8">
        <v>334</v>
      </c>
      <c r="B398" s="46">
        <v>1</v>
      </c>
      <c r="C398" s="16" t="s">
        <v>52</v>
      </c>
      <c r="D398" s="48">
        <v>2760</v>
      </c>
      <c r="E398" s="47">
        <v>5</v>
      </c>
      <c r="F398" s="48">
        <v>1949</v>
      </c>
      <c r="G398" s="49">
        <v>1</v>
      </c>
      <c r="H398" s="48">
        <v>8</v>
      </c>
      <c r="I398" s="48">
        <v>3</v>
      </c>
      <c r="J398" s="48">
        <v>24</v>
      </c>
      <c r="K398" s="3">
        <f>(8*400)+300+24</f>
        <v>3524</v>
      </c>
      <c r="L398" s="16"/>
      <c r="M398" s="57"/>
      <c r="N398" s="58"/>
      <c r="P398" s="16">
        <v>1</v>
      </c>
      <c r="Q398" s="20">
        <f t="shared" ref="Q398:Q406" si="82">+K398</f>
        <v>3524</v>
      </c>
      <c r="R398" s="14">
        <v>160</v>
      </c>
      <c r="S398" s="19">
        <f t="shared" si="80"/>
        <v>563840</v>
      </c>
      <c r="T398" s="16"/>
      <c r="U398" s="17"/>
      <c r="V398" s="17"/>
      <c r="W398" s="4"/>
      <c r="X398" s="16"/>
      <c r="Y398" s="5"/>
      <c r="Z398" s="16"/>
      <c r="AA398" s="16"/>
      <c r="AB398" s="16"/>
      <c r="AE398" s="16"/>
      <c r="AG398" s="22">
        <f t="shared" si="81"/>
        <v>0</v>
      </c>
      <c r="AH398" s="6"/>
      <c r="AJ398" s="20">
        <f t="shared" si="76"/>
        <v>0</v>
      </c>
      <c r="AK398" s="50"/>
      <c r="AL398" s="6"/>
      <c r="AM398" s="20">
        <f t="shared" si="77"/>
        <v>0</v>
      </c>
      <c r="AN398" s="20">
        <f t="shared" si="79"/>
        <v>563840</v>
      </c>
      <c r="AP398" s="20">
        <f t="shared" si="78"/>
        <v>563840</v>
      </c>
      <c r="AQ398" s="7"/>
      <c r="AR398" s="20"/>
      <c r="AS398" s="51">
        <v>86</v>
      </c>
    </row>
    <row r="399" spans="1:45" s="21" customFormat="1" ht="30" customHeight="1" x14ac:dyDescent="0.2">
      <c r="A399" s="2">
        <v>335</v>
      </c>
      <c r="B399" s="46">
        <v>2</v>
      </c>
      <c r="C399" s="16" t="s">
        <v>52</v>
      </c>
      <c r="D399" s="48">
        <v>2776</v>
      </c>
      <c r="E399" s="47">
        <v>10</v>
      </c>
      <c r="F399" s="48">
        <v>1969</v>
      </c>
      <c r="G399" s="49">
        <v>1</v>
      </c>
      <c r="H399" s="48">
        <v>8</v>
      </c>
      <c r="I399" s="48">
        <v>2</v>
      </c>
      <c r="J399" s="48">
        <v>17</v>
      </c>
      <c r="K399" s="3">
        <f>(8*400)+200+17</f>
        <v>3417</v>
      </c>
      <c r="L399" s="16"/>
      <c r="M399" s="57"/>
      <c r="N399" s="58"/>
      <c r="P399" s="16">
        <v>1</v>
      </c>
      <c r="Q399" s="20">
        <f t="shared" si="82"/>
        <v>3417</v>
      </c>
      <c r="R399" s="14">
        <v>160</v>
      </c>
      <c r="S399" s="19">
        <f t="shared" si="80"/>
        <v>546720</v>
      </c>
      <c r="T399" s="16"/>
      <c r="U399" s="17"/>
      <c r="V399" s="17"/>
      <c r="W399" s="4"/>
      <c r="X399" s="16"/>
      <c r="Y399" s="5"/>
      <c r="Z399" s="16"/>
      <c r="AA399" s="16"/>
      <c r="AB399" s="16"/>
      <c r="AE399" s="16"/>
      <c r="AG399" s="22">
        <f t="shared" si="81"/>
        <v>0</v>
      </c>
      <c r="AH399" s="6"/>
      <c r="AJ399" s="20">
        <f t="shared" si="76"/>
        <v>0</v>
      </c>
      <c r="AK399" s="50"/>
      <c r="AL399" s="6"/>
      <c r="AM399" s="20">
        <f t="shared" si="77"/>
        <v>0</v>
      </c>
      <c r="AN399" s="20">
        <f t="shared" si="79"/>
        <v>546720</v>
      </c>
      <c r="AP399" s="20">
        <f t="shared" si="78"/>
        <v>546720</v>
      </c>
      <c r="AQ399" s="7"/>
      <c r="AR399" s="20"/>
      <c r="AS399" s="51"/>
    </row>
    <row r="400" spans="1:45" s="21" customFormat="1" ht="30" customHeight="1" x14ac:dyDescent="0.2">
      <c r="A400" s="8">
        <v>336</v>
      </c>
      <c r="B400" s="46">
        <v>3</v>
      </c>
      <c r="C400" s="16" t="s">
        <v>52</v>
      </c>
      <c r="D400" s="48">
        <v>2777</v>
      </c>
      <c r="E400" s="47">
        <v>17</v>
      </c>
      <c r="F400" s="48">
        <v>1970</v>
      </c>
      <c r="G400" s="49">
        <v>1</v>
      </c>
      <c r="H400" s="48">
        <v>35</v>
      </c>
      <c r="I400" s="48">
        <v>2</v>
      </c>
      <c r="J400" s="48">
        <v>13</v>
      </c>
      <c r="K400" s="3">
        <f>(35*400)+200+13</f>
        <v>14213</v>
      </c>
      <c r="L400" s="16"/>
      <c r="M400" s="57"/>
      <c r="N400" s="58"/>
      <c r="P400" s="16">
        <v>1</v>
      </c>
      <c r="Q400" s="20">
        <f t="shared" si="82"/>
        <v>14213</v>
      </c>
      <c r="R400" s="14">
        <v>160</v>
      </c>
      <c r="S400" s="20">
        <f t="shared" si="80"/>
        <v>2274080</v>
      </c>
      <c r="T400" s="16"/>
      <c r="U400" s="17"/>
      <c r="V400" s="17"/>
      <c r="W400" s="4"/>
      <c r="X400" s="16"/>
      <c r="Y400" s="5"/>
      <c r="Z400" s="16"/>
      <c r="AA400" s="16"/>
      <c r="AB400" s="16"/>
      <c r="AE400" s="16"/>
      <c r="AG400" s="22">
        <f t="shared" si="81"/>
        <v>0</v>
      </c>
      <c r="AH400" s="6"/>
      <c r="AJ400" s="20">
        <f t="shared" si="76"/>
        <v>0</v>
      </c>
      <c r="AK400" s="50"/>
      <c r="AL400" s="6"/>
      <c r="AM400" s="20">
        <f t="shared" si="77"/>
        <v>0</v>
      </c>
      <c r="AN400" s="20">
        <f t="shared" si="79"/>
        <v>2274080</v>
      </c>
      <c r="AP400" s="20">
        <f t="shared" si="78"/>
        <v>2274080</v>
      </c>
      <c r="AQ400" s="7"/>
      <c r="AR400" s="20"/>
      <c r="AS400" s="51"/>
    </row>
    <row r="401" spans="1:48" s="21" customFormat="1" ht="30" customHeight="1" x14ac:dyDescent="0.2">
      <c r="A401" s="2">
        <v>337</v>
      </c>
      <c r="B401" s="46">
        <v>4</v>
      </c>
      <c r="C401" s="16" t="s">
        <v>52</v>
      </c>
      <c r="D401" s="48">
        <v>2902</v>
      </c>
      <c r="E401" s="47">
        <v>6</v>
      </c>
      <c r="F401" s="48">
        <v>1950</v>
      </c>
      <c r="G401" s="49">
        <v>1</v>
      </c>
      <c r="H401" s="48">
        <v>34</v>
      </c>
      <c r="I401" s="48">
        <v>3</v>
      </c>
      <c r="J401" s="48">
        <v>91</v>
      </c>
      <c r="K401" s="3">
        <f>(34*400)+300+91</f>
        <v>13991</v>
      </c>
      <c r="L401" s="16"/>
      <c r="M401" s="57"/>
      <c r="N401" s="58"/>
      <c r="P401" s="16">
        <v>1</v>
      </c>
      <c r="Q401" s="20">
        <f t="shared" si="82"/>
        <v>13991</v>
      </c>
      <c r="R401" s="14">
        <v>160</v>
      </c>
      <c r="S401" s="19">
        <f t="shared" si="80"/>
        <v>2238560</v>
      </c>
      <c r="T401" s="16"/>
      <c r="U401" s="17"/>
      <c r="V401" s="17"/>
      <c r="W401" s="4"/>
      <c r="X401" s="16"/>
      <c r="Y401" s="5"/>
      <c r="Z401" s="16"/>
      <c r="AA401" s="16"/>
      <c r="AB401" s="16"/>
      <c r="AC401" s="14"/>
      <c r="AD401" s="14"/>
      <c r="AE401" s="16"/>
      <c r="AG401" s="22">
        <f t="shared" si="81"/>
        <v>0</v>
      </c>
      <c r="AH401" s="6"/>
      <c r="AJ401" s="20">
        <f t="shared" si="76"/>
        <v>0</v>
      </c>
      <c r="AK401" s="50"/>
      <c r="AL401" s="6"/>
      <c r="AM401" s="20">
        <f t="shared" si="77"/>
        <v>0</v>
      </c>
      <c r="AN401" s="20">
        <f t="shared" si="79"/>
        <v>2238560</v>
      </c>
      <c r="AP401" s="20">
        <f t="shared" si="78"/>
        <v>2238560</v>
      </c>
      <c r="AQ401" s="7"/>
      <c r="AR401" s="20"/>
      <c r="AS401" s="51"/>
    </row>
    <row r="402" spans="1:48" s="21" customFormat="1" ht="30" customHeight="1" x14ac:dyDescent="0.2">
      <c r="A402" s="8">
        <v>338</v>
      </c>
      <c r="B402" s="46">
        <v>5</v>
      </c>
      <c r="C402" s="16" t="s">
        <v>52</v>
      </c>
      <c r="D402" s="48">
        <v>2758</v>
      </c>
      <c r="E402" s="47">
        <v>2</v>
      </c>
      <c r="F402" s="48">
        <v>1947</v>
      </c>
      <c r="G402" s="49">
        <v>1</v>
      </c>
      <c r="H402" s="48">
        <v>8</v>
      </c>
      <c r="I402" s="48">
        <v>2</v>
      </c>
      <c r="J402" s="48">
        <v>60</v>
      </c>
      <c r="K402" s="3">
        <f>3200+200+60</f>
        <v>3460</v>
      </c>
      <c r="L402" s="16"/>
      <c r="M402" s="57"/>
      <c r="N402" s="58"/>
      <c r="P402" s="16">
        <v>1</v>
      </c>
      <c r="Q402" s="20">
        <f t="shared" si="82"/>
        <v>3460</v>
      </c>
      <c r="R402" s="14">
        <v>160</v>
      </c>
      <c r="S402" s="19">
        <f t="shared" si="80"/>
        <v>553600</v>
      </c>
      <c r="T402" s="16"/>
      <c r="U402" s="17"/>
      <c r="V402" s="17"/>
      <c r="W402" s="4"/>
      <c r="X402" s="16"/>
      <c r="Y402" s="5"/>
      <c r="Z402" s="16"/>
      <c r="AA402" s="16"/>
      <c r="AB402" s="16"/>
      <c r="AE402" s="16"/>
      <c r="AG402" s="22">
        <f t="shared" si="81"/>
        <v>0</v>
      </c>
      <c r="AH402" s="6"/>
      <c r="AJ402" s="20">
        <f t="shared" si="76"/>
        <v>0</v>
      </c>
      <c r="AK402" s="50"/>
      <c r="AL402" s="6"/>
      <c r="AM402" s="20">
        <f t="shared" si="77"/>
        <v>0</v>
      </c>
      <c r="AN402" s="20">
        <f t="shared" si="79"/>
        <v>553600</v>
      </c>
      <c r="AP402" s="20">
        <f t="shared" si="78"/>
        <v>553600</v>
      </c>
      <c r="AQ402" s="7"/>
      <c r="AR402" s="20"/>
      <c r="AS402" s="51"/>
    </row>
    <row r="403" spans="1:48" s="21" customFormat="1" ht="30" customHeight="1" x14ac:dyDescent="0.2">
      <c r="A403" s="2">
        <v>339</v>
      </c>
      <c r="B403" s="46">
        <v>6</v>
      </c>
      <c r="C403" s="16" t="s">
        <v>52</v>
      </c>
      <c r="D403" s="48">
        <v>2759</v>
      </c>
      <c r="E403" s="47">
        <v>1</v>
      </c>
      <c r="F403" s="48">
        <v>1948</v>
      </c>
      <c r="G403" s="49">
        <v>1</v>
      </c>
      <c r="H403" s="48">
        <v>35</v>
      </c>
      <c r="I403" s="48">
        <v>3</v>
      </c>
      <c r="J403" s="48">
        <v>47</v>
      </c>
      <c r="K403" s="3">
        <f>(35*400)+300+47</f>
        <v>14347</v>
      </c>
      <c r="L403" s="16"/>
      <c r="M403" s="57"/>
      <c r="N403" s="58"/>
      <c r="P403" s="16">
        <v>1</v>
      </c>
      <c r="Q403" s="20">
        <f t="shared" si="82"/>
        <v>14347</v>
      </c>
      <c r="R403" s="14">
        <v>160</v>
      </c>
      <c r="S403" s="20">
        <f t="shared" si="80"/>
        <v>2295520</v>
      </c>
      <c r="T403" s="16"/>
      <c r="U403" s="16"/>
      <c r="V403" s="16"/>
      <c r="W403" s="5"/>
      <c r="X403" s="16"/>
      <c r="Y403" s="5"/>
      <c r="Z403" s="16"/>
      <c r="AA403" s="16"/>
      <c r="AB403" s="16"/>
      <c r="AC403" s="14"/>
      <c r="AD403" s="14"/>
      <c r="AE403" s="16"/>
      <c r="AG403" s="22">
        <f t="shared" si="81"/>
        <v>0</v>
      </c>
      <c r="AH403" s="6"/>
      <c r="AJ403" s="20">
        <f t="shared" si="76"/>
        <v>0</v>
      </c>
      <c r="AK403" s="50"/>
      <c r="AL403" s="6"/>
      <c r="AM403" s="20">
        <f t="shared" si="77"/>
        <v>0</v>
      </c>
      <c r="AN403" s="20">
        <f t="shared" si="79"/>
        <v>2295520</v>
      </c>
      <c r="AP403" s="20">
        <f t="shared" si="78"/>
        <v>2295520</v>
      </c>
      <c r="AQ403" s="7"/>
      <c r="AR403" s="20"/>
      <c r="AS403" s="51"/>
    </row>
    <row r="404" spans="1:48" ht="30" customHeight="1" x14ac:dyDescent="0.2">
      <c r="A404" s="8">
        <v>340</v>
      </c>
      <c r="B404" s="46">
        <v>7</v>
      </c>
      <c r="C404" s="16" t="s">
        <v>65</v>
      </c>
      <c r="D404" s="17">
        <v>697</v>
      </c>
      <c r="E404" s="17">
        <v>14</v>
      </c>
      <c r="H404" s="17">
        <v>8</v>
      </c>
      <c r="I404" s="17">
        <v>3</v>
      </c>
      <c r="J404" s="17">
        <v>80</v>
      </c>
      <c r="K404" s="10">
        <f>8*400+380</f>
        <v>3580</v>
      </c>
      <c r="P404" s="17">
        <v>1</v>
      </c>
      <c r="Q404" s="19">
        <f t="shared" si="82"/>
        <v>3580</v>
      </c>
      <c r="R404" s="14">
        <v>375</v>
      </c>
      <c r="S404" s="19">
        <f t="shared" si="80"/>
        <v>1342500</v>
      </c>
      <c r="AG404" s="22">
        <f t="shared" si="81"/>
        <v>0</v>
      </c>
      <c r="AJ404" s="20">
        <f t="shared" si="76"/>
        <v>0</v>
      </c>
      <c r="AM404" s="20">
        <f t="shared" si="77"/>
        <v>0</v>
      </c>
      <c r="AN404" s="20">
        <f t="shared" si="79"/>
        <v>1342500</v>
      </c>
      <c r="AP404" s="20">
        <f t="shared" si="78"/>
        <v>1342500</v>
      </c>
      <c r="AQ404" s="12">
        <v>1E-4</v>
      </c>
      <c r="AR404" s="20"/>
    </row>
    <row r="405" spans="1:48" ht="30" customHeight="1" x14ac:dyDescent="0.2">
      <c r="A405" s="2">
        <v>341</v>
      </c>
      <c r="B405" s="46">
        <v>8</v>
      </c>
      <c r="C405" s="16" t="s">
        <v>65</v>
      </c>
      <c r="D405" s="17">
        <v>1046</v>
      </c>
      <c r="E405" s="17">
        <v>72</v>
      </c>
      <c r="H405" s="17">
        <v>15</v>
      </c>
      <c r="I405" s="17">
        <v>2</v>
      </c>
      <c r="J405" s="17">
        <v>60</v>
      </c>
      <c r="K405" s="10">
        <f>15*400+260</f>
        <v>6260</v>
      </c>
      <c r="Q405" s="19">
        <f t="shared" si="82"/>
        <v>6260</v>
      </c>
      <c r="R405" s="14">
        <v>200</v>
      </c>
      <c r="S405" s="19">
        <f t="shared" si="80"/>
        <v>1252000</v>
      </c>
      <c r="AC405" s="21"/>
      <c r="AD405" s="21"/>
      <c r="AE405" s="17" t="s">
        <v>94</v>
      </c>
      <c r="AG405" s="22">
        <f t="shared" si="81"/>
        <v>0</v>
      </c>
      <c r="AJ405" s="20">
        <f t="shared" si="76"/>
        <v>0</v>
      </c>
      <c r="AM405" s="20">
        <f t="shared" si="77"/>
        <v>0</v>
      </c>
      <c r="AN405" s="20">
        <f t="shared" si="79"/>
        <v>1252000</v>
      </c>
      <c r="AP405" s="20">
        <f t="shared" si="78"/>
        <v>1252000</v>
      </c>
      <c r="AQ405" s="12">
        <v>1E-4</v>
      </c>
      <c r="AR405" s="20"/>
    </row>
    <row r="406" spans="1:48" ht="30" customHeight="1" x14ac:dyDescent="0.2">
      <c r="A406" s="8">
        <v>342</v>
      </c>
      <c r="B406" s="46">
        <v>8</v>
      </c>
      <c r="C406" s="16" t="s">
        <v>65</v>
      </c>
      <c r="D406" s="17">
        <v>1063</v>
      </c>
      <c r="E406" s="17">
        <v>95</v>
      </c>
      <c r="H406" s="17">
        <v>12</v>
      </c>
      <c r="I406" s="17">
        <v>1</v>
      </c>
      <c r="J406" s="17">
        <v>0</v>
      </c>
      <c r="K406" s="10">
        <f>12*400+100</f>
        <v>4900</v>
      </c>
      <c r="P406" s="17">
        <v>1</v>
      </c>
      <c r="Q406" s="19">
        <f t="shared" si="82"/>
        <v>4900</v>
      </c>
      <c r="R406" s="14">
        <v>160</v>
      </c>
      <c r="S406" s="20">
        <f t="shared" si="80"/>
        <v>784000</v>
      </c>
      <c r="AC406" s="21"/>
      <c r="AD406" s="21"/>
      <c r="AG406" s="22">
        <f t="shared" si="81"/>
        <v>0</v>
      </c>
      <c r="AJ406" s="20">
        <f t="shared" si="76"/>
        <v>0</v>
      </c>
      <c r="AM406" s="20">
        <f t="shared" si="77"/>
        <v>0</v>
      </c>
      <c r="AN406" s="20">
        <f t="shared" si="79"/>
        <v>784000</v>
      </c>
      <c r="AP406" s="20">
        <f t="shared" si="78"/>
        <v>784000</v>
      </c>
      <c r="AQ406" s="12">
        <v>1E-4</v>
      </c>
      <c r="AR406" s="20"/>
    </row>
    <row r="407" spans="1:48" s="21" customFormat="1" ht="30" customHeight="1" x14ac:dyDescent="0.2">
      <c r="A407" s="2">
        <v>343</v>
      </c>
      <c r="B407" s="46">
        <v>1</v>
      </c>
      <c r="C407" s="16" t="s">
        <v>52</v>
      </c>
      <c r="D407" s="48">
        <v>20583</v>
      </c>
      <c r="E407" s="47">
        <v>151</v>
      </c>
      <c r="F407" s="48">
        <v>4641</v>
      </c>
      <c r="G407" s="49">
        <v>2</v>
      </c>
      <c r="H407" s="48">
        <v>0</v>
      </c>
      <c r="I407" s="48">
        <v>0</v>
      </c>
      <c r="J407" s="48">
        <v>93</v>
      </c>
      <c r="K407" s="3"/>
      <c r="L407" s="16">
        <v>93</v>
      </c>
      <c r="M407" s="57"/>
      <c r="N407" s="58"/>
      <c r="P407" s="16">
        <v>2</v>
      </c>
      <c r="Q407" s="20">
        <f>+L407</f>
        <v>93</v>
      </c>
      <c r="R407" s="14">
        <v>4500</v>
      </c>
      <c r="S407" s="19">
        <f t="shared" si="80"/>
        <v>418500</v>
      </c>
      <c r="T407" s="16"/>
      <c r="U407" s="17" t="s">
        <v>63</v>
      </c>
      <c r="V407" s="16" t="s">
        <v>56</v>
      </c>
      <c r="W407" s="5"/>
      <c r="X407" s="16"/>
      <c r="Y407" s="5">
        <v>187</v>
      </c>
      <c r="Z407" s="16"/>
      <c r="AA407" s="16"/>
      <c r="AB407" s="16">
        <v>30</v>
      </c>
      <c r="AC407" s="14"/>
      <c r="AD407" s="14"/>
      <c r="AE407" s="16"/>
      <c r="AF407" s="21">
        <v>2</v>
      </c>
      <c r="AG407" s="22">
        <f t="shared" si="81"/>
        <v>187</v>
      </c>
      <c r="AH407" s="6">
        <v>1</v>
      </c>
      <c r="AI407" s="21">
        <v>7250</v>
      </c>
      <c r="AJ407" s="20">
        <f t="shared" si="76"/>
        <v>1355750</v>
      </c>
      <c r="AK407" s="50"/>
      <c r="AL407" s="6"/>
      <c r="AM407" s="20" t="s">
        <v>72</v>
      </c>
      <c r="AN407" s="20" t="e">
        <f t="shared" si="79"/>
        <v>#VALUE!</v>
      </c>
      <c r="AP407" s="20" t="e">
        <f t="shared" si="78"/>
        <v>#VALUE!</v>
      </c>
      <c r="AQ407" s="7"/>
      <c r="AR407" s="20"/>
      <c r="AS407" s="51"/>
    </row>
    <row r="408" spans="1:48" s="21" customFormat="1" ht="30" customHeight="1" x14ac:dyDescent="0.2">
      <c r="A408" s="2"/>
      <c r="B408" s="46"/>
      <c r="C408" s="16"/>
      <c r="D408" s="48"/>
      <c r="E408" s="47"/>
      <c r="F408" s="48"/>
      <c r="G408" s="49"/>
      <c r="H408" s="48"/>
      <c r="I408" s="48"/>
      <c r="J408" s="48"/>
      <c r="K408" s="3"/>
      <c r="L408" s="16"/>
      <c r="M408" s="57"/>
      <c r="N408" s="58"/>
      <c r="P408" s="16"/>
      <c r="Q408" s="20"/>
      <c r="R408" s="14" t="e">
        <v>#N/A</v>
      </c>
      <c r="S408" s="19"/>
      <c r="T408" s="16"/>
      <c r="U408" s="17" t="s">
        <v>63</v>
      </c>
      <c r="V408" s="16" t="s">
        <v>56</v>
      </c>
      <c r="W408" s="5">
        <f>4*11</f>
        <v>44</v>
      </c>
      <c r="X408" s="16"/>
      <c r="Y408" s="5"/>
      <c r="Z408" s="16"/>
      <c r="AA408" s="16"/>
      <c r="AB408" s="16">
        <v>1</v>
      </c>
      <c r="AC408" s="14"/>
      <c r="AD408" s="14"/>
      <c r="AE408" s="16"/>
      <c r="AG408" s="22"/>
      <c r="AH408" s="6"/>
      <c r="AJ408" s="20"/>
      <c r="AK408" s="50"/>
      <c r="AL408" s="6"/>
      <c r="AM408" s="20"/>
      <c r="AN408" s="20"/>
      <c r="AP408" s="20"/>
      <c r="AQ408" s="7"/>
      <c r="AR408" s="20"/>
      <c r="AS408" s="51"/>
    </row>
    <row r="409" spans="1:48" s="21" customFormat="1" ht="30" customHeight="1" x14ac:dyDescent="0.2">
      <c r="A409" s="8">
        <v>344</v>
      </c>
      <c r="B409" s="46">
        <v>1</v>
      </c>
      <c r="C409" s="16" t="s">
        <v>52</v>
      </c>
      <c r="D409" s="48">
        <v>34559</v>
      </c>
      <c r="E409" s="47">
        <v>147</v>
      </c>
      <c r="F409" s="48">
        <v>6901</v>
      </c>
      <c r="G409" s="49">
        <v>2</v>
      </c>
      <c r="H409" s="48">
        <v>5</v>
      </c>
      <c r="I409" s="48">
        <v>0</v>
      </c>
      <c r="J409" s="48">
        <v>66.08</v>
      </c>
      <c r="K409" s="3">
        <v>2066.08</v>
      </c>
      <c r="L409" s="16"/>
      <c r="M409" s="57"/>
      <c r="N409" s="58"/>
      <c r="P409" s="16">
        <v>1</v>
      </c>
      <c r="Q409" s="20">
        <v>2066.08</v>
      </c>
      <c r="R409" s="14">
        <v>160</v>
      </c>
      <c r="S409" s="19">
        <f t="shared" ref="S409:S432" si="83">+Q409*R409</f>
        <v>330572.79999999999</v>
      </c>
      <c r="T409" s="16"/>
      <c r="U409" s="17"/>
      <c r="V409" s="17"/>
      <c r="W409" s="4"/>
      <c r="X409" s="16"/>
      <c r="Y409" s="5"/>
      <c r="Z409" s="16"/>
      <c r="AA409" s="16"/>
      <c r="AB409" s="16"/>
      <c r="AC409" s="14"/>
      <c r="AD409" s="14"/>
      <c r="AE409" s="16"/>
      <c r="AG409" s="22">
        <f>Y409</f>
        <v>0</v>
      </c>
      <c r="AH409" s="6"/>
      <c r="AJ409" s="20">
        <f t="shared" ref="AJ409:AJ432" si="84">+AG409*AH409*AI409</f>
        <v>0</v>
      </c>
      <c r="AK409" s="50"/>
      <c r="AL409" s="6"/>
      <c r="AM409" s="20" t="s">
        <v>72</v>
      </c>
      <c r="AN409" s="20" t="e">
        <f t="shared" ref="AN409:AN432" si="85">+S409+AM409</f>
        <v>#VALUE!</v>
      </c>
      <c r="AP409" s="20" t="e">
        <f t="shared" ref="AP409:AP432" si="86">AN409</f>
        <v>#VALUE!</v>
      </c>
      <c r="AQ409" s="7"/>
      <c r="AR409" s="20"/>
      <c r="AS409" s="51"/>
    </row>
    <row r="410" spans="1:48" s="21" customFormat="1" ht="30" customHeight="1" x14ac:dyDescent="0.2">
      <c r="A410" s="2">
        <v>345</v>
      </c>
      <c r="B410" s="46">
        <v>1</v>
      </c>
      <c r="C410" s="16" t="s">
        <v>52</v>
      </c>
      <c r="D410" s="48">
        <v>2980</v>
      </c>
      <c r="E410" s="47">
        <v>7</v>
      </c>
      <c r="F410" s="48">
        <v>2048</v>
      </c>
      <c r="G410" s="49">
        <v>2</v>
      </c>
      <c r="H410" s="48">
        <v>1</v>
      </c>
      <c r="I410" s="48">
        <v>0</v>
      </c>
      <c r="J410" s="48">
        <v>17</v>
      </c>
      <c r="K410" s="3">
        <v>417</v>
      </c>
      <c r="L410" s="16"/>
      <c r="M410" s="57"/>
      <c r="N410" s="58"/>
      <c r="P410" s="16">
        <v>1</v>
      </c>
      <c r="Q410" s="20">
        <f>+K410</f>
        <v>417</v>
      </c>
      <c r="R410" s="14">
        <v>250</v>
      </c>
      <c r="S410" s="20">
        <f t="shared" si="83"/>
        <v>104250</v>
      </c>
      <c r="T410" s="16"/>
      <c r="U410" s="17"/>
      <c r="V410" s="17"/>
      <c r="W410" s="4"/>
      <c r="X410" s="16"/>
      <c r="Y410" s="5"/>
      <c r="Z410" s="16"/>
      <c r="AA410" s="16"/>
      <c r="AB410" s="16"/>
      <c r="AC410" s="14"/>
      <c r="AD410" s="14"/>
      <c r="AE410" s="16"/>
      <c r="AG410" s="22">
        <f>Y410</f>
        <v>0</v>
      </c>
      <c r="AH410" s="6"/>
      <c r="AJ410" s="20">
        <f t="shared" si="84"/>
        <v>0</v>
      </c>
      <c r="AK410" s="50"/>
      <c r="AL410" s="6"/>
      <c r="AM410" s="20" t="s">
        <v>72</v>
      </c>
      <c r="AN410" s="20" t="e">
        <f t="shared" si="85"/>
        <v>#VALUE!</v>
      </c>
      <c r="AP410" s="20" t="e">
        <f t="shared" si="86"/>
        <v>#VALUE!</v>
      </c>
      <c r="AQ410" s="7"/>
      <c r="AR410" s="20"/>
      <c r="AS410" s="51"/>
    </row>
    <row r="411" spans="1:48" s="21" customFormat="1" ht="30" customHeight="1" x14ac:dyDescent="0.2">
      <c r="A411" s="8">
        <v>346</v>
      </c>
      <c r="B411" s="46">
        <v>1</v>
      </c>
      <c r="C411" s="16" t="s">
        <v>52</v>
      </c>
      <c r="D411" s="48">
        <v>29247</v>
      </c>
      <c r="E411" s="47">
        <v>247</v>
      </c>
      <c r="F411" s="48">
        <v>5442</v>
      </c>
      <c r="G411" s="49">
        <v>1</v>
      </c>
      <c r="H411" s="48">
        <v>0</v>
      </c>
      <c r="I411" s="48">
        <v>0</v>
      </c>
      <c r="J411" s="48">
        <v>72</v>
      </c>
      <c r="K411" s="3"/>
      <c r="L411" s="16">
        <v>72</v>
      </c>
      <c r="M411" s="57"/>
      <c r="N411" s="58"/>
      <c r="P411" s="16">
        <v>2</v>
      </c>
      <c r="Q411" s="20">
        <f>+L411</f>
        <v>72</v>
      </c>
      <c r="R411" s="14">
        <v>160</v>
      </c>
      <c r="S411" s="19">
        <f t="shared" si="83"/>
        <v>11520</v>
      </c>
      <c r="T411" s="16"/>
      <c r="U411" s="17" t="s">
        <v>57</v>
      </c>
      <c r="V411" s="17" t="s">
        <v>56</v>
      </c>
      <c r="W411" s="4"/>
      <c r="X411" s="16"/>
      <c r="Y411" s="5">
        <v>80</v>
      </c>
      <c r="Z411" s="16"/>
      <c r="AA411" s="16"/>
      <c r="AB411" s="16">
        <f>62-58</f>
        <v>4</v>
      </c>
      <c r="AC411" s="14"/>
      <c r="AD411" s="14"/>
      <c r="AE411" s="16"/>
      <c r="AF411" s="21">
        <v>2</v>
      </c>
      <c r="AG411" s="22">
        <f>Y411</f>
        <v>80</v>
      </c>
      <c r="AH411" s="6">
        <v>1</v>
      </c>
      <c r="AI411" s="21">
        <v>7250</v>
      </c>
      <c r="AJ411" s="20">
        <f t="shared" si="84"/>
        <v>580000</v>
      </c>
      <c r="AK411" s="50">
        <v>4</v>
      </c>
      <c r="AL411" s="6">
        <v>0.04</v>
      </c>
      <c r="AM411" s="20">
        <f t="shared" ref="AM411:AM432" si="87">+AJ411-(AL411*AJ411)</f>
        <v>556800</v>
      </c>
      <c r="AN411" s="20">
        <f t="shared" si="85"/>
        <v>568320</v>
      </c>
      <c r="AP411" s="20">
        <f t="shared" si="86"/>
        <v>568320</v>
      </c>
      <c r="AQ411" s="7"/>
      <c r="AR411" s="20"/>
      <c r="AS411" s="51"/>
    </row>
    <row r="412" spans="1:48" s="21" customFormat="1" ht="30" customHeight="1" x14ac:dyDescent="0.2">
      <c r="A412" s="2">
        <v>347</v>
      </c>
      <c r="B412" s="46">
        <v>1</v>
      </c>
      <c r="C412" s="16" t="s">
        <v>52</v>
      </c>
      <c r="D412" s="48">
        <v>34260</v>
      </c>
      <c r="E412" s="47">
        <v>311</v>
      </c>
      <c r="F412" s="48">
        <v>6802</v>
      </c>
      <c r="G412" s="49">
        <v>1</v>
      </c>
      <c r="H412" s="48">
        <v>2</v>
      </c>
      <c r="I412" s="48">
        <v>0</v>
      </c>
      <c r="J412" s="48">
        <v>62</v>
      </c>
      <c r="K412" s="3">
        <f>(800+62)-L412</f>
        <v>862</v>
      </c>
      <c r="L412" s="16"/>
      <c r="M412" s="57"/>
      <c r="N412" s="58"/>
      <c r="P412" s="16">
        <v>1</v>
      </c>
      <c r="Q412" s="20">
        <f>+K412</f>
        <v>862</v>
      </c>
      <c r="R412" s="14">
        <v>160</v>
      </c>
      <c r="S412" s="19">
        <f t="shared" si="83"/>
        <v>137920</v>
      </c>
      <c r="T412" s="16"/>
      <c r="U412" s="17" t="s">
        <v>57</v>
      </c>
      <c r="V412" s="17" t="s">
        <v>56</v>
      </c>
      <c r="W412" s="4"/>
      <c r="X412" s="16"/>
      <c r="Y412" s="5">
        <v>60</v>
      </c>
      <c r="Z412" s="16"/>
      <c r="AA412" s="16"/>
      <c r="AB412" s="16"/>
      <c r="AE412" s="16"/>
      <c r="AG412" s="22">
        <f>Y412</f>
        <v>60</v>
      </c>
      <c r="AH412" s="6"/>
      <c r="AJ412" s="20">
        <f t="shared" si="84"/>
        <v>0</v>
      </c>
      <c r="AK412" s="50"/>
      <c r="AL412" s="6"/>
      <c r="AM412" s="20">
        <f t="shared" si="87"/>
        <v>0</v>
      </c>
      <c r="AN412" s="20">
        <f t="shared" si="85"/>
        <v>137920</v>
      </c>
      <c r="AP412" s="20">
        <f t="shared" si="86"/>
        <v>137920</v>
      </c>
      <c r="AQ412" s="7"/>
      <c r="AR412" s="20"/>
      <c r="AS412" s="51"/>
    </row>
    <row r="413" spans="1:48" ht="30" customHeight="1" x14ac:dyDescent="0.2">
      <c r="A413" s="2">
        <v>348</v>
      </c>
      <c r="B413" s="13">
        <v>2</v>
      </c>
      <c r="C413" s="16" t="s">
        <v>65</v>
      </c>
      <c r="D413" s="17">
        <v>3569</v>
      </c>
      <c r="E413" s="17">
        <v>269</v>
      </c>
      <c r="H413" s="17">
        <v>12</v>
      </c>
      <c r="I413" s="17">
        <v>0</v>
      </c>
      <c r="J413" s="17">
        <v>65</v>
      </c>
      <c r="K413" s="28">
        <v>4865</v>
      </c>
      <c r="M413" s="63"/>
      <c r="P413" s="14">
        <v>1</v>
      </c>
      <c r="Q413" s="19">
        <f>+(H413*400)+(I413*100)+J413</f>
        <v>4865</v>
      </c>
      <c r="R413" s="14" t="e">
        <v>#N/A</v>
      </c>
      <c r="S413" s="19" t="e">
        <f t="shared" si="83"/>
        <v>#N/A</v>
      </c>
      <c r="Y413" s="67"/>
      <c r="AD413" s="17"/>
      <c r="AE413" s="14"/>
      <c r="AH413" s="14"/>
      <c r="AJ413" s="20">
        <f t="shared" si="84"/>
        <v>0</v>
      </c>
      <c r="AK413" s="50">
        <f>AB413</f>
        <v>0</v>
      </c>
      <c r="AM413" s="20">
        <f t="shared" si="87"/>
        <v>0</v>
      </c>
      <c r="AN413" s="20" t="e">
        <f t="shared" si="85"/>
        <v>#N/A</v>
      </c>
      <c r="AP413" s="20" t="e">
        <f t="shared" si="86"/>
        <v>#N/A</v>
      </c>
      <c r="AQ413" s="12">
        <v>1E-4</v>
      </c>
      <c r="AR413" s="14" t="s">
        <v>105</v>
      </c>
      <c r="AS413" s="51">
        <v>36</v>
      </c>
      <c r="AT413" s="21"/>
      <c r="AU413" s="21"/>
      <c r="AV413" s="21"/>
    </row>
    <row r="414" spans="1:48" s="21" customFormat="1" ht="30" customHeight="1" x14ac:dyDescent="0.2">
      <c r="A414" s="8">
        <v>349</v>
      </c>
      <c r="B414" s="46">
        <v>1</v>
      </c>
      <c r="C414" s="16" t="s">
        <v>52</v>
      </c>
      <c r="D414" s="48">
        <v>1954</v>
      </c>
      <c r="E414" s="47">
        <v>39</v>
      </c>
      <c r="F414" s="48">
        <v>1311</v>
      </c>
      <c r="G414" s="49">
        <v>2</v>
      </c>
      <c r="H414" s="48">
        <v>12</v>
      </c>
      <c r="I414" s="48">
        <v>1</v>
      </c>
      <c r="J414" s="48">
        <v>33</v>
      </c>
      <c r="K414" s="3">
        <f>(12*400)+100+33</f>
        <v>4933</v>
      </c>
      <c r="L414" s="16"/>
      <c r="M414" s="57"/>
      <c r="N414" s="58"/>
      <c r="P414" s="16">
        <v>1</v>
      </c>
      <c r="Q414" s="20">
        <f>+K414</f>
        <v>4933</v>
      </c>
      <c r="R414" s="14">
        <v>160</v>
      </c>
      <c r="S414" s="20">
        <f t="shared" si="83"/>
        <v>789280</v>
      </c>
      <c r="T414" s="16"/>
      <c r="U414" s="17"/>
      <c r="V414" s="17"/>
      <c r="W414" s="4"/>
      <c r="X414" s="16"/>
      <c r="Y414" s="5"/>
      <c r="Z414" s="16"/>
      <c r="AA414" s="16"/>
      <c r="AB414" s="16"/>
      <c r="AE414" s="16"/>
      <c r="AG414" s="22">
        <f>Y414</f>
        <v>0</v>
      </c>
      <c r="AH414" s="6"/>
      <c r="AJ414" s="20">
        <f t="shared" si="84"/>
        <v>0</v>
      </c>
      <c r="AK414" s="50"/>
      <c r="AL414" s="6"/>
      <c r="AM414" s="20">
        <f t="shared" si="87"/>
        <v>0</v>
      </c>
      <c r="AN414" s="20">
        <f t="shared" si="85"/>
        <v>789280</v>
      </c>
      <c r="AP414" s="20">
        <f t="shared" si="86"/>
        <v>789280</v>
      </c>
      <c r="AQ414" s="7"/>
      <c r="AR414" s="20"/>
      <c r="AS414" s="51"/>
    </row>
    <row r="415" spans="1:48" s="21" customFormat="1" ht="30" customHeight="1" x14ac:dyDescent="0.2">
      <c r="A415" s="2">
        <v>350</v>
      </c>
      <c r="B415" s="46">
        <v>1</v>
      </c>
      <c r="C415" s="16" t="s">
        <v>52</v>
      </c>
      <c r="D415" s="48">
        <v>1764</v>
      </c>
      <c r="E415" s="47">
        <v>17</v>
      </c>
      <c r="F415" s="48">
        <v>772</v>
      </c>
      <c r="G415" s="49">
        <v>6</v>
      </c>
      <c r="H415" s="48">
        <v>0</v>
      </c>
      <c r="I415" s="48">
        <v>2</v>
      </c>
      <c r="J415" s="48">
        <v>4</v>
      </c>
      <c r="K415" s="3"/>
      <c r="L415" s="16">
        <v>204</v>
      </c>
      <c r="M415" s="57"/>
      <c r="N415" s="58"/>
      <c r="P415" s="16">
        <v>2</v>
      </c>
      <c r="Q415" s="20">
        <f>+L415</f>
        <v>204</v>
      </c>
      <c r="R415" s="14">
        <v>3350</v>
      </c>
      <c r="S415" s="19">
        <f t="shared" si="83"/>
        <v>683400</v>
      </c>
      <c r="T415" s="16"/>
      <c r="U415" s="16" t="s">
        <v>63</v>
      </c>
      <c r="V415" s="16" t="s">
        <v>56</v>
      </c>
      <c r="W415" s="5">
        <v>77.7</v>
      </c>
      <c r="X415" s="16"/>
      <c r="Y415" s="5">
        <v>77.7</v>
      </c>
      <c r="Z415" s="16"/>
      <c r="AA415" s="16"/>
      <c r="AB415" s="16">
        <v>5</v>
      </c>
      <c r="AE415" s="16"/>
      <c r="AF415" s="21">
        <v>2</v>
      </c>
      <c r="AG415" s="22">
        <f>Y415</f>
        <v>77.7</v>
      </c>
      <c r="AH415" s="6">
        <v>1</v>
      </c>
      <c r="AI415" s="21">
        <v>8100</v>
      </c>
      <c r="AJ415" s="20">
        <f t="shared" si="84"/>
        <v>629370</v>
      </c>
      <c r="AK415" s="50">
        <v>5</v>
      </c>
      <c r="AL415" s="6">
        <v>0.05</v>
      </c>
      <c r="AM415" s="20">
        <f t="shared" si="87"/>
        <v>597901.5</v>
      </c>
      <c r="AN415" s="20">
        <f t="shared" si="85"/>
        <v>1281301.5</v>
      </c>
      <c r="AP415" s="20">
        <f t="shared" si="86"/>
        <v>1281301.5</v>
      </c>
      <c r="AQ415" s="7">
        <v>2.0000000000000001E-4</v>
      </c>
      <c r="AR415" s="20"/>
      <c r="AS415" s="51"/>
    </row>
    <row r="416" spans="1:48" s="21" customFormat="1" ht="30" customHeight="1" x14ac:dyDescent="0.2">
      <c r="A416" s="8">
        <v>351</v>
      </c>
      <c r="B416" s="46">
        <v>1</v>
      </c>
      <c r="C416" s="16" t="s">
        <v>52</v>
      </c>
      <c r="D416" s="48">
        <v>5039</v>
      </c>
      <c r="E416" s="47">
        <v>40</v>
      </c>
      <c r="F416" s="48">
        <v>2821</v>
      </c>
      <c r="G416" s="49">
        <v>7</v>
      </c>
      <c r="H416" s="48">
        <v>3</v>
      </c>
      <c r="I416" s="48">
        <v>2</v>
      </c>
      <c r="J416" s="48">
        <v>72</v>
      </c>
      <c r="K416" s="3">
        <f>(1472)-35</f>
        <v>1437</v>
      </c>
      <c r="L416" s="16">
        <v>35</v>
      </c>
      <c r="M416" s="57"/>
      <c r="N416" s="58"/>
      <c r="P416" s="16">
        <v>5</v>
      </c>
      <c r="Q416" s="20">
        <v>1472</v>
      </c>
      <c r="R416" s="14">
        <v>160</v>
      </c>
      <c r="S416" s="19">
        <f t="shared" si="83"/>
        <v>235520</v>
      </c>
      <c r="T416" s="16"/>
      <c r="U416" s="17" t="s">
        <v>57</v>
      </c>
      <c r="V416" s="16" t="s">
        <v>56</v>
      </c>
      <c r="W416" s="5"/>
      <c r="X416" s="16"/>
      <c r="Y416" s="5">
        <v>140</v>
      </c>
      <c r="Z416" s="16"/>
      <c r="AA416" s="16"/>
      <c r="AB416" s="16">
        <f>62-43</f>
        <v>19</v>
      </c>
      <c r="AE416" s="16"/>
      <c r="AF416" s="21">
        <v>2</v>
      </c>
      <c r="AG416" s="22">
        <f>Y416</f>
        <v>140</v>
      </c>
      <c r="AH416" s="6">
        <v>1</v>
      </c>
      <c r="AI416" s="21">
        <v>7250</v>
      </c>
      <c r="AJ416" s="20">
        <f t="shared" si="84"/>
        <v>1015000</v>
      </c>
      <c r="AK416" s="50">
        <v>19</v>
      </c>
      <c r="AL416" s="6">
        <v>0.28000000000000003</v>
      </c>
      <c r="AM416" s="20">
        <f t="shared" si="87"/>
        <v>730800</v>
      </c>
      <c r="AN416" s="20">
        <f t="shared" si="85"/>
        <v>966320</v>
      </c>
      <c r="AP416" s="20">
        <f t="shared" si="86"/>
        <v>966320</v>
      </c>
      <c r="AQ416" s="7"/>
      <c r="AR416" s="20"/>
      <c r="AS416" s="51"/>
    </row>
    <row r="417" spans="1:45" s="21" customFormat="1" ht="30" customHeight="1" x14ac:dyDescent="0.2">
      <c r="A417" s="2">
        <v>352</v>
      </c>
      <c r="B417" s="46">
        <v>1</v>
      </c>
      <c r="C417" s="16" t="s">
        <v>52</v>
      </c>
      <c r="D417" s="48">
        <v>5879</v>
      </c>
      <c r="E417" s="47">
        <v>30</v>
      </c>
      <c r="F417" s="48">
        <v>3012</v>
      </c>
      <c r="G417" s="49">
        <v>5</v>
      </c>
      <c r="H417" s="48">
        <v>2</v>
      </c>
      <c r="I417" s="48">
        <v>1</v>
      </c>
      <c r="J417" s="48">
        <v>65</v>
      </c>
      <c r="K417" s="3">
        <v>965</v>
      </c>
      <c r="L417" s="16"/>
      <c r="M417" s="57"/>
      <c r="N417" s="58"/>
      <c r="P417" s="16">
        <v>1</v>
      </c>
      <c r="Q417" s="20">
        <f>+K417</f>
        <v>965</v>
      </c>
      <c r="R417" s="14">
        <v>160</v>
      </c>
      <c r="S417" s="20">
        <f t="shared" si="83"/>
        <v>154400</v>
      </c>
      <c r="T417" s="16"/>
      <c r="U417" s="17"/>
      <c r="V417" s="17"/>
      <c r="W417" s="4"/>
      <c r="X417" s="16"/>
      <c r="Y417" s="5"/>
      <c r="Z417" s="16"/>
      <c r="AA417" s="16"/>
      <c r="AB417" s="16"/>
      <c r="AE417" s="16"/>
      <c r="AG417" s="22">
        <f>Y417</f>
        <v>0</v>
      </c>
      <c r="AH417" s="6"/>
      <c r="AJ417" s="20">
        <f t="shared" si="84"/>
        <v>0</v>
      </c>
      <c r="AK417" s="50"/>
      <c r="AL417" s="6"/>
      <c r="AM417" s="20">
        <f t="shared" si="87"/>
        <v>0</v>
      </c>
      <c r="AN417" s="20">
        <f t="shared" si="85"/>
        <v>154400</v>
      </c>
      <c r="AP417" s="20">
        <f t="shared" si="86"/>
        <v>154400</v>
      </c>
      <c r="AQ417" s="7"/>
      <c r="AR417" s="60"/>
      <c r="AS417" s="128">
        <v>12</v>
      </c>
    </row>
    <row r="418" spans="1:45" s="21" customFormat="1" ht="30" customHeight="1" x14ac:dyDescent="0.2">
      <c r="A418" s="8">
        <v>353</v>
      </c>
      <c r="B418" s="46">
        <v>2</v>
      </c>
      <c r="C418" s="16" t="s">
        <v>52</v>
      </c>
      <c r="D418" s="48">
        <v>25440</v>
      </c>
      <c r="E418" s="47">
        <v>109</v>
      </c>
      <c r="F418" s="48">
        <v>4943</v>
      </c>
      <c r="G418" s="49">
        <v>5</v>
      </c>
      <c r="H418" s="48">
        <v>0</v>
      </c>
      <c r="I418" s="48">
        <v>3</v>
      </c>
      <c r="J418" s="48">
        <v>80</v>
      </c>
      <c r="K418" s="3">
        <v>380</v>
      </c>
      <c r="L418" s="16"/>
      <c r="M418" s="57"/>
      <c r="N418" s="58"/>
      <c r="P418" s="16">
        <v>1</v>
      </c>
      <c r="Q418" s="20">
        <f>+K418</f>
        <v>380</v>
      </c>
      <c r="R418" s="14">
        <v>750</v>
      </c>
      <c r="S418" s="19">
        <f t="shared" si="83"/>
        <v>285000</v>
      </c>
      <c r="T418" s="16"/>
      <c r="U418" s="17"/>
      <c r="V418" s="17"/>
      <c r="W418" s="4"/>
      <c r="X418" s="16"/>
      <c r="Y418" s="5"/>
      <c r="Z418" s="16"/>
      <c r="AA418" s="16"/>
      <c r="AB418" s="16"/>
      <c r="AE418" s="16"/>
      <c r="AG418" s="22">
        <f>Y418</f>
        <v>0</v>
      </c>
      <c r="AH418" s="6"/>
      <c r="AJ418" s="20">
        <f t="shared" si="84"/>
        <v>0</v>
      </c>
      <c r="AK418" s="50"/>
      <c r="AL418" s="6"/>
      <c r="AM418" s="20">
        <f t="shared" si="87"/>
        <v>0</v>
      </c>
      <c r="AN418" s="20">
        <f t="shared" si="85"/>
        <v>285000</v>
      </c>
      <c r="AP418" s="20">
        <f t="shared" si="86"/>
        <v>285000</v>
      </c>
      <c r="AQ418" s="7"/>
      <c r="AR418" s="25"/>
      <c r="AS418" s="130"/>
    </row>
    <row r="419" spans="1:45" ht="30" customHeight="1" x14ac:dyDescent="0.2">
      <c r="C419" s="16"/>
      <c r="AC419" s="21"/>
      <c r="AD419" s="21"/>
      <c r="AG419" s="22"/>
      <c r="AJ419" s="20"/>
      <c r="AM419" s="20"/>
      <c r="AN419" s="20"/>
      <c r="AP419" s="20"/>
      <c r="AR419" s="20"/>
    </row>
    <row r="420" spans="1:45" s="21" customFormat="1" ht="30" customHeight="1" x14ac:dyDescent="0.2">
      <c r="A420" s="8">
        <v>354</v>
      </c>
      <c r="B420" s="46">
        <v>1</v>
      </c>
      <c r="C420" s="16" t="s">
        <v>52</v>
      </c>
      <c r="D420" s="48">
        <v>2412</v>
      </c>
      <c r="E420" s="47">
        <v>48</v>
      </c>
      <c r="F420" s="48">
        <v>1751</v>
      </c>
      <c r="G420" s="49">
        <v>4</v>
      </c>
      <c r="H420" s="48">
        <v>0</v>
      </c>
      <c r="I420" s="48">
        <v>0</v>
      </c>
      <c r="J420" s="48">
        <v>30</v>
      </c>
      <c r="K420" s="3"/>
      <c r="L420" s="16">
        <v>30</v>
      </c>
      <c r="M420" s="57"/>
      <c r="N420" s="58"/>
      <c r="P420" s="16">
        <v>2</v>
      </c>
      <c r="Q420" s="20">
        <f>+L420</f>
        <v>30</v>
      </c>
      <c r="R420" s="14">
        <v>250</v>
      </c>
      <c r="S420" s="20">
        <f t="shared" si="83"/>
        <v>7500</v>
      </c>
      <c r="T420" s="16"/>
      <c r="U420" s="17" t="s">
        <v>63</v>
      </c>
      <c r="V420" s="17" t="s">
        <v>56</v>
      </c>
      <c r="W420" s="4">
        <f>5*20</f>
        <v>100</v>
      </c>
      <c r="X420" s="16"/>
      <c r="Y420" s="5"/>
      <c r="Z420" s="16"/>
      <c r="AA420" s="16"/>
      <c r="AB420" s="16"/>
      <c r="AE420" s="16"/>
      <c r="AF420" s="21">
        <v>2</v>
      </c>
      <c r="AG420" s="22">
        <v>100</v>
      </c>
      <c r="AH420" s="6">
        <v>1</v>
      </c>
      <c r="AI420" s="21">
        <v>7250</v>
      </c>
      <c r="AJ420" s="20">
        <f t="shared" si="84"/>
        <v>725000</v>
      </c>
      <c r="AK420" s="50"/>
      <c r="AL420" s="6"/>
      <c r="AM420" s="20">
        <f t="shared" si="87"/>
        <v>725000</v>
      </c>
      <c r="AN420" s="20">
        <f t="shared" si="85"/>
        <v>732500</v>
      </c>
      <c r="AP420" s="20">
        <f t="shared" si="86"/>
        <v>732500</v>
      </c>
      <c r="AQ420" s="7"/>
      <c r="AR420" s="20"/>
      <c r="AS420" s="51"/>
    </row>
    <row r="421" spans="1:45" ht="30" customHeight="1" x14ac:dyDescent="0.2">
      <c r="A421" s="2">
        <v>355</v>
      </c>
      <c r="B421" s="13">
        <v>2</v>
      </c>
      <c r="C421" s="16" t="s">
        <v>69</v>
      </c>
      <c r="E421" s="17">
        <v>2330</v>
      </c>
      <c r="F421" s="17">
        <v>6</v>
      </c>
      <c r="G421" s="13">
        <v>2</v>
      </c>
      <c r="H421" s="17">
        <v>25</v>
      </c>
      <c r="I421" s="17">
        <v>2</v>
      </c>
      <c r="J421" s="17">
        <v>29</v>
      </c>
      <c r="K421" s="10">
        <v>10229</v>
      </c>
      <c r="P421" s="17">
        <v>2</v>
      </c>
      <c r="Q421" s="19">
        <f>+K421</f>
        <v>10229</v>
      </c>
      <c r="R421" s="14">
        <v>160</v>
      </c>
      <c r="S421" s="19">
        <f t="shared" si="83"/>
        <v>1636640</v>
      </c>
      <c r="AG421" s="22">
        <f t="shared" ref="AG421:AG432" si="88">Y421</f>
        <v>0</v>
      </c>
      <c r="AJ421" s="20">
        <f t="shared" si="84"/>
        <v>0</v>
      </c>
      <c r="AM421" s="20">
        <f t="shared" si="87"/>
        <v>0</v>
      </c>
      <c r="AN421" s="20">
        <f t="shared" si="85"/>
        <v>1636640</v>
      </c>
      <c r="AP421" s="20">
        <f t="shared" si="86"/>
        <v>1636640</v>
      </c>
      <c r="AQ421" s="12">
        <v>1E-4</v>
      </c>
      <c r="AR421" s="20"/>
    </row>
    <row r="422" spans="1:45" s="21" customFormat="1" ht="30" customHeight="1" x14ac:dyDescent="0.2">
      <c r="A422" s="8">
        <v>356</v>
      </c>
      <c r="B422" s="46">
        <v>3</v>
      </c>
      <c r="C422" s="16" t="s">
        <v>52</v>
      </c>
      <c r="D422" s="48">
        <v>16048</v>
      </c>
      <c r="E422" s="47">
        <v>145</v>
      </c>
      <c r="F422" s="48">
        <v>3526</v>
      </c>
      <c r="G422" s="49">
        <v>3</v>
      </c>
      <c r="H422" s="48">
        <v>0</v>
      </c>
      <c r="I422" s="48">
        <v>0</v>
      </c>
      <c r="J422" s="48">
        <v>52</v>
      </c>
      <c r="K422" s="3"/>
      <c r="L422" s="16">
        <v>52</v>
      </c>
      <c r="M422" s="57"/>
      <c r="N422" s="58"/>
      <c r="P422" s="16">
        <v>2</v>
      </c>
      <c r="Q422" s="20">
        <f>+L422</f>
        <v>52</v>
      </c>
      <c r="R422" s="14">
        <v>2000</v>
      </c>
      <c r="S422" s="19">
        <f t="shared" si="83"/>
        <v>104000</v>
      </c>
      <c r="T422" s="16"/>
      <c r="U422" s="17" t="s">
        <v>57</v>
      </c>
      <c r="V422" s="17" t="s">
        <v>56</v>
      </c>
      <c r="W422" s="4"/>
      <c r="X422" s="16"/>
      <c r="Y422" s="5">
        <v>56</v>
      </c>
      <c r="Z422" s="16"/>
      <c r="AA422" s="16"/>
      <c r="AB422" s="16"/>
      <c r="AE422" s="16"/>
      <c r="AF422" s="21">
        <v>2</v>
      </c>
      <c r="AG422" s="22">
        <f t="shared" si="88"/>
        <v>56</v>
      </c>
      <c r="AH422" s="6">
        <v>1</v>
      </c>
      <c r="AI422" s="21">
        <v>7250</v>
      </c>
      <c r="AJ422" s="20">
        <f t="shared" si="84"/>
        <v>406000</v>
      </c>
      <c r="AK422" s="50"/>
      <c r="AL422" s="6"/>
      <c r="AM422" s="20">
        <f t="shared" si="87"/>
        <v>406000</v>
      </c>
      <c r="AN422" s="20">
        <f t="shared" si="85"/>
        <v>510000</v>
      </c>
      <c r="AP422" s="20">
        <f t="shared" si="86"/>
        <v>510000</v>
      </c>
      <c r="AQ422" s="7"/>
      <c r="AR422" s="20"/>
      <c r="AS422" s="51"/>
    </row>
    <row r="423" spans="1:45" s="21" customFormat="1" ht="30" customHeight="1" x14ac:dyDescent="0.2">
      <c r="A423" s="2">
        <v>357</v>
      </c>
      <c r="B423" s="46">
        <v>4</v>
      </c>
      <c r="C423" s="16" t="s">
        <v>52</v>
      </c>
      <c r="D423" s="48">
        <v>16050</v>
      </c>
      <c r="E423" s="47">
        <v>144</v>
      </c>
      <c r="F423" s="48">
        <v>3528</v>
      </c>
      <c r="G423" s="49">
        <v>3</v>
      </c>
      <c r="H423" s="48">
        <v>1</v>
      </c>
      <c r="I423" s="48">
        <v>0</v>
      </c>
      <c r="J423" s="48">
        <v>24</v>
      </c>
      <c r="K423" s="3"/>
      <c r="L423" s="16">
        <v>424</v>
      </c>
      <c r="M423" s="57"/>
      <c r="N423" s="58"/>
      <c r="P423" s="16">
        <v>2</v>
      </c>
      <c r="Q423" s="20">
        <f>+L423</f>
        <v>424</v>
      </c>
      <c r="R423" s="14">
        <v>160</v>
      </c>
      <c r="S423" s="20">
        <f t="shared" si="83"/>
        <v>67840</v>
      </c>
      <c r="T423" s="16"/>
      <c r="U423" s="17"/>
      <c r="V423" s="17"/>
      <c r="W423" s="4"/>
      <c r="X423" s="16"/>
      <c r="Y423" s="5">
        <v>48</v>
      </c>
      <c r="Z423" s="16"/>
      <c r="AA423" s="16"/>
      <c r="AB423" s="16"/>
      <c r="AE423" s="16"/>
      <c r="AG423" s="22">
        <f t="shared" si="88"/>
        <v>48</v>
      </c>
      <c r="AH423" s="6"/>
      <c r="AJ423" s="20">
        <f t="shared" si="84"/>
        <v>0</v>
      </c>
      <c r="AK423" s="50"/>
      <c r="AL423" s="6"/>
      <c r="AM423" s="20">
        <f t="shared" si="87"/>
        <v>0</v>
      </c>
      <c r="AN423" s="20">
        <f t="shared" si="85"/>
        <v>67840</v>
      </c>
      <c r="AP423" s="20">
        <f t="shared" si="86"/>
        <v>67840</v>
      </c>
      <c r="AQ423" s="7"/>
      <c r="AR423" s="20"/>
      <c r="AS423" s="51"/>
    </row>
    <row r="424" spans="1:45" s="21" customFormat="1" ht="30" customHeight="1" x14ac:dyDescent="0.2">
      <c r="A424" s="8">
        <v>358</v>
      </c>
      <c r="B424" s="46">
        <v>1</v>
      </c>
      <c r="C424" s="16" t="s">
        <v>52</v>
      </c>
      <c r="D424" s="48">
        <v>1696</v>
      </c>
      <c r="E424" s="47">
        <v>30</v>
      </c>
      <c r="F424" s="48">
        <v>1454</v>
      </c>
      <c r="G424" s="49">
        <v>3</v>
      </c>
      <c r="H424" s="48">
        <v>5</v>
      </c>
      <c r="I424" s="48">
        <v>1</v>
      </c>
      <c r="J424" s="48">
        <v>79</v>
      </c>
      <c r="K424" s="3">
        <v>2179</v>
      </c>
      <c r="L424" s="16"/>
      <c r="M424" s="57"/>
      <c r="N424" s="58"/>
      <c r="P424" s="16">
        <v>1</v>
      </c>
      <c r="Q424" s="20">
        <f>+K424</f>
        <v>2179</v>
      </c>
      <c r="R424" s="14">
        <v>200</v>
      </c>
      <c r="S424" s="19">
        <f t="shared" si="83"/>
        <v>435800</v>
      </c>
      <c r="T424" s="16"/>
      <c r="U424" s="16"/>
      <c r="V424" s="16"/>
      <c r="W424" s="5"/>
      <c r="X424" s="16"/>
      <c r="Y424" s="5"/>
      <c r="Z424" s="16"/>
      <c r="AA424" s="16"/>
      <c r="AB424" s="16"/>
      <c r="AE424" s="16"/>
      <c r="AG424" s="22">
        <f t="shared" si="88"/>
        <v>0</v>
      </c>
      <c r="AH424" s="6"/>
      <c r="AJ424" s="20">
        <f t="shared" si="84"/>
        <v>0</v>
      </c>
      <c r="AK424" s="50"/>
      <c r="AL424" s="6"/>
      <c r="AM424" s="20">
        <f t="shared" si="87"/>
        <v>0</v>
      </c>
      <c r="AN424" s="20">
        <f t="shared" si="85"/>
        <v>435800</v>
      </c>
      <c r="AP424" s="20">
        <f t="shared" si="86"/>
        <v>435800</v>
      </c>
      <c r="AQ424" s="7"/>
      <c r="AR424" s="20"/>
      <c r="AS424" s="51"/>
    </row>
    <row r="425" spans="1:45" s="21" customFormat="1" ht="30" customHeight="1" x14ac:dyDescent="0.2">
      <c r="A425" s="2">
        <v>359</v>
      </c>
      <c r="B425" s="46">
        <v>1</v>
      </c>
      <c r="C425" s="16" t="s">
        <v>52</v>
      </c>
      <c r="D425" s="48">
        <v>1655</v>
      </c>
      <c r="E425" s="47">
        <v>39</v>
      </c>
      <c r="F425" s="48">
        <v>1463</v>
      </c>
      <c r="G425" s="49">
        <v>3</v>
      </c>
      <c r="H425" s="48">
        <v>6</v>
      </c>
      <c r="I425" s="48">
        <v>1</v>
      </c>
      <c r="J425" s="48">
        <v>32</v>
      </c>
      <c r="K425" s="3">
        <v>2532</v>
      </c>
      <c r="L425" s="16"/>
      <c r="M425" s="57"/>
      <c r="N425" s="58"/>
      <c r="P425" s="16">
        <v>1</v>
      </c>
      <c r="Q425" s="20">
        <f>+K425</f>
        <v>2532</v>
      </c>
      <c r="R425" s="14">
        <v>200</v>
      </c>
      <c r="S425" s="19">
        <f t="shared" si="83"/>
        <v>506400</v>
      </c>
      <c r="T425" s="16"/>
      <c r="U425" s="17"/>
      <c r="V425" s="16"/>
      <c r="W425" s="5"/>
      <c r="X425" s="16"/>
      <c r="Y425" s="5"/>
      <c r="Z425" s="16"/>
      <c r="AA425" s="16"/>
      <c r="AB425" s="16"/>
      <c r="AE425" s="16"/>
      <c r="AG425" s="22">
        <f t="shared" si="88"/>
        <v>0</v>
      </c>
      <c r="AH425" s="6"/>
      <c r="AJ425" s="20">
        <f t="shared" si="84"/>
        <v>0</v>
      </c>
      <c r="AK425" s="50"/>
      <c r="AL425" s="6"/>
      <c r="AM425" s="20">
        <f t="shared" si="87"/>
        <v>0</v>
      </c>
      <c r="AN425" s="20">
        <f t="shared" si="85"/>
        <v>506400</v>
      </c>
      <c r="AP425" s="20">
        <f t="shared" si="86"/>
        <v>506400</v>
      </c>
      <c r="AQ425" s="7"/>
      <c r="AR425" s="60"/>
      <c r="AS425" s="128">
        <v>77</v>
      </c>
    </row>
    <row r="426" spans="1:45" s="21" customFormat="1" ht="30" customHeight="1" x14ac:dyDescent="0.2">
      <c r="A426" s="8">
        <v>360</v>
      </c>
      <c r="B426" s="46">
        <v>2</v>
      </c>
      <c r="C426" s="16" t="s">
        <v>52</v>
      </c>
      <c r="D426" s="48">
        <v>1656</v>
      </c>
      <c r="E426" s="47">
        <v>38</v>
      </c>
      <c r="F426" s="48">
        <v>1464</v>
      </c>
      <c r="G426" s="49">
        <v>3</v>
      </c>
      <c r="H426" s="48">
        <v>1</v>
      </c>
      <c r="I426" s="48">
        <v>1</v>
      </c>
      <c r="J426" s="48">
        <v>16</v>
      </c>
      <c r="K426" s="3">
        <v>516</v>
      </c>
      <c r="L426" s="16"/>
      <c r="M426" s="57"/>
      <c r="N426" s="58"/>
      <c r="P426" s="16">
        <v>1</v>
      </c>
      <c r="Q426" s="20">
        <f>+K426</f>
        <v>516</v>
      </c>
      <c r="R426" s="14">
        <v>250</v>
      </c>
      <c r="S426" s="20">
        <f t="shared" si="83"/>
        <v>129000</v>
      </c>
      <c r="T426" s="16"/>
      <c r="U426" s="17"/>
      <c r="V426" s="17"/>
      <c r="W426" s="4"/>
      <c r="X426" s="16"/>
      <c r="Y426" s="5"/>
      <c r="Z426" s="16"/>
      <c r="AA426" s="16"/>
      <c r="AB426" s="16"/>
      <c r="AC426" s="14"/>
      <c r="AD426" s="14"/>
      <c r="AE426" s="16"/>
      <c r="AG426" s="22">
        <f t="shared" si="88"/>
        <v>0</v>
      </c>
      <c r="AH426" s="6"/>
      <c r="AJ426" s="20">
        <f t="shared" si="84"/>
        <v>0</v>
      </c>
      <c r="AK426" s="50"/>
      <c r="AL426" s="6"/>
      <c r="AM426" s="20">
        <f t="shared" si="87"/>
        <v>0</v>
      </c>
      <c r="AN426" s="20">
        <f t="shared" si="85"/>
        <v>129000</v>
      </c>
      <c r="AP426" s="20">
        <f t="shared" si="86"/>
        <v>129000</v>
      </c>
      <c r="AQ426" s="7"/>
      <c r="AR426" s="24"/>
      <c r="AS426" s="129"/>
    </row>
    <row r="427" spans="1:45" ht="30" hidden="1" customHeight="1" x14ac:dyDescent="0.2">
      <c r="A427" s="2">
        <v>375</v>
      </c>
      <c r="B427" s="13">
        <v>3</v>
      </c>
      <c r="C427" s="16" t="s">
        <v>65</v>
      </c>
      <c r="D427" s="17">
        <v>3903</v>
      </c>
      <c r="E427" s="17">
        <v>56</v>
      </c>
      <c r="H427" s="17">
        <v>7</v>
      </c>
      <c r="I427" s="17">
        <v>0</v>
      </c>
      <c r="J427" s="17">
        <v>7</v>
      </c>
      <c r="K427" s="10">
        <f>7*400+7</f>
        <v>2807</v>
      </c>
      <c r="P427" s="17">
        <v>1</v>
      </c>
      <c r="Q427" s="19">
        <f>+K427</f>
        <v>2807</v>
      </c>
      <c r="R427" s="14" t="e">
        <v>#N/A</v>
      </c>
      <c r="S427" s="19" t="e">
        <f t="shared" si="83"/>
        <v>#N/A</v>
      </c>
      <c r="AC427" s="21"/>
      <c r="AD427" s="21"/>
      <c r="AG427" s="22">
        <f t="shared" si="88"/>
        <v>0</v>
      </c>
      <c r="AJ427" s="20">
        <f t="shared" si="84"/>
        <v>0</v>
      </c>
      <c r="AM427" s="20">
        <f t="shared" si="87"/>
        <v>0</v>
      </c>
      <c r="AN427" s="20" t="e">
        <f t="shared" si="85"/>
        <v>#N/A</v>
      </c>
      <c r="AP427" s="20" t="e">
        <f t="shared" si="86"/>
        <v>#N/A</v>
      </c>
      <c r="AQ427" s="12">
        <v>1E-4</v>
      </c>
      <c r="AR427" s="24"/>
      <c r="AS427" s="129"/>
    </row>
    <row r="428" spans="1:45" ht="30" customHeight="1" x14ac:dyDescent="0.2">
      <c r="A428" s="8">
        <v>361</v>
      </c>
      <c r="B428" s="13">
        <v>3</v>
      </c>
      <c r="C428" s="16" t="s">
        <v>65</v>
      </c>
      <c r="D428" s="17">
        <v>1556</v>
      </c>
      <c r="E428" s="17">
        <v>24</v>
      </c>
      <c r="H428" s="17">
        <v>7</v>
      </c>
      <c r="I428" s="17">
        <v>0</v>
      </c>
      <c r="J428" s="17">
        <v>3</v>
      </c>
      <c r="K428" s="10">
        <f>7*400+3</f>
        <v>2803</v>
      </c>
      <c r="P428" s="17">
        <v>1</v>
      </c>
      <c r="Q428" s="19">
        <f>+K428</f>
        <v>2803</v>
      </c>
      <c r="R428" s="14">
        <v>160</v>
      </c>
      <c r="S428" s="19">
        <f t="shared" si="83"/>
        <v>448480</v>
      </c>
      <c r="AC428" s="21"/>
      <c r="AD428" s="21"/>
      <c r="AG428" s="22">
        <f t="shared" si="88"/>
        <v>0</v>
      </c>
      <c r="AJ428" s="20">
        <f t="shared" si="84"/>
        <v>0</v>
      </c>
      <c r="AM428" s="20">
        <f t="shared" si="87"/>
        <v>0</v>
      </c>
      <c r="AN428" s="20">
        <f t="shared" si="85"/>
        <v>448480</v>
      </c>
      <c r="AP428" s="20">
        <f t="shared" si="86"/>
        <v>448480</v>
      </c>
      <c r="AQ428" s="12">
        <v>1E-4</v>
      </c>
      <c r="AR428" s="25"/>
      <c r="AS428" s="130"/>
    </row>
    <row r="429" spans="1:45" s="21" customFormat="1" ht="30" customHeight="1" x14ac:dyDescent="0.2">
      <c r="A429" s="2">
        <v>362</v>
      </c>
      <c r="B429" s="46">
        <v>1</v>
      </c>
      <c r="C429" s="16" t="s">
        <v>52</v>
      </c>
      <c r="D429" s="48">
        <v>32440</v>
      </c>
      <c r="E429" s="47">
        <v>283</v>
      </c>
      <c r="F429" s="48">
        <v>6415</v>
      </c>
      <c r="G429" s="49">
        <v>1</v>
      </c>
      <c r="H429" s="48">
        <v>0</v>
      </c>
      <c r="I429" s="48">
        <v>2</v>
      </c>
      <c r="J429" s="48">
        <v>46</v>
      </c>
      <c r="K429" s="3"/>
      <c r="L429" s="16">
        <v>246</v>
      </c>
      <c r="M429" s="57"/>
      <c r="N429" s="58"/>
      <c r="P429" s="16">
        <v>2</v>
      </c>
      <c r="Q429" s="20">
        <f>+L429</f>
        <v>246</v>
      </c>
      <c r="R429" s="14">
        <v>3000</v>
      </c>
      <c r="S429" s="20">
        <f t="shared" si="83"/>
        <v>738000</v>
      </c>
      <c r="T429" s="16"/>
      <c r="U429" s="17"/>
      <c r="V429" s="17"/>
      <c r="W429" s="4"/>
      <c r="X429" s="16"/>
      <c r="Y429" s="5"/>
      <c r="Z429" s="16"/>
      <c r="AA429" s="16"/>
      <c r="AB429" s="16"/>
      <c r="AE429" s="16"/>
      <c r="AG429" s="22">
        <f t="shared" si="88"/>
        <v>0</v>
      </c>
      <c r="AH429" s="6"/>
      <c r="AJ429" s="20">
        <f t="shared" si="84"/>
        <v>0</v>
      </c>
      <c r="AK429" s="50"/>
      <c r="AL429" s="6"/>
      <c r="AM429" s="20">
        <f t="shared" si="87"/>
        <v>0</v>
      </c>
      <c r="AN429" s="20">
        <f t="shared" si="85"/>
        <v>738000</v>
      </c>
      <c r="AP429" s="20">
        <f t="shared" si="86"/>
        <v>738000</v>
      </c>
      <c r="AQ429" s="7"/>
      <c r="AR429" s="20"/>
      <c r="AS429" s="51"/>
    </row>
    <row r="430" spans="1:45" s="21" customFormat="1" ht="30" customHeight="1" x14ac:dyDescent="0.2">
      <c r="A430" s="8">
        <v>363</v>
      </c>
      <c r="B430" s="46">
        <v>1</v>
      </c>
      <c r="C430" s="16" t="s">
        <v>52</v>
      </c>
      <c r="D430" s="48">
        <v>5110</v>
      </c>
      <c r="E430" s="47">
        <v>70</v>
      </c>
      <c r="F430" s="48">
        <v>2880</v>
      </c>
      <c r="G430" s="49">
        <v>7</v>
      </c>
      <c r="H430" s="48">
        <v>3</v>
      </c>
      <c r="I430" s="48">
        <v>0</v>
      </c>
      <c r="J430" s="48">
        <v>7</v>
      </c>
      <c r="K430" s="3">
        <v>1207</v>
      </c>
      <c r="L430" s="16"/>
      <c r="M430" s="57"/>
      <c r="N430" s="58"/>
      <c r="P430" s="16">
        <v>1</v>
      </c>
      <c r="Q430" s="20">
        <f>+K430</f>
        <v>1207</v>
      </c>
      <c r="R430" s="14">
        <v>160</v>
      </c>
      <c r="S430" s="19">
        <f t="shared" si="83"/>
        <v>193120</v>
      </c>
      <c r="T430" s="16"/>
      <c r="U430" s="17"/>
      <c r="V430" s="17"/>
      <c r="W430" s="4"/>
      <c r="X430" s="16"/>
      <c r="Y430" s="5"/>
      <c r="Z430" s="16"/>
      <c r="AA430" s="16"/>
      <c r="AB430" s="16"/>
      <c r="AC430" s="14"/>
      <c r="AD430" s="14"/>
      <c r="AE430" s="16"/>
      <c r="AG430" s="22">
        <f t="shared" si="88"/>
        <v>0</v>
      </c>
      <c r="AH430" s="6"/>
      <c r="AJ430" s="20">
        <f t="shared" si="84"/>
        <v>0</v>
      </c>
      <c r="AK430" s="50"/>
      <c r="AL430" s="6"/>
      <c r="AM430" s="20">
        <f t="shared" si="87"/>
        <v>0</v>
      </c>
      <c r="AN430" s="20">
        <f t="shared" si="85"/>
        <v>193120</v>
      </c>
      <c r="AP430" s="20">
        <f t="shared" si="86"/>
        <v>193120</v>
      </c>
      <c r="AQ430" s="7"/>
      <c r="AR430" s="60"/>
      <c r="AS430" s="142">
        <v>9</v>
      </c>
    </row>
    <row r="431" spans="1:45" s="21" customFormat="1" ht="30" customHeight="1" x14ac:dyDescent="0.2">
      <c r="A431" s="2">
        <v>364</v>
      </c>
      <c r="B431" s="46">
        <v>2</v>
      </c>
      <c r="C431" s="16" t="s">
        <v>52</v>
      </c>
      <c r="D431" s="48">
        <v>5112</v>
      </c>
      <c r="E431" s="47">
        <v>68</v>
      </c>
      <c r="F431" s="48">
        <v>2882</v>
      </c>
      <c r="G431" s="49">
        <v>7</v>
      </c>
      <c r="H431" s="48">
        <v>0</v>
      </c>
      <c r="I431" s="48">
        <v>3</v>
      </c>
      <c r="J431" s="48">
        <v>74</v>
      </c>
      <c r="K431" s="3"/>
      <c r="L431" s="16">
        <v>374</v>
      </c>
      <c r="M431" s="57"/>
      <c r="N431" s="58"/>
      <c r="P431" s="16">
        <v>2</v>
      </c>
      <c r="Q431" s="20">
        <f>+L431</f>
        <v>374</v>
      </c>
      <c r="R431" s="14">
        <v>3950</v>
      </c>
      <c r="S431" s="19">
        <f t="shared" si="83"/>
        <v>1477300</v>
      </c>
      <c r="T431" s="16"/>
      <c r="U431" s="17"/>
      <c r="V431" s="17"/>
      <c r="W431" s="4"/>
      <c r="X431" s="16"/>
      <c r="Y431" s="5"/>
      <c r="Z431" s="16"/>
      <c r="AA431" s="16"/>
      <c r="AB431" s="16"/>
      <c r="AC431" s="14"/>
      <c r="AD431" s="14"/>
      <c r="AE431" s="16"/>
      <c r="AG431" s="22">
        <f t="shared" si="88"/>
        <v>0</v>
      </c>
      <c r="AH431" s="6"/>
      <c r="AJ431" s="20">
        <f t="shared" si="84"/>
        <v>0</v>
      </c>
      <c r="AK431" s="50"/>
      <c r="AL431" s="6"/>
      <c r="AM431" s="20">
        <f t="shared" si="87"/>
        <v>0</v>
      </c>
      <c r="AN431" s="20">
        <f t="shared" si="85"/>
        <v>1477300</v>
      </c>
      <c r="AP431" s="20">
        <f t="shared" si="86"/>
        <v>1477300</v>
      </c>
      <c r="AQ431" s="7"/>
      <c r="AR431" s="25"/>
      <c r="AS431" s="143"/>
    </row>
    <row r="432" spans="1:45" s="21" customFormat="1" ht="30" customHeight="1" x14ac:dyDescent="0.2">
      <c r="A432" s="8">
        <v>365</v>
      </c>
      <c r="B432" s="46">
        <v>1</v>
      </c>
      <c r="C432" s="16" t="s">
        <v>52</v>
      </c>
      <c r="D432" s="48">
        <v>823</v>
      </c>
      <c r="E432" s="47">
        <v>2</v>
      </c>
      <c r="F432" s="48">
        <v>307</v>
      </c>
      <c r="G432" s="49">
        <v>6</v>
      </c>
      <c r="H432" s="48">
        <v>0</v>
      </c>
      <c r="I432" s="48">
        <v>2</v>
      </c>
      <c r="J432" s="48">
        <v>6.06</v>
      </c>
      <c r="K432" s="3"/>
      <c r="L432" s="16"/>
      <c r="M432" s="57"/>
      <c r="N432" s="58"/>
      <c r="P432" s="16">
        <v>1</v>
      </c>
      <c r="Q432" s="20">
        <v>206.06</v>
      </c>
      <c r="R432" s="14">
        <v>375</v>
      </c>
      <c r="S432" s="20">
        <f t="shared" si="83"/>
        <v>77272.5</v>
      </c>
      <c r="T432" s="16"/>
      <c r="U432" s="17"/>
      <c r="V432" s="17"/>
      <c r="W432" s="4"/>
      <c r="X432" s="16"/>
      <c r="Y432" s="5"/>
      <c r="Z432" s="16"/>
      <c r="AA432" s="16"/>
      <c r="AB432" s="16"/>
      <c r="AC432" s="14"/>
      <c r="AD432" s="14"/>
      <c r="AE432" s="16"/>
      <c r="AG432" s="22">
        <f t="shared" si="88"/>
        <v>0</v>
      </c>
      <c r="AH432" s="6"/>
      <c r="AJ432" s="20">
        <f t="shared" si="84"/>
        <v>0</v>
      </c>
      <c r="AK432" s="50"/>
      <c r="AL432" s="6"/>
      <c r="AM432" s="20">
        <f t="shared" si="87"/>
        <v>0</v>
      </c>
      <c r="AN432" s="20">
        <f t="shared" si="85"/>
        <v>77272.5</v>
      </c>
      <c r="AP432" s="20">
        <f t="shared" si="86"/>
        <v>77272.5</v>
      </c>
      <c r="AQ432" s="7"/>
      <c r="AR432" s="20"/>
      <c r="AS432" s="51"/>
    </row>
    <row r="434" spans="1:45" ht="30" customHeight="1" x14ac:dyDescent="0.2">
      <c r="A434" s="8">
        <v>366</v>
      </c>
      <c r="B434" s="13">
        <v>1</v>
      </c>
      <c r="C434" s="16" t="s">
        <v>69</v>
      </c>
      <c r="E434" s="17">
        <v>1512</v>
      </c>
      <c r="F434" s="17">
        <v>3</v>
      </c>
      <c r="G434" s="13">
        <v>6</v>
      </c>
      <c r="H434" s="17">
        <v>9</v>
      </c>
      <c r="I434" s="17">
        <v>3</v>
      </c>
      <c r="J434" s="17">
        <v>45</v>
      </c>
      <c r="K434" s="10">
        <v>3945</v>
      </c>
      <c r="P434" s="17">
        <v>1</v>
      </c>
      <c r="Q434" s="19">
        <f>+K434</f>
        <v>3945</v>
      </c>
      <c r="R434" s="14">
        <v>160</v>
      </c>
      <c r="S434" s="19">
        <f>+Q434*R434</f>
        <v>631200</v>
      </c>
      <c r="AG434" s="22">
        <f>Y434</f>
        <v>0</v>
      </c>
      <c r="AJ434" s="20">
        <f>+AG434*AH434*AI434</f>
        <v>0</v>
      </c>
      <c r="AM434" s="20">
        <f>+AJ434-(AL434*AJ434)</f>
        <v>0</v>
      </c>
      <c r="AN434" s="20">
        <f>+S434+AM434</f>
        <v>631200</v>
      </c>
      <c r="AP434" s="20">
        <f>AN434</f>
        <v>631200</v>
      </c>
      <c r="AQ434" s="12">
        <v>1E-4</v>
      </c>
      <c r="AR434" s="20"/>
    </row>
    <row r="435" spans="1:45" s="21" customFormat="1" ht="30" customHeight="1" x14ac:dyDescent="0.2">
      <c r="A435" s="2">
        <v>367</v>
      </c>
      <c r="B435" s="46">
        <v>1</v>
      </c>
      <c r="C435" s="16" t="s">
        <v>52</v>
      </c>
      <c r="D435" s="48">
        <v>1373</v>
      </c>
      <c r="E435" s="47">
        <v>53</v>
      </c>
      <c r="F435" s="48">
        <v>960</v>
      </c>
      <c r="G435" s="49">
        <v>1</v>
      </c>
      <c r="H435" s="48">
        <v>3</v>
      </c>
      <c r="I435" s="48">
        <v>3</v>
      </c>
      <c r="J435" s="48">
        <v>1</v>
      </c>
      <c r="K435" s="3">
        <v>1501</v>
      </c>
      <c r="L435" s="16"/>
      <c r="M435" s="57"/>
      <c r="N435" s="58"/>
      <c r="P435" s="16">
        <v>1</v>
      </c>
      <c r="Q435" s="20">
        <f>+K435</f>
        <v>1501</v>
      </c>
      <c r="R435" s="14">
        <v>200</v>
      </c>
      <c r="S435" s="20">
        <f>+Q435*R435</f>
        <v>300200</v>
      </c>
      <c r="T435" s="16"/>
      <c r="U435" s="17"/>
      <c r="V435" s="16"/>
      <c r="W435" s="5"/>
      <c r="X435" s="16"/>
      <c r="Y435" s="5"/>
      <c r="Z435" s="16"/>
      <c r="AA435" s="16"/>
      <c r="AB435" s="16"/>
      <c r="AC435" s="14"/>
      <c r="AD435" s="14"/>
      <c r="AE435" s="16"/>
      <c r="AG435" s="22">
        <f>Y435</f>
        <v>0</v>
      </c>
      <c r="AH435" s="6"/>
      <c r="AJ435" s="20">
        <f>+AG435*AH435*AI435</f>
        <v>0</v>
      </c>
      <c r="AK435" s="50"/>
      <c r="AL435" s="6"/>
      <c r="AM435" s="20">
        <f>+AJ435-(AL435*AJ435)</f>
        <v>0</v>
      </c>
      <c r="AN435" s="20">
        <f>+S435+AM435</f>
        <v>300200</v>
      </c>
      <c r="AP435" s="20">
        <f>AN435</f>
        <v>300200</v>
      </c>
      <c r="AQ435" s="7"/>
      <c r="AR435" s="20"/>
      <c r="AS435" s="51"/>
    </row>
    <row r="436" spans="1:45" ht="30" customHeight="1" x14ac:dyDescent="0.2">
      <c r="A436" s="8">
        <v>368</v>
      </c>
      <c r="B436" s="13">
        <v>1</v>
      </c>
      <c r="C436" s="16" t="s">
        <v>65</v>
      </c>
      <c r="D436" s="17">
        <v>3843</v>
      </c>
      <c r="E436" s="17">
        <v>210</v>
      </c>
      <c r="H436" s="17">
        <v>0</v>
      </c>
      <c r="I436" s="17">
        <v>1</v>
      </c>
      <c r="J436" s="17">
        <v>99</v>
      </c>
      <c r="K436" s="10">
        <v>199</v>
      </c>
      <c r="P436" s="17">
        <v>1</v>
      </c>
      <c r="Q436" s="19">
        <f>+K436</f>
        <v>199</v>
      </c>
      <c r="R436" s="14">
        <v>200</v>
      </c>
      <c r="S436" s="19">
        <f>+Q436*R436</f>
        <v>39800</v>
      </c>
      <c r="AC436" s="21"/>
      <c r="AD436" s="21"/>
      <c r="AE436" s="17" t="s">
        <v>95</v>
      </c>
      <c r="AG436" s="22">
        <f>Y436</f>
        <v>0</v>
      </c>
      <c r="AJ436" s="20">
        <f>+AG436*AH436*AI436</f>
        <v>0</v>
      </c>
      <c r="AM436" s="20">
        <f>+AJ436-(AL436*AJ436)</f>
        <v>0</v>
      </c>
      <c r="AN436" s="20">
        <f>+S436+AM436</f>
        <v>39800</v>
      </c>
      <c r="AP436" s="20">
        <f>AN436</f>
        <v>39800</v>
      </c>
      <c r="AQ436" s="12">
        <v>1E-4</v>
      </c>
      <c r="AR436" s="20"/>
    </row>
    <row r="437" spans="1:45" s="21" customFormat="1" ht="30" customHeight="1" x14ac:dyDescent="0.2">
      <c r="A437" s="2">
        <v>369</v>
      </c>
      <c r="B437" s="46">
        <v>1</v>
      </c>
      <c r="C437" s="16" t="s">
        <v>52</v>
      </c>
      <c r="D437" s="48">
        <v>33710</v>
      </c>
      <c r="E437" s="47">
        <v>342</v>
      </c>
      <c r="F437" s="48">
        <v>6740</v>
      </c>
      <c r="G437" s="49">
        <v>1</v>
      </c>
      <c r="H437" s="48">
        <v>0</v>
      </c>
      <c r="I437" s="48">
        <v>0</v>
      </c>
      <c r="J437" s="48">
        <v>81.08</v>
      </c>
      <c r="K437" s="3"/>
      <c r="L437" s="16"/>
      <c r="M437" s="57"/>
      <c r="N437" s="58">
        <v>81.08</v>
      </c>
      <c r="P437" s="16">
        <v>4</v>
      </c>
      <c r="Q437" s="20">
        <f>+J437</f>
        <v>81.08</v>
      </c>
      <c r="R437" s="14">
        <v>160</v>
      </c>
      <c r="S437" s="19">
        <f>+Q437*R437</f>
        <v>12972.8</v>
      </c>
      <c r="T437" s="16"/>
      <c r="U437" s="17"/>
      <c r="V437" s="17"/>
      <c r="W437" s="4"/>
      <c r="X437" s="16"/>
      <c r="Y437" s="5"/>
      <c r="Z437" s="16"/>
      <c r="AA437" s="16"/>
      <c r="AB437" s="16"/>
      <c r="AE437" s="16"/>
      <c r="AG437" s="22">
        <f>Y437</f>
        <v>0</v>
      </c>
      <c r="AH437" s="6"/>
      <c r="AJ437" s="20">
        <f>+AG437*AH437*AI437</f>
        <v>0</v>
      </c>
      <c r="AK437" s="50"/>
      <c r="AL437" s="6"/>
      <c r="AM437" s="20">
        <f>+AJ437-(AL437*AJ437)</f>
        <v>0</v>
      </c>
      <c r="AN437" s="20">
        <f>+S437+AM437</f>
        <v>12972.8</v>
      </c>
      <c r="AP437" s="20">
        <f>AN437</f>
        <v>12972.8</v>
      </c>
      <c r="AQ437" s="7"/>
      <c r="AR437" s="20"/>
      <c r="AS437" s="51"/>
    </row>
    <row r="438" spans="1:45" s="21" customFormat="1" ht="30" customHeight="1" x14ac:dyDescent="0.2">
      <c r="A438" s="8">
        <v>370</v>
      </c>
      <c r="B438" s="46">
        <v>1</v>
      </c>
      <c r="C438" s="16" t="s">
        <v>52</v>
      </c>
      <c r="D438" s="48">
        <v>30978</v>
      </c>
      <c r="E438" s="47">
        <v>84</v>
      </c>
      <c r="F438" s="48">
        <v>5930</v>
      </c>
      <c r="G438" s="49">
        <v>2</v>
      </c>
      <c r="H438" s="48">
        <v>6</v>
      </c>
      <c r="I438" s="48">
        <v>1</v>
      </c>
      <c r="J438" s="48">
        <v>19.04</v>
      </c>
      <c r="K438" s="3">
        <f>2519.04-31</f>
        <v>2488.04</v>
      </c>
      <c r="L438" s="16">
        <v>31</v>
      </c>
      <c r="M438" s="57"/>
      <c r="N438" s="58"/>
      <c r="P438" s="16">
        <v>5</v>
      </c>
      <c r="Q438" s="20">
        <v>2519.04</v>
      </c>
      <c r="R438" s="14">
        <v>160</v>
      </c>
      <c r="S438" s="20">
        <f>+Q438*R438</f>
        <v>403046.40000000002</v>
      </c>
      <c r="T438" s="16"/>
      <c r="U438" s="17"/>
      <c r="V438" s="17"/>
      <c r="W438" s="4"/>
      <c r="X438" s="16"/>
      <c r="Y438" s="5"/>
      <c r="Z438" s="16"/>
      <c r="AA438" s="16"/>
      <c r="AB438" s="16"/>
      <c r="AE438" s="16"/>
      <c r="AG438" s="22"/>
      <c r="AH438" s="6"/>
      <c r="AJ438" s="20"/>
      <c r="AK438" s="50"/>
      <c r="AL438" s="6"/>
      <c r="AM438" s="20"/>
      <c r="AN438" s="20"/>
      <c r="AP438" s="20"/>
      <c r="AQ438" s="7"/>
      <c r="AR438" s="20"/>
      <c r="AS438" s="51"/>
    </row>
    <row r="439" spans="1:45" s="21" customFormat="1" ht="30" customHeight="1" x14ac:dyDescent="0.2">
      <c r="A439" s="8"/>
      <c r="B439" s="46"/>
      <c r="C439" s="16"/>
      <c r="D439" s="48"/>
      <c r="E439" s="47"/>
      <c r="F439" s="48"/>
      <c r="G439" s="49"/>
      <c r="H439" s="48"/>
      <c r="I439" s="48"/>
      <c r="J439" s="48"/>
      <c r="K439" s="3"/>
      <c r="L439" s="16"/>
      <c r="M439" s="57"/>
      <c r="N439" s="58"/>
      <c r="P439" s="16">
        <v>1</v>
      </c>
      <c r="Q439" s="20">
        <v>2488.04</v>
      </c>
      <c r="R439" s="14" t="e">
        <v>#N/A</v>
      </c>
      <c r="S439" s="20"/>
      <c r="T439" s="16">
        <v>1</v>
      </c>
      <c r="U439" s="17"/>
      <c r="V439" s="17"/>
      <c r="W439" s="4"/>
      <c r="X439" s="16"/>
      <c r="Y439" s="5"/>
      <c r="Z439" s="16"/>
      <c r="AA439" s="16"/>
      <c r="AB439" s="16"/>
      <c r="AE439" s="16"/>
      <c r="AG439" s="22"/>
      <c r="AH439" s="6"/>
      <c r="AJ439" s="20">
        <f t="shared" ref="AJ439:AJ474" si="89">+AG439*AH439*AI439</f>
        <v>0</v>
      </c>
      <c r="AK439" s="50"/>
      <c r="AL439" s="6"/>
      <c r="AM439" s="20">
        <f t="shared" ref="AM439:AM474" si="90">+AJ439-(AL439*AJ439)</f>
        <v>0</v>
      </c>
      <c r="AN439" s="20">
        <f t="shared" ref="AN439:AN474" si="91">+S439+AM439</f>
        <v>0</v>
      </c>
      <c r="AP439" s="20">
        <f t="shared" ref="AP439:AP474" si="92">AN439</f>
        <v>0</v>
      </c>
      <c r="AQ439" s="7"/>
      <c r="AR439" s="20"/>
      <c r="AS439" s="51"/>
    </row>
    <row r="440" spans="1:45" s="21" customFormat="1" ht="30" customHeight="1" x14ac:dyDescent="0.2">
      <c r="A440" s="8"/>
      <c r="B440" s="46"/>
      <c r="C440" s="16"/>
      <c r="D440" s="48"/>
      <c r="E440" s="47"/>
      <c r="F440" s="48"/>
      <c r="G440" s="49"/>
      <c r="H440" s="48"/>
      <c r="I440" s="48"/>
      <c r="J440" s="48"/>
      <c r="K440" s="3"/>
      <c r="L440" s="16"/>
      <c r="M440" s="57"/>
      <c r="N440" s="58"/>
      <c r="P440" s="16">
        <v>2</v>
      </c>
      <c r="Q440" s="20">
        <v>31</v>
      </c>
      <c r="R440" s="14" t="e">
        <v>#N/A</v>
      </c>
      <c r="S440" s="20"/>
      <c r="T440" s="16">
        <v>2</v>
      </c>
      <c r="U440" s="17" t="s">
        <v>57</v>
      </c>
      <c r="V440" s="17"/>
      <c r="W440" s="4"/>
      <c r="X440" s="16"/>
      <c r="Y440" s="5">
        <v>124</v>
      </c>
      <c r="Z440" s="16"/>
      <c r="AA440" s="16"/>
      <c r="AB440" s="16">
        <f>62-34</f>
        <v>28</v>
      </c>
      <c r="AE440" s="16"/>
      <c r="AF440" s="21">
        <v>2</v>
      </c>
      <c r="AG440" s="22">
        <f t="shared" ref="AG440:AG458" si="93">Y440</f>
        <v>124</v>
      </c>
      <c r="AH440" s="6">
        <v>1</v>
      </c>
      <c r="AI440" s="21">
        <v>7250</v>
      </c>
      <c r="AJ440" s="20">
        <f t="shared" si="89"/>
        <v>899000</v>
      </c>
      <c r="AK440" s="50">
        <v>28</v>
      </c>
      <c r="AL440" s="6">
        <v>0.46</v>
      </c>
      <c r="AM440" s="20">
        <f t="shared" si="90"/>
        <v>485460</v>
      </c>
      <c r="AN440" s="20">
        <f t="shared" si="91"/>
        <v>485460</v>
      </c>
      <c r="AP440" s="20">
        <f t="shared" si="92"/>
        <v>485460</v>
      </c>
      <c r="AQ440" s="7"/>
      <c r="AR440" s="20"/>
      <c r="AS440" s="51"/>
    </row>
    <row r="441" spans="1:45" s="21" customFormat="1" ht="30" customHeight="1" x14ac:dyDescent="0.2">
      <c r="A441" s="2">
        <v>371</v>
      </c>
      <c r="B441" s="46">
        <v>1</v>
      </c>
      <c r="C441" s="16" t="s">
        <v>52</v>
      </c>
      <c r="D441" s="48">
        <v>10374</v>
      </c>
      <c r="E441" s="47">
        <v>154</v>
      </c>
      <c r="F441" s="48">
        <v>3142</v>
      </c>
      <c r="G441" s="49">
        <v>2</v>
      </c>
      <c r="H441" s="48">
        <v>0</v>
      </c>
      <c r="I441" s="48">
        <v>1</v>
      </c>
      <c r="J441" s="48">
        <v>6.02</v>
      </c>
      <c r="K441" s="3">
        <v>106.02</v>
      </c>
      <c r="L441" s="16"/>
      <c r="M441" s="57"/>
      <c r="N441" s="58"/>
      <c r="P441" s="16">
        <v>1</v>
      </c>
      <c r="Q441" s="20">
        <f>+K441</f>
        <v>106.02</v>
      </c>
      <c r="R441" s="14">
        <v>200</v>
      </c>
      <c r="S441" s="19">
        <f t="shared" ref="S441:S475" si="94">+Q441*R441</f>
        <v>21204</v>
      </c>
      <c r="T441" s="16"/>
      <c r="U441" s="17"/>
      <c r="V441" s="17"/>
      <c r="W441" s="4"/>
      <c r="X441" s="16"/>
      <c r="Y441" s="5"/>
      <c r="Z441" s="16"/>
      <c r="AA441" s="16"/>
      <c r="AB441" s="16"/>
      <c r="AE441" s="16"/>
      <c r="AG441" s="22">
        <f t="shared" si="93"/>
        <v>0</v>
      </c>
      <c r="AH441" s="6"/>
      <c r="AJ441" s="20">
        <f t="shared" si="89"/>
        <v>0</v>
      </c>
      <c r="AK441" s="50"/>
      <c r="AL441" s="6"/>
      <c r="AM441" s="20">
        <f t="shared" si="90"/>
        <v>0</v>
      </c>
      <c r="AN441" s="20">
        <f t="shared" si="91"/>
        <v>21204</v>
      </c>
      <c r="AP441" s="20">
        <f t="shared" si="92"/>
        <v>21204</v>
      </c>
      <c r="AQ441" s="7"/>
      <c r="AR441" s="20"/>
      <c r="AS441" s="51"/>
    </row>
    <row r="442" spans="1:45" ht="30" customHeight="1" x14ac:dyDescent="0.2">
      <c r="A442" s="8">
        <v>372</v>
      </c>
      <c r="B442" s="13">
        <v>1</v>
      </c>
      <c r="C442" s="16" t="s">
        <v>69</v>
      </c>
      <c r="E442" s="17">
        <v>1519</v>
      </c>
      <c r="F442" s="17">
        <v>2</v>
      </c>
      <c r="G442" s="13">
        <v>2</v>
      </c>
      <c r="H442" s="17">
        <v>32</v>
      </c>
      <c r="I442" s="17">
        <v>0</v>
      </c>
      <c r="J442" s="17">
        <v>67</v>
      </c>
      <c r="K442" s="10">
        <v>12867</v>
      </c>
      <c r="P442" s="17">
        <v>1</v>
      </c>
      <c r="Q442" s="19">
        <f>+K442</f>
        <v>12867</v>
      </c>
      <c r="R442" s="14">
        <v>160</v>
      </c>
      <c r="S442" s="19">
        <f t="shared" si="94"/>
        <v>2058720</v>
      </c>
      <c r="AG442" s="22">
        <f t="shared" si="93"/>
        <v>0</v>
      </c>
      <c r="AJ442" s="20">
        <f t="shared" si="89"/>
        <v>0</v>
      </c>
      <c r="AM442" s="20">
        <f t="shared" si="90"/>
        <v>0</v>
      </c>
      <c r="AN442" s="20">
        <f t="shared" si="91"/>
        <v>2058720</v>
      </c>
      <c r="AP442" s="20">
        <f t="shared" si="92"/>
        <v>2058720</v>
      </c>
      <c r="AQ442" s="12">
        <v>1E-4</v>
      </c>
      <c r="AR442" s="20"/>
    </row>
    <row r="443" spans="1:45" s="21" customFormat="1" ht="30" customHeight="1" x14ac:dyDescent="0.2">
      <c r="A443" s="2">
        <v>373</v>
      </c>
      <c r="B443" s="46">
        <v>1</v>
      </c>
      <c r="C443" s="16" t="s">
        <v>52</v>
      </c>
      <c r="D443" s="48">
        <v>5136</v>
      </c>
      <c r="E443" s="47">
        <v>2</v>
      </c>
      <c r="F443" s="48">
        <v>2889</v>
      </c>
      <c r="G443" s="49">
        <v>7</v>
      </c>
      <c r="H443" s="48">
        <v>0</v>
      </c>
      <c r="I443" s="48">
        <v>1</v>
      </c>
      <c r="J443" s="48">
        <v>49</v>
      </c>
      <c r="K443" s="3">
        <v>149</v>
      </c>
      <c r="L443" s="16"/>
      <c r="M443" s="57"/>
      <c r="N443" s="58"/>
      <c r="P443" s="16">
        <v>1</v>
      </c>
      <c r="Q443" s="20">
        <f>+K443</f>
        <v>149</v>
      </c>
      <c r="R443" s="14">
        <v>160</v>
      </c>
      <c r="S443" s="20">
        <f t="shared" si="94"/>
        <v>23840</v>
      </c>
      <c r="T443" s="16"/>
      <c r="U443" s="17"/>
      <c r="V443" s="17"/>
      <c r="W443" s="4"/>
      <c r="X443" s="16"/>
      <c r="Y443" s="5"/>
      <c r="Z443" s="16"/>
      <c r="AA443" s="16"/>
      <c r="AB443" s="16"/>
      <c r="AE443" s="16"/>
      <c r="AG443" s="22">
        <f t="shared" si="93"/>
        <v>0</v>
      </c>
      <c r="AH443" s="6"/>
      <c r="AJ443" s="20">
        <f t="shared" si="89"/>
        <v>0</v>
      </c>
      <c r="AK443" s="50"/>
      <c r="AL443" s="6"/>
      <c r="AM443" s="20">
        <f t="shared" si="90"/>
        <v>0</v>
      </c>
      <c r="AN443" s="20">
        <f t="shared" si="91"/>
        <v>23840</v>
      </c>
      <c r="AP443" s="20">
        <f t="shared" si="92"/>
        <v>23840</v>
      </c>
      <c r="AQ443" s="7"/>
      <c r="AR443" s="60"/>
      <c r="AS443" s="128">
        <v>7</v>
      </c>
    </row>
    <row r="444" spans="1:45" s="21" customFormat="1" ht="30" customHeight="1" x14ac:dyDescent="0.2">
      <c r="A444" s="8">
        <v>374</v>
      </c>
      <c r="B444" s="46">
        <v>2</v>
      </c>
      <c r="C444" s="16" t="s">
        <v>52</v>
      </c>
      <c r="D444" s="48">
        <v>31242</v>
      </c>
      <c r="E444" s="47">
        <v>9</v>
      </c>
      <c r="F444" s="48">
        <v>5857</v>
      </c>
      <c r="G444" s="49">
        <v>7</v>
      </c>
      <c r="H444" s="48">
        <v>0</v>
      </c>
      <c r="I444" s="48">
        <v>1</v>
      </c>
      <c r="J444" s="48">
        <v>0</v>
      </c>
      <c r="K444" s="3">
        <v>100</v>
      </c>
      <c r="L444" s="16"/>
      <c r="M444" s="57"/>
      <c r="N444" s="58"/>
      <c r="P444" s="16">
        <v>1</v>
      </c>
      <c r="Q444" s="20">
        <v>100</v>
      </c>
      <c r="R444" s="14">
        <v>4500</v>
      </c>
      <c r="S444" s="19">
        <f t="shared" si="94"/>
        <v>450000</v>
      </c>
      <c r="T444" s="16"/>
      <c r="U444" s="17"/>
      <c r="V444" s="17"/>
      <c r="W444" s="4"/>
      <c r="X444" s="16"/>
      <c r="Y444" s="5"/>
      <c r="Z444" s="16"/>
      <c r="AA444" s="16"/>
      <c r="AB444" s="16"/>
      <c r="AE444" s="16"/>
      <c r="AG444" s="22">
        <f t="shared" si="93"/>
        <v>0</v>
      </c>
      <c r="AH444" s="6"/>
      <c r="AJ444" s="20">
        <f t="shared" si="89"/>
        <v>0</v>
      </c>
      <c r="AK444" s="50"/>
      <c r="AL444" s="6"/>
      <c r="AM444" s="20">
        <f t="shared" si="90"/>
        <v>0</v>
      </c>
      <c r="AN444" s="20">
        <f t="shared" si="91"/>
        <v>450000</v>
      </c>
      <c r="AP444" s="20">
        <f t="shared" si="92"/>
        <v>450000</v>
      </c>
      <c r="AQ444" s="7"/>
      <c r="AR444" s="24"/>
      <c r="AS444" s="129"/>
    </row>
    <row r="445" spans="1:45" s="21" customFormat="1" ht="30" customHeight="1" x14ac:dyDescent="0.2">
      <c r="A445" s="2">
        <v>375</v>
      </c>
      <c r="B445" s="46">
        <v>3</v>
      </c>
      <c r="C445" s="16" t="s">
        <v>52</v>
      </c>
      <c r="D445" s="48">
        <v>34001</v>
      </c>
      <c r="E445" s="47">
        <v>12</v>
      </c>
      <c r="F445" s="48">
        <v>6756</v>
      </c>
      <c r="G445" s="49">
        <v>7</v>
      </c>
      <c r="H445" s="48">
        <v>0</v>
      </c>
      <c r="I445" s="48">
        <v>0</v>
      </c>
      <c r="J445" s="48">
        <v>50</v>
      </c>
      <c r="K445" s="3">
        <v>50</v>
      </c>
      <c r="L445" s="16"/>
      <c r="M445" s="57"/>
      <c r="N445" s="58"/>
      <c r="P445" s="16">
        <v>1</v>
      </c>
      <c r="Q445" s="20">
        <f>+K445</f>
        <v>50</v>
      </c>
      <c r="R445" s="14">
        <v>4500</v>
      </c>
      <c r="S445" s="19">
        <f t="shared" si="94"/>
        <v>225000</v>
      </c>
      <c r="T445" s="16"/>
      <c r="U445" s="16"/>
      <c r="V445" s="16"/>
      <c r="W445" s="5"/>
      <c r="X445" s="16"/>
      <c r="Y445" s="5"/>
      <c r="Z445" s="16"/>
      <c r="AA445" s="16"/>
      <c r="AB445" s="16"/>
      <c r="AE445" s="16"/>
      <c r="AG445" s="22">
        <f t="shared" si="93"/>
        <v>0</v>
      </c>
      <c r="AH445" s="6"/>
      <c r="AJ445" s="20">
        <f t="shared" si="89"/>
        <v>0</v>
      </c>
      <c r="AK445" s="50"/>
      <c r="AL445" s="6"/>
      <c r="AM445" s="20">
        <f t="shared" si="90"/>
        <v>0</v>
      </c>
      <c r="AN445" s="20">
        <f t="shared" si="91"/>
        <v>225000</v>
      </c>
      <c r="AP445" s="20">
        <f t="shared" si="92"/>
        <v>225000</v>
      </c>
      <c r="AQ445" s="7"/>
      <c r="AR445" s="25"/>
      <c r="AS445" s="130"/>
    </row>
    <row r="446" spans="1:45" s="21" customFormat="1" ht="30" customHeight="1" x14ac:dyDescent="0.2">
      <c r="A446" s="8">
        <v>376</v>
      </c>
      <c r="B446" s="46">
        <v>1</v>
      </c>
      <c r="C446" s="16" t="s">
        <v>52</v>
      </c>
      <c r="D446" s="48">
        <v>5026</v>
      </c>
      <c r="E446" s="47">
        <v>24</v>
      </c>
      <c r="F446" s="48">
        <v>2772</v>
      </c>
      <c r="G446" s="49">
        <v>7</v>
      </c>
      <c r="H446" s="48">
        <v>24</v>
      </c>
      <c r="I446" s="48">
        <v>0</v>
      </c>
      <c r="J446" s="48">
        <v>10</v>
      </c>
      <c r="K446" s="3">
        <f>(24*400)+10</f>
        <v>9610</v>
      </c>
      <c r="L446" s="16"/>
      <c r="M446" s="57"/>
      <c r="N446" s="58"/>
      <c r="P446" s="16">
        <v>1</v>
      </c>
      <c r="Q446" s="20">
        <f>+K446</f>
        <v>9610</v>
      </c>
      <c r="R446" s="14">
        <v>160</v>
      </c>
      <c r="S446" s="20">
        <f t="shared" si="94"/>
        <v>1537600</v>
      </c>
      <c r="T446" s="16"/>
      <c r="U446" s="17"/>
      <c r="V446" s="16"/>
      <c r="W446" s="5"/>
      <c r="X446" s="16"/>
      <c r="Y446" s="5"/>
      <c r="Z446" s="16"/>
      <c r="AA446" s="16"/>
      <c r="AB446" s="16"/>
      <c r="AE446" s="16"/>
      <c r="AG446" s="22">
        <f t="shared" si="93"/>
        <v>0</v>
      </c>
      <c r="AH446" s="6"/>
      <c r="AJ446" s="20">
        <f t="shared" si="89"/>
        <v>0</v>
      </c>
      <c r="AK446" s="50"/>
      <c r="AL446" s="6"/>
      <c r="AM446" s="20">
        <f t="shared" si="90"/>
        <v>0</v>
      </c>
      <c r="AN446" s="20">
        <f t="shared" si="91"/>
        <v>1537600</v>
      </c>
      <c r="AP446" s="20">
        <f t="shared" si="92"/>
        <v>1537600</v>
      </c>
      <c r="AQ446" s="7"/>
      <c r="AR446" s="20"/>
      <c r="AS446" s="51"/>
    </row>
    <row r="447" spans="1:45" s="21" customFormat="1" ht="30" customHeight="1" x14ac:dyDescent="0.2">
      <c r="A447" s="2">
        <v>377</v>
      </c>
      <c r="B447" s="46">
        <v>1</v>
      </c>
      <c r="C447" s="16" t="s">
        <v>52</v>
      </c>
      <c r="D447" s="48">
        <v>2129</v>
      </c>
      <c r="E447" s="47">
        <v>34</v>
      </c>
      <c r="F447" s="48">
        <v>1044</v>
      </c>
      <c r="G447" s="49"/>
      <c r="H447" s="48">
        <v>0</v>
      </c>
      <c r="I447" s="48">
        <v>0</v>
      </c>
      <c r="J447" s="48">
        <v>49</v>
      </c>
      <c r="K447" s="3"/>
      <c r="L447" s="16">
        <v>49</v>
      </c>
      <c r="M447" s="57"/>
      <c r="N447" s="58"/>
      <c r="P447" s="16">
        <v>2</v>
      </c>
      <c r="Q447" s="20">
        <f>+L447</f>
        <v>49</v>
      </c>
      <c r="R447" s="14">
        <v>2000</v>
      </c>
      <c r="S447" s="19">
        <f t="shared" si="94"/>
        <v>98000</v>
      </c>
      <c r="T447" s="16"/>
      <c r="U447" s="17" t="s">
        <v>57</v>
      </c>
      <c r="V447" s="17" t="s">
        <v>56</v>
      </c>
      <c r="W447" s="4"/>
      <c r="X447" s="16"/>
      <c r="Y447" s="5">
        <v>325</v>
      </c>
      <c r="Z447" s="16"/>
      <c r="AA447" s="16"/>
      <c r="AB447" s="16">
        <f>62-41</f>
        <v>21</v>
      </c>
      <c r="AE447" s="16"/>
      <c r="AF447" s="21">
        <v>2</v>
      </c>
      <c r="AG447" s="22">
        <f t="shared" si="93"/>
        <v>325</v>
      </c>
      <c r="AH447" s="6">
        <v>1</v>
      </c>
      <c r="AI447" s="21">
        <v>7250</v>
      </c>
      <c r="AJ447" s="20">
        <f t="shared" si="89"/>
        <v>2356250</v>
      </c>
      <c r="AK447" s="50">
        <v>21</v>
      </c>
      <c r="AL447" s="6">
        <v>0.32</v>
      </c>
      <c r="AM447" s="20">
        <f t="shared" si="90"/>
        <v>1602250</v>
      </c>
      <c r="AN447" s="20">
        <f t="shared" si="91"/>
        <v>1700250</v>
      </c>
      <c r="AP447" s="20">
        <f t="shared" si="92"/>
        <v>1700250</v>
      </c>
      <c r="AQ447" s="7"/>
      <c r="AR447" s="20"/>
      <c r="AS447" s="51"/>
    </row>
    <row r="448" spans="1:45" s="21" customFormat="1" ht="30" customHeight="1" x14ac:dyDescent="0.2">
      <c r="A448" s="8">
        <v>378</v>
      </c>
      <c r="B448" s="46">
        <v>2</v>
      </c>
      <c r="C448" s="16" t="s">
        <v>52</v>
      </c>
      <c r="D448" s="48">
        <v>2130</v>
      </c>
      <c r="E448" s="47">
        <v>35</v>
      </c>
      <c r="F448" s="48">
        <v>1045</v>
      </c>
      <c r="G448" s="49"/>
      <c r="H448" s="48">
        <v>0</v>
      </c>
      <c r="I448" s="48">
        <v>0</v>
      </c>
      <c r="J448" s="48">
        <v>22</v>
      </c>
      <c r="K448" s="3"/>
      <c r="L448" s="16">
        <v>22</v>
      </c>
      <c r="M448" s="57"/>
      <c r="N448" s="58"/>
      <c r="P448" s="16">
        <v>2</v>
      </c>
      <c r="Q448" s="20">
        <f>+L448</f>
        <v>22</v>
      </c>
      <c r="R448" s="14">
        <v>2000</v>
      </c>
      <c r="S448" s="19">
        <f t="shared" si="94"/>
        <v>44000</v>
      </c>
      <c r="T448" s="16"/>
      <c r="U448" s="17"/>
      <c r="V448" s="17"/>
      <c r="W448" s="4"/>
      <c r="X448" s="16"/>
      <c r="Y448" s="5"/>
      <c r="Z448" s="16"/>
      <c r="AA448" s="16"/>
      <c r="AB448" s="16"/>
      <c r="AE448" s="16"/>
      <c r="AG448" s="22">
        <f t="shared" si="93"/>
        <v>0</v>
      </c>
      <c r="AH448" s="6"/>
      <c r="AJ448" s="20">
        <f t="shared" si="89"/>
        <v>0</v>
      </c>
      <c r="AK448" s="50"/>
      <c r="AL448" s="6"/>
      <c r="AM448" s="20">
        <f t="shared" si="90"/>
        <v>0</v>
      </c>
      <c r="AN448" s="20">
        <f t="shared" si="91"/>
        <v>44000</v>
      </c>
      <c r="AP448" s="20">
        <f t="shared" si="92"/>
        <v>44000</v>
      </c>
      <c r="AQ448" s="7"/>
      <c r="AR448" s="20"/>
      <c r="AS448" s="51"/>
    </row>
    <row r="449" spans="1:45" s="21" customFormat="1" ht="30" customHeight="1" x14ac:dyDescent="0.2">
      <c r="A449" s="2">
        <v>379</v>
      </c>
      <c r="B449" s="46">
        <v>1</v>
      </c>
      <c r="C449" s="16" t="s">
        <v>52</v>
      </c>
      <c r="D449" s="48">
        <v>1452</v>
      </c>
      <c r="E449" s="47">
        <v>8</v>
      </c>
      <c r="F449" s="48">
        <v>921</v>
      </c>
      <c r="G449" s="49">
        <v>2</v>
      </c>
      <c r="H449" s="48">
        <v>3</v>
      </c>
      <c r="I449" s="48">
        <v>2</v>
      </c>
      <c r="J449" s="48">
        <v>4</v>
      </c>
      <c r="K449" s="3">
        <v>1404</v>
      </c>
      <c r="L449" s="16"/>
      <c r="M449" s="57"/>
      <c r="N449" s="58"/>
      <c r="P449" s="16">
        <v>1</v>
      </c>
      <c r="Q449" s="20">
        <f>+K449</f>
        <v>1404</v>
      </c>
      <c r="R449" s="14">
        <v>160</v>
      </c>
      <c r="S449" s="20">
        <f t="shared" si="94"/>
        <v>224640</v>
      </c>
      <c r="T449" s="16"/>
      <c r="U449" s="17"/>
      <c r="V449" s="17"/>
      <c r="W449" s="4"/>
      <c r="X449" s="16"/>
      <c r="Y449" s="5"/>
      <c r="Z449" s="16"/>
      <c r="AA449" s="16"/>
      <c r="AB449" s="16"/>
      <c r="AE449" s="16"/>
      <c r="AG449" s="22">
        <f t="shared" si="93"/>
        <v>0</v>
      </c>
      <c r="AH449" s="6"/>
      <c r="AJ449" s="20">
        <f t="shared" si="89"/>
        <v>0</v>
      </c>
      <c r="AK449" s="50"/>
      <c r="AL449" s="6"/>
      <c r="AM449" s="20">
        <f t="shared" si="90"/>
        <v>0</v>
      </c>
      <c r="AN449" s="20">
        <f t="shared" si="91"/>
        <v>224640</v>
      </c>
      <c r="AP449" s="20">
        <f t="shared" si="92"/>
        <v>224640</v>
      </c>
      <c r="AQ449" s="7"/>
      <c r="AR449" s="20"/>
      <c r="AS449" s="51"/>
    </row>
    <row r="450" spans="1:45" s="21" customFormat="1" ht="30" customHeight="1" x14ac:dyDescent="0.2">
      <c r="A450" s="131">
        <v>380</v>
      </c>
      <c r="B450" s="46">
        <v>2</v>
      </c>
      <c r="C450" s="16" t="s">
        <v>52</v>
      </c>
      <c r="D450" s="48">
        <v>2018</v>
      </c>
      <c r="E450" s="47">
        <v>66</v>
      </c>
      <c r="F450" s="48">
        <v>1073</v>
      </c>
      <c r="G450" s="49"/>
      <c r="H450" s="48">
        <v>0</v>
      </c>
      <c r="I450" s="48">
        <v>0</v>
      </c>
      <c r="J450" s="48">
        <v>86</v>
      </c>
      <c r="K450" s="3"/>
      <c r="L450" s="16">
        <v>86</v>
      </c>
      <c r="M450" s="57"/>
      <c r="N450" s="58"/>
      <c r="P450" s="16">
        <v>2</v>
      </c>
      <c r="Q450" s="20">
        <f>+L450</f>
        <v>86</v>
      </c>
      <c r="R450" s="14">
        <v>250</v>
      </c>
      <c r="S450" s="19">
        <f t="shared" si="94"/>
        <v>21500</v>
      </c>
      <c r="T450" s="16"/>
      <c r="U450" s="17"/>
      <c r="V450" s="17"/>
      <c r="W450" s="4"/>
      <c r="X450" s="16"/>
      <c r="Y450" s="5">
        <v>99</v>
      </c>
      <c r="Z450" s="16"/>
      <c r="AA450" s="16"/>
      <c r="AB450" s="16"/>
      <c r="AE450" s="16"/>
      <c r="AG450" s="22">
        <f t="shared" si="93"/>
        <v>99</v>
      </c>
      <c r="AH450" s="6"/>
      <c r="AJ450" s="20">
        <f t="shared" si="89"/>
        <v>0</v>
      </c>
      <c r="AK450" s="50"/>
      <c r="AL450" s="6"/>
      <c r="AM450" s="20">
        <f t="shared" si="90"/>
        <v>0</v>
      </c>
      <c r="AN450" s="20">
        <f t="shared" si="91"/>
        <v>21500</v>
      </c>
      <c r="AP450" s="20">
        <f t="shared" si="92"/>
        <v>21500</v>
      </c>
      <c r="AQ450" s="7"/>
      <c r="AR450" s="20"/>
      <c r="AS450" s="51"/>
    </row>
    <row r="451" spans="1:45" s="21" customFormat="1" ht="30" customHeight="1" x14ac:dyDescent="0.2">
      <c r="A451" s="131"/>
      <c r="B451" s="46"/>
      <c r="C451" s="16"/>
      <c r="D451" s="48"/>
      <c r="E451" s="47"/>
      <c r="F451" s="48"/>
      <c r="G451" s="49"/>
      <c r="H451" s="48"/>
      <c r="I451" s="48"/>
      <c r="J451" s="48"/>
      <c r="K451" s="3"/>
      <c r="L451" s="16"/>
      <c r="M451" s="57"/>
      <c r="N451" s="58"/>
      <c r="P451" s="16"/>
      <c r="Q451" s="20"/>
      <c r="R451" s="14" t="e">
        <v>#N/A</v>
      </c>
      <c r="S451" s="19" t="e">
        <f t="shared" si="94"/>
        <v>#N/A</v>
      </c>
      <c r="T451" s="16"/>
      <c r="U451" s="17"/>
      <c r="V451" s="17"/>
      <c r="W451" s="4"/>
      <c r="X451" s="16"/>
      <c r="Y451" s="5">
        <v>49.5</v>
      </c>
      <c r="Z451" s="16"/>
      <c r="AA451" s="16"/>
      <c r="AB451" s="16">
        <f>62-48</f>
        <v>14</v>
      </c>
      <c r="AE451" s="16"/>
      <c r="AG451" s="22">
        <f t="shared" si="93"/>
        <v>49.5</v>
      </c>
      <c r="AH451" s="6"/>
      <c r="AJ451" s="20">
        <f t="shared" si="89"/>
        <v>0</v>
      </c>
      <c r="AK451" s="50"/>
      <c r="AL451" s="6"/>
      <c r="AM451" s="20">
        <f t="shared" si="90"/>
        <v>0</v>
      </c>
      <c r="AN451" s="20" t="e">
        <f t="shared" si="91"/>
        <v>#N/A</v>
      </c>
      <c r="AP451" s="20" t="e">
        <f t="shared" si="92"/>
        <v>#N/A</v>
      </c>
      <c r="AQ451" s="7"/>
      <c r="AR451" s="20"/>
      <c r="AS451" s="51"/>
    </row>
    <row r="452" spans="1:45" ht="30" customHeight="1" x14ac:dyDescent="0.2">
      <c r="C452" s="16"/>
      <c r="S452" s="20"/>
      <c r="AG452" s="22"/>
      <c r="AJ452" s="20"/>
      <c r="AM452" s="20"/>
      <c r="AN452" s="20"/>
      <c r="AP452" s="20"/>
      <c r="AR452" s="20"/>
    </row>
    <row r="453" spans="1:45" ht="30" customHeight="1" x14ac:dyDescent="0.2">
      <c r="A453" s="2">
        <v>381</v>
      </c>
      <c r="B453" s="13">
        <v>4</v>
      </c>
      <c r="C453" s="16" t="s">
        <v>65</v>
      </c>
      <c r="D453" s="17">
        <v>2780</v>
      </c>
      <c r="E453" s="17">
        <v>369</v>
      </c>
      <c r="H453" s="17">
        <v>0</v>
      </c>
      <c r="I453" s="17">
        <v>1</v>
      </c>
      <c r="J453" s="17">
        <v>51</v>
      </c>
      <c r="K453" s="10">
        <v>151</v>
      </c>
      <c r="Q453" s="19">
        <f>+K453</f>
        <v>151</v>
      </c>
      <c r="R453" s="14">
        <v>160</v>
      </c>
      <c r="S453" s="19">
        <f t="shared" si="94"/>
        <v>24160</v>
      </c>
      <c r="AC453" s="21"/>
      <c r="AD453" s="21"/>
      <c r="AE453" s="17" t="s">
        <v>95</v>
      </c>
      <c r="AG453" s="22">
        <f t="shared" si="93"/>
        <v>0</v>
      </c>
      <c r="AJ453" s="20">
        <f t="shared" si="89"/>
        <v>0</v>
      </c>
      <c r="AM453" s="20">
        <f t="shared" si="90"/>
        <v>0</v>
      </c>
      <c r="AN453" s="20">
        <f t="shared" si="91"/>
        <v>24160</v>
      </c>
      <c r="AP453" s="20">
        <f t="shared" si="92"/>
        <v>24160</v>
      </c>
      <c r="AQ453" s="12">
        <v>1E-4</v>
      </c>
      <c r="AR453" s="20"/>
    </row>
    <row r="454" spans="1:45" ht="30" customHeight="1" x14ac:dyDescent="0.2">
      <c r="A454" s="2">
        <v>382</v>
      </c>
      <c r="B454" s="13">
        <v>1</v>
      </c>
      <c r="C454" s="16" t="s">
        <v>69</v>
      </c>
      <c r="E454" s="17">
        <v>1518</v>
      </c>
      <c r="F454" s="17">
        <v>3</v>
      </c>
      <c r="G454" s="13">
        <v>2</v>
      </c>
      <c r="H454" s="17">
        <v>7</v>
      </c>
      <c r="I454" s="17">
        <v>2</v>
      </c>
      <c r="J454" s="17">
        <v>47</v>
      </c>
      <c r="K454" s="10">
        <v>3047</v>
      </c>
      <c r="P454" s="17">
        <v>1</v>
      </c>
      <c r="Q454" s="19">
        <f>+K454</f>
        <v>3047</v>
      </c>
      <c r="R454" s="14">
        <v>200</v>
      </c>
      <c r="S454" s="19">
        <f t="shared" si="94"/>
        <v>609400</v>
      </c>
      <c r="AG454" s="22">
        <f t="shared" si="93"/>
        <v>0</v>
      </c>
      <c r="AJ454" s="20">
        <f t="shared" si="89"/>
        <v>0</v>
      </c>
      <c r="AM454" s="20">
        <f t="shared" si="90"/>
        <v>0</v>
      </c>
      <c r="AN454" s="20">
        <f t="shared" si="91"/>
        <v>609400</v>
      </c>
      <c r="AP454" s="20">
        <f t="shared" si="92"/>
        <v>609400</v>
      </c>
      <c r="AR454" s="20"/>
    </row>
    <row r="455" spans="1:45" s="21" customFormat="1" ht="30" customHeight="1" x14ac:dyDescent="0.2">
      <c r="A455" s="2">
        <v>383</v>
      </c>
      <c r="B455" s="46">
        <v>1</v>
      </c>
      <c r="C455" s="16" t="s">
        <v>52</v>
      </c>
      <c r="D455" s="48">
        <v>2491</v>
      </c>
      <c r="E455" s="47">
        <v>43</v>
      </c>
      <c r="F455" s="48">
        <v>1495</v>
      </c>
      <c r="G455" s="49">
        <v>2</v>
      </c>
      <c r="H455" s="48">
        <v>0</v>
      </c>
      <c r="I455" s="48">
        <v>0</v>
      </c>
      <c r="J455" s="48">
        <v>43</v>
      </c>
      <c r="K455" s="3"/>
      <c r="L455" s="16">
        <v>43</v>
      </c>
      <c r="M455" s="57"/>
      <c r="N455" s="58"/>
      <c r="P455" s="16">
        <v>2</v>
      </c>
      <c r="Q455" s="20">
        <f>+L455</f>
        <v>43</v>
      </c>
      <c r="R455" s="14">
        <v>4500</v>
      </c>
      <c r="S455" s="20">
        <f t="shared" si="94"/>
        <v>193500</v>
      </c>
      <c r="T455" s="16"/>
      <c r="U455" s="17"/>
      <c r="V455" s="17"/>
      <c r="W455" s="4"/>
      <c r="X455" s="16"/>
      <c r="Y455" s="5"/>
      <c r="Z455" s="16"/>
      <c r="AA455" s="16"/>
      <c r="AB455" s="16"/>
      <c r="AC455" s="14"/>
      <c r="AD455" s="14"/>
      <c r="AE455" s="16"/>
      <c r="AG455" s="22">
        <f t="shared" si="93"/>
        <v>0</v>
      </c>
      <c r="AH455" s="6"/>
      <c r="AJ455" s="20">
        <f t="shared" si="89"/>
        <v>0</v>
      </c>
      <c r="AK455" s="50"/>
      <c r="AL455" s="6"/>
      <c r="AM455" s="20">
        <f t="shared" si="90"/>
        <v>0</v>
      </c>
      <c r="AN455" s="20">
        <f t="shared" si="91"/>
        <v>193500</v>
      </c>
      <c r="AP455" s="20">
        <f t="shared" si="92"/>
        <v>193500</v>
      </c>
      <c r="AQ455" s="7"/>
      <c r="AR455" s="20"/>
      <c r="AS455" s="51"/>
    </row>
    <row r="456" spans="1:45" s="21" customFormat="1" ht="30" customHeight="1" x14ac:dyDescent="0.2">
      <c r="A456" s="2">
        <v>384</v>
      </c>
      <c r="B456" s="46">
        <v>1</v>
      </c>
      <c r="C456" s="16" t="s">
        <v>52</v>
      </c>
      <c r="D456" s="48">
        <v>827</v>
      </c>
      <c r="E456" s="47">
        <v>18</v>
      </c>
      <c r="F456" s="48">
        <v>742</v>
      </c>
      <c r="G456" s="49">
        <v>6</v>
      </c>
      <c r="H456" s="48">
        <v>3</v>
      </c>
      <c r="I456" s="48">
        <v>1</v>
      </c>
      <c r="J456" s="48">
        <v>72</v>
      </c>
      <c r="K456" s="3">
        <v>1372</v>
      </c>
      <c r="L456" s="16"/>
      <c r="M456" s="57"/>
      <c r="N456" s="58"/>
      <c r="P456" s="16">
        <v>1</v>
      </c>
      <c r="Q456" s="20">
        <f>+K456</f>
        <v>1372</v>
      </c>
      <c r="R456" s="14">
        <v>160</v>
      </c>
      <c r="S456" s="19">
        <f t="shared" si="94"/>
        <v>219520</v>
      </c>
      <c r="T456" s="16"/>
      <c r="U456" s="16"/>
      <c r="V456" s="16"/>
      <c r="W456" s="5"/>
      <c r="X456" s="16"/>
      <c r="Y456" s="5"/>
      <c r="Z456" s="16"/>
      <c r="AA456" s="16"/>
      <c r="AB456" s="16"/>
      <c r="AE456" s="16"/>
      <c r="AG456" s="22">
        <f t="shared" si="93"/>
        <v>0</v>
      </c>
      <c r="AH456" s="6"/>
      <c r="AJ456" s="20">
        <f t="shared" si="89"/>
        <v>0</v>
      </c>
      <c r="AK456" s="50"/>
      <c r="AL456" s="6"/>
      <c r="AM456" s="20">
        <f t="shared" si="90"/>
        <v>0</v>
      </c>
      <c r="AN456" s="20">
        <f t="shared" si="91"/>
        <v>219520</v>
      </c>
      <c r="AP456" s="20">
        <f t="shared" si="92"/>
        <v>219520</v>
      </c>
      <c r="AQ456" s="7"/>
      <c r="AR456" s="20"/>
      <c r="AS456" s="51"/>
    </row>
    <row r="457" spans="1:45" s="21" customFormat="1" ht="30" customHeight="1" x14ac:dyDescent="0.2">
      <c r="A457" s="2">
        <v>385</v>
      </c>
      <c r="B457" s="46">
        <v>2</v>
      </c>
      <c r="C457" s="16" t="s">
        <v>52</v>
      </c>
      <c r="D457" s="48">
        <v>1272</v>
      </c>
      <c r="E457" s="47">
        <v>16</v>
      </c>
      <c r="F457" s="48">
        <v>741</v>
      </c>
      <c r="G457" s="49">
        <v>6</v>
      </c>
      <c r="H457" s="48">
        <v>7</v>
      </c>
      <c r="I457" s="48">
        <v>3</v>
      </c>
      <c r="J457" s="48">
        <v>75</v>
      </c>
      <c r="K457" s="3">
        <f>(7*400)+300+75</f>
        <v>3175</v>
      </c>
      <c r="L457" s="16"/>
      <c r="M457" s="57"/>
      <c r="N457" s="58"/>
      <c r="P457" s="16">
        <v>1</v>
      </c>
      <c r="Q457" s="20">
        <f>+K457</f>
        <v>3175</v>
      </c>
      <c r="R457" s="14">
        <v>160</v>
      </c>
      <c r="S457" s="19">
        <f t="shared" si="94"/>
        <v>508000</v>
      </c>
      <c r="T457" s="16"/>
      <c r="U457" s="17"/>
      <c r="V457" s="16"/>
      <c r="W457" s="5"/>
      <c r="X457" s="16"/>
      <c r="Y457" s="5"/>
      <c r="Z457" s="16"/>
      <c r="AA457" s="16"/>
      <c r="AB457" s="16"/>
      <c r="AC457" s="14"/>
      <c r="AD457" s="14"/>
      <c r="AE457" s="16"/>
      <c r="AG457" s="22">
        <f t="shared" si="93"/>
        <v>0</v>
      </c>
      <c r="AH457" s="6"/>
      <c r="AJ457" s="20">
        <f t="shared" si="89"/>
        <v>0</v>
      </c>
      <c r="AK457" s="50"/>
      <c r="AL457" s="6"/>
      <c r="AM457" s="20">
        <f t="shared" si="90"/>
        <v>0</v>
      </c>
      <c r="AN457" s="20">
        <f t="shared" si="91"/>
        <v>508000</v>
      </c>
      <c r="AP457" s="20">
        <f t="shared" si="92"/>
        <v>508000</v>
      </c>
      <c r="AQ457" s="7"/>
      <c r="AR457" s="20"/>
      <c r="AS457" s="51"/>
    </row>
    <row r="458" spans="1:45" s="21" customFormat="1" ht="30" customHeight="1" x14ac:dyDescent="0.2">
      <c r="A458" s="2">
        <v>386</v>
      </c>
      <c r="B458" s="46">
        <v>1</v>
      </c>
      <c r="C458" s="16" t="s">
        <v>52</v>
      </c>
      <c r="D458" s="48">
        <v>2066</v>
      </c>
      <c r="E458" s="47">
        <v>59</v>
      </c>
      <c r="F458" s="48">
        <v>1808</v>
      </c>
      <c r="G458" s="49">
        <v>3</v>
      </c>
      <c r="H458" s="48">
        <v>1</v>
      </c>
      <c r="I458" s="48">
        <v>2</v>
      </c>
      <c r="J458" s="48">
        <v>36</v>
      </c>
      <c r="K458" s="3">
        <v>636</v>
      </c>
      <c r="L458" s="16"/>
      <c r="M458" s="57"/>
      <c r="N458" s="58"/>
      <c r="P458" s="16">
        <v>1</v>
      </c>
      <c r="Q458" s="20">
        <f>+K458</f>
        <v>636</v>
      </c>
      <c r="R458" s="14">
        <v>160</v>
      </c>
      <c r="S458" s="20">
        <f t="shared" si="94"/>
        <v>101760</v>
      </c>
      <c r="T458" s="16"/>
      <c r="U458" s="17"/>
      <c r="V458" s="17"/>
      <c r="W458" s="4"/>
      <c r="X458" s="16"/>
      <c r="Y458" s="5"/>
      <c r="Z458" s="16"/>
      <c r="AA458" s="16"/>
      <c r="AB458" s="16"/>
      <c r="AC458" s="14"/>
      <c r="AD458" s="14"/>
      <c r="AE458" s="16"/>
      <c r="AG458" s="22">
        <f t="shared" si="93"/>
        <v>0</v>
      </c>
      <c r="AH458" s="6"/>
      <c r="AJ458" s="20">
        <f t="shared" si="89"/>
        <v>0</v>
      </c>
      <c r="AK458" s="50"/>
      <c r="AL458" s="6"/>
      <c r="AM458" s="20">
        <f t="shared" si="90"/>
        <v>0</v>
      </c>
      <c r="AN458" s="20">
        <f t="shared" si="91"/>
        <v>101760</v>
      </c>
      <c r="AP458" s="20">
        <f t="shared" si="92"/>
        <v>101760</v>
      </c>
      <c r="AQ458" s="7"/>
      <c r="AR458" s="20"/>
      <c r="AS458" s="51"/>
    </row>
    <row r="459" spans="1:45" ht="30" customHeight="1" x14ac:dyDescent="0.2">
      <c r="A459" s="2">
        <v>387</v>
      </c>
      <c r="B459" s="13">
        <v>1</v>
      </c>
      <c r="C459" s="16" t="s">
        <v>65</v>
      </c>
      <c r="D459" s="17">
        <v>3644</v>
      </c>
      <c r="E459" s="17">
        <v>251</v>
      </c>
      <c r="H459" s="17">
        <v>0</v>
      </c>
      <c r="I459" s="17">
        <v>0</v>
      </c>
      <c r="J459" s="17">
        <v>71</v>
      </c>
      <c r="K459" s="10">
        <v>71</v>
      </c>
      <c r="P459" s="17">
        <v>1</v>
      </c>
      <c r="Q459" s="19">
        <f>+K459</f>
        <v>71</v>
      </c>
      <c r="R459" s="14">
        <v>160</v>
      </c>
      <c r="S459" s="19">
        <f t="shared" si="94"/>
        <v>11360</v>
      </c>
      <c r="AC459" s="21"/>
      <c r="AD459" s="21"/>
      <c r="AE459" s="17" t="s">
        <v>95</v>
      </c>
      <c r="AF459" s="14">
        <v>2</v>
      </c>
      <c r="AG459" s="22">
        <v>34</v>
      </c>
      <c r="AH459" s="11">
        <v>1</v>
      </c>
      <c r="AJ459" s="20">
        <f t="shared" si="89"/>
        <v>0</v>
      </c>
      <c r="AM459" s="20">
        <f t="shared" si="90"/>
        <v>0</v>
      </c>
      <c r="AN459" s="20">
        <f t="shared" si="91"/>
        <v>11360</v>
      </c>
      <c r="AP459" s="20">
        <f t="shared" si="92"/>
        <v>11360</v>
      </c>
      <c r="AQ459" s="12">
        <v>2.0000000000000001E-4</v>
      </c>
      <c r="AR459" s="20"/>
    </row>
    <row r="460" spans="1:45" s="21" customFormat="1" ht="30" customHeight="1" x14ac:dyDescent="0.2">
      <c r="A460" s="2">
        <v>388</v>
      </c>
      <c r="B460" s="46">
        <v>1</v>
      </c>
      <c r="C460" s="16" t="s">
        <v>52</v>
      </c>
      <c r="D460" s="48">
        <v>30167</v>
      </c>
      <c r="E460" s="47">
        <v>548</v>
      </c>
      <c r="F460" s="48">
        <v>5819</v>
      </c>
      <c r="G460" s="49">
        <v>2</v>
      </c>
      <c r="H460" s="48">
        <v>0</v>
      </c>
      <c r="I460" s="48">
        <v>0</v>
      </c>
      <c r="J460" s="48">
        <v>47.01</v>
      </c>
      <c r="K460" s="3"/>
      <c r="L460" s="16">
        <v>47.01</v>
      </c>
      <c r="M460" s="57"/>
      <c r="N460" s="58"/>
      <c r="P460" s="16">
        <v>2</v>
      </c>
      <c r="Q460" s="20">
        <f>+L460</f>
        <v>47.01</v>
      </c>
      <c r="R460" s="14">
        <v>2000</v>
      </c>
      <c r="S460" s="19">
        <f t="shared" si="94"/>
        <v>94020</v>
      </c>
      <c r="T460" s="16"/>
      <c r="U460" s="17" t="s">
        <v>63</v>
      </c>
      <c r="V460" s="17" t="s">
        <v>56</v>
      </c>
      <c r="W460" s="4"/>
      <c r="X460" s="16"/>
      <c r="Y460" s="5">
        <v>84</v>
      </c>
      <c r="Z460" s="16"/>
      <c r="AA460" s="16"/>
      <c r="AB460" s="16"/>
      <c r="AC460" s="14"/>
      <c r="AD460" s="14"/>
      <c r="AE460" s="16"/>
      <c r="AG460" s="22">
        <f t="shared" ref="AG460:AG474" si="95">Y460</f>
        <v>84</v>
      </c>
      <c r="AH460" s="6"/>
      <c r="AJ460" s="20">
        <f t="shared" si="89"/>
        <v>0</v>
      </c>
      <c r="AK460" s="50"/>
      <c r="AL460" s="6"/>
      <c r="AM460" s="20">
        <f t="shared" si="90"/>
        <v>0</v>
      </c>
      <c r="AN460" s="20">
        <f t="shared" si="91"/>
        <v>94020</v>
      </c>
      <c r="AP460" s="20">
        <f t="shared" si="92"/>
        <v>94020</v>
      </c>
      <c r="AQ460" s="7"/>
      <c r="AR460" s="20"/>
      <c r="AS460" s="51"/>
    </row>
    <row r="461" spans="1:45" s="21" customFormat="1" ht="30" customHeight="1" x14ac:dyDescent="0.2">
      <c r="A461" s="2">
        <v>389</v>
      </c>
      <c r="B461" s="46">
        <v>1</v>
      </c>
      <c r="C461" s="16" t="s">
        <v>52</v>
      </c>
      <c r="D461" s="48">
        <v>2362</v>
      </c>
      <c r="E461" s="47">
        <v>52</v>
      </c>
      <c r="F461" s="48">
        <v>1755</v>
      </c>
      <c r="G461" s="49">
        <v>4</v>
      </c>
      <c r="H461" s="48">
        <v>0</v>
      </c>
      <c r="I461" s="48">
        <v>1</v>
      </c>
      <c r="J461" s="48">
        <v>0</v>
      </c>
      <c r="K461" s="3"/>
      <c r="L461" s="16"/>
      <c r="M461" s="57"/>
      <c r="N461" s="58"/>
      <c r="P461" s="16">
        <v>2</v>
      </c>
      <c r="Q461" s="20">
        <v>100</v>
      </c>
      <c r="R461" s="14">
        <v>250</v>
      </c>
      <c r="S461" s="20">
        <f t="shared" si="94"/>
        <v>25000</v>
      </c>
      <c r="T461" s="16"/>
      <c r="U461" s="17" t="s">
        <v>57</v>
      </c>
      <c r="V461" s="17" t="s">
        <v>84</v>
      </c>
      <c r="W461" s="4">
        <v>240</v>
      </c>
      <c r="X461" s="16"/>
      <c r="Y461" s="5">
        <f>12*20</f>
        <v>240</v>
      </c>
      <c r="Z461" s="16"/>
      <c r="AA461" s="16"/>
      <c r="AB461" s="16">
        <v>35</v>
      </c>
      <c r="AC461" s="14"/>
      <c r="AD461" s="14"/>
      <c r="AE461" s="16"/>
      <c r="AG461" s="22">
        <f t="shared" si="95"/>
        <v>240</v>
      </c>
      <c r="AH461" s="6"/>
      <c r="AJ461" s="20">
        <f t="shared" si="89"/>
        <v>0</v>
      </c>
      <c r="AK461" s="50"/>
      <c r="AL461" s="6"/>
      <c r="AM461" s="20">
        <f t="shared" si="90"/>
        <v>0</v>
      </c>
      <c r="AN461" s="20">
        <f t="shared" si="91"/>
        <v>25000</v>
      </c>
      <c r="AP461" s="20">
        <f t="shared" si="92"/>
        <v>25000</v>
      </c>
      <c r="AQ461" s="7"/>
      <c r="AR461" s="20"/>
      <c r="AS461" s="51"/>
    </row>
    <row r="462" spans="1:45" s="21" customFormat="1" ht="30" customHeight="1" x14ac:dyDescent="0.2">
      <c r="A462" s="132">
        <v>390</v>
      </c>
      <c r="B462" s="46">
        <v>1</v>
      </c>
      <c r="C462" s="16" t="s">
        <v>52</v>
      </c>
      <c r="D462" s="48">
        <v>30954</v>
      </c>
      <c r="E462" s="47">
        <v>141</v>
      </c>
      <c r="F462" s="48">
        <v>5906</v>
      </c>
      <c r="G462" s="49">
        <v>2</v>
      </c>
      <c r="H462" s="48">
        <v>8</v>
      </c>
      <c r="I462" s="48">
        <v>3</v>
      </c>
      <c r="J462" s="48">
        <v>27.02</v>
      </c>
      <c r="K462" s="3">
        <f>3527.02-L462</f>
        <v>3497.77</v>
      </c>
      <c r="L462" s="16">
        <v>29.25</v>
      </c>
      <c r="M462" s="57"/>
      <c r="N462" s="58"/>
      <c r="P462" s="16">
        <v>5</v>
      </c>
      <c r="Q462" s="20">
        <v>3527.02</v>
      </c>
      <c r="R462" s="14">
        <v>200</v>
      </c>
      <c r="S462" s="19">
        <f t="shared" si="94"/>
        <v>705404</v>
      </c>
      <c r="T462" s="16"/>
      <c r="U462" s="17" t="s">
        <v>57</v>
      </c>
      <c r="V462" s="17" t="s">
        <v>56</v>
      </c>
      <c r="W462" s="4"/>
      <c r="X462" s="16"/>
      <c r="Y462" s="5">
        <v>69</v>
      </c>
      <c r="Z462" s="16"/>
      <c r="AA462" s="16"/>
      <c r="AB462" s="16"/>
      <c r="AC462" s="14"/>
      <c r="AD462" s="14"/>
      <c r="AE462" s="16"/>
      <c r="AG462" s="22">
        <f t="shared" si="95"/>
        <v>69</v>
      </c>
      <c r="AH462" s="6"/>
      <c r="AJ462" s="20">
        <f t="shared" si="89"/>
        <v>0</v>
      </c>
      <c r="AK462" s="50"/>
      <c r="AL462" s="6"/>
      <c r="AM462" s="20">
        <f t="shared" si="90"/>
        <v>0</v>
      </c>
      <c r="AN462" s="20">
        <f t="shared" si="91"/>
        <v>705404</v>
      </c>
      <c r="AP462" s="20">
        <f t="shared" si="92"/>
        <v>705404</v>
      </c>
      <c r="AQ462" s="7"/>
      <c r="AR462" s="20"/>
      <c r="AS462" s="51"/>
    </row>
    <row r="463" spans="1:45" s="21" customFormat="1" ht="30" customHeight="1" x14ac:dyDescent="0.2">
      <c r="A463" s="132"/>
      <c r="B463" s="46"/>
      <c r="C463" s="16"/>
      <c r="D463" s="48"/>
      <c r="E463" s="47"/>
      <c r="F463" s="48"/>
      <c r="G463" s="49"/>
      <c r="H463" s="48"/>
      <c r="I463" s="48"/>
      <c r="J463" s="48"/>
      <c r="K463" s="3"/>
      <c r="L463" s="16"/>
      <c r="M463" s="57"/>
      <c r="N463" s="58"/>
      <c r="P463" s="16"/>
      <c r="Q463" s="20"/>
      <c r="R463" s="14" t="e">
        <v>#N/A</v>
      </c>
      <c r="S463" s="19" t="e">
        <f t="shared" si="94"/>
        <v>#N/A</v>
      </c>
      <c r="T463" s="16"/>
      <c r="U463" s="17" t="s">
        <v>57</v>
      </c>
      <c r="V463" s="17" t="s">
        <v>56</v>
      </c>
      <c r="W463" s="4"/>
      <c r="X463" s="16"/>
      <c r="Y463" s="5">
        <v>48</v>
      </c>
      <c r="Z463" s="16"/>
      <c r="AA463" s="16"/>
      <c r="AB463" s="16"/>
      <c r="AC463" s="14"/>
      <c r="AD463" s="14"/>
      <c r="AE463" s="16"/>
      <c r="AG463" s="22">
        <f t="shared" si="95"/>
        <v>48</v>
      </c>
      <c r="AH463" s="6"/>
      <c r="AJ463" s="20">
        <f t="shared" si="89"/>
        <v>0</v>
      </c>
      <c r="AK463" s="50"/>
      <c r="AL463" s="6"/>
      <c r="AM463" s="20">
        <f t="shared" si="90"/>
        <v>0</v>
      </c>
      <c r="AN463" s="20" t="e">
        <f t="shared" si="91"/>
        <v>#N/A</v>
      </c>
      <c r="AP463" s="20" t="e">
        <f t="shared" si="92"/>
        <v>#N/A</v>
      </c>
      <c r="AQ463" s="7"/>
      <c r="AR463" s="20"/>
      <c r="AS463" s="51"/>
    </row>
    <row r="464" spans="1:45" s="21" customFormat="1" ht="30" customHeight="1" x14ac:dyDescent="0.2">
      <c r="A464" s="8">
        <v>391</v>
      </c>
      <c r="B464" s="46">
        <v>2</v>
      </c>
      <c r="C464" s="16" t="s">
        <v>52</v>
      </c>
      <c r="D464" s="48">
        <v>4855</v>
      </c>
      <c r="E464" s="47">
        <v>3</v>
      </c>
      <c r="F464" s="48">
        <v>2540</v>
      </c>
      <c r="G464" s="49">
        <v>7</v>
      </c>
      <c r="H464" s="48">
        <v>0</v>
      </c>
      <c r="I464" s="48">
        <v>3</v>
      </c>
      <c r="J464" s="48">
        <v>67</v>
      </c>
      <c r="K464" s="3"/>
      <c r="L464" s="16">
        <v>367</v>
      </c>
      <c r="M464" s="57"/>
      <c r="N464" s="58"/>
      <c r="P464" s="16">
        <v>2</v>
      </c>
      <c r="Q464" s="20">
        <f>+L464</f>
        <v>367</v>
      </c>
      <c r="R464" s="14">
        <v>880</v>
      </c>
      <c r="S464" s="20">
        <f t="shared" si="94"/>
        <v>322960</v>
      </c>
      <c r="T464" s="16"/>
      <c r="U464" s="17"/>
      <c r="V464" s="17"/>
      <c r="W464" s="4"/>
      <c r="X464" s="16"/>
      <c r="Y464" s="5"/>
      <c r="Z464" s="16"/>
      <c r="AA464" s="16"/>
      <c r="AB464" s="16"/>
      <c r="AE464" s="16"/>
      <c r="AG464" s="22">
        <f t="shared" si="95"/>
        <v>0</v>
      </c>
      <c r="AH464" s="6"/>
      <c r="AJ464" s="20">
        <f t="shared" si="89"/>
        <v>0</v>
      </c>
      <c r="AK464" s="50"/>
      <c r="AL464" s="6"/>
      <c r="AM464" s="20">
        <f t="shared" si="90"/>
        <v>0</v>
      </c>
      <c r="AN464" s="20">
        <f t="shared" si="91"/>
        <v>322960</v>
      </c>
      <c r="AP464" s="20">
        <f t="shared" si="92"/>
        <v>322960</v>
      </c>
      <c r="AQ464" s="7"/>
      <c r="AR464" s="20"/>
      <c r="AS464" s="51"/>
    </row>
    <row r="465" spans="1:45" s="21" customFormat="1" ht="30" customHeight="1" x14ac:dyDescent="0.2">
      <c r="A465" s="8">
        <v>392</v>
      </c>
      <c r="B465" s="46">
        <v>1</v>
      </c>
      <c r="C465" s="16" t="s">
        <v>52</v>
      </c>
      <c r="D465" s="48">
        <v>35756</v>
      </c>
      <c r="E465" s="47">
        <v>42</v>
      </c>
      <c r="F465" s="48">
        <v>3649</v>
      </c>
      <c r="G465" s="49">
        <v>6</v>
      </c>
      <c r="H465" s="48">
        <v>0</v>
      </c>
      <c r="I465" s="48">
        <v>0</v>
      </c>
      <c r="J465" s="48">
        <v>79.09</v>
      </c>
      <c r="K465" s="3"/>
      <c r="L465" s="16"/>
      <c r="M465" s="57"/>
      <c r="N465" s="58">
        <v>79.09</v>
      </c>
      <c r="P465" s="16">
        <v>4</v>
      </c>
      <c r="Q465" s="20">
        <f t="shared" ref="Q465:Q471" si="96">+N465</f>
        <v>79.09</v>
      </c>
      <c r="R465" s="14">
        <v>4500</v>
      </c>
      <c r="S465" s="19">
        <f t="shared" si="94"/>
        <v>355905</v>
      </c>
      <c r="T465" s="16"/>
      <c r="U465" s="16" t="s">
        <v>63</v>
      </c>
      <c r="V465" s="16" t="s">
        <v>56</v>
      </c>
      <c r="W465" s="5">
        <v>77.7</v>
      </c>
      <c r="X465" s="16"/>
      <c r="Y465" s="5">
        <v>77.7</v>
      </c>
      <c r="Z465" s="16"/>
      <c r="AA465" s="16"/>
      <c r="AB465" s="16">
        <v>5</v>
      </c>
      <c r="AE465" s="16"/>
      <c r="AF465" s="21">
        <v>2</v>
      </c>
      <c r="AG465" s="22">
        <f t="shared" si="95"/>
        <v>77.7</v>
      </c>
      <c r="AH465" s="6">
        <v>1</v>
      </c>
      <c r="AI465" s="21">
        <v>8100</v>
      </c>
      <c r="AJ465" s="20">
        <f t="shared" si="89"/>
        <v>629370</v>
      </c>
      <c r="AK465" s="50">
        <v>5</v>
      </c>
      <c r="AL465" s="6">
        <v>0.05</v>
      </c>
      <c r="AM465" s="20">
        <f t="shared" si="90"/>
        <v>597901.5</v>
      </c>
      <c r="AN465" s="20">
        <f t="shared" si="91"/>
        <v>953806.5</v>
      </c>
      <c r="AP465" s="20">
        <f t="shared" si="92"/>
        <v>953806.5</v>
      </c>
      <c r="AQ465" s="7">
        <v>2.0000000000000001E-4</v>
      </c>
      <c r="AR465" s="20"/>
      <c r="AS465" s="51"/>
    </row>
    <row r="466" spans="1:45" s="21" customFormat="1" ht="30" customHeight="1" x14ac:dyDescent="0.2">
      <c r="A466" s="8">
        <v>393</v>
      </c>
      <c r="B466" s="46">
        <v>2</v>
      </c>
      <c r="C466" s="16" t="s">
        <v>52</v>
      </c>
      <c r="D466" s="48">
        <v>35757</v>
      </c>
      <c r="E466" s="47">
        <v>43</v>
      </c>
      <c r="F466" s="48">
        <v>3650</v>
      </c>
      <c r="G466" s="49">
        <v>6</v>
      </c>
      <c r="H466" s="48">
        <v>0</v>
      </c>
      <c r="I466" s="48">
        <v>0</v>
      </c>
      <c r="J466" s="48">
        <v>36.04</v>
      </c>
      <c r="K466" s="3"/>
      <c r="L466" s="16"/>
      <c r="M466" s="57"/>
      <c r="N466" s="58">
        <v>36.04</v>
      </c>
      <c r="P466" s="16">
        <v>4</v>
      </c>
      <c r="Q466" s="20">
        <f t="shared" si="96"/>
        <v>36.04</v>
      </c>
      <c r="R466" s="14">
        <v>4500</v>
      </c>
      <c r="S466" s="19">
        <f t="shared" si="94"/>
        <v>162180</v>
      </c>
      <c r="T466" s="16"/>
      <c r="U466" s="16" t="s">
        <v>63</v>
      </c>
      <c r="V466" s="16" t="s">
        <v>56</v>
      </c>
      <c r="W466" s="5">
        <v>77.7</v>
      </c>
      <c r="X466" s="16"/>
      <c r="Y466" s="5">
        <v>77.7</v>
      </c>
      <c r="Z466" s="16"/>
      <c r="AA466" s="16"/>
      <c r="AB466" s="16">
        <v>5</v>
      </c>
      <c r="AE466" s="16"/>
      <c r="AF466" s="21">
        <v>2</v>
      </c>
      <c r="AG466" s="22">
        <f t="shared" si="95"/>
        <v>77.7</v>
      </c>
      <c r="AH466" s="6">
        <v>1</v>
      </c>
      <c r="AI466" s="21">
        <v>8100</v>
      </c>
      <c r="AJ466" s="20">
        <f t="shared" si="89"/>
        <v>629370</v>
      </c>
      <c r="AK466" s="50">
        <v>5</v>
      </c>
      <c r="AL466" s="6">
        <v>0.05</v>
      </c>
      <c r="AM466" s="20">
        <f t="shared" si="90"/>
        <v>597901.5</v>
      </c>
      <c r="AN466" s="20">
        <f t="shared" si="91"/>
        <v>760081.5</v>
      </c>
      <c r="AP466" s="20">
        <f t="shared" si="92"/>
        <v>760081.5</v>
      </c>
      <c r="AQ466" s="7">
        <v>2.0000000000000001E-4</v>
      </c>
      <c r="AR466" s="20"/>
      <c r="AS466" s="51"/>
    </row>
    <row r="467" spans="1:45" s="21" customFormat="1" ht="30" customHeight="1" x14ac:dyDescent="0.2">
      <c r="A467" s="8">
        <v>394</v>
      </c>
      <c r="B467" s="46">
        <v>3</v>
      </c>
      <c r="C467" s="16" t="s">
        <v>52</v>
      </c>
      <c r="D467" s="48">
        <v>35758</v>
      </c>
      <c r="E467" s="47">
        <v>44</v>
      </c>
      <c r="F467" s="48">
        <v>3651</v>
      </c>
      <c r="G467" s="49">
        <v>6</v>
      </c>
      <c r="H467" s="48">
        <v>0</v>
      </c>
      <c r="I467" s="48">
        <v>0</v>
      </c>
      <c r="J467" s="48">
        <v>41.02</v>
      </c>
      <c r="K467" s="3"/>
      <c r="L467" s="16"/>
      <c r="M467" s="57"/>
      <c r="N467" s="58">
        <v>41.02</v>
      </c>
      <c r="P467" s="16">
        <v>4</v>
      </c>
      <c r="Q467" s="20">
        <f t="shared" si="96"/>
        <v>41.02</v>
      </c>
      <c r="R467" s="14">
        <v>4500</v>
      </c>
      <c r="S467" s="20">
        <f t="shared" si="94"/>
        <v>184590</v>
      </c>
      <c r="T467" s="16"/>
      <c r="U467" s="16" t="s">
        <v>63</v>
      </c>
      <c r="V467" s="16" t="s">
        <v>56</v>
      </c>
      <c r="W467" s="5">
        <v>77.7</v>
      </c>
      <c r="X467" s="16"/>
      <c r="Y467" s="5">
        <v>77.7</v>
      </c>
      <c r="Z467" s="16"/>
      <c r="AA467" s="16"/>
      <c r="AB467" s="16">
        <v>5</v>
      </c>
      <c r="AE467" s="16"/>
      <c r="AF467" s="21">
        <v>2</v>
      </c>
      <c r="AG467" s="22">
        <f t="shared" si="95"/>
        <v>77.7</v>
      </c>
      <c r="AH467" s="6">
        <v>1</v>
      </c>
      <c r="AI467" s="21">
        <v>8100</v>
      </c>
      <c r="AJ467" s="20">
        <f t="shared" si="89"/>
        <v>629370</v>
      </c>
      <c r="AK467" s="50">
        <v>5</v>
      </c>
      <c r="AL467" s="6">
        <v>0.05</v>
      </c>
      <c r="AM467" s="20">
        <f t="shared" si="90"/>
        <v>597901.5</v>
      </c>
      <c r="AN467" s="20">
        <f t="shared" si="91"/>
        <v>782491.5</v>
      </c>
      <c r="AP467" s="20">
        <f t="shared" si="92"/>
        <v>782491.5</v>
      </c>
      <c r="AQ467" s="7">
        <v>2.0000000000000001E-4</v>
      </c>
      <c r="AR467" s="20"/>
      <c r="AS467" s="51"/>
    </row>
    <row r="468" spans="1:45" s="21" customFormat="1" ht="30" customHeight="1" x14ac:dyDescent="0.2">
      <c r="A468" s="8">
        <v>395</v>
      </c>
      <c r="B468" s="46">
        <v>4</v>
      </c>
      <c r="C468" s="16" t="s">
        <v>52</v>
      </c>
      <c r="D468" s="48">
        <v>35759</v>
      </c>
      <c r="E468" s="47">
        <v>45</v>
      </c>
      <c r="F468" s="48">
        <v>3652</v>
      </c>
      <c r="G468" s="49">
        <v>6</v>
      </c>
      <c r="H468" s="48">
        <v>0</v>
      </c>
      <c r="I468" s="48">
        <v>0</v>
      </c>
      <c r="J468" s="48">
        <v>46.05</v>
      </c>
      <c r="K468" s="3"/>
      <c r="L468" s="16"/>
      <c r="M468" s="57"/>
      <c r="N468" s="58">
        <v>46.05</v>
      </c>
      <c r="P468" s="16">
        <v>4</v>
      </c>
      <c r="Q468" s="20">
        <f t="shared" si="96"/>
        <v>46.05</v>
      </c>
      <c r="R468" s="14">
        <v>4500</v>
      </c>
      <c r="S468" s="19">
        <f t="shared" si="94"/>
        <v>207225</v>
      </c>
      <c r="T468" s="16"/>
      <c r="U468" s="16" t="s">
        <v>63</v>
      </c>
      <c r="V468" s="16" t="s">
        <v>56</v>
      </c>
      <c r="W468" s="5">
        <v>77.7</v>
      </c>
      <c r="X468" s="16"/>
      <c r="Y468" s="5">
        <v>77.7</v>
      </c>
      <c r="Z468" s="16"/>
      <c r="AA468" s="16"/>
      <c r="AB468" s="16">
        <v>5</v>
      </c>
      <c r="AE468" s="16"/>
      <c r="AF468" s="21">
        <v>2</v>
      </c>
      <c r="AG468" s="22">
        <f t="shared" si="95"/>
        <v>77.7</v>
      </c>
      <c r="AH468" s="6">
        <v>1</v>
      </c>
      <c r="AI468" s="21">
        <v>8100</v>
      </c>
      <c r="AJ468" s="20">
        <f t="shared" si="89"/>
        <v>629370</v>
      </c>
      <c r="AK468" s="50">
        <v>5</v>
      </c>
      <c r="AL468" s="6">
        <v>0.05</v>
      </c>
      <c r="AM468" s="20">
        <f t="shared" si="90"/>
        <v>597901.5</v>
      </c>
      <c r="AN468" s="20">
        <f t="shared" si="91"/>
        <v>805126.5</v>
      </c>
      <c r="AP468" s="20">
        <f t="shared" si="92"/>
        <v>805126.5</v>
      </c>
      <c r="AQ468" s="7">
        <v>2.0000000000000001E-4</v>
      </c>
      <c r="AR468" s="20"/>
      <c r="AS468" s="51"/>
    </row>
    <row r="469" spans="1:45" s="21" customFormat="1" ht="30" customHeight="1" x14ac:dyDescent="0.2">
      <c r="A469" s="8">
        <v>396</v>
      </c>
      <c r="B469" s="46">
        <v>5</v>
      </c>
      <c r="C469" s="16" t="s">
        <v>52</v>
      </c>
      <c r="D469" s="48">
        <v>35760</v>
      </c>
      <c r="E469" s="47">
        <v>46</v>
      </c>
      <c r="F469" s="48">
        <v>3653</v>
      </c>
      <c r="G469" s="49">
        <v>6</v>
      </c>
      <c r="H469" s="48">
        <v>0</v>
      </c>
      <c r="I469" s="48">
        <v>0</v>
      </c>
      <c r="J469" s="48">
        <v>51.04</v>
      </c>
      <c r="K469" s="3"/>
      <c r="L469" s="16"/>
      <c r="M469" s="57"/>
      <c r="N469" s="58">
        <v>51.04</v>
      </c>
      <c r="P469" s="16">
        <v>4</v>
      </c>
      <c r="Q469" s="20">
        <f t="shared" si="96"/>
        <v>51.04</v>
      </c>
      <c r="R469" s="14">
        <v>4500</v>
      </c>
      <c r="S469" s="19">
        <f t="shared" si="94"/>
        <v>229680</v>
      </c>
      <c r="T469" s="16"/>
      <c r="U469" s="16" t="s">
        <v>63</v>
      </c>
      <c r="V469" s="16" t="s">
        <v>56</v>
      </c>
      <c r="W469" s="5">
        <v>77.7</v>
      </c>
      <c r="X469" s="16"/>
      <c r="Y469" s="5">
        <v>77.7</v>
      </c>
      <c r="Z469" s="16"/>
      <c r="AA469" s="16"/>
      <c r="AB469" s="16">
        <v>5</v>
      </c>
      <c r="AE469" s="16"/>
      <c r="AF469" s="21">
        <v>2</v>
      </c>
      <c r="AG469" s="22">
        <f t="shared" si="95"/>
        <v>77.7</v>
      </c>
      <c r="AH469" s="6">
        <v>1</v>
      </c>
      <c r="AI469" s="21">
        <v>8100</v>
      </c>
      <c r="AJ469" s="20">
        <f t="shared" si="89"/>
        <v>629370</v>
      </c>
      <c r="AK469" s="50">
        <v>5</v>
      </c>
      <c r="AL469" s="6">
        <v>0.05</v>
      </c>
      <c r="AM469" s="20">
        <f t="shared" si="90"/>
        <v>597901.5</v>
      </c>
      <c r="AN469" s="20">
        <f t="shared" si="91"/>
        <v>827581.5</v>
      </c>
      <c r="AP469" s="20">
        <f t="shared" si="92"/>
        <v>827581.5</v>
      </c>
      <c r="AQ469" s="7">
        <v>2.0000000000000001E-4</v>
      </c>
      <c r="AR469" s="20"/>
      <c r="AS469" s="51"/>
    </row>
    <row r="470" spans="1:45" s="21" customFormat="1" ht="30" customHeight="1" x14ac:dyDescent="0.2">
      <c r="A470" s="8">
        <v>397</v>
      </c>
      <c r="B470" s="46">
        <v>6</v>
      </c>
      <c r="C470" s="16" t="s">
        <v>52</v>
      </c>
      <c r="D470" s="48">
        <v>35761</v>
      </c>
      <c r="E470" s="47">
        <v>47</v>
      </c>
      <c r="F470" s="48">
        <v>3654</v>
      </c>
      <c r="G470" s="49">
        <v>6</v>
      </c>
      <c r="H470" s="48">
        <v>0</v>
      </c>
      <c r="I470" s="48">
        <v>0</v>
      </c>
      <c r="J470" s="48">
        <v>54.03</v>
      </c>
      <c r="K470" s="3"/>
      <c r="L470" s="16"/>
      <c r="M470" s="57"/>
      <c r="N470" s="58">
        <v>54.03</v>
      </c>
      <c r="P470" s="16">
        <v>4</v>
      </c>
      <c r="Q470" s="20">
        <f t="shared" si="96"/>
        <v>54.03</v>
      </c>
      <c r="R470" s="14">
        <v>4500</v>
      </c>
      <c r="S470" s="20">
        <f t="shared" si="94"/>
        <v>243135</v>
      </c>
      <c r="T470" s="16"/>
      <c r="U470" s="16" t="s">
        <v>63</v>
      </c>
      <c r="V470" s="16" t="s">
        <v>56</v>
      </c>
      <c r="W470" s="5">
        <v>77.7</v>
      </c>
      <c r="X470" s="16"/>
      <c r="Y470" s="5">
        <v>77.7</v>
      </c>
      <c r="Z470" s="16"/>
      <c r="AA470" s="16"/>
      <c r="AB470" s="16">
        <v>5</v>
      </c>
      <c r="AE470" s="16"/>
      <c r="AF470" s="21">
        <v>2</v>
      </c>
      <c r="AG470" s="22">
        <f t="shared" si="95"/>
        <v>77.7</v>
      </c>
      <c r="AH470" s="6">
        <v>1</v>
      </c>
      <c r="AI470" s="21">
        <v>8100</v>
      </c>
      <c r="AJ470" s="20">
        <f t="shared" si="89"/>
        <v>629370</v>
      </c>
      <c r="AK470" s="50">
        <v>5</v>
      </c>
      <c r="AL470" s="6">
        <v>0.05</v>
      </c>
      <c r="AM470" s="20">
        <f t="shared" si="90"/>
        <v>597901.5</v>
      </c>
      <c r="AN470" s="20">
        <f t="shared" si="91"/>
        <v>841036.5</v>
      </c>
      <c r="AP470" s="20">
        <f t="shared" si="92"/>
        <v>841036.5</v>
      </c>
      <c r="AQ470" s="7">
        <v>2.0000000000000001E-4</v>
      </c>
      <c r="AR470" s="20"/>
      <c r="AS470" s="51"/>
    </row>
    <row r="471" spans="1:45" s="21" customFormat="1" ht="30" customHeight="1" x14ac:dyDescent="0.2">
      <c r="A471" s="8">
        <v>398</v>
      </c>
      <c r="B471" s="46">
        <v>7</v>
      </c>
      <c r="C471" s="16" t="s">
        <v>52</v>
      </c>
      <c r="D471" s="48">
        <v>35762</v>
      </c>
      <c r="E471" s="47">
        <v>48</v>
      </c>
      <c r="F471" s="48">
        <v>3655</v>
      </c>
      <c r="G471" s="49">
        <v>6</v>
      </c>
      <c r="H471" s="48">
        <v>0</v>
      </c>
      <c r="I471" s="48">
        <v>0</v>
      </c>
      <c r="J471" s="48">
        <v>52.03</v>
      </c>
      <c r="K471" s="3"/>
      <c r="L471" s="16"/>
      <c r="M471" s="57"/>
      <c r="N471" s="58">
        <v>52.03</v>
      </c>
      <c r="P471" s="16">
        <v>4</v>
      </c>
      <c r="Q471" s="20">
        <f t="shared" si="96"/>
        <v>52.03</v>
      </c>
      <c r="R471" s="14">
        <v>4500</v>
      </c>
      <c r="S471" s="19">
        <f t="shared" si="94"/>
        <v>234135</v>
      </c>
      <c r="T471" s="16"/>
      <c r="U471" s="16" t="s">
        <v>63</v>
      </c>
      <c r="V471" s="16" t="s">
        <v>56</v>
      </c>
      <c r="W471" s="5">
        <v>77.7</v>
      </c>
      <c r="X471" s="16"/>
      <c r="Y471" s="5">
        <v>77.7</v>
      </c>
      <c r="Z471" s="16"/>
      <c r="AA471" s="16"/>
      <c r="AB471" s="16">
        <v>5</v>
      </c>
      <c r="AE471" s="16"/>
      <c r="AF471" s="21">
        <v>2</v>
      </c>
      <c r="AG471" s="22">
        <f t="shared" si="95"/>
        <v>77.7</v>
      </c>
      <c r="AH471" s="6">
        <v>1</v>
      </c>
      <c r="AI471" s="21">
        <v>8100</v>
      </c>
      <c r="AJ471" s="20">
        <f t="shared" si="89"/>
        <v>629370</v>
      </c>
      <c r="AK471" s="50">
        <v>5</v>
      </c>
      <c r="AL471" s="6">
        <v>0.05</v>
      </c>
      <c r="AM471" s="20">
        <f t="shared" si="90"/>
        <v>597901.5</v>
      </c>
      <c r="AN471" s="20">
        <f t="shared" si="91"/>
        <v>832036.5</v>
      </c>
      <c r="AP471" s="20">
        <f t="shared" si="92"/>
        <v>832036.5</v>
      </c>
      <c r="AQ471" s="7">
        <v>2.0000000000000001E-4</v>
      </c>
      <c r="AR471" s="20"/>
      <c r="AS471" s="51"/>
    </row>
    <row r="472" spans="1:45" s="21" customFormat="1" ht="30" customHeight="1" x14ac:dyDescent="0.2">
      <c r="A472" s="8">
        <v>399</v>
      </c>
      <c r="B472" s="46">
        <v>1</v>
      </c>
      <c r="C472" s="16" t="s">
        <v>52</v>
      </c>
      <c r="D472" s="48">
        <v>5078</v>
      </c>
      <c r="E472" s="47">
        <v>49</v>
      </c>
      <c r="F472" s="48">
        <v>2845</v>
      </c>
      <c r="G472" s="49">
        <v>7</v>
      </c>
      <c r="H472" s="48">
        <v>6</v>
      </c>
      <c r="I472" s="48">
        <v>2</v>
      </c>
      <c r="J472" s="48">
        <v>30</v>
      </c>
      <c r="K472" s="3">
        <f>2400+200+30</f>
        <v>2630</v>
      </c>
      <c r="L472" s="16"/>
      <c r="M472" s="57"/>
      <c r="N472" s="58"/>
      <c r="P472" s="16">
        <v>1</v>
      </c>
      <c r="Q472" s="20">
        <f>+K472</f>
        <v>2630</v>
      </c>
      <c r="R472" s="14">
        <v>160</v>
      </c>
      <c r="S472" s="19">
        <f t="shared" si="94"/>
        <v>420800</v>
      </c>
      <c r="T472" s="16"/>
      <c r="U472" s="17"/>
      <c r="V472" s="16"/>
      <c r="W472" s="5"/>
      <c r="X472" s="16"/>
      <c r="Y472" s="5"/>
      <c r="Z472" s="16"/>
      <c r="AA472" s="16"/>
      <c r="AB472" s="16"/>
      <c r="AE472" s="16"/>
      <c r="AG472" s="22">
        <f t="shared" si="95"/>
        <v>0</v>
      </c>
      <c r="AH472" s="6"/>
      <c r="AJ472" s="20">
        <f t="shared" si="89"/>
        <v>0</v>
      </c>
      <c r="AK472" s="50"/>
      <c r="AL472" s="6"/>
      <c r="AM472" s="20">
        <f t="shared" si="90"/>
        <v>0</v>
      </c>
      <c r="AN472" s="20">
        <f t="shared" si="91"/>
        <v>420800</v>
      </c>
      <c r="AP472" s="20">
        <f t="shared" si="92"/>
        <v>420800</v>
      </c>
      <c r="AQ472" s="7"/>
      <c r="AR472" s="20"/>
      <c r="AS472" s="51">
        <v>36</v>
      </c>
    </row>
    <row r="473" spans="1:45" s="21" customFormat="1" ht="30" customHeight="1" x14ac:dyDescent="0.2">
      <c r="A473" s="8">
        <v>400</v>
      </c>
      <c r="B473" s="46">
        <v>1</v>
      </c>
      <c r="C473" s="16" t="s">
        <v>52</v>
      </c>
      <c r="D473" s="48">
        <v>33566</v>
      </c>
      <c r="E473" s="47">
        <v>60</v>
      </c>
      <c r="F473" s="48">
        <v>6720</v>
      </c>
      <c r="G473" s="49">
        <v>3</v>
      </c>
      <c r="H473" s="48">
        <v>1</v>
      </c>
      <c r="I473" s="48">
        <v>0</v>
      </c>
      <c r="J473" s="48">
        <v>57</v>
      </c>
      <c r="K473" s="3">
        <v>457</v>
      </c>
      <c r="L473" s="16"/>
      <c r="M473" s="57"/>
      <c r="N473" s="58"/>
      <c r="P473" s="16">
        <v>1</v>
      </c>
      <c r="Q473" s="20">
        <f>+K473</f>
        <v>457</v>
      </c>
      <c r="R473" s="14">
        <v>160</v>
      </c>
      <c r="S473" s="20">
        <f t="shared" si="94"/>
        <v>73120</v>
      </c>
      <c r="T473" s="16"/>
      <c r="U473" s="17"/>
      <c r="V473" s="17"/>
      <c r="W473" s="4"/>
      <c r="X473" s="16"/>
      <c r="Y473" s="5"/>
      <c r="Z473" s="16"/>
      <c r="AA473" s="16"/>
      <c r="AB473" s="16"/>
      <c r="AE473" s="16"/>
      <c r="AG473" s="22">
        <f t="shared" si="95"/>
        <v>0</v>
      </c>
      <c r="AH473" s="6"/>
      <c r="AJ473" s="20">
        <f t="shared" si="89"/>
        <v>0</v>
      </c>
      <c r="AK473" s="50"/>
      <c r="AL473" s="6"/>
      <c r="AM473" s="20">
        <f t="shared" si="90"/>
        <v>0</v>
      </c>
      <c r="AN473" s="20">
        <f t="shared" si="91"/>
        <v>73120</v>
      </c>
      <c r="AP473" s="20">
        <f t="shared" si="92"/>
        <v>73120</v>
      </c>
      <c r="AQ473" s="7"/>
      <c r="AR473" s="20"/>
      <c r="AS473" s="51"/>
    </row>
    <row r="474" spans="1:45" s="21" customFormat="1" ht="30" customHeight="1" x14ac:dyDescent="0.2">
      <c r="A474" s="8">
        <v>401</v>
      </c>
      <c r="B474" s="46">
        <v>1</v>
      </c>
      <c r="C474" s="16" t="s">
        <v>52</v>
      </c>
      <c r="D474" s="48">
        <v>895</v>
      </c>
      <c r="E474" s="47">
        <v>72</v>
      </c>
      <c r="F474" s="48">
        <v>190</v>
      </c>
      <c r="G474" s="49">
        <v>1</v>
      </c>
      <c r="H474" s="48">
        <v>0</v>
      </c>
      <c r="I474" s="48">
        <v>0</v>
      </c>
      <c r="J474" s="48">
        <v>78</v>
      </c>
      <c r="K474" s="3"/>
      <c r="L474" s="16">
        <v>78</v>
      </c>
      <c r="M474" s="57"/>
      <c r="N474" s="58"/>
      <c r="P474" s="16">
        <v>2</v>
      </c>
      <c r="Q474" s="20">
        <f>+L474</f>
        <v>78</v>
      </c>
      <c r="R474" s="14">
        <v>250</v>
      </c>
      <c r="S474" s="19">
        <f t="shared" si="94"/>
        <v>19500</v>
      </c>
      <c r="T474" s="16"/>
      <c r="U474" s="17"/>
      <c r="V474" s="17"/>
      <c r="W474" s="4"/>
      <c r="X474" s="16"/>
      <c r="Y474" s="5"/>
      <c r="Z474" s="16"/>
      <c r="AA474" s="16"/>
      <c r="AB474" s="16"/>
      <c r="AC474" s="14"/>
      <c r="AD474" s="14"/>
      <c r="AE474" s="16"/>
      <c r="AG474" s="22">
        <f t="shared" si="95"/>
        <v>0</v>
      </c>
      <c r="AH474" s="6"/>
      <c r="AJ474" s="20">
        <f t="shared" si="89"/>
        <v>0</v>
      </c>
      <c r="AK474" s="50"/>
      <c r="AL474" s="6"/>
      <c r="AM474" s="20">
        <f t="shared" si="90"/>
        <v>0</v>
      </c>
      <c r="AN474" s="20">
        <f t="shared" si="91"/>
        <v>19500</v>
      </c>
      <c r="AP474" s="20">
        <f t="shared" si="92"/>
        <v>19500</v>
      </c>
      <c r="AQ474" s="7"/>
      <c r="AR474" s="20"/>
      <c r="AS474" s="51"/>
    </row>
    <row r="475" spans="1:45" s="21" customFormat="1" ht="30" customHeight="1" x14ac:dyDescent="0.2">
      <c r="A475" s="131">
        <v>402</v>
      </c>
      <c r="B475" s="46">
        <v>1</v>
      </c>
      <c r="C475" s="16" t="s">
        <v>52</v>
      </c>
      <c r="D475" s="48">
        <v>21026</v>
      </c>
      <c r="E475" s="47">
        <v>76</v>
      </c>
      <c r="F475" s="48">
        <v>4673</v>
      </c>
      <c r="G475" s="49">
        <v>1</v>
      </c>
      <c r="H475" s="48">
        <v>0</v>
      </c>
      <c r="I475" s="48">
        <v>0</v>
      </c>
      <c r="J475" s="48">
        <v>95</v>
      </c>
      <c r="K475" s="3"/>
      <c r="L475" s="16"/>
      <c r="M475" s="57">
        <v>95</v>
      </c>
      <c r="N475" s="58"/>
      <c r="P475" s="16">
        <v>5</v>
      </c>
      <c r="Q475" s="20">
        <f>+M475</f>
        <v>95</v>
      </c>
      <c r="R475" s="14">
        <v>3000</v>
      </c>
      <c r="S475" s="19">
        <f t="shared" si="94"/>
        <v>285000</v>
      </c>
      <c r="T475" s="16"/>
      <c r="U475" s="17"/>
      <c r="V475" s="17"/>
      <c r="W475" s="4"/>
      <c r="X475" s="16"/>
      <c r="Y475" s="5"/>
      <c r="Z475" s="16"/>
      <c r="AA475" s="16"/>
      <c r="AB475" s="16"/>
      <c r="AE475" s="16"/>
      <c r="AG475" s="22"/>
      <c r="AH475" s="6"/>
      <c r="AJ475" s="20"/>
      <c r="AK475" s="50"/>
      <c r="AL475" s="6"/>
      <c r="AM475" s="20"/>
      <c r="AN475" s="20"/>
      <c r="AP475" s="20"/>
      <c r="AQ475" s="7"/>
      <c r="AR475" s="60"/>
      <c r="AS475" s="128">
        <v>28</v>
      </c>
    </row>
    <row r="476" spans="1:45" s="21" customFormat="1" ht="30" customHeight="1" x14ac:dyDescent="0.2">
      <c r="A476" s="131"/>
      <c r="B476" s="46"/>
      <c r="C476" s="16"/>
      <c r="D476" s="48"/>
      <c r="E476" s="47"/>
      <c r="F476" s="48"/>
      <c r="G476" s="49"/>
      <c r="H476" s="48"/>
      <c r="I476" s="48"/>
      <c r="J476" s="48"/>
      <c r="K476" s="3"/>
      <c r="L476" s="16"/>
      <c r="M476" s="57"/>
      <c r="N476" s="58"/>
      <c r="P476" s="16">
        <v>2</v>
      </c>
      <c r="Q476" s="20"/>
      <c r="R476" s="14"/>
      <c r="S476" s="19"/>
      <c r="T476" s="16"/>
      <c r="U476" s="17" t="s">
        <v>57</v>
      </c>
      <c r="V476" s="17" t="s">
        <v>56</v>
      </c>
      <c r="W476" s="4">
        <f>5*15</f>
        <v>75</v>
      </c>
      <c r="X476" s="16"/>
      <c r="Y476" s="5">
        <v>25</v>
      </c>
      <c r="Z476" s="16">
        <v>50</v>
      </c>
      <c r="AA476" s="16"/>
      <c r="AB476" s="16">
        <v>22</v>
      </c>
      <c r="AE476" s="16" t="s">
        <v>106</v>
      </c>
      <c r="AF476" s="21">
        <v>2</v>
      </c>
      <c r="AG476" s="22">
        <f>Y476</f>
        <v>25</v>
      </c>
      <c r="AH476" s="6">
        <v>0.33</v>
      </c>
      <c r="AI476" s="21">
        <v>7250</v>
      </c>
      <c r="AJ476" s="20">
        <f>+AG476*AH476*AI476</f>
        <v>59812.5</v>
      </c>
      <c r="AK476" s="50">
        <v>22</v>
      </c>
      <c r="AL476" s="6">
        <v>0.34</v>
      </c>
      <c r="AM476" s="20">
        <f>+AJ476-(AL476*AJ476)</f>
        <v>39476.25</v>
      </c>
      <c r="AN476" s="20">
        <f>+(S475*AH476)+AM476</f>
        <v>133526.25</v>
      </c>
      <c r="AP476" s="20">
        <f>AN476</f>
        <v>133526.25</v>
      </c>
      <c r="AQ476" s="7"/>
      <c r="AR476" s="24"/>
      <c r="AS476" s="129"/>
    </row>
    <row r="477" spans="1:45" s="21" customFormat="1" ht="30" customHeight="1" x14ac:dyDescent="0.2">
      <c r="A477" s="8"/>
      <c r="B477" s="46"/>
      <c r="C477" s="16"/>
      <c r="D477" s="48"/>
      <c r="E477" s="47"/>
      <c r="F477" s="48"/>
      <c r="G477" s="49"/>
      <c r="H477" s="48"/>
      <c r="I477" s="48"/>
      <c r="J477" s="48"/>
      <c r="K477" s="3"/>
      <c r="L477" s="16"/>
      <c r="M477" s="57"/>
      <c r="N477" s="58"/>
      <c r="P477" s="16">
        <v>3</v>
      </c>
      <c r="Q477" s="20"/>
      <c r="R477" s="14"/>
      <c r="S477" s="19"/>
      <c r="T477" s="16"/>
      <c r="U477" s="17"/>
      <c r="V477" s="17"/>
      <c r="W477" s="4"/>
      <c r="X477" s="16"/>
      <c r="Y477" s="5"/>
      <c r="Z477" s="16"/>
      <c r="AA477" s="16"/>
      <c r="AB477" s="16"/>
      <c r="AE477" s="16"/>
      <c r="AF477" s="21">
        <v>3</v>
      </c>
      <c r="AG477" s="22"/>
      <c r="AH477" s="6"/>
      <c r="AJ477" s="20"/>
      <c r="AK477" s="50"/>
      <c r="AL477" s="6"/>
      <c r="AM477" s="20"/>
      <c r="AN477" s="20">
        <f>+S475*AH478</f>
        <v>190950</v>
      </c>
      <c r="AP477" s="20">
        <f>AN477</f>
        <v>190950</v>
      </c>
      <c r="AQ477" s="7">
        <v>3.0000000000000001E-3</v>
      </c>
      <c r="AR477" s="24"/>
      <c r="AS477" s="129"/>
    </row>
    <row r="478" spans="1:45" s="21" customFormat="1" ht="30" customHeight="1" x14ac:dyDescent="0.2">
      <c r="A478" s="8"/>
      <c r="B478" s="46"/>
      <c r="C478" s="16"/>
      <c r="D478" s="48"/>
      <c r="E478" s="47"/>
      <c r="F478" s="48"/>
      <c r="G478" s="49"/>
      <c r="H478" s="48"/>
      <c r="I478" s="48"/>
      <c r="J478" s="48"/>
      <c r="K478" s="3"/>
      <c r="L478" s="16"/>
      <c r="M478" s="57"/>
      <c r="N478" s="58"/>
      <c r="P478" s="16">
        <v>3</v>
      </c>
      <c r="Q478" s="20"/>
      <c r="R478" s="14"/>
      <c r="S478" s="19"/>
      <c r="T478" s="16"/>
      <c r="U478" s="17"/>
      <c r="V478" s="17"/>
      <c r="W478" s="4"/>
      <c r="X478" s="16"/>
      <c r="Y478" s="5"/>
      <c r="Z478" s="16"/>
      <c r="AA478" s="16"/>
      <c r="AB478" s="16"/>
      <c r="AE478" s="16" t="s">
        <v>106</v>
      </c>
      <c r="AF478" s="21">
        <v>3</v>
      </c>
      <c r="AG478" s="22">
        <v>50</v>
      </c>
      <c r="AH478" s="6">
        <v>0.67</v>
      </c>
      <c r="AI478" s="21">
        <v>7250</v>
      </c>
      <c r="AJ478" s="20">
        <f t="shared" ref="AJ478:AJ541" si="97">+AG478*AH478*AI478</f>
        <v>242875</v>
      </c>
      <c r="AK478" s="50">
        <v>22</v>
      </c>
      <c r="AL478" s="6">
        <v>0.34</v>
      </c>
      <c r="AM478" s="20">
        <f t="shared" ref="AM478:AM505" si="98">+AJ478-(AL478*AJ478)</f>
        <v>160297.5</v>
      </c>
      <c r="AN478" s="20"/>
      <c r="AP478" s="20">
        <f>AM478</f>
        <v>160297.5</v>
      </c>
      <c r="AQ478" s="7">
        <v>3.0000000000000001E-3</v>
      </c>
      <c r="AR478" s="24"/>
      <c r="AS478" s="129"/>
    </row>
    <row r="479" spans="1:45" s="21" customFormat="1" ht="30" customHeight="1" x14ac:dyDescent="0.2">
      <c r="A479" s="8">
        <v>403</v>
      </c>
      <c r="B479" s="46">
        <v>2</v>
      </c>
      <c r="C479" s="16" t="s">
        <v>52</v>
      </c>
      <c r="D479" s="48">
        <v>2242</v>
      </c>
      <c r="E479" s="47">
        <v>16</v>
      </c>
      <c r="F479" s="48">
        <v>1577</v>
      </c>
      <c r="G479" s="49">
        <v>3</v>
      </c>
      <c r="H479" s="48">
        <v>5</v>
      </c>
      <c r="I479" s="48">
        <v>0</v>
      </c>
      <c r="J479" s="48">
        <v>66</v>
      </c>
      <c r="K479" s="3">
        <v>2066</v>
      </c>
      <c r="L479" s="16"/>
      <c r="M479" s="57"/>
      <c r="N479" s="58"/>
      <c r="P479" s="16">
        <v>1</v>
      </c>
      <c r="Q479" s="20">
        <f>+K479</f>
        <v>2066</v>
      </c>
      <c r="R479" s="14">
        <v>200</v>
      </c>
      <c r="S479" s="19">
        <f t="shared" ref="S479:S493" si="99">+Q479*R479</f>
        <v>413200</v>
      </c>
      <c r="T479" s="16"/>
      <c r="U479" s="17"/>
      <c r="V479" s="17"/>
      <c r="W479" s="4"/>
      <c r="X479" s="16"/>
      <c r="Y479" s="5"/>
      <c r="Z479" s="16"/>
      <c r="AA479" s="16"/>
      <c r="AB479" s="16"/>
      <c r="AC479" s="14"/>
      <c r="AD479" s="14"/>
      <c r="AE479" s="16"/>
      <c r="AG479" s="22">
        <f t="shared" ref="AG479:AG492" si="100">Y479</f>
        <v>0</v>
      </c>
      <c r="AH479" s="6"/>
      <c r="AJ479" s="20">
        <f t="shared" si="97"/>
        <v>0</v>
      </c>
      <c r="AK479" s="50"/>
      <c r="AL479" s="6"/>
      <c r="AM479" s="20">
        <f t="shared" si="98"/>
        <v>0</v>
      </c>
      <c r="AN479" s="20">
        <f t="shared" ref="AN479:AN492" si="101">+S479+AM479</f>
        <v>413200</v>
      </c>
      <c r="AP479" s="20">
        <f t="shared" ref="AP479:AP505" si="102">AN479</f>
        <v>413200</v>
      </c>
      <c r="AQ479" s="7"/>
      <c r="AR479" s="25"/>
      <c r="AS479" s="130"/>
    </row>
    <row r="480" spans="1:45" s="21" customFormat="1" ht="30" customHeight="1" x14ac:dyDescent="0.2">
      <c r="A480" s="8">
        <v>404</v>
      </c>
      <c r="B480" s="46">
        <v>1</v>
      </c>
      <c r="C480" s="16" t="s">
        <v>52</v>
      </c>
      <c r="D480" s="48">
        <v>29164</v>
      </c>
      <c r="E480" s="47">
        <v>260</v>
      </c>
      <c r="F480" s="48">
        <v>5359</v>
      </c>
      <c r="G480" s="49">
        <v>1</v>
      </c>
      <c r="H480" s="48">
        <v>0</v>
      </c>
      <c r="I480" s="48">
        <v>1</v>
      </c>
      <c r="J480" s="48">
        <v>66</v>
      </c>
      <c r="K480" s="3">
        <v>154</v>
      </c>
      <c r="L480" s="16"/>
      <c r="M480" s="57"/>
      <c r="N480" s="58"/>
      <c r="P480" s="16">
        <v>1</v>
      </c>
      <c r="Q480" s="20">
        <f>+K480</f>
        <v>154</v>
      </c>
      <c r="R480" s="14">
        <v>250</v>
      </c>
      <c r="S480" s="19">
        <f t="shared" si="99"/>
        <v>38500</v>
      </c>
      <c r="T480" s="16"/>
      <c r="U480" s="17"/>
      <c r="V480" s="17"/>
      <c r="W480" s="4"/>
      <c r="X480" s="16"/>
      <c r="Y480" s="5"/>
      <c r="Z480" s="16"/>
      <c r="AA480" s="16"/>
      <c r="AB480" s="16"/>
      <c r="AC480" s="14"/>
      <c r="AD480" s="14"/>
      <c r="AE480" s="16"/>
      <c r="AG480" s="22">
        <f t="shared" si="100"/>
        <v>0</v>
      </c>
      <c r="AH480" s="6"/>
      <c r="AJ480" s="20">
        <f t="shared" si="97"/>
        <v>0</v>
      </c>
      <c r="AK480" s="50"/>
      <c r="AL480" s="6"/>
      <c r="AM480" s="20">
        <f t="shared" si="98"/>
        <v>0</v>
      </c>
      <c r="AN480" s="20">
        <f t="shared" si="101"/>
        <v>38500</v>
      </c>
      <c r="AP480" s="20">
        <f t="shared" si="102"/>
        <v>38500</v>
      </c>
      <c r="AQ480" s="7"/>
      <c r="AR480" s="60"/>
      <c r="AS480" s="128">
        <v>28</v>
      </c>
    </row>
    <row r="481" spans="1:47" s="21" customFormat="1" ht="30" customHeight="1" x14ac:dyDescent="0.2">
      <c r="A481" s="8">
        <v>405</v>
      </c>
      <c r="B481" s="46">
        <v>2</v>
      </c>
      <c r="C481" s="16" t="s">
        <v>52</v>
      </c>
      <c r="D481" s="48">
        <v>1611</v>
      </c>
      <c r="E481" s="47">
        <v>4</v>
      </c>
      <c r="F481" s="48">
        <v>563</v>
      </c>
      <c r="G481" s="49">
        <v>2</v>
      </c>
      <c r="H481" s="48">
        <v>9</v>
      </c>
      <c r="I481" s="48">
        <v>1</v>
      </c>
      <c r="J481" s="48">
        <v>65</v>
      </c>
      <c r="K481" s="3">
        <f>(9*400)+165</f>
        <v>3765</v>
      </c>
      <c r="L481" s="16"/>
      <c r="M481" s="57"/>
      <c r="N481" s="58"/>
      <c r="P481" s="16">
        <v>1</v>
      </c>
      <c r="Q481" s="20">
        <f>+K481</f>
        <v>3765</v>
      </c>
      <c r="R481" s="14">
        <v>160</v>
      </c>
      <c r="S481" s="20">
        <f t="shared" si="99"/>
        <v>602400</v>
      </c>
      <c r="T481" s="16"/>
      <c r="U481" s="16"/>
      <c r="V481" s="16"/>
      <c r="W481" s="5"/>
      <c r="X481" s="16"/>
      <c r="Y481" s="5"/>
      <c r="Z481" s="16"/>
      <c r="AA481" s="16"/>
      <c r="AB481" s="16"/>
      <c r="AC481" s="14"/>
      <c r="AD481" s="14"/>
      <c r="AE481" s="16"/>
      <c r="AG481" s="22">
        <f t="shared" si="100"/>
        <v>0</v>
      </c>
      <c r="AH481" s="6"/>
      <c r="AJ481" s="20">
        <f t="shared" si="97"/>
        <v>0</v>
      </c>
      <c r="AK481" s="50"/>
      <c r="AL481" s="6"/>
      <c r="AM481" s="20">
        <f t="shared" si="98"/>
        <v>0</v>
      </c>
      <c r="AN481" s="20">
        <f t="shared" si="101"/>
        <v>602400</v>
      </c>
      <c r="AP481" s="20">
        <f t="shared" si="102"/>
        <v>602400</v>
      </c>
      <c r="AQ481" s="7"/>
      <c r="AR481" s="25"/>
      <c r="AS481" s="130"/>
    </row>
    <row r="482" spans="1:47" s="21" customFormat="1" ht="30" customHeight="1" x14ac:dyDescent="0.2">
      <c r="A482" s="8">
        <v>406</v>
      </c>
      <c r="B482" s="46">
        <v>3</v>
      </c>
      <c r="C482" s="16" t="s">
        <v>52</v>
      </c>
      <c r="D482" s="48">
        <v>4599</v>
      </c>
      <c r="E482" s="47">
        <v>40</v>
      </c>
      <c r="F482" s="48">
        <v>2468</v>
      </c>
      <c r="G482" s="49">
        <v>1</v>
      </c>
      <c r="H482" s="48">
        <v>5</v>
      </c>
      <c r="I482" s="48">
        <v>1</v>
      </c>
      <c r="J482" s="48">
        <v>79</v>
      </c>
      <c r="K482" s="3">
        <v>2179</v>
      </c>
      <c r="L482" s="16"/>
      <c r="M482" s="57"/>
      <c r="N482" s="58"/>
      <c r="P482" s="16">
        <v>1</v>
      </c>
      <c r="Q482" s="20">
        <f>+(H482*400)+(I482*100)+J482</f>
        <v>2179</v>
      </c>
      <c r="R482" s="14">
        <v>200</v>
      </c>
      <c r="S482" s="20">
        <f t="shared" si="99"/>
        <v>435800</v>
      </c>
      <c r="T482" s="16"/>
      <c r="U482" s="17"/>
      <c r="V482" s="17"/>
      <c r="W482" s="4"/>
      <c r="X482" s="16"/>
      <c r="Y482" s="5"/>
      <c r="Z482" s="16"/>
      <c r="AA482" s="16"/>
      <c r="AB482" s="16"/>
      <c r="AC482" s="14"/>
      <c r="AD482" s="14"/>
      <c r="AE482" s="16"/>
      <c r="AG482" s="22">
        <f t="shared" si="100"/>
        <v>0</v>
      </c>
      <c r="AH482" s="6"/>
      <c r="AJ482" s="20">
        <f t="shared" si="97"/>
        <v>0</v>
      </c>
      <c r="AK482" s="50"/>
      <c r="AL482" s="6"/>
      <c r="AM482" s="20">
        <f t="shared" si="98"/>
        <v>0</v>
      </c>
      <c r="AN482" s="20">
        <f t="shared" si="101"/>
        <v>435800</v>
      </c>
      <c r="AP482" s="20">
        <f t="shared" si="102"/>
        <v>435800</v>
      </c>
      <c r="AQ482" s="7"/>
      <c r="AR482" s="20"/>
      <c r="AS482" s="51"/>
    </row>
    <row r="483" spans="1:47" s="21" customFormat="1" ht="30" customHeight="1" x14ac:dyDescent="0.2">
      <c r="A483" s="8">
        <v>407</v>
      </c>
      <c r="B483" s="46">
        <v>1</v>
      </c>
      <c r="C483" s="16" t="s">
        <v>52</v>
      </c>
      <c r="D483" s="48">
        <v>2427</v>
      </c>
      <c r="E483" s="47">
        <v>62</v>
      </c>
      <c r="F483" s="48">
        <v>428</v>
      </c>
      <c r="G483" s="49">
        <v>2</v>
      </c>
      <c r="H483" s="48">
        <v>0</v>
      </c>
      <c r="I483" s="48">
        <v>2</v>
      </c>
      <c r="J483" s="48">
        <v>12</v>
      </c>
      <c r="K483" s="3"/>
      <c r="L483" s="16">
        <v>212</v>
      </c>
      <c r="M483" s="57"/>
      <c r="N483" s="58"/>
      <c r="P483" s="16">
        <v>2</v>
      </c>
      <c r="Q483" s="20">
        <f>+L483</f>
        <v>212</v>
      </c>
      <c r="R483" s="14">
        <v>4500</v>
      </c>
      <c r="S483" s="19">
        <f t="shared" si="99"/>
        <v>954000</v>
      </c>
      <c r="T483" s="16"/>
      <c r="U483" s="17"/>
      <c r="V483" s="16"/>
      <c r="W483" s="5"/>
      <c r="X483" s="16"/>
      <c r="Y483" s="5"/>
      <c r="Z483" s="16"/>
      <c r="AA483" s="16"/>
      <c r="AB483" s="16"/>
      <c r="AC483" s="14"/>
      <c r="AD483" s="14"/>
      <c r="AE483" s="16"/>
      <c r="AG483" s="22">
        <f t="shared" si="100"/>
        <v>0</v>
      </c>
      <c r="AH483" s="6"/>
      <c r="AJ483" s="20">
        <f t="shared" si="97"/>
        <v>0</v>
      </c>
      <c r="AK483" s="50"/>
      <c r="AL483" s="6"/>
      <c r="AM483" s="20">
        <f t="shared" si="98"/>
        <v>0</v>
      </c>
      <c r="AN483" s="20">
        <f t="shared" si="101"/>
        <v>954000</v>
      </c>
      <c r="AP483" s="20">
        <f t="shared" si="102"/>
        <v>954000</v>
      </c>
      <c r="AQ483" s="7"/>
      <c r="AR483" s="20"/>
      <c r="AS483" s="51"/>
    </row>
    <row r="484" spans="1:47" s="21" customFormat="1" ht="30" customHeight="1" x14ac:dyDescent="0.2">
      <c r="A484" s="8">
        <v>408</v>
      </c>
      <c r="B484" s="46">
        <v>2</v>
      </c>
      <c r="C484" s="16" t="s">
        <v>52</v>
      </c>
      <c r="D484" s="48">
        <v>39251</v>
      </c>
      <c r="E484" s="47">
        <v>44</v>
      </c>
      <c r="F484" s="48">
        <v>6865</v>
      </c>
      <c r="G484" s="49">
        <v>4</v>
      </c>
      <c r="H484" s="48">
        <v>5</v>
      </c>
      <c r="I484" s="48">
        <v>2</v>
      </c>
      <c r="J484" s="48">
        <v>75</v>
      </c>
      <c r="K484" s="3">
        <v>2275</v>
      </c>
      <c r="L484" s="16"/>
      <c r="M484" s="57"/>
      <c r="N484" s="58"/>
      <c r="P484" s="16">
        <v>1</v>
      </c>
      <c r="Q484" s="20">
        <f t="shared" ref="Q484:Q492" si="103">+K484</f>
        <v>2275</v>
      </c>
      <c r="R484" s="14">
        <v>500</v>
      </c>
      <c r="S484" s="19">
        <f t="shared" si="99"/>
        <v>1137500</v>
      </c>
      <c r="T484" s="16"/>
      <c r="U484" s="17"/>
      <c r="V484" s="17"/>
      <c r="W484" s="4"/>
      <c r="X484" s="16"/>
      <c r="Y484" s="5"/>
      <c r="Z484" s="16"/>
      <c r="AA484" s="16"/>
      <c r="AB484" s="16"/>
      <c r="AC484" s="14"/>
      <c r="AD484" s="14"/>
      <c r="AE484" s="16"/>
      <c r="AG484" s="22">
        <f t="shared" si="100"/>
        <v>0</v>
      </c>
      <c r="AH484" s="6"/>
      <c r="AJ484" s="20">
        <f t="shared" si="97"/>
        <v>0</v>
      </c>
      <c r="AK484" s="50"/>
      <c r="AL484" s="6"/>
      <c r="AM484" s="20">
        <f t="shared" si="98"/>
        <v>0</v>
      </c>
      <c r="AN484" s="20">
        <f t="shared" si="101"/>
        <v>1137500</v>
      </c>
      <c r="AP484" s="20">
        <f t="shared" si="102"/>
        <v>1137500</v>
      </c>
      <c r="AQ484" s="7"/>
      <c r="AR484" s="20"/>
      <c r="AS484" s="51"/>
    </row>
    <row r="485" spans="1:47" s="21" customFormat="1" ht="30" customHeight="1" x14ac:dyDescent="0.2">
      <c r="A485" s="8">
        <v>409</v>
      </c>
      <c r="B485" s="46">
        <v>3</v>
      </c>
      <c r="C485" s="16" t="s">
        <v>52</v>
      </c>
      <c r="D485" s="48">
        <v>39252</v>
      </c>
      <c r="E485" s="47">
        <v>45</v>
      </c>
      <c r="F485" s="48">
        <v>6866</v>
      </c>
      <c r="G485" s="49">
        <v>4</v>
      </c>
      <c r="H485" s="48">
        <v>5</v>
      </c>
      <c r="I485" s="48">
        <v>2</v>
      </c>
      <c r="J485" s="48">
        <v>75</v>
      </c>
      <c r="K485" s="3">
        <v>2275</v>
      </c>
      <c r="L485" s="16"/>
      <c r="M485" s="57"/>
      <c r="N485" s="58"/>
      <c r="P485" s="16">
        <v>1</v>
      </c>
      <c r="Q485" s="20">
        <f t="shared" si="103"/>
        <v>2275</v>
      </c>
      <c r="R485" s="14">
        <v>500</v>
      </c>
      <c r="S485" s="20">
        <f t="shared" si="99"/>
        <v>1137500</v>
      </c>
      <c r="T485" s="16"/>
      <c r="U485" s="17"/>
      <c r="V485" s="17"/>
      <c r="W485" s="4"/>
      <c r="X485" s="16"/>
      <c r="Y485" s="5"/>
      <c r="Z485" s="16"/>
      <c r="AA485" s="16"/>
      <c r="AB485" s="16"/>
      <c r="AE485" s="16"/>
      <c r="AG485" s="22">
        <f t="shared" si="100"/>
        <v>0</v>
      </c>
      <c r="AH485" s="6"/>
      <c r="AJ485" s="20">
        <f t="shared" si="97"/>
        <v>0</v>
      </c>
      <c r="AK485" s="50"/>
      <c r="AL485" s="6"/>
      <c r="AM485" s="20">
        <f t="shared" si="98"/>
        <v>0</v>
      </c>
      <c r="AN485" s="20">
        <f t="shared" si="101"/>
        <v>1137500</v>
      </c>
      <c r="AP485" s="20">
        <f t="shared" si="102"/>
        <v>1137500</v>
      </c>
      <c r="AQ485" s="7"/>
      <c r="AR485" s="20"/>
      <c r="AS485" s="51"/>
    </row>
    <row r="486" spans="1:47" s="21" customFormat="1" ht="30" customHeight="1" x14ac:dyDescent="0.2">
      <c r="A486" s="8">
        <v>410</v>
      </c>
      <c r="B486" s="46">
        <v>4</v>
      </c>
      <c r="C486" s="16" t="s">
        <v>52</v>
      </c>
      <c r="D486" s="48">
        <v>39253</v>
      </c>
      <c r="E486" s="47">
        <v>46</v>
      </c>
      <c r="F486" s="48">
        <v>6867</v>
      </c>
      <c r="G486" s="49">
        <v>4</v>
      </c>
      <c r="H486" s="48">
        <v>5</v>
      </c>
      <c r="I486" s="48">
        <v>2</v>
      </c>
      <c r="J486" s="48">
        <v>75</v>
      </c>
      <c r="K486" s="3">
        <v>2275</v>
      </c>
      <c r="L486" s="16"/>
      <c r="M486" s="57"/>
      <c r="N486" s="58"/>
      <c r="P486" s="16">
        <v>1</v>
      </c>
      <c r="Q486" s="20">
        <f t="shared" si="103"/>
        <v>2275</v>
      </c>
      <c r="R486" s="14">
        <v>500</v>
      </c>
      <c r="S486" s="19">
        <f t="shared" si="99"/>
        <v>1137500</v>
      </c>
      <c r="T486" s="16"/>
      <c r="U486" s="17"/>
      <c r="V486" s="17"/>
      <c r="W486" s="4"/>
      <c r="X486" s="16"/>
      <c r="Y486" s="5"/>
      <c r="Z486" s="16"/>
      <c r="AA486" s="16"/>
      <c r="AB486" s="16"/>
      <c r="AE486" s="16"/>
      <c r="AG486" s="22">
        <f t="shared" si="100"/>
        <v>0</v>
      </c>
      <c r="AH486" s="6"/>
      <c r="AJ486" s="20">
        <f t="shared" si="97"/>
        <v>0</v>
      </c>
      <c r="AK486" s="50"/>
      <c r="AL486" s="6"/>
      <c r="AM486" s="20">
        <f t="shared" si="98"/>
        <v>0</v>
      </c>
      <c r="AN486" s="20">
        <f t="shared" si="101"/>
        <v>1137500</v>
      </c>
      <c r="AP486" s="20">
        <f t="shared" si="102"/>
        <v>1137500</v>
      </c>
      <c r="AQ486" s="7"/>
      <c r="AR486" s="20"/>
      <c r="AS486" s="51"/>
    </row>
    <row r="487" spans="1:47" s="21" customFormat="1" ht="30" customHeight="1" x14ac:dyDescent="0.2">
      <c r="A487" s="8">
        <v>411</v>
      </c>
      <c r="B487" s="46">
        <v>1</v>
      </c>
      <c r="C487" s="16" t="s">
        <v>52</v>
      </c>
      <c r="D487" s="48">
        <v>4827</v>
      </c>
      <c r="E487" s="47">
        <v>35</v>
      </c>
      <c r="F487" s="48">
        <v>2717</v>
      </c>
      <c r="G487" s="49">
        <v>7</v>
      </c>
      <c r="H487" s="48">
        <v>5</v>
      </c>
      <c r="I487" s="48">
        <v>0</v>
      </c>
      <c r="J487" s="48">
        <v>94</v>
      </c>
      <c r="K487" s="3">
        <v>2094</v>
      </c>
      <c r="L487" s="16"/>
      <c r="M487" s="57"/>
      <c r="N487" s="58"/>
      <c r="P487" s="16">
        <v>1</v>
      </c>
      <c r="Q487" s="20">
        <f t="shared" si="103"/>
        <v>2094</v>
      </c>
      <c r="R487" s="14">
        <v>160</v>
      </c>
      <c r="S487" s="19">
        <f t="shared" si="99"/>
        <v>335040</v>
      </c>
      <c r="T487" s="16"/>
      <c r="U487" s="17"/>
      <c r="V487" s="17"/>
      <c r="W487" s="4"/>
      <c r="X487" s="16"/>
      <c r="Y487" s="5"/>
      <c r="Z487" s="16"/>
      <c r="AA487" s="16"/>
      <c r="AB487" s="16"/>
      <c r="AE487" s="16"/>
      <c r="AG487" s="22">
        <f t="shared" si="100"/>
        <v>0</v>
      </c>
      <c r="AH487" s="6"/>
      <c r="AJ487" s="20">
        <f t="shared" si="97"/>
        <v>0</v>
      </c>
      <c r="AK487" s="50"/>
      <c r="AL487" s="6"/>
      <c r="AM487" s="20">
        <f t="shared" si="98"/>
        <v>0</v>
      </c>
      <c r="AN487" s="20">
        <f t="shared" si="101"/>
        <v>335040</v>
      </c>
      <c r="AP487" s="20">
        <f t="shared" si="102"/>
        <v>335040</v>
      </c>
      <c r="AQ487" s="7"/>
      <c r="AR487" s="60"/>
      <c r="AS487" s="128">
        <f>66+16</f>
        <v>82</v>
      </c>
    </row>
    <row r="488" spans="1:47" ht="30" customHeight="1" x14ac:dyDescent="0.2">
      <c r="A488" s="8">
        <v>412</v>
      </c>
      <c r="B488" s="13">
        <v>2</v>
      </c>
      <c r="C488" s="16" t="s">
        <v>65</v>
      </c>
      <c r="D488" s="17">
        <v>350</v>
      </c>
      <c r="E488" s="17">
        <v>96</v>
      </c>
      <c r="H488" s="17">
        <v>7</v>
      </c>
      <c r="I488" s="17">
        <v>0</v>
      </c>
      <c r="J488" s="17">
        <v>10</v>
      </c>
      <c r="K488" s="10">
        <f>7*400+10</f>
        <v>2810</v>
      </c>
      <c r="Q488" s="19">
        <f t="shared" si="103"/>
        <v>2810</v>
      </c>
      <c r="R488" s="14">
        <v>160</v>
      </c>
      <c r="S488" s="20">
        <f t="shared" si="99"/>
        <v>449600</v>
      </c>
      <c r="AC488" s="21"/>
      <c r="AD488" s="21"/>
      <c r="AE488" s="17" t="s">
        <v>94</v>
      </c>
      <c r="AG488" s="22">
        <f t="shared" si="100"/>
        <v>0</v>
      </c>
      <c r="AJ488" s="20">
        <f t="shared" si="97"/>
        <v>0</v>
      </c>
      <c r="AM488" s="20">
        <f t="shared" si="98"/>
        <v>0</v>
      </c>
      <c r="AN488" s="20">
        <f t="shared" si="101"/>
        <v>449600</v>
      </c>
      <c r="AP488" s="20">
        <f t="shared" si="102"/>
        <v>449600</v>
      </c>
      <c r="AQ488" s="12">
        <v>1E-4</v>
      </c>
      <c r="AR488" s="24"/>
      <c r="AS488" s="129"/>
    </row>
    <row r="489" spans="1:47" ht="30" customHeight="1" x14ac:dyDescent="0.2">
      <c r="A489" s="8">
        <v>413</v>
      </c>
      <c r="B489" s="13">
        <v>3</v>
      </c>
      <c r="C489" s="16" t="s">
        <v>65</v>
      </c>
      <c r="D489" s="17">
        <v>351</v>
      </c>
      <c r="E489" s="17">
        <v>97</v>
      </c>
      <c r="H489" s="17">
        <v>15</v>
      </c>
      <c r="I489" s="17">
        <v>0</v>
      </c>
      <c r="J489" s="17">
        <v>50</v>
      </c>
      <c r="K489" s="10">
        <f>15*400+50</f>
        <v>6050</v>
      </c>
      <c r="Q489" s="19">
        <f t="shared" si="103"/>
        <v>6050</v>
      </c>
      <c r="R489" s="14">
        <v>160</v>
      </c>
      <c r="S489" s="19">
        <f t="shared" si="99"/>
        <v>968000</v>
      </c>
      <c r="AC489" s="21"/>
      <c r="AD489" s="21"/>
      <c r="AE489" s="17" t="s">
        <v>94</v>
      </c>
      <c r="AG489" s="22">
        <f t="shared" si="100"/>
        <v>0</v>
      </c>
      <c r="AJ489" s="20">
        <f t="shared" si="97"/>
        <v>0</v>
      </c>
      <c r="AM489" s="20">
        <f t="shared" si="98"/>
        <v>0</v>
      </c>
      <c r="AN489" s="20">
        <f t="shared" si="101"/>
        <v>968000</v>
      </c>
      <c r="AP489" s="20">
        <f t="shared" si="102"/>
        <v>968000</v>
      </c>
      <c r="AQ489" s="12">
        <v>1E-4</v>
      </c>
      <c r="AR489" s="25"/>
      <c r="AS489" s="130"/>
      <c r="AT489" s="14">
        <f>44.96+96.8</f>
        <v>141.76</v>
      </c>
    </row>
    <row r="490" spans="1:47" s="21" customFormat="1" ht="30" customHeight="1" x14ac:dyDescent="0.2">
      <c r="A490" s="8">
        <v>414</v>
      </c>
      <c r="B490" s="46">
        <v>1</v>
      </c>
      <c r="C490" s="16" t="s">
        <v>52</v>
      </c>
      <c r="D490" s="48">
        <v>31908</v>
      </c>
      <c r="E490" s="47">
        <v>99</v>
      </c>
      <c r="F490" s="48">
        <v>6135</v>
      </c>
      <c r="G490" s="49">
        <v>2</v>
      </c>
      <c r="H490" s="48">
        <v>2</v>
      </c>
      <c r="I490" s="48">
        <v>1</v>
      </c>
      <c r="J490" s="48">
        <v>60</v>
      </c>
      <c r="K490" s="3">
        <v>960</v>
      </c>
      <c r="L490" s="16"/>
      <c r="M490" s="57"/>
      <c r="N490" s="58"/>
      <c r="P490" s="16">
        <v>1</v>
      </c>
      <c r="Q490" s="20">
        <f t="shared" si="103"/>
        <v>960</v>
      </c>
      <c r="R490" s="14">
        <v>160</v>
      </c>
      <c r="S490" s="19">
        <f t="shared" si="99"/>
        <v>153600</v>
      </c>
      <c r="T490" s="16"/>
      <c r="U490" s="17"/>
      <c r="V490" s="17"/>
      <c r="W490" s="4"/>
      <c r="X490" s="16"/>
      <c r="Y490" s="5"/>
      <c r="Z490" s="16"/>
      <c r="AA490" s="16"/>
      <c r="AB490" s="16"/>
      <c r="AE490" s="16"/>
      <c r="AG490" s="22">
        <f t="shared" si="100"/>
        <v>0</v>
      </c>
      <c r="AH490" s="6"/>
      <c r="AJ490" s="20">
        <f t="shared" si="97"/>
        <v>0</v>
      </c>
      <c r="AK490" s="50"/>
      <c r="AL490" s="6"/>
      <c r="AM490" s="20">
        <f t="shared" si="98"/>
        <v>0</v>
      </c>
      <c r="AN490" s="20">
        <f t="shared" si="101"/>
        <v>153600</v>
      </c>
      <c r="AP490" s="20">
        <f t="shared" si="102"/>
        <v>153600</v>
      </c>
      <c r="AQ490" s="7"/>
      <c r="AR490" s="20">
        <v>1170</v>
      </c>
      <c r="AS490" s="51">
        <v>1170</v>
      </c>
    </row>
    <row r="491" spans="1:47" s="21" customFormat="1" ht="30" customHeight="1" x14ac:dyDescent="0.2">
      <c r="A491" s="8">
        <v>415</v>
      </c>
      <c r="B491" s="46">
        <v>1</v>
      </c>
      <c r="C491" s="16" t="s">
        <v>52</v>
      </c>
      <c r="D491" s="48">
        <v>31438</v>
      </c>
      <c r="E491" s="47">
        <v>46</v>
      </c>
      <c r="F491" s="48">
        <v>6217</v>
      </c>
      <c r="G491" s="49">
        <v>5</v>
      </c>
      <c r="H491" s="48">
        <v>0</v>
      </c>
      <c r="I491" s="48">
        <v>1</v>
      </c>
      <c r="J491" s="48">
        <v>66</v>
      </c>
      <c r="K491" s="3">
        <v>166</v>
      </c>
      <c r="L491" s="16"/>
      <c r="M491" s="57"/>
      <c r="N491" s="58"/>
      <c r="P491" s="16">
        <v>1</v>
      </c>
      <c r="Q491" s="20">
        <f t="shared" si="103"/>
        <v>166</v>
      </c>
      <c r="R491" s="14">
        <v>250</v>
      </c>
      <c r="S491" s="20">
        <f t="shared" si="99"/>
        <v>41500</v>
      </c>
      <c r="T491" s="16"/>
      <c r="U491" s="16"/>
      <c r="V491" s="16"/>
      <c r="W491" s="5"/>
      <c r="X491" s="16"/>
      <c r="Y491" s="5"/>
      <c r="Z491" s="16"/>
      <c r="AA491" s="16"/>
      <c r="AB491" s="16"/>
      <c r="AE491" s="16"/>
      <c r="AG491" s="22">
        <f t="shared" si="100"/>
        <v>0</v>
      </c>
      <c r="AH491" s="6"/>
      <c r="AJ491" s="20">
        <f t="shared" si="97"/>
        <v>0</v>
      </c>
      <c r="AK491" s="50"/>
      <c r="AL491" s="6"/>
      <c r="AM491" s="20">
        <f t="shared" si="98"/>
        <v>0</v>
      </c>
      <c r="AN491" s="20">
        <f t="shared" si="101"/>
        <v>41500</v>
      </c>
      <c r="AP491" s="20">
        <f t="shared" si="102"/>
        <v>41500</v>
      </c>
      <c r="AQ491" s="7"/>
      <c r="AR491" s="20"/>
      <c r="AS491" s="51"/>
    </row>
    <row r="492" spans="1:47" s="21" customFormat="1" ht="30" customHeight="1" x14ac:dyDescent="0.2">
      <c r="A492" s="8">
        <v>416</v>
      </c>
      <c r="B492" s="46">
        <v>1</v>
      </c>
      <c r="C492" s="16" t="s">
        <v>52</v>
      </c>
      <c r="D492" s="48">
        <v>4757</v>
      </c>
      <c r="E492" s="47">
        <v>57</v>
      </c>
      <c r="F492" s="48">
        <v>2626</v>
      </c>
      <c r="G492" s="49">
        <v>7</v>
      </c>
      <c r="H492" s="48">
        <v>7</v>
      </c>
      <c r="I492" s="48">
        <v>2</v>
      </c>
      <c r="J492" s="48">
        <v>19</v>
      </c>
      <c r="K492" s="3">
        <v>3019</v>
      </c>
      <c r="L492" s="16"/>
      <c r="M492" s="57"/>
      <c r="N492" s="58"/>
      <c r="P492" s="16">
        <v>1</v>
      </c>
      <c r="Q492" s="20">
        <f t="shared" si="103"/>
        <v>3019</v>
      </c>
      <c r="R492" s="14">
        <v>160</v>
      </c>
      <c r="S492" s="19">
        <f t="shared" si="99"/>
        <v>483040</v>
      </c>
      <c r="T492" s="16"/>
      <c r="U492" s="17"/>
      <c r="V492" s="16"/>
      <c r="W492" s="5"/>
      <c r="X492" s="16"/>
      <c r="Y492" s="5"/>
      <c r="Z492" s="16"/>
      <c r="AA492" s="16"/>
      <c r="AB492" s="16"/>
      <c r="AE492" s="16"/>
      <c r="AG492" s="22">
        <f t="shared" si="100"/>
        <v>0</v>
      </c>
      <c r="AH492" s="6"/>
      <c r="AJ492" s="20">
        <f t="shared" si="97"/>
        <v>0</v>
      </c>
      <c r="AK492" s="50"/>
      <c r="AL492" s="6"/>
      <c r="AM492" s="20">
        <f t="shared" si="98"/>
        <v>0</v>
      </c>
      <c r="AN492" s="20">
        <f t="shared" si="101"/>
        <v>483040</v>
      </c>
      <c r="AP492" s="20">
        <f t="shared" si="102"/>
        <v>483040</v>
      </c>
      <c r="AQ492" s="7"/>
      <c r="AR492" s="20"/>
      <c r="AS492" s="51">
        <v>23</v>
      </c>
    </row>
    <row r="493" spans="1:47" s="21" customFormat="1" ht="30" customHeight="1" x14ac:dyDescent="0.2">
      <c r="A493" s="8">
        <v>417</v>
      </c>
      <c r="B493" s="46">
        <v>1</v>
      </c>
      <c r="C493" s="16" t="s">
        <v>52</v>
      </c>
      <c r="D493" s="48">
        <v>34299</v>
      </c>
      <c r="E493" s="47">
        <v>260</v>
      </c>
      <c r="F493" s="48">
        <v>6848</v>
      </c>
      <c r="G493" s="49">
        <v>2</v>
      </c>
      <c r="H493" s="48">
        <v>0</v>
      </c>
      <c r="I493" s="48">
        <v>0</v>
      </c>
      <c r="J493" s="48">
        <v>61</v>
      </c>
      <c r="K493" s="3"/>
      <c r="L493" s="16">
        <v>61</v>
      </c>
      <c r="M493" s="57"/>
      <c r="N493" s="58"/>
      <c r="P493" s="16">
        <v>2</v>
      </c>
      <c r="Q493" s="20">
        <f>+L493</f>
        <v>61</v>
      </c>
      <c r="R493" s="14">
        <v>4500</v>
      </c>
      <c r="S493" s="19">
        <f t="shared" si="99"/>
        <v>274500</v>
      </c>
      <c r="T493" s="16">
        <v>1</v>
      </c>
      <c r="U493" s="17" t="s">
        <v>63</v>
      </c>
      <c r="V493" s="17" t="s">
        <v>56</v>
      </c>
      <c r="W493" s="4">
        <v>320</v>
      </c>
      <c r="X493" s="16"/>
      <c r="Y493" s="5"/>
      <c r="Z493" s="16"/>
      <c r="AA493" s="16"/>
      <c r="AB493" s="16">
        <v>6</v>
      </c>
      <c r="AE493" s="16"/>
      <c r="AF493" s="21">
        <v>2</v>
      </c>
      <c r="AG493" s="22">
        <v>320</v>
      </c>
      <c r="AH493" s="6">
        <v>0.5</v>
      </c>
      <c r="AI493" s="21">
        <v>8100</v>
      </c>
      <c r="AJ493" s="20">
        <f t="shared" si="97"/>
        <v>1296000</v>
      </c>
      <c r="AK493" s="50">
        <v>6</v>
      </c>
      <c r="AL493" s="6">
        <v>0.06</v>
      </c>
      <c r="AM493" s="20">
        <f t="shared" si="98"/>
        <v>1218240</v>
      </c>
      <c r="AN493" s="20">
        <f>+(S493*0.5)+AM493</f>
        <v>1355490</v>
      </c>
      <c r="AP493" s="20">
        <f t="shared" si="102"/>
        <v>1355490</v>
      </c>
      <c r="AQ493" s="7">
        <v>2.0000000000000001E-4</v>
      </c>
      <c r="AR493" s="20"/>
      <c r="AS493" s="51"/>
    </row>
    <row r="494" spans="1:47" s="21" customFormat="1" ht="30" customHeight="1" x14ac:dyDescent="0.2">
      <c r="A494" s="8"/>
      <c r="B494" s="46"/>
      <c r="C494" s="16"/>
      <c r="D494" s="48"/>
      <c r="E494" s="47"/>
      <c r="F494" s="48"/>
      <c r="G494" s="49"/>
      <c r="H494" s="48"/>
      <c r="I494" s="48"/>
      <c r="J494" s="48"/>
      <c r="K494" s="3"/>
      <c r="L494" s="16"/>
      <c r="M494" s="57"/>
      <c r="N494" s="58"/>
      <c r="P494" s="16"/>
      <c r="Q494" s="20"/>
      <c r="R494" s="14"/>
      <c r="S494" s="19"/>
      <c r="T494" s="16"/>
      <c r="U494" s="17"/>
      <c r="V494" s="17"/>
      <c r="W494" s="4"/>
      <c r="X494" s="16"/>
      <c r="Y494" s="5"/>
      <c r="Z494" s="16"/>
      <c r="AA494" s="16"/>
      <c r="AB494" s="16"/>
      <c r="AE494" s="16"/>
      <c r="AF494" s="21">
        <v>3</v>
      </c>
      <c r="AG494" s="22">
        <v>320</v>
      </c>
      <c r="AH494" s="6">
        <v>0.5</v>
      </c>
      <c r="AI494" s="21">
        <v>8100</v>
      </c>
      <c r="AJ494" s="20">
        <f t="shared" si="97"/>
        <v>1296000</v>
      </c>
      <c r="AK494" s="50">
        <v>6</v>
      </c>
      <c r="AL494" s="6">
        <v>0.06</v>
      </c>
      <c r="AM494" s="20">
        <f t="shared" si="98"/>
        <v>1218240</v>
      </c>
      <c r="AN494" s="20">
        <f>+(S493*0.5)+AM494</f>
        <v>1355490</v>
      </c>
      <c r="AP494" s="20">
        <f t="shared" si="102"/>
        <v>1355490</v>
      </c>
      <c r="AQ494" s="7">
        <v>3.0000000000000001E-3</v>
      </c>
      <c r="AR494" s="20"/>
      <c r="AS494" s="51"/>
    </row>
    <row r="495" spans="1:47" s="21" customFormat="1" ht="30" customHeight="1" x14ac:dyDescent="0.2">
      <c r="A495" s="8">
        <v>418</v>
      </c>
      <c r="B495" s="46">
        <v>2</v>
      </c>
      <c r="C495" s="16" t="s">
        <v>52</v>
      </c>
      <c r="D495" s="48">
        <v>34300</v>
      </c>
      <c r="E495" s="47">
        <v>261</v>
      </c>
      <c r="F495" s="48">
        <v>6849</v>
      </c>
      <c r="G495" s="49">
        <v>2</v>
      </c>
      <c r="H495" s="48">
        <v>0</v>
      </c>
      <c r="I495" s="48">
        <v>0</v>
      </c>
      <c r="J495" s="48">
        <v>31</v>
      </c>
      <c r="K495" s="3"/>
      <c r="L495" s="16">
        <v>31</v>
      </c>
      <c r="M495" s="57"/>
      <c r="N495" s="58"/>
      <c r="P495" s="16">
        <v>2</v>
      </c>
      <c r="Q495" s="20">
        <f>+L495</f>
        <v>31</v>
      </c>
      <c r="R495" s="14">
        <v>4500</v>
      </c>
      <c r="S495" s="20">
        <f>+Q495*R495</f>
        <v>139500</v>
      </c>
      <c r="T495" s="16">
        <v>1</v>
      </c>
      <c r="U495" s="17" t="s">
        <v>63</v>
      </c>
      <c r="V495" s="17" t="s">
        <v>56</v>
      </c>
      <c r="W495" s="4">
        <v>160</v>
      </c>
      <c r="X495" s="16"/>
      <c r="Y495" s="5">
        <v>160</v>
      </c>
      <c r="Z495" s="16"/>
      <c r="AA495" s="16"/>
      <c r="AB495" s="16">
        <v>6</v>
      </c>
      <c r="AE495" s="16"/>
      <c r="AF495" s="21">
        <v>2</v>
      </c>
      <c r="AG495" s="22">
        <f>Y495</f>
        <v>160</v>
      </c>
      <c r="AH495" s="6">
        <v>0.5</v>
      </c>
      <c r="AI495" s="21">
        <v>8100</v>
      </c>
      <c r="AJ495" s="20">
        <f t="shared" si="97"/>
        <v>648000</v>
      </c>
      <c r="AK495" s="50">
        <v>6</v>
      </c>
      <c r="AL495" s="6">
        <v>0.06</v>
      </c>
      <c r="AM495" s="20">
        <f t="shared" si="98"/>
        <v>609120</v>
      </c>
      <c r="AN495" s="20">
        <f>+(S495*0.5)+AM495</f>
        <v>678870</v>
      </c>
      <c r="AP495" s="20">
        <f t="shared" si="102"/>
        <v>678870</v>
      </c>
      <c r="AQ495" s="7">
        <v>2.0000000000000001E-4</v>
      </c>
      <c r="AR495" s="20"/>
      <c r="AS495" s="51"/>
    </row>
    <row r="496" spans="1:47" s="21" customFormat="1" ht="30" customHeight="1" x14ac:dyDescent="0.2">
      <c r="A496" s="8"/>
      <c r="B496" s="46"/>
      <c r="C496" s="16"/>
      <c r="D496" s="48"/>
      <c r="E496" s="47"/>
      <c r="F496" s="48"/>
      <c r="G496" s="49"/>
      <c r="H496" s="48"/>
      <c r="I496" s="48"/>
      <c r="J496" s="48"/>
      <c r="K496" s="3"/>
      <c r="L496" s="16"/>
      <c r="M496" s="57"/>
      <c r="N496" s="58"/>
      <c r="P496" s="16"/>
      <c r="Q496" s="20"/>
      <c r="R496" s="14"/>
      <c r="S496" s="20"/>
      <c r="T496" s="16"/>
      <c r="U496" s="17"/>
      <c r="V496" s="17"/>
      <c r="W496" s="4"/>
      <c r="X496" s="16"/>
      <c r="Y496" s="5"/>
      <c r="Z496" s="16"/>
      <c r="AA496" s="16"/>
      <c r="AB496" s="16"/>
      <c r="AE496" s="16"/>
      <c r="AF496" s="21">
        <v>3</v>
      </c>
      <c r="AG496" s="22">
        <v>160</v>
      </c>
      <c r="AH496" s="6">
        <v>0.5</v>
      </c>
      <c r="AI496" s="21">
        <v>8100</v>
      </c>
      <c r="AJ496" s="20">
        <f t="shared" si="97"/>
        <v>648000</v>
      </c>
      <c r="AK496" s="50">
        <v>6</v>
      </c>
      <c r="AL496" s="6">
        <v>0.06</v>
      </c>
      <c r="AM496" s="20">
        <f t="shared" si="98"/>
        <v>609120</v>
      </c>
      <c r="AN496" s="20">
        <f>+(S495*0.5)+AM496</f>
        <v>678870</v>
      </c>
      <c r="AP496" s="20">
        <f t="shared" si="102"/>
        <v>678870</v>
      </c>
      <c r="AQ496" s="7">
        <v>3.0000000000000001E-3</v>
      </c>
      <c r="AR496" s="20"/>
      <c r="AS496" s="101" t="e">
        <f>+#REF!+#REF!+#REF!+#REF!</f>
        <v>#REF!</v>
      </c>
      <c r="AT496" s="21">
        <v>5858.96</v>
      </c>
      <c r="AU496" s="22" t="e">
        <f>+AS496-AT496</f>
        <v>#REF!</v>
      </c>
    </row>
    <row r="497" spans="1:45" s="21" customFormat="1" ht="30" customHeight="1" x14ac:dyDescent="0.2">
      <c r="A497" s="8">
        <v>419</v>
      </c>
      <c r="B497" s="46">
        <v>1</v>
      </c>
      <c r="C497" s="16" t="s">
        <v>52</v>
      </c>
      <c r="D497" s="48">
        <v>2449</v>
      </c>
      <c r="E497" s="47">
        <v>10</v>
      </c>
      <c r="F497" s="48">
        <v>847</v>
      </c>
      <c r="G497" s="49">
        <v>4</v>
      </c>
      <c r="H497" s="48">
        <v>1</v>
      </c>
      <c r="I497" s="48">
        <v>3</v>
      </c>
      <c r="J497" s="48">
        <v>83</v>
      </c>
      <c r="K497" s="3">
        <v>783</v>
      </c>
      <c r="L497" s="16"/>
      <c r="M497" s="57"/>
      <c r="N497" s="58"/>
      <c r="P497" s="16">
        <v>1</v>
      </c>
      <c r="Q497" s="20">
        <f>+K497</f>
        <v>783</v>
      </c>
      <c r="R497" s="14">
        <v>200</v>
      </c>
      <c r="S497" s="19">
        <f t="shared" ref="S497:S560" si="104">+Q497*R497</f>
        <v>156600</v>
      </c>
      <c r="T497" s="16"/>
      <c r="U497" s="17"/>
      <c r="V497" s="17"/>
      <c r="W497" s="4"/>
      <c r="X497" s="16"/>
      <c r="Y497" s="5"/>
      <c r="Z497" s="16"/>
      <c r="AA497" s="16"/>
      <c r="AB497" s="16"/>
      <c r="AE497" s="16"/>
      <c r="AG497" s="22">
        <f t="shared" ref="AG497:AG560" si="105">Y497</f>
        <v>0</v>
      </c>
      <c r="AH497" s="6"/>
      <c r="AJ497" s="20">
        <f t="shared" si="97"/>
        <v>0</v>
      </c>
      <c r="AK497" s="50"/>
      <c r="AL497" s="6"/>
      <c r="AM497" s="20">
        <f t="shared" si="98"/>
        <v>0</v>
      </c>
      <c r="AN497" s="20">
        <f t="shared" ref="AN497:AN505" si="106">+S497+AM497</f>
        <v>156600</v>
      </c>
      <c r="AP497" s="20">
        <f t="shared" si="102"/>
        <v>156600</v>
      </c>
      <c r="AQ497" s="7"/>
      <c r="AR497" s="20"/>
      <c r="AS497" s="51"/>
    </row>
    <row r="498" spans="1:45" s="21" customFormat="1" ht="30" customHeight="1" x14ac:dyDescent="0.2">
      <c r="A498" s="8">
        <v>420</v>
      </c>
      <c r="B498" s="46">
        <v>1</v>
      </c>
      <c r="C498" s="16" t="s">
        <v>52</v>
      </c>
      <c r="D498" s="48">
        <v>21267</v>
      </c>
      <c r="E498" s="47">
        <v>177</v>
      </c>
      <c r="F498" s="48">
        <v>4604</v>
      </c>
      <c r="G498" s="49">
        <v>1</v>
      </c>
      <c r="H498" s="48">
        <v>0</v>
      </c>
      <c r="I498" s="48">
        <v>1</v>
      </c>
      <c r="J498" s="48">
        <v>47</v>
      </c>
      <c r="K498" s="3">
        <v>147</v>
      </c>
      <c r="L498" s="16"/>
      <c r="M498" s="57"/>
      <c r="N498" s="58"/>
      <c r="P498" s="16">
        <v>1</v>
      </c>
      <c r="Q498" s="20">
        <f>+K498</f>
        <v>147</v>
      </c>
      <c r="R498" s="14">
        <v>2250</v>
      </c>
      <c r="S498" s="19">
        <f t="shared" si="104"/>
        <v>330750</v>
      </c>
      <c r="T498" s="16"/>
      <c r="U498" s="17"/>
      <c r="V498" s="17"/>
      <c r="W498" s="4"/>
      <c r="X498" s="16"/>
      <c r="Y498" s="5"/>
      <c r="Z498" s="16"/>
      <c r="AA498" s="16"/>
      <c r="AB498" s="16"/>
      <c r="AE498" s="16"/>
      <c r="AG498" s="22">
        <f t="shared" si="105"/>
        <v>0</v>
      </c>
      <c r="AH498" s="6"/>
      <c r="AJ498" s="20">
        <f t="shared" si="97"/>
        <v>0</v>
      </c>
      <c r="AK498" s="50"/>
      <c r="AL498" s="6"/>
      <c r="AM498" s="20">
        <f t="shared" si="98"/>
        <v>0</v>
      </c>
      <c r="AN498" s="20">
        <f t="shared" si="106"/>
        <v>330750</v>
      </c>
      <c r="AP498" s="20">
        <f t="shared" si="102"/>
        <v>330750</v>
      </c>
      <c r="AQ498" s="7"/>
      <c r="AR498" s="20"/>
      <c r="AS498" s="51"/>
    </row>
    <row r="499" spans="1:45" ht="30" customHeight="1" x14ac:dyDescent="0.2">
      <c r="A499" s="8">
        <v>421</v>
      </c>
      <c r="B499" s="13">
        <v>2</v>
      </c>
      <c r="C499" s="16" t="s">
        <v>65</v>
      </c>
      <c r="D499" s="17">
        <v>1598</v>
      </c>
      <c r="E499" s="17">
        <v>73</v>
      </c>
      <c r="H499" s="17">
        <v>1</v>
      </c>
      <c r="I499" s="17">
        <v>2</v>
      </c>
      <c r="J499" s="17">
        <v>96</v>
      </c>
      <c r="K499" s="10">
        <v>696</v>
      </c>
      <c r="P499" s="17">
        <v>1</v>
      </c>
      <c r="Q499" s="19">
        <f>+K499</f>
        <v>696</v>
      </c>
      <c r="R499" s="14">
        <v>160</v>
      </c>
      <c r="S499" s="20">
        <f t="shared" si="104"/>
        <v>111360</v>
      </c>
      <c r="AC499" s="21"/>
      <c r="AD499" s="21"/>
      <c r="AG499" s="22">
        <f t="shared" si="105"/>
        <v>0</v>
      </c>
      <c r="AJ499" s="20">
        <f t="shared" si="97"/>
        <v>0</v>
      </c>
      <c r="AM499" s="20">
        <f t="shared" si="98"/>
        <v>0</v>
      </c>
      <c r="AN499" s="20">
        <f t="shared" si="106"/>
        <v>111360</v>
      </c>
      <c r="AP499" s="20">
        <f t="shared" si="102"/>
        <v>111360</v>
      </c>
      <c r="AQ499" s="12">
        <v>1E-4</v>
      </c>
      <c r="AR499" s="20"/>
    </row>
    <row r="500" spans="1:45" s="21" customFormat="1" ht="30" customHeight="1" x14ac:dyDescent="0.2">
      <c r="A500" s="8">
        <v>422</v>
      </c>
      <c r="B500" s="46">
        <v>1</v>
      </c>
      <c r="C500" s="16" t="s">
        <v>52</v>
      </c>
      <c r="D500" s="48">
        <v>18693</v>
      </c>
      <c r="E500" s="47">
        <v>209</v>
      </c>
      <c r="F500" s="48">
        <v>4204</v>
      </c>
      <c r="G500" s="49"/>
      <c r="H500" s="48">
        <v>0</v>
      </c>
      <c r="I500" s="48">
        <v>0</v>
      </c>
      <c r="J500" s="48">
        <v>49</v>
      </c>
      <c r="K500" s="3"/>
      <c r="L500" s="16">
        <v>49</v>
      </c>
      <c r="M500" s="57"/>
      <c r="N500" s="58"/>
      <c r="P500" s="16">
        <v>2</v>
      </c>
      <c r="Q500" s="20">
        <f>+L500</f>
        <v>49</v>
      </c>
      <c r="R500" s="14">
        <v>250</v>
      </c>
      <c r="S500" s="19">
        <f t="shared" si="104"/>
        <v>12250</v>
      </c>
      <c r="T500" s="16"/>
      <c r="U500" s="17"/>
      <c r="V500" s="17"/>
      <c r="W500" s="4"/>
      <c r="X500" s="16"/>
      <c r="Y500" s="5"/>
      <c r="Z500" s="16"/>
      <c r="AA500" s="16"/>
      <c r="AB500" s="16"/>
      <c r="AE500" s="16"/>
      <c r="AG500" s="22">
        <f t="shared" si="105"/>
        <v>0</v>
      </c>
      <c r="AH500" s="6"/>
      <c r="AJ500" s="20">
        <f t="shared" si="97"/>
        <v>0</v>
      </c>
      <c r="AK500" s="50"/>
      <c r="AL500" s="6"/>
      <c r="AM500" s="20">
        <f t="shared" si="98"/>
        <v>0</v>
      </c>
      <c r="AN500" s="20">
        <f t="shared" si="106"/>
        <v>12250</v>
      </c>
      <c r="AP500" s="20">
        <f t="shared" si="102"/>
        <v>12250</v>
      </c>
      <c r="AQ500" s="7"/>
      <c r="AR500" s="20"/>
      <c r="AS500" s="51"/>
    </row>
    <row r="501" spans="1:45" s="21" customFormat="1" ht="30" customHeight="1" x14ac:dyDescent="0.2">
      <c r="A501" s="8">
        <v>423</v>
      </c>
      <c r="B501" s="46">
        <v>1</v>
      </c>
      <c r="C501" s="16" t="s">
        <v>52</v>
      </c>
      <c r="D501" s="48">
        <v>36943</v>
      </c>
      <c r="E501" s="47">
        <v>172</v>
      </c>
      <c r="F501" s="48">
        <v>7114</v>
      </c>
      <c r="G501" s="49">
        <v>3</v>
      </c>
      <c r="H501" s="48">
        <v>0</v>
      </c>
      <c r="I501" s="48">
        <v>1</v>
      </c>
      <c r="J501" s="48">
        <v>8</v>
      </c>
      <c r="K501" s="3"/>
      <c r="L501" s="16">
        <v>108</v>
      </c>
      <c r="M501" s="57"/>
      <c r="N501" s="58"/>
      <c r="P501" s="16">
        <v>2</v>
      </c>
      <c r="Q501" s="20">
        <f>+L501</f>
        <v>108</v>
      </c>
      <c r="R501" s="14">
        <v>1500</v>
      </c>
      <c r="S501" s="19">
        <f t="shared" si="104"/>
        <v>162000</v>
      </c>
      <c r="T501" s="16"/>
      <c r="U501" s="16"/>
      <c r="V501" s="16"/>
      <c r="W501" s="5"/>
      <c r="X501" s="16"/>
      <c r="Y501" s="5"/>
      <c r="Z501" s="16"/>
      <c r="AA501" s="16"/>
      <c r="AB501" s="16"/>
      <c r="AC501" s="14"/>
      <c r="AD501" s="14"/>
      <c r="AE501" s="16"/>
      <c r="AG501" s="22">
        <f t="shared" si="105"/>
        <v>0</v>
      </c>
      <c r="AH501" s="6"/>
      <c r="AJ501" s="20">
        <f t="shared" si="97"/>
        <v>0</v>
      </c>
      <c r="AK501" s="50"/>
      <c r="AL501" s="6"/>
      <c r="AM501" s="20">
        <f t="shared" si="98"/>
        <v>0</v>
      </c>
      <c r="AN501" s="20">
        <f t="shared" si="106"/>
        <v>162000</v>
      </c>
      <c r="AP501" s="20">
        <f t="shared" si="102"/>
        <v>162000</v>
      </c>
      <c r="AQ501" s="7"/>
      <c r="AR501" s="20"/>
      <c r="AS501" s="51"/>
    </row>
    <row r="502" spans="1:45" s="21" customFormat="1" ht="30" customHeight="1" x14ac:dyDescent="0.2">
      <c r="A502" s="8">
        <v>424</v>
      </c>
      <c r="B502" s="46">
        <v>2</v>
      </c>
      <c r="C502" s="16" t="s">
        <v>52</v>
      </c>
      <c r="D502" s="48">
        <v>36949</v>
      </c>
      <c r="E502" s="47">
        <v>68</v>
      </c>
      <c r="F502" s="48">
        <v>7120</v>
      </c>
      <c r="G502" s="49">
        <v>3</v>
      </c>
      <c r="H502" s="48">
        <v>4</v>
      </c>
      <c r="I502" s="48">
        <v>0</v>
      </c>
      <c r="J502" s="48">
        <v>56</v>
      </c>
      <c r="K502" s="3">
        <v>1656</v>
      </c>
      <c r="L502" s="16"/>
      <c r="M502" s="57"/>
      <c r="N502" s="58"/>
      <c r="P502" s="16">
        <v>1</v>
      </c>
      <c r="Q502" s="20">
        <f t="shared" ref="Q502:Q512" si="107">+K502</f>
        <v>1656</v>
      </c>
      <c r="R502" s="14">
        <v>160</v>
      </c>
      <c r="S502" s="20">
        <f t="shared" si="104"/>
        <v>264960</v>
      </c>
      <c r="T502" s="16"/>
      <c r="U502" s="17"/>
      <c r="V502" s="16"/>
      <c r="W502" s="5"/>
      <c r="X502" s="16"/>
      <c r="Y502" s="5"/>
      <c r="Z502" s="16"/>
      <c r="AA502" s="16"/>
      <c r="AB502" s="16"/>
      <c r="AE502" s="16"/>
      <c r="AG502" s="22">
        <f t="shared" si="105"/>
        <v>0</v>
      </c>
      <c r="AH502" s="6"/>
      <c r="AJ502" s="20">
        <f t="shared" si="97"/>
        <v>0</v>
      </c>
      <c r="AK502" s="50"/>
      <c r="AL502" s="6"/>
      <c r="AM502" s="20">
        <f t="shared" si="98"/>
        <v>0</v>
      </c>
      <c r="AN502" s="20">
        <f t="shared" si="106"/>
        <v>264960</v>
      </c>
      <c r="AP502" s="20">
        <f t="shared" si="102"/>
        <v>264960</v>
      </c>
      <c r="AQ502" s="7"/>
      <c r="AR502" s="20"/>
      <c r="AS502" s="51"/>
    </row>
    <row r="503" spans="1:45" ht="30" customHeight="1" x14ac:dyDescent="0.2">
      <c r="A503" s="8">
        <v>425</v>
      </c>
      <c r="B503" s="13">
        <v>1</v>
      </c>
      <c r="C503" s="16" t="s">
        <v>65</v>
      </c>
      <c r="D503" s="17">
        <v>2322</v>
      </c>
      <c r="E503" s="17">
        <v>299</v>
      </c>
      <c r="H503" s="17">
        <v>4</v>
      </c>
      <c r="I503" s="17">
        <v>3</v>
      </c>
      <c r="J503" s="17">
        <v>6</v>
      </c>
      <c r="K503" s="10">
        <v>1906</v>
      </c>
      <c r="P503" s="17">
        <v>1</v>
      </c>
      <c r="Q503" s="19">
        <f t="shared" si="107"/>
        <v>1906</v>
      </c>
      <c r="R503" s="14">
        <v>160</v>
      </c>
      <c r="S503" s="19">
        <f t="shared" si="104"/>
        <v>304960</v>
      </c>
      <c r="AG503" s="22">
        <f t="shared" si="105"/>
        <v>0</v>
      </c>
      <c r="AJ503" s="20">
        <f t="shared" si="97"/>
        <v>0</v>
      </c>
      <c r="AM503" s="20">
        <f t="shared" si="98"/>
        <v>0</v>
      </c>
      <c r="AN503" s="20">
        <f t="shared" si="106"/>
        <v>304960</v>
      </c>
      <c r="AP503" s="20">
        <f t="shared" si="102"/>
        <v>304960</v>
      </c>
      <c r="AQ503" s="12">
        <v>1E-4</v>
      </c>
      <c r="AR503" s="20"/>
    </row>
    <row r="504" spans="1:45" s="21" customFormat="1" ht="30" customHeight="1" x14ac:dyDescent="0.2">
      <c r="A504" s="8">
        <v>426</v>
      </c>
      <c r="B504" s="46">
        <v>1</v>
      </c>
      <c r="C504" s="16" t="s">
        <v>52</v>
      </c>
      <c r="D504" s="48">
        <v>16036</v>
      </c>
      <c r="E504" s="47">
        <v>22</v>
      </c>
      <c r="F504" s="48">
        <v>3514</v>
      </c>
      <c r="G504" s="49">
        <v>4</v>
      </c>
      <c r="H504" s="48">
        <v>28</v>
      </c>
      <c r="I504" s="48">
        <v>3</v>
      </c>
      <c r="J504" s="48">
        <v>99</v>
      </c>
      <c r="K504" s="3">
        <f>(28*400)+300+99</f>
        <v>11599</v>
      </c>
      <c r="L504" s="16"/>
      <c r="M504" s="57"/>
      <c r="N504" s="58"/>
      <c r="P504" s="16">
        <v>1</v>
      </c>
      <c r="Q504" s="20">
        <f t="shared" si="107"/>
        <v>11599</v>
      </c>
      <c r="R504" s="14">
        <v>500</v>
      </c>
      <c r="S504" s="19">
        <f t="shared" si="104"/>
        <v>5799500</v>
      </c>
      <c r="T504" s="16"/>
      <c r="U504" s="17"/>
      <c r="V504" s="17"/>
      <c r="W504" s="4"/>
      <c r="X504" s="16"/>
      <c r="Y504" s="5"/>
      <c r="Z504" s="16"/>
      <c r="AA504" s="16"/>
      <c r="AB504" s="16"/>
      <c r="AC504" s="14"/>
      <c r="AD504" s="14"/>
      <c r="AE504" s="16"/>
      <c r="AG504" s="22">
        <f t="shared" si="105"/>
        <v>0</v>
      </c>
      <c r="AH504" s="6"/>
      <c r="AJ504" s="20">
        <f t="shared" si="97"/>
        <v>0</v>
      </c>
      <c r="AK504" s="50"/>
      <c r="AL504" s="6"/>
      <c r="AM504" s="20">
        <f t="shared" si="98"/>
        <v>0</v>
      </c>
      <c r="AN504" s="20">
        <f t="shared" si="106"/>
        <v>5799500</v>
      </c>
      <c r="AP504" s="20">
        <f t="shared" si="102"/>
        <v>5799500</v>
      </c>
      <c r="AQ504" s="7"/>
      <c r="AR504" s="20"/>
      <c r="AS504" s="51"/>
    </row>
    <row r="505" spans="1:45" s="21" customFormat="1" ht="30" customHeight="1" x14ac:dyDescent="0.2">
      <c r="A505" s="8">
        <v>427</v>
      </c>
      <c r="B505" s="46">
        <v>2</v>
      </c>
      <c r="C505" s="16" t="s">
        <v>52</v>
      </c>
      <c r="D505" s="48">
        <v>16037</v>
      </c>
      <c r="E505" s="47">
        <v>19</v>
      </c>
      <c r="F505" s="48">
        <v>3515</v>
      </c>
      <c r="G505" s="49">
        <v>4</v>
      </c>
      <c r="H505" s="48">
        <v>5</v>
      </c>
      <c r="I505" s="48">
        <v>2</v>
      </c>
      <c r="J505" s="48">
        <v>87</v>
      </c>
      <c r="K505" s="3">
        <f>2000+200+87</f>
        <v>2287</v>
      </c>
      <c r="L505" s="16"/>
      <c r="M505" s="57"/>
      <c r="N505" s="58"/>
      <c r="P505" s="16">
        <v>1</v>
      </c>
      <c r="Q505" s="20">
        <f t="shared" si="107"/>
        <v>2287</v>
      </c>
      <c r="R505" s="14">
        <v>500</v>
      </c>
      <c r="S505" s="20">
        <f t="shared" si="104"/>
        <v>1143500</v>
      </c>
      <c r="T505" s="16"/>
      <c r="U505" s="17"/>
      <c r="V505" s="17"/>
      <c r="W505" s="4"/>
      <c r="X505" s="16"/>
      <c r="Y505" s="5"/>
      <c r="Z505" s="16"/>
      <c r="AA505" s="16"/>
      <c r="AB505" s="16"/>
      <c r="AC505" s="14"/>
      <c r="AD505" s="14"/>
      <c r="AE505" s="16"/>
      <c r="AG505" s="22">
        <f t="shared" si="105"/>
        <v>0</v>
      </c>
      <c r="AH505" s="6"/>
      <c r="AJ505" s="20">
        <f t="shared" si="97"/>
        <v>0</v>
      </c>
      <c r="AK505" s="50"/>
      <c r="AL505" s="6"/>
      <c r="AM505" s="20">
        <f t="shared" si="98"/>
        <v>0</v>
      </c>
      <c r="AN505" s="20">
        <f t="shared" si="106"/>
        <v>1143500</v>
      </c>
      <c r="AP505" s="20">
        <f t="shared" si="102"/>
        <v>1143500</v>
      </c>
      <c r="AQ505" s="7"/>
      <c r="AR505" s="20"/>
      <c r="AS505" s="51"/>
    </row>
    <row r="506" spans="1:45" s="21" customFormat="1" ht="30" customHeight="1" x14ac:dyDescent="0.2">
      <c r="A506" s="8">
        <v>428</v>
      </c>
      <c r="B506" s="46">
        <v>3</v>
      </c>
      <c r="C506" s="16" t="s">
        <v>52</v>
      </c>
      <c r="D506" s="48">
        <v>16467</v>
      </c>
      <c r="E506" s="47">
        <v>25</v>
      </c>
      <c r="F506" s="48">
        <v>3570</v>
      </c>
      <c r="G506" s="49">
        <v>4</v>
      </c>
      <c r="H506" s="48">
        <v>47</v>
      </c>
      <c r="I506" s="48">
        <v>3</v>
      </c>
      <c r="J506" s="48">
        <v>27</v>
      </c>
      <c r="K506" s="3">
        <f>(400*47)+(100*3)+27</f>
        <v>19127</v>
      </c>
      <c r="L506" s="16"/>
      <c r="M506" s="57"/>
      <c r="N506" s="58"/>
      <c r="P506" s="16">
        <v>1</v>
      </c>
      <c r="Q506" s="20">
        <f t="shared" si="107"/>
        <v>19127</v>
      </c>
      <c r="R506" s="14">
        <v>500</v>
      </c>
      <c r="S506" s="19">
        <f t="shared" si="104"/>
        <v>9563500</v>
      </c>
      <c r="T506" s="16"/>
      <c r="U506" s="17"/>
      <c r="V506" s="17"/>
      <c r="W506" s="4"/>
      <c r="X506" s="16"/>
      <c r="Y506" s="5"/>
      <c r="Z506" s="16"/>
      <c r="AA506" s="16"/>
      <c r="AB506" s="16"/>
      <c r="AE506" s="16" t="s">
        <v>107</v>
      </c>
      <c r="AG506" s="22">
        <f t="shared" si="105"/>
        <v>0</v>
      </c>
      <c r="AH506" s="6"/>
      <c r="AJ506" s="20">
        <f t="shared" si="97"/>
        <v>0</v>
      </c>
      <c r="AK506" s="50"/>
      <c r="AL506" s="6"/>
      <c r="AM506" s="20"/>
      <c r="AN506" s="20"/>
      <c r="AP506" s="20"/>
      <c r="AQ506" s="7"/>
      <c r="AR506" s="20"/>
      <c r="AS506" s="51"/>
    </row>
    <row r="507" spans="1:45" s="21" customFormat="1" ht="30" customHeight="1" x14ac:dyDescent="0.2">
      <c r="A507" s="8">
        <v>429</v>
      </c>
      <c r="B507" s="46">
        <v>1</v>
      </c>
      <c r="C507" s="16" t="s">
        <v>52</v>
      </c>
      <c r="D507" s="48">
        <v>2768</v>
      </c>
      <c r="E507" s="47">
        <v>10</v>
      </c>
      <c r="F507" s="48">
        <v>1960</v>
      </c>
      <c r="G507" s="49"/>
      <c r="H507" s="48">
        <v>35</v>
      </c>
      <c r="I507" s="48">
        <v>2</v>
      </c>
      <c r="J507" s="48">
        <v>96</v>
      </c>
      <c r="K507" s="3">
        <f>(35*400)+200+96</f>
        <v>14296</v>
      </c>
      <c r="L507" s="16"/>
      <c r="M507" s="57"/>
      <c r="N507" s="58"/>
      <c r="P507" s="16">
        <v>1</v>
      </c>
      <c r="Q507" s="20">
        <f t="shared" si="107"/>
        <v>14296</v>
      </c>
      <c r="R507" s="14">
        <v>160</v>
      </c>
      <c r="S507" s="19">
        <f t="shared" si="104"/>
        <v>2287360</v>
      </c>
      <c r="T507" s="16"/>
      <c r="U507" s="17"/>
      <c r="V507" s="17"/>
      <c r="W507" s="4"/>
      <c r="X507" s="16"/>
      <c r="Y507" s="5"/>
      <c r="Z507" s="16"/>
      <c r="AA507" s="16"/>
      <c r="AB507" s="16"/>
      <c r="AC507" s="14"/>
      <c r="AD507" s="14"/>
      <c r="AE507" s="16"/>
      <c r="AG507" s="22">
        <f t="shared" si="105"/>
        <v>0</v>
      </c>
      <c r="AH507" s="6"/>
      <c r="AJ507" s="20">
        <f t="shared" si="97"/>
        <v>0</v>
      </c>
      <c r="AK507" s="50"/>
      <c r="AL507" s="6"/>
      <c r="AM507" s="20">
        <f t="shared" ref="AM507:AM570" si="108">+AJ507-(AL507*AJ507)</f>
        <v>0</v>
      </c>
      <c r="AN507" s="20">
        <f t="shared" ref="AN507:AN538" si="109">+S507+AM507</f>
        <v>2287360</v>
      </c>
      <c r="AP507" s="20">
        <f t="shared" ref="AP507:AP570" si="110">AN507</f>
        <v>2287360</v>
      </c>
      <c r="AQ507" s="7"/>
      <c r="AR507" s="20"/>
      <c r="AS507" s="51"/>
    </row>
    <row r="508" spans="1:45" s="21" customFormat="1" ht="30" customHeight="1" x14ac:dyDescent="0.2">
      <c r="A508" s="8">
        <v>430</v>
      </c>
      <c r="B508" s="46">
        <v>2</v>
      </c>
      <c r="C508" s="16" t="s">
        <v>52</v>
      </c>
      <c r="D508" s="48">
        <v>2904</v>
      </c>
      <c r="E508" s="47">
        <v>11</v>
      </c>
      <c r="F508" s="48">
        <v>1959</v>
      </c>
      <c r="G508" s="49"/>
      <c r="H508" s="48">
        <v>8</v>
      </c>
      <c r="I508" s="48">
        <v>2</v>
      </c>
      <c r="J508" s="48">
        <v>2</v>
      </c>
      <c r="K508" s="3">
        <v>3402</v>
      </c>
      <c r="L508" s="16"/>
      <c r="M508" s="57"/>
      <c r="N508" s="58"/>
      <c r="P508" s="16">
        <v>1</v>
      </c>
      <c r="Q508" s="20">
        <f t="shared" si="107"/>
        <v>3402</v>
      </c>
      <c r="R508" s="14">
        <v>160</v>
      </c>
      <c r="S508" s="19">
        <f t="shared" si="104"/>
        <v>544320</v>
      </c>
      <c r="T508" s="16"/>
      <c r="U508" s="17"/>
      <c r="V508" s="17"/>
      <c r="W508" s="4"/>
      <c r="X508" s="16"/>
      <c r="Y508" s="5"/>
      <c r="Z508" s="16"/>
      <c r="AA508" s="16"/>
      <c r="AB508" s="16"/>
      <c r="AC508" s="14"/>
      <c r="AD508" s="14"/>
      <c r="AE508" s="16"/>
      <c r="AG508" s="22">
        <f t="shared" si="105"/>
        <v>0</v>
      </c>
      <c r="AH508" s="6"/>
      <c r="AJ508" s="20">
        <f t="shared" si="97"/>
        <v>0</v>
      </c>
      <c r="AK508" s="50"/>
      <c r="AL508" s="6"/>
      <c r="AM508" s="20">
        <f t="shared" si="108"/>
        <v>0</v>
      </c>
      <c r="AN508" s="20">
        <f t="shared" si="109"/>
        <v>544320</v>
      </c>
      <c r="AP508" s="20">
        <f t="shared" si="110"/>
        <v>544320</v>
      </c>
      <c r="AQ508" s="7"/>
      <c r="AR508" s="20"/>
      <c r="AS508" s="51"/>
    </row>
    <row r="509" spans="1:45" s="21" customFormat="1" ht="30" customHeight="1" x14ac:dyDescent="0.2">
      <c r="A509" s="8">
        <v>431</v>
      </c>
      <c r="B509" s="46">
        <v>1</v>
      </c>
      <c r="C509" s="16" t="s">
        <v>52</v>
      </c>
      <c r="D509" s="48">
        <v>32931</v>
      </c>
      <c r="E509" s="47">
        <v>83</v>
      </c>
      <c r="F509" s="48">
        <v>6435</v>
      </c>
      <c r="G509" s="49">
        <v>7</v>
      </c>
      <c r="H509" s="48">
        <v>0</v>
      </c>
      <c r="I509" s="48">
        <v>0</v>
      </c>
      <c r="J509" s="48">
        <v>50</v>
      </c>
      <c r="K509" s="3">
        <v>50</v>
      </c>
      <c r="L509" s="16"/>
      <c r="M509" s="57"/>
      <c r="N509" s="58"/>
      <c r="P509" s="16">
        <v>1</v>
      </c>
      <c r="Q509" s="20">
        <f t="shared" si="107"/>
        <v>50</v>
      </c>
      <c r="R509" s="14">
        <v>250</v>
      </c>
      <c r="S509" s="20">
        <f t="shared" si="104"/>
        <v>12500</v>
      </c>
      <c r="T509" s="16"/>
      <c r="U509" s="17"/>
      <c r="V509" s="17"/>
      <c r="W509" s="4"/>
      <c r="X509" s="16"/>
      <c r="Y509" s="5"/>
      <c r="Z509" s="16"/>
      <c r="AA509" s="16"/>
      <c r="AB509" s="16"/>
      <c r="AC509" s="14"/>
      <c r="AD509" s="14"/>
      <c r="AE509" s="16"/>
      <c r="AG509" s="22">
        <f t="shared" si="105"/>
        <v>0</v>
      </c>
      <c r="AH509" s="6"/>
      <c r="AJ509" s="20">
        <f t="shared" si="97"/>
        <v>0</v>
      </c>
      <c r="AK509" s="50"/>
      <c r="AL509" s="6"/>
      <c r="AM509" s="20">
        <f t="shared" si="108"/>
        <v>0</v>
      </c>
      <c r="AN509" s="20">
        <f t="shared" si="109"/>
        <v>12500</v>
      </c>
      <c r="AP509" s="20">
        <f t="shared" si="110"/>
        <v>12500</v>
      </c>
      <c r="AQ509" s="7"/>
      <c r="AR509" s="20"/>
      <c r="AS509" s="51"/>
    </row>
    <row r="510" spans="1:45" s="21" customFormat="1" ht="30" customHeight="1" x14ac:dyDescent="0.2">
      <c r="A510" s="8">
        <v>432</v>
      </c>
      <c r="B510" s="46">
        <v>2</v>
      </c>
      <c r="C510" s="16" t="s">
        <v>52</v>
      </c>
      <c r="D510" s="48">
        <v>37038</v>
      </c>
      <c r="E510" s="47">
        <v>86</v>
      </c>
      <c r="F510" s="48">
        <v>7283</v>
      </c>
      <c r="G510" s="49">
        <v>7</v>
      </c>
      <c r="H510" s="48">
        <v>0</v>
      </c>
      <c r="I510" s="48">
        <v>0</v>
      </c>
      <c r="J510" s="48">
        <v>49.09</v>
      </c>
      <c r="K510" s="3">
        <v>49.09</v>
      </c>
      <c r="L510" s="16"/>
      <c r="M510" s="57"/>
      <c r="N510" s="58"/>
      <c r="P510" s="16">
        <v>1</v>
      </c>
      <c r="Q510" s="20">
        <f t="shared" si="107"/>
        <v>49.09</v>
      </c>
      <c r="R510" s="14">
        <v>250</v>
      </c>
      <c r="S510" s="19">
        <f t="shared" si="104"/>
        <v>12272.5</v>
      </c>
      <c r="T510" s="16"/>
      <c r="U510" s="16"/>
      <c r="V510" s="16"/>
      <c r="W510" s="5"/>
      <c r="X510" s="16"/>
      <c r="Y510" s="5"/>
      <c r="Z510" s="16"/>
      <c r="AA510" s="16"/>
      <c r="AB510" s="16"/>
      <c r="AE510" s="16"/>
      <c r="AG510" s="22">
        <f t="shared" si="105"/>
        <v>0</v>
      </c>
      <c r="AH510" s="6"/>
      <c r="AJ510" s="20">
        <f t="shared" si="97"/>
        <v>0</v>
      </c>
      <c r="AK510" s="50"/>
      <c r="AL510" s="6"/>
      <c r="AM510" s="20">
        <f t="shared" si="108"/>
        <v>0</v>
      </c>
      <c r="AN510" s="20">
        <f t="shared" si="109"/>
        <v>12272.5</v>
      </c>
      <c r="AP510" s="20">
        <f t="shared" si="110"/>
        <v>12272.5</v>
      </c>
      <c r="AQ510" s="7"/>
      <c r="AR510" s="20"/>
      <c r="AS510" s="51"/>
    </row>
    <row r="511" spans="1:45" s="21" customFormat="1" ht="30" customHeight="1" x14ac:dyDescent="0.2">
      <c r="A511" s="8">
        <v>433</v>
      </c>
      <c r="B511" s="46">
        <v>1</v>
      </c>
      <c r="C511" s="16" t="s">
        <v>52</v>
      </c>
      <c r="D511" s="48">
        <v>2184</v>
      </c>
      <c r="E511" s="47">
        <v>62</v>
      </c>
      <c r="F511" s="48">
        <v>1789</v>
      </c>
      <c r="G511" s="49"/>
      <c r="H511" s="48">
        <v>0</v>
      </c>
      <c r="I511" s="48">
        <v>1</v>
      </c>
      <c r="J511" s="48">
        <v>20</v>
      </c>
      <c r="K511" s="3">
        <v>120</v>
      </c>
      <c r="L511" s="16"/>
      <c r="M511" s="57"/>
      <c r="N511" s="58"/>
      <c r="P511" s="16">
        <v>1</v>
      </c>
      <c r="Q511" s="20">
        <f t="shared" si="107"/>
        <v>120</v>
      </c>
      <c r="R511" s="14">
        <v>160</v>
      </c>
      <c r="S511" s="19">
        <f t="shared" si="104"/>
        <v>19200</v>
      </c>
      <c r="T511" s="16"/>
      <c r="U511" s="17"/>
      <c r="V511" s="16"/>
      <c r="W511" s="5"/>
      <c r="X511" s="16"/>
      <c r="Y511" s="5"/>
      <c r="Z511" s="16"/>
      <c r="AA511" s="16"/>
      <c r="AB511" s="16"/>
      <c r="AE511" s="16"/>
      <c r="AG511" s="22">
        <f t="shared" si="105"/>
        <v>0</v>
      </c>
      <c r="AH511" s="6"/>
      <c r="AJ511" s="20">
        <f t="shared" si="97"/>
        <v>0</v>
      </c>
      <c r="AK511" s="50"/>
      <c r="AL511" s="6"/>
      <c r="AM511" s="20">
        <f t="shared" si="108"/>
        <v>0</v>
      </c>
      <c r="AN511" s="20">
        <f t="shared" si="109"/>
        <v>19200</v>
      </c>
      <c r="AP511" s="20">
        <f t="shared" si="110"/>
        <v>19200</v>
      </c>
      <c r="AQ511" s="7"/>
      <c r="AR511" s="20"/>
      <c r="AS511" s="51"/>
    </row>
    <row r="512" spans="1:45" s="21" customFormat="1" ht="30" customHeight="1" x14ac:dyDescent="0.2">
      <c r="A512" s="8">
        <v>434</v>
      </c>
      <c r="B512" s="46">
        <v>1</v>
      </c>
      <c r="C512" s="16" t="s">
        <v>52</v>
      </c>
      <c r="D512" s="48">
        <v>11643</v>
      </c>
      <c r="E512" s="47">
        <v>32</v>
      </c>
      <c r="F512" s="48">
        <v>3163</v>
      </c>
      <c r="G512" s="49">
        <v>2</v>
      </c>
      <c r="H512" s="48">
        <v>2</v>
      </c>
      <c r="I512" s="48">
        <v>0</v>
      </c>
      <c r="J512" s="48">
        <v>0</v>
      </c>
      <c r="K512" s="3">
        <v>800</v>
      </c>
      <c r="L512" s="16"/>
      <c r="M512" s="57"/>
      <c r="N512" s="58"/>
      <c r="P512" s="16">
        <v>1</v>
      </c>
      <c r="Q512" s="20">
        <f t="shared" si="107"/>
        <v>800</v>
      </c>
      <c r="R512" s="14">
        <v>160</v>
      </c>
      <c r="S512" s="20">
        <f t="shared" si="104"/>
        <v>128000</v>
      </c>
      <c r="T512" s="16"/>
      <c r="U512" s="17"/>
      <c r="V512" s="17"/>
      <c r="W512" s="4"/>
      <c r="X512" s="16"/>
      <c r="Y512" s="5"/>
      <c r="Z512" s="16"/>
      <c r="AA512" s="16"/>
      <c r="AB512" s="16"/>
      <c r="AE512" s="16"/>
      <c r="AG512" s="22">
        <f t="shared" si="105"/>
        <v>0</v>
      </c>
      <c r="AH512" s="6"/>
      <c r="AJ512" s="20">
        <f t="shared" si="97"/>
        <v>0</v>
      </c>
      <c r="AK512" s="50"/>
      <c r="AL512" s="6"/>
      <c r="AM512" s="20">
        <f t="shared" si="108"/>
        <v>0</v>
      </c>
      <c r="AN512" s="20">
        <f t="shared" si="109"/>
        <v>128000</v>
      </c>
      <c r="AP512" s="20">
        <f t="shared" si="110"/>
        <v>128000</v>
      </c>
      <c r="AQ512" s="7"/>
      <c r="AR512" s="20"/>
      <c r="AS512" s="51"/>
    </row>
    <row r="513" spans="1:45" s="21" customFormat="1" ht="30" customHeight="1" x14ac:dyDescent="0.2">
      <c r="A513" s="8">
        <v>435</v>
      </c>
      <c r="B513" s="46">
        <v>1</v>
      </c>
      <c r="C513" s="16" t="s">
        <v>52</v>
      </c>
      <c r="D513" s="48">
        <v>817</v>
      </c>
      <c r="E513" s="47">
        <v>27</v>
      </c>
      <c r="F513" s="48">
        <v>293</v>
      </c>
      <c r="G513" s="49">
        <v>6</v>
      </c>
      <c r="H513" s="48">
        <v>0</v>
      </c>
      <c r="I513" s="48">
        <v>0</v>
      </c>
      <c r="J513" s="48">
        <v>44</v>
      </c>
      <c r="K513" s="3"/>
      <c r="L513" s="16">
        <v>44</v>
      </c>
      <c r="M513" s="57"/>
      <c r="N513" s="58"/>
      <c r="P513" s="16">
        <v>2</v>
      </c>
      <c r="Q513" s="20">
        <f>+L513</f>
        <v>44</v>
      </c>
      <c r="R513" s="14">
        <v>1500</v>
      </c>
      <c r="S513" s="19">
        <f t="shared" si="104"/>
        <v>66000</v>
      </c>
      <c r="T513" s="16"/>
      <c r="U513" s="17"/>
      <c r="V513" s="17"/>
      <c r="W513" s="4"/>
      <c r="X513" s="16"/>
      <c r="Y513" s="5"/>
      <c r="Z513" s="16"/>
      <c r="AA513" s="16"/>
      <c r="AB513" s="16"/>
      <c r="AE513" s="16"/>
      <c r="AG513" s="22">
        <f t="shared" si="105"/>
        <v>0</v>
      </c>
      <c r="AH513" s="6"/>
      <c r="AJ513" s="20">
        <f t="shared" si="97"/>
        <v>0</v>
      </c>
      <c r="AK513" s="50"/>
      <c r="AL513" s="6"/>
      <c r="AM513" s="20">
        <f t="shared" si="108"/>
        <v>0</v>
      </c>
      <c r="AN513" s="20">
        <f t="shared" si="109"/>
        <v>66000</v>
      </c>
      <c r="AP513" s="20">
        <f t="shared" si="110"/>
        <v>66000</v>
      </c>
      <c r="AQ513" s="7"/>
      <c r="AR513" s="20"/>
      <c r="AS513" s="51"/>
    </row>
    <row r="514" spans="1:45" s="21" customFormat="1" ht="30" customHeight="1" x14ac:dyDescent="0.2">
      <c r="A514" s="8">
        <v>436</v>
      </c>
      <c r="B514" s="46">
        <v>1</v>
      </c>
      <c r="C514" s="16" t="s">
        <v>52</v>
      </c>
      <c r="D514" s="48">
        <v>5866</v>
      </c>
      <c r="E514" s="47">
        <v>43</v>
      </c>
      <c r="F514" s="48">
        <v>2986</v>
      </c>
      <c r="G514" s="49">
        <v>5</v>
      </c>
      <c r="H514" s="48">
        <v>0</v>
      </c>
      <c r="I514" s="48">
        <v>0</v>
      </c>
      <c r="J514" s="48">
        <v>97</v>
      </c>
      <c r="K514" s="3"/>
      <c r="L514" s="16">
        <v>97</v>
      </c>
      <c r="M514" s="57"/>
      <c r="N514" s="58"/>
      <c r="P514" s="16">
        <v>2</v>
      </c>
      <c r="Q514" s="20">
        <f>+L514</f>
        <v>97</v>
      </c>
      <c r="R514" s="14">
        <v>250</v>
      </c>
      <c r="S514" s="19">
        <f t="shared" si="104"/>
        <v>24250</v>
      </c>
      <c r="T514" s="16"/>
      <c r="U514" s="17" t="s">
        <v>57</v>
      </c>
      <c r="V514" s="17" t="s">
        <v>56</v>
      </c>
      <c r="W514" s="4"/>
      <c r="X514" s="16"/>
      <c r="Y514" s="5">
        <v>72</v>
      </c>
      <c r="Z514" s="16"/>
      <c r="AA514" s="16"/>
      <c r="AB514" s="16"/>
      <c r="AE514" s="16"/>
      <c r="AG514" s="22">
        <f t="shared" si="105"/>
        <v>72</v>
      </c>
      <c r="AH514" s="6"/>
      <c r="AJ514" s="20">
        <f t="shared" si="97"/>
        <v>0</v>
      </c>
      <c r="AK514" s="50"/>
      <c r="AL514" s="6"/>
      <c r="AM514" s="20">
        <f t="shared" si="108"/>
        <v>0</v>
      </c>
      <c r="AN514" s="20">
        <f t="shared" si="109"/>
        <v>24250</v>
      </c>
      <c r="AP514" s="20">
        <f t="shared" si="110"/>
        <v>24250</v>
      </c>
      <c r="AQ514" s="7"/>
      <c r="AR514" s="20"/>
      <c r="AS514" s="51"/>
    </row>
    <row r="515" spans="1:45" ht="30" customHeight="1" x14ac:dyDescent="0.2">
      <c r="A515" s="8">
        <v>437</v>
      </c>
      <c r="B515" s="13">
        <v>2</v>
      </c>
      <c r="C515" s="16" t="s">
        <v>65</v>
      </c>
      <c r="D515" s="17">
        <v>3489</v>
      </c>
      <c r="E515" s="17">
        <v>63</v>
      </c>
      <c r="H515" s="17">
        <v>1</v>
      </c>
      <c r="I515" s="17">
        <v>0</v>
      </c>
      <c r="J515" s="17">
        <v>48</v>
      </c>
      <c r="K515" s="10">
        <v>448</v>
      </c>
      <c r="P515" s="17">
        <v>1</v>
      </c>
      <c r="Q515" s="19">
        <f>+K515</f>
        <v>448</v>
      </c>
      <c r="R515" s="14">
        <v>1500</v>
      </c>
      <c r="S515" s="20">
        <f t="shared" si="104"/>
        <v>672000</v>
      </c>
      <c r="AC515" s="21"/>
      <c r="AD515" s="21"/>
      <c r="AE515" s="17" t="s">
        <v>95</v>
      </c>
      <c r="AG515" s="22">
        <f t="shared" si="105"/>
        <v>0</v>
      </c>
      <c r="AJ515" s="20">
        <f t="shared" si="97"/>
        <v>0</v>
      </c>
      <c r="AM515" s="20">
        <f t="shared" si="108"/>
        <v>0</v>
      </c>
      <c r="AN515" s="20">
        <f t="shared" si="109"/>
        <v>672000</v>
      </c>
      <c r="AP515" s="20">
        <f t="shared" si="110"/>
        <v>672000</v>
      </c>
      <c r="AQ515" s="12">
        <v>1E-4</v>
      </c>
      <c r="AR515" s="20"/>
    </row>
    <row r="516" spans="1:45" s="21" customFormat="1" ht="30" customHeight="1" x14ac:dyDescent="0.2">
      <c r="A516" s="8">
        <v>438</v>
      </c>
      <c r="B516" s="46">
        <v>1</v>
      </c>
      <c r="C516" s="16" t="s">
        <v>52</v>
      </c>
      <c r="D516" s="48">
        <v>2724</v>
      </c>
      <c r="E516" s="47">
        <v>1</v>
      </c>
      <c r="F516" s="48">
        <v>1895</v>
      </c>
      <c r="G516" s="49">
        <v>1</v>
      </c>
      <c r="H516" s="48">
        <v>7</v>
      </c>
      <c r="I516" s="48">
        <v>0</v>
      </c>
      <c r="J516" s="48">
        <v>57</v>
      </c>
      <c r="K516" s="3">
        <v>2857</v>
      </c>
      <c r="L516" s="16"/>
      <c r="M516" s="57"/>
      <c r="N516" s="58"/>
      <c r="P516" s="16">
        <v>1</v>
      </c>
      <c r="Q516" s="20">
        <f>+K516</f>
        <v>2857</v>
      </c>
      <c r="R516" s="14">
        <v>160</v>
      </c>
      <c r="S516" s="19">
        <f t="shared" si="104"/>
        <v>457120</v>
      </c>
      <c r="T516" s="16"/>
      <c r="U516" s="17"/>
      <c r="V516" s="17"/>
      <c r="W516" s="4"/>
      <c r="X516" s="16"/>
      <c r="Y516" s="5"/>
      <c r="Z516" s="16"/>
      <c r="AA516" s="16"/>
      <c r="AB516" s="16"/>
      <c r="AE516" s="16"/>
      <c r="AG516" s="22">
        <f t="shared" si="105"/>
        <v>0</v>
      </c>
      <c r="AH516" s="6"/>
      <c r="AJ516" s="20">
        <f t="shared" si="97"/>
        <v>0</v>
      </c>
      <c r="AK516" s="50"/>
      <c r="AL516" s="6"/>
      <c r="AM516" s="20">
        <f t="shared" si="108"/>
        <v>0</v>
      </c>
      <c r="AN516" s="20">
        <f t="shared" si="109"/>
        <v>457120</v>
      </c>
      <c r="AP516" s="20">
        <f t="shared" si="110"/>
        <v>457120</v>
      </c>
      <c r="AQ516" s="7"/>
      <c r="AR516" s="20"/>
      <c r="AS516" s="51">
        <v>21</v>
      </c>
    </row>
    <row r="517" spans="1:45" s="21" customFormat="1" ht="30" customHeight="1" x14ac:dyDescent="0.2">
      <c r="A517" s="8">
        <v>439</v>
      </c>
      <c r="B517" s="46">
        <v>1</v>
      </c>
      <c r="C517" s="16" t="s">
        <v>52</v>
      </c>
      <c r="D517" s="48">
        <v>5915</v>
      </c>
      <c r="E517" s="47">
        <v>24</v>
      </c>
      <c r="F517" s="48">
        <v>3003</v>
      </c>
      <c r="G517" s="49">
        <v>5</v>
      </c>
      <c r="H517" s="48">
        <v>1</v>
      </c>
      <c r="I517" s="48">
        <v>1</v>
      </c>
      <c r="J517" s="48">
        <v>1</v>
      </c>
      <c r="K517" s="3"/>
      <c r="L517" s="16">
        <v>501</v>
      </c>
      <c r="M517" s="57"/>
      <c r="N517" s="58"/>
      <c r="P517" s="16">
        <v>2</v>
      </c>
      <c r="Q517" s="20">
        <f>+L517</f>
        <v>501</v>
      </c>
      <c r="R517" s="14">
        <v>160</v>
      </c>
      <c r="S517" s="19">
        <f t="shared" si="104"/>
        <v>80160</v>
      </c>
      <c r="T517" s="16"/>
      <c r="U517" s="17"/>
      <c r="V517" s="17"/>
      <c r="W517" s="4"/>
      <c r="X517" s="16"/>
      <c r="Y517" s="5"/>
      <c r="Z517" s="16"/>
      <c r="AA517" s="16"/>
      <c r="AB517" s="16"/>
      <c r="AE517" s="16"/>
      <c r="AG517" s="22">
        <f t="shared" si="105"/>
        <v>0</v>
      </c>
      <c r="AH517" s="6"/>
      <c r="AJ517" s="20">
        <f t="shared" si="97"/>
        <v>0</v>
      </c>
      <c r="AK517" s="50"/>
      <c r="AL517" s="6"/>
      <c r="AM517" s="20">
        <f t="shared" si="108"/>
        <v>0</v>
      </c>
      <c r="AN517" s="20">
        <f t="shared" si="109"/>
        <v>80160</v>
      </c>
      <c r="AP517" s="20">
        <f t="shared" si="110"/>
        <v>80160</v>
      </c>
      <c r="AQ517" s="7"/>
      <c r="AR517" s="60"/>
      <c r="AS517" s="128">
        <v>144</v>
      </c>
    </row>
    <row r="518" spans="1:45" s="21" customFormat="1" ht="30" customHeight="1" x14ac:dyDescent="0.2">
      <c r="A518" s="8">
        <v>440</v>
      </c>
      <c r="B518" s="46">
        <v>2</v>
      </c>
      <c r="C518" s="16" t="s">
        <v>52</v>
      </c>
      <c r="D518" s="48">
        <v>1247</v>
      </c>
      <c r="E518" s="47">
        <v>17</v>
      </c>
      <c r="F518" s="48">
        <v>286</v>
      </c>
      <c r="G518" s="49">
        <v>6</v>
      </c>
      <c r="H518" s="48">
        <v>6</v>
      </c>
      <c r="I518" s="48">
        <v>2</v>
      </c>
      <c r="J518" s="48">
        <v>51</v>
      </c>
      <c r="K518" s="3">
        <v>2651</v>
      </c>
      <c r="L518" s="16"/>
      <c r="M518" s="57"/>
      <c r="N518" s="58"/>
      <c r="P518" s="16">
        <v>1</v>
      </c>
      <c r="Q518" s="20">
        <f t="shared" ref="Q518:Q524" si="111">+K518</f>
        <v>2651</v>
      </c>
      <c r="R518" s="14">
        <v>160</v>
      </c>
      <c r="S518" s="20">
        <f t="shared" si="104"/>
        <v>424160</v>
      </c>
      <c r="T518" s="16"/>
      <c r="U518" s="16"/>
      <c r="V518" s="16"/>
      <c r="W518" s="5"/>
      <c r="X518" s="16"/>
      <c r="Y518" s="5"/>
      <c r="Z518" s="16"/>
      <c r="AA518" s="16"/>
      <c r="AB518" s="16"/>
      <c r="AE518" s="16"/>
      <c r="AG518" s="22">
        <f t="shared" si="105"/>
        <v>0</v>
      </c>
      <c r="AH518" s="6"/>
      <c r="AJ518" s="20">
        <f t="shared" si="97"/>
        <v>0</v>
      </c>
      <c r="AK518" s="50"/>
      <c r="AL518" s="6"/>
      <c r="AM518" s="20">
        <f t="shared" si="108"/>
        <v>0</v>
      </c>
      <c r="AN518" s="20">
        <f t="shared" si="109"/>
        <v>424160</v>
      </c>
      <c r="AP518" s="20">
        <f t="shared" si="110"/>
        <v>424160</v>
      </c>
      <c r="AQ518" s="7"/>
      <c r="AR518" s="24"/>
      <c r="AS518" s="129"/>
    </row>
    <row r="519" spans="1:45" s="21" customFormat="1" ht="30" customHeight="1" x14ac:dyDescent="0.2">
      <c r="A519" s="8">
        <v>441</v>
      </c>
      <c r="B519" s="46">
        <v>3</v>
      </c>
      <c r="C519" s="16" t="s">
        <v>52</v>
      </c>
      <c r="D519" s="48">
        <v>1267</v>
      </c>
      <c r="E519" s="47">
        <v>9</v>
      </c>
      <c r="F519" s="48">
        <v>735</v>
      </c>
      <c r="G519" s="49">
        <v>6</v>
      </c>
      <c r="H519" s="48">
        <v>7</v>
      </c>
      <c r="I519" s="48">
        <v>1</v>
      </c>
      <c r="J519" s="48">
        <v>61</v>
      </c>
      <c r="K519" s="3">
        <v>2961</v>
      </c>
      <c r="L519" s="16"/>
      <c r="M519" s="57"/>
      <c r="N519" s="58"/>
      <c r="P519" s="16">
        <v>1</v>
      </c>
      <c r="Q519" s="20">
        <f t="shared" si="111"/>
        <v>2961</v>
      </c>
      <c r="R519" s="14">
        <v>375</v>
      </c>
      <c r="S519" s="19">
        <f t="shared" si="104"/>
        <v>1110375</v>
      </c>
      <c r="T519" s="16"/>
      <c r="U519" s="17"/>
      <c r="V519" s="16"/>
      <c r="W519" s="5"/>
      <c r="X519" s="16"/>
      <c r="Y519" s="5"/>
      <c r="Z519" s="16"/>
      <c r="AA519" s="16"/>
      <c r="AB519" s="16"/>
      <c r="AE519" s="16"/>
      <c r="AG519" s="22">
        <f t="shared" si="105"/>
        <v>0</v>
      </c>
      <c r="AH519" s="6"/>
      <c r="AJ519" s="20">
        <f t="shared" si="97"/>
        <v>0</v>
      </c>
      <c r="AK519" s="50"/>
      <c r="AL519" s="6"/>
      <c r="AM519" s="20">
        <f t="shared" si="108"/>
        <v>0</v>
      </c>
      <c r="AN519" s="20">
        <f t="shared" si="109"/>
        <v>1110375</v>
      </c>
      <c r="AP519" s="20">
        <f t="shared" si="110"/>
        <v>1110375</v>
      </c>
      <c r="AQ519" s="7"/>
      <c r="AR519" s="24"/>
      <c r="AS519" s="129"/>
    </row>
    <row r="520" spans="1:45" ht="30" customHeight="1" x14ac:dyDescent="0.2">
      <c r="A520" s="8">
        <v>442</v>
      </c>
      <c r="B520" s="46">
        <v>4</v>
      </c>
      <c r="C520" s="16" t="s">
        <v>65</v>
      </c>
      <c r="D520" s="17">
        <v>1865</v>
      </c>
      <c r="E520" s="17">
        <v>128</v>
      </c>
      <c r="H520" s="17">
        <v>1</v>
      </c>
      <c r="I520" s="17">
        <v>2</v>
      </c>
      <c r="J520" s="17">
        <v>73</v>
      </c>
      <c r="K520" s="10">
        <v>673</v>
      </c>
      <c r="P520" s="17">
        <v>1</v>
      </c>
      <c r="Q520" s="19">
        <f t="shared" si="111"/>
        <v>673</v>
      </c>
      <c r="R520" s="14">
        <v>160</v>
      </c>
      <c r="S520" s="19">
        <f t="shared" si="104"/>
        <v>107680</v>
      </c>
      <c r="AG520" s="22">
        <f t="shared" si="105"/>
        <v>0</v>
      </c>
      <c r="AJ520" s="20">
        <f t="shared" si="97"/>
        <v>0</v>
      </c>
      <c r="AM520" s="20">
        <f t="shared" si="108"/>
        <v>0</v>
      </c>
      <c r="AN520" s="20">
        <f t="shared" si="109"/>
        <v>107680</v>
      </c>
      <c r="AP520" s="20">
        <f t="shared" si="110"/>
        <v>107680</v>
      </c>
      <c r="AQ520" s="12">
        <v>1E-4</v>
      </c>
      <c r="AR520" s="24"/>
      <c r="AS520" s="129"/>
    </row>
    <row r="521" spans="1:45" ht="30" customHeight="1" x14ac:dyDescent="0.2">
      <c r="A521" s="8">
        <v>443</v>
      </c>
      <c r="B521" s="46">
        <v>5</v>
      </c>
      <c r="C521" s="16" t="s">
        <v>52</v>
      </c>
      <c r="D521" s="17">
        <v>37121</v>
      </c>
      <c r="E521" s="17">
        <v>8</v>
      </c>
      <c r="F521" s="17">
        <v>7388</v>
      </c>
      <c r="H521" s="17">
        <v>16</v>
      </c>
      <c r="I521" s="17">
        <v>2</v>
      </c>
      <c r="J521" s="17">
        <v>90.4</v>
      </c>
      <c r="K521" s="10">
        <v>6690.4</v>
      </c>
      <c r="P521" s="17">
        <v>1</v>
      </c>
      <c r="Q521" s="19">
        <f t="shared" si="111"/>
        <v>6690.4</v>
      </c>
      <c r="R521" s="14">
        <v>160</v>
      </c>
      <c r="S521" s="20">
        <f t="shared" si="104"/>
        <v>1070464</v>
      </c>
      <c r="AG521" s="22">
        <f t="shared" si="105"/>
        <v>0</v>
      </c>
      <c r="AJ521" s="20">
        <f t="shared" si="97"/>
        <v>0</v>
      </c>
      <c r="AM521" s="20">
        <f t="shared" si="108"/>
        <v>0</v>
      </c>
      <c r="AN521" s="20">
        <f t="shared" si="109"/>
        <v>1070464</v>
      </c>
      <c r="AP521" s="20">
        <f t="shared" si="110"/>
        <v>1070464</v>
      </c>
      <c r="AR521" s="24"/>
      <c r="AS521" s="129"/>
    </row>
    <row r="522" spans="1:45" ht="30" customHeight="1" x14ac:dyDescent="0.2">
      <c r="A522" s="8">
        <v>444</v>
      </c>
      <c r="B522" s="46">
        <v>6</v>
      </c>
      <c r="C522" s="16" t="s">
        <v>52</v>
      </c>
      <c r="D522" s="17">
        <v>37122</v>
      </c>
      <c r="E522" s="17">
        <v>9</v>
      </c>
      <c r="F522" s="17">
        <v>7389</v>
      </c>
      <c r="H522" s="17">
        <v>6</v>
      </c>
      <c r="I522" s="17">
        <v>0</v>
      </c>
      <c r="J522" s="17">
        <v>67.900000000000006</v>
      </c>
      <c r="K522" s="10">
        <v>2467.9</v>
      </c>
      <c r="P522" s="17">
        <v>1</v>
      </c>
      <c r="Q522" s="19">
        <f t="shared" si="111"/>
        <v>2467.9</v>
      </c>
      <c r="R522" s="14">
        <v>160</v>
      </c>
      <c r="S522" s="19">
        <f t="shared" si="104"/>
        <v>394864</v>
      </c>
      <c r="AG522" s="22">
        <f t="shared" si="105"/>
        <v>0</v>
      </c>
      <c r="AJ522" s="20">
        <f t="shared" si="97"/>
        <v>0</v>
      </c>
      <c r="AM522" s="20">
        <f t="shared" si="108"/>
        <v>0</v>
      </c>
      <c r="AN522" s="20">
        <f t="shared" si="109"/>
        <v>394864</v>
      </c>
      <c r="AP522" s="20">
        <f t="shared" si="110"/>
        <v>394864</v>
      </c>
      <c r="AR522" s="24"/>
      <c r="AS522" s="129"/>
    </row>
    <row r="523" spans="1:45" ht="30" customHeight="1" x14ac:dyDescent="0.2">
      <c r="A523" s="8">
        <v>445</v>
      </c>
      <c r="B523" s="46">
        <v>7</v>
      </c>
      <c r="C523" s="16" t="s">
        <v>52</v>
      </c>
      <c r="D523" s="17">
        <v>37124</v>
      </c>
      <c r="E523" s="17">
        <v>12</v>
      </c>
      <c r="H523" s="17">
        <v>7</v>
      </c>
      <c r="I523" s="17">
        <v>2</v>
      </c>
      <c r="J523" s="17">
        <v>50.1</v>
      </c>
      <c r="K523" s="10">
        <v>3450.1</v>
      </c>
      <c r="P523" s="17">
        <v>1</v>
      </c>
      <c r="Q523" s="19">
        <f t="shared" si="111"/>
        <v>3450.1</v>
      </c>
      <c r="R523" s="14">
        <v>160</v>
      </c>
      <c r="S523" s="19">
        <f t="shared" si="104"/>
        <v>552016</v>
      </c>
      <c r="AG523" s="22">
        <f t="shared" si="105"/>
        <v>0</v>
      </c>
      <c r="AJ523" s="20">
        <f t="shared" si="97"/>
        <v>0</v>
      </c>
      <c r="AM523" s="20">
        <f t="shared" si="108"/>
        <v>0</v>
      </c>
      <c r="AN523" s="20">
        <f t="shared" si="109"/>
        <v>552016</v>
      </c>
      <c r="AP523" s="20">
        <f t="shared" si="110"/>
        <v>552016</v>
      </c>
      <c r="AR523" s="25"/>
      <c r="AS523" s="130"/>
    </row>
    <row r="524" spans="1:45" s="21" customFormat="1" ht="30" customHeight="1" x14ac:dyDescent="0.2">
      <c r="A524" s="8">
        <v>446</v>
      </c>
      <c r="B524" s="46">
        <v>1</v>
      </c>
      <c r="C524" s="16" t="s">
        <v>52</v>
      </c>
      <c r="D524" s="48">
        <v>1791</v>
      </c>
      <c r="E524" s="47">
        <v>40</v>
      </c>
      <c r="F524" s="48">
        <v>1175</v>
      </c>
      <c r="G524" s="49">
        <v>2</v>
      </c>
      <c r="H524" s="48">
        <v>8</v>
      </c>
      <c r="I524" s="48">
        <v>3</v>
      </c>
      <c r="J524" s="48">
        <v>60</v>
      </c>
      <c r="K524" s="3">
        <v>3560</v>
      </c>
      <c r="L524" s="16"/>
      <c r="M524" s="57"/>
      <c r="N524" s="58"/>
      <c r="P524" s="16">
        <v>1</v>
      </c>
      <c r="Q524" s="20">
        <f t="shared" si="111"/>
        <v>3560</v>
      </c>
      <c r="R524" s="14">
        <v>160</v>
      </c>
      <c r="S524" s="20">
        <f t="shared" si="104"/>
        <v>569600</v>
      </c>
      <c r="T524" s="16"/>
      <c r="U524" s="17"/>
      <c r="V524" s="17"/>
      <c r="W524" s="4"/>
      <c r="X524" s="16"/>
      <c r="Y524" s="5"/>
      <c r="Z524" s="16"/>
      <c r="AA524" s="16"/>
      <c r="AB524" s="16"/>
      <c r="AE524" s="16"/>
      <c r="AG524" s="22">
        <f t="shared" si="105"/>
        <v>0</v>
      </c>
      <c r="AH524" s="6"/>
      <c r="AJ524" s="20">
        <f t="shared" si="97"/>
        <v>0</v>
      </c>
      <c r="AK524" s="50"/>
      <c r="AL524" s="6"/>
      <c r="AM524" s="20">
        <f t="shared" si="108"/>
        <v>0</v>
      </c>
      <c r="AN524" s="20">
        <f t="shared" si="109"/>
        <v>569600</v>
      </c>
      <c r="AP524" s="20">
        <f t="shared" si="110"/>
        <v>569600</v>
      </c>
      <c r="AQ524" s="7"/>
      <c r="AR524" s="20"/>
      <c r="AS524" s="51">
        <v>27</v>
      </c>
    </row>
    <row r="525" spans="1:45" s="21" customFormat="1" ht="30" customHeight="1" x14ac:dyDescent="0.2">
      <c r="A525" s="8">
        <v>447</v>
      </c>
      <c r="B525" s="46">
        <v>1</v>
      </c>
      <c r="C525" s="16" t="s">
        <v>52</v>
      </c>
      <c r="D525" s="48">
        <v>32321</v>
      </c>
      <c r="E525" s="47">
        <v>36</v>
      </c>
      <c r="F525" s="48">
        <v>6390</v>
      </c>
      <c r="G525" s="49">
        <v>6</v>
      </c>
      <c r="H525" s="48">
        <v>0</v>
      </c>
      <c r="I525" s="48">
        <v>0</v>
      </c>
      <c r="J525" s="48">
        <v>80</v>
      </c>
      <c r="K525" s="3"/>
      <c r="L525" s="16">
        <v>80</v>
      </c>
      <c r="M525" s="57"/>
      <c r="N525" s="58"/>
      <c r="P525" s="16">
        <v>2</v>
      </c>
      <c r="Q525" s="20">
        <f>+L525</f>
        <v>80</v>
      </c>
      <c r="R525" s="14">
        <v>375</v>
      </c>
      <c r="S525" s="19">
        <f t="shared" si="104"/>
        <v>30000</v>
      </c>
      <c r="T525" s="16"/>
      <c r="U525" s="17"/>
      <c r="V525" s="17"/>
      <c r="W525" s="4"/>
      <c r="X525" s="16"/>
      <c r="Y525" s="5"/>
      <c r="Z525" s="16"/>
      <c r="AA525" s="16"/>
      <c r="AB525" s="16"/>
      <c r="AE525" s="16"/>
      <c r="AG525" s="22">
        <f t="shared" si="105"/>
        <v>0</v>
      </c>
      <c r="AH525" s="6"/>
      <c r="AJ525" s="20">
        <f t="shared" si="97"/>
        <v>0</v>
      </c>
      <c r="AK525" s="50"/>
      <c r="AL525" s="6"/>
      <c r="AM525" s="20">
        <f t="shared" si="108"/>
        <v>0</v>
      </c>
      <c r="AN525" s="20">
        <f t="shared" si="109"/>
        <v>30000</v>
      </c>
      <c r="AP525" s="20">
        <f t="shared" si="110"/>
        <v>30000</v>
      </c>
      <c r="AQ525" s="7"/>
      <c r="AR525" s="20"/>
      <c r="AS525" s="51"/>
    </row>
    <row r="526" spans="1:45" s="21" customFormat="1" ht="30" customHeight="1" x14ac:dyDescent="0.2">
      <c r="A526" s="8">
        <v>448</v>
      </c>
      <c r="B526" s="46">
        <v>1</v>
      </c>
      <c r="C526" s="16" t="s">
        <v>52</v>
      </c>
      <c r="D526" s="48">
        <v>1255</v>
      </c>
      <c r="E526" s="47">
        <v>3</v>
      </c>
      <c r="F526" s="48">
        <v>308</v>
      </c>
      <c r="G526" s="49">
        <v>6</v>
      </c>
      <c r="H526" s="48">
        <v>0</v>
      </c>
      <c r="I526" s="48">
        <v>0</v>
      </c>
      <c r="J526" s="48">
        <v>84</v>
      </c>
      <c r="K526" s="3"/>
      <c r="L526" s="16">
        <v>84</v>
      </c>
      <c r="M526" s="57"/>
      <c r="N526" s="58"/>
      <c r="P526" s="16">
        <v>2</v>
      </c>
      <c r="Q526" s="20">
        <f>+L526</f>
        <v>84</v>
      </c>
      <c r="R526" s="14">
        <v>750</v>
      </c>
      <c r="S526" s="19">
        <f t="shared" si="104"/>
        <v>63000</v>
      </c>
      <c r="T526" s="16"/>
      <c r="U526" s="17"/>
      <c r="V526" s="17"/>
      <c r="W526" s="4"/>
      <c r="X526" s="16"/>
      <c r="Y526" s="5"/>
      <c r="Z526" s="16"/>
      <c r="AA526" s="16"/>
      <c r="AB526" s="16"/>
      <c r="AC526" s="14"/>
      <c r="AD526" s="14"/>
      <c r="AE526" s="16"/>
      <c r="AG526" s="22">
        <f t="shared" si="105"/>
        <v>0</v>
      </c>
      <c r="AH526" s="6"/>
      <c r="AJ526" s="20">
        <f t="shared" si="97"/>
        <v>0</v>
      </c>
      <c r="AK526" s="50"/>
      <c r="AL526" s="6"/>
      <c r="AM526" s="20">
        <f t="shared" si="108"/>
        <v>0</v>
      </c>
      <c r="AN526" s="20">
        <f t="shared" si="109"/>
        <v>63000</v>
      </c>
      <c r="AP526" s="20">
        <f t="shared" si="110"/>
        <v>63000</v>
      </c>
      <c r="AQ526" s="7"/>
      <c r="AR526" s="20"/>
      <c r="AS526" s="51"/>
    </row>
    <row r="527" spans="1:45" s="21" customFormat="1" ht="30" customHeight="1" x14ac:dyDescent="0.2">
      <c r="A527" s="8">
        <v>449</v>
      </c>
      <c r="B527" s="46">
        <v>1</v>
      </c>
      <c r="C527" s="16" t="s">
        <v>52</v>
      </c>
      <c r="D527" s="48">
        <v>1977</v>
      </c>
      <c r="E527" s="47">
        <v>24</v>
      </c>
      <c r="F527" s="48">
        <v>811</v>
      </c>
      <c r="G527" s="49">
        <v>4</v>
      </c>
      <c r="H527" s="48">
        <v>0</v>
      </c>
      <c r="I527" s="48">
        <v>0</v>
      </c>
      <c r="J527" s="48">
        <v>85</v>
      </c>
      <c r="K527" s="3">
        <v>85</v>
      </c>
      <c r="L527" s="16"/>
      <c r="M527" s="57"/>
      <c r="N527" s="58"/>
      <c r="P527" s="16">
        <v>1</v>
      </c>
      <c r="Q527" s="20">
        <f t="shared" ref="Q527:Q557" si="112">+K527</f>
        <v>85</v>
      </c>
      <c r="R527" s="14">
        <v>2000</v>
      </c>
      <c r="S527" s="19">
        <f t="shared" si="104"/>
        <v>170000</v>
      </c>
      <c r="T527" s="16"/>
      <c r="U527" s="17"/>
      <c r="V527" s="17"/>
      <c r="W527" s="4"/>
      <c r="X527" s="16"/>
      <c r="Y527" s="5"/>
      <c r="Z527" s="16"/>
      <c r="AA527" s="16"/>
      <c r="AB527" s="16"/>
      <c r="AC527" s="14"/>
      <c r="AD527" s="14"/>
      <c r="AE527" s="16"/>
      <c r="AG527" s="22">
        <f t="shared" si="105"/>
        <v>0</v>
      </c>
      <c r="AH527" s="6"/>
      <c r="AJ527" s="20">
        <f t="shared" si="97"/>
        <v>0</v>
      </c>
      <c r="AK527" s="50"/>
      <c r="AL527" s="6"/>
      <c r="AM527" s="20">
        <f t="shared" si="108"/>
        <v>0</v>
      </c>
      <c r="AN527" s="20">
        <f t="shared" si="109"/>
        <v>170000</v>
      </c>
      <c r="AP527" s="20">
        <f t="shared" si="110"/>
        <v>170000</v>
      </c>
      <c r="AQ527" s="7"/>
      <c r="AR527" s="20"/>
      <c r="AS527" s="51"/>
    </row>
    <row r="528" spans="1:45" s="21" customFormat="1" ht="30" customHeight="1" x14ac:dyDescent="0.2">
      <c r="A528" s="8">
        <v>450</v>
      </c>
      <c r="B528" s="46">
        <v>1</v>
      </c>
      <c r="C528" s="16" t="s">
        <v>52</v>
      </c>
      <c r="D528" s="48">
        <v>824</v>
      </c>
      <c r="E528" s="47">
        <v>45</v>
      </c>
      <c r="F528" s="48">
        <v>725</v>
      </c>
      <c r="G528" s="49">
        <v>6</v>
      </c>
      <c r="H528" s="48">
        <v>6</v>
      </c>
      <c r="I528" s="48">
        <v>0</v>
      </c>
      <c r="J528" s="48">
        <v>26</v>
      </c>
      <c r="K528" s="3">
        <v>2426</v>
      </c>
      <c r="L528" s="16"/>
      <c r="M528" s="57"/>
      <c r="N528" s="58"/>
      <c r="P528" s="16">
        <v>1</v>
      </c>
      <c r="Q528" s="20">
        <f t="shared" si="112"/>
        <v>2426</v>
      </c>
      <c r="R528" s="14">
        <v>160</v>
      </c>
      <c r="S528" s="19">
        <f t="shared" si="104"/>
        <v>388160</v>
      </c>
      <c r="T528" s="16"/>
      <c r="U528" s="16"/>
      <c r="V528" s="16"/>
      <c r="W528" s="5"/>
      <c r="X528" s="16"/>
      <c r="Y528" s="5"/>
      <c r="Z528" s="16"/>
      <c r="AA528" s="16"/>
      <c r="AB528" s="16"/>
      <c r="AC528" s="14"/>
      <c r="AD528" s="14"/>
      <c r="AE528" s="16"/>
      <c r="AG528" s="22">
        <f t="shared" si="105"/>
        <v>0</v>
      </c>
      <c r="AH528" s="6"/>
      <c r="AJ528" s="20">
        <f t="shared" si="97"/>
        <v>0</v>
      </c>
      <c r="AK528" s="50"/>
      <c r="AL528" s="6"/>
      <c r="AM528" s="20">
        <f t="shared" si="108"/>
        <v>0</v>
      </c>
      <c r="AN528" s="20">
        <f t="shared" si="109"/>
        <v>388160</v>
      </c>
      <c r="AP528" s="20">
        <f t="shared" si="110"/>
        <v>388160</v>
      </c>
      <c r="AQ528" s="7"/>
      <c r="AR528" s="20"/>
      <c r="AS528" s="51"/>
    </row>
    <row r="529" spans="1:45" s="21" customFormat="1" ht="30" customHeight="1" x14ac:dyDescent="0.2">
      <c r="A529" s="8">
        <v>451</v>
      </c>
      <c r="B529" s="46">
        <v>2</v>
      </c>
      <c r="C529" s="16" t="s">
        <v>52</v>
      </c>
      <c r="D529" s="48">
        <v>37534</v>
      </c>
      <c r="E529" s="47">
        <v>88</v>
      </c>
      <c r="F529" s="48">
        <v>7415</v>
      </c>
      <c r="G529" s="49">
        <v>6</v>
      </c>
      <c r="H529" s="48">
        <v>1</v>
      </c>
      <c r="I529" s="48">
        <v>2</v>
      </c>
      <c r="J529" s="48">
        <v>18.03</v>
      </c>
      <c r="K529" s="3">
        <v>618.03</v>
      </c>
      <c r="L529" s="16"/>
      <c r="M529" s="57"/>
      <c r="N529" s="58"/>
      <c r="P529" s="16">
        <v>1</v>
      </c>
      <c r="Q529" s="20">
        <f t="shared" si="112"/>
        <v>618.03</v>
      </c>
      <c r="R529" s="14">
        <v>750</v>
      </c>
      <c r="S529" s="20">
        <f t="shared" si="104"/>
        <v>463522.5</v>
      </c>
      <c r="T529" s="16"/>
      <c r="U529" s="17"/>
      <c r="V529" s="16"/>
      <c r="W529" s="5"/>
      <c r="X529" s="16"/>
      <c r="Y529" s="5"/>
      <c r="Z529" s="16"/>
      <c r="AA529" s="16"/>
      <c r="AB529" s="16"/>
      <c r="AC529" s="14"/>
      <c r="AD529" s="14"/>
      <c r="AE529" s="16"/>
      <c r="AG529" s="22">
        <f t="shared" si="105"/>
        <v>0</v>
      </c>
      <c r="AH529" s="6"/>
      <c r="AJ529" s="20">
        <f t="shared" si="97"/>
        <v>0</v>
      </c>
      <c r="AK529" s="50"/>
      <c r="AL529" s="6"/>
      <c r="AM529" s="20">
        <f t="shared" si="108"/>
        <v>0</v>
      </c>
      <c r="AN529" s="20">
        <f t="shared" si="109"/>
        <v>463522.5</v>
      </c>
      <c r="AP529" s="20">
        <f t="shared" si="110"/>
        <v>463522.5</v>
      </c>
      <c r="AQ529" s="7"/>
      <c r="AR529" s="20"/>
      <c r="AS529" s="51"/>
    </row>
    <row r="530" spans="1:45" s="21" customFormat="1" ht="27.75" customHeight="1" x14ac:dyDescent="0.2">
      <c r="A530" s="8">
        <v>452</v>
      </c>
      <c r="B530" s="46">
        <v>1</v>
      </c>
      <c r="C530" s="16" t="s">
        <v>52</v>
      </c>
      <c r="D530" s="48">
        <v>3160</v>
      </c>
      <c r="E530" s="47">
        <v>133</v>
      </c>
      <c r="F530" s="48">
        <v>2014</v>
      </c>
      <c r="G530" s="49">
        <v>2</v>
      </c>
      <c r="H530" s="48">
        <v>8</v>
      </c>
      <c r="I530" s="48">
        <v>1</v>
      </c>
      <c r="J530" s="48">
        <v>46</v>
      </c>
      <c r="K530" s="3">
        <v>3346</v>
      </c>
      <c r="L530" s="16"/>
      <c r="M530" s="57"/>
      <c r="N530" s="58"/>
      <c r="P530" s="16">
        <v>1</v>
      </c>
      <c r="Q530" s="20">
        <f t="shared" si="112"/>
        <v>3346</v>
      </c>
      <c r="R530" s="14">
        <v>3350</v>
      </c>
      <c r="S530" s="19">
        <f t="shared" si="104"/>
        <v>11209100</v>
      </c>
      <c r="T530" s="16"/>
      <c r="U530" s="17"/>
      <c r="V530" s="17"/>
      <c r="W530" s="4"/>
      <c r="X530" s="16"/>
      <c r="Y530" s="5"/>
      <c r="Z530" s="16"/>
      <c r="AA530" s="16"/>
      <c r="AB530" s="16"/>
      <c r="AC530" s="14"/>
      <c r="AD530" s="14"/>
      <c r="AE530" s="16"/>
      <c r="AG530" s="22">
        <f t="shared" si="105"/>
        <v>0</v>
      </c>
      <c r="AH530" s="6"/>
      <c r="AJ530" s="20">
        <f t="shared" si="97"/>
        <v>0</v>
      </c>
      <c r="AK530" s="50"/>
      <c r="AL530" s="6"/>
      <c r="AM530" s="20">
        <f t="shared" si="108"/>
        <v>0</v>
      </c>
      <c r="AN530" s="20">
        <f t="shared" si="109"/>
        <v>11209100</v>
      </c>
      <c r="AP530" s="20">
        <f t="shared" si="110"/>
        <v>11209100</v>
      </c>
      <c r="AQ530" s="7"/>
      <c r="AR530" s="20"/>
      <c r="AS530" s="51"/>
    </row>
    <row r="531" spans="1:45" ht="27.75" customHeight="1" x14ac:dyDescent="0.2">
      <c r="A531" s="8"/>
      <c r="C531" s="16"/>
      <c r="AG531" s="22"/>
      <c r="AJ531" s="20"/>
      <c r="AM531" s="20"/>
      <c r="AN531" s="20"/>
      <c r="AP531" s="20"/>
      <c r="AR531" s="20"/>
    </row>
    <row r="532" spans="1:45" ht="27.75" customHeight="1" x14ac:dyDescent="0.2">
      <c r="A532" s="8"/>
      <c r="B532" s="46"/>
      <c r="C532" s="16"/>
      <c r="S532" s="20"/>
      <c r="AG532" s="22"/>
      <c r="AJ532" s="20"/>
      <c r="AM532" s="20"/>
      <c r="AN532" s="20"/>
      <c r="AP532" s="20"/>
      <c r="AR532" s="20"/>
    </row>
    <row r="533" spans="1:45" ht="27.75" customHeight="1" x14ac:dyDescent="0.2">
      <c r="A533" s="8">
        <v>453</v>
      </c>
      <c r="B533" s="13">
        <v>2</v>
      </c>
      <c r="C533" s="16" t="s">
        <v>65</v>
      </c>
      <c r="D533" s="17">
        <v>3250</v>
      </c>
      <c r="E533" s="17">
        <v>501</v>
      </c>
      <c r="H533" s="17">
        <v>0</v>
      </c>
      <c r="I533" s="17">
        <v>0</v>
      </c>
      <c r="J533" s="17">
        <v>60</v>
      </c>
      <c r="K533" s="10">
        <v>60</v>
      </c>
      <c r="P533" s="17">
        <v>1</v>
      </c>
      <c r="Q533" s="19">
        <f t="shared" si="112"/>
        <v>60</v>
      </c>
      <c r="R533" s="14">
        <v>160</v>
      </c>
      <c r="S533" s="19">
        <f t="shared" si="104"/>
        <v>9600</v>
      </c>
      <c r="AG533" s="22">
        <f t="shared" si="105"/>
        <v>0</v>
      </c>
      <c r="AJ533" s="20">
        <f t="shared" si="97"/>
        <v>0</v>
      </c>
      <c r="AM533" s="20">
        <f t="shared" si="108"/>
        <v>0</v>
      </c>
      <c r="AN533" s="20">
        <f t="shared" si="109"/>
        <v>9600</v>
      </c>
      <c r="AP533" s="20">
        <f t="shared" si="110"/>
        <v>9600</v>
      </c>
      <c r="AQ533" s="12">
        <v>1E-4</v>
      </c>
      <c r="AR533" s="20"/>
    </row>
    <row r="534" spans="1:45" ht="27.75" customHeight="1" x14ac:dyDescent="0.2">
      <c r="A534" s="8">
        <v>454</v>
      </c>
      <c r="B534" s="46">
        <v>3</v>
      </c>
      <c r="C534" s="16" t="s">
        <v>65</v>
      </c>
      <c r="D534" s="17">
        <v>3251</v>
      </c>
      <c r="E534" s="17">
        <v>502</v>
      </c>
      <c r="H534" s="17">
        <v>0</v>
      </c>
      <c r="I534" s="17">
        <v>0</v>
      </c>
      <c r="J534" s="17">
        <v>62</v>
      </c>
      <c r="K534" s="10">
        <v>62</v>
      </c>
      <c r="P534" s="17">
        <v>1</v>
      </c>
      <c r="Q534" s="19">
        <f t="shared" si="112"/>
        <v>62</v>
      </c>
      <c r="R534" s="14">
        <v>160</v>
      </c>
      <c r="S534" s="19">
        <f t="shared" si="104"/>
        <v>9920</v>
      </c>
      <c r="AG534" s="22">
        <f t="shared" si="105"/>
        <v>0</v>
      </c>
      <c r="AJ534" s="20">
        <f t="shared" si="97"/>
        <v>0</v>
      </c>
      <c r="AM534" s="20">
        <f t="shared" si="108"/>
        <v>0</v>
      </c>
      <c r="AN534" s="20">
        <f t="shared" si="109"/>
        <v>9920</v>
      </c>
      <c r="AP534" s="20">
        <f t="shared" si="110"/>
        <v>9920</v>
      </c>
      <c r="AQ534" s="12">
        <v>1E-4</v>
      </c>
      <c r="AR534" s="20"/>
    </row>
    <row r="535" spans="1:45" ht="27.75" customHeight="1" x14ac:dyDescent="0.2">
      <c r="A535" s="8">
        <v>455</v>
      </c>
      <c r="B535" s="13">
        <v>4</v>
      </c>
      <c r="C535" s="16" t="s">
        <v>65</v>
      </c>
      <c r="D535" s="17">
        <v>3252</v>
      </c>
      <c r="E535" s="17">
        <v>503</v>
      </c>
      <c r="H535" s="17">
        <v>0</v>
      </c>
      <c r="I535" s="17">
        <v>0</v>
      </c>
      <c r="J535" s="17">
        <v>64</v>
      </c>
      <c r="K535" s="10">
        <v>64</v>
      </c>
      <c r="P535" s="17">
        <v>1</v>
      </c>
      <c r="Q535" s="19">
        <f t="shared" si="112"/>
        <v>64</v>
      </c>
      <c r="R535" s="14">
        <v>160</v>
      </c>
      <c r="S535" s="20">
        <f t="shared" si="104"/>
        <v>10240</v>
      </c>
      <c r="AG535" s="22">
        <f t="shared" si="105"/>
        <v>0</v>
      </c>
      <c r="AJ535" s="20">
        <f t="shared" si="97"/>
        <v>0</v>
      </c>
      <c r="AM535" s="20">
        <f t="shared" si="108"/>
        <v>0</v>
      </c>
      <c r="AN535" s="20">
        <f t="shared" si="109"/>
        <v>10240</v>
      </c>
      <c r="AP535" s="20">
        <f t="shared" si="110"/>
        <v>10240</v>
      </c>
      <c r="AQ535" s="12">
        <v>1E-4</v>
      </c>
      <c r="AR535" s="20"/>
    </row>
    <row r="536" spans="1:45" ht="27.75" customHeight="1" x14ac:dyDescent="0.2">
      <c r="A536" s="8">
        <v>456</v>
      </c>
      <c r="B536" s="46">
        <v>5</v>
      </c>
      <c r="C536" s="16" t="s">
        <v>65</v>
      </c>
      <c r="D536" s="17">
        <v>3253</v>
      </c>
      <c r="E536" s="17">
        <v>504</v>
      </c>
      <c r="H536" s="17">
        <v>0</v>
      </c>
      <c r="I536" s="17">
        <v>0</v>
      </c>
      <c r="J536" s="17">
        <v>66</v>
      </c>
      <c r="K536" s="10">
        <v>66</v>
      </c>
      <c r="P536" s="17">
        <v>1</v>
      </c>
      <c r="Q536" s="19">
        <f t="shared" si="112"/>
        <v>66</v>
      </c>
      <c r="R536" s="14">
        <v>160</v>
      </c>
      <c r="S536" s="19">
        <f t="shared" si="104"/>
        <v>10560</v>
      </c>
      <c r="AC536" s="21"/>
      <c r="AD536" s="21"/>
      <c r="AG536" s="22">
        <f t="shared" si="105"/>
        <v>0</v>
      </c>
      <c r="AJ536" s="20">
        <f t="shared" si="97"/>
        <v>0</v>
      </c>
      <c r="AM536" s="20">
        <f t="shared" si="108"/>
        <v>0</v>
      </c>
      <c r="AN536" s="20">
        <f t="shared" si="109"/>
        <v>10560</v>
      </c>
      <c r="AP536" s="20">
        <f t="shared" si="110"/>
        <v>10560</v>
      </c>
      <c r="AQ536" s="12">
        <v>1E-4</v>
      </c>
      <c r="AR536" s="20"/>
    </row>
    <row r="537" spans="1:45" ht="27.75" customHeight="1" x14ac:dyDescent="0.2">
      <c r="A537" s="8">
        <v>457</v>
      </c>
      <c r="B537" s="13">
        <v>6</v>
      </c>
      <c r="C537" s="16" t="s">
        <v>65</v>
      </c>
      <c r="D537" s="17">
        <v>3254</v>
      </c>
      <c r="E537" s="17">
        <v>505</v>
      </c>
      <c r="H537" s="17">
        <v>0</v>
      </c>
      <c r="I537" s="17">
        <v>0</v>
      </c>
      <c r="J537" s="17">
        <v>68</v>
      </c>
      <c r="K537" s="10">
        <v>68</v>
      </c>
      <c r="P537" s="17">
        <v>1</v>
      </c>
      <c r="Q537" s="19">
        <f t="shared" si="112"/>
        <v>68</v>
      </c>
      <c r="R537" s="14">
        <v>160</v>
      </c>
      <c r="S537" s="19">
        <f t="shared" si="104"/>
        <v>10880</v>
      </c>
      <c r="AC537" s="21"/>
      <c r="AD537" s="21"/>
      <c r="AG537" s="22">
        <f t="shared" si="105"/>
        <v>0</v>
      </c>
      <c r="AJ537" s="20">
        <f t="shared" si="97"/>
        <v>0</v>
      </c>
      <c r="AM537" s="20">
        <f t="shared" si="108"/>
        <v>0</v>
      </c>
      <c r="AN537" s="20">
        <f t="shared" si="109"/>
        <v>10880</v>
      </c>
      <c r="AP537" s="20">
        <f t="shared" si="110"/>
        <v>10880</v>
      </c>
      <c r="AQ537" s="12">
        <v>1E-4</v>
      </c>
      <c r="AR537" s="20"/>
    </row>
    <row r="538" spans="1:45" ht="27.75" customHeight="1" x14ac:dyDescent="0.2">
      <c r="A538" s="8">
        <v>458</v>
      </c>
      <c r="B538" s="46">
        <v>7</v>
      </c>
      <c r="C538" s="16" t="s">
        <v>65</v>
      </c>
      <c r="D538" s="17">
        <v>3255</v>
      </c>
      <c r="E538" s="17">
        <v>506</v>
      </c>
      <c r="H538" s="17">
        <v>0</v>
      </c>
      <c r="I538" s="17">
        <v>0</v>
      </c>
      <c r="J538" s="17">
        <v>70</v>
      </c>
      <c r="K538" s="10">
        <v>70</v>
      </c>
      <c r="P538" s="17">
        <v>1</v>
      </c>
      <c r="Q538" s="19">
        <f t="shared" si="112"/>
        <v>70</v>
      </c>
      <c r="R538" s="14">
        <v>160</v>
      </c>
      <c r="S538" s="20">
        <f t="shared" si="104"/>
        <v>11200</v>
      </c>
      <c r="AC538" s="21"/>
      <c r="AD538" s="21"/>
      <c r="AG538" s="22">
        <f t="shared" si="105"/>
        <v>0</v>
      </c>
      <c r="AJ538" s="20">
        <f t="shared" si="97"/>
        <v>0</v>
      </c>
      <c r="AM538" s="20">
        <f t="shared" si="108"/>
        <v>0</v>
      </c>
      <c r="AN538" s="20">
        <f t="shared" si="109"/>
        <v>11200</v>
      </c>
      <c r="AP538" s="20">
        <f t="shared" si="110"/>
        <v>11200</v>
      </c>
      <c r="AQ538" s="12">
        <v>1E-4</v>
      </c>
      <c r="AR538" s="20"/>
    </row>
    <row r="539" spans="1:45" ht="27.75" customHeight="1" x14ac:dyDescent="0.2">
      <c r="A539" s="8">
        <v>459</v>
      </c>
      <c r="B539" s="13">
        <v>8</v>
      </c>
      <c r="C539" s="16" t="s">
        <v>65</v>
      </c>
      <c r="D539" s="17">
        <v>3256</v>
      </c>
      <c r="E539" s="17">
        <v>507</v>
      </c>
      <c r="H539" s="17">
        <v>0</v>
      </c>
      <c r="I539" s="17">
        <v>0</v>
      </c>
      <c r="J539" s="17">
        <v>72</v>
      </c>
      <c r="K539" s="10">
        <v>72</v>
      </c>
      <c r="P539" s="17">
        <v>1</v>
      </c>
      <c r="Q539" s="19">
        <f t="shared" si="112"/>
        <v>72</v>
      </c>
      <c r="R539" s="14">
        <v>160</v>
      </c>
      <c r="S539" s="19">
        <f t="shared" si="104"/>
        <v>11520</v>
      </c>
      <c r="AC539" s="21"/>
      <c r="AD539" s="21"/>
      <c r="AG539" s="22">
        <f t="shared" si="105"/>
        <v>0</v>
      </c>
      <c r="AJ539" s="20">
        <f t="shared" si="97"/>
        <v>0</v>
      </c>
      <c r="AM539" s="20">
        <f t="shared" si="108"/>
        <v>0</v>
      </c>
      <c r="AN539" s="20">
        <f t="shared" ref="AN539:AN570" si="113">+S539+AM539</f>
        <v>11520</v>
      </c>
      <c r="AP539" s="20">
        <f t="shared" si="110"/>
        <v>11520</v>
      </c>
      <c r="AQ539" s="12">
        <v>1E-4</v>
      </c>
      <c r="AR539" s="20"/>
    </row>
    <row r="540" spans="1:45" ht="27.75" customHeight="1" x14ac:dyDescent="0.2">
      <c r="A540" s="8">
        <v>460</v>
      </c>
      <c r="B540" s="46">
        <v>9</v>
      </c>
      <c r="C540" s="16" t="s">
        <v>65</v>
      </c>
      <c r="D540" s="17">
        <v>3257</v>
      </c>
      <c r="E540" s="17">
        <v>508</v>
      </c>
      <c r="H540" s="17">
        <v>0</v>
      </c>
      <c r="I540" s="17">
        <v>0</v>
      </c>
      <c r="J540" s="17">
        <v>50</v>
      </c>
      <c r="K540" s="10">
        <v>50</v>
      </c>
      <c r="P540" s="17">
        <v>1</v>
      </c>
      <c r="Q540" s="19">
        <f t="shared" si="112"/>
        <v>50</v>
      </c>
      <c r="R540" s="14">
        <v>160</v>
      </c>
      <c r="S540" s="19">
        <f t="shared" si="104"/>
        <v>8000</v>
      </c>
      <c r="AC540" s="21"/>
      <c r="AD540" s="21"/>
      <c r="AG540" s="22">
        <f t="shared" si="105"/>
        <v>0</v>
      </c>
      <c r="AJ540" s="20">
        <f t="shared" si="97"/>
        <v>0</v>
      </c>
      <c r="AM540" s="20">
        <f t="shared" si="108"/>
        <v>0</v>
      </c>
      <c r="AN540" s="20">
        <f t="shared" si="113"/>
        <v>8000</v>
      </c>
      <c r="AP540" s="20">
        <f t="shared" si="110"/>
        <v>8000</v>
      </c>
      <c r="AQ540" s="12">
        <v>1E-4</v>
      </c>
      <c r="AR540" s="20"/>
    </row>
    <row r="541" spans="1:45" ht="27.75" customHeight="1" x14ac:dyDescent="0.2">
      <c r="A541" s="8">
        <v>461</v>
      </c>
      <c r="B541" s="13">
        <v>10</v>
      </c>
      <c r="C541" s="16" t="s">
        <v>65</v>
      </c>
      <c r="D541" s="17">
        <v>3258</v>
      </c>
      <c r="E541" s="17">
        <v>509</v>
      </c>
      <c r="H541" s="17">
        <v>0</v>
      </c>
      <c r="I541" s="17">
        <v>0</v>
      </c>
      <c r="J541" s="17">
        <v>50.05</v>
      </c>
      <c r="K541" s="10">
        <v>50.05</v>
      </c>
      <c r="P541" s="17">
        <v>1</v>
      </c>
      <c r="Q541" s="19">
        <f t="shared" si="112"/>
        <v>50.05</v>
      </c>
      <c r="R541" s="14">
        <v>160</v>
      </c>
      <c r="S541" s="20">
        <f t="shared" si="104"/>
        <v>8008</v>
      </c>
      <c r="AC541" s="21"/>
      <c r="AD541" s="21"/>
      <c r="AG541" s="22">
        <f t="shared" si="105"/>
        <v>0</v>
      </c>
      <c r="AJ541" s="20">
        <f t="shared" si="97"/>
        <v>0</v>
      </c>
      <c r="AM541" s="20">
        <f t="shared" si="108"/>
        <v>0</v>
      </c>
      <c r="AN541" s="20">
        <f t="shared" si="113"/>
        <v>8008</v>
      </c>
      <c r="AP541" s="20">
        <f t="shared" si="110"/>
        <v>8008</v>
      </c>
      <c r="AQ541" s="12">
        <v>1E-4</v>
      </c>
      <c r="AR541" s="20"/>
    </row>
    <row r="542" spans="1:45" ht="27.75" customHeight="1" x14ac:dyDescent="0.2">
      <c r="A542" s="8">
        <v>462</v>
      </c>
      <c r="B542" s="46">
        <v>11</v>
      </c>
      <c r="C542" s="16" t="s">
        <v>65</v>
      </c>
      <c r="D542" s="17">
        <v>3259</v>
      </c>
      <c r="E542" s="17">
        <v>510</v>
      </c>
      <c r="H542" s="17">
        <v>0</v>
      </c>
      <c r="I542" s="17">
        <v>0</v>
      </c>
      <c r="J542" s="17">
        <v>58</v>
      </c>
      <c r="K542" s="10">
        <v>58</v>
      </c>
      <c r="P542" s="17">
        <v>1</v>
      </c>
      <c r="Q542" s="19">
        <f t="shared" si="112"/>
        <v>58</v>
      </c>
      <c r="R542" s="14">
        <v>250</v>
      </c>
      <c r="S542" s="19">
        <f t="shared" si="104"/>
        <v>14500</v>
      </c>
      <c r="AC542" s="21"/>
      <c r="AD542" s="21"/>
      <c r="AG542" s="22">
        <f t="shared" si="105"/>
        <v>0</v>
      </c>
      <c r="AJ542" s="20">
        <f t="shared" ref="AJ542:AJ605" si="114">+AG542*AH542*AI542</f>
        <v>0</v>
      </c>
      <c r="AM542" s="20">
        <f t="shared" si="108"/>
        <v>0</v>
      </c>
      <c r="AN542" s="20">
        <f t="shared" si="113"/>
        <v>14500</v>
      </c>
      <c r="AP542" s="20">
        <f t="shared" si="110"/>
        <v>14500</v>
      </c>
      <c r="AQ542" s="12">
        <v>1E-4</v>
      </c>
      <c r="AR542" s="20"/>
    </row>
    <row r="543" spans="1:45" ht="27.75" customHeight="1" x14ac:dyDescent="0.2">
      <c r="A543" s="8">
        <v>463</v>
      </c>
      <c r="B543" s="13">
        <v>12</v>
      </c>
      <c r="C543" s="16" t="s">
        <v>65</v>
      </c>
      <c r="D543" s="17">
        <v>3262</v>
      </c>
      <c r="E543" s="17">
        <v>513</v>
      </c>
      <c r="H543" s="17">
        <v>0</v>
      </c>
      <c r="I543" s="17">
        <v>0</v>
      </c>
      <c r="J543" s="17">
        <v>68</v>
      </c>
      <c r="K543" s="10">
        <v>68</v>
      </c>
      <c r="P543" s="17">
        <v>1</v>
      </c>
      <c r="Q543" s="19">
        <f t="shared" si="112"/>
        <v>68</v>
      </c>
      <c r="R543" s="14">
        <v>250</v>
      </c>
      <c r="S543" s="19">
        <f t="shared" si="104"/>
        <v>17000</v>
      </c>
      <c r="AC543" s="21"/>
      <c r="AD543" s="21"/>
      <c r="AG543" s="22">
        <f t="shared" si="105"/>
        <v>0</v>
      </c>
      <c r="AJ543" s="20">
        <f t="shared" si="114"/>
        <v>0</v>
      </c>
      <c r="AM543" s="20">
        <f t="shared" si="108"/>
        <v>0</v>
      </c>
      <c r="AN543" s="20">
        <f t="shared" si="113"/>
        <v>17000</v>
      </c>
      <c r="AP543" s="20">
        <f t="shared" si="110"/>
        <v>17000</v>
      </c>
      <c r="AQ543" s="12">
        <v>1E-4</v>
      </c>
      <c r="AR543" s="20"/>
    </row>
    <row r="544" spans="1:45" ht="27.75" customHeight="1" x14ac:dyDescent="0.2">
      <c r="A544" s="8">
        <v>464</v>
      </c>
      <c r="B544" s="46">
        <v>13</v>
      </c>
      <c r="C544" s="16" t="s">
        <v>65</v>
      </c>
      <c r="D544" s="17">
        <v>3263</v>
      </c>
      <c r="E544" s="17">
        <v>514</v>
      </c>
      <c r="H544" s="17">
        <v>0</v>
      </c>
      <c r="I544" s="17">
        <v>0</v>
      </c>
      <c r="J544" s="17">
        <v>95</v>
      </c>
      <c r="K544" s="10">
        <v>95</v>
      </c>
      <c r="P544" s="17">
        <v>1</v>
      </c>
      <c r="Q544" s="19">
        <f t="shared" si="112"/>
        <v>95</v>
      </c>
      <c r="R544" s="14">
        <v>250</v>
      </c>
      <c r="S544" s="20">
        <f t="shared" si="104"/>
        <v>23750</v>
      </c>
      <c r="AC544" s="21"/>
      <c r="AD544" s="21"/>
      <c r="AG544" s="22">
        <f t="shared" si="105"/>
        <v>0</v>
      </c>
      <c r="AJ544" s="20">
        <f t="shared" si="114"/>
        <v>0</v>
      </c>
      <c r="AM544" s="20">
        <f t="shared" si="108"/>
        <v>0</v>
      </c>
      <c r="AN544" s="20">
        <f t="shared" si="113"/>
        <v>23750</v>
      </c>
      <c r="AP544" s="20">
        <f t="shared" si="110"/>
        <v>23750</v>
      </c>
      <c r="AQ544" s="12">
        <v>1E-4</v>
      </c>
      <c r="AR544" s="20"/>
    </row>
    <row r="545" spans="1:44" s="26" customFormat="1" ht="27.75" customHeight="1" x14ac:dyDescent="0.2">
      <c r="A545" s="8">
        <v>465</v>
      </c>
      <c r="B545" s="13">
        <v>14</v>
      </c>
      <c r="C545" s="16" t="s">
        <v>65</v>
      </c>
      <c r="D545" s="17">
        <v>3264</v>
      </c>
      <c r="E545" s="17">
        <v>515</v>
      </c>
      <c r="F545" s="17"/>
      <c r="G545" s="13"/>
      <c r="H545" s="17">
        <v>0</v>
      </c>
      <c r="I545" s="17">
        <v>0</v>
      </c>
      <c r="J545" s="17">
        <v>63</v>
      </c>
      <c r="K545" s="10">
        <v>63</v>
      </c>
      <c r="L545" s="17"/>
      <c r="M545" s="15"/>
      <c r="N545" s="18"/>
      <c r="O545" s="14"/>
      <c r="P545" s="17">
        <v>1</v>
      </c>
      <c r="Q545" s="19">
        <f t="shared" si="112"/>
        <v>63</v>
      </c>
      <c r="R545" s="14">
        <v>250</v>
      </c>
      <c r="S545" s="19">
        <f t="shared" si="104"/>
        <v>15750</v>
      </c>
      <c r="T545" s="17"/>
      <c r="U545" s="17"/>
      <c r="V545" s="17"/>
      <c r="W545" s="4"/>
      <c r="X545" s="17"/>
      <c r="Y545" s="4"/>
      <c r="Z545" s="17"/>
      <c r="AA545" s="17"/>
      <c r="AB545" s="17"/>
      <c r="AC545" s="21"/>
      <c r="AD545" s="21"/>
      <c r="AE545" s="17"/>
      <c r="AF545" s="14"/>
      <c r="AG545" s="22">
        <f t="shared" si="105"/>
        <v>0</v>
      </c>
      <c r="AH545" s="11"/>
      <c r="AI545" s="14"/>
      <c r="AJ545" s="20">
        <f t="shared" si="114"/>
        <v>0</v>
      </c>
      <c r="AK545" s="23"/>
      <c r="AL545" s="11"/>
      <c r="AM545" s="20">
        <f t="shared" si="108"/>
        <v>0</v>
      </c>
      <c r="AN545" s="20">
        <f t="shared" si="113"/>
        <v>15750</v>
      </c>
      <c r="AO545" s="14"/>
      <c r="AP545" s="20">
        <f t="shared" si="110"/>
        <v>15750</v>
      </c>
      <c r="AQ545" s="12">
        <v>1E-4</v>
      </c>
      <c r="AR545" s="20"/>
    </row>
    <row r="546" spans="1:44" s="26" customFormat="1" ht="27.75" customHeight="1" x14ac:dyDescent="0.2">
      <c r="A546" s="8">
        <v>466</v>
      </c>
      <c r="B546" s="46">
        <v>15</v>
      </c>
      <c r="C546" s="16" t="s">
        <v>65</v>
      </c>
      <c r="D546" s="17">
        <v>3265</v>
      </c>
      <c r="E546" s="17">
        <v>516</v>
      </c>
      <c r="F546" s="17"/>
      <c r="G546" s="13"/>
      <c r="H546" s="17">
        <v>0</v>
      </c>
      <c r="I546" s="17">
        <v>0</v>
      </c>
      <c r="J546" s="17">
        <v>50</v>
      </c>
      <c r="K546" s="10">
        <v>50</v>
      </c>
      <c r="L546" s="17"/>
      <c r="M546" s="15"/>
      <c r="N546" s="18"/>
      <c r="O546" s="14"/>
      <c r="P546" s="17">
        <v>1</v>
      </c>
      <c r="Q546" s="19">
        <f t="shared" si="112"/>
        <v>50</v>
      </c>
      <c r="R546" s="14">
        <v>160</v>
      </c>
      <c r="S546" s="19">
        <f t="shared" si="104"/>
        <v>8000</v>
      </c>
      <c r="T546" s="17"/>
      <c r="U546" s="17"/>
      <c r="V546" s="17"/>
      <c r="W546" s="4"/>
      <c r="X546" s="17"/>
      <c r="Y546" s="4"/>
      <c r="Z546" s="17"/>
      <c r="AA546" s="17"/>
      <c r="AB546" s="17"/>
      <c r="AC546" s="21"/>
      <c r="AD546" s="21"/>
      <c r="AE546" s="17"/>
      <c r="AF546" s="14"/>
      <c r="AG546" s="22">
        <f t="shared" si="105"/>
        <v>0</v>
      </c>
      <c r="AH546" s="11"/>
      <c r="AI546" s="14"/>
      <c r="AJ546" s="20">
        <f t="shared" si="114"/>
        <v>0</v>
      </c>
      <c r="AK546" s="23"/>
      <c r="AL546" s="11"/>
      <c r="AM546" s="20">
        <f t="shared" si="108"/>
        <v>0</v>
      </c>
      <c r="AN546" s="20">
        <f t="shared" si="113"/>
        <v>8000</v>
      </c>
      <c r="AO546" s="14"/>
      <c r="AP546" s="20">
        <f t="shared" si="110"/>
        <v>8000</v>
      </c>
      <c r="AQ546" s="12">
        <v>1E-4</v>
      </c>
      <c r="AR546" s="20"/>
    </row>
    <row r="547" spans="1:44" s="26" customFormat="1" ht="27.75" customHeight="1" x14ac:dyDescent="0.2">
      <c r="A547" s="8">
        <v>467</v>
      </c>
      <c r="B547" s="13">
        <v>16</v>
      </c>
      <c r="C547" s="16" t="s">
        <v>65</v>
      </c>
      <c r="D547" s="17">
        <v>3266</v>
      </c>
      <c r="E547" s="17">
        <v>517</v>
      </c>
      <c r="F547" s="17"/>
      <c r="G547" s="13"/>
      <c r="H547" s="17">
        <v>0</v>
      </c>
      <c r="I547" s="17">
        <v>0</v>
      </c>
      <c r="J547" s="17">
        <v>50</v>
      </c>
      <c r="K547" s="10">
        <v>50</v>
      </c>
      <c r="L547" s="17"/>
      <c r="M547" s="15"/>
      <c r="N547" s="18"/>
      <c r="O547" s="14"/>
      <c r="P547" s="17">
        <v>1</v>
      </c>
      <c r="Q547" s="19">
        <f t="shared" si="112"/>
        <v>50</v>
      </c>
      <c r="R547" s="14">
        <v>160</v>
      </c>
      <c r="S547" s="20">
        <f t="shared" si="104"/>
        <v>8000</v>
      </c>
      <c r="T547" s="17"/>
      <c r="U547" s="17"/>
      <c r="V547" s="17"/>
      <c r="W547" s="4"/>
      <c r="X547" s="17"/>
      <c r="Y547" s="4"/>
      <c r="Z547" s="17"/>
      <c r="AA547" s="17"/>
      <c r="AB547" s="17"/>
      <c r="AC547" s="14"/>
      <c r="AD547" s="14"/>
      <c r="AE547" s="17"/>
      <c r="AF547" s="14"/>
      <c r="AG547" s="22">
        <f t="shared" si="105"/>
        <v>0</v>
      </c>
      <c r="AH547" s="11"/>
      <c r="AI547" s="14"/>
      <c r="AJ547" s="20">
        <f t="shared" si="114"/>
        <v>0</v>
      </c>
      <c r="AK547" s="23"/>
      <c r="AL547" s="11"/>
      <c r="AM547" s="20">
        <f t="shared" si="108"/>
        <v>0</v>
      </c>
      <c r="AN547" s="20">
        <f t="shared" si="113"/>
        <v>8000</v>
      </c>
      <c r="AO547" s="14"/>
      <c r="AP547" s="20">
        <f t="shared" si="110"/>
        <v>8000</v>
      </c>
      <c r="AQ547" s="12">
        <v>1E-4</v>
      </c>
      <c r="AR547" s="20"/>
    </row>
    <row r="548" spans="1:44" s="26" customFormat="1" ht="27.75" customHeight="1" x14ac:dyDescent="0.2">
      <c r="A548" s="8">
        <v>468</v>
      </c>
      <c r="B548" s="46">
        <v>17</v>
      </c>
      <c r="C548" s="16" t="s">
        <v>65</v>
      </c>
      <c r="D548" s="17">
        <v>3267</v>
      </c>
      <c r="E548" s="17">
        <v>518</v>
      </c>
      <c r="F548" s="17"/>
      <c r="G548" s="13"/>
      <c r="H548" s="17">
        <v>0</v>
      </c>
      <c r="I548" s="17">
        <v>0</v>
      </c>
      <c r="J548" s="17">
        <v>50</v>
      </c>
      <c r="K548" s="10">
        <v>50</v>
      </c>
      <c r="L548" s="17"/>
      <c r="M548" s="15"/>
      <c r="N548" s="18"/>
      <c r="O548" s="14"/>
      <c r="P548" s="17">
        <v>1</v>
      </c>
      <c r="Q548" s="19">
        <f t="shared" si="112"/>
        <v>50</v>
      </c>
      <c r="R548" s="14">
        <v>160</v>
      </c>
      <c r="S548" s="19">
        <f t="shared" si="104"/>
        <v>8000</v>
      </c>
      <c r="T548" s="17"/>
      <c r="U548" s="17"/>
      <c r="V548" s="17"/>
      <c r="W548" s="4"/>
      <c r="X548" s="17"/>
      <c r="Y548" s="4"/>
      <c r="Z548" s="17"/>
      <c r="AA548" s="17"/>
      <c r="AB548" s="17"/>
      <c r="AC548" s="21"/>
      <c r="AD548" s="21"/>
      <c r="AE548" s="17"/>
      <c r="AF548" s="14"/>
      <c r="AG548" s="22">
        <f t="shared" si="105"/>
        <v>0</v>
      </c>
      <c r="AH548" s="11"/>
      <c r="AI548" s="14"/>
      <c r="AJ548" s="20">
        <f t="shared" si="114"/>
        <v>0</v>
      </c>
      <c r="AK548" s="23"/>
      <c r="AL548" s="11"/>
      <c r="AM548" s="20">
        <f t="shared" si="108"/>
        <v>0</v>
      </c>
      <c r="AN548" s="20">
        <f t="shared" si="113"/>
        <v>8000</v>
      </c>
      <c r="AO548" s="14"/>
      <c r="AP548" s="20">
        <f t="shared" si="110"/>
        <v>8000</v>
      </c>
      <c r="AQ548" s="12">
        <v>1E-4</v>
      </c>
      <c r="AR548" s="20"/>
    </row>
    <row r="549" spans="1:44" s="26" customFormat="1" ht="27.75" customHeight="1" x14ac:dyDescent="0.2">
      <c r="A549" s="8">
        <v>469</v>
      </c>
      <c r="B549" s="13">
        <v>18</v>
      </c>
      <c r="C549" s="16" t="s">
        <v>65</v>
      </c>
      <c r="D549" s="17">
        <v>3268</v>
      </c>
      <c r="E549" s="17">
        <v>519</v>
      </c>
      <c r="F549" s="17"/>
      <c r="G549" s="13"/>
      <c r="H549" s="17">
        <v>0</v>
      </c>
      <c r="I549" s="17">
        <v>0</v>
      </c>
      <c r="J549" s="17">
        <v>50</v>
      </c>
      <c r="K549" s="10">
        <v>50</v>
      </c>
      <c r="L549" s="17"/>
      <c r="M549" s="15"/>
      <c r="N549" s="18"/>
      <c r="O549" s="14"/>
      <c r="P549" s="17">
        <v>1</v>
      </c>
      <c r="Q549" s="19">
        <f t="shared" si="112"/>
        <v>50</v>
      </c>
      <c r="R549" s="14">
        <v>160</v>
      </c>
      <c r="S549" s="19">
        <f t="shared" si="104"/>
        <v>8000</v>
      </c>
      <c r="T549" s="17"/>
      <c r="U549" s="17"/>
      <c r="V549" s="17"/>
      <c r="W549" s="4"/>
      <c r="X549" s="17"/>
      <c r="Y549" s="4"/>
      <c r="Z549" s="17"/>
      <c r="AA549" s="17"/>
      <c r="AB549" s="17"/>
      <c r="AC549" s="14"/>
      <c r="AD549" s="14"/>
      <c r="AE549" s="17"/>
      <c r="AF549" s="14"/>
      <c r="AG549" s="22">
        <f t="shared" si="105"/>
        <v>0</v>
      </c>
      <c r="AH549" s="11"/>
      <c r="AI549" s="14"/>
      <c r="AJ549" s="20">
        <f t="shared" si="114"/>
        <v>0</v>
      </c>
      <c r="AK549" s="23"/>
      <c r="AL549" s="11"/>
      <c r="AM549" s="20">
        <f t="shared" si="108"/>
        <v>0</v>
      </c>
      <c r="AN549" s="20">
        <f t="shared" si="113"/>
        <v>8000</v>
      </c>
      <c r="AO549" s="14"/>
      <c r="AP549" s="20">
        <f t="shared" si="110"/>
        <v>8000</v>
      </c>
      <c r="AQ549" s="12">
        <v>1E-4</v>
      </c>
      <c r="AR549" s="20"/>
    </row>
    <row r="550" spans="1:44" s="26" customFormat="1" ht="27.75" customHeight="1" x14ac:dyDescent="0.2">
      <c r="A550" s="8">
        <v>470</v>
      </c>
      <c r="B550" s="46">
        <v>19</v>
      </c>
      <c r="C550" s="16" t="s">
        <v>65</v>
      </c>
      <c r="D550" s="17">
        <v>3269</v>
      </c>
      <c r="E550" s="17">
        <v>520</v>
      </c>
      <c r="F550" s="17"/>
      <c r="G550" s="13"/>
      <c r="H550" s="17">
        <v>0</v>
      </c>
      <c r="I550" s="17">
        <v>0</v>
      </c>
      <c r="J550" s="17">
        <v>50</v>
      </c>
      <c r="K550" s="10">
        <v>50</v>
      </c>
      <c r="L550" s="17"/>
      <c r="M550" s="15"/>
      <c r="N550" s="18"/>
      <c r="O550" s="14"/>
      <c r="P550" s="17">
        <v>1</v>
      </c>
      <c r="Q550" s="19">
        <f t="shared" si="112"/>
        <v>50</v>
      </c>
      <c r="R550" s="14">
        <v>160</v>
      </c>
      <c r="S550" s="20">
        <f t="shared" si="104"/>
        <v>8000</v>
      </c>
      <c r="T550" s="17"/>
      <c r="U550" s="17"/>
      <c r="V550" s="17"/>
      <c r="W550" s="4"/>
      <c r="X550" s="17"/>
      <c r="Y550" s="4"/>
      <c r="Z550" s="17"/>
      <c r="AA550" s="17"/>
      <c r="AB550" s="17"/>
      <c r="AC550" s="14"/>
      <c r="AD550" s="14"/>
      <c r="AE550" s="17"/>
      <c r="AF550" s="14"/>
      <c r="AG550" s="22">
        <f t="shared" si="105"/>
        <v>0</v>
      </c>
      <c r="AH550" s="11"/>
      <c r="AI550" s="14"/>
      <c r="AJ550" s="20">
        <f t="shared" si="114"/>
        <v>0</v>
      </c>
      <c r="AK550" s="23"/>
      <c r="AL550" s="11"/>
      <c r="AM550" s="20">
        <f t="shared" si="108"/>
        <v>0</v>
      </c>
      <c r="AN550" s="20">
        <f t="shared" si="113"/>
        <v>8000</v>
      </c>
      <c r="AO550" s="14"/>
      <c r="AP550" s="20">
        <f t="shared" si="110"/>
        <v>8000</v>
      </c>
      <c r="AQ550" s="12">
        <v>1E-4</v>
      </c>
      <c r="AR550" s="20"/>
    </row>
    <row r="551" spans="1:44" s="26" customFormat="1" ht="27.75" customHeight="1" x14ac:dyDescent="0.2">
      <c r="A551" s="8">
        <v>471</v>
      </c>
      <c r="B551" s="13">
        <v>20</v>
      </c>
      <c r="C551" s="16" t="s">
        <v>65</v>
      </c>
      <c r="D551" s="17">
        <v>3270</v>
      </c>
      <c r="E551" s="17">
        <v>521</v>
      </c>
      <c r="F551" s="17"/>
      <c r="G551" s="13"/>
      <c r="H551" s="17">
        <v>0</v>
      </c>
      <c r="I551" s="17">
        <v>0</v>
      </c>
      <c r="J551" s="17">
        <v>50</v>
      </c>
      <c r="K551" s="10">
        <v>50</v>
      </c>
      <c r="L551" s="17"/>
      <c r="M551" s="15"/>
      <c r="N551" s="18"/>
      <c r="O551" s="14"/>
      <c r="P551" s="17">
        <v>1</v>
      </c>
      <c r="Q551" s="19">
        <f t="shared" si="112"/>
        <v>50</v>
      </c>
      <c r="R551" s="14">
        <v>160</v>
      </c>
      <c r="S551" s="19">
        <f t="shared" si="104"/>
        <v>8000</v>
      </c>
      <c r="T551" s="17"/>
      <c r="U551" s="17"/>
      <c r="V551" s="17"/>
      <c r="W551" s="4"/>
      <c r="X551" s="17"/>
      <c r="Y551" s="4"/>
      <c r="Z551" s="17"/>
      <c r="AA551" s="17"/>
      <c r="AB551" s="17"/>
      <c r="AC551" s="14"/>
      <c r="AD551" s="14"/>
      <c r="AE551" s="17"/>
      <c r="AF551" s="14"/>
      <c r="AG551" s="22">
        <f t="shared" si="105"/>
        <v>0</v>
      </c>
      <c r="AH551" s="11"/>
      <c r="AI551" s="14"/>
      <c r="AJ551" s="20">
        <f t="shared" si="114"/>
        <v>0</v>
      </c>
      <c r="AK551" s="23"/>
      <c r="AL551" s="11"/>
      <c r="AM551" s="20">
        <f t="shared" si="108"/>
        <v>0</v>
      </c>
      <c r="AN551" s="20">
        <f t="shared" si="113"/>
        <v>8000</v>
      </c>
      <c r="AO551" s="14"/>
      <c r="AP551" s="20">
        <f t="shared" si="110"/>
        <v>8000</v>
      </c>
      <c r="AQ551" s="12">
        <v>1E-4</v>
      </c>
      <c r="AR551" s="20"/>
    </row>
    <row r="552" spans="1:44" s="26" customFormat="1" ht="27.75" customHeight="1" x14ac:dyDescent="0.2">
      <c r="A552" s="8">
        <v>472</v>
      </c>
      <c r="B552" s="46">
        <v>21</v>
      </c>
      <c r="C552" s="16" t="s">
        <v>65</v>
      </c>
      <c r="D552" s="17">
        <v>3271</v>
      </c>
      <c r="E552" s="17">
        <v>522</v>
      </c>
      <c r="F552" s="17"/>
      <c r="G552" s="13"/>
      <c r="H552" s="17">
        <v>0</v>
      </c>
      <c r="I552" s="17">
        <v>0</v>
      </c>
      <c r="J552" s="17">
        <v>50</v>
      </c>
      <c r="K552" s="10">
        <v>50</v>
      </c>
      <c r="L552" s="17"/>
      <c r="M552" s="15"/>
      <c r="N552" s="18"/>
      <c r="O552" s="14"/>
      <c r="P552" s="17">
        <v>1</v>
      </c>
      <c r="Q552" s="19">
        <f t="shared" si="112"/>
        <v>50</v>
      </c>
      <c r="R552" s="14">
        <v>160</v>
      </c>
      <c r="S552" s="19">
        <f t="shared" si="104"/>
        <v>8000</v>
      </c>
      <c r="T552" s="17"/>
      <c r="U552" s="17"/>
      <c r="V552" s="17"/>
      <c r="W552" s="4"/>
      <c r="X552" s="17"/>
      <c r="Y552" s="4"/>
      <c r="Z552" s="17"/>
      <c r="AA552" s="17"/>
      <c r="AB552" s="17"/>
      <c r="AC552" s="14"/>
      <c r="AD552" s="14"/>
      <c r="AE552" s="17"/>
      <c r="AF552" s="14"/>
      <c r="AG552" s="22">
        <f t="shared" si="105"/>
        <v>0</v>
      </c>
      <c r="AH552" s="11"/>
      <c r="AI552" s="14"/>
      <c r="AJ552" s="20">
        <f t="shared" si="114"/>
        <v>0</v>
      </c>
      <c r="AK552" s="23"/>
      <c r="AL552" s="11"/>
      <c r="AM552" s="20">
        <f t="shared" si="108"/>
        <v>0</v>
      </c>
      <c r="AN552" s="20">
        <f t="shared" si="113"/>
        <v>8000</v>
      </c>
      <c r="AO552" s="14"/>
      <c r="AP552" s="20">
        <f t="shared" si="110"/>
        <v>8000</v>
      </c>
      <c r="AQ552" s="12">
        <v>1E-4</v>
      </c>
      <c r="AR552" s="20"/>
    </row>
    <row r="553" spans="1:44" s="26" customFormat="1" ht="27.75" customHeight="1" x14ac:dyDescent="0.2">
      <c r="A553" s="8">
        <v>473</v>
      </c>
      <c r="B553" s="13">
        <v>22</v>
      </c>
      <c r="C553" s="16" t="s">
        <v>65</v>
      </c>
      <c r="D553" s="17">
        <v>3289</v>
      </c>
      <c r="E553" s="17">
        <v>540</v>
      </c>
      <c r="F553" s="17"/>
      <c r="G553" s="13"/>
      <c r="H553" s="17">
        <v>0</v>
      </c>
      <c r="I553" s="17">
        <v>0</v>
      </c>
      <c r="J553" s="17">
        <v>50</v>
      </c>
      <c r="K553" s="10">
        <v>50</v>
      </c>
      <c r="L553" s="17"/>
      <c r="M553" s="15"/>
      <c r="N553" s="18"/>
      <c r="O553" s="14"/>
      <c r="P553" s="17">
        <v>1</v>
      </c>
      <c r="Q553" s="19">
        <f t="shared" si="112"/>
        <v>50</v>
      </c>
      <c r="R553" s="14">
        <v>160</v>
      </c>
      <c r="S553" s="20">
        <f t="shared" si="104"/>
        <v>8000</v>
      </c>
      <c r="T553" s="17"/>
      <c r="U553" s="17"/>
      <c r="V553" s="17"/>
      <c r="W553" s="4"/>
      <c r="X553" s="17"/>
      <c r="Y553" s="4"/>
      <c r="Z553" s="17"/>
      <c r="AA553" s="17"/>
      <c r="AB553" s="17"/>
      <c r="AC553" s="14"/>
      <c r="AD553" s="14"/>
      <c r="AE553" s="17"/>
      <c r="AF553" s="14"/>
      <c r="AG553" s="22">
        <f t="shared" si="105"/>
        <v>0</v>
      </c>
      <c r="AH553" s="11"/>
      <c r="AI553" s="14"/>
      <c r="AJ553" s="20">
        <f t="shared" si="114"/>
        <v>0</v>
      </c>
      <c r="AK553" s="23"/>
      <c r="AL553" s="11"/>
      <c r="AM553" s="20">
        <f t="shared" si="108"/>
        <v>0</v>
      </c>
      <c r="AN553" s="20">
        <f t="shared" si="113"/>
        <v>8000</v>
      </c>
      <c r="AO553" s="14"/>
      <c r="AP553" s="20">
        <f t="shared" si="110"/>
        <v>8000</v>
      </c>
      <c r="AQ553" s="12">
        <v>1E-4</v>
      </c>
      <c r="AR553" s="20"/>
    </row>
    <row r="554" spans="1:44" s="26" customFormat="1" ht="27.75" customHeight="1" x14ac:dyDescent="0.2">
      <c r="A554" s="8">
        <v>474</v>
      </c>
      <c r="B554" s="46">
        <v>23</v>
      </c>
      <c r="C554" s="16" t="s">
        <v>65</v>
      </c>
      <c r="D554" s="17">
        <v>3290</v>
      </c>
      <c r="E554" s="17">
        <v>541</v>
      </c>
      <c r="F554" s="17"/>
      <c r="G554" s="13"/>
      <c r="H554" s="17">
        <v>0</v>
      </c>
      <c r="I554" s="17">
        <v>0</v>
      </c>
      <c r="J554" s="17">
        <v>50</v>
      </c>
      <c r="K554" s="10">
        <v>50</v>
      </c>
      <c r="L554" s="17"/>
      <c r="M554" s="15"/>
      <c r="N554" s="18"/>
      <c r="O554" s="14"/>
      <c r="P554" s="17">
        <v>1</v>
      </c>
      <c r="Q554" s="19">
        <f t="shared" si="112"/>
        <v>50</v>
      </c>
      <c r="R554" s="14">
        <v>160</v>
      </c>
      <c r="S554" s="19">
        <f t="shared" si="104"/>
        <v>8000</v>
      </c>
      <c r="T554" s="17"/>
      <c r="U554" s="17"/>
      <c r="V554" s="17"/>
      <c r="W554" s="4"/>
      <c r="X554" s="17"/>
      <c r="Y554" s="4"/>
      <c r="Z554" s="17"/>
      <c r="AA554" s="17"/>
      <c r="AB554" s="17"/>
      <c r="AC554" s="21"/>
      <c r="AD554" s="21"/>
      <c r="AE554" s="17"/>
      <c r="AF554" s="14"/>
      <c r="AG554" s="22">
        <f t="shared" si="105"/>
        <v>0</v>
      </c>
      <c r="AH554" s="11"/>
      <c r="AI554" s="14"/>
      <c r="AJ554" s="20">
        <f t="shared" si="114"/>
        <v>0</v>
      </c>
      <c r="AK554" s="23"/>
      <c r="AL554" s="11"/>
      <c r="AM554" s="20">
        <f t="shared" si="108"/>
        <v>0</v>
      </c>
      <c r="AN554" s="20">
        <f t="shared" si="113"/>
        <v>8000</v>
      </c>
      <c r="AO554" s="14"/>
      <c r="AP554" s="20">
        <f t="shared" si="110"/>
        <v>8000</v>
      </c>
      <c r="AQ554" s="12">
        <v>1E-4</v>
      </c>
      <c r="AR554" s="20"/>
    </row>
    <row r="555" spans="1:44" s="26" customFormat="1" ht="27.75" customHeight="1" x14ac:dyDescent="0.2">
      <c r="A555" s="8">
        <v>475</v>
      </c>
      <c r="B555" s="13">
        <v>24</v>
      </c>
      <c r="C555" s="16" t="s">
        <v>65</v>
      </c>
      <c r="D555" s="17">
        <v>3291</v>
      </c>
      <c r="E555" s="17">
        <v>542</v>
      </c>
      <c r="F555" s="17"/>
      <c r="G555" s="13"/>
      <c r="H555" s="17">
        <v>0</v>
      </c>
      <c r="I555" s="17">
        <v>0</v>
      </c>
      <c r="J555" s="17">
        <v>50</v>
      </c>
      <c r="K555" s="10">
        <v>50</v>
      </c>
      <c r="L555" s="17"/>
      <c r="M555" s="15"/>
      <c r="N555" s="18"/>
      <c r="O555" s="14"/>
      <c r="P555" s="17">
        <v>1</v>
      </c>
      <c r="Q555" s="19">
        <f t="shared" si="112"/>
        <v>50</v>
      </c>
      <c r="R555" s="14">
        <v>160</v>
      </c>
      <c r="S555" s="19">
        <f t="shared" si="104"/>
        <v>8000</v>
      </c>
      <c r="T555" s="17"/>
      <c r="U555" s="17"/>
      <c r="V555" s="17"/>
      <c r="W555" s="4"/>
      <c r="X555" s="17"/>
      <c r="Y555" s="4"/>
      <c r="Z555" s="17"/>
      <c r="AA555" s="17"/>
      <c r="AB555" s="17"/>
      <c r="AC555" s="21"/>
      <c r="AD555" s="21"/>
      <c r="AE555" s="17"/>
      <c r="AF555" s="14"/>
      <c r="AG555" s="22">
        <f t="shared" si="105"/>
        <v>0</v>
      </c>
      <c r="AH555" s="11"/>
      <c r="AI555" s="14"/>
      <c r="AJ555" s="20">
        <f t="shared" si="114"/>
        <v>0</v>
      </c>
      <c r="AK555" s="23"/>
      <c r="AL555" s="11"/>
      <c r="AM555" s="20">
        <f t="shared" si="108"/>
        <v>0</v>
      </c>
      <c r="AN555" s="20">
        <f t="shared" si="113"/>
        <v>8000</v>
      </c>
      <c r="AO555" s="14"/>
      <c r="AP555" s="20">
        <f t="shared" si="110"/>
        <v>8000</v>
      </c>
      <c r="AQ555" s="12">
        <v>1E-4</v>
      </c>
      <c r="AR555" s="20"/>
    </row>
    <row r="556" spans="1:44" s="26" customFormat="1" ht="27.75" customHeight="1" x14ac:dyDescent="0.2">
      <c r="A556" s="8">
        <v>476</v>
      </c>
      <c r="B556" s="46">
        <v>25</v>
      </c>
      <c r="C556" s="16" t="s">
        <v>65</v>
      </c>
      <c r="D556" s="17">
        <v>3292</v>
      </c>
      <c r="E556" s="17">
        <v>543</v>
      </c>
      <c r="F556" s="17"/>
      <c r="G556" s="13"/>
      <c r="H556" s="17">
        <v>0</v>
      </c>
      <c r="I556" s="17">
        <v>0</v>
      </c>
      <c r="J556" s="17">
        <v>50</v>
      </c>
      <c r="K556" s="10">
        <v>50</v>
      </c>
      <c r="L556" s="17"/>
      <c r="M556" s="15"/>
      <c r="N556" s="18"/>
      <c r="O556" s="14"/>
      <c r="P556" s="17">
        <v>1</v>
      </c>
      <c r="Q556" s="19">
        <f t="shared" si="112"/>
        <v>50</v>
      </c>
      <c r="R556" s="14">
        <v>160</v>
      </c>
      <c r="S556" s="20">
        <f t="shared" si="104"/>
        <v>8000</v>
      </c>
      <c r="T556" s="17"/>
      <c r="U556" s="17"/>
      <c r="V556" s="17"/>
      <c r="W556" s="4"/>
      <c r="X556" s="17"/>
      <c r="Y556" s="4"/>
      <c r="Z556" s="17"/>
      <c r="AA556" s="17"/>
      <c r="AB556" s="17"/>
      <c r="AC556" s="21"/>
      <c r="AD556" s="21"/>
      <c r="AE556" s="17"/>
      <c r="AF556" s="14"/>
      <c r="AG556" s="22">
        <f t="shared" si="105"/>
        <v>0</v>
      </c>
      <c r="AH556" s="11"/>
      <c r="AI556" s="14"/>
      <c r="AJ556" s="20">
        <f t="shared" si="114"/>
        <v>0</v>
      </c>
      <c r="AK556" s="23"/>
      <c r="AL556" s="11"/>
      <c r="AM556" s="20">
        <f t="shared" si="108"/>
        <v>0</v>
      </c>
      <c r="AN556" s="20">
        <f t="shared" si="113"/>
        <v>8000</v>
      </c>
      <c r="AO556" s="14"/>
      <c r="AP556" s="20">
        <f t="shared" si="110"/>
        <v>8000</v>
      </c>
      <c r="AQ556" s="12">
        <v>1E-4</v>
      </c>
      <c r="AR556" s="20"/>
    </row>
    <row r="557" spans="1:44" s="26" customFormat="1" ht="27.75" customHeight="1" x14ac:dyDescent="0.2">
      <c r="A557" s="8">
        <v>477</v>
      </c>
      <c r="B557" s="13">
        <v>26</v>
      </c>
      <c r="C557" s="16" t="s">
        <v>65</v>
      </c>
      <c r="D557" s="17">
        <v>3293</v>
      </c>
      <c r="E557" s="17">
        <v>544</v>
      </c>
      <c r="F557" s="17"/>
      <c r="G557" s="13"/>
      <c r="H557" s="17">
        <v>0</v>
      </c>
      <c r="I557" s="17">
        <v>0</v>
      </c>
      <c r="J557" s="17">
        <v>50</v>
      </c>
      <c r="K557" s="10">
        <v>50</v>
      </c>
      <c r="L557" s="17"/>
      <c r="M557" s="15"/>
      <c r="N557" s="18"/>
      <c r="O557" s="14"/>
      <c r="P557" s="17">
        <v>1</v>
      </c>
      <c r="Q557" s="19">
        <f t="shared" si="112"/>
        <v>50</v>
      </c>
      <c r="R557" s="14">
        <v>160</v>
      </c>
      <c r="S557" s="19">
        <f t="shared" si="104"/>
        <v>8000</v>
      </c>
      <c r="T557" s="17"/>
      <c r="U557" s="17"/>
      <c r="V557" s="17"/>
      <c r="W557" s="4"/>
      <c r="X557" s="17"/>
      <c r="Y557" s="4"/>
      <c r="Z557" s="17"/>
      <c r="AA557" s="17"/>
      <c r="AB557" s="17"/>
      <c r="AC557" s="21"/>
      <c r="AD557" s="21"/>
      <c r="AE557" s="17"/>
      <c r="AF557" s="14"/>
      <c r="AG557" s="22">
        <f t="shared" si="105"/>
        <v>0</v>
      </c>
      <c r="AH557" s="11"/>
      <c r="AI557" s="14"/>
      <c r="AJ557" s="20">
        <f t="shared" si="114"/>
        <v>0</v>
      </c>
      <c r="AK557" s="23"/>
      <c r="AL557" s="11"/>
      <c r="AM557" s="20">
        <f t="shared" si="108"/>
        <v>0</v>
      </c>
      <c r="AN557" s="20">
        <f t="shared" si="113"/>
        <v>8000</v>
      </c>
      <c r="AO557" s="14"/>
      <c r="AP557" s="20">
        <f t="shared" si="110"/>
        <v>8000</v>
      </c>
      <c r="AQ557" s="12">
        <v>1E-4</v>
      </c>
      <c r="AR557" s="20"/>
    </row>
    <row r="558" spans="1:44" s="26" customFormat="1" ht="27.75" customHeight="1" x14ac:dyDescent="0.2">
      <c r="A558" s="8">
        <v>478</v>
      </c>
      <c r="B558" s="46">
        <v>27</v>
      </c>
      <c r="C558" s="16" t="s">
        <v>65</v>
      </c>
      <c r="D558" s="17">
        <v>3294</v>
      </c>
      <c r="E558" s="17">
        <v>545</v>
      </c>
      <c r="F558" s="17"/>
      <c r="G558" s="13"/>
      <c r="H558" s="17">
        <v>0</v>
      </c>
      <c r="I558" s="17">
        <v>0</v>
      </c>
      <c r="J558" s="17">
        <v>50</v>
      </c>
      <c r="K558" s="10">
        <v>50</v>
      </c>
      <c r="L558" s="17"/>
      <c r="M558" s="15"/>
      <c r="N558" s="18"/>
      <c r="O558" s="14"/>
      <c r="P558" s="17">
        <v>1</v>
      </c>
      <c r="Q558" s="19">
        <v>50</v>
      </c>
      <c r="R558" s="14">
        <v>160</v>
      </c>
      <c r="S558" s="19">
        <f t="shared" si="104"/>
        <v>8000</v>
      </c>
      <c r="T558" s="17"/>
      <c r="U558" s="17"/>
      <c r="V558" s="17"/>
      <c r="W558" s="4"/>
      <c r="X558" s="17"/>
      <c r="Y558" s="4"/>
      <c r="Z558" s="17"/>
      <c r="AA558" s="17"/>
      <c r="AB558" s="17"/>
      <c r="AC558" s="21"/>
      <c r="AD558" s="21"/>
      <c r="AE558" s="17"/>
      <c r="AF558" s="14"/>
      <c r="AG558" s="22">
        <f t="shared" si="105"/>
        <v>0</v>
      </c>
      <c r="AH558" s="11"/>
      <c r="AI558" s="14"/>
      <c r="AJ558" s="20">
        <f t="shared" si="114"/>
        <v>0</v>
      </c>
      <c r="AK558" s="23"/>
      <c r="AL558" s="11"/>
      <c r="AM558" s="20">
        <f t="shared" si="108"/>
        <v>0</v>
      </c>
      <c r="AN558" s="20">
        <f t="shared" si="113"/>
        <v>8000</v>
      </c>
      <c r="AO558" s="14"/>
      <c r="AP558" s="20">
        <f t="shared" si="110"/>
        <v>8000</v>
      </c>
      <c r="AQ558" s="12">
        <v>1E-4</v>
      </c>
      <c r="AR558" s="20"/>
    </row>
    <row r="559" spans="1:44" s="26" customFormat="1" ht="27.75" customHeight="1" x14ac:dyDescent="0.2">
      <c r="A559" s="8">
        <v>479</v>
      </c>
      <c r="B559" s="13">
        <v>28</v>
      </c>
      <c r="C559" s="16" t="s">
        <v>65</v>
      </c>
      <c r="D559" s="17">
        <v>3295</v>
      </c>
      <c r="E559" s="17">
        <v>546</v>
      </c>
      <c r="F559" s="17"/>
      <c r="G559" s="13"/>
      <c r="H559" s="17">
        <v>0</v>
      </c>
      <c r="I559" s="17">
        <v>0</v>
      </c>
      <c r="J559" s="17">
        <v>50</v>
      </c>
      <c r="K559" s="10">
        <v>50</v>
      </c>
      <c r="L559" s="17"/>
      <c r="M559" s="15"/>
      <c r="N559" s="18"/>
      <c r="O559" s="14"/>
      <c r="P559" s="17">
        <v>1</v>
      </c>
      <c r="Q559" s="19">
        <v>50</v>
      </c>
      <c r="R559" s="14">
        <v>160</v>
      </c>
      <c r="S559" s="20">
        <f t="shared" si="104"/>
        <v>8000</v>
      </c>
      <c r="T559" s="17"/>
      <c r="U559" s="17"/>
      <c r="V559" s="17"/>
      <c r="W559" s="4"/>
      <c r="X559" s="17"/>
      <c r="Y559" s="4"/>
      <c r="Z559" s="17"/>
      <c r="AA559" s="17"/>
      <c r="AB559" s="17"/>
      <c r="AC559" s="21"/>
      <c r="AD559" s="21"/>
      <c r="AE559" s="17"/>
      <c r="AF559" s="14"/>
      <c r="AG559" s="22">
        <f t="shared" si="105"/>
        <v>0</v>
      </c>
      <c r="AH559" s="11"/>
      <c r="AI559" s="14"/>
      <c r="AJ559" s="20">
        <f t="shared" si="114"/>
        <v>0</v>
      </c>
      <c r="AK559" s="23"/>
      <c r="AL559" s="11"/>
      <c r="AM559" s="20">
        <f t="shared" si="108"/>
        <v>0</v>
      </c>
      <c r="AN559" s="20">
        <f t="shared" si="113"/>
        <v>8000</v>
      </c>
      <c r="AO559" s="14"/>
      <c r="AP559" s="20">
        <f t="shared" si="110"/>
        <v>8000</v>
      </c>
      <c r="AQ559" s="12">
        <v>1E-4</v>
      </c>
      <c r="AR559" s="20"/>
    </row>
    <row r="560" spans="1:44" s="26" customFormat="1" ht="27.75" customHeight="1" x14ac:dyDescent="0.2">
      <c r="A560" s="8">
        <v>480</v>
      </c>
      <c r="B560" s="46">
        <v>29</v>
      </c>
      <c r="C560" s="16" t="s">
        <v>65</v>
      </c>
      <c r="D560" s="17">
        <v>3296</v>
      </c>
      <c r="E560" s="17">
        <v>547</v>
      </c>
      <c r="F560" s="17"/>
      <c r="G560" s="13"/>
      <c r="H560" s="17">
        <v>0</v>
      </c>
      <c r="I560" s="17">
        <v>0</v>
      </c>
      <c r="J560" s="17">
        <v>50</v>
      </c>
      <c r="K560" s="10">
        <v>50</v>
      </c>
      <c r="L560" s="17"/>
      <c r="M560" s="15"/>
      <c r="N560" s="18"/>
      <c r="O560" s="14"/>
      <c r="P560" s="17">
        <v>1</v>
      </c>
      <c r="Q560" s="19">
        <v>50</v>
      </c>
      <c r="R560" s="14">
        <v>160</v>
      </c>
      <c r="S560" s="19">
        <f t="shared" si="104"/>
        <v>8000</v>
      </c>
      <c r="T560" s="17"/>
      <c r="U560" s="17"/>
      <c r="V560" s="17"/>
      <c r="W560" s="4"/>
      <c r="X560" s="17"/>
      <c r="Y560" s="4"/>
      <c r="Z560" s="17"/>
      <c r="AA560" s="17"/>
      <c r="AB560" s="17"/>
      <c r="AC560" s="21"/>
      <c r="AD560" s="21"/>
      <c r="AE560" s="17"/>
      <c r="AF560" s="14"/>
      <c r="AG560" s="22">
        <f t="shared" si="105"/>
        <v>0</v>
      </c>
      <c r="AH560" s="11"/>
      <c r="AI560" s="14"/>
      <c r="AJ560" s="20">
        <f t="shared" si="114"/>
        <v>0</v>
      </c>
      <c r="AK560" s="23"/>
      <c r="AL560" s="11"/>
      <c r="AM560" s="20">
        <f t="shared" si="108"/>
        <v>0</v>
      </c>
      <c r="AN560" s="20">
        <f t="shared" si="113"/>
        <v>8000</v>
      </c>
      <c r="AO560" s="14"/>
      <c r="AP560" s="20">
        <f t="shared" si="110"/>
        <v>8000</v>
      </c>
      <c r="AQ560" s="12">
        <v>1E-4</v>
      </c>
      <c r="AR560" s="20"/>
    </row>
    <row r="561" spans="1:45" ht="27.75" customHeight="1" x14ac:dyDescent="0.2">
      <c r="A561" s="8">
        <v>481</v>
      </c>
      <c r="B561" s="13">
        <v>30</v>
      </c>
      <c r="C561" s="16" t="s">
        <v>65</v>
      </c>
      <c r="D561" s="17">
        <v>3297</v>
      </c>
      <c r="E561" s="17">
        <v>548</v>
      </c>
      <c r="H561" s="17">
        <v>0</v>
      </c>
      <c r="I561" s="17">
        <v>0</v>
      </c>
      <c r="J561" s="17">
        <v>50</v>
      </c>
      <c r="K561" s="10">
        <v>50</v>
      </c>
      <c r="P561" s="17">
        <v>1</v>
      </c>
      <c r="Q561" s="19">
        <v>50</v>
      </c>
      <c r="R561" s="14">
        <v>160</v>
      </c>
      <c r="S561" s="19">
        <f t="shared" ref="S561:S621" si="115">+Q561*R561</f>
        <v>8000</v>
      </c>
      <c r="AC561" s="21"/>
      <c r="AD561" s="21"/>
      <c r="AG561" s="22">
        <f t="shared" ref="AG561:AG621" si="116">Y561</f>
        <v>0</v>
      </c>
      <c r="AJ561" s="20">
        <f t="shared" si="114"/>
        <v>0</v>
      </c>
      <c r="AM561" s="20">
        <f t="shared" si="108"/>
        <v>0</v>
      </c>
      <c r="AN561" s="20">
        <f t="shared" si="113"/>
        <v>8000</v>
      </c>
      <c r="AP561" s="20">
        <f t="shared" si="110"/>
        <v>8000</v>
      </c>
      <c r="AQ561" s="12">
        <v>1E-4</v>
      </c>
      <c r="AR561" s="20"/>
    </row>
    <row r="562" spans="1:45" ht="27.75" customHeight="1" x14ac:dyDescent="0.2">
      <c r="A562" s="8">
        <v>482</v>
      </c>
      <c r="B562" s="46">
        <v>31</v>
      </c>
      <c r="C562" s="16" t="s">
        <v>65</v>
      </c>
      <c r="D562" s="17">
        <v>3298</v>
      </c>
      <c r="E562" s="17">
        <v>549</v>
      </c>
      <c r="H562" s="17">
        <v>0</v>
      </c>
      <c r="I562" s="17">
        <v>0</v>
      </c>
      <c r="J562" s="17">
        <v>50</v>
      </c>
      <c r="K562" s="10">
        <v>50</v>
      </c>
      <c r="P562" s="17">
        <v>1</v>
      </c>
      <c r="Q562" s="19">
        <v>50</v>
      </c>
      <c r="R562" s="14">
        <v>160</v>
      </c>
      <c r="S562" s="20">
        <f t="shared" si="115"/>
        <v>8000</v>
      </c>
      <c r="AC562" s="21"/>
      <c r="AD562" s="21"/>
      <c r="AG562" s="22">
        <f t="shared" si="116"/>
        <v>0</v>
      </c>
      <c r="AJ562" s="20">
        <f t="shared" si="114"/>
        <v>0</v>
      </c>
      <c r="AM562" s="20">
        <f t="shared" si="108"/>
        <v>0</v>
      </c>
      <c r="AN562" s="20">
        <f t="shared" si="113"/>
        <v>8000</v>
      </c>
      <c r="AP562" s="20">
        <f t="shared" si="110"/>
        <v>8000</v>
      </c>
      <c r="AQ562" s="12">
        <v>1E-4</v>
      </c>
      <c r="AR562" s="20"/>
    </row>
    <row r="563" spans="1:45" ht="27.75" customHeight="1" x14ac:dyDescent="0.2">
      <c r="A563" s="8">
        <v>483</v>
      </c>
      <c r="B563" s="13">
        <v>32</v>
      </c>
      <c r="C563" s="16" t="s">
        <v>65</v>
      </c>
      <c r="D563" s="17">
        <v>3299</v>
      </c>
      <c r="E563" s="17">
        <v>550</v>
      </c>
      <c r="H563" s="17">
        <v>0</v>
      </c>
      <c r="I563" s="17">
        <v>0</v>
      </c>
      <c r="J563" s="17">
        <v>50</v>
      </c>
      <c r="K563" s="10">
        <v>50</v>
      </c>
      <c r="P563" s="17">
        <v>1</v>
      </c>
      <c r="Q563" s="19">
        <v>50</v>
      </c>
      <c r="R563" s="14">
        <v>160</v>
      </c>
      <c r="S563" s="19">
        <f t="shared" si="115"/>
        <v>8000</v>
      </c>
      <c r="AC563" s="21"/>
      <c r="AD563" s="21"/>
      <c r="AG563" s="22">
        <f t="shared" si="116"/>
        <v>0</v>
      </c>
      <c r="AJ563" s="20">
        <f t="shared" si="114"/>
        <v>0</v>
      </c>
      <c r="AM563" s="20">
        <f t="shared" si="108"/>
        <v>0</v>
      </c>
      <c r="AN563" s="20">
        <f t="shared" si="113"/>
        <v>8000</v>
      </c>
      <c r="AP563" s="20">
        <f t="shared" si="110"/>
        <v>8000</v>
      </c>
      <c r="AQ563" s="12">
        <v>1E-4</v>
      </c>
      <c r="AR563" s="20"/>
    </row>
    <row r="564" spans="1:45" ht="27.75" customHeight="1" x14ac:dyDescent="0.2">
      <c r="A564" s="8">
        <v>484</v>
      </c>
      <c r="B564" s="46">
        <v>33</v>
      </c>
      <c r="C564" s="16" t="s">
        <v>65</v>
      </c>
      <c r="D564" s="17">
        <v>3300</v>
      </c>
      <c r="E564" s="17">
        <v>551</v>
      </c>
      <c r="H564" s="17">
        <v>0</v>
      </c>
      <c r="I564" s="17">
        <v>0</v>
      </c>
      <c r="J564" s="17">
        <v>50</v>
      </c>
      <c r="K564" s="10">
        <v>50</v>
      </c>
      <c r="P564" s="17">
        <v>1</v>
      </c>
      <c r="Q564" s="19">
        <v>50</v>
      </c>
      <c r="R564" s="14">
        <v>160</v>
      </c>
      <c r="S564" s="19">
        <f t="shared" si="115"/>
        <v>8000</v>
      </c>
      <c r="AC564" s="21"/>
      <c r="AD564" s="21"/>
      <c r="AG564" s="22">
        <f t="shared" si="116"/>
        <v>0</v>
      </c>
      <c r="AJ564" s="20">
        <f t="shared" si="114"/>
        <v>0</v>
      </c>
      <c r="AM564" s="20">
        <f t="shared" si="108"/>
        <v>0</v>
      </c>
      <c r="AN564" s="20">
        <f t="shared" si="113"/>
        <v>8000</v>
      </c>
      <c r="AP564" s="20">
        <f t="shared" si="110"/>
        <v>8000</v>
      </c>
      <c r="AQ564" s="12">
        <v>1E-4</v>
      </c>
      <c r="AR564" s="20"/>
    </row>
    <row r="565" spans="1:45" ht="27.75" customHeight="1" x14ac:dyDescent="0.2">
      <c r="A565" s="8">
        <v>485</v>
      </c>
      <c r="B565" s="13">
        <v>34</v>
      </c>
      <c r="C565" s="16" t="s">
        <v>65</v>
      </c>
      <c r="D565" s="17">
        <v>3304</v>
      </c>
      <c r="E565" s="17">
        <v>555</v>
      </c>
      <c r="H565" s="17">
        <v>0</v>
      </c>
      <c r="I565" s="17">
        <v>0</v>
      </c>
      <c r="J565" s="17">
        <v>50</v>
      </c>
      <c r="K565" s="10">
        <v>50</v>
      </c>
      <c r="P565" s="17">
        <v>1</v>
      </c>
      <c r="Q565" s="19">
        <v>50</v>
      </c>
      <c r="R565" s="14">
        <v>160</v>
      </c>
      <c r="S565" s="20">
        <f t="shared" si="115"/>
        <v>8000</v>
      </c>
      <c r="AG565" s="22">
        <f t="shared" si="116"/>
        <v>0</v>
      </c>
      <c r="AJ565" s="20">
        <f t="shared" si="114"/>
        <v>0</v>
      </c>
      <c r="AM565" s="20">
        <f t="shared" si="108"/>
        <v>0</v>
      </c>
      <c r="AN565" s="20">
        <f t="shared" si="113"/>
        <v>8000</v>
      </c>
      <c r="AP565" s="20">
        <f t="shared" si="110"/>
        <v>8000</v>
      </c>
      <c r="AQ565" s="12">
        <v>1E-4</v>
      </c>
      <c r="AR565" s="20"/>
    </row>
    <row r="566" spans="1:45" ht="27.75" customHeight="1" x14ac:dyDescent="0.2">
      <c r="A566" s="8">
        <v>486</v>
      </c>
      <c r="B566" s="46">
        <v>35</v>
      </c>
      <c r="C566" s="16" t="s">
        <v>65</v>
      </c>
      <c r="D566" s="17">
        <v>3305</v>
      </c>
      <c r="E566" s="17">
        <v>556</v>
      </c>
      <c r="H566" s="17">
        <v>0</v>
      </c>
      <c r="I566" s="17">
        <v>0</v>
      </c>
      <c r="J566" s="17">
        <v>50</v>
      </c>
      <c r="K566" s="10">
        <v>50</v>
      </c>
      <c r="P566" s="17">
        <v>1</v>
      </c>
      <c r="Q566" s="19">
        <v>50</v>
      </c>
      <c r="R566" s="14">
        <v>160</v>
      </c>
      <c r="S566" s="19">
        <f t="shared" si="115"/>
        <v>8000</v>
      </c>
      <c r="AC566" s="21"/>
      <c r="AD566" s="21"/>
      <c r="AG566" s="22">
        <f t="shared" si="116"/>
        <v>0</v>
      </c>
      <c r="AJ566" s="20">
        <f t="shared" si="114"/>
        <v>0</v>
      </c>
      <c r="AM566" s="20">
        <f t="shared" si="108"/>
        <v>0</v>
      </c>
      <c r="AN566" s="20">
        <f t="shared" si="113"/>
        <v>8000</v>
      </c>
      <c r="AP566" s="20">
        <f t="shared" si="110"/>
        <v>8000</v>
      </c>
      <c r="AQ566" s="12">
        <v>1E-4</v>
      </c>
      <c r="AR566" s="20"/>
    </row>
    <row r="567" spans="1:45" ht="27.75" customHeight="1" x14ac:dyDescent="0.2">
      <c r="A567" s="8">
        <v>487</v>
      </c>
      <c r="B567" s="13">
        <v>36</v>
      </c>
      <c r="C567" s="16" t="s">
        <v>65</v>
      </c>
      <c r="D567" s="17">
        <v>3306</v>
      </c>
      <c r="E567" s="17">
        <v>557</v>
      </c>
      <c r="H567" s="17">
        <v>0</v>
      </c>
      <c r="I567" s="17">
        <v>0</v>
      </c>
      <c r="J567" s="17">
        <v>50</v>
      </c>
      <c r="K567" s="10">
        <v>50</v>
      </c>
      <c r="P567" s="17">
        <v>1</v>
      </c>
      <c r="Q567" s="19">
        <v>50</v>
      </c>
      <c r="R567" s="14">
        <v>160</v>
      </c>
      <c r="S567" s="19">
        <f t="shared" si="115"/>
        <v>8000</v>
      </c>
      <c r="AG567" s="22">
        <f t="shared" si="116"/>
        <v>0</v>
      </c>
      <c r="AJ567" s="20">
        <f t="shared" si="114"/>
        <v>0</v>
      </c>
      <c r="AM567" s="20">
        <f t="shared" si="108"/>
        <v>0</v>
      </c>
      <c r="AN567" s="20">
        <f t="shared" si="113"/>
        <v>8000</v>
      </c>
      <c r="AP567" s="20">
        <f t="shared" si="110"/>
        <v>8000</v>
      </c>
      <c r="AQ567" s="12">
        <v>1E-4</v>
      </c>
      <c r="AR567" s="20"/>
    </row>
    <row r="568" spans="1:45" ht="27.75" customHeight="1" x14ac:dyDescent="0.2">
      <c r="A568" s="8">
        <v>488</v>
      </c>
      <c r="B568" s="46">
        <v>37</v>
      </c>
      <c r="C568" s="16" t="s">
        <v>65</v>
      </c>
      <c r="D568" s="17">
        <v>3307</v>
      </c>
      <c r="E568" s="17">
        <v>558</v>
      </c>
      <c r="H568" s="17">
        <v>0</v>
      </c>
      <c r="I568" s="17">
        <v>0</v>
      </c>
      <c r="J568" s="17">
        <v>50</v>
      </c>
      <c r="K568" s="10">
        <v>50</v>
      </c>
      <c r="P568" s="17">
        <v>1</v>
      </c>
      <c r="Q568" s="19">
        <v>50</v>
      </c>
      <c r="R568" s="14">
        <v>160</v>
      </c>
      <c r="S568" s="20">
        <f t="shared" si="115"/>
        <v>8000</v>
      </c>
      <c r="AG568" s="22">
        <f t="shared" si="116"/>
        <v>0</v>
      </c>
      <c r="AJ568" s="20">
        <f t="shared" si="114"/>
        <v>0</v>
      </c>
      <c r="AM568" s="20">
        <f t="shared" si="108"/>
        <v>0</v>
      </c>
      <c r="AN568" s="20">
        <f t="shared" si="113"/>
        <v>8000</v>
      </c>
      <c r="AP568" s="20">
        <f t="shared" si="110"/>
        <v>8000</v>
      </c>
      <c r="AQ568" s="12">
        <v>1E-4</v>
      </c>
      <c r="AR568" s="20"/>
    </row>
    <row r="569" spans="1:45" ht="27.75" customHeight="1" x14ac:dyDescent="0.2">
      <c r="A569" s="8">
        <v>489</v>
      </c>
      <c r="B569" s="13">
        <v>38</v>
      </c>
      <c r="C569" s="16" t="s">
        <v>65</v>
      </c>
      <c r="D569" s="17">
        <v>3308</v>
      </c>
      <c r="E569" s="17">
        <v>559</v>
      </c>
      <c r="H569" s="17">
        <v>0</v>
      </c>
      <c r="I569" s="17">
        <v>0</v>
      </c>
      <c r="J569" s="17">
        <v>50</v>
      </c>
      <c r="K569" s="10">
        <v>50</v>
      </c>
      <c r="P569" s="17">
        <v>1</v>
      </c>
      <c r="Q569" s="19">
        <v>50</v>
      </c>
      <c r="R569" s="14">
        <v>160</v>
      </c>
      <c r="S569" s="19">
        <f t="shared" si="115"/>
        <v>8000</v>
      </c>
      <c r="AG569" s="22">
        <f t="shared" si="116"/>
        <v>0</v>
      </c>
      <c r="AJ569" s="20">
        <f t="shared" si="114"/>
        <v>0</v>
      </c>
      <c r="AM569" s="20">
        <f t="shared" si="108"/>
        <v>0</v>
      </c>
      <c r="AN569" s="20">
        <f t="shared" si="113"/>
        <v>8000</v>
      </c>
      <c r="AP569" s="20">
        <f t="shared" si="110"/>
        <v>8000</v>
      </c>
      <c r="AQ569" s="12">
        <v>1E-4</v>
      </c>
      <c r="AR569" s="20"/>
    </row>
    <row r="570" spans="1:45" ht="27.75" customHeight="1" x14ac:dyDescent="0.2">
      <c r="A570" s="8">
        <v>490</v>
      </c>
      <c r="B570" s="46">
        <v>39</v>
      </c>
      <c r="C570" s="16" t="s">
        <v>65</v>
      </c>
      <c r="D570" s="17">
        <v>3309</v>
      </c>
      <c r="E570" s="17">
        <v>560</v>
      </c>
      <c r="H570" s="17">
        <v>0</v>
      </c>
      <c r="I570" s="17">
        <v>0</v>
      </c>
      <c r="J570" s="17">
        <v>50</v>
      </c>
      <c r="K570" s="10">
        <v>50</v>
      </c>
      <c r="P570" s="17">
        <v>1</v>
      </c>
      <c r="Q570" s="19">
        <v>50</v>
      </c>
      <c r="R570" s="14">
        <v>160</v>
      </c>
      <c r="S570" s="19">
        <f t="shared" si="115"/>
        <v>8000</v>
      </c>
      <c r="AG570" s="22">
        <f t="shared" si="116"/>
        <v>0</v>
      </c>
      <c r="AJ570" s="20">
        <f t="shared" si="114"/>
        <v>0</v>
      </c>
      <c r="AM570" s="20">
        <f t="shared" si="108"/>
        <v>0</v>
      </c>
      <c r="AN570" s="20">
        <f t="shared" si="113"/>
        <v>8000</v>
      </c>
      <c r="AP570" s="20">
        <f t="shared" si="110"/>
        <v>8000</v>
      </c>
      <c r="AQ570" s="12">
        <v>1E-4</v>
      </c>
      <c r="AR570" s="20"/>
    </row>
    <row r="571" spans="1:45" ht="27.75" customHeight="1" x14ac:dyDescent="0.2">
      <c r="A571" s="8">
        <v>491</v>
      </c>
      <c r="B571" s="13">
        <v>40</v>
      </c>
      <c r="C571" s="16" t="s">
        <v>65</v>
      </c>
      <c r="D571" s="17">
        <v>3310</v>
      </c>
      <c r="E571" s="17">
        <v>561</v>
      </c>
      <c r="H571" s="17">
        <v>0</v>
      </c>
      <c r="I571" s="17">
        <v>0</v>
      </c>
      <c r="J571" s="17">
        <v>50</v>
      </c>
      <c r="K571" s="10">
        <v>50</v>
      </c>
      <c r="P571" s="17">
        <v>1</v>
      </c>
      <c r="Q571" s="19">
        <v>50</v>
      </c>
      <c r="R571" s="14">
        <v>160</v>
      </c>
      <c r="S571" s="20">
        <f t="shared" si="115"/>
        <v>8000</v>
      </c>
      <c r="AG571" s="22">
        <f t="shared" si="116"/>
        <v>0</v>
      </c>
      <c r="AJ571" s="20">
        <f t="shared" si="114"/>
        <v>0</v>
      </c>
      <c r="AM571" s="20">
        <f t="shared" ref="AM571:AM621" si="117">+AJ571-(AL571*AJ571)</f>
        <v>0</v>
      </c>
      <c r="AN571" s="20">
        <f t="shared" ref="AN571:AN602" si="118">+S571+AM571</f>
        <v>8000</v>
      </c>
      <c r="AP571" s="20">
        <f t="shared" ref="AP571:AP621" si="119">AN571</f>
        <v>8000</v>
      </c>
      <c r="AQ571" s="12">
        <v>1E-4</v>
      </c>
      <c r="AR571" s="20"/>
    </row>
    <row r="572" spans="1:45" ht="27.75" customHeight="1" x14ac:dyDescent="0.2">
      <c r="A572" s="8">
        <v>492</v>
      </c>
      <c r="B572" s="46">
        <v>41</v>
      </c>
      <c r="C572" s="16" t="s">
        <v>65</v>
      </c>
      <c r="D572" s="17">
        <v>3311</v>
      </c>
      <c r="E572" s="17">
        <v>562</v>
      </c>
      <c r="H572" s="17">
        <v>0</v>
      </c>
      <c r="I572" s="17">
        <v>0</v>
      </c>
      <c r="J572" s="17">
        <v>50</v>
      </c>
      <c r="K572" s="10">
        <v>50</v>
      </c>
      <c r="P572" s="17">
        <v>1</v>
      </c>
      <c r="Q572" s="19">
        <v>50</v>
      </c>
      <c r="R572" s="14">
        <v>160</v>
      </c>
      <c r="S572" s="19">
        <f t="shared" si="115"/>
        <v>8000</v>
      </c>
      <c r="AC572" s="21"/>
      <c r="AD572" s="21"/>
      <c r="AG572" s="22">
        <f t="shared" si="116"/>
        <v>0</v>
      </c>
      <c r="AJ572" s="20">
        <f t="shared" si="114"/>
        <v>0</v>
      </c>
      <c r="AM572" s="20">
        <f t="shared" si="117"/>
        <v>0</v>
      </c>
      <c r="AN572" s="20">
        <f t="shared" si="118"/>
        <v>8000</v>
      </c>
      <c r="AP572" s="20">
        <f t="shared" si="119"/>
        <v>8000</v>
      </c>
      <c r="AQ572" s="12">
        <v>1E-4</v>
      </c>
      <c r="AR572" s="20"/>
    </row>
    <row r="573" spans="1:45" ht="27.75" customHeight="1" x14ac:dyDescent="0.2">
      <c r="A573" s="8">
        <v>493</v>
      </c>
      <c r="B573" s="13">
        <v>42</v>
      </c>
      <c r="C573" s="16" t="s">
        <v>65</v>
      </c>
      <c r="D573" s="17">
        <v>3312</v>
      </c>
      <c r="E573" s="17">
        <v>563</v>
      </c>
      <c r="H573" s="17">
        <v>0</v>
      </c>
      <c r="I573" s="17">
        <v>0</v>
      </c>
      <c r="J573" s="17">
        <v>50</v>
      </c>
      <c r="K573" s="10">
        <v>50</v>
      </c>
      <c r="P573" s="17">
        <v>1</v>
      </c>
      <c r="Q573" s="19">
        <v>50</v>
      </c>
      <c r="R573" s="14">
        <v>160</v>
      </c>
      <c r="S573" s="19">
        <f t="shared" si="115"/>
        <v>8000</v>
      </c>
      <c r="AC573" s="21"/>
      <c r="AD573" s="21"/>
      <c r="AG573" s="22">
        <f t="shared" si="116"/>
        <v>0</v>
      </c>
      <c r="AJ573" s="20">
        <f t="shared" si="114"/>
        <v>0</v>
      </c>
      <c r="AM573" s="20">
        <f t="shared" si="117"/>
        <v>0</v>
      </c>
      <c r="AN573" s="20">
        <f t="shared" si="118"/>
        <v>8000</v>
      </c>
      <c r="AP573" s="20">
        <f t="shared" si="119"/>
        <v>8000</v>
      </c>
      <c r="AQ573" s="12">
        <v>1E-4</v>
      </c>
      <c r="AR573" s="20"/>
    </row>
    <row r="574" spans="1:45" ht="27.75" customHeight="1" x14ac:dyDescent="0.2">
      <c r="A574" s="8">
        <v>494</v>
      </c>
      <c r="B574" s="46">
        <v>43</v>
      </c>
      <c r="C574" s="16" t="s">
        <v>65</v>
      </c>
      <c r="D574" s="17">
        <v>3249</v>
      </c>
      <c r="E574" s="17">
        <v>500</v>
      </c>
      <c r="H574" s="17">
        <v>0</v>
      </c>
      <c r="I574" s="17">
        <v>0</v>
      </c>
      <c r="J574" s="17">
        <v>58</v>
      </c>
      <c r="K574" s="10">
        <v>58</v>
      </c>
      <c r="P574" s="17">
        <v>1</v>
      </c>
      <c r="Q574" s="19">
        <v>58</v>
      </c>
      <c r="R574" s="14">
        <v>160</v>
      </c>
      <c r="S574" s="20">
        <f t="shared" si="115"/>
        <v>9280</v>
      </c>
      <c r="AE574" s="17" t="s">
        <v>95</v>
      </c>
      <c r="AG574" s="22">
        <f t="shared" si="116"/>
        <v>0</v>
      </c>
      <c r="AJ574" s="20">
        <f t="shared" si="114"/>
        <v>0</v>
      </c>
      <c r="AM574" s="20">
        <f t="shared" si="117"/>
        <v>0</v>
      </c>
      <c r="AN574" s="20">
        <f t="shared" si="118"/>
        <v>9280</v>
      </c>
      <c r="AP574" s="20">
        <f t="shared" si="119"/>
        <v>9280</v>
      </c>
      <c r="AQ574" s="12">
        <v>1E-4</v>
      </c>
      <c r="AR574" s="20"/>
    </row>
    <row r="575" spans="1:45" s="21" customFormat="1" ht="30" customHeight="1" x14ac:dyDescent="0.2">
      <c r="A575" s="8">
        <v>495</v>
      </c>
      <c r="B575" s="46">
        <v>1</v>
      </c>
      <c r="C575" s="16" t="s">
        <v>52</v>
      </c>
      <c r="D575" s="48">
        <v>2241</v>
      </c>
      <c r="E575" s="47">
        <v>5</v>
      </c>
      <c r="F575" s="48">
        <v>1576</v>
      </c>
      <c r="G575" s="49">
        <v>3</v>
      </c>
      <c r="H575" s="48">
        <v>0</v>
      </c>
      <c r="I575" s="48">
        <v>1</v>
      </c>
      <c r="J575" s="48">
        <v>28</v>
      </c>
      <c r="K575" s="3">
        <v>128</v>
      </c>
      <c r="L575" s="16"/>
      <c r="M575" s="57"/>
      <c r="N575" s="58"/>
      <c r="P575" s="16">
        <v>1</v>
      </c>
      <c r="Q575" s="20">
        <v>128</v>
      </c>
      <c r="R575" s="14">
        <v>250</v>
      </c>
      <c r="S575" s="19">
        <f t="shared" si="115"/>
        <v>32000</v>
      </c>
      <c r="T575" s="16"/>
      <c r="U575" s="17"/>
      <c r="V575" s="17"/>
      <c r="W575" s="4"/>
      <c r="X575" s="16"/>
      <c r="Y575" s="5"/>
      <c r="Z575" s="16"/>
      <c r="AA575" s="16"/>
      <c r="AB575" s="16"/>
      <c r="AC575" s="14"/>
      <c r="AD575" s="14"/>
      <c r="AE575" s="16"/>
      <c r="AG575" s="22">
        <f t="shared" si="116"/>
        <v>0</v>
      </c>
      <c r="AH575" s="6"/>
      <c r="AJ575" s="20">
        <f t="shared" si="114"/>
        <v>0</v>
      </c>
      <c r="AK575" s="50"/>
      <c r="AL575" s="6"/>
      <c r="AM575" s="20">
        <f t="shared" si="117"/>
        <v>0</v>
      </c>
      <c r="AN575" s="20">
        <f t="shared" si="118"/>
        <v>32000</v>
      </c>
      <c r="AP575" s="20">
        <f t="shared" si="119"/>
        <v>32000</v>
      </c>
      <c r="AQ575" s="7"/>
      <c r="AR575" s="20"/>
      <c r="AS575" s="51"/>
    </row>
    <row r="576" spans="1:45" s="21" customFormat="1" ht="30" customHeight="1" x14ac:dyDescent="0.2">
      <c r="A576" s="8">
        <v>496</v>
      </c>
      <c r="B576" s="46">
        <v>1</v>
      </c>
      <c r="C576" s="16" t="s">
        <v>52</v>
      </c>
      <c r="D576" s="48">
        <v>23589</v>
      </c>
      <c r="E576" s="47">
        <v>40</v>
      </c>
      <c r="F576" s="48">
        <v>4879</v>
      </c>
      <c r="G576" s="49">
        <v>4</v>
      </c>
      <c r="H576" s="48">
        <v>0</v>
      </c>
      <c r="I576" s="48">
        <v>0</v>
      </c>
      <c r="J576" s="48">
        <v>24</v>
      </c>
      <c r="K576" s="3"/>
      <c r="L576" s="16">
        <v>24</v>
      </c>
      <c r="M576" s="57"/>
      <c r="N576" s="58"/>
      <c r="P576" s="16">
        <v>2</v>
      </c>
      <c r="Q576" s="20">
        <f>+L576</f>
        <v>24</v>
      </c>
      <c r="R576" s="14">
        <v>1300</v>
      </c>
      <c r="S576" s="19">
        <f t="shared" si="115"/>
        <v>31200</v>
      </c>
      <c r="T576" s="16"/>
      <c r="U576" s="17" t="s">
        <v>57</v>
      </c>
      <c r="V576" s="17" t="s">
        <v>56</v>
      </c>
      <c r="W576" s="4"/>
      <c r="X576" s="16"/>
      <c r="Y576" s="5">
        <v>80</v>
      </c>
      <c r="Z576" s="16"/>
      <c r="AA576" s="16"/>
      <c r="AB576" s="16"/>
      <c r="AE576" s="16"/>
      <c r="AG576" s="22">
        <f t="shared" si="116"/>
        <v>80</v>
      </c>
      <c r="AH576" s="6"/>
      <c r="AJ576" s="20">
        <f t="shared" si="114"/>
        <v>0</v>
      </c>
      <c r="AK576" s="50"/>
      <c r="AL576" s="6"/>
      <c r="AM576" s="20">
        <f t="shared" si="117"/>
        <v>0</v>
      </c>
      <c r="AN576" s="20">
        <f t="shared" si="118"/>
        <v>31200</v>
      </c>
      <c r="AP576" s="20">
        <f t="shared" si="119"/>
        <v>31200</v>
      </c>
      <c r="AQ576" s="7"/>
      <c r="AR576" s="20"/>
      <c r="AS576" s="51"/>
    </row>
    <row r="577" spans="1:45" ht="30" customHeight="1" x14ac:dyDescent="0.2">
      <c r="A577" s="8"/>
      <c r="C577" s="16"/>
      <c r="S577" s="20"/>
      <c r="AG577" s="22"/>
      <c r="AJ577" s="20"/>
      <c r="AM577" s="20"/>
      <c r="AN577" s="20"/>
      <c r="AP577" s="20"/>
      <c r="AR577" s="20"/>
    </row>
    <row r="578" spans="1:45" s="21" customFormat="1" ht="30" customHeight="1" x14ac:dyDescent="0.2">
      <c r="A578" s="8">
        <v>497</v>
      </c>
      <c r="B578" s="46">
        <v>1</v>
      </c>
      <c r="C578" s="16" t="s">
        <v>52</v>
      </c>
      <c r="D578" s="48">
        <v>35287</v>
      </c>
      <c r="E578" s="47">
        <v>189</v>
      </c>
      <c r="F578" s="48">
        <v>7028</v>
      </c>
      <c r="G578" s="49"/>
      <c r="H578" s="48">
        <v>0</v>
      </c>
      <c r="I578" s="48">
        <v>0</v>
      </c>
      <c r="J578" s="48">
        <v>23.08</v>
      </c>
      <c r="K578" s="3"/>
      <c r="L578" s="16"/>
      <c r="M578" s="57"/>
      <c r="N578" s="58">
        <v>23.08</v>
      </c>
      <c r="P578" s="16">
        <v>4</v>
      </c>
      <c r="Q578" s="20">
        <f>+N578</f>
        <v>23.08</v>
      </c>
      <c r="R578" s="14">
        <v>250</v>
      </c>
      <c r="S578" s="19">
        <f t="shared" si="115"/>
        <v>5770</v>
      </c>
      <c r="T578" s="16"/>
      <c r="U578" s="17"/>
      <c r="V578" s="17"/>
      <c r="W578" s="4"/>
      <c r="X578" s="16"/>
      <c r="Y578" s="5"/>
      <c r="Z578" s="16"/>
      <c r="AA578" s="16"/>
      <c r="AB578" s="16"/>
      <c r="AE578" s="16"/>
      <c r="AG578" s="22">
        <f t="shared" si="116"/>
        <v>0</v>
      </c>
      <c r="AH578" s="6"/>
      <c r="AJ578" s="20">
        <f t="shared" si="114"/>
        <v>0</v>
      </c>
      <c r="AK578" s="50"/>
      <c r="AL578" s="6"/>
      <c r="AM578" s="20">
        <f t="shared" si="117"/>
        <v>0</v>
      </c>
      <c r="AN578" s="20">
        <f t="shared" si="118"/>
        <v>5770</v>
      </c>
      <c r="AP578" s="20">
        <f t="shared" si="119"/>
        <v>5770</v>
      </c>
      <c r="AQ578" s="7">
        <v>3.0000000000000001E-3</v>
      </c>
      <c r="AR578" s="20"/>
      <c r="AS578" s="51"/>
    </row>
    <row r="579" spans="1:45" s="21" customFormat="1" ht="30" customHeight="1" x14ac:dyDescent="0.2">
      <c r="A579" s="8">
        <v>498</v>
      </c>
      <c r="B579" s="46">
        <v>2</v>
      </c>
      <c r="C579" s="16" t="s">
        <v>52</v>
      </c>
      <c r="D579" s="48">
        <v>35288</v>
      </c>
      <c r="E579" s="47">
        <v>190</v>
      </c>
      <c r="F579" s="48">
        <v>7029</v>
      </c>
      <c r="G579" s="49"/>
      <c r="H579" s="48">
        <v>0</v>
      </c>
      <c r="I579" s="48">
        <v>0</v>
      </c>
      <c r="J579" s="48">
        <v>46.05</v>
      </c>
      <c r="K579" s="3"/>
      <c r="L579" s="16"/>
      <c r="M579" s="57"/>
      <c r="N579" s="58">
        <v>46.05</v>
      </c>
      <c r="P579" s="16">
        <v>4</v>
      </c>
      <c r="Q579" s="20">
        <f>+N579</f>
        <v>46.05</v>
      </c>
      <c r="R579" s="14">
        <v>250</v>
      </c>
      <c r="S579" s="19">
        <f t="shared" si="115"/>
        <v>11512.5</v>
      </c>
      <c r="T579" s="16"/>
      <c r="U579" s="17"/>
      <c r="V579" s="17"/>
      <c r="W579" s="4"/>
      <c r="X579" s="16"/>
      <c r="Y579" s="5"/>
      <c r="Z579" s="16"/>
      <c r="AA579" s="16"/>
      <c r="AB579" s="16"/>
      <c r="AE579" s="16"/>
      <c r="AG579" s="22">
        <f t="shared" si="116"/>
        <v>0</v>
      </c>
      <c r="AH579" s="6"/>
      <c r="AJ579" s="20">
        <f t="shared" si="114"/>
        <v>0</v>
      </c>
      <c r="AK579" s="50"/>
      <c r="AL579" s="6"/>
      <c r="AM579" s="20">
        <f t="shared" si="117"/>
        <v>0</v>
      </c>
      <c r="AN579" s="20">
        <f t="shared" si="118"/>
        <v>11512.5</v>
      </c>
      <c r="AP579" s="20">
        <f t="shared" si="119"/>
        <v>11512.5</v>
      </c>
      <c r="AQ579" s="7">
        <v>3.0000000000000001E-3</v>
      </c>
      <c r="AR579" s="20"/>
      <c r="AS579" s="51"/>
    </row>
    <row r="580" spans="1:45" s="21" customFormat="1" ht="30" customHeight="1" x14ac:dyDescent="0.2">
      <c r="A580" s="8">
        <v>499</v>
      </c>
      <c r="B580" s="46">
        <v>1</v>
      </c>
      <c r="C580" s="16" t="s">
        <v>52</v>
      </c>
      <c r="D580" s="48">
        <v>1238</v>
      </c>
      <c r="E580" s="47">
        <v>11</v>
      </c>
      <c r="F580" s="48">
        <v>265</v>
      </c>
      <c r="G580" s="49">
        <v>6</v>
      </c>
      <c r="H580" s="48">
        <v>2</v>
      </c>
      <c r="I580" s="48">
        <v>2</v>
      </c>
      <c r="J580" s="48">
        <v>0</v>
      </c>
      <c r="K580" s="3">
        <v>1000</v>
      </c>
      <c r="L580" s="16"/>
      <c r="M580" s="57"/>
      <c r="N580" s="58"/>
      <c r="P580" s="16">
        <v>1</v>
      </c>
      <c r="Q580" s="20">
        <f>+K580</f>
        <v>1000</v>
      </c>
      <c r="R580" s="14">
        <v>160</v>
      </c>
      <c r="S580" s="20">
        <f t="shared" si="115"/>
        <v>160000</v>
      </c>
      <c r="T580" s="16"/>
      <c r="U580" s="16"/>
      <c r="V580" s="16"/>
      <c r="W580" s="5"/>
      <c r="X580" s="16"/>
      <c r="Y580" s="5"/>
      <c r="Z580" s="16"/>
      <c r="AA580" s="16"/>
      <c r="AB580" s="16"/>
      <c r="AE580" s="16"/>
      <c r="AG580" s="22">
        <f t="shared" si="116"/>
        <v>0</v>
      </c>
      <c r="AH580" s="6"/>
      <c r="AJ580" s="20">
        <f t="shared" si="114"/>
        <v>0</v>
      </c>
      <c r="AK580" s="50"/>
      <c r="AL580" s="6"/>
      <c r="AM580" s="20">
        <f t="shared" si="117"/>
        <v>0</v>
      </c>
      <c r="AN580" s="20">
        <f t="shared" si="118"/>
        <v>160000</v>
      </c>
      <c r="AP580" s="20">
        <f t="shared" si="119"/>
        <v>160000</v>
      </c>
      <c r="AQ580" s="7"/>
      <c r="AR580" s="60"/>
      <c r="AS580" s="128">
        <v>8</v>
      </c>
    </row>
    <row r="581" spans="1:45" s="21" customFormat="1" ht="30" customHeight="1" x14ac:dyDescent="0.2">
      <c r="A581" s="8">
        <v>500</v>
      </c>
      <c r="B581" s="46">
        <v>2</v>
      </c>
      <c r="C581" s="16" t="s">
        <v>52</v>
      </c>
      <c r="D581" s="48">
        <v>37533</v>
      </c>
      <c r="E581" s="47">
        <v>87</v>
      </c>
      <c r="F581" s="48">
        <v>7414</v>
      </c>
      <c r="G581" s="49">
        <v>6</v>
      </c>
      <c r="H581" s="48">
        <v>0</v>
      </c>
      <c r="I581" s="48">
        <v>0</v>
      </c>
      <c r="J581" s="48">
        <v>25</v>
      </c>
      <c r="K581" s="3"/>
      <c r="L581" s="16">
        <v>25</v>
      </c>
      <c r="M581" s="57"/>
      <c r="N581" s="58"/>
      <c r="P581" s="16">
        <v>2</v>
      </c>
      <c r="Q581" s="20">
        <f>+L581</f>
        <v>25</v>
      </c>
      <c r="R581" s="14">
        <v>1500</v>
      </c>
      <c r="S581" s="19">
        <f t="shared" si="115"/>
        <v>37500</v>
      </c>
      <c r="T581" s="16"/>
      <c r="U581" s="17"/>
      <c r="V581" s="16"/>
      <c r="W581" s="5"/>
      <c r="X581" s="16"/>
      <c r="Y581" s="5"/>
      <c r="Z581" s="16"/>
      <c r="AA581" s="16"/>
      <c r="AB581" s="16"/>
      <c r="AE581" s="16"/>
      <c r="AG581" s="22">
        <f t="shared" si="116"/>
        <v>0</v>
      </c>
      <c r="AH581" s="6"/>
      <c r="AJ581" s="20">
        <f t="shared" si="114"/>
        <v>0</v>
      </c>
      <c r="AK581" s="50"/>
      <c r="AL581" s="6"/>
      <c r="AM581" s="20">
        <f t="shared" si="117"/>
        <v>0</v>
      </c>
      <c r="AN581" s="20">
        <f t="shared" si="118"/>
        <v>37500</v>
      </c>
      <c r="AP581" s="20">
        <f t="shared" si="119"/>
        <v>37500</v>
      </c>
      <c r="AQ581" s="7"/>
      <c r="AR581" s="25"/>
      <c r="AS581" s="130"/>
    </row>
    <row r="582" spans="1:45" ht="30" customHeight="1" x14ac:dyDescent="0.2">
      <c r="A582" s="8"/>
      <c r="C582" s="16"/>
      <c r="AC582" s="21"/>
      <c r="AD582" s="21"/>
      <c r="AG582" s="22"/>
      <c r="AJ582" s="20"/>
      <c r="AM582" s="20"/>
      <c r="AN582" s="20"/>
      <c r="AP582" s="20"/>
      <c r="AR582" s="20"/>
    </row>
    <row r="583" spans="1:45" s="21" customFormat="1" ht="30" customHeight="1" x14ac:dyDescent="0.2">
      <c r="A583" s="8">
        <v>501</v>
      </c>
      <c r="B583" s="46">
        <v>1</v>
      </c>
      <c r="C583" s="16" t="s">
        <v>52</v>
      </c>
      <c r="D583" s="48">
        <v>14793</v>
      </c>
      <c r="E583" s="47">
        <v>29</v>
      </c>
      <c r="F583" s="48">
        <v>3345</v>
      </c>
      <c r="G583" s="49">
        <v>3</v>
      </c>
      <c r="H583" s="48">
        <v>0</v>
      </c>
      <c r="I583" s="48">
        <v>1</v>
      </c>
      <c r="J583" s="48">
        <v>21</v>
      </c>
      <c r="K583" s="3"/>
      <c r="L583" s="16">
        <v>121</v>
      </c>
      <c r="M583" s="57"/>
      <c r="N583" s="58"/>
      <c r="P583" s="16">
        <v>2</v>
      </c>
      <c r="Q583" s="20">
        <f>+L583</f>
        <v>121</v>
      </c>
      <c r="R583" s="14">
        <v>2000</v>
      </c>
      <c r="S583" s="20">
        <f t="shared" si="115"/>
        <v>242000</v>
      </c>
      <c r="T583" s="16"/>
      <c r="U583" s="17" t="s">
        <v>57</v>
      </c>
      <c r="V583" s="17" t="s">
        <v>56</v>
      </c>
      <c r="W583" s="4"/>
      <c r="X583" s="16"/>
      <c r="Y583" s="5">
        <v>135</v>
      </c>
      <c r="Z583" s="16"/>
      <c r="AA583" s="16"/>
      <c r="AB583" s="16"/>
      <c r="AE583" s="16"/>
      <c r="AG583" s="22">
        <f t="shared" si="116"/>
        <v>135</v>
      </c>
      <c r="AH583" s="6"/>
      <c r="AJ583" s="20">
        <f t="shared" si="114"/>
        <v>0</v>
      </c>
      <c r="AK583" s="50"/>
      <c r="AL583" s="6"/>
      <c r="AM583" s="20">
        <f t="shared" si="117"/>
        <v>0</v>
      </c>
      <c r="AN583" s="20">
        <f t="shared" si="118"/>
        <v>242000</v>
      </c>
      <c r="AP583" s="20">
        <f t="shared" si="119"/>
        <v>242000</v>
      </c>
      <c r="AQ583" s="7"/>
      <c r="AR583" s="20"/>
      <c r="AS583" s="51"/>
    </row>
    <row r="584" spans="1:45" s="21" customFormat="1" ht="30" customHeight="1" x14ac:dyDescent="0.2">
      <c r="A584" s="8">
        <v>502</v>
      </c>
      <c r="B584" s="46">
        <v>2</v>
      </c>
      <c r="C584" s="16" t="s">
        <v>52</v>
      </c>
      <c r="D584" s="48">
        <v>14797</v>
      </c>
      <c r="E584" s="47">
        <v>33</v>
      </c>
      <c r="F584" s="48">
        <v>3349</v>
      </c>
      <c r="G584" s="49">
        <v>3</v>
      </c>
      <c r="H584" s="48">
        <v>3</v>
      </c>
      <c r="I584" s="48">
        <v>1</v>
      </c>
      <c r="J584" s="48">
        <v>37</v>
      </c>
      <c r="K584" s="3">
        <v>1337</v>
      </c>
      <c r="L584" s="16"/>
      <c r="M584" s="57"/>
      <c r="N584" s="58"/>
      <c r="P584" s="16">
        <v>1</v>
      </c>
      <c r="Q584" s="20">
        <f>+K584</f>
        <v>1337</v>
      </c>
      <c r="R584" s="14">
        <v>160</v>
      </c>
      <c r="S584" s="19">
        <f t="shared" si="115"/>
        <v>213920</v>
      </c>
      <c r="T584" s="16"/>
      <c r="U584" s="17"/>
      <c r="V584" s="17"/>
      <c r="W584" s="4"/>
      <c r="X584" s="16"/>
      <c r="Y584" s="5"/>
      <c r="Z584" s="16"/>
      <c r="AA584" s="16"/>
      <c r="AB584" s="16"/>
      <c r="AE584" s="16"/>
      <c r="AG584" s="22">
        <f t="shared" si="116"/>
        <v>0</v>
      </c>
      <c r="AH584" s="6"/>
      <c r="AJ584" s="20">
        <f t="shared" si="114"/>
        <v>0</v>
      </c>
      <c r="AK584" s="50"/>
      <c r="AL584" s="6"/>
      <c r="AM584" s="20">
        <f t="shared" si="117"/>
        <v>0</v>
      </c>
      <c r="AN584" s="20">
        <f t="shared" si="118"/>
        <v>213920</v>
      </c>
      <c r="AP584" s="20">
        <f t="shared" si="119"/>
        <v>213920</v>
      </c>
      <c r="AQ584" s="7"/>
      <c r="AR584" s="20"/>
      <c r="AS584" s="51"/>
    </row>
    <row r="585" spans="1:45" ht="30" customHeight="1" x14ac:dyDescent="0.2">
      <c r="A585" s="8"/>
      <c r="C585" s="16"/>
      <c r="AC585" s="21"/>
      <c r="AD585" s="21"/>
      <c r="AG585" s="22"/>
      <c r="AJ585" s="20"/>
      <c r="AM585" s="20"/>
      <c r="AN585" s="20"/>
      <c r="AP585" s="20"/>
      <c r="AR585" s="20"/>
    </row>
    <row r="586" spans="1:45" s="21" customFormat="1" ht="30" customHeight="1" x14ac:dyDescent="0.2">
      <c r="A586" s="8">
        <v>503</v>
      </c>
      <c r="B586" s="46">
        <v>1</v>
      </c>
      <c r="C586" s="16" t="s">
        <v>52</v>
      </c>
      <c r="D586" s="48">
        <v>36125</v>
      </c>
      <c r="E586" s="47">
        <v>151</v>
      </c>
      <c r="F586" s="48">
        <v>7058</v>
      </c>
      <c r="G586" s="49">
        <v>1</v>
      </c>
      <c r="H586" s="48">
        <v>0</v>
      </c>
      <c r="I586" s="48">
        <v>0</v>
      </c>
      <c r="J586" s="48">
        <v>23</v>
      </c>
      <c r="K586" s="3"/>
      <c r="L586" s="16"/>
      <c r="M586" s="57"/>
      <c r="N586" s="58"/>
      <c r="O586" s="21">
        <v>23</v>
      </c>
      <c r="P586" s="16"/>
      <c r="Q586" s="20">
        <f>+O586</f>
        <v>23</v>
      </c>
      <c r="R586" s="14">
        <v>160</v>
      </c>
      <c r="S586" s="20">
        <f t="shared" si="115"/>
        <v>3680</v>
      </c>
      <c r="T586" s="16"/>
      <c r="U586" s="17"/>
      <c r="V586" s="17"/>
      <c r="W586" s="4"/>
      <c r="X586" s="16"/>
      <c r="Y586" s="5"/>
      <c r="Z586" s="16"/>
      <c r="AA586" s="16"/>
      <c r="AB586" s="16"/>
      <c r="AE586" s="16"/>
      <c r="AG586" s="22">
        <f t="shared" si="116"/>
        <v>0</v>
      </c>
      <c r="AH586" s="6"/>
      <c r="AJ586" s="20">
        <f t="shared" si="114"/>
        <v>0</v>
      </c>
      <c r="AK586" s="50"/>
      <c r="AL586" s="6"/>
      <c r="AM586" s="20">
        <f t="shared" si="117"/>
        <v>0</v>
      </c>
      <c r="AN586" s="20">
        <f t="shared" si="118"/>
        <v>3680</v>
      </c>
      <c r="AP586" s="20">
        <f t="shared" si="119"/>
        <v>3680</v>
      </c>
      <c r="AQ586" s="7"/>
      <c r="AR586" s="20"/>
      <c r="AS586" s="51"/>
    </row>
    <row r="587" spans="1:45" s="21" customFormat="1" ht="30" customHeight="1" x14ac:dyDescent="0.2">
      <c r="A587" s="8">
        <v>504</v>
      </c>
      <c r="B587" s="46">
        <v>1</v>
      </c>
      <c r="C587" s="16" t="s">
        <v>52</v>
      </c>
      <c r="D587" s="48">
        <v>1979</v>
      </c>
      <c r="E587" s="47">
        <v>22</v>
      </c>
      <c r="F587" s="48">
        <v>813</v>
      </c>
      <c r="G587" s="49">
        <v>4</v>
      </c>
      <c r="H587" s="48">
        <v>0</v>
      </c>
      <c r="I587" s="48">
        <v>0</v>
      </c>
      <c r="J587" s="48">
        <v>85</v>
      </c>
      <c r="K587" s="3"/>
      <c r="L587" s="16">
        <v>85</v>
      </c>
      <c r="M587" s="57"/>
      <c r="N587" s="58"/>
      <c r="P587" s="16">
        <v>2</v>
      </c>
      <c r="Q587" s="20">
        <f>+L587</f>
        <v>85</v>
      </c>
      <c r="R587" s="14">
        <v>2000</v>
      </c>
      <c r="S587" s="19">
        <f t="shared" si="115"/>
        <v>170000</v>
      </c>
      <c r="T587" s="16"/>
      <c r="U587" s="17" t="s">
        <v>57</v>
      </c>
      <c r="V587" s="17" t="s">
        <v>56</v>
      </c>
      <c r="W587" s="4"/>
      <c r="X587" s="16"/>
      <c r="Y587" s="5">
        <v>108</v>
      </c>
      <c r="Z587" s="16"/>
      <c r="AA587" s="16"/>
      <c r="AB587" s="16"/>
      <c r="AE587" s="16"/>
      <c r="AG587" s="22">
        <f t="shared" si="116"/>
        <v>108</v>
      </c>
      <c r="AH587" s="6"/>
      <c r="AJ587" s="20">
        <f t="shared" si="114"/>
        <v>0</v>
      </c>
      <c r="AK587" s="50"/>
      <c r="AL587" s="6"/>
      <c r="AM587" s="20">
        <f t="shared" si="117"/>
        <v>0</v>
      </c>
      <c r="AN587" s="20">
        <f t="shared" si="118"/>
        <v>170000</v>
      </c>
      <c r="AP587" s="20">
        <f t="shared" si="119"/>
        <v>170000</v>
      </c>
      <c r="AQ587" s="7"/>
      <c r="AR587" s="20"/>
      <c r="AS587" s="51"/>
    </row>
    <row r="588" spans="1:45" s="21" customFormat="1" ht="30" customHeight="1" x14ac:dyDescent="0.2">
      <c r="A588" s="8">
        <v>505</v>
      </c>
      <c r="B588" s="46">
        <v>1</v>
      </c>
      <c r="C588" s="16" t="s">
        <v>52</v>
      </c>
      <c r="D588" s="48">
        <v>1523</v>
      </c>
      <c r="E588" s="47">
        <v>99</v>
      </c>
      <c r="F588" s="48">
        <v>413</v>
      </c>
      <c r="G588" s="49">
        <v>2</v>
      </c>
      <c r="H588" s="48">
        <v>1</v>
      </c>
      <c r="I588" s="48">
        <v>2</v>
      </c>
      <c r="J588" s="48">
        <v>36.049999999999997</v>
      </c>
      <c r="K588" s="3"/>
      <c r="L588" s="16">
        <v>636.04999999999995</v>
      </c>
      <c r="M588" s="57"/>
      <c r="N588" s="58"/>
      <c r="P588" s="16">
        <v>2</v>
      </c>
      <c r="Q588" s="20">
        <f>+L588</f>
        <v>636.04999999999995</v>
      </c>
      <c r="R588" s="14">
        <v>200</v>
      </c>
      <c r="S588" s="19">
        <f t="shared" si="115"/>
        <v>127209.99999999999</v>
      </c>
      <c r="T588" s="16"/>
      <c r="U588" s="17"/>
      <c r="V588" s="17"/>
      <c r="W588" s="4"/>
      <c r="X588" s="16"/>
      <c r="Y588" s="5">
        <v>93.75</v>
      </c>
      <c r="Z588" s="16"/>
      <c r="AA588" s="16"/>
      <c r="AB588" s="16"/>
      <c r="AE588" s="16"/>
      <c r="AG588" s="22">
        <f t="shared" si="116"/>
        <v>93.75</v>
      </c>
      <c r="AH588" s="6"/>
      <c r="AJ588" s="20">
        <f t="shared" si="114"/>
        <v>0</v>
      </c>
      <c r="AK588" s="50"/>
      <c r="AL588" s="6"/>
      <c r="AM588" s="20">
        <f t="shared" si="117"/>
        <v>0</v>
      </c>
      <c r="AN588" s="20">
        <f t="shared" si="118"/>
        <v>127209.99999999999</v>
      </c>
      <c r="AP588" s="20">
        <f t="shared" si="119"/>
        <v>127209.99999999999</v>
      </c>
      <c r="AQ588" s="7"/>
      <c r="AR588" s="20"/>
      <c r="AS588" s="51"/>
    </row>
    <row r="589" spans="1:45" s="21" customFormat="1" ht="30" customHeight="1" x14ac:dyDescent="0.2">
      <c r="A589" s="8">
        <v>506</v>
      </c>
      <c r="B589" s="46">
        <v>2</v>
      </c>
      <c r="C589" s="16" t="s">
        <v>52</v>
      </c>
      <c r="D589" s="48">
        <v>1872</v>
      </c>
      <c r="E589" s="47">
        <v>117</v>
      </c>
      <c r="F589" s="48">
        <v>1262</v>
      </c>
      <c r="G589" s="49"/>
      <c r="H589" s="48">
        <v>2</v>
      </c>
      <c r="I589" s="48">
        <v>1</v>
      </c>
      <c r="J589" s="48">
        <v>34</v>
      </c>
      <c r="K589" s="3">
        <v>934</v>
      </c>
      <c r="L589" s="16"/>
      <c r="M589" s="57"/>
      <c r="N589" s="58"/>
      <c r="P589" s="16">
        <v>1</v>
      </c>
      <c r="Q589" s="20">
        <f>+K589</f>
        <v>934</v>
      </c>
      <c r="R589" s="14">
        <v>160</v>
      </c>
      <c r="S589" s="20">
        <f t="shared" si="115"/>
        <v>149440</v>
      </c>
      <c r="T589" s="16"/>
      <c r="U589" s="16"/>
      <c r="V589" s="16"/>
      <c r="W589" s="5"/>
      <c r="X589" s="16"/>
      <c r="Y589" s="5"/>
      <c r="Z589" s="16"/>
      <c r="AA589" s="16"/>
      <c r="AB589" s="16"/>
      <c r="AE589" s="16"/>
      <c r="AG589" s="22">
        <f t="shared" si="116"/>
        <v>0</v>
      </c>
      <c r="AH589" s="6"/>
      <c r="AJ589" s="20">
        <f t="shared" si="114"/>
        <v>0</v>
      </c>
      <c r="AK589" s="50"/>
      <c r="AL589" s="6"/>
      <c r="AM589" s="20">
        <f t="shared" si="117"/>
        <v>0</v>
      </c>
      <c r="AN589" s="20">
        <f t="shared" si="118"/>
        <v>149440</v>
      </c>
      <c r="AP589" s="20">
        <f t="shared" si="119"/>
        <v>149440</v>
      </c>
      <c r="AQ589" s="7"/>
      <c r="AR589" s="20"/>
      <c r="AS589" s="51"/>
    </row>
    <row r="590" spans="1:45" ht="30" customHeight="1" x14ac:dyDescent="0.2">
      <c r="A590" s="8">
        <v>507</v>
      </c>
      <c r="B590" s="13">
        <v>1</v>
      </c>
      <c r="C590" s="16" t="s">
        <v>65</v>
      </c>
      <c r="D590" s="17">
        <v>3518</v>
      </c>
      <c r="E590" s="17">
        <v>237</v>
      </c>
      <c r="G590" s="13">
        <v>4</v>
      </c>
      <c r="H590" s="17">
        <v>1</v>
      </c>
      <c r="I590" s="17">
        <v>1</v>
      </c>
      <c r="J590" s="17">
        <v>80</v>
      </c>
      <c r="K590" s="10">
        <v>580</v>
      </c>
      <c r="P590" s="17">
        <v>1</v>
      </c>
      <c r="Q590" s="19">
        <f>+K590</f>
        <v>580</v>
      </c>
      <c r="R590" s="14">
        <v>160</v>
      </c>
      <c r="S590" s="19">
        <f t="shared" si="115"/>
        <v>92800</v>
      </c>
      <c r="AC590" s="21"/>
      <c r="AD590" s="21"/>
      <c r="AG590" s="22">
        <f t="shared" si="116"/>
        <v>0</v>
      </c>
      <c r="AJ590" s="20">
        <f t="shared" si="114"/>
        <v>0</v>
      </c>
      <c r="AM590" s="20">
        <f t="shared" si="117"/>
        <v>0</v>
      </c>
      <c r="AN590" s="20">
        <f t="shared" si="118"/>
        <v>92800</v>
      </c>
      <c r="AP590" s="20">
        <f t="shared" si="119"/>
        <v>92800</v>
      </c>
      <c r="AQ590" s="12">
        <v>1E-4</v>
      </c>
      <c r="AR590" s="20"/>
    </row>
    <row r="591" spans="1:45" s="21" customFormat="1" ht="30" customHeight="1" x14ac:dyDescent="0.2">
      <c r="A591" s="8">
        <v>508</v>
      </c>
      <c r="B591" s="46">
        <v>1</v>
      </c>
      <c r="C591" s="16" t="s">
        <v>52</v>
      </c>
      <c r="D591" s="48">
        <v>4993</v>
      </c>
      <c r="E591" s="47">
        <v>51</v>
      </c>
      <c r="F591" s="48">
        <v>2611</v>
      </c>
      <c r="G591" s="49">
        <v>7</v>
      </c>
      <c r="H591" s="48">
        <v>0</v>
      </c>
      <c r="I591" s="48">
        <v>0</v>
      </c>
      <c r="J591" s="48">
        <v>87</v>
      </c>
      <c r="K591" s="3"/>
      <c r="L591" s="16"/>
      <c r="M591" s="57"/>
      <c r="N591" s="58">
        <v>87</v>
      </c>
      <c r="P591" s="16">
        <v>4</v>
      </c>
      <c r="Q591" s="20">
        <f>+N591</f>
        <v>87</v>
      </c>
      <c r="R591" s="14">
        <v>4500</v>
      </c>
      <c r="S591" s="19">
        <f t="shared" si="115"/>
        <v>391500</v>
      </c>
      <c r="T591" s="16"/>
      <c r="U591" s="17"/>
      <c r="V591" s="16"/>
      <c r="W591" s="5"/>
      <c r="X591" s="16"/>
      <c r="Y591" s="5"/>
      <c r="Z591" s="16"/>
      <c r="AA591" s="16"/>
      <c r="AB591" s="16"/>
      <c r="AC591" s="14"/>
      <c r="AD591" s="14"/>
      <c r="AE591" s="16"/>
      <c r="AG591" s="22">
        <f t="shared" si="116"/>
        <v>0</v>
      </c>
      <c r="AH591" s="6"/>
      <c r="AJ591" s="20">
        <f t="shared" si="114"/>
        <v>0</v>
      </c>
      <c r="AK591" s="50"/>
      <c r="AL591" s="6"/>
      <c r="AM591" s="20">
        <f t="shared" si="117"/>
        <v>0</v>
      </c>
      <c r="AN591" s="20">
        <f t="shared" si="118"/>
        <v>391500</v>
      </c>
      <c r="AP591" s="20">
        <f t="shared" si="119"/>
        <v>391500</v>
      </c>
      <c r="AQ591" s="7">
        <v>3.0000000000000001E-3</v>
      </c>
      <c r="AR591" s="20"/>
      <c r="AS591" s="51"/>
    </row>
    <row r="592" spans="1:45" s="21" customFormat="1" ht="30" customHeight="1" x14ac:dyDescent="0.2">
      <c r="A592" s="8">
        <v>509</v>
      </c>
      <c r="B592" s="46">
        <v>1</v>
      </c>
      <c r="C592" s="16" t="s">
        <v>52</v>
      </c>
      <c r="D592" s="48">
        <v>29873</v>
      </c>
      <c r="E592" s="47">
        <v>5</v>
      </c>
      <c r="F592" s="48">
        <v>5463</v>
      </c>
      <c r="G592" s="49">
        <v>2</v>
      </c>
      <c r="H592" s="48">
        <v>0</v>
      </c>
      <c r="I592" s="48">
        <v>2</v>
      </c>
      <c r="J592" s="48">
        <v>8</v>
      </c>
      <c r="K592" s="3"/>
      <c r="L592" s="16">
        <v>208</v>
      </c>
      <c r="M592" s="57"/>
      <c r="N592" s="58"/>
      <c r="P592" s="16">
        <v>2</v>
      </c>
      <c r="Q592" s="20">
        <v>208</v>
      </c>
      <c r="R592" s="14">
        <v>160</v>
      </c>
      <c r="S592" s="19">
        <f t="shared" si="115"/>
        <v>33280</v>
      </c>
      <c r="T592" s="16"/>
      <c r="U592" s="17"/>
      <c r="V592" s="17"/>
      <c r="W592" s="4"/>
      <c r="X592" s="16"/>
      <c r="Y592" s="5"/>
      <c r="Z592" s="16"/>
      <c r="AA592" s="16"/>
      <c r="AB592" s="16"/>
      <c r="AC592" s="14"/>
      <c r="AD592" s="14"/>
      <c r="AE592" s="16"/>
      <c r="AG592" s="22">
        <f t="shared" si="116"/>
        <v>0</v>
      </c>
      <c r="AH592" s="6"/>
      <c r="AJ592" s="20">
        <f t="shared" si="114"/>
        <v>0</v>
      </c>
      <c r="AK592" s="50"/>
      <c r="AL592" s="6"/>
      <c r="AM592" s="20">
        <f t="shared" si="117"/>
        <v>0</v>
      </c>
      <c r="AN592" s="20">
        <f t="shared" si="118"/>
        <v>33280</v>
      </c>
      <c r="AP592" s="20">
        <f t="shared" si="119"/>
        <v>33280</v>
      </c>
      <c r="AQ592" s="7"/>
      <c r="AR592" s="20"/>
      <c r="AS592" s="51"/>
    </row>
    <row r="593" spans="1:45" ht="30" customHeight="1" x14ac:dyDescent="0.2">
      <c r="A593" s="8">
        <v>510</v>
      </c>
      <c r="B593" s="13">
        <v>1</v>
      </c>
      <c r="C593" s="16" t="s">
        <v>65</v>
      </c>
      <c r="D593" s="17">
        <v>1555</v>
      </c>
      <c r="E593" s="17">
        <v>23</v>
      </c>
      <c r="H593" s="17">
        <v>1</v>
      </c>
      <c r="I593" s="17">
        <v>0</v>
      </c>
      <c r="J593" s="17">
        <v>1</v>
      </c>
      <c r="K593" s="10">
        <v>401</v>
      </c>
      <c r="P593" s="17">
        <v>1</v>
      </c>
      <c r="Q593" s="19">
        <f>+K593</f>
        <v>401</v>
      </c>
      <c r="R593" s="14">
        <v>1100</v>
      </c>
      <c r="S593" s="19">
        <f t="shared" si="115"/>
        <v>441100</v>
      </c>
      <c r="AC593" s="21"/>
      <c r="AD593" s="21"/>
      <c r="AG593" s="22">
        <f t="shared" si="116"/>
        <v>0</v>
      </c>
      <c r="AJ593" s="20">
        <f t="shared" si="114"/>
        <v>0</v>
      </c>
      <c r="AM593" s="20">
        <f t="shared" si="117"/>
        <v>0</v>
      </c>
      <c r="AN593" s="20">
        <f t="shared" si="118"/>
        <v>441100</v>
      </c>
      <c r="AP593" s="20">
        <f t="shared" si="119"/>
        <v>441100</v>
      </c>
      <c r="AQ593" s="12">
        <v>1E-4</v>
      </c>
      <c r="AR593" s="20"/>
    </row>
    <row r="594" spans="1:45" ht="30" customHeight="1" x14ac:dyDescent="0.2">
      <c r="A594" s="8">
        <v>511</v>
      </c>
      <c r="B594" s="13">
        <v>2</v>
      </c>
      <c r="C594" s="16" t="s">
        <v>65</v>
      </c>
      <c r="D594" s="17">
        <v>3565</v>
      </c>
      <c r="E594" s="17">
        <v>43</v>
      </c>
      <c r="H594" s="17">
        <v>0</v>
      </c>
      <c r="I594" s="17">
        <v>1</v>
      </c>
      <c r="J594" s="17">
        <v>70</v>
      </c>
      <c r="K594" s="10">
        <v>170</v>
      </c>
      <c r="P594" s="17">
        <v>1</v>
      </c>
      <c r="Q594" s="19">
        <f>+K594</f>
        <v>170</v>
      </c>
      <c r="R594" s="14">
        <v>1100</v>
      </c>
      <c r="S594" s="20">
        <f t="shared" si="115"/>
        <v>187000</v>
      </c>
      <c r="AC594" s="21"/>
      <c r="AD594" s="21"/>
      <c r="AG594" s="22">
        <f t="shared" si="116"/>
        <v>0</v>
      </c>
      <c r="AJ594" s="20">
        <f t="shared" si="114"/>
        <v>0</v>
      </c>
      <c r="AM594" s="20">
        <f t="shared" si="117"/>
        <v>0</v>
      </c>
      <c r="AN594" s="20">
        <f t="shared" si="118"/>
        <v>187000</v>
      </c>
      <c r="AP594" s="20">
        <f t="shared" si="119"/>
        <v>187000</v>
      </c>
      <c r="AQ594" s="12">
        <v>1E-4</v>
      </c>
      <c r="AR594" s="20"/>
    </row>
    <row r="595" spans="1:45" ht="30" customHeight="1" x14ac:dyDescent="0.2">
      <c r="A595" s="8"/>
      <c r="C595" s="16"/>
      <c r="AC595" s="21"/>
      <c r="AD595" s="21"/>
      <c r="AG595" s="22"/>
      <c r="AJ595" s="20"/>
      <c r="AM595" s="20"/>
      <c r="AN595" s="20"/>
      <c r="AP595" s="20"/>
      <c r="AR595" s="20"/>
    </row>
    <row r="596" spans="1:45" ht="30" customHeight="1" x14ac:dyDescent="0.2">
      <c r="A596" s="8">
        <v>512</v>
      </c>
      <c r="B596" s="13">
        <v>1</v>
      </c>
      <c r="C596" s="16" t="s">
        <v>65</v>
      </c>
      <c r="D596" s="17">
        <v>3563</v>
      </c>
      <c r="E596" s="17">
        <v>41</v>
      </c>
      <c r="H596" s="17">
        <v>0</v>
      </c>
      <c r="I596" s="17">
        <v>1</v>
      </c>
      <c r="J596" s="17">
        <v>54</v>
      </c>
      <c r="K596" s="10">
        <v>154</v>
      </c>
      <c r="P596" s="17">
        <v>1</v>
      </c>
      <c r="Q596" s="19">
        <f>+K596</f>
        <v>154</v>
      </c>
      <c r="R596" s="14">
        <v>1100</v>
      </c>
      <c r="S596" s="19">
        <f t="shared" si="115"/>
        <v>169400</v>
      </c>
      <c r="AC596" s="21"/>
      <c r="AD596" s="21"/>
      <c r="AG596" s="22">
        <f t="shared" si="116"/>
        <v>0</v>
      </c>
      <c r="AJ596" s="20">
        <f t="shared" si="114"/>
        <v>0</v>
      </c>
      <c r="AM596" s="20">
        <f t="shared" si="117"/>
        <v>0</v>
      </c>
      <c r="AN596" s="20">
        <f t="shared" si="118"/>
        <v>169400</v>
      </c>
      <c r="AP596" s="20">
        <f t="shared" si="119"/>
        <v>169400</v>
      </c>
      <c r="AQ596" s="12">
        <v>1E-4</v>
      </c>
      <c r="AR596" s="20"/>
    </row>
    <row r="597" spans="1:45" ht="30" customHeight="1" x14ac:dyDescent="0.2">
      <c r="A597" s="8"/>
      <c r="C597" s="16"/>
      <c r="S597" s="20"/>
      <c r="AG597" s="22"/>
      <c r="AJ597" s="20"/>
      <c r="AM597" s="20"/>
      <c r="AN597" s="20"/>
      <c r="AP597" s="20"/>
      <c r="AR597" s="20"/>
    </row>
    <row r="598" spans="1:45" s="21" customFormat="1" ht="30" customHeight="1" x14ac:dyDescent="0.2">
      <c r="A598" s="8">
        <v>513</v>
      </c>
      <c r="B598" s="46">
        <v>1</v>
      </c>
      <c r="C598" s="16" t="s">
        <v>52</v>
      </c>
      <c r="D598" s="48">
        <v>4922</v>
      </c>
      <c r="E598" s="47">
        <v>59</v>
      </c>
      <c r="F598" s="48">
        <v>2798</v>
      </c>
      <c r="G598" s="49">
        <v>7</v>
      </c>
      <c r="H598" s="48">
        <v>0</v>
      </c>
      <c r="I598" s="48">
        <v>2</v>
      </c>
      <c r="J598" s="48">
        <v>39</v>
      </c>
      <c r="K598" s="3"/>
      <c r="L598" s="16">
        <v>239</v>
      </c>
      <c r="M598" s="57"/>
      <c r="N598" s="58"/>
      <c r="P598" s="16">
        <v>2</v>
      </c>
      <c r="Q598" s="20">
        <f>+L598</f>
        <v>239</v>
      </c>
      <c r="R598" s="14">
        <v>160</v>
      </c>
      <c r="S598" s="19">
        <f t="shared" si="115"/>
        <v>38240</v>
      </c>
      <c r="T598" s="16"/>
      <c r="U598" s="17" t="s">
        <v>57</v>
      </c>
      <c r="V598" s="17" t="s">
        <v>56</v>
      </c>
      <c r="W598" s="4"/>
      <c r="X598" s="16"/>
      <c r="Y598" s="5">
        <v>60</v>
      </c>
      <c r="Z598" s="16"/>
      <c r="AA598" s="16"/>
      <c r="AB598" s="16">
        <v>5</v>
      </c>
      <c r="AC598" s="14"/>
      <c r="AD598" s="14"/>
      <c r="AE598" s="16"/>
      <c r="AG598" s="22">
        <f t="shared" si="116"/>
        <v>60</v>
      </c>
      <c r="AH598" s="6"/>
      <c r="AJ598" s="20">
        <f t="shared" si="114"/>
        <v>0</v>
      </c>
      <c r="AK598" s="50">
        <v>5</v>
      </c>
      <c r="AL598" s="6"/>
      <c r="AM598" s="20">
        <f t="shared" si="117"/>
        <v>0</v>
      </c>
      <c r="AN598" s="20">
        <f t="shared" si="118"/>
        <v>38240</v>
      </c>
      <c r="AP598" s="20">
        <f t="shared" si="119"/>
        <v>38240</v>
      </c>
      <c r="AQ598" s="7"/>
      <c r="AR598" s="20"/>
      <c r="AS598" s="51"/>
    </row>
    <row r="599" spans="1:45" s="21" customFormat="1" ht="30" customHeight="1" x14ac:dyDescent="0.2">
      <c r="A599" s="8">
        <v>514</v>
      </c>
      <c r="B599" s="46">
        <v>1</v>
      </c>
      <c r="C599" s="16" t="s">
        <v>52</v>
      </c>
      <c r="D599" s="48">
        <v>31272</v>
      </c>
      <c r="E599" s="47">
        <v>123</v>
      </c>
      <c r="F599" s="48">
        <v>5833</v>
      </c>
      <c r="G599" s="49">
        <v>2</v>
      </c>
      <c r="H599" s="48">
        <v>0</v>
      </c>
      <c r="I599" s="48">
        <v>3</v>
      </c>
      <c r="J599" s="48">
        <v>90</v>
      </c>
      <c r="K599" s="3"/>
      <c r="L599" s="16">
        <v>390</v>
      </c>
      <c r="M599" s="57"/>
      <c r="N599" s="58"/>
      <c r="P599" s="16">
        <v>2</v>
      </c>
      <c r="Q599" s="20">
        <f>+L599</f>
        <v>390</v>
      </c>
      <c r="R599" s="14">
        <v>160</v>
      </c>
      <c r="S599" s="19">
        <f t="shared" si="115"/>
        <v>62400</v>
      </c>
      <c r="T599" s="16"/>
      <c r="U599" s="17" t="s">
        <v>57</v>
      </c>
      <c r="V599" s="17" t="s">
        <v>56</v>
      </c>
      <c r="W599" s="4"/>
      <c r="X599" s="16"/>
      <c r="Y599" s="5">
        <v>60</v>
      </c>
      <c r="Z599" s="16"/>
      <c r="AA599" s="16"/>
      <c r="AB599" s="16"/>
      <c r="AC599" s="14"/>
      <c r="AD599" s="14"/>
      <c r="AE599" s="16"/>
      <c r="AG599" s="22">
        <f t="shared" si="116"/>
        <v>60</v>
      </c>
      <c r="AH599" s="6"/>
      <c r="AJ599" s="20">
        <f t="shared" si="114"/>
        <v>0</v>
      </c>
      <c r="AK599" s="50"/>
      <c r="AL599" s="6"/>
      <c r="AM599" s="20">
        <f t="shared" si="117"/>
        <v>0</v>
      </c>
      <c r="AN599" s="20">
        <f t="shared" si="118"/>
        <v>62400</v>
      </c>
      <c r="AP599" s="20">
        <f t="shared" si="119"/>
        <v>62400</v>
      </c>
      <c r="AQ599" s="7"/>
      <c r="AR599" s="20"/>
      <c r="AS599" s="51"/>
    </row>
    <row r="600" spans="1:45" s="21" customFormat="1" ht="30" customHeight="1" x14ac:dyDescent="0.2">
      <c r="A600" s="8">
        <v>515</v>
      </c>
      <c r="B600" s="46">
        <v>2</v>
      </c>
      <c r="C600" s="16" t="s">
        <v>52</v>
      </c>
      <c r="D600" s="48">
        <v>31460</v>
      </c>
      <c r="E600" s="47">
        <v>126</v>
      </c>
      <c r="F600" s="48">
        <v>5837</v>
      </c>
      <c r="G600" s="49">
        <v>2</v>
      </c>
      <c r="H600" s="48">
        <v>3</v>
      </c>
      <c r="I600" s="48">
        <v>0</v>
      </c>
      <c r="J600" s="48">
        <v>35</v>
      </c>
      <c r="K600" s="3">
        <v>1235</v>
      </c>
      <c r="L600" s="16"/>
      <c r="M600" s="57"/>
      <c r="N600" s="58"/>
      <c r="P600" s="16">
        <v>1</v>
      </c>
      <c r="Q600" s="20">
        <f>+K600</f>
        <v>1235</v>
      </c>
      <c r="R600" s="14">
        <v>160</v>
      </c>
      <c r="S600" s="20">
        <f t="shared" si="115"/>
        <v>197600</v>
      </c>
      <c r="T600" s="16"/>
      <c r="U600" s="17"/>
      <c r="V600" s="17"/>
      <c r="W600" s="4"/>
      <c r="X600" s="16"/>
      <c r="Y600" s="5"/>
      <c r="Z600" s="16"/>
      <c r="AA600" s="16"/>
      <c r="AB600" s="16"/>
      <c r="AC600" s="14"/>
      <c r="AD600" s="14"/>
      <c r="AE600" s="16"/>
      <c r="AG600" s="22">
        <f t="shared" si="116"/>
        <v>0</v>
      </c>
      <c r="AH600" s="6"/>
      <c r="AJ600" s="20">
        <f t="shared" si="114"/>
        <v>0</v>
      </c>
      <c r="AK600" s="50"/>
      <c r="AL600" s="6"/>
      <c r="AM600" s="20">
        <f t="shared" si="117"/>
        <v>0</v>
      </c>
      <c r="AN600" s="20">
        <f t="shared" si="118"/>
        <v>197600</v>
      </c>
      <c r="AP600" s="20">
        <f t="shared" si="119"/>
        <v>197600</v>
      </c>
      <c r="AQ600" s="7"/>
      <c r="AR600" s="20"/>
      <c r="AS600" s="51"/>
    </row>
    <row r="601" spans="1:45" s="21" customFormat="1" ht="30" customHeight="1" x14ac:dyDescent="0.2">
      <c r="A601" s="8">
        <v>516</v>
      </c>
      <c r="B601" s="46">
        <v>1</v>
      </c>
      <c r="C601" s="16" t="s">
        <v>52</v>
      </c>
      <c r="D601" s="48">
        <v>20491</v>
      </c>
      <c r="E601" s="47">
        <v>154</v>
      </c>
      <c r="F601" s="48">
        <v>4576</v>
      </c>
      <c r="G601" s="49">
        <v>2</v>
      </c>
      <c r="H601" s="48">
        <v>0</v>
      </c>
      <c r="I601" s="48">
        <v>0</v>
      </c>
      <c r="J601" s="48">
        <v>76</v>
      </c>
      <c r="K601" s="3"/>
      <c r="L601" s="16">
        <v>76</v>
      </c>
      <c r="M601" s="57"/>
      <c r="N601" s="58"/>
      <c r="P601" s="16">
        <v>2</v>
      </c>
      <c r="Q601" s="20">
        <f>+L601</f>
        <v>76</v>
      </c>
      <c r="R601" s="14">
        <v>250</v>
      </c>
      <c r="S601" s="19">
        <f t="shared" si="115"/>
        <v>19000</v>
      </c>
      <c r="T601" s="16"/>
      <c r="U601" s="16"/>
      <c r="V601" s="16"/>
      <c r="W601" s="5"/>
      <c r="X601" s="16"/>
      <c r="Y601" s="5"/>
      <c r="Z601" s="16"/>
      <c r="AA601" s="16"/>
      <c r="AB601" s="16"/>
      <c r="AC601" s="14"/>
      <c r="AD601" s="14"/>
      <c r="AE601" s="21" t="s">
        <v>108</v>
      </c>
      <c r="AG601" s="22">
        <f t="shared" si="116"/>
        <v>0</v>
      </c>
      <c r="AH601" s="6"/>
      <c r="AJ601" s="20">
        <f t="shared" si="114"/>
        <v>0</v>
      </c>
      <c r="AK601" s="50"/>
      <c r="AL601" s="6"/>
      <c r="AM601" s="20">
        <f t="shared" si="117"/>
        <v>0</v>
      </c>
      <c r="AN601" s="20">
        <f t="shared" si="118"/>
        <v>19000</v>
      </c>
      <c r="AP601" s="20">
        <f t="shared" si="119"/>
        <v>19000</v>
      </c>
      <c r="AQ601" s="7"/>
      <c r="AR601" s="20"/>
      <c r="AS601" s="51"/>
    </row>
    <row r="602" spans="1:45" s="21" customFormat="1" ht="30" customHeight="1" x14ac:dyDescent="0.2">
      <c r="A602" s="8">
        <v>517</v>
      </c>
      <c r="B602" s="46">
        <v>1</v>
      </c>
      <c r="C602" s="16" t="s">
        <v>52</v>
      </c>
      <c r="D602" s="48">
        <v>865</v>
      </c>
      <c r="E602" s="47">
        <v>89</v>
      </c>
      <c r="F602" s="48">
        <v>156</v>
      </c>
      <c r="G602" s="49">
        <v>1</v>
      </c>
      <c r="H602" s="48">
        <v>1</v>
      </c>
      <c r="I602" s="48">
        <v>2</v>
      </c>
      <c r="J602" s="48">
        <v>84</v>
      </c>
      <c r="K602" s="3">
        <v>684</v>
      </c>
      <c r="L602" s="16"/>
      <c r="M602" s="57"/>
      <c r="N602" s="58"/>
      <c r="P602" s="16">
        <v>1</v>
      </c>
      <c r="Q602" s="20">
        <f>+K602</f>
        <v>684</v>
      </c>
      <c r="R602" s="14">
        <v>160</v>
      </c>
      <c r="S602" s="19">
        <f t="shared" si="115"/>
        <v>109440</v>
      </c>
      <c r="T602" s="16"/>
      <c r="U602" s="17"/>
      <c r="V602" s="16"/>
      <c r="W602" s="5"/>
      <c r="X602" s="16"/>
      <c r="Y602" s="5"/>
      <c r="Z602" s="16"/>
      <c r="AA602" s="16"/>
      <c r="AB602" s="16"/>
      <c r="AE602" s="16"/>
      <c r="AG602" s="22">
        <f t="shared" si="116"/>
        <v>0</v>
      </c>
      <c r="AH602" s="6"/>
      <c r="AJ602" s="20">
        <f t="shared" si="114"/>
        <v>0</v>
      </c>
      <c r="AK602" s="50"/>
      <c r="AL602" s="6"/>
      <c r="AM602" s="20">
        <f t="shared" si="117"/>
        <v>0</v>
      </c>
      <c r="AN602" s="20">
        <f t="shared" si="118"/>
        <v>109440</v>
      </c>
      <c r="AP602" s="20">
        <f t="shared" si="119"/>
        <v>109440</v>
      </c>
      <c r="AQ602" s="7"/>
      <c r="AR602" s="20"/>
      <c r="AS602" s="51"/>
    </row>
    <row r="603" spans="1:45" s="21" customFormat="1" ht="30" customHeight="1" x14ac:dyDescent="0.2">
      <c r="A603" s="8">
        <v>518</v>
      </c>
      <c r="B603" s="46">
        <v>1</v>
      </c>
      <c r="C603" s="16" t="s">
        <v>52</v>
      </c>
      <c r="D603" s="48">
        <v>4835</v>
      </c>
      <c r="E603" s="47">
        <v>45</v>
      </c>
      <c r="F603" s="48">
        <v>2725</v>
      </c>
      <c r="G603" s="49">
        <v>7</v>
      </c>
      <c r="H603" s="48">
        <v>0</v>
      </c>
      <c r="I603" s="48">
        <v>2</v>
      </c>
      <c r="J603" s="48">
        <v>63</v>
      </c>
      <c r="K603" s="3">
        <v>263</v>
      </c>
      <c r="L603" s="16"/>
      <c r="M603" s="57"/>
      <c r="N603" s="58"/>
      <c r="P603" s="16">
        <v>1</v>
      </c>
      <c r="Q603" s="20">
        <f>+K603</f>
        <v>263</v>
      </c>
      <c r="R603" s="14">
        <v>750</v>
      </c>
      <c r="S603" s="20">
        <f t="shared" si="115"/>
        <v>197250</v>
      </c>
      <c r="T603" s="16"/>
      <c r="U603" s="17"/>
      <c r="V603" s="17"/>
      <c r="W603" s="4"/>
      <c r="X603" s="16"/>
      <c r="Y603" s="5"/>
      <c r="Z603" s="16"/>
      <c r="AA603" s="16"/>
      <c r="AB603" s="16"/>
      <c r="AE603" s="16"/>
      <c r="AG603" s="22">
        <f t="shared" si="116"/>
        <v>0</v>
      </c>
      <c r="AH603" s="6"/>
      <c r="AJ603" s="20">
        <f t="shared" si="114"/>
        <v>0</v>
      </c>
      <c r="AK603" s="50"/>
      <c r="AL603" s="6"/>
      <c r="AM603" s="20">
        <f t="shared" si="117"/>
        <v>0</v>
      </c>
      <c r="AN603" s="20">
        <f t="shared" ref="AN603:AN621" si="120">+S603+AM603</f>
        <v>197250</v>
      </c>
      <c r="AP603" s="20">
        <f t="shared" si="119"/>
        <v>197250</v>
      </c>
      <c r="AQ603" s="7"/>
      <c r="AR603" s="20"/>
      <c r="AS603" s="51">
        <v>4</v>
      </c>
    </row>
    <row r="604" spans="1:45" ht="30" customHeight="1" x14ac:dyDescent="0.2">
      <c r="A604" s="8">
        <v>519</v>
      </c>
      <c r="B604" s="13">
        <v>1</v>
      </c>
      <c r="C604" s="16" t="s">
        <v>69</v>
      </c>
      <c r="E604" s="17">
        <v>1470</v>
      </c>
      <c r="F604" s="17">
        <v>14</v>
      </c>
      <c r="G604" s="13">
        <v>2</v>
      </c>
      <c r="H604" s="17">
        <v>2</v>
      </c>
      <c r="I604" s="17">
        <v>0</v>
      </c>
      <c r="J604" s="17">
        <v>0</v>
      </c>
      <c r="K604" s="10">
        <f>9196-8396</f>
        <v>800</v>
      </c>
      <c r="P604" s="17">
        <v>1</v>
      </c>
      <c r="Q604" s="19">
        <f>+K604</f>
        <v>800</v>
      </c>
      <c r="R604" s="14">
        <v>200</v>
      </c>
      <c r="S604" s="19">
        <f t="shared" si="115"/>
        <v>160000</v>
      </c>
      <c r="AE604" s="17" t="s">
        <v>109</v>
      </c>
      <c r="AG604" s="22">
        <f t="shared" si="116"/>
        <v>0</v>
      </c>
      <c r="AJ604" s="20">
        <f t="shared" si="114"/>
        <v>0</v>
      </c>
      <c r="AM604" s="20">
        <f t="shared" si="117"/>
        <v>0</v>
      </c>
      <c r="AN604" s="20">
        <f t="shared" si="120"/>
        <v>160000</v>
      </c>
      <c r="AP604" s="20">
        <f t="shared" si="119"/>
        <v>160000</v>
      </c>
      <c r="AQ604" s="12">
        <v>1E-4</v>
      </c>
      <c r="AR604" s="20"/>
    </row>
    <row r="605" spans="1:45" ht="30" customHeight="1" x14ac:dyDescent="0.2">
      <c r="A605" s="8">
        <v>520</v>
      </c>
      <c r="B605" s="13">
        <v>1</v>
      </c>
      <c r="C605" s="16" t="s">
        <v>69</v>
      </c>
      <c r="E605" s="17">
        <v>1470</v>
      </c>
      <c r="F605" s="17">
        <v>15</v>
      </c>
      <c r="G605" s="13">
        <v>2</v>
      </c>
      <c r="H605" s="17">
        <v>17</v>
      </c>
      <c r="I605" s="17">
        <v>2</v>
      </c>
      <c r="J605" s="17">
        <v>92</v>
      </c>
      <c r="K605" s="10">
        <v>7092</v>
      </c>
      <c r="P605" s="17">
        <v>1</v>
      </c>
      <c r="Q605" s="19">
        <f>+K605</f>
        <v>7092</v>
      </c>
      <c r="R605" s="14">
        <v>150</v>
      </c>
      <c r="S605" s="19">
        <f t="shared" si="115"/>
        <v>1063800</v>
      </c>
      <c r="AG605" s="22">
        <f t="shared" si="116"/>
        <v>0</v>
      </c>
      <c r="AJ605" s="20">
        <f t="shared" si="114"/>
        <v>0</v>
      </c>
      <c r="AM605" s="20">
        <f t="shared" si="117"/>
        <v>0</v>
      </c>
      <c r="AN605" s="20">
        <f t="shared" si="120"/>
        <v>1063800</v>
      </c>
      <c r="AP605" s="20">
        <f t="shared" si="119"/>
        <v>1063800</v>
      </c>
      <c r="AQ605" s="12">
        <v>1E-4</v>
      </c>
      <c r="AR605" s="20"/>
    </row>
    <row r="606" spans="1:45" ht="30" customHeight="1" x14ac:dyDescent="0.2">
      <c r="A606" s="8">
        <v>521</v>
      </c>
      <c r="B606" s="13">
        <v>1</v>
      </c>
      <c r="C606" s="16" t="s">
        <v>69</v>
      </c>
      <c r="E606" s="17">
        <v>1519</v>
      </c>
      <c r="F606" s="17">
        <v>6</v>
      </c>
      <c r="G606" s="13">
        <v>2</v>
      </c>
      <c r="H606" s="17">
        <v>13</v>
      </c>
      <c r="I606" s="17">
        <v>3</v>
      </c>
      <c r="J606" s="17">
        <v>65</v>
      </c>
      <c r="K606" s="10">
        <v>5565</v>
      </c>
      <c r="P606" s="17">
        <v>1</v>
      </c>
      <c r="Q606" s="19">
        <f>+K606</f>
        <v>5565</v>
      </c>
      <c r="R606" s="14">
        <v>200</v>
      </c>
      <c r="S606" s="20">
        <f t="shared" si="115"/>
        <v>1113000</v>
      </c>
      <c r="AG606" s="22">
        <f t="shared" si="116"/>
        <v>0</v>
      </c>
      <c r="AJ606" s="20">
        <f t="shared" ref="AJ606:AJ621" si="121">+AG606*AH606*AI606</f>
        <v>0</v>
      </c>
      <c r="AM606" s="20">
        <f t="shared" si="117"/>
        <v>0</v>
      </c>
      <c r="AN606" s="20">
        <f t="shared" si="120"/>
        <v>1113000</v>
      </c>
      <c r="AP606" s="20">
        <f t="shared" si="119"/>
        <v>1113000</v>
      </c>
      <c r="AQ606" s="12">
        <v>1E-4</v>
      </c>
      <c r="AR606" s="20"/>
    </row>
    <row r="607" spans="1:45" s="21" customFormat="1" ht="30" customHeight="1" x14ac:dyDescent="0.2">
      <c r="A607" s="8">
        <v>522</v>
      </c>
      <c r="B607" s="46">
        <v>1</v>
      </c>
      <c r="C607" s="16" t="s">
        <v>52</v>
      </c>
      <c r="D607" s="48">
        <v>32203</v>
      </c>
      <c r="E607" s="47">
        <v>108</v>
      </c>
      <c r="F607" s="48">
        <v>6380</v>
      </c>
      <c r="G607" s="49">
        <v>7</v>
      </c>
      <c r="H607" s="48">
        <v>0</v>
      </c>
      <c r="I607" s="48">
        <v>1</v>
      </c>
      <c r="J607" s="48">
        <v>63</v>
      </c>
      <c r="K607" s="3"/>
      <c r="L607" s="16"/>
      <c r="M607" s="57"/>
      <c r="N607" s="58"/>
      <c r="P607" s="16"/>
      <c r="Q607" s="20">
        <v>163</v>
      </c>
      <c r="R607" s="14">
        <v>160</v>
      </c>
      <c r="S607" s="19">
        <f t="shared" si="115"/>
        <v>26080</v>
      </c>
      <c r="T607" s="16"/>
      <c r="U607" s="17"/>
      <c r="V607" s="17"/>
      <c r="W607" s="4"/>
      <c r="X607" s="16"/>
      <c r="Y607" s="5"/>
      <c r="Z607" s="16"/>
      <c r="AA607" s="16"/>
      <c r="AB607" s="16"/>
      <c r="AE607" s="16"/>
      <c r="AG607" s="22">
        <f t="shared" si="116"/>
        <v>0</v>
      </c>
      <c r="AH607" s="6"/>
      <c r="AJ607" s="20">
        <f t="shared" si="121"/>
        <v>0</v>
      </c>
      <c r="AK607" s="50"/>
      <c r="AL607" s="6"/>
      <c r="AM607" s="20">
        <f t="shared" si="117"/>
        <v>0</v>
      </c>
      <c r="AN607" s="20">
        <f t="shared" si="120"/>
        <v>26080</v>
      </c>
      <c r="AP607" s="20">
        <f t="shared" si="119"/>
        <v>26080</v>
      </c>
      <c r="AQ607" s="7"/>
      <c r="AR607" s="20"/>
      <c r="AS607" s="51">
        <v>2</v>
      </c>
    </row>
    <row r="608" spans="1:45" s="21" customFormat="1" ht="30" customHeight="1" x14ac:dyDescent="0.2">
      <c r="A608" s="8">
        <v>523</v>
      </c>
      <c r="B608" s="46">
        <v>1</v>
      </c>
      <c r="C608" s="16" t="s">
        <v>52</v>
      </c>
      <c r="D608" s="48">
        <v>2746</v>
      </c>
      <c r="E608" s="47">
        <v>12</v>
      </c>
      <c r="F608" s="48">
        <v>1935</v>
      </c>
      <c r="G608" s="49">
        <v>1</v>
      </c>
      <c r="H608" s="48">
        <v>8</v>
      </c>
      <c r="I608" s="48">
        <v>1</v>
      </c>
      <c r="J608" s="48">
        <v>32</v>
      </c>
      <c r="K608" s="3">
        <v>3332</v>
      </c>
      <c r="L608" s="16"/>
      <c r="M608" s="57"/>
      <c r="N608" s="58"/>
      <c r="P608" s="16">
        <v>1</v>
      </c>
      <c r="Q608" s="20">
        <f>+K608</f>
        <v>3332</v>
      </c>
      <c r="R608" s="14">
        <v>160</v>
      </c>
      <c r="S608" s="19">
        <f t="shared" si="115"/>
        <v>533120</v>
      </c>
      <c r="T608" s="16"/>
      <c r="U608" s="17"/>
      <c r="V608" s="17"/>
      <c r="W608" s="4"/>
      <c r="X608" s="16"/>
      <c r="Y608" s="5"/>
      <c r="Z608" s="16"/>
      <c r="AA608" s="16"/>
      <c r="AB608" s="16"/>
      <c r="AE608" s="16"/>
      <c r="AG608" s="22">
        <f t="shared" si="116"/>
        <v>0</v>
      </c>
      <c r="AH608" s="6"/>
      <c r="AJ608" s="20">
        <f t="shared" si="121"/>
        <v>0</v>
      </c>
      <c r="AK608" s="50"/>
      <c r="AL608" s="6"/>
      <c r="AM608" s="20">
        <f t="shared" si="117"/>
        <v>0</v>
      </c>
      <c r="AN608" s="20">
        <f t="shared" si="120"/>
        <v>533120</v>
      </c>
      <c r="AP608" s="20">
        <f t="shared" si="119"/>
        <v>533120</v>
      </c>
      <c r="AQ608" s="7"/>
      <c r="AR608" s="60"/>
      <c r="AS608" s="128">
        <v>131</v>
      </c>
    </row>
    <row r="609" spans="1:45" s="21" customFormat="1" ht="30" customHeight="1" x14ac:dyDescent="0.2">
      <c r="A609" s="8">
        <v>524</v>
      </c>
      <c r="B609" s="46">
        <v>2</v>
      </c>
      <c r="C609" s="16" t="s">
        <v>52</v>
      </c>
      <c r="D609" s="48">
        <v>2747</v>
      </c>
      <c r="E609" s="47">
        <v>13</v>
      </c>
      <c r="F609" s="48">
        <v>1936</v>
      </c>
      <c r="G609" s="49">
        <v>1</v>
      </c>
      <c r="H609" s="48">
        <v>35</v>
      </c>
      <c r="I609" s="48">
        <v>1</v>
      </c>
      <c r="J609" s="48">
        <v>90</v>
      </c>
      <c r="K609" s="3">
        <v>14190</v>
      </c>
      <c r="L609" s="16"/>
      <c r="M609" s="57"/>
      <c r="N609" s="58"/>
      <c r="P609" s="16">
        <v>1</v>
      </c>
      <c r="Q609" s="20">
        <f>+K609</f>
        <v>14190</v>
      </c>
      <c r="R609" s="14">
        <v>160</v>
      </c>
      <c r="S609" s="20">
        <f t="shared" si="115"/>
        <v>2270400</v>
      </c>
      <c r="T609" s="16"/>
      <c r="U609" s="17"/>
      <c r="V609" s="17"/>
      <c r="W609" s="4"/>
      <c r="X609" s="16"/>
      <c r="Y609" s="5"/>
      <c r="Z609" s="16"/>
      <c r="AA609" s="16"/>
      <c r="AB609" s="16"/>
      <c r="AE609" s="16"/>
      <c r="AG609" s="22">
        <f t="shared" si="116"/>
        <v>0</v>
      </c>
      <c r="AH609" s="6"/>
      <c r="AJ609" s="20">
        <f t="shared" si="121"/>
        <v>0</v>
      </c>
      <c r="AK609" s="50"/>
      <c r="AL609" s="6"/>
      <c r="AM609" s="20">
        <f t="shared" si="117"/>
        <v>0</v>
      </c>
      <c r="AN609" s="20">
        <f t="shared" si="120"/>
        <v>2270400</v>
      </c>
      <c r="AP609" s="20">
        <f t="shared" si="119"/>
        <v>2270400</v>
      </c>
      <c r="AQ609" s="7"/>
      <c r="AR609" s="25"/>
      <c r="AS609" s="130"/>
    </row>
    <row r="610" spans="1:45" ht="30" customHeight="1" x14ac:dyDescent="0.2">
      <c r="A610" s="8">
        <v>525</v>
      </c>
      <c r="B610" s="13">
        <v>1</v>
      </c>
      <c r="C610" s="16" t="s">
        <v>65</v>
      </c>
      <c r="D610" s="17">
        <v>1654</v>
      </c>
      <c r="E610" s="17">
        <v>7</v>
      </c>
      <c r="H610" s="17">
        <v>4</v>
      </c>
      <c r="I610" s="17">
        <v>0</v>
      </c>
      <c r="J610" s="17">
        <v>0</v>
      </c>
      <c r="K610" s="10">
        <v>1600</v>
      </c>
      <c r="P610" s="17">
        <v>1</v>
      </c>
      <c r="Q610" s="19">
        <f>+K610</f>
        <v>1600</v>
      </c>
      <c r="R610" s="14">
        <v>160</v>
      </c>
      <c r="S610" s="19">
        <f t="shared" si="115"/>
        <v>256000</v>
      </c>
      <c r="AC610" s="21"/>
      <c r="AD610" s="21"/>
      <c r="AG610" s="22">
        <f t="shared" si="116"/>
        <v>0</v>
      </c>
      <c r="AJ610" s="20">
        <f t="shared" si="121"/>
        <v>0</v>
      </c>
      <c r="AM610" s="20">
        <f t="shared" si="117"/>
        <v>0</v>
      </c>
      <c r="AN610" s="20">
        <f t="shared" si="120"/>
        <v>256000</v>
      </c>
      <c r="AP610" s="20">
        <f t="shared" si="119"/>
        <v>256000</v>
      </c>
      <c r="AQ610" s="12">
        <v>1E-4</v>
      </c>
      <c r="AR610" s="20"/>
    </row>
    <row r="611" spans="1:45" ht="30" customHeight="1" x14ac:dyDescent="0.2">
      <c r="A611" s="8">
        <v>526</v>
      </c>
      <c r="B611" s="13">
        <v>2</v>
      </c>
      <c r="C611" s="16" t="s">
        <v>65</v>
      </c>
      <c r="D611" s="17">
        <v>1656</v>
      </c>
      <c r="E611" s="17">
        <v>9</v>
      </c>
      <c r="H611" s="17">
        <v>0</v>
      </c>
      <c r="I611" s="17">
        <v>3</v>
      </c>
      <c r="J611" s="17">
        <v>26</v>
      </c>
      <c r="K611" s="10">
        <v>326</v>
      </c>
      <c r="P611" s="17">
        <v>1</v>
      </c>
      <c r="Q611" s="19">
        <f>+K611</f>
        <v>326</v>
      </c>
      <c r="R611" s="14">
        <v>160</v>
      </c>
      <c r="S611" s="19">
        <f t="shared" si="115"/>
        <v>52160</v>
      </c>
      <c r="AG611" s="22">
        <f t="shared" si="116"/>
        <v>0</v>
      </c>
      <c r="AJ611" s="20">
        <f t="shared" si="121"/>
        <v>0</v>
      </c>
      <c r="AM611" s="20">
        <f t="shared" si="117"/>
        <v>0</v>
      </c>
      <c r="AN611" s="20">
        <f t="shared" si="120"/>
        <v>52160</v>
      </c>
      <c r="AP611" s="20">
        <f t="shared" si="119"/>
        <v>52160</v>
      </c>
      <c r="AQ611" s="12">
        <v>1E-4</v>
      </c>
      <c r="AR611" s="20"/>
    </row>
    <row r="612" spans="1:45" ht="30" customHeight="1" x14ac:dyDescent="0.2">
      <c r="A612" s="8">
        <v>527</v>
      </c>
      <c r="B612" s="13">
        <v>3</v>
      </c>
      <c r="C612" s="16" t="s">
        <v>65</v>
      </c>
      <c r="D612" s="17">
        <v>1657</v>
      </c>
      <c r="E612" s="17">
        <v>10</v>
      </c>
      <c r="H612" s="17">
        <v>0</v>
      </c>
      <c r="I612" s="17">
        <v>3</v>
      </c>
      <c r="J612" s="17">
        <v>50</v>
      </c>
      <c r="K612" s="10">
        <v>350</v>
      </c>
      <c r="P612" s="17">
        <v>1</v>
      </c>
      <c r="Q612" s="19">
        <f>+K612</f>
        <v>350</v>
      </c>
      <c r="R612" s="14">
        <v>160</v>
      </c>
      <c r="S612" s="20">
        <f t="shared" si="115"/>
        <v>56000</v>
      </c>
      <c r="AG612" s="22">
        <f t="shared" si="116"/>
        <v>0</v>
      </c>
      <c r="AJ612" s="20">
        <f t="shared" si="121"/>
        <v>0</v>
      </c>
      <c r="AM612" s="20">
        <f t="shared" si="117"/>
        <v>0</v>
      </c>
      <c r="AN612" s="20">
        <f t="shared" si="120"/>
        <v>56000</v>
      </c>
      <c r="AP612" s="20">
        <f t="shared" si="119"/>
        <v>56000</v>
      </c>
      <c r="AQ612" s="12">
        <v>1E-4</v>
      </c>
      <c r="AR612" s="20"/>
    </row>
    <row r="613" spans="1:45" s="21" customFormat="1" ht="30" customHeight="1" x14ac:dyDescent="0.2">
      <c r="A613" s="8">
        <v>528</v>
      </c>
      <c r="B613" s="46">
        <v>1</v>
      </c>
      <c r="C613" s="16" t="s">
        <v>52</v>
      </c>
      <c r="D613" s="48">
        <v>20468</v>
      </c>
      <c r="E613" s="47">
        <v>84</v>
      </c>
      <c r="F613" s="48">
        <v>4581</v>
      </c>
      <c r="G613" s="49">
        <v>4</v>
      </c>
      <c r="H613" s="48">
        <v>0</v>
      </c>
      <c r="I613" s="48">
        <v>0</v>
      </c>
      <c r="J613" s="48">
        <v>43</v>
      </c>
      <c r="K613" s="3"/>
      <c r="L613" s="16"/>
      <c r="M613" s="57"/>
      <c r="N613" s="58">
        <v>43</v>
      </c>
      <c r="P613" s="16">
        <v>4</v>
      </c>
      <c r="Q613" s="20">
        <v>43</v>
      </c>
      <c r="R613" s="14">
        <v>250</v>
      </c>
      <c r="S613" s="19">
        <f t="shared" si="115"/>
        <v>10750</v>
      </c>
      <c r="T613" s="16"/>
      <c r="U613" s="17"/>
      <c r="V613" s="17"/>
      <c r="W613" s="4"/>
      <c r="X613" s="16"/>
      <c r="Y613" s="5"/>
      <c r="Z613" s="16"/>
      <c r="AA613" s="16"/>
      <c r="AB613" s="16"/>
      <c r="AE613" s="16"/>
      <c r="AG613" s="22">
        <f t="shared" si="116"/>
        <v>0</v>
      </c>
      <c r="AH613" s="6"/>
      <c r="AJ613" s="20">
        <f t="shared" si="121"/>
        <v>0</v>
      </c>
      <c r="AK613" s="50"/>
      <c r="AL613" s="6"/>
      <c r="AM613" s="20">
        <f t="shared" si="117"/>
        <v>0</v>
      </c>
      <c r="AN613" s="20">
        <f t="shared" si="120"/>
        <v>10750</v>
      </c>
      <c r="AP613" s="20">
        <f t="shared" si="119"/>
        <v>10750</v>
      </c>
      <c r="AQ613" s="7">
        <v>3.0000000000000001E-3</v>
      </c>
      <c r="AR613" s="20"/>
      <c r="AS613" s="51">
        <v>24</v>
      </c>
    </row>
    <row r="614" spans="1:45" s="21" customFormat="1" ht="30" customHeight="1" x14ac:dyDescent="0.2">
      <c r="A614" s="8">
        <v>529</v>
      </c>
      <c r="B614" s="46">
        <v>1</v>
      </c>
      <c r="C614" s="16" t="s">
        <v>52</v>
      </c>
      <c r="D614" s="48">
        <v>2213</v>
      </c>
      <c r="E614" s="47">
        <v>31</v>
      </c>
      <c r="F614" s="48">
        <v>1704</v>
      </c>
      <c r="G614" s="49">
        <v>4</v>
      </c>
      <c r="H614" s="48">
        <v>0</v>
      </c>
      <c r="I614" s="48">
        <v>0</v>
      </c>
      <c r="J614" s="48">
        <v>42</v>
      </c>
      <c r="K614" s="3"/>
      <c r="L614" s="16"/>
      <c r="M614" s="57"/>
      <c r="N614" s="58">
        <v>42</v>
      </c>
      <c r="P614" s="16">
        <v>4</v>
      </c>
      <c r="Q614" s="20">
        <f>+N614</f>
        <v>42</v>
      </c>
      <c r="R614" s="14">
        <v>250</v>
      </c>
      <c r="S614" s="19">
        <f t="shared" si="115"/>
        <v>10500</v>
      </c>
      <c r="T614" s="16"/>
      <c r="U614" s="16"/>
      <c r="V614" s="16"/>
      <c r="W614" s="5"/>
      <c r="X614" s="16"/>
      <c r="Y614" s="5"/>
      <c r="Z614" s="16"/>
      <c r="AA614" s="16"/>
      <c r="AB614" s="16"/>
      <c r="AE614" s="16"/>
      <c r="AG614" s="22">
        <f t="shared" si="116"/>
        <v>0</v>
      </c>
      <c r="AH614" s="6"/>
      <c r="AJ614" s="20">
        <f t="shared" si="121"/>
        <v>0</v>
      </c>
      <c r="AK614" s="50"/>
      <c r="AL614" s="6"/>
      <c r="AM614" s="20">
        <f t="shared" si="117"/>
        <v>0</v>
      </c>
      <c r="AN614" s="20">
        <f t="shared" si="120"/>
        <v>10500</v>
      </c>
      <c r="AP614" s="20">
        <f t="shared" si="119"/>
        <v>10500</v>
      </c>
      <c r="AQ614" s="7">
        <v>3.0000000000000001E-3</v>
      </c>
      <c r="AR614" s="60"/>
      <c r="AS614" s="128">
        <f>30+61</f>
        <v>91</v>
      </c>
    </row>
    <row r="615" spans="1:45" s="21" customFormat="1" ht="30" customHeight="1" x14ac:dyDescent="0.2">
      <c r="A615" s="8">
        <v>530</v>
      </c>
      <c r="B615" s="46">
        <v>2</v>
      </c>
      <c r="C615" s="16" t="s">
        <v>52</v>
      </c>
      <c r="D615" s="48">
        <v>20465</v>
      </c>
      <c r="E615" s="47">
        <v>86</v>
      </c>
      <c r="F615" s="48">
        <v>4612</v>
      </c>
      <c r="G615" s="49">
        <v>4</v>
      </c>
      <c r="H615" s="48">
        <v>1</v>
      </c>
      <c r="I615" s="48">
        <v>2</v>
      </c>
      <c r="J615" s="48">
        <v>75</v>
      </c>
      <c r="K615" s="3"/>
      <c r="L615" s="16"/>
      <c r="M615" s="57"/>
      <c r="N615" s="58">
        <v>675</v>
      </c>
      <c r="P615" s="16">
        <v>4</v>
      </c>
      <c r="Q615" s="20">
        <f>+N615</f>
        <v>675</v>
      </c>
      <c r="R615" s="14">
        <v>160</v>
      </c>
      <c r="S615" s="20">
        <f t="shared" si="115"/>
        <v>108000</v>
      </c>
      <c r="T615" s="16"/>
      <c r="U615" s="17"/>
      <c r="V615" s="16"/>
      <c r="W615" s="5"/>
      <c r="X615" s="16"/>
      <c r="Y615" s="5"/>
      <c r="Z615" s="16"/>
      <c r="AA615" s="16"/>
      <c r="AB615" s="16"/>
      <c r="AE615" s="16"/>
      <c r="AG615" s="22">
        <f t="shared" si="116"/>
        <v>0</v>
      </c>
      <c r="AH615" s="6"/>
      <c r="AJ615" s="20">
        <f t="shared" si="121"/>
        <v>0</v>
      </c>
      <c r="AK615" s="50"/>
      <c r="AL615" s="6"/>
      <c r="AM615" s="20">
        <f t="shared" si="117"/>
        <v>0</v>
      </c>
      <c r="AN615" s="20">
        <f t="shared" si="120"/>
        <v>108000</v>
      </c>
      <c r="AP615" s="20">
        <f t="shared" si="119"/>
        <v>108000</v>
      </c>
      <c r="AQ615" s="7"/>
      <c r="AR615" s="24"/>
      <c r="AS615" s="129"/>
    </row>
    <row r="616" spans="1:45" ht="30" customHeight="1" x14ac:dyDescent="0.2">
      <c r="A616" s="8">
        <v>531</v>
      </c>
      <c r="B616" s="46">
        <v>3</v>
      </c>
      <c r="C616" s="16" t="s">
        <v>65</v>
      </c>
      <c r="D616" s="17">
        <v>1655</v>
      </c>
      <c r="E616" s="17">
        <v>8</v>
      </c>
      <c r="H616" s="17">
        <v>0</v>
      </c>
      <c r="I616" s="17">
        <v>3</v>
      </c>
      <c r="J616" s="17">
        <v>30</v>
      </c>
      <c r="K616" s="10">
        <v>330</v>
      </c>
      <c r="P616" s="17">
        <v>1</v>
      </c>
      <c r="Q616" s="19">
        <f>+K616</f>
        <v>330</v>
      </c>
      <c r="R616" s="14">
        <v>160</v>
      </c>
      <c r="S616" s="19">
        <f t="shared" si="115"/>
        <v>52800</v>
      </c>
      <c r="AG616" s="22">
        <f t="shared" si="116"/>
        <v>0</v>
      </c>
      <c r="AJ616" s="20">
        <f t="shared" si="121"/>
        <v>0</v>
      </c>
      <c r="AM616" s="20">
        <f t="shared" si="117"/>
        <v>0</v>
      </c>
      <c r="AN616" s="20">
        <f t="shared" si="120"/>
        <v>52800</v>
      </c>
      <c r="AP616" s="20">
        <f t="shared" si="119"/>
        <v>52800</v>
      </c>
      <c r="AQ616" s="12">
        <v>1E-4</v>
      </c>
      <c r="AR616" s="24"/>
      <c r="AS616" s="129"/>
    </row>
    <row r="617" spans="1:45" ht="30" customHeight="1" x14ac:dyDescent="0.2">
      <c r="A617" s="8">
        <v>532</v>
      </c>
      <c r="B617" s="46">
        <v>4</v>
      </c>
      <c r="C617" s="16" t="s">
        <v>65</v>
      </c>
      <c r="D617" s="17">
        <v>1658</v>
      </c>
      <c r="E617" s="17">
        <v>11</v>
      </c>
      <c r="H617" s="17">
        <v>1</v>
      </c>
      <c r="I617" s="17">
        <v>1</v>
      </c>
      <c r="J617" s="17">
        <v>53</v>
      </c>
      <c r="K617" s="10">
        <v>553</v>
      </c>
      <c r="P617" s="17">
        <v>1</v>
      </c>
      <c r="Q617" s="19">
        <f>+K617</f>
        <v>553</v>
      </c>
      <c r="R617" s="14">
        <v>160</v>
      </c>
      <c r="S617" s="19">
        <f t="shared" si="115"/>
        <v>88480</v>
      </c>
      <c r="AG617" s="22">
        <f t="shared" si="116"/>
        <v>0</v>
      </c>
      <c r="AJ617" s="20">
        <f t="shared" si="121"/>
        <v>0</v>
      </c>
      <c r="AM617" s="20">
        <f t="shared" si="117"/>
        <v>0</v>
      </c>
      <c r="AN617" s="20">
        <f t="shared" si="120"/>
        <v>88480</v>
      </c>
      <c r="AP617" s="20">
        <f t="shared" si="119"/>
        <v>88480</v>
      </c>
      <c r="AQ617" s="12">
        <v>1E-4</v>
      </c>
      <c r="AR617" s="24"/>
      <c r="AS617" s="129"/>
    </row>
    <row r="618" spans="1:45" ht="30" customHeight="1" x14ac:dyDescent="0.2">
      <c r="A618" s="8">
        <v>533</v>
      </c>
      <c r="B618" s="46">
        <v>5</v>
      </c>
      <c r="C618" s="16" t="s">
        <v>65</v>
      </c>
      <c r="D618" s="102">
        <v>1659</v>
      </c>
      <c r="E618" s="17">
        <v>12</v>
      </c>
      <c r="H618" s="17">
        <v>1</v>
      </c>
      <c r="I618" s="17">
        <v>1</v>
      </c>
      <c r="J618" s="17">
        <v>66</v>
      </c>
      <c r="N618" s="18">
        <v>566</v>
      </c>
      <c r="P618" s="17">
        <v>4</v>
      </c>
      <c r="Q618" s="19">
        <f>+N618</f>
        <v>566</v>
      </c>
      <c r="R618" s="14">
        <v>160</v>
      </c>
      <c r="S618" s="20">
        <f t="shared" si="115"/>
        <v>90560</v>
      </c>
      <c r="AG618" s="22">
        <f t="shared" si="116"/>
        <v>0</v>
      </c>
      <c r="AJ618" s="20">
        <f t="shared" si="121"/>
        <v>0</v>
      </c>
      <c r="AM618" s="20">
        <f t="shared" si="117"/>
        <v>0</v>
      </c>
      <c r="AN618" s="20">
        <f t="shared" si="120"/>
        <v>90560</v>
      </c>
      <c r="AP618" s="20">
        <f t="shared" si="119"/>
        <v>90560</v>
      </c>
      <c r="AQ618" s="12">
        <v>3.0000000000000001E-3</v>
      </c>
      <c r="AR618" s="24"/>
      <c r="AS618" s="129"/>
    </row>
    <row r="619" spans="1:45" ht="30" customHeight="1" x14ac:dyDescent="0.2">
      <c r="A619" s="8">
        <v>534</v>
      </c>
      <c r="B619" s="46">
        <v>6</v>
      </c>
      <c r="C619" s="16" t="s">
        <v>65</v>
      </c>
      <c r="D619" s="102">
        <v>1928</v>
      </c>
      <c r="E619" s="17">
        <v>107</v>
      </c>
      <c r="H619" s="17">
        <v>4</v>
      </c>
      <c r="I619" s="17">
        <v>1</v>
      </c>
      <c r="J619" s="17">
        <v>96</v>
      </c>
      <c r="K619" s="10">
        <v>1796</v>
      </c>
      <c r="P619" s="17">
        <v>1</v>
      </c>
      <c r="Q619" s="19">
        <f>+K619</f>
        <v>1796</v>
      </c>
      <c r="R619" s="14">
        <v>160</v>
      </c>
      <c r="S619" s="19">
        <f t="shared" si="115"/>
        <v>287360</v>
      </c>
      <c r="AC619" s="21"/>
      <c r="AD619" s="21"/>
      <c r="AG619" s="22">
        <f t="shared" si="116"/>
        <v>0</v>
      </c>
      <c r="AJ619" s="20">
        <f t="shared" si="121"/>
        <v>0</v>
      </c>
      <c r="AM619" s="20">
        <f t="shared" si="117"/>
        <v>0</v>
      </c>
      <c r="AN619" s="20">
        <f t="shared" si="120"/>
        <v>287360</v>
      </c>
      <c r="AP619" s="20">
        <f t="shared" si="119"/>
        <v>287360</v>
      </c>
      <c r="AQ619" s="12">
        <v>1E-4</v>
      </c>
      <c r="AR619" s="24"/>
      <c r="AS619" s="129"/>
    </row>
    <row r="620" spans="1:45" ht="30" customHeight="1" x14ac:dyDescent="0.2">
      <c r="A620" s="8">
        <v>535</v>
      </c>
      <c r="B620" s="46">
        <v>7</v>
      </c>
      <c r="C620" s="16" t="s">
        <v>65</v>
      </c>
      <c r="D620" s="102">
        <v>1938</v>
      </c>
      <c r="E620" s="17">
        <v>119</v>
      </c>
      <c r="H620" s="17">
        <v>5</v>
      </c>
      <c r="I620" s="17">
        <v>1</v>
      </c>
      <c r="J620" s="17">
        <v>50</v>
      </c>
      <c r="K620" s="10">
        <v>2150</v>
      </c>
      <c r="P620" s="17">
        <v>1</v>
      </c>
      <c r="Q620" s="19">
        <f>+K620</f>
        <v>2150</v>
      </c>
      <c r="R620" s="14">
        <v>1000</v>
      </c>
      <c r="S620" s="19">
        <f t="shared" si="115"/>
        <v>2150000</v>
      </c>
      <c r="AC620" s="21"/>
      <c r="AD620" s="21"/>
      <c r="AG620" s="22">
        <f t="shared" si="116"/>
        <v>0</v>
      </c>
      <c r="AJ620" s="20">
        <f t="shared" si="121"/>
        <v>0</v>
      </c>
      <c r="AM620" s="20">
        <f t="shared" si="117"/>
        <v>0</v>
      </c>
      <c r="AN620" s="20">
        <f t="shared" si="120"/>
        <v>2150000</v>
      </c>
      <c r="AP620" s="20">
        <f t="shared" si="119"/>
        <v>2150000</v>
      </c>
      <c r="AQ620" s="12">
        <v>1E-4</v>
      </c>
      <c r="AR620" s="24"/>
      <c r="AS620" s="129"/>
    </row>
    <row r="621" spans="1:45" ht="30" customHeight="1" x14ac:dyDescent="0.2">
      <c r="A621" s="8">
        <v>536</v>
      </c>
      <c r="B621" s="46">
        <v>8</v>
      </c>
      <c r="C621" s="16" t="s">
        <v>65</v>
      </c>
      <c r="D621" s="102">
        <v>3683</v>
      </c>
      <c r="E621" s="17">
        <v>158</v>
      </c>
      <c r="H621" s="17">
        <v>5</v>
      </c>
      <c r="I621" s="17">
        <v>0</v>
      </c>
      <c r="J621" s="17">
        <v>0</v>
      </c>
      <c r="K621" s="10">
        <v>2000</v>
      </c>
      <c r="P621" s="17">
        <v>1</v>
      </c>
      <c r="Q621" s="19">
        <f>+K621</f>
        <v>2000</v>
      </c>
      <c r="R621" s="14">
        <v>160</v>
      </c>
      <c r="S621" s="20">
        <f t="shared" si="115"/>
        <v>320000</v>
      </c>
      <c r="AG621" s="22">
        <f t="shared" si="116"/>
        <v>0</v>
      </c>
      <c r="AJ621" s="20">
        <f t="shared" si="121"/>
        <v>0</v>
      </c>
      <c r="AM621" s="20">
        <f t="shared" si="117"/>
        <v>0</v>
      </c>
      <c r="AN621" s="20">
        <f t="shared" si="120"/>
        <v>320000</v>
      </c>
      <c r="AP621" s="20">
        <f t="shared" si="119"/>
        <v>320000</v>
      </c>
      <c r="AQ621" s="12">
        <v>1E-4</v>
      </c>
      <c r="AR621" s="25"/>
      <c r="AS621" s="130"/>
    </row>
    <row r="622" spans="1:45" ht="30" customHeight="1" x14ac:dyDescent="0.2">
      <c r="R622" s="14" t="e">
        <v>#N/A</v>
      </c>
    </row>
    <row r="623" spans="1:45" ht="30" customHeight="1" x14ac:dyDescent="0.2">
      <c r="A623" s="8">
        <v>537</v>
      </c>
      <c r="B623" s="13">
        <v>1</v>
      </c>
      <c r="C623" s="16" t="s">
        <v>65</v>
      </c>
      <c r="D623" s="17">
        <v>1977</v>
      </c>
      <c r="E623" s="17">
        <v>84</v>
      </c>
      <c r="H623" s="17">
        <v>7</v>
      </c>
      <c r="I623" s="17">
        <v>2</v>
      </c>
      <c r="J623" s="17">
        <v>10</v>
      </c>
      <c r="Q623" s="19">
        <v>3010</v>
      </c>
      <c r="R623" s="14">
        <v>1500</v>
      </c>
      <c r="S623" s="19">
        <f t="shared" ref="S623:S686" si="122">+Q623*R623</f>
        <v>4515000</v>
      </c>
      <c r="AC623" s="21"/>
      <c r="AD623" s="21"/>
      <c r="AG623" s="22">
        <f t="shared" ref="AG623:AG683" si="123">Y623</f>
        <v>0</v>
      </c>
      <c r="AJ623" s="20">
        <f t="shared" ref="AJ623:AJ686" si="124">+AG623*AH623*AI623</f>
        <v>0</v>
      </c>
      <c r="AM623" s="20">
        <f t="shared" ref="AM623:AM686" si="125">+AJ623-(AL623*AJ623)</f>
        <v>0</v>
      </c>
      <c r="AN623" s="20">
        <f t="shared" ref="AN623:AN654" si="126">+S623+AM623</f>
        <v>4515000</v>
      </c>
      <c r="AP623" s="20">
        <f t="shared" ref="AP623:AP686" si="127">AN623</f>
        <v>4515000</v>
      </c>
      <c r="AQ623" s="12">
        <v>1E-4</v>
      </c>
      <c r="AR623" s="20"/>
      <c r="AS623" s="26">
        <v>41</v>
      </c>
    </row>
    <row r="624" spans="1:45" s="21" customFormat="1" ht="30" customHeight="1" x14ac:dyDescent="0.2">
      <c r="A624" s="8">
        <v>538</v>
      </c>
      <c r="B624" s="46">
        <v>1</v>
      </c>
      <c r="C624" s="16" t="s">
        <v>52</v>
      </c>
      <c r="D624" s="48">
        <v>4844</v>
      </c>
      <c r="E624" s="47">
        <v>12</v>
      </c>
      <c r="F624" s="48">
        <v>2734</v>
      </c>
      <c r="G624" s="49">
        <v>7</v>
      </c>
      <c r="H624" s="48">
        <v>5</v>
      </c>
      <c r="I624" s="48">
        <v>2</v>
      </c>
      <c r="J624" s="48">
        <v>20</v>
      </c>
      <c r="K624" s="3">
        <v>2220</v>
      </c>
      <c r="L624" s="16"/>
      <c r="M624" s="57"/>
      <c r="N624" s="58"/>
      <c r="P624" s="16">
        <v>1</v>
      </c>
      <c r="Q624" s="20">
        <f>+K624</f>
        <v>2220</v>
      </c>
      <c r="R624" s="14">
        <v>160</v>
      </c>
      <c r="S624" s="20">
        <f t="shared" si="122"/>
        <v>355200</v>
      </c>
      <c r="T624" s="16"/>
      <c r="U624" s="17"/>
      <c r="V624" s="17"/>
      <c r="W624" s="4"/>
      <c r="X624" s="16"/>
      <c r="Y624" s="5"/>
      <c r="Z624" s="16"/>
      <c r="AA624" s="16"/>
      <c r="AB624" s="16"/>
      <c r="AE624" s="16"/>
      <c r="AG624" s="22">
        <f t="shared" si="123"/>
        <v>0</v>
      </c>
      <c r="AH624" s="6"/>
      <c r="AJ624" s="20">
        <f t="shared" si="124"/>
        <v>0</v>
      </c>
      <c r="AK624" s="50"/>
      <c r="AL624" s="6"/>
      <c r="AM624" s="20">
        <f t="shared" si="125"/>
        <v>0</v>
      </c>
      <c r="AN624" s="20">
        <f t="shared" si="126"/>
        <v>355200</v>
      </c>
      <c r="AP624" s="20">
        <f t="shared" si="127"/>
        <v>355200</v>
      </c>
      <c r="AQ624" s="7"/>
      <c r="AR624" s="20"/>
      <c r="AS624" s="51"/>
    </row>
    <row r="625" spans="1:45" s="21" customFormat="1" ht="30" customHeight="1" x14ac:dyDescent="0.2">
      <c r="A625" s="8">
        <v>539</v>
      </c>
      <c r="B625" s="46">
        <v>2</v>
      </c>
      <c r="C625" s="16" t="s">
        <v>52</v>
      </c>
      <c r="D625" s="48">
        <v>5013</v>
      </c>
      <c r="E625" s="47">
        <v>20</v>
      </c>
      <c r="F625" s="48">
        <v>2754</v>
      </c>
      <c r="G625" s="49">
        <v>7</v>
      </c>
      <c r="H625" s="48">
        <v>2</v>
      </c>
      <c r="I625" s="48">
        <v>3</v>
      </c>
      <c r="J625" s="48">
        <v>51</v>
      </c>
      <c r="K625" s="3">
        <v>1151</v>
      </c>
      <c r="L625" s="16"/>
      <c r="M625" s="57"/>
      <c r="N625" s="58"/>
      <c r="P625" s="16">
        <v>1</v>
      </c>
      <c r="Q625" s="20">
        <f>+K625</f>
        <v>1151</v>
      </c>
      <c r="R625" s="14">
        <v>1500</v>
      </c>
      <c r="S625" s="19">
        <f t="shared" si="122"/>
        <v>1726500</v>
      </c>
      <c r="T625" s="16"/>
      <c r="U625" s="17"/>
      <c r="V625" s="17"/>
      <c r="W625" s="4"/>
      <c r="X625" s="16"/>
      <c r="Y625" s="5"/>
      <c r="Z625" s="16"/>
      <c r="AA625" s="16"/>
      <c r="AB625" s="16"/>
      <c r="AE625" s="16"/>
      <c r="AG625" s="22">
        <f t="shared" si="123"/>
        <v>0</v>
      </c>
      <c r="AH625" s="6"/>
      <c r="AJ625" s="20">
        <f t="shared" si="124"/>
        <v>0</v>
      </c>
      <c r="AK625" s="50"/>
      <c r="AL625" s="6"/>
      <c r="AM625" s="20">
        <f t="shared" si="125"/>
        <v>0</v>
      </c>
      <c r="AN625" s="20">
        <f t="shared" si="126"/>
        <v>1726500</v>
      </c>
      <c r="AP625" s="20">
        <f t="shared" si="127"/>
        <v>1726500</v>
      </c>
      <c r="AQ625" s="7"/>
      <c r="AR625" s="20"/>
      <c r="AS625" s="51"/>
    </row>
    <row r="626" spans="1:45" s="21" customFormat="1" ht="30" customHeight="1" x14ac:dyDescent="0.2">
      <c r="A626" s="8">
        <v>540</v>
      </c>
      <c r="B626" s="46">
        <v>3</v>
      </c>
      <c r="C626" s="16" t="s">
        <v>52</v>
      </c>
      <c r="D626" s="48">
        <v>5014</v>
      </c>
      <c r="E626" s="47">
        <v>45</v>
      </c>
      <c r="F626" s="48">
        <v>2755</v>
      </c>
      <c r="G626" s="49">
        <v>7</v>
      </c>
      <c r="H626" s="48">
        <v>6</v>
      </c>
      <c r="I626" s="48">
        <v>0</v>
      </c>
      <c r="J626" s="48">
        <v>74</v>
      </c>
      <c r="K626" s="3">
        <v>2474</v>
      </c>
      <c r="L626" s="16"/>
      <c r="M626" s="57"/>
      <c r="N626" s="58"/>
      <c r="P626" s="16">
        <v>1</v>
      </c>
      <c r="Q626" s="20">
        <f>+K626</f>
        <v>2474</v>
      </c>
      <c r="R626" s="14">
        <v>1500</v>
      </c>
      <c r="S626" s="19">
        <f t="shared" si="122"/>
        <v>3711000</v>
      </c>
      <c r="T626" s="16"/>
      <c r="U626" s="17"/>
      <c r="V626" s="17"/>
      <c r="W626" s="4"/>
      <c r="X626" s="16"/>
      <c r="Y626" s="5"/>
      <c r="Z626" s="16"/>
      <c r="AA626" s="16"/>
      <c r="AB626" s="16"/>
      <c r="AE626" s="16"/>
      <c r="AG626" s="22">
        <f t="shared" si="123"/>
        <v>0</v>
      </c>
      <c r="AH626" s="6"/>
      <c r="AJ626" s="20">
        <f t="shared" si="124"/>
        <v>0</v>
      </c>
      <c r="AK626" s="50"/>
      <c r="AL626" s="6"/>
      <c r="AM626" s="20">
        <f t="shared" si="125"/>
        <v>0</v>
      </c>
      <c r="AN626" s="20">
        <f t="shared" si="126"/>
        <v>3711000</v>
      </c>
      <c r="AP626" s="20">
        <f t="shared" si="127"/>
        <v>3711000</v>
      </c>
      <c r="AQ626" s="7"/>
      <c r="AR626" s="20"/>
      <c r="AS626" s="51"/>
    </row>
    <row r="627" spans="1:45" s="21" customFormat="1" ht="30" customHeight="1" x14ac:dyDescent="0.2">
      <c r="A627" s="8">
        <v>541</v>
      </c>
      <c r="B627" s="46">
        <v>1</v>
      </c>
      <c r="C627" s="16" t="s">
        <v>52</v>
      </c>
      <c r="D627" s="48">
        <v>2771</v>
      </c>
      <c r="E627" s="47">
        <v>6</v>
      </c>
      <c r="F627" s="48">
        <v>1964</v>
      </c>
      <c r="G627" s="49"/>
      <c r="H627" s="48">
        <v>26</v>
      </c>
      <c r="I627" s="48">
        <v>1</v>
      </c>
      <c r="J627" s="48">
        <v>50</v>
      </c>
      <c r="K627" s="3">
        <v>10550</v>
      </c>
      <c r="L627" s="16"/>
      <c r="M627" s="57"/>
      <c r="N627" s="58"/>
      <c r="P627" s="16">
        <v>1</v>
      </c>
      <c r="Q627" s="20">
        <f>+K627</f>
        <v>10550</v>
      </c>
      <c r="R627" s="14">
        <v>160</v>
      </c>
      <c r="S627" s="20">
        <f t="shared" si="122"/>
        <v>1688000</v>
      </c>
      <c r="T627" s="16"/>
      <c r="U627" s="17"/>
      <c r="V627" s="17"/>
      <c r="W627" s="4"/>
      <c r="X627" s="16"/>
      <c r="Y627" s="5"/>
      <c r="Z627" s="16"/>
      <c r="AA627" s="16"/>
      <c r="AB627" s="16"/>
      <c r="AC627" s="14"/>
      <c r="AD627" s="14"/>
      <c r="AE627" s="16"/>
      <c r="AG627" s="22">
        <f t="shared" si="123"/>
        <v>0</v>
      </c>
      <c r="AH627" s="6"/>
      <c r="AJ627" s="20">
        <f t="shared" si="124"/>
        <v>0</v>
      </c>
      <c r="AK627" s="50"/>
      <c r="AL627" s="6"/>
      <c r="AM627" s="20">
        <f t="shared" si="125"/>
        <v>0</v>
      </c>
      <c r="AN627" s="20">
        <f t="shared" si="126"/>
        <v>1688000</v>
      </c>
      <c r="AP627" s="20">
        <f t="shared" si="127"/>
        <v>1688000</v>
      </c>
      <c r="AQ627" s="7"/>
      <c r="AR627" s="60"/>
      <c r="AS627" s="128">
        <v>133</v>
      </c>
    </row>
    <row r="628" spans="1:45" s="21" customFormat="1" ht="30" customHeight="1" x14ac:dyDescent="0.2">
      <c r="A628" s="8">
        <v>542</v>
      </c>
      <c r="B628" s="46">
        <v>2</v>
      </c>
      <c r="C628" s="16" t="s">
        <v>52</v>
      </c>
      <c r="D628" s="48">
        <v>2905</v>
      </c>
      <c r="E628" s="47">
        <v>7</v>
      </c>
      <c r="F628" s="48">
        <v>1963</v>
      </c>
      <c r="G628" s="49"/>
      <c r="H628" s="48">
        <v>18</v>
      </c>
      <c r="I628" s="48">
        <v>0</v>
      </c>
      <c r="J628" s="48">
        <v>21</v>
      </c>
      <c r="K628" s="3">
        <v>7221</v>
      </c>
      <c r="L628" s="16"/>
      <c r="M628" s="57"/>
      <c r="N628" s="58"/>
      <c r="P628" s="16">
        <v>1</v>
      </c>
      <c r="Q628" s="20">
        <f>+K628</f>
        <v>7221</v>
      </c>
      <c r="R628" s="14">
        <v>160</v>
      </c>
      <c r="S628" s="19">
        <f t="shared" si="122"/>
        <v>1155360</v>
      </c>
      <c r="T628" s="16"/>
      <c r="U628" s="17"/>
      <c r="V628" s="17"/>
      <c r="W628" s="4"/>
      <c r="X628" s="16"/>
      <c r="Y628" s="5"/>
      <c r="Z628" s="16"/>
      <c r="AA628" s="16"/>
      <c r="AB628" s="16"/>
      <c r="AE628" s="16"/>
      <c r="AG628" s="22">
        <f t="shared" si="123"/>
        <v>0</v>
      </c>
      <c r="AH628" s="6"/>
      <c r="AJ628" s="20">
        <f t="shared" si="124"/>
        <v>0</v>
      </c>
      <c r="AK628" s="50"/>
      <c r="AL628" s="6"/>
      <c r="AM628" s="20">
        <f t="shared" si="125"/>
        <v>0</v>
      </c>
      <c r="AN628" s="20">
        <f t="shared" si="126"/>
        <v>1155360</v>
      </c>
      <c r="AP628" s="20">
        <f t="shared" si="127"/>
        <v>1155360</v>
      </c>
      <c r="AQ628" s="7"/>
      <c r="AR628" s="25"/>
      <c r="AS628" s="130"/>
    </row>
    <row r="629" spans="1:45" s="21" customFormat="1" ht="30" customHeight="1" x14ac:dyDescent="0.2">
      <c r="A629" s="8">
        <v>543</v>
      </c>
      <c r="B629" s="46">
        <v>1</v>
      </c>
      <c r="C629" s="16" t="s">
        <v>52</v>
      </c>
      <c r="D629" s="48">
        <v>30441</v>
      </c>
      <c r="E629" s="47">
        <v>45</v>
      </c>
      <c r="F629" s="48">
        <v>5847</v>
      </c>
      <c r="G629" s="49">
        <v>7</v>
      </c>
      <c r="H629" s="48">
        <v>0</v>
      </c>
      <c r="I629" s="48">
        <v>0</v>
      </c>
      <c r="J629" s="48">
        <v>37</v>
      </c>
      <c r="K629" s="3"/>
      <c r="L629" s="16"/>
      <c r="M629" s="57"/>
      <c r="N629" s="58">
        <v>37</v>
      </c>
      <c r="P629" s="16">
        <v>4</v>
      </c>
      <c r="Q629" s="20">
        <f>+N629</f>
        <v>37</v>
      </c>
      <c r="R629" s="14">
        <v>1000</v>
      </c>
      <c r="S629" s="19">
        <f t="shared" si="122"/>
        <v>37000</v>
      </c>
      <c r="T629" s="16"/>
      <c r="U629" s="16"/>
      <c r="V629" s="16"/>
      <c r="W629" s="5"/>
      <c r="X629" s="16"/>
      <c r="Y629" s="5"/>
      <c r="Z629" s="16"/>
      <c r="AA629" s="16"/>
      <c r="AB629" s="16"/>
      <c r="AC629" s="14"/>
      <c r="AD629" s="14"/>
      <c r="AE629" s="16"/>
      <c r="AG629" s="22">
        <f t="shared" si="123"/>
        <v>0</v>
      </c>
      <c r="AH629" s="6"/>
      <c r="AJ629" s="20">
        <f t="shared" si="124"/>
        <v>0</v>
      </c>
      <c r="AK629" s="50"/>
      <c r="AL629" s="6"/>
      <c r="AM629" s="20">
        <f t="shared" si="125"/>
        <v>0</v>
      </c>
      <c r="AN629" s="20">
        <f t="shared" si="126"/>
        <v>37000</v>
      </c>
      <c r="AP629" s="20">
        <f t="shared" si="127"/>
        <v>37000</v>
      </c>
      <c r="AQ629" s="7">
        <v>3.0000000000000001E-3</v>
      </c>
      <c r="AR629" s="20"/>
      <c r="AS629" s="51"/>
    </row>
    <row r="630" spans="1:45" s="21" customFormat="1" ht="30" customHeight="1" x14ac:dyDescent="0.2">
      <c r="A630" s="8">
        <v>544</v>
      </c>
      <c r="B630" s="46">
        <v>2</v>
      </c>
      <c r="C630" s="16" t="s">
        <v>52</v>
      </c>
      <c r="D630" s="48">
        <v>30531</v>
      </c>
      <c r="E630" s="47">
        <v>48</v>
      </c>
      <c r="F630" s="48">
        <v>5858</v>
      </c>
      <c r="G630" s="49">
        <v>7</v>
      </c>
      <c r="H630" s="48">
        <v>0</v>
      </c>
      <c r="I630" s="48">
        <v>0</v>
      </c>
      <c r="J630" s="48">
        <v>88</v>
      </c>
      <c r="K630" s="3"/>
      <c r="L630" s="16"/>
      <c r="M630" s="57"/>
      <c r="N630" s="58">
        <v>88</v>
      </c>
      <c r="P630" s="16">
        <v>4</v>
      </c>
      <c r="Q630" s="20">
        <f>+N630</f>
        <v>88</v>
      </c>
      <c r="R630" s="14">
        <v>1000</v>
      </c>
      <c r="S630" s="20">
        <f t="shared" si="122"/>
        <v>88000</v>
      </c>
      <c r="T630" s="16"/>
      <c r="U630" s="17"/>
      <c r="V630" s="16"/>
      <c r="W630" s="5"/>
      <c r="X630" s="16"/>
      <c r="Y630" s="5"/>
      <c r="Z630" s="16"/>
      <c r="AA630" s="16"/>
      <c r="AB630" s="16"/>
      <c r="AC630" s="14"/>
      <c r="AD630" s="14"/>
      <c r="AE630" s="16"/>
      <c r="AG630" s="22">
        <f t="shared" si="123"/>
        <v>0</v>
      </c>
      <c r="AH630" s="6"/>
      <c r="AJ630" s="20">
        <f t="shared" si="124"/>
        <v>0</v>
      </c>
      <c r="AK630" s="50"/>
      <c r="AL630" s="6"/>
      <c r="AM630" s="20">
        <f t="shared" si="125"/>
        <v>0</v>
      </c>
      <c r="AN630" s="20">
        <f t="shared" si="126"/>
        <v>88000</v>
      </c>
      <c r="AP630" s="20">
        <f t="shared" si="127"/>
        <v>88000</v>
      </c>
      <c r="AQ630" s="7">
        <v>3.0000000000000001E-3</v>
      </c>
      <c r="AR630" s="20"/>
      <c r="AS630" s="51"/>
    </row>
    <row r="631" spans="1:45" s="21" customFormat="1" ht="30" customHeight="1" x14ac:dyDescent="0.2">
      <c r="A631" s="8">
        <v>545</v>
      </c>
      <c r="B631" s="46">
        <v>3</v>
      </c>
      <c r="C631" s="16" t="s">
        <v>52</v>
      </c>
      <c r="D631" s="48">
        <v>30532</v>
      </c>
      <c r="E631" s="47">
        <v>49</v>
      </c>
      <c r="F631" s="48">
        <v>5859</v>
      </c>
      <c r="G631" s="49">
        <v>7</v>
      </c>
      <c r="H631" s="48">
        <v>0</v>
      </c>
      <c r="I631" s="48">
        <v>0</v>
      </c>
      <c r="J631" s="48">
        <v>86</v>
      </c>
      <c r="K631" s="3"/>
      <c r="L631" s="16"/>
      <c r="M631" s="57"/>
      <c r="N631" s="58">
        <v>86</v>
      </c>
      <c r="P631" s="16">
        <v>4</v>
      </c>
      <c r="Q631" s="20">
        <f>+N631</f>
        <v>86</v>
      </c>
      <c r="R631" s="14">
        <v>1000</v>
      </c>
      <c r="S631" s="19">
        <f t="shared" si="122"/>
        <v>86000</v>
      </c>
      <c r="T631" s="16"/>
      <c r="U631" s="17"/>
      <c r="V631" s="17"/>
      <c r="W631" s="4"/>
      <c r="X631" s="16"/>
      <c r="Y631" s="5"/>
      <c r="Z631" s="16"/>
      <c r="AA631" s="16"/>
      <c r="AB631" s="16"/>
      <c r="AC631" s="14"/>
      <c r="AD631" s="14"/>
      <c r="AE631" s="16"/>
      <c r="AG631" s="22">
        <f t="shared" si="123"/>
        <v>0</v>
      </c>
      <c r="AH631" s="6"/>
      <c r="AJ631" s="20">
        <f t="shared" si="124"/>
        <v>0</v>
      </c>
      <c r="AK631" s="50"/>
      <c r="AL631" s="6"/>
      <c r="AM631" s="20">
        <f t="shared" si="125"/>
        <v>0</v>
      </c>
      <c r="AN631" s="20">
        <f t="shared" si="126"/>
        <v>86000</v>
      </c>
      <c r="AP631" s="20">
        <f t="shared" si="127"/>
        <v>86000</v>
      </c>
      <c r="AQ631" s="7">
        <v>3.0000000000000001E-3</v>
      </c>
      <c r="AR631" s="20"/>
      <c r="AS631" s="51"/>
    </row>
    <row r="632" spans="1:45" s="21" customFormat="1" ht="30" customHeight="1" x14ac:dyDescent="0.2">
      <c r="A632" s="8">
        <v>546</v>
      </c>
      <c r="B632" s="46">
        <v>4</v>
      </c>
      <c r="C632" s="16" t="s">
        <v>52</v>
      </c>
      <c r="D632" s="48">
        <v>30533</v>
      </c>
      <c r="E632" s="47">
        <v>50</v>
      </c>
      <c r="F632" s="48">
        <v>5860</v>
      </c>
      <c r="G632" s="49">
        <v>7</v>
      </c>
      <c r="H632" s="48">
        <v>0</v>
      </c>
      <c r="I632" s="48">
        <v>0</v>
      </c>
      <c r="J632" s="48">
        <v>84</v>
      </c>
      <c r="K632" s="3"/>
      <c r="L632" s="16"/>
      <c r="M632" s="57"/>
      <c r="N632" s="58">
        <v>84</v>
      </c>
      <c r="P632" s="16">
        <v>4</v>
      </c>
      <c r="Q632" s="20">
        <f>+N632</f>
        <v>84</v>
      </c>
      <c r="R632" s="14">
        <v>1000</v>
      </c>
      <c r="S632" s="19">
        <f t="shared" si="122"/>
        <v>84000</v>
      </c>
      <c r="T632" s="16"/>
      <c r="U632" s="17"/>
      <c r="V632" s="17"/>
      <c r="W632" s="4"/>
      <c r="X632" s="16"/>
      <c r="Y632" s="5"/>
      <c r="Z632" s="16"/>
      <c r="AA632" s="16"/>
      <c r="AB632" s="16"/>
      <c r="AC632" s="14"/>
      <c r="AD632" s="14"/>
      <c r="AE632" s="16"/>
      <c r="AG632" s="22">
        <f t="shared" si="123"/>
        <v>0</v>
      </c>
      <c r="AH632" s="6"/>
      <c r="AJ632" s="20">
        <f t="shared" si="124"/>
        <v>0</v>
      </c>
      <c r="AK632" s="50"/>
      <c r="AL632" s="6"/>
      <c r="AM632" s="20">
        <f t="shared" si="125"/>
        <v>0</v>
      </c>
      <c r="AN632" s="20">
        <f t="shared" si="126"/>
        <v>84000</v>
      </c>
      <c r="AP632" s="20">
        <f t="shared" si="127"/>
        <v>84000</v>
      </c>
      <c r="AQ632" s="7">
        <v>3.0000000000000001E-3</v>
      </c>
      <c r="AR632" s="20"/>
      <c r="AS632" s="51"/>
    </row>
    <row r="633" spans="1:45" s="21" customFormat="1" ht="30" customHeight="1" x14ac:dyDescent="0.2">
      <c r="A633" s="8">
        <v>547</v>
      </c>
      <c r="B633" s="46">
        <v>5</v>
      </c>
      <c r="C633" s="16" t="s">
        <v>52</v>
      </c>
      <c r="D633" s="48">
        <v>30534</v>
      </c>
      <c r="E633" s="47">
        <v>51</v>
      </c>
      <c r="F633" s="48">
        <v>5861</v>
      </c>
      <c r="G633" s="49">
        <v>7</v>
      </c>
      <c r="H633" s="48">
        <v>0</v>
      </c>
      <c r="I633" s="48">
        <v>0</v>
      </c>
      <c r="J633" s="48">
        <v>82</v>
      </c>
      <c r="K633" s="3"/>
      <c r="L633" s="16"/>
      <c r="M633" s="57"/>
      <c r="N633" s="58">
        <v>82</v>
      </c>
      <c r="P633" s="16">
        <v>4</v>
      </c>
      <c r="Q633" s="20">
        <v>82</v>
      </c>
      <c r="R633" s="14">
        <v>1000</v>
      </c>
      <c r="S633" s="20">
        <f t="shared" si="122"/>
        <v>82000</v>
      </c>
      <c r="T633" s="16"/>
      <c r="U633" s="17"/>
      <c r="V633" s="17"/>
      <c r="W633" s="4"/>
      <c r="X633" s="16"/>
      <c r="Y633" s="5"/>
      <c r="Z633" s="16"/>
      <c r="AA633" s="16"/>
      <c r="AB633" s="16"/>
      <c r="AC633" s="14"/>
      <c r="AD633" s="14"/>
      <c r="AE633" s="16"/>
      <c r="AG633" s="22">
        <f t="shared" si="123"/>
        <v>0</v>
      </c>
      <c r="AH633" s="6"/>
      <c r="AJ633" s="20">
        <f t="shared" si="124"/>
        <v>0</v>
      </c>
      <c r="AK633" s="50"/>
      <c r="AL633" s="6"/>
      <c r="AM633" s="20">
        <f t="shared" si="125"/>
        <v>0</v>
      </c>
      <c r="AN633" s="20">
        <f t="shared" si="126"/>
        <v>82000</v>
      </c>
      <c r="AP633" s="20">
        <f t="shared" si="127"/>
        <v>82000</v>
      </c>
      <c r="AQ633" s="7">
        <v>3.0000000000000001E-3</v>
      </c>
      <c r="AR633" s="20"/>
      <c r="AS633" s="51"/>
    </row>
    <row r="634" spans="1:45" s="21" customFormat="1" ht="30" customHeight="1" x14ac:dyDescent="0.2">
      <c r="A634" s="8">
        <v>548</v>
      </c>
      <c r="B634" s="46">
        <v>6</v>
      </c>
      <c r="C634" s="16" t="s">
        <v>52</v>
      </c>
      <c r="D634" s="48">
        <v>30535</v>
      </c>
      <c r="E634" s="47">
        <v>52</v>
      </c>
      <c r="F634" s="48">
        <v>5862</v>
      </c>
      <c r="G634" s="49">
        <v>7</v>
      </c>
      <c r="H634" s="48">
        <v>0</v>
      </c>
      <c r="I634" s="48">
        <v>0</v>
      </c>
      <c r="J634" s="48">
        <v>80</v>
      </c>
      <c r="K634" s="3"/>
      <c r="L634" s="16"/>
      <c r="M634" s="57"/>
      <c r="N634" s="58">
        <v>80</v>
      </c>
      <c r="P634" s="16">
        <v>4</v>
      </c>
      <c r="Q634" s="20">
        <v>80</v>
      </c>
      <c r="R634" s="14">
        <v>1000</v>
      </c>
      <c r="S634" s="19">
        <f t="shared" si="122"/>
        <v>80000</v>
      </c>
      <c r="T634" s="16"/>
      <c r="U634" s="17"/>
      <c r="V634" s="17"/>
      <c r="W634" s="4"/>
      <c r="X634" s="16"/>
      <c r="Y634" s="5"/>
      <c r="Z634" s="16"/>
      <c r="AA634" s="16"/>
      <c r="AB634" s="16"/>
      <c r="AE634" s="16"/>
      <c r="AG634" s="22">
        <f t="shared" si="123"/>
        <v>0</v>
      </c>
      <c r="AH634" s="6"/>
      <c r="AJ634" s="20">
        <f t="shared" si="124"/>
        <v>0</v>
      </c>
      <c r="AK634" s="50"/>
      <c r="AL634" s="6"/>
      <c r="AM634" s="20">
        <f t="shared" si="125"/>
        <v>0</v>
      </c>
      <c r="AN634" s="20">
        <f t="shared" si="126"/>
        <v>80000</v>
      </c>
      <c r="AP634" s="20">
        <f t="shared" si="127"/>
        <v>80000</v>
      </c>
      <c r="AQ634" s="7">
        <v>3.0000000000000001E-3</v>
      </c>
      <c r="AR634" s="20"/>
      <c r="AS634" s="51"/>
    </row>
    <row r="635" spans="1:45" s="21" customFormat="1" ht="30" customHeight="1" x14ac:dyDescent="0.2">
      <c r="A635" s="8">
        <v>549</v>
      </c>
      <c r="B635" s="46">
        <v>7</v>
      </c>
      <c r="C635" s="16" t="s">
        <v>52</v>
      </c>
      <c r="D635" s="48">
        <v>30536</v>
      </c>
      <c r="E635" s="47">
        <v>53</v>
      </c>
      <c r="F635" s="48">
        <v>5863</v>
      </c>
      <c r="G635" s="49">
        <v>7</v>
      </c>
      <c r="H635" s="48">
        <v>0</v>
      </c>
      <c r="I635" s="48">
        <v>0</v>
      </c>
      <c r="J635" s="48">
        <v>78</v>
      </c>
      <c r="K635" s="3"/>
      <c r="L635" s="16"/>
      <c r="M635" s="57"/>
      <c r="N635" s="58">
        <v>78</v>
      </c>
      <c r="P635" s="16">
        <v>4</v>
      </c>
      <c r="Q635" s="20">
        <v>78</v>
      </c>
      <c r="R635" s="14">
        <v>1000</v>
      </c>
      <c r="S635" s="19">
        <f t="shared" si="122"/>
        <v>78000</v>
      </c>
      <c r="T635" s="16"/>
      <c r="U635" s="17"/>
      <c r="V635" s="17"/>
      <c r="W635" s="4"/>
      <c r="X635" s="16"/>
      <c r="Y635" s="5"/>
      <c r="Z635" s="16"/>
      <c r="AA635" s="16"/>
      <c r="AB635" s="16"/>
      <c r="AE635" s="16"/>
      <c r="AG635" s="22">
        <f t="shared" si="123"/>
        <v>0</v>
      </c>
      <c r="AH635" s="6"/>
      <c r="AJ635" s="20">
        <f t="shared" si="124"/>
        <v>0</v>
      </c>
      <c r="AK635" s="50"/>
      <c r="AL635" s="6"/>
      <c r="AM635" s="20">
        <f t="shared" si="125"/>
        <v>0</v>
      </c>
      <c r="AN635" s="20">
        <f t="shared" si="126"/>
        <v>78000</v>
      </c>
      <c r="AP635" s="20">
        <f t="shared" si="127"/>
        <v>78000</v>
      </c>
      <c r="AQ635" s="7">
        <v>3.0000000000000001E-3</v>
      </c>
      <c r="AR635" s="20"/>
      <c r="AS635" s="51"/>
    </row>
    <row r="636" spans="1:45" s="21" customFormat="1" ht="30" customHeight="1" x14ac:dyDescent="0.2">
      <c r="A636" s="8">
        <v>550</v>
      </c>
      <c r="B636" s="46">
        <v>8</v>
      </c>
      <c r="C636" s="16" t="s">
        <v>52</v>
      </c>
      <c r="D636" s="48">
        <v>30537</v>
      </c>
      <c r="E636" s="47">
        <v>54</v>
      </c>
      <c r="F636" s="48">
        <v>5864</v>
      </c>
      <c r="G636" s="49">
        <v>7</v>
      </c>
      <c r="H636" s="48">
        <v>0</v>
      </c>
      <c r="I636" s="48">
        <v>0</v>
      </c>
      <c r="J636" s="48">
        <v>76</v>
      </c>
      <c r="K636" s="3"/>
      <c r="L636" s="16"/>
      <c r="M636" s="57"/>
      <c r="N636" s="58">
        <v>76</v>
      </c>
      <c r="P636" s="16">
        <v>4</v>
      </c>
      <c r="Q636" s="20">
        <v>76</v>
      </c>
      <c r="R636" s="14">
        <v>1000</v>
      </c>
      <c r="S636" s="20">
        <f t="shared" si="122"/>
        <v>76000</v>
      </c>
      <c r="T636" s="16"/>
      <c r="U636" s="16"/>
      <c r="V636" s="16"/>
      <c r="W636" s="5"/>
      <c r="X636" s="16"/>
      <c r="Y636" s="5"/>
      <c r="Z636" s="16"/>
      <c r="AA636" s="16"/>
      <c r="AB636" s="16"/>
      <c r="AE636" s="16"/>
      <c r="AG636" s="22">
        <f t="shared" si="123"/>
        <v>0</v>
      </c>
      <c r="AH636" s="6"/>
      <c r="AJ636" s="20">
        <f t="shared" si="124"/>
        <v>0</v>
      </c>
      <c r="AK636" s="50"/>
      <c r="AL636" s="6"/>
      <c r="AM636" s="20">
        <f t="shared" si="125"/>
        <v>0</v>
      </c>
      <c r="AN636" s="20">
        <f t="shared" si="126"/>
        <v>76000</v>
      </c>
      <c r="AP636" s="20">
        <f t="shared" si="127"/>
        <v>76000</v>
      </c>
      <c r="AQ636" s="7">
        <v>3.0000000000000001E-3</v>
      </c>
      <c r="AR636" s="20"/>
      <c r="AS636" s="51"/>
    </row>
    <row r="637" spans="1:45" s="21" customFormat="1" ht="30" customHeight="1" x14ac:dyDescent="0.2">
      <c r="A637" s="8">
        <v>551</v>
      </c>
      <c r="B637" s="46">
        <v>9</v>
      </c>
      <c r="C637" s="16" t="s">
        <v>52</v>
      </c>
      <c r="D637" s="48">
        <v>30538</v>
      </c>
      <c r="E637" s="47">
        <v>55</v>
      </c>
      <c r="F637" s="48">
        <v>5865</v>
      </c>
      <c r="G637" s="49">
        <v>7</v>
      </c>
      <c r="H637" s="48">
        <v>0</v>
      </c>
      <c r="I637" s="48">
        <v>0</v>
      </c>
      <c r="J637" s="48">
        <v>75</v>
      </c>
      <c r="K637" s="3"/>
      <c r="L637" s="16"/>
      <c r="M637" s="57"/>
      <c r="N637" s="58">
        <v>75</v>
      </c>
      <c r="P637" s="16">
        <v>4</v>
      </c>
      <c r="Q637" s="20">
        <v>75</v>
      </c>
      <c r="R637" s="14">
        <v>1000</v>
      </c>
      <c r="S637" s="19">
        <f t="shared" si="122"/>
        <v>75000</v>
      </c>
      <c r="T637" s="16"/>
      <c r="U637" s="17"/>
      <c r="V637" s="16"/>
      <c r="W637" s="5"/>
      <c r="X637" s="16"/>
      <c r="Y637" s="5"/>
      <c r="Z637" s="16"/>
      <c r="AA637" s="16"/>
      <c r="AB637" s="16"/>
      <c r="AE637" s="16"/>
      <c r="AG637" s="22">
        <f t="shared" si="123"/>
        <v>0</v>
      </c>
      <c r="AH637" s="6"/>
      <c r="AJ637" s="20">
        <f t="shared" si="124"/>
        <v>0</v>
      </c>
      <c r="AK637" s="50"/>
      <c r="AL637" s="6"/>
      <c r="AM637" s="20">
        <f t="shared" si="125"/>
        <v>0</v>
      </c>
      <c r="AN637" s="20">
        <f t="shared" si="126"/>
        <v>75000</v>
      </c>
      <c r="AP637" s="20">
        <f t="shared" si="127"/>
        <v>75000</v>
      </c>
      <c r="AQ637" s="7">
        <v>3.0000000000000001E-3</v>
      </c>
      <c r="AR637" s="20"/>
      <c r="AS637" s="51"/>
    </row>
    <row r="638" spans="1:45" s="21" customFormat="1" ht="30" customHeight="1" x14ac:dyDescent="0.2">
      <c r="A638" s="8">
        <v>552</v>
      </c>
      <c r="B638" s="46">
        <v>10</v>
      </c>
      <c r="C638" s="16" t="s">
        <v>52</v>
      </c>
      <c r="D638" s="48">
        <v>30539</v>
      </c>
      <c r="E638" s="47">
        <v>56</v>
      </c>
      <c r="F638" s="48">
        <v>5866</v>
      </c>
      <c r="G638" s="49">
        <v>7</v>
      </c>
      <c r="H638" s="48">
        <v>0</v>
      </c>
      <c r="I638" s="48">
        <v>0</v>
      </c>
      <c r="J638" s="48">
        <v>75</v>
      </c>
      <c r="K638" s="3"/>
      <c r="L638" s="16"/>
      <c r="M638" s="57"/>
      <c r="N638" s="58">
        <v>75</v>
      </c>
      <c r="P638" s="16">
        <v>4</v>
      </c>
      <c r="Q638" s="20">
        <v>75</v>
      </c>
      <c r="R638" s="14">
        <v>1000</v>
      </c>
      <c r="S638" s="19">
        <f t="shared" si="122"/>
        <v>75000</v>
      </c>
      <c r="T638" s="16"/>
      <c r="U638" s="17"/>
      <c r="V638" s="17"/>
      <c r="W638" s="4"/>
      <c r="X638" s="16"/>
      <c r="Y638" s="5"/>
      <c r="Z638" s="16"/>
      <c r="AA638" s="16"/>
      <c r="AB638" s="16"/>
      <c r="AE638" s="16"/>
      <c r="AG638" s="22">
        <f t="shared" si="123"/>
        <v>0</v>
      </c>
      <c r="AH638" s="6"/>
      <c r="AJ638" s="20">
        <f t="shared" si="124"/>
        <v>0</v>
      </c>
      <c r="AK638" s="50"/>
      <c r="AL638" s="6"/>
      <c r="AM638" s="20">
        <f t="shared" si="125"/>
        <v>0</v>
      </c>
      <c r="AN638" s="20">
        <f t="shared" si="126"/>
        <v>75000</v>
      </c>
      <c r="AP638" s="20">
        <f t="shared" si="127"/>
        <v>75000</v>
      </c>
      <c r="AQ638" s="7">
        <v>3.0000000000000001E-3</v>
      </c>
      <c r="AR638" s="20"/>
      <c r="AS638" s="51"/>
    </row>
    <row r="639" spans="1:45" s="21" customFormat="1" ht="30" customHeight="1" x14ac:dyDescent="0.2">
      <c r="A639" s="8">
        <v>553</v>
      </c>
      <c r="B639" s="46">
        <v>11</v>
      </c>
      <c r="C639" s="16" t="s">
        <v>52</v>
      </c>
      <c r="D639" s="48">
        <v>30540</v>
      </c>
      <c r="E639" s="47">
        <v>57</v>
      </c>
      <c r="F639" s="48">
        <v>5867</v>
      </c>
      <c r="G639" s="49">
        <v>7</v>
      </c>
      <c r="H639" s="48">
        <v>0</v>
      </c>
      <c r="I639" s="48">
        <v>0</v>
      </c>
      <c r="J639" s="48">
        <v>75</v>
      </c>
      <c r="K639" s="3"/>
      <c r="L639" s="16"/>
      <c r="M639" s="57"/>
      <c r="N639" s="58">
        <v>75</v>
      </c>
      <c r="P639" s="16">
        <v>4</v>
      </c>
      <c r="Q639" s="20">
        <v>75</v>
      </c>
      <c r="R639" s="14">
        <v>1000</v>
      </c>
      <c r="S639" s="20">
        <f t="shared" si="122"/>
        <v>75000</v>
      </c>
      <c r="T639" s="16"/>
      <c r="U639" s="17"/>
      <c r="V639" s="17"/>
      <c r="W639" s="4"/>
      <c r="X639" s="16"/>
      <c r="Y639" s="5"/>
      <c r="Z639" s="16"/>
      <c r="AA639" s="16"/>
      <c r="AB639" s="16"/>
      <c r="AE639" s="16"/>
      <c r="AG639" s="22">
        <f t="shared" si="123"/>
        <v>0</v>
      </c>
      <c r="AH639" s="6"/>
      <c r="AJ639" s="20">
        <f t="shared" si="124"/>
        <v>0</v>
      </c>
      <c r="AK639" s="50"/>
      <c r="AL639" s="6"/>
      <c r="AM639" s="20">
        <f t="shared" si="125"/>
        <v>0</v>
      </c>
      <c r="AN639" s="20">
        <f t="shared" si="126"/>
        <v>75000</v>
      </c>
      <c r="AP639" s="20">
        <f t="shared" si="127"/>
        <v>75000</v>
      </c>
      <c r="AQ639" s="7">
        <v>3.0000000000000001E-3</v>
      </c>
      <c r="AR639" s="20"/>
      <c r="AS639" s="51"/>
    </row>
    <row r="640" spans="1:45" s="21" customFormat="1" ht="30" customHeight="1" x14ac:dyDescent="0.2">
      <c r="A640" s="8">
        <v>554</v>
      </c>
      <c r="B640" s="46">
        <v>12</v>
      </c>
      <c r="C640" s="16" t="s">
        <v>52</v>
      </c>
      <c r="D640" s="48">
        <v>30541</v>
      </c>
      <c r="E640" s="47">
        <v>58</v>
      </c>
      <c r="F640" s="48">
        <v>5868</v>
      </c>
      <c r="G640" s="49">
        <v>7</v>
      </c>
      <c r="H640" s="48">
        <v>0</v>
      </c>
      <c r="I640" s="48">
        <v>0</v>
      </c>
      <c r="J640" s="48">
        <v>75</v>
      </c>
      <c r="K640" s="3"/>
      <c r="L640" s="16"/>
      <c r="M640" s="57"/>
      <c r="N640" s="58">
        <v>75</v>
      </c>
      <c r="P640" s="16">
        <v>4</v>
      </c>
      <c r="Q640" s="20">
        <v>75</v>
      </c>
      <c r="R640" s="14">
        <v>1000</v>
      </c>
      <c r="S640" s="19">
        <f t="shared" si="122"/>
        <v>75000</v>
      </c>
      <c r="T640" s="16"/>
      <c r="U640" s="17"/>
      <c r="V640" s="17"/>
      <c r="W640" s="4"/>
      <c r="X640" s="16"/>
      <c r="Y640" s="5"/>
      <c r="Z640" s="16"/>
      <c r="AA640" s="16"/>
      <c r="AB640" s="16"/>
      <c r="AE640" s="16"/>
      <c r="AG640" s="22">
        <f t="shared" si="123"/>
        <v>0</v>
      </c>
      <c r="AH640" s="6"/>
      <c r="AJ640" s="20">
        <f t="shared" si="124"/>
        <v>0</v>
      </c>
      <c r="AK640" s="50"/>
      <c r="AL640" s="6"/>
      <c r="AM640" s="20">
        <f t="shared" si="125"/>
        <v>0</v>
      </c>
      <c r="AN640" s="20">
        <f t="shared" si="126"/>
        <v>75000</v>
      </c>
      <c r="AP640" s="20">
        <f t="shared" si="127"/>
        <v>75000</v>
      </c>
      <c r="AQ640" s="7">
        <v>3.0000000000000001E-3</v>
      </c>
      <c r="AR640" s="20"/>
      <c r="AS640" s="51"/>
    </row>
    <row r="641" spans="1:45" s="21" customFormat="1" ht="30" customHeight="1" x14ac:dyDescent="0.2">
      <c r="A641" s="8">
        <v>555</v>
      </c>
      <c r="B641" s="46">
        <v>13</v>
      </c>
      <c r="C641" s="16" t="s">
        <v>52</v>
      </c>
      <c r="D641" s="48">
        <v>30542</v>
      </c>
      <c r="E641" s="47">
        <v>59</v>
      </c>
      <c r="F641" s="48">
        <v>5869</v>
      </c>
      <c r="G641" s="49">
        <v>7</v>
      </c>
      <c r="H641" s="48">
        <v>0</v>
      </c>
      <c r="I641" s="48">
        <v>0</v>
      </c>
      <c r="J641" s="48">
        <v>75</v>
      </c>
      <c r="K641" s="3"/>
      <c r="L641" s="16"/>
      <c r="M641" s="57"/>
      <c r="N641" s="58">
        <v>75</v>
      </c>
      <c r="P641" s="16">
        <v>4</v>
      </c>
      <c r="Q641" s="20">
        <v>75</v>
      </c>
      <c r="R641" s="14">
        <v>1000</v>
      </c>
      <c r="S641" s="19">
        <f t="shared" si="122"/>
        <v>75000</v>
      </c>
      <c r="T641" s="16"/>
      <c r="U641" s="17"/>
      <c r="V641" s="17"/>
      <c r="W641" s="4"/>
      <c r="X641" s="16"/>
      <c r="Y641" s="5"/>
      <c r="Z641" s="16"/>
      <c r="AA641" s="16"/>
      <c r="AB641" s="16"/>
      <c r="AE641" s="16"/>
      <c r="AG641" s="22">
        <f t="shared" si="123"/>
        <v>0</v>
      </c>
      <c r="AH641" s="6"/>
      <c r="AJ641" s="20">
        <f t="shared" si="124"/>
        <v>0</v>
      </c>
      <c r="AK641" s="50"/>
      <c r="AL641" s="6"/>
      <c r="AM641" s="20">
        <f t="shared" si="125"/>
        <v>0</v>
      </c>
      <c r="AN641" s="20">
        <f t="shared" si="126"/>
        <v>75000</v>
      </c>
      <c r="AP641" s="20">
        <f t="shared" si="127"/>
        <v>75000</v>
      </c>
      <c r="AQ641" s="7">
        <v>3.0000000000000001E-3</v>
      </c>
      <c r="AR641" s="20"/>
      <c r="AS641" s="51"/>
    </row>
    <row r="642" spans="1:45" s="21" customFormat="1" ht="30" customHeight="1" x14ac:dyDescent="0.2">
      <c r="A642" s="8">
        <v>556</v>
      </c>
      <c r="B642" s="46">
        <v>14</v>
      </c>
      <c r="C642" s="16" t="s">
        <v>52</v>
      </c>
      <c r="D642" s="48">
        <v>30543</v>
      </c>
      <c r="E642" s="47">
        <v>60</v>
      </c>
      <c r="F642" s="48">
        <v>5870</v>
      </c>
      <c r="G642" s="49">
        <v>7</v>
      </c>
      <c r="H642" s="48">
        <v>0</v>
      </c>
      <c r="I642" s="48">
        <v>1</v>
      </c>
      <c r="J642" s="48">
        <v>13</v>
      </c>
      <c r="K642" s="3"/>
      <c r="L642" s="16"/>
      <c r="M642" s="57"/>
      <c r="N642" s="58">
        <v>113</v>
      </c>
      <c r="P642" s="16">
        <v>4</v>
      </c>
      <c r="Q642" s="20">
        <v>113</v>
      </c>
      <c r="R642" s="14">
        <v>1000</v>
      </c>
      <c r="S642" s="20">
        <f t="shared" si="122"/>
        <v>113000</v>
      </c>
      <c r="T642" s="16"/>
      <c r="U642" s="17"/>
      <c r="V642" s="17"/>
      <c r="W642" s="4"/>
      <c r="X642" s="16"/>
      <c r="Y642" s="5"/>
      <c r="Z642" s="16"/>
      <c r="AA642" s="16"/>
      <c r="AB642" s="16"/>
      <c r="AE642" s="16"/>
      <c r="AG642" s="22">
        <f t="shared" si="123"/>
        <v>0</v>
      </c>
      <c r="AH642" s="6"/>
      <c r="AJ642" s="20">
        <f t="shared" si="124"/>
        <v>0</v>
      </c>
      <c r="AK642" s="50"/>
      <c r="AL642" s="6"/>
      <c r="AM642" s="20">
        <f t="shared" si="125"/>
        <v>0</v>
      </c>
      <c r="AN642" s="20">
        <f t="shared" si="126"/>
        <v>113000</v>
      </c>
      <c r="AP642" s="20">
        <f t="shared" si="127"/>
        <v>113000</v>
      </c>
      <c r="AQ642" s="7">
        <v>3.0000000000000001E-3</v>
      </c>
      <c r="AR642" s="20"/>
      <c r="AS642" s="51"/>
    </row>
    <row r="643" spans="1:45" s="21" customFormat="1" ht="30" customHeight="1" x14ac:dyDescent="0.2">
      <c r="A643" s="8">
        <v>557</v>
      </c>
      <c r="B643" s="46">
        <v>1</v>
      </c>
      <c r="C643" s="16" t="s">
        <v>52</v>
      </c>
      <c r="D643" s="48">
        <v>19752</v>
      </c>
      <c r="E643" s="47">
        <v>73</v>
      </c>
      <c r="F643" s="48">
        <v>4363</v>
      </c>
      <c r="G643" s="49">
        <v>7</v>
      </c>
      <c r="H643" s="48">
        <v>0</v>
      </c>
      <c r="I643" s="48">
        <v>0</v>
      </c>
      <c r="J643" s="48">
        <v>50</v>
      </c>
      <c r="K643" s="3">
        <v>50</v>
      </c>
      <c r="L643" s="16"/>
      <c r="M643" s="57"/>
      <c r="N643" s="58"/>
      <c r="P643" s="16">
        <v>1</v>
      </c>
      <c r="Q643" s="20">
        <v>50</v>
      </c>
      <c r="R643" s="14">
        <v>4500</v>
      </c>
      <c r="S643" s="19">
        <f t="shared" si="122"/>
        <v>225000</v>
      </c>
      <c r="T643" s="16"/>
      <c r="U643" s="16"/>
      <c r="V643" s="16"/>
      <c r="W643" s="5"/>
      <c r="X643" s="16"/>
      <c r="Y643" s="5"/>
      <c r="Z643" s="16"/>
      <c r="AA643" s="16"/>
      <c r="AB643" s="16"/>
      <c r="AE643" s="16"/>
      <c r="AG643" s="22">
        <f t="shared" si="123"/>
        <v>0</v>
      </c>
      <c r="AH643" s="6"/>
      <c r="AJ643" s="20">
        <f t="shared" si="124"/>
        <v>0</v>
      </c>
      <c r="AK643" s="50"/>
      <c r="AL643" s="6"/>
      <c r="AM643" s="20">
        <f t="shared" si="125"/>
        <v>0</v>
      </c>
      <c r="AN643" s="20">
        <f t="shared" si="126"/>
        <v>225000</v>
      </c>
      <c r="AP643" s="20">
        <f t="shared" si="127"/>
        <v>225000</v>
      </c>
      <c r="AQ643" s="7">
        <v>0</v>
      </c>
      <c r="AR643" s="20"/>
      <c r="AS643" s="51" t="s">
        <v>110</v>
      </c>
    </row>
    <row r="644" spans="1:45" s="21" customFormat="1" ht="30" customHeight="1" x14ac:dyDescent="0.2">
      <c r="A644" s="8">
        <v>558</v>
      </c>
      <c r="B644" s="46">
        <v>1</v>
      </c>
      <c r="C644" s="16" t="s">
        <v>52</v>
      </c>
      <c r="D644" s="48">
        <v>35027</v>
      </c>
      <c r="E644" s="47">
        <v>113</v>
      </c>
      <c r="F644" s="48">
        <v>6824</v>
      </c>
      <c r="G644" s="49">
        <v>7</v>
      </c>
      <c r="H644" s="48">
        <v>14</v>
      </c>
      <c r="I644" s="48">
        <v>1</v>
      </c>
      <c r="J644" s="48">
        <v>1</v>
      </c>
      <c r="K644" s="3">
        <v>5701</v>
      </c>
      <c r="L644" s="16"/>
      <c r="M644" s="57"/>
      <c r="N644" s="58"/>
      <c r="P644" s="16">
        <v>1</v>
      </c>
      <c r="Q644" s="20">
        <f t="shared" ref="Q644:Q652" si="128">+K644</f>
        <v>5701</v>
      </c>
      <c r="R644" s="14">
        <v>200</v>
      </c>
      <c r="S644" s="19">
        <f t="shared" si="122"/>
        <v>1140200</v>
      </c>
      <c r="T644" s="16"/>
      <c r="U644" s="17"/>
      <c r="V644" s="16"/>
      <c r="W644" s="5"/>
      <c r="X644" s="16"/>
      <c r="Y644" s="5"/>
      <c r="Z644" s="16"/>
      <c r="AA644" s="16"/>
      <c r="AB644" s="16"/>
      <c r="AE644" s="16"/>
      <c r="AG644" s="22">
        <f t="shared" si="123"/>
        <v>0</v>
      </c>
      <c r="AH644" s="6"/>
      <c r="AJ644" s="20">
        <f t="shared" si="124"/>
        <v>0</v>
      </c>
      <c r="AK644" s="50"/>
      <c r="AL644" s="6"/>
      <c r="AM644" s="20">
        <f t="shared" si="125"/>
        <v>0</v>
      </c>
      <c r="AN644" s="20">
        <f t="shared" si="126"/>
        <v>1140200</v>
      </c>
      <c r="AP644" s="20">
        <f t="shared" si="127"/>
        <v>1140200</v>
      </c>
      <c r="AQ644" s="7"/>
      <c r="AR644" s="20"/>
      <c r="AS644" s="51"/>
    </row>
    <row r="645" spans="1:45" s="21" customFormat="1" ht="30" customHeight="1" x14ac:dyDescent="0.2">
      <c r="A645" s="8">
        <v>559</v>
      </c>
      <c r="B645" s="46">
        <v>2</v>
      </c>
      <c r="C645" s="16" t="s">
        <v>52</v>
      </c>
      <c r="D645" s="48">
        <v>35028</v>
      </c>
      <c r="E645" s="47">
        <v>110</v>
      </c>
      <c r="F645" s="48">
        <v>6821</v>
      </c>
      <c r="G645" s="49">
        <v>7</v>
      </c>
      <c r="H645" s="48">
        <v>13</v>
      </c>
      <c r="I645" s="48">
        <v>3</v>
      </c>
      <c r="J645" s="48">
        <v>49</v>
      </c>
      <c r="K645" s="3">
        <v>5549</v>
      </c>
      <c r="L645" s="16"/>
      <c r="M645" s="57"/>
      <c r="N645" s="58"/>
      <c r="P645" s="16">
        <v>1</v>
      </c>
      <c r="Q645" s="20">
        <f t="shared" si="128"/>
        <v>5549</v>
      </c>
      <c r="R645" s="14">
        <v>200</v>
      </c>
      <c r="S645" s="20">
        <f t="shared" si="122"/>
        <v>1109800</v>
      </c>
      <c r="T645" s="16"/>
      <c r="U645" s="17"/>
      <c r="V645" s="17"/>
      <c r="W645" s="4"/>
      <c r="X645" s="16"/>
      <c r="Y645" s="5"/>
      <c r="Z645" s="16"/>
      <c r="AA645" s="16"/>
      <c r="AB645" s="16"/>
      <c r="AC645" s="14"/>
      <c r="AD645" s="14"/>
      <c r="AE645" s="16"/>
      <c r="AG645" s="22">
        <f t="shared" si="123"/>
        <v>0</v>
      </c>
      <c r="AH645" s="6"/>
      <c r="AJ645" s="20">
        <f t="shared" si="124"/>
        <v>0</v>
      </c>
      <c r="AK645" s="50"/>
      <c r="AL645" s="6"/>
      <c r="AM645" s="20">
        <f t="shared" si="125"/>
        <v>0</v>
      </c>
      <c r="AN645" s="20">
        <f t="shared" si="126"/>
        <v>1109800</v>
      </c>
      <c r="AP645" s="20">
        <f t="shared" si="127"/>
        <v>1109800</v>
      </c>
      <c r="AQ645" s="7"/>
      <c r="AR645" s="20"/>
      <c r="AS645" s="51"/>
    </row>
    <row r="646" spans="1:45" s="21" customFormat="1" ht="30" customHeight="1" x14ac:dyDescent="0.2">
      <c r="A646" s="8">
        <v>560</v>
      </c>
      <c r="B646" s="46">
        <v>3</v>
      </c>
      <c r="C646" s="16" t="s">
        <v>52</v>
      </c>
      <c r="D646" s="48">
        <v>35029</v>
      </c>
      <c r="E646" s="47">
        <v>109</v>
      </c>
      <c r="F646" s="48">
        <v>6820</v>
      </c>
      <c r="G646" s="49">
        <v>7</v>
      </c>
      <c r="H646" s="48">
        <v>13</v>
      </c>
      <c r="I646" s="48">
        <v>2</v>
      </c>
      <c r="J646" s="48">
        <v>67</v>
      </c>
      <c r="K646" s="3">
        <v>5467</v>
      </c>
      <c r="L646" s="16"/>
      <c r="M646" s="57"/>
      <c r="N646" s="58"/>
      <c r="P646" s="16">
        <v>1</v>
      </c>
      <c r="Q646" s="20">
        <f t="shared" si="128"/>
        <v>5467</v>
      </c>
      <c r="R646" s="14">
        <v>200</v>
      </c>
      <c r="S646" s="19">
        <f t="shared" si="122"/>
        <v>1093400</v>
      </c>
      <c r="T646" s="16"/>
      <c r="U646" s="17"/>
      <c r="V646" s="17"/>
      <c r="W646" s="4"/>
      <c r="X646" s="16"/>
      <c r="Y646" s="5"/>
      <c r="Z646" s="16"/>
      <c r="AA646" s="16"/>
      <c r="AB646" s="16"/>
      <c r="AE646" s="16"/>
      <c r="AG646" s="22">
        <f t="shared" si="123"/>
        <v>0</v>
      </c>
      <c r="AH646" s="6"/>
      <c r="AJ646" s="20">
        <f t="shared" si="124"/>
        <v>0</v>
      </c>
      <c r="AK646" s="50"/>
      <c r="AL646" s="6"/>
      <c r="AM646" s="20">
        <f t="shared" si="125"/>
        <v>0</v>
      </c>
      <c r="AN646" s="20">
        <f t="shared" si="126"/>
        <v>1093400</v>
      </c>
      <c r="AP646" s="20">
        <f t="shared" si="127"/>
        <v>1093400</v>
      </c>
      <c r="AQ646" s="7"/>
      <c r="AR646" s="20"/>
      <c r="AS646" s="51"/>
    </row>
    <row r="647" spans="1:45" s="21" customFormat="1" ht="30" customHeight="1" x14ac:dyDescent="0.2">
      <c r="A647" s="8">
        <v>561</v>
      </c>
      <c r="B647" s="46">
        <v>4</v>
      </c>
      <c r="C647" s="16" t="s">
        <v>52</v>
      </c>
      <c r="D647" s="48">
        <v>35030</v>
      </c>
      <c r="E647" s="47">
        <v>114</v>
      </c>
      <c r="F647" s="48">
        <v>6825</v>
      </c>
      <c r="G647" s="49">
        <v>7</v>
      </c>
      <c r="H647" s="48">
        <v>14</v>
      </c>
      <c r="I647" s="48">
        <v>0</v>
      </c>
      <c r="J647" s="48">
        <v>44</v>
      </c>
      <c r="K647" s="3">
        <v>5644</v>
      </c>
      <c r="L647" s="16"/>
      <c r="M647" s="57"/>
      <c r="N647" s="58"/>
      <c r="P647" s="16">
        <v>1</v>
      </c>
      <c r="Q647" s="20">
        <f t="shared" si="128"/>
        <v>5644</v>
      </c>
      <c r="R647" s="14">
        <v>200</v>
      </c>
      <c r="S647" s="19">
        <f t="shared" si="122"/>
        <v>1128800</v>
      </c>
      <c r="T647" s="16"/>
      <c r="U647" s="17"/>
      <c r="V647" s="17"/>
      <c r="W647" s="4"/>
      <c r="X647" s="16"/>
      <c r="Y647" s="5"/>
      <c r="Z647" s="16"/>
      <c r="AA647" s="16"/>
      <c r="AB647" s="16"/>
      <c r="AC647" s="14"/>
      <c r="AD647" s="14"/>
      <c r="AE647" s="16"/>
      <c r="AG647" s="22">
        <f t="shared" si="123"/>
        <v>0</v>
      </c>
      <c r="AH647" s="6"/>
      <c r="AJ647" s="20">
        <f t="shared" si="124"/>
        <v>0</v>
      </c>
      <c r="AK647" s="50"/>
      <c r="AL647" s="6"/>
      <c r="AM647" s="20">
        <f t="shared" si="125"/>
        <v>0</v>
      </c>
      <c r="AN647" s="20">
        <f t="shared" si="126"/>
        <v>1128800</v>
      </c>
      <c r="AP647" s="20">
        <f t="shared" si="127"/>
        <v>1128800</v>
      </c>
      <c r="AQ647" s="7"/>
      <c r="AR647" s="20"/>
      <c r="AS647" s="51"/>
    </row>
    <row r="648" spans="1:45" s="21" customFormat="1" ht="30" customHeight="1" x14ac:dyDescent="0.2">
      <c r="A648" s="8">
        <v>562</v>
      </c>
      <c r="B648" s="46">
        <v>5</v>
      </c>
      <c r="C648" s="16" t="s">
        <v>52</v>
      </c>
      <c r="D648" s="48">
        <v>35031</v>
      </c>
      <c r="E648" s="47">
        <v>116</v>
      </c>
      <c r="F648" s="48">
        <v>6827</v>
      </c>
      <c r="G648" s="49">
        <v>7</v>
      </c>
      <c r="H648" s="48">
        <v>17</v>
      </c>
      <c r="I648" s="48">
        <v>3</v>
      </c>
      <c r="J648" s="48">
        <v>16</v>
      </c>
      <c r="K648" s="3">
        <v>7116</v>
      </c>
      <c r="L648" s="16"/>
      <c r="M648" s="57"/>
      <c r="N648" s="58"/>
      <c r="P648" s="16">
        <v>1</v>
      </c>
      <c r="Q648" s="20">
        <f t="shared" si="128"/>
        <v>7116</v>
      </c>
      <c r="R648" s="14">
        <v>200</v>
      </c>
      <c r="S648" s="20">
        <f t="shared" si="122"/>
        <v>1423200</v>
      </c>
      <c r="T648" s="16"/>
      <c r="U648" s="17"/>
      <c r="V648" s="17"/>
      <c r="W648" s="4"/>
      <c r="X648" s="16"/>
      <c r="Y648" s="5"/>
      <c r="Z648" s="16"/>
      <c r="AA648" s="16"/>
      <c r="AB648" s="16"/>
      <c r="AC648" s="14"/>
      <c r="AD648" s="14"/>
      <c r="AE648" s="16"/>
      <c r="AG648" s="22">
        <f t="shared" si="123"/>
        <v>0</v>
      </c>
      <c r="AH648" s="6"/>
      <c r="AJ648" s="20">
        <f t="shared" si="124"/>
        <v>0</v>
      </c>
      <c r="AK648" s="50"/>
      <c r="AL648" s="6"/>
      <c r="AM648" s="20">
        <f t="shared" si="125"/>
        <v>0</v>
      </c>
      <c r="AN648" s="20">
        <f t="shared" si="126"/>
        <v>1423200</v>
      </c>
      <c r="AP648" s="20">
        <f t="shared" si="127"/>
        <v>1423200</v>
      </c>
      <c r="AQ648" s="7"/>
      <c r="AR648" s="20"/>
      <c r="AS648" s="51"/>
    </row>
    <row r="649" spans="1:45" s="21" customFormat="1" ht="30" customHeight="1" x14ac:dyDescent="0.2">
      <c r="A649" s="8">
        <v>563</v>
      </c>
      <c r="B649" s="46">
        <v>6</v>
      </c>
      <c r="C649" s="16" t="s">
        <v>52</v>
      </c>
      <c r="D649" s="48">
        <v>35032</v>
      </c>
      <c r="E649" s="47">
        <v>111</v>
      </c>
      <c r="F649" s="48">
        <v>6822</v>
      </c>
      <c r="G649" s="49">
        <v>7</v>
      </c>
      <c r="H649" s="48">
        <v>14</v>
      </c>
      <c r="I649" s="48">
        <v>0</v>
      </c>
      <c r="J649" s="48">
        <v>12</v>
      </c>
      <c r="K649" s="3">
        <v>5612</v>
      </c>
      <c r="L649" s="16"/>
      <c r="M649" s="57"/>
      <c r="N649" s="58"/>
      <c r="P649" s="16">
        <v>1</v>
      </c>
      <c r="Q649" s="20">
        <f t="shared" si="128"/>
        <v>5612</v>
      </c>
      <c r="R649" s="14">
        <v>200</v>
      </c>
      <c r="S649" s="19">
        <f t="shared" si="122"/>
        <v>1122400</v>
      </c>
      <c r="T649" s="16"/>
      <c r="U649" s="17"/>
      <c r="V649" s="17"/>
      <c r="W649" s="4"/>
      <c r="X649" s="16"/>
      <c r="Y649" s="5"/>
      <c r="Z649" s="16"/>
      <c r="AA649" s="16"/>
      <c r="AB649" s="16"/>
      <c r="AC649" s="14"/>
      <c r="AD649" s="14"/>
      <c r="AE649" s="16"/>
      <c r="AG649" s="22">
        <f t="shared" si="123"/>
        <v>0</v>
      </c>
      <c r="AH649" s="6"/>
      <c r="AJ649" s="20">
        <f t="shared" si="124"/>
        <v>0</v>
      </c>
      <c r="AK649" s="50"/>
      <c r="AL649" s="6"/>
      <c r="AM649" s="20">
        <f t="shared" si="125"/>
        <v>0</v>
      </c>
      <c r="AN649" s="20">
        <f t="shared" si="126"/>
        <v>1122400</v>
      </c>
      <c r="AP649" s="20">
        <f t="shared" si="127"/>
        <v>1122400</v>
      </c>
      <c r="AQ649" s="7"/>
      <c r="AR649" s="20"/>
      <c r="AS649" s="51"/>
    </row>
    <row r="650" spans="1:45" s="21" customFormat="1" ht="30" customHeight="1" x14ac:dyDescent="0.2">
      <c r="A650" s="8">
        <v>564</v>
      </c>
      <c r="B650" s="46">
        <v>7</v>
      </c>
      <c r="C650" s="16" t="s">
        <v>52</v>
      </c>
      <c r="D650" s="48">
        <v>35033</v>
      </c>
      <c r="E650" s="47">
        <v>115</v>
      </c>
      <c r="F650" s="48">
        <v>6826</v>
      </c>
      <c r="G650" s="49">
        <v>7</v>
      </c>
      <c r="H650" s="48">
        <v>13</v>
      </c>
      <c r="I650" s="48">
        <v>3</v>
      </c>
      <c r="J650" s="48">
        <v>97</v>
      </c>
      <c r="K650" s="3">
        <v>5597</v>
      </c>
      <c r="L650" s="16"/>
      <c r="M650" s="57"/>
      <c r="N650" s="58"/>
      <c r="P650" s="16">
        <v>1</v>
      </c>
      <c r="Q650" s="20">
        <f t="shared" si="128"/>
        <v>5597</v>
      </c>
      <c r="R650" s="14">
        <v>200</v>
      </c>
      <c r="S650" s="19">
        <f t="shared" si="122"/>
        <v>1119400</v>
      </c>
      <c r="T650" s="16"/>
      <c r="U650" s="16"/>
      <c r="V650" s="16"/>
      <c r="W650" s="5"/>
      <c r="X650" s="16"/>
      <c r="Y650" s="5"/>
      <c r="Z650" s="16"/>
      <c r="AA650" s="16"/>
      <c r="AB650" s="16"/>
      <c r="AC650" s="14"/>
      <c r="AD650" s="14"/>
      <c r="AE650" s="16"/>
      <c r="AG650" s="22">
        <f t="shared" si="123"/>
        <v>0</v>
      </c>
      <c r="AH650" s="6"/>
      <c r="AJ650" s="20">
        <f t="shared" si="124"/>
        <v>0</v>
      </c>
      <c r="AK650" s="50"/>
      <c r="AL650" s="6"/>
      <c r="AM650" s="20">
        <f t="shared" si="125"/>
        <v>0</v>
      </c>
      <c r="AN650" s="20">
        <f t="shared" si="126"/>
        <v>1119400</v>
      </c>
      <c r="AP650" s="20">
        <f t="shared" si="127"/>
        <v>1119400</v>
      </c>
      <c r="AQ650" s="7"/>
      <c r="AR650" s="20"/>
      <c r="AS650" s="51"/>
    </row>
    <row r="651" spans="1:45" s="21" customFormat="1" ht="30" customHeight="1" x14ac:dyDescent="0.2">
      <c r="A651" s="8">
        <v>565</v>
      </c>
      <c r="B651" s="46">
        <v>8</v>
      </c>
      <c r="C651" s="16" t="s">
        <v>52</v>
      </c>
      <c r="D651" s="48">
        <v>35034</v>
      </c>
      <c r="E651" s="47">
        <v>112</v>
      </c>
      <c r="F651" s="48">
        <v>6823</v>
      </c>
      <c r="G651" s="49">
        <v>7</v>
      </c>
      <c r="H651" s="48">
        <v>14</v>
      </c>
      <c r="I651" s="48">
        <v>1</v>
      </c>
      <c r="J651" s="48">
        <v>24</v>
      </c>
      <c r="K651" s="3">
        <v>5724</v>
      </c>
      <c r="L651" s="16"/>
      <c r="M651" s="57"/>
      <c r="N651" s="58"/>
      <c r="P651" s="16">
        <v>1</v>
      </c>
      <c r="Q651" s="20">
        <f t="shared" si="128"/>
        <v>5724</v>
      </c>
      <c r="R651" s="14">
        <v>200</v>
      </c>
      <c r="S651" s="20">
        <f t="shared" si="122"/>
        <v>1144800</v>
      </c>
      <c r="T651" s="16"/>
      <c r="U651" s="17"/>
      <c r="V651" s="16"/>
      <c r="W651" s="5"/>
      <c r="X651" s="16"/>
      <c r="Y651" s="5"/>
      <c r="Z651" s="16"/>
      <c r="AA651" s="16"/>
      <c r="AB651" s="16"/>
      <c r="AC651" s="14"/>
      <c r="AD651" s="14"/>
      <c r="AE651" s="16"/>
      <c r="AG651" s="22">
        <f t="shared" si="123"/>
        <v>0</v>
      </c>
      <c r="AH651" s="6"/>
      <c r="AJ651" s="20">
        <f t="shared" si="124"/>
        <v>0</v>
      </c>
      <c r="AK651" s="50"/>
      <c r="AL651" s="6"/>
      <c r="AM651" s="20">
        <f t="shared" si="125"/>
        <v>0</v>
      </c>
      <c r="AN651" s="20">
        <f t="shared" si="126"/>
        <v>1144800</v>
      </c>
      <c r="AP651" s="20">
        <f t="shared" si="127"/>
        <v>1144800</v>
      </c>
      <c r="AQ651" s="7"/>
      <c r="AR651" s="20"/>
      <c r="AS651" s="51"/>
    </row>
    <row r="652" spans="1:45" s="21" customFormat="1" ht="30" customHeight="1" x14ac:dyDescent="0.2">
      <c r="A652" s="8">
        <v>566</v>
      </c>
      <c r="B652" s="46">
        <v>1</v>
      </c>
      <c r="C652" s="16" t="s">
        <v>52</v>
      </c>
      <c r="D652" s="48">
        <v>1494</v>
      </c>
      <c r="E652" s="47">
        <v>86</v>
      </c>
      <c r="F652" s="48">
        <v>1203</v>
      </c>
      <c r="G652" s="49">
        <v>2</v>
      </c>
      <c r="H652" s="48">
        <v>5</v>
      </c>
      <c r="I652" s="48">
        <v>1</v>
      </c>
      <c r="J652" s="48">
        <v>7</v>
      </c>
      <c r="K652" s="3">
        <v>2107</v>
      </c>
      <c r="L652" s="16"/>
      <c r="M652" s="57"/>
      <c r="N652" s="58"/>
      <c r="P652" s="16">
        <v>1</v>
      </c>
      <c r="Q652" s="20">
        <f t="shared" si="128"/>
        <v>2107</v>
      </c>
      <c r="R652" s="14">
        <v>160</v>
      </c>
      <c r="S652" s="19">
        <f t="shared" si="122"/>
        <v>337120</v>
      </c>
      <c r="T652" s="16"/>
      <c r="U652" s="17"/>
      <c r="V652" s="17"/>
      <c r="W652" s="4"/>
      <c r="X652" s="16"/>
      <c r="Y652" s="5"/>
      <c r="Z652" s="16"/>
      <c r="AA652" s="16"/>
      <c r="AB652" s="16"/>
      <c r="AE652" s="16"/>
      <c r="AG652" s="22">
        <f t="shared" si="123"/>
        <v>0</v>
      </c>
      <c r="AH652" s="6"/>
      <c r="AJ652" s="20">
        <f t="shared" si="124"/>
        <v>0</v>
      </c>
      <c r="AK652" s="50"/>
      <c r="AL652" s="6"/>
      <c r="AM652" s="20">
        <f t="shared" si="125"/>
        <v>0</v>
      </c>
      <c r="AN652" s="20">
        <f t="shared" si="126"/>
        <v>337120</v>
      </c>
      <c r="AP652" s="20">
        <f t="shared" si="127"/>
        <v>337120</v>
      </c>
      <c r="AQ652" s="7"/>
      <c r="AR652" s="20"/>
      <c r="AS652" s="51">
        <v>16</v>
      </c>
    </row>
    <row r="653" spans="1:45" s="21" customFormat="1" ht="30" customHeight="1" x14ac:dyDescent="0.2">
      <c r="A653" s="8">
        <v>567</v>
      </c>
      <c r="B653" s="46">
        <v>1</v>
      </c>
      <c r="C653" s="16" t="s">
        <v>52</v>
      </c>
      <c r="D653" s="48">
        <v>30438</v>
      </c>
      <c r="E653" s="47">
        <v>42</v>
      </c>
      <c r="F653" s="48">
        <v>5844</v>
      </c>
      <c r="G653" s="49">
        <v>7</v>
      </c>
      <c r="H653" s="48">
        <v>0</v>
      </c>
      <c r="I653" s="48">
        <v>0</v>
      </c>
      <c r="J653" s="48">
        <v>48</v>
      </c>
      <c r="K653" s="3"/>
      <c r="L653" s="16"/>
      <c r="M653" s="57"/>
      <c r="N653" s="58">
        <v>48</v>
      </c>
      <c r="P653" s="16">
        <v>4</v>
      </c>
      <c r="Q653" s="20">
        <f>+N653</f>
        <v>48</v>
      </c>
      <c r="R653" s="14">
        <v>4500</v>
      </c>
      <c r="S653" s="19">
        <f t="shared" si="122"/>
        <v>216000</v>
      </c>
      <c r="T653" s="16"/>
      <c r="U653" s="17"/>
      <c r="V653" s="17"/>
      <c r="W653" s="4"/>
      <c r="X653" s="16"/>
      <c r="Y653" s="5"/>
      <c r="Z653" s="16"/>
      <c r="AA653" s="16"/>
      <c r="AB653" s="16"/>
      <c r="AE653" s="16"/>
      <c r="AG653" s="22">
        <f t="shared" si="123"/>
        <v>0</v>
      </c>
      <c r="AH653" s="6"/>
      <c r="AJ653" s="20">
        <f t="shared" si="124"/>
        <v>0</v>
      </c>
      <c r="AK653" s="50"/>
      <c r="AL653" s="6"/>
      <c r="AM653" s="20">
        <f t="shared" si="125"/>
        <v>0</v>
      </c>
      <c r="AN653" s="20">
        <f t="shared" si="126"/>
        <v>216000</v>
      </c>
      <c r="AP653" s="20">
        <f t="shared" si="127"/>
        <v>216000</v>
      </c>
      <c r="AQ653" s="7">
        <v>3.0000000000000001E-3</v>
      </c>
      <c r="AR653" s="20"/>
      <c r="AS653" s="51" t="s">
        <v>111</v>
      </c>
    </row>
    <row r="654" spans="1:45" s="21" customFormat="1" ht="30" customHeight="1" x14ac:dyDescent="0.2">
      <c r="A654" s="8">
        <v>568</v>
      </c>
      <c r="B654" s="46">
        <v>1</v>
      </c>
      <c r="C654" s="16" t="s">
        <v>52</v>
      </c>
      <c r="D654" s="48">
        <v>2765</v>
      </c>
      <c r="E654" s="47">
        <v>23</v>
      </c>
      <c r="F654" s="48">
        <v>1955</v>
      </c>
      <c r="G654" s="49">
        <v>1</v>
      </c>
      <c r="H654" s="48">
        <v>8</v>
      </c>
      <c r="I654" s="48">
        <v>1</v>
      </c>
      <c r="J654" s="48">
        <v>95</v>
      </c>
      <c r="K654" s="3">
        <v>3395</v>
      </c>
      <c r="L654" s="16"/>
      <c r="M654" s="57"/>
      <c r="N654" s="58"/>
      <c r="P654" s="16">
        <v>1</v>
      </c>
      <c r="Q654" s="20">
        <f>+K654</f>
        <v>3395</v>
      </c>
      <c r="R654" s="14">
        <v>160</v>
      </c>
      <c r="S654" s="20">
        <f t="shared" si="122"/>
        <v>543200</v>
      </c>
      <c r="T654" s="16"/>
      <c r="U654" s="17"/>
      <c r="V654" s="17"/>
      <c r="W654" s="4"/>
      <c r="X654" s="16"/>
      <c r="Y654" s="5"/>
      <c r="Z654" s="16"/>
      <c r="AA654" s="16"/>
      <c r="AB654" s="16"/>
      <c r="AE654" s="16"/>
      <c r="AG654" s="22">
        <f t="shared" si="123"/>
        <v>0</v>
      </c>
      <c r="AH654" s="6"/>
      <c r="AJ654" s="20">
        <f t="shared" si="124"/>
        <v>0</v>
      </c>
      <c r="AK654" s="50"/>
      <c r="AL654" s="6"/>
      <c r="AM654" s="20">
        <f t="shared" si="125"/>
        <v>0</v>
      </c>
      <c r="AN654" s="20">
        <f t="shared" si="126"/>
        <v>543200</v>
      </c>
      <c r="AP654" s="20">
        <f t="shared" si="127"/>
        <v>543200</v>
      </c>
      <c r="AQ654" s="7"/>
      <c r="AR654" s="60"/>
      <c r="AS654" s="128">
        <v>221</v>
      </c>
    </row>
    <row r="655" spans="1:45" s="21" customFormat="1" ht="30" customHeight="1" x14ac:dyDescent="0.2">
      <c r="A655" s="8">
        <v>569</v>
      </c>
      <c r="B655" s="46">
        <v>2</v>
      </c>
      <c r="C655" s="16" t="s">
        <v>52</v>
      </c>
      <c r="D655" s="48">
        <v>2766</v>
      </c>
      <c r="E655" s="47">
        <v>20</v>
      </c>
      <c r="F655" s="48">
        <v>1956</v>
      </c>
      <c r="G655" s="49">
        <v>1</v>
      </c>
      <c r="H655" s="48">
        <v>35</v>
      </c>
      <c r="I655" s="48">
        <v>2</v>
      </c>
      <c r="J655" s="48">
        <v>33</v>
      </c>
      <c r="K655" s="3">
        <v>14233</v>
      </c>
      <c r="L655" s="16"/>
      <c r="M655" s="57"/>
      <c r="N655" s="58"/>
      <c r="P655" s="16">
        <v>1</v>
      </c>
      <c r="Q655" s="20">
        <f>+K655</f>
        <v>14233</v>
      </c>
      <c r="R655" s="14">
        <v>160</v>
      </c>
      <c r="S655" s="19">
        <f t="shared" si="122"/>
        <v>2277280</v>
      </c>
      <c r="T655" s="16"/>
      <c r="U655" s="17"/>
      <c r="V655" s="17"/>
      <c r="W655" s="4"/>
      <c r="X655" s="16"/>
      <c r="Y655" s="5"/>
      <c r="Z655" s="16"/>
      <c r="AA655" s="16"/>
      <c r="AB655" s="16"/>
      <c r="AE655" s="16"/>
      <c r="AG655" s="22">
        <f t="shared" si="123"/>
        <v>0</v>
      </c>
      <c r="AH655" s="6"/>
      <c r="AJ655" s="20">
        <f t="shared" si="124"/>
        <v>0</v>
      </c>
      <c r="AK655" s="50"/>
      <c r="AL655" s="6"/>
      <c r="AM655" s="20">
        <f t="shared" si="125"/>
        <v>0</v>
      </c>
      <c r="AN655" s="20">
        <f t="shared" ref="AN655:AN686" si="129">+S655+AM655</f>
        <v>2277280</v>
      </c>
      <c r="AP655" s="20">
        <f t="shared" si="127"/>
        <v>2277280</v>
      </c>
      <c r="AQ655" s="7"/>
      <c r="AR655" s="25"/>
      <c r="AS655" s="130"/>
    </row>
    <row r="656" spans="1:45" ht="30" customHeight="1" x14ac:dyDescent="0.2">
      <c r="A656" s="8">
        <v>570</v>
      </c>
      <c r="B656" s="13">
        <v>1</v>
      </c>
      <c r="C656" s="16" t="s">
        <v>69</v>
      </c>
      <c r="E656" s="17">
        <v>1498</v>
      </c>
      <c r="F656" s="17">
        <v>1</v>
      </c>
      <c r="G656" s="13">
        <v>6</v>
      </c>
      <c r="H656" s="17">
        <v>58</v>
      </c>
      <c r="I656" s="17">
        <v>2</v>
      </c>
      <c r="J656" s="17">
        <v>55</v>
      </c>
      <c r="K656" s="10">
        <v>23455</v>
      </c>
      <c r="P656" s="17">
        <v>1</v>
      </c>
      <c r="Q656" s="19">
        <f>+K656</f>
        <v>23455</v>
      </c>
      <c r="R656" s="14">
        <v>160</v>
      </c>
      <c r="S656" s="19">
        <f t="shared" si="122"/>
        <v>3752800</v>
      </c>
      <c r="AG656" s="22">
        <f t="shared" si="123"/>
        <v>0</v>
      </c>
      <c r="AJ656" s="20">
        <f t="shared" si="124"/>
        <v>0</v>
      </c>
      <c r="AM656" s="20">
        <f t="shared" si="125"/>
        <v>0</v>
      </c>
      <c r="AN656" s="20">
        <f t="shared" si="129"/>
        <v>3752800</v>
      </c>
      <c r="AP656" s="20">
        <f t="shared" si="127"/>
        <v>3752800</v>
      </c>
      <c r="AQ656" s="12">
        <v>1E-4</v>
      </c>
      <c r="AR656" s="20"/>
    </row>
    <row r="657" spans="1:45" s="21" customFormat="1" ht="30" customHeight="1" x14ac:dyDescent="0.2">
      <c r="A657" s="8">
        <v>571</v>
      </c>
      <c r="B657" s="46">
        <v>1</v>
      </c>
      <c r="C657" s="16" t="s">
        <v>52</v>
      </c>
      <c r="D657" s="48">
        <v>5829</v>
      </c>
      <c r="E657" s="47">
        <v>119</v>
      </c>
      <c r="F657" s="48">
        <v>3076</v>
      </c>
      <c r="G657" s="49">
        <v>7</v>
      </c>
      <c r="H657" s="48">
        <v>19</v>
      </c>
      <c r="I657" s="48">
        <v>2</v>
      </c>
      <c r="J657" s="48">
        <v>65</v>
      </c>
      <c r="K657" s="3">
        <v>7865</v>
      </c>
      <c r="L657" s="16"/>
      <c r="M657" s="57"/>
      <c r="N657" s="58"/>
      <c r="P657" s="16">
        <v>1</v>
      </c>
      <c r="Q657" s="20">
        <f>+K657</f>
        <v>7865</v>
      </c>
      <c r="R657" s="14">
        <v>200</v>
      </c>
      <c r="S657" s="20">
        <f t="shared" si="122"/>
        <v>1573000</v>
      </c>
      <c r="T657" s="16"/>
      <c r="U657" s="17"/>
      <c r="V657" s="17"/>
      <c r="W657" s="4"/>
      <c r="X657" s="16"/>
      <c r="Y657" s="5"/>
      <c r="Z657" s="16"/>
      <c r="AA657" s="16"/>
      <c r="AB657" s="16"/>
      <c r="AE657" s="16"/>
      <c r="AG657" s="22">
        <f t="shared" si="123"/>
        <v>0</v>
      </c>
      <c r="AH657" s="6"/>
      <c r="AJ657" s="20">
        <f t="shared" si="124"/>
        <v>0</v>
      </c>
      <c r="AK657" s="50"/>
      <c r="AL657" s="6"/>
      <c r="AM657" s="20">
        <f t="shared" si="125"/>
        <v>0</v>
      </c>
      <c r="AN657" s="20">
        <f t="shared" si="129"/>
        <v>1573000</v>
      </c>
      <c r="AP657" s="20">
        <f t="shared" si="127"/>
        <v>1573000</v>
      </c>
      <c r="AQ657" s="7"/>
      <c r="AR657" s="20"/>
      <c r="AS657" s="51"/>
    </row>
    <row r="658" spans="1:45" s="21" customFormat="1" ht="30" customHeight="1" x14ac:dyDescent="0.2">
      <c r="A658" s="8">
        <v>572</v>
      </c>
      <c r="B658" s="46">
        <v>2</v>
      </c>
      <c r="C658" s="16" t="s">
        <v>52</v>
      </c>
      <c r="D658" s="48">
        <v>5831</v>
      </c>
      <c r="E658" s="47">
        <v>118</v>
      </c>
      <c r="F658" s="48">
        <v>3094</v>
      </c>
      <c r="G658" s="49">
        <v>7</v>
      </c>
      <c r="H658" s="48">
        <v>8</v>
      </c>
      <c r="I658" s="48">
        <v>0</v>
      </c>
      <c r="J658" s="48">
        <v>75</v>
      </c>
      <c r="K658" s="3">
        <v>3275</v>
      </c>
      <c r="L658" s="16"/>
      <c r="M658" s="57"/>
      <c r="N658" s="58"/>
      <c r="P658" s="16">
        <v>1</v>
      </c>
      <c r="Q658" s="20">
        <v>3275</v>
      </c>
      <c r="R658" s="14">
        <v>630</v>
      </c>
      <c r="S658" s="19">
        <f t="shared" si="122"/>
        <v>2063250</v>
      </c>
      <c r="T658" s="16"/>
      <c r="U658" s="16"/>
      <c r="V658" s="16"/>
      <c r="W658" s="5"/>
      <c r="X658" s="16"/>
      <c r="Y658" s="5"/>
      <c r="Z658" s="16"/>
      <c r="AA658" s="16"/>
      <c r="AB658" s="16"/>
      <c r="AE658" s="16"/>
      <c r="AG658" s="22">
        <f t="shared" si="123"/>
        <v>0</v>
      </c>
      <c r="AH658" s="6"/>
      <c r="AJ658" s="20">
        <f t="shared" si="124"/>
        <v>0</v>
      </c>
      <c r="AK658" s="50"/>
      <c r="AL658" s="6"/>
      <c r="AM658" s="20">
        <f t="shared" si="125"/>
        <v>0</v>
      </c>
      <c r="AN658" s="20">
        <f t="shared" si="129"/>
        <v>2063250</v>
      </c>
      <c r="AP658" s="20">
        <f t="shared" si="127"/>
        <v>2063250</v>
      </c>
      <c r="AQ658" s="7"/>
      <c r="AR658" s="20"/>
      <c r="AS658" s="51"/>
    </row>
    <row r="659" spans="1:45" ht="30" customHeight="1" x14ac:dyDescent="0.2">
      <c r="A659" s="8">
        <v>573</v>
      </c>
      <c r="B659" s="13">
        <v>1</v>
      </c>
      <c r="C659" s="16" t="s">
        <v>69</v>
      </c>
      <c r="E659" s="17">
        <v>1494</v>
      </c>
      <c r="F659" s="17">
        <v>5</v>
      </c>
      <c r="G659" s="13">
        <v>6</v>
      </c>
      <c r="H659" s="17">
        <v>16</v>
      </c>
      <c r="I659" s="17">
        <v>2</v>
      </c>
      <c r="J659" s="17">
        <v>92</v>
      </c>
      <c r="K659" s="10">
        <v>6692</v>
      </c>
      <c r="P659" s="17">
        <v>1</v>
      </c>
      <c r="Q659" s="19">
        <v>6692</v>
      </c>
      <c r="R659" s="14">
        <v>160</v>
      </c>
      <c r="S659" s="19">
        <f t="shared" si="122"/>
        <v>1070720</v>
      </c>
      <c r="AG659" s="22">
        <f t="shared" si="123"/>
        <v>0</v>
      </c>
      <c r="AJ659" s="20">
        <f t="shared" si="124"/>
        <v>0</v>
      </c>
      <c r="AM659" s="20">
        <f t="shared" si="125"/>
        <v>0</v>
      </c>
      <c r="AN659" s="20">
        <f t="shared" si="129"/>
        <v>1070720</v>
      </c>
      <c r="AP659" s="20">
        <f t="shared" si="127"/>
        <v>1070720</v>
      </c>
      <c r="AQ659" s="12">
        <v>1E-4</v>
      </c>
      <c r="AR659" s="20"/>
    </row>
    <row r="660" spans="1:45" s="21" customFormat="1" ht="30" customHeight="1" x14ac:dyDescent="0.2">
      <c r="A660" s="8">
        <v>574</v>
      </c>
      <c r="B660" s="46">
        <v>1</v>
      </c>
      <c r="C660" s="16" t="s">
        <v>52</v>
      </c>
      <c r="D660" s="48">
        <v>2761</v>
      </c>
      <c r="E660" s="47">
        <v>7</v>
      </c>
      <c r="F660" s="48">
        <v>1951</v>
      </c>
      <c r="G660" s="49">
        <v>1</v>
      </c>
      <c r="H660" s="48">
        <v>8</v>
      </c>
      <c r="I660" s="48">
        <v>2</v>
      </c>
      <c r="J660" s="48">
        <v>43</v>
      </c>
      <c r="K660" s="3">
        <v>3443</v>
      </c>
      <c r="L660" s="16"/>
      <c r="M660" s="57"/>
      <c r="N660" s="58"/>
      <c r="P660" s="16">
        <v>1</v>
      </c>
      <c r="Q660" s="20">
        <v>3443</v>
      </c>
      <c r="R660" s="14">
        <v>160</v>
      </c>
      <c r="S660" s="20">
        <f t="shared" si="122"/>
        <v>550880</v>
      </c>
      <c r="T660" s="16"/>
      <c r="U660" s="17"/>
      <c r="V660" s="16"/>
      <c r="W660" s="5"/>
      <c r="X660" s="16"/>
      <c r="Y660" s="5"/>
      <c r="Z660" s="16"/>
      <c r="AA660" s="16"/>
      <c r="AB660" s="16"/>
      <c r="AE660" s="16"/>
      <c r="AG660" s="22">
        <f t="shared" si="123"/>
        <v>0</v>
      </c>
      <c r="AH660" s="6"/>
      <c r="AJ660" s="20">
        <f t="shared" si="124"/>
        <v>0</v>
      </c>
      <c r="AK660" s="50"/>
      <c r="AL660" s="6"/>
      <c r="AM660" s="20">
        <f t="shared" si="125"/>
        <v>0</v>
      </c>
      <c r="AN660" s="20">
        <f t="shared" si="129"/>
        <v>550880</v>
      </c>
      <c r="AP660" s="20">
        <f t="shared" si="127"/>
        <v>550880</v>
      </c>
      <c r="AQ660" s="7"/>
      <c r="AR660" s="60"/>
      <c r="AS660" s="128">
        <v>133</v>
      </c>
    </row>
    <row r="661" spans="1:45" s="21" customFormat="1" ht="30" customHeight="1" x14ac:dyDescent="0.2">
      <c r="A661" s="8">
        <v>575</v>
      </c>
      <c r="B661" s="46">
        <v>2</v>
      </c>
      <c r="C661" s="16" t="s">
        <v>52</v>
      </c>
      <c r="D661" s="48">
        <v>2762</v>
      </c>
      <c r="E661" s="47">
        <v>4</v>
      </c>
      <c r="F661" s="48">
        <v>1952</v>
      </c>
      <c r="G661" s="49">
        <v>1</v>
      </c>
      <c r="H661" s="48">
        <v>35</v>
      </c>
      <c r="I661" s="48">
        <v>2</v>
      </c>
      <c r="J661" s="48">
        <v>42</v>
      </c>
      <c r="K661" s="3">
        <v>14242</v>
      </c>
      <c r="L661" s="16"/>
      <c r="M661" s="57"/>
      <c r="N661" s="58"/>
      <c r="P661" s="16">
        <v>1</v>
      </c>
      <c r="Q661" s="20">
        <v>14242</v>
      </c>
      <c r="R661" s="14">
        <v>160</v>
      </c>
      <c r="S661" s="19">
        <f t="shared" si="122"/>
        <v>2278720</v>
      </c>
      <c r="T661" s="16"/>
      <c r="U661" s="17"/>
      <c r="V661" s="17"/>
      <c r="W661" s="4"/>
      <c r="X661" s="16"/>
      <c r="Y661" s="5"/>
      <c r="Z661" s="16"/>
      <c r="AA661" s="16"/>
      <c r="AB661" s="16"/>
      <c r="AE661" s="16"/>
      <c r="AG661" s="22">
        <f t="shared" si="123"/>
        <v>0</v>
      </c>
      <c r="AH661" s="6"/>
      <c r="AJ661" s="20">
        <f t="shared" si="124"/>
        <v>0</v>
      </c>
      <c r="AK661" s="50"/>
      <c r="AL661" s="6"/>
      <c r="AM661" s="20">
        <f t="shared" si="125"/>
        <v>0</v>
      </c>
      <c r="AN661" s="20">
        <f t="shared" si="129"/>
        <v>2278720</v>
      </c>
      <c r="AP661" s="20">
        <f t="shared" si="127"/>
        <v>2278720</v>
      </c>
      <c r="AQ661" s="7"/>
      <c r="AR661" s="25"/>
      <c r="AS661" s="130"/>
    </row>
    <row r="662" spans="1:45" ht="30" customHeight="1" x14ac:dyDescent="0.2">
      <c r="A662" s="8">
        <v>576</v>
      </c>
      <c r="B662" s="13">
        <v>1</v>
      </c>
      <c r="C662" s="16" t="s">
        <v>65</v>
      </c>
      <c r="D662" s="17">
        <v>1519</v>
      </c>
      <c r="E662" s="17">
        <v>20</v>
      </c>
      <c r="H662" s="17">
        <v>9</v>
      </c>
      <c r="I662" s="17">
        <v>0</v>
      </c>
      <c r="J662" s="17">
        <v>66</v>
      </c>
      <c r="K662" s="10">
        <f>9*400+66</f>
        <v>3666</v>
      </c>
      <c r="P662" s="17">
        <v>1</v>
      </c>
      <c r="Q662" s="19">
        <v>3666</v>
      </c>
      <c r="R662" s="14">
        <v>500</v>
      </c>
      <c r="S662" s="19">
        <f t="shared" si="122"/>
        <v>1833000</v>
      </c>
      <c r="AC662" s="21"/>
      <c r="AD662" s="21"/>
      <c r="AG662" s="22">
        <f t="shared" si="123"/>
        <v>0</v>
      </c>
      <c r="AJ662" s="20">
        <f t="shared" si="124"/>
        <v>0</v>
      </c>
      <c r="AM662" s="20">
        <f t="shared" si="125"/>
        <v>0</v>
      </c>
      <c r="AN662" s="20">
        <f t="shared" si="129"/>
        <v>1833000</v>
      </c>
      <c r="AP662" s="20">
        <f t="shared" si="127"/>
        <v>1833000</v>
      </c>
      <c r="AQ662" s="12">
        <v>1E-4</v>
      </c>
      <c r="AR662" s="20"/>
    </row>
    <row r="663" spans="1:45" s="21" customFormat="1" ht="30" customHeight="1" x14ac:dyDescent="0.2">
      <c r="A663" s="8">
        <v>577</v>
      </c>
      <c r="B663" s="46">
        <v>1</v>
      </c>
      <c r="C663" s="16" t="s">
        <v>52</v>
      </c>
      <c r="D663" s="48">
        <v>4832</v>
      </c>
      <c r="E663" s="47">
        <v>39</v>
      </c>
      <c r="F663" s="48">
        <v>2722</v>
      </c>
      <c r="G663" s="49">
        <v>7</v>
      </c>
      <c r="H663" s="48">
        <v>35</v>
      </c>
      <c r="I663" s="48">
        <v>1</v>
      </c>
      <c r="J663" s="48">
        <v>21</v>
      </c>
      <c r="K663" s="3">
        <f>(35*400)+100+21</f>
        <v>14121</v>
      </c>
      <c r="L663" s="17"/>
      <c r="M663" s="15"/>
      <c r="N663" s="18"/>
      <c r="O663" s="14"/>
      <c r="P663" s="17">
        <v>1</v>
      </c>
      <c r="Q663" s="19">
        <v>14121</v>
      </c>
      <c r="R663" s="14">
        <v>410</v>
      </c>
      <c r="S663" s="20">
        <f t="shared" si="122"/>
        <v>5789610</v>
      </c>
      <c r="T663" s="17"/>
      <c r="U663" s="17"/>
      <c r="V663" s="17"/>
      <c r="W663" s="4"/>
      <c r="X663" s="17"/>
      <c r="Y663" s="4"/>
      <c r="Z663" s="17"/>
      <c r="AA663" s="17"/>
      <c r="AB663" s="17"/>
      <c r="AC663" s="14"/>
      <c r="AD663" s="14"/>
      <c r="AE663" s="16"/>
      <c r="AG663" s="22">
        <f t="shared" si="123"/>
        <v>0</v>
      </c>
      <c r="AH663" s="6"/>
      <c r="AJ663" s="20">
        <f t="shared" si="124"/>
        <v>0</v>
      </c>
      <c r="AK663" s="50"/>
      <c r="AL663" s="6"/>
      <c r="AM663" s="20">
        <f t="shared" si="125"/>
        <v>0</v>
      </c>
      <c r="AN663" s="20">
        <f t="shared" si="129"/>
        <v>5789610</v>
      </c>
      <c r="AP663" s="20">
        <f t="shared" si="127"/>
        <v>5789610</v>
      </c>
      <c r="AQ663" s="7"/>
      <c r="AR663" s="60"/>
      <c r="AS663" s="128">
        <f>225+52</f>
        <v>277</v>
      </c>
    </row>
    <row r="664" spans="1:45" s="21" customFormat="1" ht="30" customHeight="1" x14ac:dyDescent="0.2">
      <c r="A664" s="8">
        <v>578</v>
      </c>
      <c r="B664" s="46">
        <v>2</v>
      </c>
      <c r="C664" s="16" t="s">
        <v>52</v>
      </c>
      <c r="D664" s="48">
        <v>4836</v>
      </c>
      <c r="E664" s="47">
        <v>43</v>
      </c>
      <c r="F664" s="48">
        <v>2726</v>
      </c>
      <c r="G664" s="49">
        <v>7</v>
      </c>
      <c r="H664" s="48">
        <v>5</v>
      </c>
      <c r="I664" s="48">
        <v>2</v>
      </c>
      <c r="J664" s="48">
        <v>34</v>
      </c>
      <c r="K664" s="3">
        <f>(5*400)+200+34</f>
        <v>2234</v>
      </c>
      <c r="L664" s="17"/>
      <c r="M664" s="15"/>
      <c r="N664" s="18"/>
      <c r="O664" s="14"/>
      <c r="P664" s="17">
        <v>1</v>
      </c>
      <c r="Q664" s="19">
        <v>2234</v>
      </c>
      <c r="R664" s="14">
        <v>470</v>
      </c>
      <c r="S664" s="19">
        <f t="shared" si="122"/>
        <v>1049980</v>
      </c>
      <c r="T664" s="17"/>
      <c r="U664" s="17"/>
      <c r="V664" s="17"/>
      <c r="W664" s="4"/>
      <c r="X664" s="17"/>
      <c r="Y664" s="4"/>
      <c r="Z664" s="17"/>
      <c r="AA664" s="17"/>
      <c r="AB664" s="17"/>
      <c r="AC664" s="14"/>
      <c r="AD664" s="14"/>
      <c r="AE664" s="16"/>
      <c r="AG664" s="22">
        <f t="shared" si="123"/>
        <v>0</v>
      </c>
      <c r="AH664" s="6"/>
      <c r="AJ664" s="20">
        <f t="shared" si="124"/>
        <v>0</v>
      </c>
      <c r="AK664" s="50"/>
      <c r="AL664" s="6"/>
      <c r="AM664" s="20">
        <f t="shared" si="125"/>
        <v>0</v>
      </c>
      <c r="AN664" s="20">
        <f t="shared" si="129"/>
        <v>1049980</v>
      </c>
      <c r="AP664" s="20">
        <f t="shared" si="127"/>
        <v>1049980</v>
      </c>
      <c r="AQ664" s="7"/>
      <c r="AR664" s="24"/>
      <c r="AS664" s="129"/>
    </row>
    <row r="665" spans="1:45" ht="30" customHeight="1" x14ac:dyDescent="0.2">
      <c r="A665" s="8">
        <v>579</v>
      </c>
      <c r="B665" s="46">
        <v>3</v>
      </c>
      <c r="C665" s="16" t="s">
        <v>52</v>
      </c>
      <c r="D665" s="48">
        <v>1632</v>
      </c>
      <c r="E665" s="47">
        <v>37</v>
      </c>
      <c r="F665" s="48">
        <v>1411</v>
      </c>
      <c r="G665" s="49">
        <v>2</v>
      </c>
      <c r="H665" s="48">
        <v>0</v>
      </c>
      <c r="I665" s="48">
        <v>0</v>
      </c>
      <c r="J665" s="48">
        <v>26</v>
      </c>
      <c r="K665" s="3"/>
      <c r="L665" s="17">
        <f>26</f>
        <v>26</v>
      </c>
      <c r="P665" s="17">
        <v>2</v>
      </c>
      <c r="Q665" s="19">
        <f>+L665</f>
        <v>26</v>
      </c>
      <c r="R665" s="14">
        <v>4500</v>
      </c>
      <c r="S665" s="19">
        <f t="shared" si="122"/>
        <v>117000</v>
      </c>
      <c r="T665" s="17">
        <v>1</v>
      </c>
      <c r="U665" s="17" t="s">
        <v>63</v>
      </c>
      <c r="V665" s="17" t="s">
        <v>56</v>
      </c>
      <c r="W665" s="4">
        <v>74.25</v>
      </c>
      <c r="Y665" s="4">
        <v>74.25</v>
      </c>
      <c r="AG665" s="22">
        <f t="shared" si="123"/>
        <v>74.25</v>
      </c>
      <c r="AJ665" s="20">
        <f t="shared" si="124"/>
        <v>0</v>
      </c>
      <c r="AM665" s="20">
        <f t="shared" si="125"/>
        <v>0</v>
      </c>
      <c r="AN665" s="20">
        <f t="shared" si="129"/>
        <v>117000</v>
      </c>
      <c r="AP665" s="20">
        <f t="shared" si="127"/>
        <v>117000</v>
      </c>
      <c r="AR665" s="24"/>
      <c r="AS665" s="129"/>
    </row>
    <row r="666" spans="1:45" s="21" customFormat="1" ht="30" customHeight="1" x14ac:dyDescent="0.2">
      <c r="A666" s="8">
        <v>580</v>
      </c>
      <c r="B666" s="46">
        <v>4</v>
      </c>
      <c r="C666" s="16" t="s">
        <v>52</v>
      </c>
      <c r="D666" s="48">
        <v>17694</v>
      </c>
      <c r="E666" s="47">
        <v>34</v>
      </c>
      <c r="F666" s="48">
        <v>3822</v>
      </c>
      <c r="G666" s="49">
        <v>3</v>
      </c>
      <c r="H666" s="48">
        <v>8</v>
      </c>
      <c r="I666" s="48">
        <v>1</v>
      </c>
      <c r="J666" s="48">
        <v>64</v>
      </c>
      <c r="K666" s="3">
        <v>3364</v>
      </c>
      <c r="L666" s="16"/>
      <c r="M666" s="57"/>
      <c r="N666" s="58"/>
      <c r="P666" s="16">
        <v>1</v>
      </c>
      <c r="Q666" s="20">
        <f>+K666</f>
        <v>3364</v>
      </c>
      <c r="R666" s="14">
        <v>160</v>
      </c>
      <c r="S666" s="20">
        <f t="shared" si="122"/>
        <v>538240</v>
      </c>
      <c r="T666" s="16"/>
      <c r="U666" s="17"/>
      <c r="V666" s="17"/>
      <c r="W666" s="4"/>
      <c r="X666" s="16"/>
      <c r="Y666" s="5"/>
      <c r="Z666" s="16"/>
      <c r="AA666" s="16"/>
      <c r="AB666" s="16"/>
      <c r="AE666" s="16"/>
      <c r="AG666" s="22">
        <f t="shared" si="123"/>
        <v>0</v>
      </c>
      <c r="AH666" s="6"/>
      <c r="AJ666" s="20">
        <f t="shared" si="124"/>
        <v>0</v>
      </c>
      <c r="AK666" s="50"/>
      <c r="AL666" s="6"/>
      <c r="AM666" s="20">
        <f t="shared" si="125"/>
        <v>0</v>
      </c>
      <c r="AN666" s="20">
        <f t="shared" si="129"/>
        <v>538240</v>
      </c>
      <c r="AP666" s="20">
        <f t="shared" si="127"/>
        <v>538240</v>
      </c>
      <c r="AQ666" s="7"/>
      <c r="AR666" s="24"/>
      <c r="AS666" s="129"/>
    </row>
    <row r="667" spans="1:45" ht="30" customHeight="1" x14ac:dyDescent="0.2">
      <c r="A667" s="8"/>
      <c r="C667" s="16"/>
      <c r="AC667" s="21"/>
      <c r="AD667" s="21"/>
      <c r="AG667" s="22"/>
      <c r="AJ667" s="20"/>
      <c r="AM667" s="20"/>
      <c r="AN667" s="20"/>
      <c r="AP667" s="20"/>
      <c r="AR667" s="25"/>
      <c r="AS667" s="130"/>
    </row>
    <row r="668" spans="1:45" s="21" customFormat="1" ht="30" customHeight="1" x14ac:dyDescent="0.2">
      <c r="A668" s="8">
        <v>581</v>
      </c>
      <c r="B668" s="46">
        <v>1</v>
      </c>
      <c r="C668" s="16" t="s">
        <v>52</v>
      </c>
      <c r="D668" s="48">
        <v>1635</v>
      </c>
      <c r="E668" s="47">
        <v>41</v>
      </c>
      <c r="F668" s="48">
        <v>1415</v>
      </c>
      <c r="G668" s="49">
        <v>2</v>
      </c>
      <c r="H668" s="48">
        <v>0</v>
      </c>
      <c r="I668" s="48">
        <v>0</v>
      </c>
      <c r="J668" s="48">
        <v>29</v>
      </c>
      <c r="K668" s="3"/>
      <c r="L668" s="16">
        <v>29</v>
      </c>
      <c r="M668" s="57"/>
      <c r="N668" s="58"/>
      <c r="P668" s="16">
        <v>2</v>
      </c>
      <c r="Q668" s="20">
        <f>+L668</f>
        <v>29</v>
      </c>
      <c r="R668" s="14">
        <v>4500</v>
      </c>
      <c r="S668" s="19">
        <f t="shared" si="122"/>
        <v>130500</v>
      </c>
      <c r="T668" s="16"/>
      <c r="U668" s="17" t="s">
        <v>57</v>
      </c>
      <c r="V668" s="17" t="s">
        <v>56</v>
      </c>
      <c r="W668" s="4"/>
      <c r="X668" s="16"/>
      <c r="Y668" s="5">
        <v>95</v>
      </c>
      <c r="Z668" s="16"/>
      <c r="AA668" s="16"/>
      <c r="AB668" s="16"/>
      <c r="AE668" s="16"/>
      <c r="AG668" s="22">
        <f t="shared" si="123"/>
        <v>95</v>
      </c>
      <c r="AH668" s="6"/>
      <c r="AJ668" s="20">
        <f t="shared" si="124"/>
        <v>0</v>
      </c>
      <c r="AK668" s="50"/>
      <c r="AL668" s="6"/>
      <c r="AM668" s="20">
        <f t="shared" si="125"/>
        <v>0</v>
      </c>
      <c r="AN668" s="20">
        <f t="shared" si="129"/>
        <v>130500</v>
      </c>
      <c r="AP668" s="20">
        <f t="shared" si="127"/>
        <v>130500</v>
      </c>
      <c r="AQ668" s="7"/>
      <c r="AR668" s="20"/>
      <c r="AS668" s="51"/>
    </row>
    <row r="669" spans="1:45" s="21" customFormat="1" ht="30" customHeight="1" x14ac:dyDescent="0.2">
      <c r="A669" s="8">
        <v>582</v>
      </c>
      <c r="B669" s="46">
        <v>1</v>
      </c>
      <c r="C669" s="16" t="s">
        <v>52</v>
      </c>
      <c r="D669" s="48">
        <v>2786</v>
      </c>
      <c r="E669" s="47">
        <v>6</v>
      </c>
      <c r="F669" s="48">
        <v>1979</v>
      </c>
      <c r="G669" s="49">
        <v>1</v>
      </c>
      <c r="H669" s="48">
        <v>8</v>
      </c>
      <c r="I669" s="48">
        <v>1</v>
      </c>
      <c r="J669" s="48">
        <v>70</v>
      </c>
      <c r="K669" s="3">
        <v>3370</v>
      </c>
      <c r="L669" s="16"/>
      <c r="M669" s="57"/>
      <c r="N669" s="58"/>
      <c r="P669" s="16">
        <v>1</v>
      </c>
      <c r="Q669" s="20">
        <f>+K669</f>
        <v>3370</v>
      </c>
      <c r="R669" s="14">
        <v>160</v>
      </c>
      <c r="S669" s="20">
        <f t="shared" si="122"/>
        <v>539200</v>
      </c>
      <c r="T669" s="16"/>
      <c r="U669" s="17"/>
      <c r="V669" s="17"/>
      <c r="W669" s="4"/>
      <c r="X669" s="16"/>
      <c r="Y669" s="5"/>
      <c r="Z669" s="16"/>
      <c r="AA669" s="16"/>
      <c r="AB669" s="16"/>
      <c r="AE669" s="16"/>
      <c r="AG669" s="22">
        <f t="shared" si="123"/>
        <v>0</v>
      </c>
      <c r="AH669" s="6"/>
      <c r="AJ669" s="20">
        <f t="shared" si="124"/>
        <v>0</v>
      </c>
      <c r="AK669" s="50"/>
      <c r="AL669" s="6"/>
      <c r="AM669" s="20">
        <f t="shared" si="125"/>
        <v>0</v>
      </c>
      <c r="AN669" s="20">
        <f t="shared" si="129"/>
        <v>539200</v>
      </c>
      <c r="AP669" s="20">
        <f t="shared" si="127"/>
        <v>539200</v>
      </c>
      <c r="AQ669" s="7"/>
      <c r="AR669" s="60"/>
      <c r="AS669" s="128">
        <v>135</v>
      </c>
    </row>
    <row r="670" spans="1:45" s="21" customFormat="1" ht="30" customHeight="1" x14ac:dyDescent="0.2">
      <c r="A670" s="8">
        <v>583</v>
      </c>
      <c r="B670" s="46">
        <v>2</v>
      </c>
      <c r="C670" s="16" t="s">
        <v>52</v>
      </c>
      <c r="D670" s="48">
        <v>2787</v>
      </c>
      <c r="E670" s="47">
        <v>5</v>
      </c>
      <c r="F670" s="48">
        <v>1980</v>
      </c>
      <c r="G670" s="49">
        <v>1</v>
      </c>
      <c r="H670" s="48">
        <v>36</v>
      </c>
      <c r="I670" s="48">
        <v>2</v>
      </c>
      <c r="J670" s="48">
        <v>23</v>
      </c>
      <c r="K670" s="3">
        <v>14623</v>
      </c>
      <c r="L670" s="16"/>
      <c r="M670" s="57"/>
      <c r="N670" s="58"/>
      <c r="P670" s="16">
        <v>1</v>
      </c>
      <c r="Q670" s="20">
        <f>+K670</f>
        <v>14623</v>
      </c>
      <c r="R670" s="14">
        <v>160</v>
      </c>
      <c r="S670" s="19">
        <f t="shared" si="122"/>
        <v>2339680</v>
      </c>
      <c r="T670" s="16"/>
      <c r="U670" s="17"/>
      <c r="V670" s="17"/>
      <c r="W670" s="4"/>
      <c r="X670" s="16"/>
      <c r="Y670" s="5"/>
      <c r="Z670" s="16"/>
      <c r="AA670" s="16"/>
      <c r="AB670" s="16"/>
      <c r="AC670" s="14"/>
      <c r="AD670" s="14"/>
      <c r="AE670" s="16"/>
      <c r="AG670" s="22">
        <f t="shared" si="123"/>
        <v>0</v>
      </c>
      <c r="AH670" s="6"/>
      <c r="AJ670" s="20">
        <f t="shared" si="124"/>
        <v>0</v>
      </c>
      <c r="AK670" s="50"/>
      <c r="AL670" s="6"/>
      <c r="AM670" s="20">
        <f t="shared" si="125"/>
        <v>0</v>
      </c>
      <c r="AN670" s="20">
        <f t="shared" si="129"/>
        <v>2339680</v>
      </c>
      <c r="AP670" s="20">
        <f t="shared" si="127"/>
        <v>2339680</v>
      </c>
      <c r="AQ670" s="7"/>
      <c r="AR670" s="25"/>
      <c r="AS670" s="130"/>
    </row>
    <row r="671" spans="1:45" ht="30" customHeight="1" x14ac:dyDescent="0.2">
      <c r="A671" s="8"/>
      <c r="C671" s="16"/>
      <c r="AC671" s="21"/>
      <c r="AD671" s="21"/>
      <c r="AG671" s="22"/>
      <c r="AJ671" s="20"/>
      <c r="AM671" s="20"/>
      <c r="AN671" s="20"/>
      <c r="AP671" s="20"/>
      <c r="AR671" s="20"/>
    </row>
    <row r="672" spans="1:45" s="21" customFormat="1" ht="30" customHeight="1" x14ac:dyDescent="0.2">
      <c r="A672" s="8">
        <v>584</v>
      </c>
      <c r="B672" s="46">
        <v>1</v>
      </c>
      <c r="C672" s="16" t="s">
        <v>52</v>
      </c>
      <c r="D672" s="48">
        <v>404</v>
      </c>
      <c r="E672" s="47">
        <v>501</v>
      </c>
      <c r="F672" s="48">
        <v>51</v>
      </c>
      <c r="G672" s="49">
        <v>3</v>
      </c>
      <c r="H672" s="48">
        <v>0</v>
      </c>
      <c r="I672" s="48">
        <v>3</v>
      </c>
      <c r="J672" s="48">
        <v>50.09</v>
      </c>
      <c r="K672" s="3"/>
      <c r="L672" s="16"/>
      <c r="M672" s="57"/>
      <c r="N672" s="58">
        <v>350.09</v>
      </c>
      <c r="P672" s="16">
        <v>1</v>
      </c>
      <c r="Q672" s="20">
        <f>+N672</f>
        <v>350.09</v>
      </c>
      <c r="R672" s="14">
        <v>250</v>
      </c>
      <c r="S672" s="20">
        <f t="shared" si="122"/>
        <v>87522.5</v>
      </c>
      <c r="T672" s="16"/>
      <c r="U672" s="16"/>
      <c r="V672" s="16"/>
      <c r="W672" s="5"/>
      <c r="X672" s="16"/>
      <c r="Y672" s="5"/>
      <c r="Z672" s="16"/>
      <c r="AA672" s="16"/>
      <c r="AB672" s="16"/>
      <c r="AE672" s="16"/>
      <c r="AG672" s="22">
        <f t="shared" si="123"/>
        <v>0</v>
      </c>
      <c r="AH672" s="6"/>
      <c r="AJ672" s="20">
        <f t="shared" si="124"/>
        <v>0</v>
      </c>
      <c r="AK672" s="50"/>
      <c r="AL672" s="6"/>
      <c r="AM672" s="20">
        <f t="shared" si="125"/>
        <v>0</v>
      </c>
      <c r="AN672" s="20">
        <f t="shared" si="129"/>
        <v>87522.5</v>
      </c>
      <c r="AP672" s="20">
        <f t="shared" si="127"/>
        <v>87522.5</v>
      </c>
      <c r="AQ672" s="7">
        <v>3.0000000000000001E-3</v>
      </c>
      <c r="AR672" s="20"/>
      <c r="AS672" s="51"/>
    </row>
    <row r="673" spans="1:45" s="21" customFormat="1" ht="30" customHeight="1" x14ac:dyDescent="0.2">
      <c r="A673" s="8">
        <v>585</v>
      </c>
      <c r="B673" s="46">
        <v>1</v>
      </c>
      <c r="C673" s="16" t="s">
        <v>52</v>
      </c>
      <c r="D673" s="48">
        <v>5094</v>
      </c>
      <c r="E673" s="47">
        <v>16</v>
      </c>
      <c r="F673" s="48">
        <v>2859</v>
      </c>
      <c r="G673" s="49">
        <v>7</v>
      </c>
      <c r="H673" s="48">
        <v>32</v>
      </c>
      <c r="I673" s="48">
        <v>2</v>
      </c>
      <c r="J673" s="48">
        <v>0</v>
      </c>
      <c r="K673" s="3">
        <v>13000</v>
      </c>
      <c r="L673" s="16"/>
      <c r="M673" s="57"/>
      <c r="N673" s="58"/>
      <c r="P673" s="16">
        <v>1</v>
      </c>
      <c r="Q673" s="20">
        <f>+K673</f>
        <v>13000</v>
      </c>
      <c r="R673" s="14">
        <v>160</v>
      </c>
      <c r="S673" s="19">
        <f t="shared" si="122"/>
        <v>2080000</v>
      </c>
      <c r="T673" s="16"/>
      <c r="U673" s="17"/>
      <c r="V673" s="16"/>
      <c r="W673" s="5"/>
      <c r="X673" s="16"/>
      <c r="Y673" s="5"/>
      <c r="Z673" s="16"/>
      <c r="AA673" s="16"/>
      <c r="AB673" s="16"/>
      <c r="AC673" s="14"/>
      <c r="AD673" s="14"/>
      <c r="AE673" s="16"/>
      <c r="AG673" s="22">
        <f t="shared" si="123"/>
        <v>0</v>
      </c>
      <c r="AH673" s="6"/>
      <c r="AJ673" s="20">
        <f t="shared" si="124"/>
        <v>0</v>
      </c>
      <c r="AK673" s="50"/>
      <c r="AL673" s="6"/>
      <c r="AM673" s="20">
        <f t="shared" si="125"/>
        <v>0</v>
      </c>
      <c r="AN673" s="20">
        <f t="shared" si="129"/>
        <v>2080000</v>
      </c>
      <c r="AP673" s="20">
        <f t="shared" si="127"/>
        <v>2080000</v>
      </c>
      <c r="AQ673" s="7"/>
      <c r="AR673" s="20"/>
      <c r="AS673" s="51"/>
    </row>
    <row r="674" spans="1:45" s="21" customFormat="1" ht="30" customHeight="1" x14ac:dyDescent="0.2">
      <c r="A674" s="8">
        <v>586</v>
      </c>
      <c r="B674" s="46">
        <v>1</v>
      </c>
      <c r="C674" s="16" t="s">
        <v>52</v>
      </c>
      <c r="D674" s="48">
        <v>2788</v>
      </c>
      <c r="E674" s="47">
        <v>3</v>
      </c>
      <c r="F674" s="48">
        <v>1981</v>
      </c>
      <c r="G674" s="49">
        <v>1</v>
      </c>
      <c r="H674" s="48">
        <v>35</v>
      </c>
      <c r="I674" s="48">
        <v>2</v>
      </c>
      <c r="J674" s="48">
        <v>0</v>
      </c>
      <c r="K674" s="3">
        <v>14200</v>
      </c>
      <c r="L674" s="16"/>
      <c r="M674" s="57"/>
      <c r="N674" s="58"/>
      <c r="P674" s="16">
        <v>1</v>
      </c>
      <c r="Q674" s="20">
        <f>+K674</f>
        <v>14200</v>
      </c>
      <c r="R674" s="14">
        <v>160</v>
      </c>
      <c r="S674" s="19">
        <f t="shared" si="122"/>
        <v>2272000</v>
      </c>
      <c r="T674" s="16"/>
      <c r="U674" s="17"/>
      <c r="V674" s="17"/>
      <c r="W674" s="4"/>
      <c r="X674" s="16"/>
      <c r="Y674" s="5"/>
      <c r="Z674" s="16"/>
      <c r="AA674" s="16"/>
      <c r="AB674" s="16"/>
      <c r="AC674" s="14"/>
      <c r="AD674" s="14"/>
      <c r="AE674" s="16"/>
      <c r="AG674" s="22">
        <f t="shared" si="123"/>
        <v>0</v>
      </c>
      <c r="AH674" s="6"/>
      <c r="AJ674" s="20">
        <f t="shared" si="124"/>
        <v>0</v>
      </c>
      <c r="AK674" s="50"/>
      <c r="AL674" s="6"/>
      <c r="AM674" s="20">
        <f t="shared" si="125"/>
        <v>0</v>
      </c>
      <c r="AN674" s="20">
        <f t="shared" si="129"/>
        <v>2272000</v>
      </c>
      <c r="AP674" s="20">
        <f t="shared" si="127"/>
        <v>2272000</v>
      </c>
      <c r="AQ674" s="7"/>
      <c r="AR674" s="60"/>
      <c r="AS674" s="128">
        <f>133+238</f>
        <v>371</v>
      </c>
    </row>
    <row r="675" spans="1:45" s="21" customFormat="1" ht="30" customHeight="1" x14ac:dyDescent="0.2">
      <c r="A675" s="8">
        <v>587</v>
      </c>
      <c r="B675" s="46">
        <v>2</v>
      </c>
      <c r="C675" s="16" t="s">
        <v>52</v>
      </c>
      <c r="D675" s="48">
        <v>2789</v>
      </c>
      <c r="E675" s="47">
        <v>4</v>
      </c>
      <c r="F675" s="48">
        <v>1982</v>
      </c>
      <c r="G675" s="49">
        <v>1</v>
      </c>
      <c r="H675" s="48">
        <v>8</v>
      </c>
      <c r="I675" s="48">
        <v>3</v>
      </c>
      <c r="J675" s="48">
        <v>97</v>
      </c>
      <c r="K675" s="3">
        <v>3597</v>
      </c>
      <c r="L675" s="16"/>
      <c r="M675" s="57"/>
      <c r="N675" s="58"/>
      <c r="P675" s="16">
        <v>1</v>
      </c>
      <c r="Q675" s="20">
        <f>+K675</f>
        <v>3597</v>
      </c>
      <c r="R675" s="14">
        <v>160</v>
      </c>
      <c r="S675" s="20">
        <f t="shared" si="122"/>
        <v>575520</v>
      </c>
      <c r="T675" s="16"/>
      <c r="U675" s="17"/>
      <c r="V675" s="17"/>
      <c r="W675" s="4"/>
      <c r="X675" s="16"/>
      <c r="Y675" s="5"/>
      <c r="Z675" s="16"/>
      <c r="AA675" s="16"/>
      <c r="AB675" s="16"/>
      <c r="AC675" s="14"/>
      <c r="AD675" s="14"/>
      <c r="AE675" s="16"/>
      <c r="AG675" s="22">
        <f t="shared" si="123"/>
        <v>0</v>
      </c>
      <c r="AH675" s="6"/>
      <c r="AJ675" s="20">
        <f t="shared" si="124"/>
        <v>0</v>
      </c>
      <c r="AK675" s="50"/>
      <c r="AL675" s="6"/>
      <c r="AM675" s="20">
        <f t="shared" si="125"/>
        <v>0</v>
      </c>
      <c r="AN675" s="20">
        <f t="shared" si="129"/>
        <v>575520</v>
      </c>
      <c r="AP675" s="20">
        <f t="shared" si="127"/>
        <v>575520</v>
      </c>
      <c r="AQ675" s="7"/>
      <c r="AR675" s="24"/>
      <c r="AS675" s="129"/>
    </row>
    <row r="676" spans="1:45" s="21" customFormat="1" ht="30" customHeight="1" x14ac:dyDescent="0.2">
      <c r="A676" s="8">
        <v>588</v>
      </c>
      <c r="B676" s="46">
        <v>3</v>
      </c>
      <c r="C676" s="16" t="s">
        <v>52</v>
      </c>
      <c r="D676" s="48">
        <v>16695</v>
      </c>
      <c r="E676" s="47">
        <v>82</v>
      </c>
      <c r="F676" s="48">
        <v>3723</v>
      </c>
      <c r="G676" s="49">
        <v>3</v>
      </c>
      <c r="H676" s="48">
        <v>43</v>
      </c>
      <c r="I676" s="48">
        <v>1</v>
      </c>
      <c r="J676" s="48">
        <v>23</v>
      </c>
      <c r="K676" s="3">
        <v>17323</v>
      </c>
      <c r="L676" s="16"/>
      <c r="M676" s="57"/>
      <c r="N676" s="58"/>
      <c r="P676" s="16">
        <v>1</v>
      </c>
      <c r="Q676" s="20">
        <f>+K676</f>
        <v>17323</v>
      </c>
      <c r="R676" s="14">
        <v>160</v>
      </c>
      <c r="S676" s="19">
        <f t="shared" si="122"/>
        <v>2771680</v>
      </c>
      <c r="T676" s="16"/>
      <c r="U676" s="17"/>
      <c r="V676" s="17"/>
      <c r="W676" s="4"/>
      <c r="X676" s="16"/>
      <c r="Y676" s="5"/>
      <c r="Z676" s="16"/>
      <c r="AA676" s="16"/>
      <c r="AB676" s="16"/>
      <c r="AC676" s="14"/>
      <c r="AD676" s="14"/>
      <c r="AE676" s="16"/>
      <c r="AG676" s="22">
        <f t="shared" si="123"/>
        <v>0</v>
      </c>
      <c r="AH676" s="6"/>
      <c r="AJ676" s="20">
        <f t="shared" si="124"/>
        <v>0</v>
      </c>
      <c r="AK676" s="50"/>
      <c r="AL676" s="6"/>
      <c r="AM676" s="20">
        <f t="shared" si="125"/>
        <v>0</v>
      </c>
      <c r="AN676" s="20">
        <f t="shared" si="129"/>
        <v>2771680</v>
      </c>
      <c r="AP676" s="20">
        <f t="shared" si="127"/>
        <v>2771680</v>
      </c>
      <c r="AQ676" s="7"/>
      <c r="AR676" s="25"/>
      <c r="AS676" s="130"/>
    </row>
    <row r="677" spans="1:45" s="21" customFormat="1" ht="30" customHeight="1" x14ac:dyDescent="0.2">
      <c r="A677" s="8">
        <v>589</v>
      </c>
      <c r="B677" s="46">
        <v>1</v>
      </c>
      <c r="C677" s="16" t="s">
        <v>52</v>
      </c>
      <c r="D677" s="48">
        <v>30546</v>
      </c>
      <c r="E677" s="47">
        <v>63</v>
      </c>
      <c r="F677" s="48">
        <v>5873</v>
      </c>
      <c r="G677" s="49">
        <v>7</v>
      </c>
      <c r="H677" s="48">
        <v>0</v>
      </c>
      <c r="I677" s="48">
        <v>0</v>
      </c>
      <c r="J677" s="48">
        <v>75</v>
      </c>
      <c r="K677" s="3"/>
      <c r="L677" s="16"/>
      <c r="M677" s="57"/>
      <c r="N677" s="58">
        <v>75</v>
      </c>
      <c r="P677" s="16">
        <v>4</v>
      </c>
      <c r="Q677" s="20">
        <f>+N677</f>
        <v>75</v>
      </c>
      <c r="R677" s="14">
        <v>1000</v>
      </c>
      <c r="S677" s="19">
        <f t="shared" si="122"/>
        <v>75000</v>
      </c>
      <c r="T677" s="16"/>
      <c r="U677" s="17"/>
      <c r="V677" s="17"/>
      <c r="W677" s="4"/>
      <c r="X677" s="16"/>
      <c r="Y677" s="5"/>
      <c r="Z677" s="16"/>
      <c r="AA677" s="16"/>
      <c r="AB677" s="16"/>
      <c r="AC677" s="14"/>
      <c r="AD677" s="14"/>
      <c r="AE677" s="16"/>
      <c r="AG677" s="22">
        <f t="shared" si="123"/>
        <v>0</v>
      </c>
      <c r="AH677" s="6"/>
      <c r="AJ677" s="20">
        <f t="shared" si="124"/>
        <v>0</v>
      </c>
      <c r="AK677" s="50"/>
      <c r="AL677" s="6"/>
      <c r="AM677" s="20">
        <f t="shared" si="125"/>
        <v>0</v>
      </c>
      <c r="AN677" s="20">
        <f t="shared" si="129"/>
        <v>75000</v>
      </c>
      <c r="AP677" s="20">
        <f t="shared" si="127"/>
        <v>75000</v>
      </c>
      <c r="AQ677" s="7">
        <v>3.0000000000000001E-3</v>
      </c>
      <c r="AR677" s="20"/>
      <c r="AS677" s="51"/>
    </row>
    <row r="678" spans="1:45" s="21" customFormat="1" ht="30" customHeight="1" x14ac:dyDescent="0.2">
      <c r="A678" s="8">
        <v>590</v>
      </c>
      <c r="B678" s="46">
        <v>2</v>
      </c>
      <c r="C678" s="16" t="s">
        <v>52</v>
      </c>
      <c r="D678" s="48">
        <v>31219</v>
      </c>
      <c r="E678" s="47">
        <v>77</v>
      </c>
      <c r="F678" s="48">
        <v>6196</v>
      </c>
      <c r="G678" s="49">
        <v>7</v>
      </c>
      <c r="H678" s="48">
        <v>0</v>
      </c>
      <c r="I678" s="48">
        <v>0</v>
      </c>
      <c r="J678" s="48">
        <v>39</v>
      </c>
      <c r="K678" s="3">
        <v>39</v>
      </c>
      <c r="L678" s="16"/>
      <c r="M678" s="57"/>
      <c r="N678" s="58"/>
      <c r="P678" s="16">
        <v>1</v>
      </c>
      <c r="Q678" s="20">
        <v>39</v>
      </c>
      <c r="R678" s="14">
        <v>4500</v>
      </c>
      <c r="S678" s="20">
        <f t="shared" si="122"/>
        <v>175500</v>
      </c>
      <c r="T678" s="16"/>
      <c r="U678" s="17"/>
      <c r="V678" s="17"/>
      <c r="W678" s="4"/>
      <c r="X678" s="16"/>
      <c r="Y678" s="5"/>
      <c r="Z678" s="16"/>
      <c r="AA678" s="16"/>
      <c r="AB678" s="16"/>
      <c r="AE678" s="16"/>
      <c r="AG678" s="22">
        <f t="shared" si="123"/>
        <v>0</v>
      </c>
      <c r="AH678" s="6"/>
      <c r="AJ678" s="20">
        <f t="shared" si="124"/>
        <v>0</v>
      </c>
      <c r="AK678" s="50"/>
      <c r="AL678" s="6"/>
      <c r="AM678" s="20">
        <f t="shared" si="125"/>
        <v>0</v>
      </c>
      <c r="AN678" s="20">
        <f t="shared" si="129"/>
        <v>175500</v>
      </c>
      <c r="AP678" s="20">
        <f t="shared" si="127"/>
        <v>175500</v>
      </c>
      <c r="AQ678" s="7">
        <v>0</v>
      </c>
      <c r="AR678" s="20"/>
      <c r="AS678" s="51" t="s">
        <v>112</v>
      </c>
    </row>
    <row r="679" spans="1:45" s="21" customFormat="1" ht="30" customHeight="1" x14ac:dyDescent="0.2">
      <c r="A679" s="8">
        <v>591</v>
      </c>
      <c r="B679" s="46">
        <v>1</v>
      </c>
      <c r="C679" s="16" t="s">
        <v>52</v>
      </c>
      <c r="D679" s="48">
        <v>31599</v>
      </c>
      <c r="E679" s="47">
        <v>95</v>
      </c>
      <c r="F679" s="48">
        <v>6183</v>
      </c>
      <c r="G679" s="49">
        <v>7</v>
      </c>
      <c r="H679" s="48">
        <v>0</v>
      </c>
      <c r="I679" s="48">
        <v>3</v>
      </c>
      <c r="J679" s="48">
        <v>44</v>
      </c>
      <c r="K679" s="3"/>
      <c r="L679" s="16"/>
      <c r="M679" s="57"/>
      <c r="N679" s="58">
        <v>344</v>
      </c>
      <c r="P679" s="16">
        <v>4</v>
      </c>
      <c r="Q679" s="20">
        <f>+N679</f>
        <v>344</v>
      </c>
      <c r="R679" s="14">
        <v>3000</v>
      </c>
      <c r="S679" s="19">
        <f t="shared" si="122"/>
        <v>1032000</v>
      </c>
      <c r="T679" s="16"/>
      <c r="U679" s="16"/>
      <c r="V679" s="16"/>
      <c r="W679" s="5"/>
      <c r="X679" s="16"/>
      <c r="Y679" s="5"/>
      <c r="Z679" s="16"/>
      <c r="AA679" s="16"/>
      <c r="AB679" s="16"/>
      <c r="AE679" s="16"/>
      <c r="AG679" s="22">
        <f t="shared" si="123"/>
        <v>0</v>
      </c>
      <c r="AH679" s="6"/>
      <c r="AJ679" s="20">
        <f t="shared" si="124"/>
        <v>0</v>
      </c>
      <c r="AK679" s="50"/>
      <c r="AL679" s="6"/>
      <c r="AM679" s="20">
        <f t="shared" si="125"/>
        <v>0</v>
      </c>
      <c r="AN679" s="20">
        <f t="shared" si="129"/>
        <v>1032000</v>
      </c>
      <c r="AP679" s="20">
        <f t="shared" si="127"/>
        <v>1032000</v>
      </c>
      <c r="AQ679" s="7">
        <v>3.0000000000000001E-3</v>
      </c>
      <c r="AR679" s="20"/>
      <c r="AS679" s="51">
        <v>12</v>
      </c>
    </row>
    <row r="680" spans="1:45" ht="30" customHeight="1" x14ac:dyDescent="0.2">
      <c r="A680" s="8">
        <v>592</v>
      </c>
      <c r="B680" s="13">
        <v>1</v>
      </c>
      <c r="C680" s="16" t="s">
        <v>65</v>
      </c>
      <c r="D680" s="17">
        <v>1912</v>
      </c>
      <c r="E680" s="17">
        <v>90</v>
      </c>
      <c r="H680" s="17">
        <v>1</v>
      </c>
      <c r="I680" s="17">
        <v>0</v>
      </c>
      <c r="J680" s="17">
        <v>30</v>
      </c>
      <c r="K680" s="10">
        <v>430</v>
      </c>
      <c r="P680" s="17">
        <v>1</v>
      </c>
      <c r="Q680" s="19">
        <f>+K680</f>
        <v>430</v>
      </c>
      <c r="R680" s="14">
        <v>160</v>
      </c>
      <c r="S680" s="19">
        <f t="shared" si="122"/>
        <v>68800</v>
      </c>
      <c r="AC680" s="21"/>
      <c r="AD680" s="21"/>
      <c r="AG680" s="22">
        <f t="shared" si="123"/>
        <v>0</v>
      </c>
      <c r="AJ680" s="20">
        <f t="shared" si="124"/>
        <v>0</v>
      </c>
      <c r="AM680" s="20">
        <f t="shared" si="125"/>
        <v>0</v>
      </c>
      <c r="AN680" s="20">
        <f t="shared" si="129"/>
        <v>68800</v>
      </c>
      <c r="AP680" s="20">
        <f t="shared" si="127"/>
        <v>68800</v>
      </c>
      <c r="AQ680" s="12">
        <v>1E-4</v>
      </c>
      <c r="AR680" s="20"/>
    </row>
    <row r="681" spans="1:45" s="21" customFormat="1" ht="30" customHeight="1" x14ac:dyDescent="0.2">
      <c r="A681" s="8">
        <v>593</v>
      </c>
      <c r="B681" s="46">
        <v>1</v>
      </c>
      <c r="C681" s="16" t="s">
        <v>52</v>
      </c>
      <c r="D681" s="48">
        <v>2512</v>
      </c>
      <c r="E681" s="47">
        <v>28</v>
      </c>
      <c r="F681" s="48">
        <v>1519</v>
      </c>
      <c r="G681" s="49">
        <v>2</v>
      </c>
      <c r="H681" s="48">
        <v>2</v>
      </c>
      <c r="I681" s="48">
        <v>2</v>
      </c>
      <c r="J681" s="48">
        <v>51</v>
      </c>
      <c r="K681" s="3"/>
      <c r="L681" s="16"/>
      <c r="M681" s="57"/>
      <c r="N681" s="58">
        <v>1051</v>
      </c>
      <c r="P681" s="16">
        <v>4</v>
      </c>
      <c r="Q681" s="20">
        <v>1051</v>
      </c>
      <c r="R681" s="14">
        <v>1100</v>
      </c>
      <c r="S681" s="20">
        <f t="shared" si="122"/>
        <v>1156100</v>
      </c>
      <c r="T681" s="16"/>
      <c r="U681" s="17"/>
      <c r="V681" s="16"/>
      <c r="W681" s="5"/>
      <c r="X681" s="16"/>
      <c r="Y681" s="5"/>
      <c r="Z681" s="16"/>
      <c r="AA681" s="16"/>
      <c r="AB681" s="16"/>
      <c r="AE681" s="16" t="s">
        <v>113</v>
      </c>
      <c r="AG681" s="22">
        <f t="shared" si="123"/>
        <v>0</v>
      </c>
      <c r="AH681" s="6"/>
      <c r="AJ681" s="20">
        <f t="shared" si="124"/>
        <v>0</v>
      </c>
      <c r="AK681" s="50"/>
      <c r="AL681" s="6"/>
      <c r="AM681" s="20">
        <f t="shared" si="125"/>
        <v>0</v>
      </c>
      <c r="AN681" s="20">
        <f t="shared" si="129"/>
        <v>1156100</v>
      </c>
      <c r="AP681" s="20">
        <f t="shared" si="127"/>
        <v>1156100</v>
      </c>
      <c r="AQ681" s="7">
        <v>3.0000000000000001E-3</v>
      </c>
      <c r="AR681" s="20"/>
      <c r="AS681" s="51"/>
    </row>
    <row r="682" spans="1:45" s="21" customFormat="1" ht="30" customHeight="1" x14ac:dyDescent="0.2">
      <c r="A682" s="8">
        <v>594</v>
      </c>
      <c r="B682" s="46">
        <v>1</v>
      </c>
      <c r="C682" s="16" t="s">
        <v>52</v>
      </c>
      <c r="D682" s="48">
        <v>20467</v>
      </c>
      <c r="E682" s="47">
        <v>83</v>
      </c>
      <c r="F682" s="48">
        <v>4580</v>
      </c>
      <c r="G682" s="49">
        <v>4</v>
      </c>
      <c r="H682" s="48">
        <v>0</v>
      </c>
      <c r="I682" s="48">
        <v>0</v>
      </c>
      <c r="J682" s="48">
        <v>41</v>
      </c>
      <c r="K682" s="3"/>
      <c r="L682" s="16"/>
      <c r="M682" s="57"/>
      <c r="N682" s="58">
        <v>41</v>
      </c>
      <c r="P682" s="16">
        <v>4</v>
      </c>
      <c r="Q682" s="20">
        <v>41</v>
      </c>
      <c r="R682" s="14">
        <v>250</v>
      </c>
      <c r="S682" s="19">
        <f t="shared" si="122"/>
        <v>10250</v>
      </c>
      <c r="T682" s="16"/>
      <c r="U682" s="17"/>
      <c r="V682" s="17"/>
      <c r="W682" s="4"/>
      <c r="X682" s="16"/>
      <c r="Y682" s="5"/>
      <c r="Z682" s="16"/>
      <c r="AA682" s="16"/>
      <c r="AB682" s="16"/>
      <c r="AE682" s="16"/>
      <c r="AG682" s="22">
        <f t="shared" si="123"/>
        <v>0</v>
      </c>
      <c r="AH682" s="6"/>
      <c r="AJ682" s="20">
        <f t="shared" si="124"/>
        <v>0</v>
      </c>
      <c r="AK682" s="50"/>
      <c r="AL682" s="6"/>
      <c r="AM682" s="20">
        <f t="shared" si="125"/>
        <v>0</v>
      </c>
      <c r="AN682" s="20">
        <f t="shared" si="129"/>
        <v>10250</v>
      </c>
      <c r="AP682" s="20">
        <f t="shared" si="127"/>
        <v>10250</v>
      </c>
      <c r="AQ682" s="7">
        <v>3.0000000000000001E-3</v>
      </c>
      <c r="AR682" s="20"/>
      <c r="AS682" s="51">
        <v>1</v>
      </c>
    </row>
    <row r="683" spans="1:45" ht="30" customHeight="1" x14ac:dyDescent="0.2">
      <c r="A683" s="8">
        <v>595</v>
      </c>
      <c r="B683" s="13">
        <v>1</v>
      </c>
      <c r="C683" s="16" t="s">
        <v>65</v>
      </c>
      <c r="D683" s="17">
        <v>1653</v>
      </c>
      <c r="E683" s="17">
        <v>6</v>
      </c>
      <c r="H683" s="17">
        <v>0</v>
      </c>
      <c r="I683" s="17">
        <v>3</v>
      </c>
      <c r="J683" s="17">
        <v>83</v>
      </c>
      <c r="N683" s="18">
        <v>383</v>
      </c>
      <c r="P683" s="17">
        <v>4</v>
      </c>
      <c r="Q683" s="19">
        <v>383</v>
      </c>
      <c r="R683" s="14">
        <v>160</v>
      </c>
      <c r="S683" s="19">
        <f t="shared" si="122"/>
        <v>61280</v>
      </c>
      <c r="AC683" s="21"/>
      <c r="AD683" s="21"/>
      <c r="AG683" s="22">
        <f t="shared" si="123"/>
        <v>0</v>
      </c>
      <c r="AJ683" s="20">
        <f t="shared" si="124"/>
        <v>0</v>
      </c>
      <c r="AM683" s="20">
        <f t="shared" si="125"/>
        <v>0</v>
      </c>
      <c r="AN683" s="20">
        <f t="shared" si="129"/>
        <v>61280</v>
      </c>
      <c r="AP683" s="20">
        <f t="shared" si="127"/>
        <v>61280</v>
      </c>
      <c r="AQ683" s="12">
        <v>3.0000000000000001E-3</v>
      </c>
      <c r="AR683" s="20"/>
      <c r="AS683" s="26">
        <v>3</v>
      </c>
    </row>
    <row r="684" spans="1:45" ht="30" customHeight="1" x14ac:dyDescent="0.2">
      <c r="A684" s="2">
        <v>596</v>
      </c>
      <c r="B684" s="46">
        <v>1</v>
      </c>
      <c r="C684" s="16" t="s">
        <v>52</v>
      </c>
      <c r="D684" s="48">
        <v>2504</v>
      </c>
      <c r="E684" s="47">
        <v>57</v>
      </c>
      <c r="F684" s="48">
        <v>1509</v>
      </c>
      <c r="G684" s="49">
        <v>2</v>
      </c>
      <c r="H684" s="48">
        <v>1</v>
      </c>
      <c r="I684" s="48">
        <v>0</v>
      </c>
      <c r="J684" s="48">
        <v>96</v>
      </c>
      <c r="K684" s="28">
        <v>496</v>
      </c>
      <c r="M684" s="103"/>
      <c r="P684" s="21">
        <v>1</v>
      </c>
      <c r="Q684" s="20">
        <f t="shared" ref="Q684:Q694" si="130">+(H684*400)+(I684*100)+J684</f>
        <v>496</v>
      </c>
      <c r="R684" s="14">
        <v>3350</v>
      </c>
      <c r="S684" s="19">
        <f t="shared" si="122"/>
        <v>1661600</v>
      </c>
      <c r="Y684" s="67"/>
      <c r="AD684" s="17"/>
      <c r="AE684" s="14" t="s">
        <v>114</v>
      </c>
      <c r="AH684" s="14"/>
      <c r="AJ684" s="20">
        <f t="shared" si="124"/>
        <v>0</v>
      </c>
      <c r="AK684" s="50">
        <f>AB684</f>
        <v>0</v>
      </c>
      <c r="AM684" s="20">
        <f t="shared" si="125"/>
        <v>0</v>
      </c>
      <c r="AN684" s="20">
        <f t="shared" si="129"/>
        <v>1661600</v>
      </c>
      <c r="AP684" s="20">
        <f t="shared" si="127"/>
        <v>1661600</v>
      </c>
      <c r="AR684" s="60"/>
      <c r="AS684" s="123">
        <v>48</v>
      </c>
    </row>
    <row r="685" spans="1:45" ht="30" customHeight="1" x14ac:dyDescent="0.2">
      <c r="A685" s="8">
        <v>597</v>
      </c>
      <c r="B685" s="13">
        <v>2</v>
      </c>
      <c r="C685" s="16" t="s">
        <v>65</v>
      </c>
      <c r="D685" s="17">
        <v>755</v>
      </c>
      <c r="E685" s="17">
        <v>2</v>
      </c>
      <c r="H685" s="17">
        <v>3</v>
      </c>
      <c r="I685" s="17">
        <v>0</v>
      </c>
      <c r="J685" s="17">
        <v>65</v>
      </c>
      <c r="K685" s="10">
        <v>1265</v>
      </c>
      <c r="P685" s="17">
        <v>1</v>
      </c>
      <c r="Q685" s="20">
        <f t="shared" si="130"/>
        <v>1265</v>
      </c>
      <c r="R685" s="14">
        <v>500</v>
      </c>
      <c r="S685" s="20">
        <f t="shared" si="122"/>
        <v>632500</v>
      </c>
      <c r="AC685" s="21"/>
      <c r="AD685" s="21"/>
      <c r="AG685" s="22">
        <f t="shared" ref="AG685:AG694" si="131">Y685</f>
        <v>0</v>
      </c>
      <c r="AJ685" s="20">
        <f t="shared" si="124"/>
        <v>0</v>
      </c>
      <c r="AM685" s="20">
        <f t="shared" si="125"/>
        <v>0</v>
      </c>
      <c r="AN685" s="20">
        <f t="shared" si="129"/>
        <v>632500</v>
      </c>
      <c r="AP685" s="20">
        <f t="shared" si="127"/>
        <v>632500</v>
      </c>
      <c r="AQ685" s="12">
        <v>1E-4</v>
      </c>
      <c r="AR685" s="24"/>
      <c r="AS685" s="124"/>
    </row>
    <row r="686" spans="1:45" ht="30" customHeight="1" x14ac:dyDescent="0.2">
      <c r="A686" s="8">
        <v>598</v>
      </c>
      <c r="B686" s="13">
        <v>3</v>
      </c>
      <c r="C686" s="16" t="s">
        <v>65</v>
      </c>
      <c r="D686" s="17">
        <v>1671</v>
      </c>
      <c r="E686" s="17">
        <v>13</v>
      </c>
      <c r="H686" s="17">
        <v>2</v>
      </c>
      <c r="I686" s="17">
        <v>2</v>
      </c>
      <c r="J686" s="17">
        <v>95</v>
      </c>
      <c r="K686" s="10">
        <v>1095</v>
      </c>
      <c r="P686" s="17">
        <v>1</v>
      </c>
      <c r="Q686" s="20">
        <f t="shared" si="130"/>
        <v>1095</v>
      </c>
      <c r="R686" s="14">
        <v>500</v>
      </c>
      <c r="S686" s="19">
        <f t="shared" si="122"/>
        <v>547500</v>
      </c>
      <c r="AG686" s="22">
        <f t="shared" si="131"/>
        <v>0</v>
      </c>
      <c r="AJ686" s="20">
        <f t="shared" si="124"/>
        <v>0</v>
      </c>
      <c r="AM686" s="20">
        <f t="shared" si="125"/>
        <v>0</v>
      </c>
      <c r="AN686" s="20">
        <f t="shared" si="129"/>
        <v>547500</v>
      </c>
      <c r="AP686" s="20">
        <f t="shared" si="127"/>
        <v>547500</v>
      </c>
      <c r="AQ686" s="12">
        <v>1E-4</v>
      </c>
      <c r="AR686" s="24"/>
      <c r="AS686" s="124"/>
    </row>
    <row r="687" spans="1:45" ht="30" customHeight="1" x14ac:dyDescent="0.2">
      <c r="A687" s="8">
        <v>599</v>
      </c>
      <c r="B687" s="13">
        <v>4</v>
      </c>
      <c r="C687" s="16" t="s">
        <v>65</v>
      </c>
      <c r="D687" s="17">
        <v>2833</v>
      </c>
      <c r="E687" s="17">
        <v>55</v>
      </c>
      <c r="H687" s="17">
        <v>5</v>
      </c>
      <c r="I687" s="17">
        <v>1</v>
      </c>
      <c r="J687" s="17">
        <v>98</v>
      </c>
      <c r="K687" s="10">
        <v>2198</v>
      </c>
      <c r="P687" s="17">
        <v>1</v>
      </c>
      <c r="Q687" s="20">
        <f t="shared" si="130"/>
        <v>2198</v>
      </c>
      <c r="R687" s="14">
        <v>1000</v>
      </c>
      <c r="S687" s="19">
        <f t="shared" ref="S687:S750" si="132">+Q687*R687</f>
        <v>2198000</v>
      </c>
      <c r="AC687" s="21"/>
      <c r="AD687" s="21"/>
      <c r="AG687" s="22">
        <f t="shared" si="131"/>
        <v>0</v>
      </c>
      <c r="AJ687" s="20">
        <f t="shared" ref="AJ687:AJ750" si="133">+AG687*AH687*AI687</f>
        <v>0</v>
      </c>
      <c r="AM687" s="20">
        <f t="shared" ref="AM687:AM750" si="134">+AJ687-(AL687*AJ687)</f>
        <v>0</v>
      </c>
      <c r="AN687" s="20">
        <f t="shared" ref="AN687:AN718" si="135">+S687+AM687</f>
        <v>2198000</v>
      </c>
      <c r="AP687" s="20">
        <f t="shared" ref="AP687:AP750" si="136">AN687</f>
        <v>2198000</v>
      </c>
      <c r="AQ687" s="12">
        <v>1E-4</v>
      </c>
      <c r="AR687" s="25"/>
      <c r="AS687" s="125"/>
    </row>
    <row r="688" spans="1:45" s="21" customFormat="1" ht="30" customHeight="1" x14ac:dyDescent="0.2">
      <c r="A688" s="8">
        <v>600</v>
      </c>
      <c r="B688" s="46">
        <v>1</v>
      </c>
      <c r="C688" s="16" t="s">
        <v>52</v>
      </c>
      <c r="D688" s="48">
        <v>4831</v>
      </c>
      <c r="E688" s="47">
        <v>26</v>
      </c>
      <c r="F688" s="48">
        <v>2721</v>
      </c>
      <c r="G688" s="49">
        <v>7</v>
      </c>
      <c r="H688" s="48">
        <v>26</v>
      </c>
      <c r="I688" s="48">
        <v>3</v>
      </c>
      <c r="J688" s="48">
        <v>37</v>
      </c>
      <c r="K688" s="3">
        <v>10737</v>
      </c>
      <c r="L688" s="16"/>
      <c r="M688" s="57"/>
      <c r="N688" s="58"/>
      <c r="P688" s="16">
        <v>1</v>
      </c>
      <c r="Q688" s="20">
        <f t="shared" si="130"/>
        <v>10737</v>
      </c>
      <c r="R688" s="14">
        <v>160</v>
      </c>
      <c r="S688" s="20">
        <f t="shared" si="132"/>
        <v>1717920</v>
      </c>
      <c r="T688" s="16"/>
      <c r="U688" s="17"/>
      <c r="V688" s="17"/>
      <c r="W688" s="4"/>
      <c r="X688" s="16"/>
      <c r="Y688" s="5"/>
      <c r="Z688" s="16"/>
      <c r="AA688" s="16"/>
      <c r="AB688" s="16"/>
      <c r="AE688" s="16"/>
      <c r="AG688" s="22">
        <f t="shared" si="131"/>
        <v>0</v>
      </c>
      <c r="AH688" s="6"/>
      <c r="AJ688" s="20">
        <f t="shared" si="133"/>
        <v>0</v>
      </c>
      <c r="AK688" s="50"/>
      <c r="AL688" s="6"/>
      <c r="AM688" s="20">
        <f t="shared" si="134"/>
        <v>0</v>
      </c>
      <c r="AN688" s="20">
        <f t="shared" si="135"/>
        <v>1717920</v>
      </c>
      <c r="AP688" s="20">
        <f t="shared" si="136"/>
        <v>1717920</v>
      </c>
      <c r="AQ688" s="7"/>
      <c r="AR688" s="20"/>
      <c r="AS688" s="51">
        <v>81</v>
      </c>
    </row>
    <row r="689" spans="1:45" ht="30" customHeight="1" x14ac:dyDescent="0.2">
      <c r="A689" s="8">
        <v>601</v>
      </c>
      <c r="B689" s="13">
        <v>1</v>
      </c>
      <c r="C689" s="16" t="s">
        <v>65</v>
      </c>
      <c r="D689" s="17">
        <v>2703</v>
      </c>
      <c r="E689" s="17">
        <v>346</v>
      </c>
      <c r="H689" s="17">
        <v>0</v>
      </c>
      <c r="I689" s="17">
        <v>0</v>
      </c>
      <c r="J689" s="17">
        <v>99</v>
      </c>
      <c r="K689" s="10">
        <v>99</v>
      </c>
      <c r="P689" s="17">
        <v>1</v>
      </c>
      <c r="Q689" s="20">
        <f t="shared" si="130"/>
        <v>99</v>
      </c>
      <c r="R689" s="14">
        <v>250</v>
      </c>
      <c r="S689" s="19">
        <f t="shared" si="132"/>
        <v>24750</v>
      </c>
      <c r="AG689" s="22">
        <f t="shared" si="131"/>
        <v>0</v>
      </c>
      <c r="AJ689" s="20">
        <f t="shared" si="133"/>
        <v>0</v>
      </c>
      <c r="AM689" s="20">
        <f t="shared" si="134"/>
        <v>0</v>
      </c>
      <c r="AN689" s="20">
        <f t="shared" si="135"/>
        <v>24750</v>
      </c>
      <c r="AP689" s="20">
        <f t="shared" si="136"/>
        <v>24750</v>
      </c>
      <c r="AQ689" s="12">
        <v>1E-4</v>
      </c>
      <c r="AR689" s="20"/>
    </row>
    <row r="690" spans="1:45" s="21" customFormat="1" ht="30" customHeight="1" x14ac:dyDescent="0.2">
      <c r="A690" s="8">
        <v>602</v>
      </c>
      <c r="B690" s="46">
        <v>1</v>
      </c>
      <c r="C690" s="16" t="s">
        <v>52</v>
      </c>
      <c r="D690" s="48">
        <v>397</v>
      </c>
      <c r="E690" s="47">
        <v>501</v>
      </c>
      <c r="F690" s="48">
        <v>49</v>
      </c>
      <c r="G690" s="49">
        <v>1</v>
      </c>
      <c r="H690" s="48">
        <v>7</v>
      </c>
      <c r="I690" s="48">
        <v>0</v>
      </c>
      <c r="J690" s="48">
        <v>47.02</v>
      </c>
      <c r="K690" s="3">
        <v>2847.02</v>
      </c>
      <c r="L690" s="16"/>
      <c r="M690" s="57"/>
      <c r="N690" s="58"/>
      <c r="P690" s="16">
        <v>1</v>
      </c>
      <c r="Q690" s="20">
        <f t="shared" si="130"/>
        <v>2847.02</v>
      </c>
      <c r="R690" s="14">
        <v>750</v>
      </c>
      <c r="S690" s="19">
        <f t="shared" si="132"/>
        <v>2135265</v>
      </c>
      <c r="T690" s="16"/>
      <c r="U690" s="17"/>
      <c r="V690" s="17"/>
      <c r="W690" s="4"/>
      <c r="X690" s="16"/>
      <c r="Y690" s="5"/>
      <c r="Z690" s="16"/>
      <c r="AA690" s="16"/>
      <c r="AB690" s="16"/>
      <c r="AE690" s="16"/>
      <c r="AG690" s="22">
        <f t="shared" si="131"/>
        <v>0</v>
      </c>
      <c r="AH690" s="6"/>
      <c r="AJ690" s="20">
        <f t="shared" si="133"/>
        <v>0</v>
      </c>
      <c r="AK690" s="50"/>
      <c r="AL690" s="6"/>
      <c r="AM690" s="20">
        <f t="shared" si="134"/>
        <v>0</v>
      </c>
      <c r="AN690" s="20">
        <f t="shared" si="135"/>
        <v>2135265</v>
      </c>
      <c r="AP690" s="20">
        <f t="shared" si="136"/>
        <v>2135265</v>
      </c>
      <c r="AQ690" s="7"/>
      <c r="AR690" s="60"/>
      <c r="AS690" s="96">
        <f>199+166+2</f>
        <v>367</v>
      </c>
    </row>
    <row r="691" spans="1:45" s="21" customFormat="1" ht="30" customHeight="1" x14ac:dyDescent="0.2">
      <c r="A691" s="8">
        <v>603</v>
      </c>
      <c r="B691" s="46">
        <v>2</v>
      </c>
      <c r="C691" s="16" t="s">
        <v>52</v>
      </c>
      <c r="D691" s="48">
        <v>4184</v>
      </c>
      <c r="E691" s="47">
        <v>39</v>
      </c>
      <c r="F691" s="48">
        <v>2525</v>
      </c>
      <c r="G691" s="49">
        <v>1</v>
      </c>
      <c r="H691" s="48">
        <v>36</v>
      </c>
      <c r="I691" s="48">
        <v>0</v>
      </c>
      <c r="J691" s="48">
        <v>61</v>
      </c>
      <c r="K691" s="3">
        <v>14461</v>
      </c>
      <c r="L691" s="16"/>
      <c r="M691" s="57"/>
      <c r="N691" s="58"/>
      <c r="P691" s="16">
        <v>1</v>
      </c>
      <c r="Q691" s="20">
        <f t="shared" si="130"/>
        <v>14461</v>
      </c>
      <c r="R691" s="14">
        <v>200</v>
      </c>
      <c r="S691" s="20">
        <f t="shared" si="132"/>
        <v>2892200</v>
      </c>
      <c r="T691" s="16"/>
      <c r="U691" s="17"/>
      <c r="V691" s="17"/>
      <c r="W691" s="4"/>
      <c r="X691" s="16"/>
      <c r="Y691" s="5"/>
      <c r="Z691" s="16"/>
      <c r="AA691" s="16"/>
      <c r="AB691" s="16"/>
      <c r="AE691" s="16"/>
      <c r="AG691" s="22">
        <f t="shared" si="131"/>
        <v>0</v>
      </c>
      <c r="AH691" s="6"/>
      <c r="AJ691" s="20">
        <f t="shared" si="133"/>
        <v>0</v>
      </c>
      <c r="AK691" s="50"/>
      <c r="AL691" s="6"/>
      <c r="AM691" s="20">
        <f t="shared" si="134"/>
        <v>0</v>
      </c>
      <c r="AN691" s="20">
        <f t="shared" si="135"/>
        <v>2892200</v>
      </c>
      <c r="AP691" s="20">
        <f t="shared" si="136"/>
        <v>2892200</v>
      </c>
      <c r="AQ691" s="7"/>
      <c r="AR691" s="24"/>
      <c r="AS691" s="97"/>
    </row>
    <row r="692" spans="1:45" s="21" customFormat="1" ht="30" customHeight="1" x14ac:dyDescent="0.2">
      <c r="A692" s="8">
        <v>604</v>
      </c>
      <c r="B692" s="46">
        <v>3</v>
      </c>
      <c r="C692" s="16" t="s">
        <v>52</v>
      </c>
      <c r="D692" s="48">
        <v>17711</v>
      </c>
      <c r="E692" s="47">
        <v>51</v>
      </c>
      <c r="F692" s="48">
        <v>3839</v>
      </c>
      <c r="G692" s="49">
        <v>3</v>
      </c>
      <c r="H692" s="48">
        <v>5</v>
      </c>
      <c r="I692" s="48">
        <v>2</v>
      </c>
      <c r="J692" s="48">
        <v>26</v>
      </c>
      <c r="K692" s="3">
        <v>2226</v>
      </c>
      <c r="L692" s="16"/>
      <c r="M692" s="57"/>
      <c r="N692" s="58"/>
      <c r="P692" s="16">
        <v>1</v>
      </c>
      <c r="Q692" s="20">
        <f t="shared" si="130"/>
        <v>2226</v>
      </c>
      <c r="R692" s="14">
        <v>160</v>
      </c>
      <c r="S692" s="19">
        <f t="shared" si="132"/>
        <v>356160</v>
      </c>
      <c r="T692" s="16"/>
      <c r="U692" s="17"/>
      <c r="V692" s="17"/>
      <c r="W692" s="4"/>
      <c r="X692" s="16"/>
      <c r="Y692" s="5"/>
      <c r="Z692" s="16"/>
      <c r="AA692" s="16"/>
      <c r="AB692" s="16"/>
      <c r="AE692" s="16"/>
      <c r="AG692" s="22">
        <f t="shared" si="131"/>
        <v>0</v>
      </c>
      <c r="AH692" s="6"/>
      <c r="AJ692" s="20">
        <f t="shared" si="133"/>
        <v>0</v>
      </c>
      <c r="AK692" s="50"/>
      <c r="AL692" s="6"/>
      <c r="AM692" s="20">
        <f t="shared" si="134"/>
        <v>0</v>
      </c>
      <c r="AN692" s="20">
        <f t="shared" si="135"/>
        <v>356160</v>
      </c>
      <c r="AP692" s="20">
        <f t="shared" si="136"/>
        <v>356160</v>
      </c>
      <c r="AQ692" s="7"/>
      <c r="AR692" s="24"/>
      <c r="AS692" s="97"/>
    </row>
    <row r="693" spans="1:45" s="21" customFormat="1" ht="30" customHeight="1" x14ac:dyDescent="0.2">
      <c r="A693" s="8">
        <v>605</v>
      </c>
      <c r="B693" s="46">
        <v>4</v>
      </c>
      <c r="C693" s="16" t="s">
        <v>52</v>
      </c>
      <c r="D693" s="48">
        <v>2384</v>
      </c>
      <c r="E693" s="47">
        <v>10</v>
      </c>
      <c r="F693" s="48">
        <v>1716</v>
      </c>
      <c r="G693" s="49">
        <v>4</v>
      </c>
      <c r="H693" s="48">
        <v>0</v>
      </c>
      <c r="I693" s="48">
        <v>1</v>
      </c>
      <c r="J693" s="48">
        <v>3.07</v>
      </c>
      <c r="K693" s="3"/>
      <c r="L693" s="16"/>
      <c r="M693" s="57"/>
      <c r="N693" s="58">
        <v>103.07</v>
      </c>
      <c r="P693" s="16">
        <v>4</v>
      </c>
      <c r="Q693" s="20">
        <f t="shared" si="130"/>
        <v>103.07</v>
      </c>
      <c r="R693" s="14">
        <v>160</v>
      </c>
      <c r="S693" s="19">
        <f t="shared" si="132"/>
        <v>16491.199999999997</v>
      </c>
      <c r="T693" s="16"/>
      <c r="U693" s="16"/>
      <c r="V693" s="16"/>
      <c r="W693" s="5"/>
      <c r="X693" s="16"/>
      <c r="Y693" s="5"/>
      <c r="Z693" s="16"/>
      <c r="AA693" s="16"/>
      <c r="AB693" s="16"/>
      <c r="AE693" s="16"/>
      <c r="AG693" s="22">
        <f t="shared" si="131"/>
        <v>0</v>
      </c>
      <c r="AH693" s="6"/>
      <c r="AJ693" s="20">
        <f t="shared" si="133"/>
        <v>0</v>
      </c>
      <c r="AK693" s="50"/>
      <c r="AL693" s="6"/>
      <c r="AM693" s="20">
        <f t="shared" si="134"/>
        <v>0</v>
      </c>
      <c r="AN693" s="20">
        <f t="shared" si="135"/>
        <v>16491.199999999997</v>
      </c>
      <c r="AP693" s="20">
        <f t="shared" si="136"/>
        <v>16491.199999999997</v>
      </c>
      <c r="AQ693" s="7">
        <v>3.0000000000000001E-3</v>
      </c>
      <c r="AR693" s="24"/>
      <c r="AS693" s="97"/>
    </row>
    <row r="694" spans="1:45" s="21" customFormat="1" ht="30" customHeight="1" x14ac:dyDescent="0.2">
      <c r="A694" s="8">
        <v>606</v>
      </c>
      <c r="B694" s="46">
        <v>5</v>
      </c>
      <c r="C694" s="16" t="s">
        <v>52</v>
      </c>
      <c r="D694" s="48">
        <v>2410</v>
      </c>
      <c r="E694" s="47">
        <v>46</v>
      </c>
      <c r="F694" s="48">
        <v>1749</v>
      </c>
      <c r="G694" s="49">
        <v>4</v>
      </c>
      <c r="H694" s="48">
        <v>0</v>
      </c>
      <c r="I694" s="48">
        <v>0</v>
      </c>
      <c r="J694" s="48">
        <v>34</v>
      </c>
      <c r="K694" s="3"/>
      <c r="L694" s="16">
        <v>34</v>
      </c>
      <c r="M694" s="57"/>
      <c r="N694" s="58"/>
      <c r="P694" s="16">
        <v>2</v>
      </c>
      <c r="Q694" s="20">
        <f t="shared" si="130"/>
        <v>34</v>
      </c>
      <c r="R694" s="14">
        <v>250</v>
      </c>
      <c r="S694" s="19">
        <f t="shared" si="132"/>
        <v>8500</v>
      </c>
      <c r="T694" s="16"/>
      <c r="U694" s="17"/>
      <c r="V694" s="17"/>
      <c r="W694" s="4"/>
      <c r="X694" s="16"/>
      <c r="Y694" s="5"/>
      <c r="Z694" s="16"/>
      <c r="AA694" s="16"/>
      <c r="AB694" s="16"/>
      <c r="AE694" s="16"/>
      <c r="AG694" s="22">
        <f t="shared" si="131"/>
        <v>0</v>
      </c>
      <c r="AH694" s="6"/>
      <c r="AJ694" s="20">
        <f t="shared" si="133"/>
        <v>0</v>
      </c>
      <c r="AK694" s="50"/>
      <c r="AL694" s="6"/>
      <c r="AM694" s="20">
        <f t="shared" si="134"/>
        <v>0</v>
      </c>
      <c r="AN694" s="20">
        <f t="shared" si="135"/>
        <v>8500</v>
      </c>
      <c r="AP694" s="20">
        <f t="shared" si="136"/>
        <v>8500</v>
      </c>
      <c r="AQ694" s="7"/>
      <c r="AR694" s="24"/>
      <c r="AS694" s="97"/>
    </row>
    <row r="695" spans="1:45" s="21" customFormat="1" ht="30" customHeight="1" x14ac:dyDescent="0.2">
      <c r="A695" s="8"/>
      <c r="B695" s="46"/>
      <c r="C695" s="16"/>
      <c r="D695" s="48"/>
      <c r="E695" s="47"/>
      <c r="F695" s="48"/>
      <c r="G695" s="49"/>
      <c r="H695" s="48"/>
      <c r="I695" s="48"/>
      <c r="J695" s="48"/>
      <c r="K695" s="3"/>
      <c r="L695" s="16"/>
      <c r="M695" s="57"/>
      <c r="N695" s="58"/>
      <c r="P695" s="16"/>
      <c r="Q695" s="20"/>
      <c r="R695" s="14"/>
      <c r="S695" s="19"/>
      <c r="T695" s="16"/>
      <c r="U695" s="17"/>
      <c r="V695" s="17"/>
      <c r="W695" s="4"/>
      <c r="X695" s="16"/>
      <c r="Y695" s="5"/>
      <c r="Z695" s="16"/>
      <c r="AA695" s="16"/>
      <c r="AB695" s="16"/>
      <c r="AE695" s="16"/>
      <c r="AG695" s="22"/>
      <c r="AH695" s="6"/>
      <c r="AJ695" s="20"/>
      <c r="AK695" s="50"/>
      <c r="AL695" s="6"/>
      <c r="AM695" s="20"/>
      <c r="AN695" s="20"/>
      <c r="AP695" s="20"/>
      <c r="AQ695" s="7"/>
      <c r="AR695" s="24"/>
      <c r="AS695" s="97"/>
    </row>
    <row r="696" spans="1:45" s="21" customFormat="1" ht="30" customHeight="1" x14ac:dyDescent="0.2">
      <c r="A696" s="8"/>
      <c r="B696" s="46"/>
      <c r="C696" s="16"/>
      <c r="D696" s="48"/>
      <c r="E696" s="47"/>
      <c r="F696" s="48"/>
      <c r="G696" s="49"/>
      <c r="H696" s="48"/>
      <c r="I696" s="48"/>
      <c r="J696" s="48"/>
      <c r="K696" s="3"/>
      <c r="L696" s="16"/>
      <c r="M696" s="57"/>
      <c r="N696" s="58"/>
      <c r="P696" s="16"/>
      <c r="Q696" s="20"/>
      <c r="R696" s="14"/>
      <c r="S696" s="19"/>
      <c r="T696" s="16"/>
      <c r="U696" s="17"/>
      <c r="V696" s="17"/>
      <c r="W696" s="4"/>
      <c r="X696" s="16"/>
      <c r="Y696" s="5"/>
      <c r="Z696" s="16"/>
      <c r="AA696" s="16"/>
      <c r="AB696" s="16"/>
      <c r="AE696" s="16"/>
      <c r="AG696" s="22"/>
      <c r="AH696" s="6"/>
      <c r="AJ696" s="20"/>
      <c r="AK696" s="50"/>
      <c r="AL696" s="6"/>
      <c r="AM696" s="20"/>
      <c r="AN696" s="20"/>
      <c r="AP696" s="20"/>
      <c r="AQ696" s="7"/>
      <c r="AR696" s="25"/>
      <c r="AS696" s="98"/>
    </row>
    <row r="697" spans="1:45" s="21" customFormat="1" ht="30" customHeight="1" x14ac:dyDescent="0.2">
      <c r="A697" s="8">
        <v>607</v>
      </c>
      <c r="B697" s="46">
        <v>6</v>
      </c>
      <c r="C697" s="48" t="s">
        <v>115</v>
      </c>
      <c r="D697" s="48"/>
      <c r="E697" s="47"/>
      <c r="F697" s="48"/>
      <c r="G697" s="49"/>
      <c r="H697" s="48"/>
      <c r="I697" s="48">
        <v>1</v>
      </c>
      <c r="J697" s="48">
        <v>58.9</v>
      </c>
      <c r="K697" s="3"/>
      <c r="L697" s="16"/>
      <c r="M697" s="57"/>
      <c r="N697" s="58"/>
      <c r="P697" s="16">
        <v>1</v>
      </c>
      <c r="Q697" s="20">
        <v>158.9</v>
      </c>
      <c r="R697" s="14">
        <v>200</v>
      </c>
      <c r="S697" s="19">
        <f t="shared" si="132"/>
        <v>31780</v>
      </c>
      <c r="T697" s="16"/>
      <c r="U697" s="17" t="s">
        <v>116</v>
      </c>
      <c r="V697" s="17" t="s">
        <v>56</v>
      </c>
      <c r="W697" s="4"/>
      <c r="X697" s="16"/>
      <c r="Y697" s="5"/>
      <c r="Z697" s="16"/>
      <c r="AA697" s="16"/>
      <c r="AB697" s="16">
        <v>25</v>
      </c>
      <c r="AE697" s="16"/>
      <c r="AF697" s="21">
        <v>3</v>
      </c>
      <c r="AG697" s="22">
        <v>215</v>
      </c>
      <c r="AH697" s="6">
        <v>1</v>
      </c>
      <c r="AI697" s="21">
        <v>14000</v>
      </c>
      <c r="AJ697" s="20">
        <f t="shared" si="133"/>
        <v>3010000</v>
      </c>
      <c r="AK697" s="50">
        <v>25</v>
      </c>
      <c r="AL697" s="6">
        <v>0.4</v>
      </c>
      <c r="AM697" s="20">
        <f t="shared" si="134"/>
        <v>1806000</v>
      </c>
      <c r="AN697" s="20">
        <f t="shared" si="135"/>
        <v>1837780</v>
      </c>
      <c r="AP697" s="20">
        <f t="shared" si="136"/>
        <v>1837780</v>
      </c>
      <c r="AQ697" s="7">
        <v>3.0000000000000001E-3</v>
      </c>
      <c r="AR697" s="25"/>
      <c r="AS697" s="94"/>
    </row>
    <row r="698" spans="1:45" s="21" customFormat="1" ht="30" customHeight="1" x14ac:dyDescent="0.2">
      <c r="A698" s="8">
        <v>608</v>
      </c>
      <c r="B698" s="46">
        <v>7</v>
      </c>
      <c r="C698" s="48" t="s">
        <v>115</v>
      </c>
      <c r="D698" s="48"/>
      <c r="E698" s="47"/>
      <c r="F698" s="48"/>
      <c r="G698" s="49"/>
      <c r="H698" s="48">
        <v>1</v>
      </c>
      <c r="I698" s="48">
        <v>0</v>
      </c>
      <c r="J698" s="48">
        <v>70</v>
      </c>
      <c r="K698" s="3"/>
      <c r="L698" s="16"/>
      <c r="M698" s="57"/>
      <c r="N698" s="58"/>
      <c r="P698" s="16">
        <v>1</v>
      </c>
      <c r="Q698" s="20">
        <v>470</v>
      </c>
      <c r="R698" s="14">
        <v>250</v>
      </c>
      <c r="S698" s="19">
        <f t="shared" si="132"/>
        <v>117500</v>
      </c>
      <c r="T698" s="16"/>
      <c r="U698" s="17" t="s">
        <v>116</v>
      </c>
      <c r="V698" s="17" t="s">
        <v>56</v>
      </c>
      <c r="W698" s="4"/>
      <c r="X698" s="16"/>
      <c r="Y698" s="5"/>
      <c r="Z698" s="16"/>
      <c r="AA698" s="16"/>
      <c r="AB698" s="16">
        <v>26</v>
      </c>
      <c r="AE698" s="16">
        <f>23*20</f>
        <v>460</v>
      </c>
      <c r="AF698" s="21">
        <v>3</v>
      </c>
      <c r="AG698" s="22">
        <v>460</v>
      </c>
      <c r="AH698" s="6">
        <v>1</v>
      </c>
      <c r="AI698" s="21">
        <v>14000</v>
      </c>
      <c r="AJ698" s="20">
        <f t="shared" si="133"/>
        <v>6440000</v>
      </c>
      <c r="AK698" s="50">
        <v>26</v>
      </c>
      <c r="AL698" s="6">
        <v>0.42</v>
      </c>
      <c r="AM698" s="20">
        <f t="shared" si="134"/>
        <v>3735200</v>
      </c>
      <c r="AN698" s="20">
        <f t="shared" si="135"/>
        <v>3852700</v>
      </c>
      <c r="AP698" s="20">
        <f t="shared" si="136"/>
        <v>3852700</v>
      </c>
      <c r="AQ698" s="7">
        <v>3.0000000000000001E-3</v>
      </c>
      <c r="AR698" s="25"/>
      <c r="AS698" s="94"/>
    </row>
    <row r="699" spans="1:45" ht="30" customHeight="1" x14ac:dyDescent="0.2">
      <c r="A699" s="8"/>
      <c r="B699" s="46"/>
      <c r="C699" s="16"/>
      <c r="Q699" s="20"/>
      <c r="AG699" s="22"/>
      <c r="AJ699" s="20"/>
      <c r="AM699" s="20"/>
      <c r="AN699" s="20"/>
      <c r="AP699" s="20"/>
      <c r="AR699" s="20"/>
    </row>
    <row r="700" spans="1:45" ht="26.25" customHeight="1" x14ac:dyDescent="0.2">
      <c r="A700" s="8"/>
      <c r="B700" s="46"/>
      <c r="C700" s="16"/>
      <c r="Q700" s="20"/>
      <c r="S700" s="20"/>
      <c r="AG700" s="22"/>
      <c r="AJ700" s="20"/>
      <c r="AM700" s="20"/>
      <c r="AN700" s="20"/>
      <c r="AP700" s="20"/>
      <c r="AR700" s="20"/>
    </row>
    <row r="701" spans="1:45" s="21" customFormat="1" ht="30" customHeight="1" x14ac:dyDescent="0.2">
      <c r="A701" s="8">
        <v>609</v>
      </c>
      <c r="B701" s="46">
        <v>1</v>
      </c>
      <c r="C701" s="16" t="s">
        <v>52</v>
      </c>
      <c r="D701" s="48">
        <v>2409</v>
      </c>
      <c r="E701" s="47">
        <v>28</v>
      </c>
      <c r="F701" s="48">
        <v>1747</v>
      </c>
      <c r="G701" s="49">
        <v>4</v>
      </c>
      <c r="H701" s="48">
        <v>0</v>
      </c>
      <c r="I701" s="48">
        <v>0</v>
      </c>
      <c r="J701" s="48">
        <v>46</v>
      </c>
      <c r="K701" s="3"/>
      <c r="L701" s="16">
        <v>46</v>
      </c>
      <c r="M701" s="57"/>
      <c r="N701" s="58"/>
      <c r="P701" s="16">
        <v>2</v>
      </c>
      <c r="Q701" s="20">
        <f t="shared" ref="Q701:Q754" si="137">+(H701*400)+(I701*100)+J701</f>
        <v>46</v>
      </c>
      <c r="R701" s="14">
        <v>250</v>
      </c>
      <c r="S701" s="20">
        <f t="shared" si="132"/>
        <v>11500</v>
      </c>
      <c r="T701" s="16"/>
      <c r="U701" s="17"/>
      <c r="V701" s="16"/>
      <c r="W701" s="5"/>
      <c r="X701" s="16"/>
      <c r="Y701" s="5"/>
      <c r="Z701" s="16"/>
      <c r="AA701" s="16"/>
      <c r="AB701" s="16"/>
      <c r="AE701" s="16"/>
      <c r="AG701" s="22">
        <f t="shared" ref="AG701:AG753" si="138">Y701</f>
        <v>0</v>
      </c>
      <c r="AH701" s="6"/>
      <c r="AJ701" s="20">
        <f t="shared" si="133"/>
        <v>0</v>
      </c>
      <c r="AK701" s="50"/>
      <c r="AL701" s="6"/>
      <c r="AM701" s="20">
        <f t="shared" si="134"/>
        <v>0</v>
      </c>
      <c r="AN701" s="20">
        <f t="shared" si="135"/>
        <v>11500</v>
      </c>
      <c r="AP701" s="20">
        <f t="shared" si="136"/>
        <v>11500</v>
      </c>
      <c r="AQ701" s="7"/>
      <c r="AR701" s="20"/>
      <c r="AS701" s="51">
        <v>1</v>
      </c>
    </row>
    <row r="702" spans="1:45" ht="30" customHeight="1" x14ac:dyDescent="0.2">
      <c r="A702" s="8">
        <v>610</v>
      </c>
      <c r="B702" s="13">
        <v>1</v>
      </c>
      <c r="C702" s="16" t="s">
        <v>52</v>
      </c>
      <c r="D702" s="17">
        <v>16509</v>
      </c>
      <c r="E702" s="17">
        <v>19</v>
      </c>
      <c r="F702" s="17">
        <v>3612</v>
      </c>
      <c r="H702" s="17">
        <v>14</v>
      </c>
      <c r="I702" s="17">
        <v>2</v>
      </c>
      <c r="J702" s="17">
        <v>38</v>
      </c>
      <c r="K702" s="10">
        <v>5838</v>
      </c>
      <c r="P702" s="17">
        <v>1</v>
      </c>
      <c r="Q702" s="20">
        <f t="shared" si="137"/>
        <v>5838</v>
      </c>
      <c r="R702" s="14">
        <v>160</v>
      </c>
      <c r="S702" s="19">
        <f t="shared" si="132"/>
        <v>934080</v>
      </c>
      <c r="AE702" s="17" t="s">
        <v>117</v>
      </c>
      <c r="AG702" s="22">
        <f t="shared" si="138"/>
        <v>0</v>
      </c>
      <c r="AJ702" s="20">
        <f t="shared" si="133"/>
        <v>0</v>
      </c>
      <c r="AM702" s="20">
        <f t="shared" si="134"/>
        <v>0</v>
      </c>
      <c r="AN702" s="20">
        <f t="shared" si="135"/>
        <v>934080</v>
      </c>
      <c r="AP702" s="20">
        <f t="shared" si="136"/>
        <v>934080</v>
      </c>
      <c r="AR702" s="60"/>
      <c r="AS702" s="123">
        <v>145</v>
      </c>
    </row>
    <row r="703" spans="1:45" ht="30" customHeight="1" x14ac:dyDescent="0.2">
      <c r="A703" s="8">
        <v>611</v>
      </c>
      <c r="B703" s="13">
        <v>2</v>
      </c>
      <c r="C703" s="16" t="s">
        <v>65</v>
      </c>
      <c r="D703" s="17">
        <v>899</v>
      </c>
      <c r="E703" s="17">
        <v>199</v>
      </c>
      <c r="H703" s="17">
        <v>14</v>
      </c>
      <c r="I703" s="17">
        <v>0</v>
      </c>
      <c r="J703" s="17">
        <v>30</v>
      </c>
      <c r="K703" s="10">
        <f>14*400+30</f>
        <v>5630</v>
      </c>
      <c r="P703" s="17">
        <v>1</v>
      </c>
      <c r="Q703" s="20">
        <f t="shared" si="137"/>
        <v>5630</v>
      </c>
      <c r="R703" s="14">
        <v>250</v>
      </c>
      <c r="S703" s="19">
        <f t="shared" si="132"/>
        <v>1407500</v>
      </c>
      <c r="AE703" s="17" t="s">
        <v>94</v>
      </c>
      <c r="AG703" s="22">
        <f t="shared" si="138"/>
        <v>0</v>
      </c>
      <c r="AJ703" s="20">
        <f t="shared" si="133"/>
        <v>0</v>
      </c>
      <c r="AM703" s="20">
        <f t="shared" si="134"/>
        <v>0</v>
      </c>
      <c r="AN703" s="20">
        <f t="shared" si="135"/>
        <v>1407500</v>
      </c>
      <c r="AP703" s="20">
        <f t="shared" si="136"/>
        <v>1407500</v>
      </c>
      <c r="AQ703" s="12">
        <v>1E-4</v>
      </c>
      <c r="AR703" s="25"/>
      <c r="AS703" s="125"/>
    </row>
    <row r="704" spans="1:45" ht="30" customHeight="1" x14ac:dyDescent="0.2">
      <c r="A704" s="8">
        <v>612</v>
      </c>
      <c r="B704" s="13">
        <v>1</v>
      </c>
      <c r="C704" s="16" t="s">
        <v>65</v>
      </c>
      <c r="D704" s="17">
        <v>1347</v>
      </c>
      <c r="E704" s="17">
        <v>5</v>
      </c>
      <c r="H704" s="17">
        <v>11</v>
      </c>
      <c r="I704" s="17">
        <v>2</v>
      </c>
      <c r="J704" s="17">
        <v>53</v>
      </c>
      <c r="K704" s="10">
        <f>11*400+253</f>
        <v>4653</v>
      </c>
      <c r="P704" s="17">
        <v>1</v>
      </c>
      <c r="Q704" s="20">
        <f t="shared" si="137"/>
        <v>4653</v>
      </c>
      <c r="R704" s="14">
        <v>2250</v>
      </c>
      <c r="S704" s="20">
        <f t="shared" si="132"/>
        <v>10469250</v>
      </c>
      <c r="AE704" s="17" t="s">
        <v>95</v>
      </c>
      <c r="AG704" s="22">
        <f t="shared" si="138"/>
        <v>0</v>
      </c>
      <c r="AJ704" s="20">
        <f t="shared" si="133"/>
        <v>0</v>
      </c>
      <c r="AM704" s="20">
        <f t="shared" si="134"/>
        <v>0</v>
      </c>
      <c r="AN704" s="20">
        <f t="shared" si="135"/>
        <v>10469250</v>
      </c>
      <c r="AP704" s="20">
        <f t="shared" si="136"/>
        <v>10469250</v>
      </c>
      <c r="AQ704" s="12">
        <v>1E-4</v>
      </c>
      <c r="AR704" s="20"/>
    </row>
    <row r="705" spans="1:45" s="21" customFormat="1" ht="26.25" customHeight="1" x14ac:dyDescent="0.2">
      <c r="A705" s="8">
        <v>613</v>
      </c>
      <c r="B705" s="46">
        <v>1</v>
      </c>
      <c r="C705" s="16" t="s">
        <v>52</v>
      </c>
      <c r="D705" s="48">
        <v>526</v>
      </c>
      <c r="E705" s="47">
        <v>511</v>
      </c>
      <c r="F705" s="48">
        <v>59</v>
      </c>
      <c r="G705" s="49">
        <v>2</v>
      </c>
      <c r="H705" s="48">
        <v>13</v>
      </c>
      <c r="I705" s="48">
        <v>2</v>
      </c>
      <c r="J705" s="48">
        <v>32</v>
      </c>
      <c r="K705" s="3"/>
      <c r="L705" s="16"/>
      <c r="M705" s="57"/>
      <c r="N705" s="58">
        <v>5432</v>
      </c>
      <c r="P705" s="16">
        <v>4</v>
      </c>
      <c r="Q705" s="20">
        <f t="shared" si="137"/>
        <v>5432</v>
      </c>
      <c r="R705" s="14">
        <v>160</v>
      </c>
      <c r="S705" s="19">
        <f t="shared" si="132"/>
        <v>869120</v>
      </c>
      <c r="T705" s="16"/>
      <c r="U705" s="17"/>
      <c r="V705" s="17"/>
      <c r="W705" s="4"/>
      <c r="X705" s="16"/>
      <c r="Y705" s="5"/>
      <c r="Z705" s="16"/>
      <c r="AA705" s="16"/>
      <c r="AB705" s="16"/>
      <c r="AC705" s="14"/>
      <c r="AD705" s="14"/>
      <c r="AE705" s="16"/>
      <c r="AG705" s="22">
        <f t="shared" si="138"/>
        <v>0</v>
      </c>
      <c r="AH705" s="6"/>
      <c r="AJ705" s="20">
        <f t="shared" si="133"/>
        <v>0</v>
      </c>
      <c r="AK705" s="50"/>
      <c r="AL705" s="6"/>
      <c r="AM705" s="20">
        <f t="shared" si="134"/>
        <v>0</v>
      </c>
      <c r="AN705" s="20">
        <f t="shared" si="135"/>
        <v>869120</v>
      </c>
      <c r="AP705" s="20">
        <f t="shared" si="136"/>
        <v>869120</v>
      </c>
      <c r="AQ705" s="7">
        <v>3.0000000000000001E-3</v>
      </c>
      <c r="AR705" s="20"/>
      <c r="AS705" s="51"/>
    </row>
    <row r="706" spans="1:45" s="21" customFormat="1" ht="26.25" customHeight="1" x14ac:dyDescent="0.2">
      <c r="A706" s="8">
        <v>614</v>
      </c>
      <c r="B706" s="46">
        <v>2</v>
      </c>
      <c r="C706" s="16" t="s">
        <v>52</v>
      </c>
      <c r="D706" s="48">
        <v>29678</v>
      </c>
      <c r="E706" s="47">
        <v>542</v>
      </c>
      <c r="F706" s="48">
        <v>5492</v>
      </c>
      <c r="G706" s="49">
        <v>2</v>
      </c>
      <c r="H706" s="48">
        <v>0</v>
      </c>
      <c r="I706" s="48">
        <v>2</v>
      </c>
      <c r="J706" s="48">
        <v>37.01</v>
      </c>
      <c r="K706" s="3"/>
      <c r="L706" s="16"/>
      <c r="M706" s="57"/>
      <c r="N706" s="58">
        <v>237.01</v>
      </c>
      <c r="P706" s="16">
        <v>4</v>
      </c>
      <c r="Q706" s="20">
        <f t="shared" si="137"/>
        <v>237.01</v>
      </c>
      <c r="R706" s="14">
        <v>4500</v>
      </c>
      <c r="S706" s="19">
        <f t="shared" si="132"/>
        <v>1066545</v>
      </c>
      <c r="T706" s="16"/>
      <c r="U706" s="17"/>
      <c r="V706" s="17"/>
      <c r="W706" s="4"/>
      <c r="X706" s="16"/>
      <c r="Y706" s="5"/>
      <c r="Z706" s="16"/>
      <c r="AA706" s="16"/>
      <c r="AB706" s="16"/>
      <c r="AE706" s="16"/>
      <c r="AG706" s="22">
        <f t="shared" si="138"/>
        <v>0</v>
      </c>
      <c r="AH706" s="6"/>
      <c r="AJ706" s="20">
        <f t="shared" si="133"/>
        <v>0</v>
      </c>
      <c r="AK706" s="50"/>
      <c r="AL706" s="6"/>
      <c r="AM706" s="20">
        <f t="shared" si="134"/>
        <v>0</v>
      </c>
      <c r="AN706" s="20">
        <f t="shared" si="135"/>
        <v>1066545</v>
      </c>
      <c r="AP706" s="20">
        <f t="shared" si="136"/>
        <v>1066545</v>
      </c>
      <c r="AQ706" s="7">
        <v>3.0000000000000001E-3</v>
      </c>
      <c r="AR706" s="20"/>
      <c r="AS706" s="51"/>
    </row>
    <row r="707" spans="1:45" s="21" customFormat="1" ht="26.25" customHeight="1" x14ac:dyDescent="0.2">
      <c r="A707" s="8">
        <v>615</v>
      </c>
      <c r="B707" s="46">
        <v>3</v>
      </c>
      <c r="C707" s="16" t="s">
        <v>52</v>
      </c>
      <c r="D707" s="48">
        <v>29679</v>
      </c>
      <c r="E707" s="47">
        <v>543</v>
      </c>
      <c r="F707" s="48">
        <v>5493</v>
      </c>
      <c r="G707" s="49">
        <v>2</v>
      </c>
      <c r="H707" s="48">
        <v>1</v>
      </c>
      <c r="I707" s="48">
        <v>2</v>
      </c>
      <c r="J707" s="48">
        <v>55</v>
      </c>
      <c r="K707" s="3"/>
      <c r="L707" s="16"/>
      <c r="M707" s="57"/>
      <c r="N707" s="58">
        <v>655</v>
      </c>
      <c r="P707" s="16">
        <v>4</v>
      </c>
      <c r="Q707" s="20">
        <f t="shared" si="137"/>
        <v>655</v>
      </c>
      <c r="R707" s="14">
        <v>200</v>
      </c>
      <c r="S707" s="20">
        <f t="shared" si="132"/>
        <v>131000</v>
      </c>
      <c r="T707" s="16"/>
      <c r="U707" s="17"/>
      <c r="V707" s="17"/>
      <c r="W707" s="4"/>
      <c r="X707" s="16"/>
      <c r="Y707" s="5"/>
      <c r="Z707" s="16"/>
      <c r="AA707" s="16"/>
      <c r="AB707" s="16"/>
      <c r="AC707" s="14"/>
      <c r="AD707" s="14"/>
      <c r="AE707" s="16"/>
      <c r="AG707" s="22">
        <f t="shared" si="138"/>
        <v>0</v>
      </c>
      <c r="AH707" s="6"/>
      <c r="AJ707" s="20">
        <f t="shared" si="133"/>
        <v>0</v>
      </c>
      <c r="AK707" s="50"/>
      <c r="AL707" s="6"/>
      <c r="AM707" s="20">
        <f t="shared" si="134"/>
        <v>0</v>
      </c>
      <c r="AN707" s="20">
        <f t="shared" si="135"/>
        <v>131000</v>
      </c>
      <c r="AP707" s="20">
        <f t="shared" si="136"/>
        <v>131000</v>
      </c>
      <c r="AQ707" s="7">
        <v>3.0000000000000001E-3</v>
      </c>
      <c r="AR707" s="20"/>
      <c r="AS707" s="51"/>
    </row>
    <row r="708" spans="1:45" s="21" customFormat="1" ht="26.25" customHeight="1" x14ac:dyDescent="0.2">
      <c r="A708" s="8">
        <v>616</v>
      </c>
      <c r="B708" s="46">
        <v>4</v>
      </c>
      <c r="C708" s="16" t="s">
        <v>52</v>
      </c>
      <c r="D708" s="48">
        <v>29680</v>
      </c>
      <c r="E708" s="47">
        <v>525</v>
      </c>
      <c r="F708" s="48">
        <v>5494</v>
      </c>
      <c r="G708" s="49">
        <v>2</v>
      </c>
      <c r="H708" s="48">
        <v>8</v>
      </c>
      <c r="I708" s="48">
        <v>2</v>
      </c>
      <c r="J708" s="48">
        <v>28.04</v>
      </c>
      <c r="K708" s="3"/>
      <c r="L708" s="16"/>
      <c r="M708" s="57"/>
      <c r="N708" s="58">
        <v>3428.04</v>
      </c>
      <c r="P708" s="16">
        <v>4</v>
      </c>
      <c r="Q708" s="20">
        <f t="shared" si="137"/>
        <v>3428.04</v>
      </c>
      <c r="R708" s="14">
        <v>160</v>
      </c>
      <c r="S708" s="19">
        <f t="shared" si="132"/>
        <v>548486.40000000002</v>
      </c>
      <c r="T708" s="16"/>
      <c r="U708" s="17"/>
      <c r="V708" s="17"/>
      <c r="W708" s="4"/>
      <c r="X708" s="16"/>
      <c r="Y708" s="5"/>
      <c r="Z708" s="16"/>
      <c r="AA708" s="16"/>
      <c r="AB708" s="16"/>
      <c r="AC708" s="14"/>
      <c r="AD708" s="14"/>
      <c r="AE708" s="16"/>
      <c r="AG708" s="22">
        <f t="shared" si="138"/>
        <v>0</v>
      </c>
      <c r="AH708" s="6"/>
      <c r="AJ708" s="20">
        <f t="shared" si="133"/>
        <v>0</v>
      </c>
      <c r="AK708" s="50"/>
      <c r="AL708" s="6"/>
      <c r="AM708" s="20">
        <f t="shared" si="134"/>
        <v>0</v>
      </c>
      <c r="AN708" s="20">
        <f t="shared" si="135"/>
        <v>548486.40000000002</v>
      </c>
      <c r="AP708" s="20">
        <f t="shared" si="136"/>
        <v>548486.40000000002</v>
      </c>
      <c r="AQ708" s="7">
        <v>3.0000000000000001E-3</v>
      </c>
      <c r="AR708" s="20"/>
      <c r="AS708" s="51"/>
    </row>
    <row r="709" spans="1:45" s="21" customFormat="1" ht="26.25" customHeight="1" x14ac:dyDescent="0.2">
      <c r="A709" s="8">
        <v>617</v>
      </c>
      <c r="B709" s="46">
        <v>5</v>
      </c>
      <c r="C709" s="16" t="s">
        <v>52</v>
      </c>
      <c r="D709" s="48">
        <v>31726</v>
      </c>
      <c r="E709" s="47">
        <v>95</v>
      </c>
      <c r="F709" s="48">
        <v>5338</v>
      </c>
      <c r="G709" s="49">
        <v>3</v>
      </c>
      <c r="H709" s="48">
        <v>4</v>
      </c>
      <c r="I709" s="48">
        <v>1</v>
      </c>
      <c r="J709" s="48">
        <v>86</v>
      </c>
      <c r="K709" s="3"/>
      <c r="L709" s="16"/>
      <c r="M709" s="57"/>
      <c r="N709" s="58">
        <v>1786</v>
      </c>
      <c r="P709" s="16">
        <v>4</v>
      </c>
      <c r="Q709" s="20">
        <f t="shared" si="137"/>
        <v>1786</v>
      </c>
      <c r="R709" s="14">
        <v>200</v>
      </c>
      <c r="S709" s="19">
        <f t="shared" si="132"/>
        <v>357200</v>
      </c>
      <c r="T709" s="16"/>
      <c r="U709" s="16"/>
      <c r="V709" s="16"/>
      <c r="W709" s="5"/>
      <c r="X709" s="16"/>
      <c r="Y709" s="5"/>
      <c r="Z709" s="16"/>
      <c r="AA709" s="16"/>
      <c r="AB709" s="16"/>
      <c r="AC709" s="14"/>
      <c r="AD709" s="14"/>
      <c r="AE709" s="16"/>
      <c r="AG709" s="22">
        <f t="shared" si="138"/>
        <v>0</v>
      </c>
      <c r="AH709" s="6"/>
      <c r="AJ709" s="20">
        <f t="shared" si="133"/>
        <v>0</v>
      </c>
      <c r="AK709" s="50"/>
      <c r="AL709" s="6"/>
      <c r="AM709" s="20">
        <f t="shared" si="134"/>
        <v>0</v>
      </c>
      <c r="AN709" s="20">
        <f t="shared" si="135"/>
        <v>357200</v>
      </c>
      <c r="AP709" s="20">
        <f t="shared" si="136"/>
        <v>357200</v>
      </c>
      <c r="AQ709" s="7">
        <v>3.0000000000000001E-3</v>
      </c>
      <c r="AR709" s="20"/>
      <c r="AS709" s="51"/>
    </row>
    <row r="710" spans="1:45" s="21" customFormat="1" ht="26.25" customHeight="1" x14ac:dyDescent="0.2">
      <c r="A710" s="8">
        <v>618</v>
      </c>
      <c r="B710" s="46">
        <v>6</v>
      </c>
      <c r="C710" s="16" t="s">
        <v>52</v>
      </c>
      <c r="D710" s="48">
        <v>35010</v>
      </c>
      <c r="E710" s="47">
        <v>121</v>
      </c>
      <c r="F710" s="48">
        <v>6466</v>
      </c>
      <c r="G710" s="49">
        <v>3</v>
      </c>
      <c r="H710" s="48">
        <v>2</v>
      </c>
      <c r="I710" s="48">
        <v>2</v>
      </c>
      <c r="J710" s="48">
        <v>32</v>
      </c>
      <c r="K710" s="3"/>
      <c r="L710" s="16"/>
      <c r="M710" s="57"/>
      <c r="N710" s="58">
        <v>1032</v>
      </c>
      <c r="P710" s="16">
        <v>4</v>
      </c>
      <c r="Q710" s="20">
        <f t="shared" si="137"/>
        <v>1032</v>
      </c>
      <c r="R710" s="14">
        <v>200</v>
      </c>
      <c r="S710" s="20">
        <f t="shared" si="132"/>
        <v>206400</v>
      </c>
      <c r="T710" s="16"/>
      <c r="U710" s="17"/>
      <c r="V710" s="16"/>
      <c r="W710" s="5"/>
      <c r="X710" s="16"/>
      <c r="Y710" s="5"/>
      <c r="Z710" s="16"/>
      <c r="AA710" s="16"/>
      <c r="AB710" s="16"/>
      <c r="AC710" s="14"/>
      <c r="AD710" s="14"/>
      <c r="AE710" s="16"/>
      <c r="AG710" s="22">
        <f t="shared" si="138"/>
        <v>0</v>
      </c>
      <c r="AH710" s="6"/>
      <c r="AJ710" s="20">
        <f t="shared" si="133"/>
        <v>0</v>
      </c>
      <c r="AK710" s="50"/>
      <c r="AL710" s="6"/>
      <c r="AM710" s="20">
        <f t="shared" si="134"/>
        <v>0</v>
      </c>
      <c r="AN710" s="20">
        <f t="shared" si="135"/>
        <v>206400</v>
      </c>
      <c r="AP710" s="20">
        <f t="shared" si="136"/>
        <v>206400</v>
      </c>
      <c r="AQ710" s="7">
        <v>3.0000000000000001E-3</v>
      </c>
      <c r="AR710" s="20"/>
      <c r="AS710" s="51"/>
    </row>
    <row r="711" spans="1:45" s="21" customFormat="1" ht="26.25" customHeight="1" x14ac:dyDescent="0.2">
      <c r="A711" s="8">
        <v>619</v>
      </c>
      <c r="B711" s="46">
        <v>7</v>
      </c>
      <c r="C711" s="16" t="s">
        <v>52</v>
      </c>
      <c r="D711" s="48">
        <v>25744</v>
      </c>
      <c r="E711" s="47">
        <v>1</v>
      </c>
      <c r="F711" s="48">
        <v>5002</v>
      </c>
      <c r="G711" s="49">
        <v>4</v>
      </c>
      <c r="H711" s="48">
        <v>16</v>
      </c>
      <c r="I711" s="48">
        <v>3</v>
      </c>
      <c r="J711" s="48">
        <v>34</v>
      </c>
      <c r="K711" s="3"/>
      <c r="L711" s="16"/>
      <c r="M711" s="57"/>
      <c r="N711" s="58"/>
      <c r="P711" s="16">
        <v>1</v>
      </c>
      <c r="Q711" s="20">
        <f t="shared" si="137"/>
        <v>6734</v>
      </c>
      <c r="R711" s="14">
        <v>160</v>
      </c>
      <c r="S711" s="19">
        <f t="shared" si="132"/>
        <v>1077440</v>
      </c>
      <c r="T711" s="16"/>
      <c r="U711" s="17"/>
      <c r="V711" s="17"/>
      <c r="W711" s="4"/>
      <c r="X711" s="16"/>
      <c r="Y711" s="5"/>
      <c r="Z711" s="16"/>
      <c r="AA711" s="16"/>
      <c r="AB711" s="16"/>
      <c r="AC711" s="14"/>
      <c r="AD711" s="14"/>
      <c r="AE711" s="16"/>
      <c r="AG711" s="22">
        <f t="shared" si="138"/>
        <v>0</v>
      </c>
      <c r="AH711" s="6"/>
      <c r="AJ711" s="20">
        <f t="shared" si="133"/>
        <v>0</v>
      </c>
      <c r="AK711" s="50"/>
      <c r="AL711" s="6"/>
      <c r="AM711" s="20">
        <f t="shared" si="134"/>
        <v>0</v>
      </c>
      <c r="AN711" s="20">
        <f t="shared" si="135"/>
        <v>1077440</v>
      </c>
      <c r="AP711" s="20">
        <f t="shared" si="136"/>
        <v>1077440</v>
      </c>
      <c r="AQ711" s="7"/>
      <c r="AR711" s="20"/>
      <c r="AS711" s="51"/>
    </row>
    <row r="712" spans="1:45" s="21" customFormat="1" ht="26.25" customHeight="1" x14ac:dyDescent="0.2">
      <c r="A712" s="8">
        <v>620</v>
      </c>
      <c r="B712" s="46">
        <v>8</v>
      </c>
      <c r="C712" s="16" t="s">
        <v>52</v>
      </c>
      <c r="D712" s="48">
        <v>31724</v>
      </c>
      <c r="E712" s="47">
        <v>91</v>
      </c>
      <c r="F712" s="48">
        <v>5335</v>
      </c>
      <c r="G712" s="49">
        <v>4</v>
      </c>
      <c r="H712" s="48">
        <v>0</v>
      </c>
      <c r="I712" s="48">
        <v>0</v>
      </c>
      <c r="J712" s="48">
        <v>29</v>
      </c>
      <c r="K712" s="3"/>
      <c r="L712" s="16"/>
      <c r="M712" s="57"/>
      <c r="N712" s="58">
        <v>29</v>
      </c>
      <c r="P712" s="16">
        <v>4</v>
      </c>
      <c r="Q712" s="20">
        <f t="shared" si="137"/>
        <v>29</v>
      </c>
      <c r="R712" s="14">
        <v>250</v>
      </c>
      <c r="S712" s="19">
        <f t="shared" si="132"/>
        <v>7250</v>
      </c>
      <c r="T712" s="16"/>
      <c r="U712" s="17"/>
      <c r="V712" s="17"/>
      <c r="W712" s="4"/>
      <c r="X712" s="16"/>
      <c r="Y712" s="5"/>
      <c r="Z712" s="16"/>
      <c r="AA712" s="16"/>
      <c r="AB712" s="16"/>
      <c r="AE712" s="16"/>
      <c r="AG712" s="22">
        <f t="shared" si="138"/>
        <v>0</v>
      </c>
      <c r="AH712" s="6"/>
      <c r="AJ712" s="20">
        <f t="shared" si="133"/>
        <v>0</v>
      </c>
      <c r="AK712" s="50"/>
      <c r="AL712" s="6"/>
      <c r="AM712" s="20">
        <f t="shared" si="134"/>
        <v>0</v>
      </c>
      <c r="AN712" s="20">
        <f t="shared" si="135"/>
        <v>7250</v>
      </c>
      <c r="AP712" s="20">
        <f t="shared" si="136"/>
        <v>7250</v>
      </c>
      <c r="AQ712" s="7">
        <v>3.0000000000000001E-3</v>
      </c>
      <c r="AR712" s="20"/>
      <c r="AS712" s="51"/>
    </row>
    <row r="713" spans="1:45" s="21" customFormat="1" ht="26.25" customHeight="1" x14ac:dyDescent="0.2">
      <c r="A713" s="8">
        <v>621</v>
      </c>
      <c r="B713" s="46">
        <v>9</v>
      </c>
      <c r="C713" s="16" t="s">
        <v>52</v>
      </c>
      <c r="D713" s="48">
        <v>31725</v>
      </c>
      <c r="E713" s="47">
        <v>90</v>
      </c>
      <c r="F713" s="48">
        <v>5334</v>
      </c>
      <c r="G713" s="49">
        <v>4</v>
      </c>
      <c r="H713" s="48">
        <v>0</v>
      </c>
      <c r="I713" s="48">
        <v>1</v>
      </c>
      <c r="J713" s="48">
        <v>3</v>
      </c>
      <c r="K713" s="3"/>
      <c r="L713" s="16"/>
      <c r="M713" s="57"/>
      <c r="N713" s="58">
        <v>103</v>
      </c>
      <c r="P713" s="16">
        <v>4</v>
      </c>
      <c r="Q713" s="20">
        <f t="shared" si="137"/>
        <v>103</v>
      </c>
      <c r="R713" s="14">
        <v>250</v>
      </c>
      <c r="S713" s="20">
        <f t="shared" si="132"/>
        <v>25750</v>
      </c>
      <c r="T713" s="16"/>
      <c r="U713" s="17"/>
      <c r="V713" s="17"/>
      <c r="W713" s="4"/>
      <c r="X713" s="16"/>
      <c r="Y713" s="5"/>
      <c r="Z713" s="16"/>
      <c r="AA713" s="16"/>
      <c r="AB713" s="16"/>
      <c r="AE713" s="16"/>
      <c r="AG713" s="22">
        <f t="shared" si="138"/>
        <v>0</v>
      </c>
      <c r="AH713" s="6"/>
      <c r="AJ713" s="20">
        <f t="shared" si="133"/>
        <v>0</v>
      </c>
      <c r="AK713" s="50"/>
      <c r="AL713" s="6"/>
      <c r="AM713" s="20">
        <f t="shared" si="134"/>
        <v>0</v>
      </c>
      <c r="AN713" s="20">
        <f t="shared" si="135"/>
        <v>25750</v>
      </c>
      <c r="AP713" s="20">
        <f t="shared" si="136"/>
        <v>25750</v>
      </c>
      <c r="AQ713" s="7">
        <v>3.0000000000000001E-3</v>
      </c>
      <c r="AR713" s="20"/>
      <c r="AS713" s="51"/>
    </row>
    <row r="714" spans="1:45" s="21" customFormat="1" ht="26.25" customHeight="1" x14ac:dyDescent="0.2">
      <c r="A714" s="8">
        <v>622</v>
      </c>
      <c r="B714" s="46">
        <v>10</v>
      </c>
      <c r="C714" s="16" t="s">
        <v>52</v>
      </c>
      <c r="D714" s="48">
        <v>4849</v>
      </c>
      <c r="E714" s="47">
        <v>13</v>
      </c>
      <c r="F714" s="48">
        <v>2747</v>
      </c>
      <c r="G714" s="49">
        <v>7</v>
      </c>
      <c r="H714" s="48">
        <v>47</v>
      </c>
      <c r="I714" s="48">
        <v>2</v>
      </c>
      <c r="J714" s="48">
        <v>44</v>
      </c>
      <c r="K714" s="3">
        <v>19044</v>
      </c>
      <c r="L714" s="16"/>
      <c r="M714" s="57"/>
      <c r="N714" s="58"/>
      <c r="P714" s="16">
        <v>1</v>
      </c>
      <c r="Q714" s="20">
        <f t="shared" si="137"/>
        <v>19044</v>
      </c>
      <c r="R714" s="14">
        <v>160</v>
      </c>
      <c r="S714" s="19">
        <f t="shared" si="132"/>
        <v>3047040</v>
      </c>
      <c r="T714" s="16"/>
      <c r="U714" s="17"/>
      <c r="V714" s="17"/>
      <c r="W714" s="4"/>
      <c r="X714" s="16"/>
      <c r="Y714" s="5"/>
      <c r="Z714" s="16"/>
      <c r="AA714" s="16"/>
      <c r="AB714" s="16"/>
      <c r="AE714" s="16"/>
      <c r="AG714" s="22">
        <f t="shared" si="138"/>
        <v>0</v>
      </c>
      <c r="AH714" s="6"/>
      <c r="AJ714" s="20">
        <f t="shared" si="133"/>
        <v>0</v>
      </c>
      <c r="AK714" s="50"/>
      <c r="AL714" s="6"/>
      <c r="AM714" s="20">
        <f t="shared" si="134"/>
        <v>0</v>
      </c>
      <c r="AN714" s="20">
        <f t="shared" si="135"/>
        <v>3047040</v>
      </c>
      <c r="AP714" s="20">
        <f t="shared" si="136"/>
        <v>3047040</v>
      </c>
      <c r="AQ714" s="7"/>
      <c r="AR714" s="20"/>
      <c r="AS714" s="51"/>
    </row>
    <row r="715" spans="1:45" s="21" customFormat="1" ht="26.25" customHeight="1" x14ac:dyDescent="0.2">
      <c r="A715" s="8">
        <v>623</v>
      </c>
      <c r="B715" s="46">
        <v>11</v>
      </c>
      <c r="C715" s="16" t="s">
        <v>52</v>
      </c>
      <c r="D715" s="48">
        <v>4872</v>
      </c>
      <c r="E715" s="47">
        <v>21</v>
      </c>
      <c r="F715" s="48">
        <v>2576</v>
      </c>
      <c r="G715" s="49">
        <v>7</v>
      </c>
      <c r="H715" s="48">
        <v>1</v>
      </c>
      <c r="I715" s="48">
        <v>0</v>
      </c>
      <c r="J715" s="48">
        <v>63</v>
      </c>
      <c r="K715" s="3">
        <v>463</v>
      </c>
      <c r="L715" s="16"/>
      <c r="M715" s="57"/>
      <c r="N715" s="58"/>
      <c r="P715" s="16">
        <v>1</v>
      </c>
      <c r="Q715" s="20">
        <f t="shared" si="137"/>
        <v>463</v>
      </c>
      <c r="R715" s="14">
        <v>160</v>
      </c>
      <c r="S715" s="19">
        <f t="shared" si="132"/>
        <v>74080</v>
      </c>
      <c r="T715" s="16"/>
      <c r="U715" s="17"/>
      <c r="V715" s="17"/>
      <c r="W715" s="4"/>
      <c r="X715" s="16"/>
      <c r="Y715" s="5"/>
      <c r="Z715" s="16"/>
      <c r="AA715" s="16"/>
      <c r="AB715" s="16"/>
      <c r="AE715" s="16"/>
      <c r="AG715" s="22">
        <f t="shared" si="138"/>
        <v>0</v>
      </c>
      <c r="AH715" s="6"/>
      <c r="AJ715" s="20">
        <f t="shared" si="133"/>
        <v>0</v>
      </c>
      <c r="AK715" s="50"/>
      <c r="AL715" s="6"/>
      <c r="AM715" s="20">
        <f t="shared" si="134"/>
        <v>0</v>
      </c>
      <c r="AN715" s="20">
        <f t="shared" si="135"/>
        <v>74080</v>
      </c>
      <c r="AP715" s="20">
        <f t="shared" si="136"/>
        <v>74080</v>
      </c>
      <c r="AQ715" s="7"/>
      <c r="AR715" s="20"/>
      <c r="AS715" s="51"/>
    </row>
    <row r="716" spans="1:45" s="21" customFormat="1" ht="26.25" customHeight="1" x14ac:dyDescent="0.2">
      <c r="A716" s="8">
        <v>624</v>
      </c>
      <c r="B716" s="46">
        <v>12</v>
      </c>
      <c r="C716" s="16" t="s">
        <v>52</v>
      </c>
      <c r="D716" s="48">
        <v>4888</v>
      </c>
      <c r="E716" s="47">
        <v>29</v>
      </c>
      <c r="F716" s="48">
        <v>2738</v>
      </c>
      <c r="G716" s="49">
        <v>7</v>
      </c>
      <c r="H716" s="48">
        <v>25</v>
      </c>
      <c r="I716" s="48">
        <v>1</v>
      </c>
      <c r="J716" s="48">
        <v>9.0500000000000007</v>
      </c>
      <c r="K716" s="3">
        <v>10109.049999999999</v>
      </c>
      <c r="L716" s="16"/>
      <c r="M716" s="57"/>
      <c r="N716" s="58"/>
      <c r="P716" s="16">
        <v>1</v>
      </c>
      <c r="Q716" s="20">
        <f t="shared" si="137"/>
        <v>10109.049999999999</v>
      </c>
      <c r="R716" s="14">
        <v>160</v>
      </c>
      <c r="S716" s="20">
        <f t="shared" si="132"/>
        <v>1617448</v>
      </c>
      <c r="T716" s="16"/>
      <c r="U716" s="17"/>
      <c r="V716" s="16"/>
      <c r="W716" s="5"/>
      <c r="X716" s="16"/>
      <c r="Y716" s="5"/>
      <c r="Z716" s="16"/>
      <c r="AA716" s="16"/>
      <c r="AB716" s="16"/>
      <c r="AE716" s="16"/>
      <c r="AG716" s="22">
        <f t="shared" si="138"/>
        <v>0</v>
      </c>
      <c r="AH716" s="6"/>
      <c r="AJ716" s="20">
        <f t="shared" si="133"/>
        <v>0</v>
      </c>
      <c r="AK716" s="50"/>
      <c r="AL716" s="6"/>
      <c r="AM716" s="20">
        <f t="shared" si="134"/>
        <v>0</v>
      </c>
      <c r="AN716" s="20">
        <f t="shared" si="135"/>
        <v>1617448</v>
      </c>
      <c r="AP716" s="20">
        <f t="shared" si="136"/>
        <v>1617448</v>
      </c>
      <c r="AQ716" s="7"/>
      <c r="AR716" s="20"/>
      <c r="AS716" s="51"/>
    </row>
    <row r="717" spans="1:45" s="21" customFormat="1" ht="26.25" customHeight="1" x14ac:dyDescent="0.2">
      <c r="A717" s="8">
        <v>625</v>
      </c>
      <c r="B717" s="46">
        <v>13</v>
      </c>
      <c r="C717" s="16" t="s">
        <v>52</v>
      </c>
      <c r="D717" s="48">
        <v>4889</v>
      </c>
      <c r="E717" s="47">
        <v>21</v>
      </c>
      <c r="F717" s="48">
        <v>2739</v>
      </c>
      <c r="G717" s="49">
        <v>7</v>
      </c>
      <c r="H717" s="48">
        <v>36</v>
      </c>
      <c r="I717" s="48">
        <v>0</v>
      </c>
      <c r="J717" s="48">
        <v>48.06</v>
      </c>
      <c r="K717" s="3">
        <v>14448.06</v>
      </c>
      <c r="L717" s="16"/>
      <c r="M717" s="57"/>
      <c r="N717" s="58"/>
      <c r="P717" s="16">
        <v>1</v>
      </c>
      <c r="Q717" s="20">
        <f t="shared" si="137"/>
        <v>14448.06</v>
      </c>
      <c r="R717" s="14">
        <v>160</v>
      </c>
      <c r="S717" s="19">
        <f t="shared" si="132"/>
        <v>2311689.6</v>
      </c>
      <c r="T717" s="16"/>
      <c r="U717" s="17"/>
      <c r="V717" s="17"/>
      <c r="W717" s="4"/>
      <c r="X717" s="16"/>
      <c r="Y717" s="5"/>
      <c r="Z717" s="16"/>
      <c r="AA717" s="16"/>
      <c r="AB717" s="16"/>
      <c r="AE717" s="16"/>
      <c r="AG717" s="22">
        <f t="shared" si="138"/>
        <v>0</v>
      </c>
      <c r="AH717" s="6"/>
      <c r="AJ717" s="20">
        <f t="shared" si="133"/>
        <v>0</v>
      </c>
      <c r="AK717" s="50"/>
      <c r="AL717" s="6"/>
      <c r="AM717" s="20">
        <f t="shared" si="134"/>
        <v>0</v>
      </c>
      <c r="AN717" s="20">
        <f t="shared" si="135"/>
        <v>2311689.6</v>
      </c>
      <c r="AP717" s="20">
        <f t="shared" si="136"/>
        <v>2311689.6</v>
      </c>
      <c r="AQ717" s="7"/>
      <c r="AR717" s="20"/>
      <c r="AS717" s="51"/>
    </row>
    <row r="718" spans="1:45" s="21" customFormat="1" ht="26.25" customHeight="1" x14ac:dyDescent="0.2">
      <c r="A718" s="8">
        <v>626</v>
      </c>
      <c r="B718" s="46">
        <v>14</v>
      </c>
      <c r="C718" s="16" t="s">
        <v>52</v>
      </c>
      <c r="D718" s="48">
        <v>4890</v>
      </c>
      <c r="E718" s="47">
        <v>20</v>
      </c>
      <c r="F718" s="48">
        <v>2742</v>
      </c>
      <c r="G718" s="49">
        <v>7</v>
      </c>
      <c r="H718" s="48">
        <v>17</v>
      </c>
      <c r="I718" s="48">
        <v>0</v>
      </c>
      <c r="J718" s="48">
        <v>48.01</v>
      </c>
      <c r="K718" s="3">
        <v>6848.01</v>
      </c>
      <c r="L718" s="16"/>
      <c r="M718" s="57"/>
      <c r="N718" s="58"/>
      <c r="P718" s="16">
        <v>1</v>
      </c>
      <c r="Q718" s="20">
        <f t="shared" si="137"/>
        <v>6848.01</v>
      </c>
      <c r="R718" s="14">
        <v>160</v>
      </c>
      <c r="S718" s="19">
        <f t="shared" si="132"/>
        <v>1095681.6000000001</v>
      </c>
      <c r="T718" s="16"/>
      <c r="U718" s="17"/>
      <c r="V718" s="17"/>
      <c r="W718" s="4"/>
      <c r="X718" s="16"/>
      <c r="Y718" s="5"/>
      <c r="Z718" s="16"/>
      <c r="AA718" s="16"/>
      <c r="AB718" s="16"/>
      <c r="AE718" s="16"/>
      <c r="AG718" s="22">
        <f t="shared" si="138"/>
        <v>0</v>
      </c>
      <c r="AH718" s="6"/>
      <c r="AJ718" s="20">
        <f t="shared" si="133"/>
        <v>0</v>
      </c>
      <c r="AK718" s="50"/>
      <c r="AL718" s="6"/>
      <c r="AM718" s="20">
        <f t="shared" si="134"/>
        <v>0</v>
      </c>
      <c r="AN718" s="20">
        <f t="shared" si="135"/>
        <v>1095681.6000000001</v>
      </c>
      <c r="AP718" s="20">
        <f t="shared" si="136"/>
        <v>1095681.6000000001</v>
      </c>
      <c r="AQ718" s="7"/>
      <c r="AR718" s="20"/>
      <c r="AS718" s="51"/>
    </row>
    <row r="719" spans="1:45" s="21" customFormat="1" ht="26.25" customHeight="1" x14ac:dyDescent="0.2">
      <c r="A719" s="8">
        <v>627</v>
      </c>
      <c r="B719" s="46">
        <v>15</v>
      </c>
      <c r="C719" s="16" t="s">
        <v>52</v>
      </c>
      <c r="D719" s="48">
        <v>4891</v>
      </c>
      <c r="E719" s="47">
        <v>19</v>
      </c>
      <c r="F719" s="48">
        <v>2743</v>
      </c>
      <c r="G719" s="49">
        <v>7</v>
      </c>
      <c r="H719" s="48">
        <v>23</v>
      </c>
      <c r="I719" s="48">
        <v>1</v>
      </c>
      <c r="J719" s="48">
        <v>4.07</v>
      </c>
      <c r="K719" s="3">
        <v>9304.07</v>
      </c>
      <c r="L719" s="16"/>
      <c r="M719" s="57"/>
      <c r="N719" s="58"/>
      <c r="P719" s="16">
        <v>1</v>
      </c>
      <c r="Q719" s="20">
        <f t="shared" si="137"/>
        <v>9304.07</v>
      </c>
      <c r="R719" s="14">
        <v>160</v>
      </c>
      <c r="S719" s="20">
        <f t="shared" si="132"/>
        <v>1488651.2</v>
      </c>
      <c r="T719" s="16"/>
      <c r="U719" s="17"/>
      <c r="V719" s="17"/>
      <c r="W719" s="4"/>
      <c r="X719" s="16"/>
      <c r="Y719" s="5"/>
      <c r="Z719" s="16"/>
      <c r="AA719" s="16"/>
      <c r="AB719" s="16"/>
      <c r="AE719" s="16"/>
      <c r="AG719" s="22">
        <f t="shared" si="138"/>
        <v>0</v>
      </c>
      <c r="AH719" s="6"/>
      <c r="AJ719" s="20">
        <f t="shared" si="133"/>
        <v>0</v>
      </c>
      <c r="AK719" s="50"/>
      <c r="AL719" s="6"/>
      <c r="AM719" s="20">
        <f t="shared" si="134"/>
        <v>0</v>
      </c>
      <c r="AN719" s="20">
        <f t="shared" ref="AN719:AN750" si="139">+S719+AM719</f>
        <v>1488651.2</v>
      </c>
      <c r="AP719" s="20">
        <f t="shared" si="136"/>
        <v>1488651.2</v>
      </c>
      <c r="AQ719" s="7"/>
      <c r="AR719" s="20"/>
      <c r="AS719" s="51"/>
    </row>
    <row r="720" spans="1:45" s="21" customFormat="1" ht="26.25" customHeight="1" x14ac:dyDescent="0.2">
      <c r="A720" s="8">
        <v>628</v>
      </c>
      <c r="B720" s="46">
        <v>16</v>
      </c>
      <c r="C720" s="16" t="s">
        <v>52</v>
      </c>
      <c r="D720" s="48">
        <v>5010</v>
      </c>
      <c r="E720" s="47">
        <v>7</v>
      </c>
      <c r="F720" s="48">
        <v>2740</v>
      </c>
      <c r="G720" s="49">
        <v>7</v>
      </c>
      <c r="H720" s="48">
        <v>38</v>
      </c>
      <c r="I720" s="48">
        <v>1</v>
      </c>
      <c r="J720" s="48">
        <v>59.09</v>
      </c>
      <c r="K720" s="3">
        <v>15359.09</v>
      </c>
      <c r="L720" s="16"/>
      <c r="M720" s="57"/>
      <c r="N720" s="58"/>
      <c r="P720" s="16">
        <v>1</v>
      </c>
      <c r="Q720" s="20">
        <f t="shared" si="137"/>
        <v>15359.09</v>
      </c>
      <c r="R720" s="14">
        <v>1100</v>
      </c>
      <c r="S720" s="19">
        <f t="shared" si="132"/>
        <v>16894999</v>
      </c>
      <c r="T720" s="16"/>
      <c r="U720" s="17"/>
      <c r="V720" s="17"/>
      <c r="W720" s="4"/>
      <c r="X720" s="16"/>
      <c r="Y720" s="5"/>
      <c r="Z720" s="16"/>
      <c r="AA720" s="16"/>
      <c r="AB720" s="16"/>
      <c r="AE720" s="16"/>
      <c r="AG720" s="22">
        <f t="shared" si="138"/>
        <v>0</v>
      </c>
      <c r="AH720" s="6"/>
      <c r="AJ720" s="20">
        <f t="shared" si="133"/>
        <v>0</v>
      </c>
      <c r="AK720" s="50"/>
      <c r="AL720" s="6"/>
      <c r="AM720" s="20">
        <f t="shared" si="134"/>
        <v>0</v>
      </c>
      <c r="AN720" s="20">
        <f t="shared" si="139"/>
        <v>16894999</v>
      </c>
      <c r="AP720" s="20">
        <f t="shared" si="136"/>
        <v>16894999</v>
      </c>
      <c r="AQ720" s="7"/>
      <c r="AR720" s="20"/>
      <c r="AS720" s="51"/>
    </row>
    <row r="721" spans="1:45" s="21" customFormat="1" ht="26.25" customHeight="1" x14ac:dyDescent="0.2">
      <c r="A721" s="8">
        <v>629</v>
      </c>
      <c r="B721" s="46">
        <v>17</v>
      </c>
      <c r="C721" s="16" t="s">
        <v>52</v>
      </c>
      <c r="D721" s="48">
        <v>5011</v>
      </c>
      <c r="E721" s="47">
        <v>8</v>
      </c>
      <c r="F721" s="48">
        <v>2741</v>
      </c>
      <c r="G721" s="49">
        <v>7</v>
      </c>
      <c r="H721" s="48">
        <v>20</v>
      </c>
      <c r="I721" s="48">
        <v>0</v>
      </c>
      <c r="J721" s="48">
        <v>30.01</v>
      </c>
      <c r="K721" s="3">
        <v>8030.01</v>
      </c>
      <c r="L721" s="16"/>
      <c r="M721" s="57"/>
      <c r="N721" s="58"/>
      <c r="P721" s="16">
        <v>1</v>
      </c>
      <c r="Q721" s="20">
        <f t="shared" si="137"/>
        <v>8030.01</v>
      </c>
      <c r="R721" s="14">
        <v>1100</v>
      </c>
      <c r="S721" s="19">
        <f t="shared" si="132"/>
        <v>8833011</v>
      </c>
      <c r="T721" s="16"/>
      <c r="U721" s="17"/>
      <c r="V721" s="17"/>
      <c r="W721" s="4"/>
      <c r="X721" s="16"/>
      <c r="Y721" s="5"/>
      <c r="Z721" s="16"/>
      <c r="AA721" s="16"/>
      <c r="AB721" s="16"/>
      <c r="AE721" s="16"/>
      <c r="AG721" s="22">
        <f t="shared" si="138"/>
        <v>0</v>
      </c>
      <c r="AH721" s="6"/>
      <c r="AJ721" s="20">
        <f t="shared" si="133"/>
        <v>0</v>
      </c>
      <c r="AK721" s="50"/>
      <c r="AL721" s="6"/>
      <c r="AM721" s="20">
        <f t="shared" si="134"/>
        <v>0</v>
      </c>
      <c r="AN721" s="20">
        <f t="shared" si="139"/>
        <v>8833011</v>
      </c>
      <c r="AP721" s="20">
        <f t="shared" si="136"/>
        <v>8833011</v>
      </c>
      <c r="AQ721" s="7"/>
      <c r="AR721" s="20"/>
      <c r="AS721" s="51"/>
    </row>
    <row r="722" spans="1:45" s="21" customFormat="1" ht="26.25" customHeight="1" x14ac:dyDescent="0.2">
      <c r="A722" s="8">
        <v>630</v>
      </c>
      <c r="B722" s="46">
        <v>18</v>
      </c>
      <c r="C722" s="16" t="s">
        <v>52</v>
      </c>
      <c r="D722" s="48">
        <v>5073</v>
      </c>
      <c r="E722" s="47">
        <v>44</v>
      </c>
      <c r="F722" s="48">
        <v>2602</v>
      </c>
      <c r="G722" s="49">
        <v>7</v>
      </c>
      <c r="H722" s="48">
        <v>3</v>
      </c>
      <c r="I722" s="48">
        <v>3</v>
      </c>
      <c r="J722" s="48">
        <v>30</v>
      </c>
      <c r="K722" s="3">
        <v>1530</v>
      </c>
      <c r="L722" s="16"/>
      <c r="M722" s="57"/>
      <c r="N722" s="58"/>
      <c r="P722" s="16">
        <v>1</v>
      </c>
      <c r="Q722" s="20">
        <f t="shared" si="137"/>
        <v>1530</v>
      </c>
      <c r="R722" s="14">
        <v>160</v>
      </c>
      <c r="S722" s="20">
        <f t="shared" si="132"/>
        <v>244800</v>
      </c>
      <c r="T722" s="16"/>
      <c r="U722" s="16"/>
      <c r="V722" s="16"/>
      <c r="W722" s="5"/>
      <c r="X722" s="16"/>
      <c r="Y722" s="5"/>
      <c r="Z722" s="16"/>
      <c r="AA722" s="16"/>
      <c r="AB722" s="16"/>
      <c r="AC722" s="14"/>
      <c r="AD722" s="14"/>
      <c r="AE722" s="16"/>
      <c r="AG722" s="22">
        <f t="shared" si="138"/>
        <v>0</v>
      </c>
      <c r="AH722" s="6"/>
      <c r="AJ722" s="20">
        <f t="shared" si="133"/>
        <v>0</v>
      </c>
      <c r="AK722" s="50"/>
      <c r="AL722" s="6"/>
      <c r="AM722" s="20">
        <f t="shared" si="134"/>
        <v>0</v>
      </c>
      <c r="AN722" s="20">
        <f t="shared" si="139"/>
        <v>244800</v>
      </c>
      <c r="AP722" s="20">
        <f t="shared" si="136"/>
        <v>244800</v>
      </c>
      <c r="AQ722" s="7"/>
      <c r="AR722" s="20"/>
      <c r="AS722" s="51"/>
    </row>
    <row r="723" spans="1:45" s="21" customFormat="1" ht="26.25" customHeight="1" x14ac:dyDescent="0.2">
      <c r="A723" s="8">
        <v>631</v>
      </c>
      <c r="B723" s="46">
        <v>19</v>
      </c>
      <c r="C723" s="16" t="s">
        <v>52</v>
      </c>
      <c r="D723" s="48">
        <v>34142</v>
      </c>
      <c r="E723" s="47">
        <v>98</v>
      </c>
      <c r="F723" s="48">
        <v>6467</v>
      </c>
      <c r="G723" s="49">
        <v>7</v>
      </c>
      <c r="H723" s="48">
        <v>27</v>
      </c>
      <c r="I723" s="48">
        <v>0</v>
      </c>
      <c r="J723" s="48">
        <v>72</v>
      </c>
      <c r="K723" s="3">
        <v>10872</v>
      </c>
      <c r="L723" s="16"/>
      <c r="M723" s="57"/>
      <c r="N723" s="58"/>
      <c r="P723" s="16">
        <v>1</v>
      </c>
      <c r="Q723" s="20">
        <f t="shared" si="137"/>
        <v>10872</v>
      </c>
      <c r="R723" s="14">
        <v>250</v>
      </c>
      <c r="S723" s="19">
        <f t="shared" si="132"/>
        <v>2718000</v>
      </c>
      <c r="T723" s="16"/>
      <c r="U723" s="17"/>
      <c r="V723" s="16"/>
      <c r="W723" s="5"/>
      <c r="X723" s="16"/>
      <c r="Y723" s="5"/>
      <c r="Z723" s="16"/>
      <c r="AA723" s="16"/>
      <c r="AB723" s="16"/>
      <c r="AE723" s="16"/>
      <c r="AG723" s="22">
        <f t="shared" si="138"/>
        <v>0</v>
      </c>
      <c r="AH723" s="6"/>
      <c r="AJ723" s="20">
        <f t="shared" si="133"/>
        <v>0</v>
      </c>
      <c r="AK723" s="50"/>
      <c r="AL723" s="6"/>
      <c r="AM723" s="20">
        <f t="shared" si="134"/>
        <v>0</v>
      </c>
      <c r="AN723" s="20">
        <f t="shared" si="139"/>
        <v>2718000</v>
      </c>
      <c r="AP723" s="20">
        <f t="shared" si="136"/>
        <v>2718000</v>
      </c>
      <c r="AQ723" s="7"/>
      <c r="AR723" s="20"/>
      <c r="AS723" s="51"/>
    </row>
    <row r="724" spans="1:45" s="21" customFormat="1" ht="26.25" customHeight="1" x14ac:dyDescent="0.2">
      <c r="A724" s="8">
        <v>632</v>
      </c>
      <c r="B724" s="46">
        <v>20</v>
      </c>
      <c r="C724" s="16" t="s">
        <v>52</v>
      </c>
      <c r="D724" s="48">
        <v>36999</v>
      </c>
      <c r="E724" s="47">
        <v>108</v>
      </c>
      <c r="F724" s="48">
        <v>7127</v>
      </c>
      <c r="G724" s="49">
        <v>7</v>
      </c>
      <c r="H724" s="48">
        <v>6</v>
      </c>
      <c r="I724" s="48">
        <v>0</v>
      </c>
      <c r="J724" s="48">
        <v>79</v>
      </c>
      <c r="K724" s="3">
        <v>2479</v>
      </c>
      <c r="L724" s="16"/>
      <c r="M724" s="57"/>
      <c r="N724" s="58"/>
      <c r="P724" s="16">
        <v>1</v>
      </c>
      <c r="Q724" s="20">
        <f t="shared" si="137"/>
        <v>2479</v>
      </c>
      <c r="R724" s="14">
        <v>750</v>
      </c>
      <c r="S724" s="19">
        <f t="shared" si="132"/>
        <v>1859250</v>
      </c>
      <c r="T724" s="16"/>
      <c r="U724" s="17"/>
      <c r="V724" s="17"/>
      <c r="W724" s="4"/>
      <c r="X724" s="16"/>
      <c r="Y724" s="5"/>
      <c r="Z724" s="16"/>
      <c r="AA724" s="16"/>
      <c r="AB724" s="16"/>
      <c r="AC724" s="14"/>
      <c r="AD724" s="14"/>
      <c r="AE724" s="16"/>
      <c r="AG724" s="22">
        <f t="shared" si="138"/>
        <v>0</v>
      </c>
      <c r="AH724" s="6"/>
      <c r="AJ724" s="20">
        <f t="shared" si="133"/>
        <v>0</v>
      </c>
      <c r="AK724" s="50"/>
      <c r="AL724" s="6"/>
      <c r="AM724" s="20">
        <f t="shared" si="134"/>
        <v>0</v>
      </c>
      <c r="AN724" s="20">
        <f t="shared" si="139"/>
        <v>1859250</v>
      </c>
      <c r="AP724" s="20">
        <f t="shared" si="136"/>
        <v>1859250</v>
      </c>
      <c r="AQ724" s="7"/>
      <c r="AR724" s="20"/>
      <c r="AS724" s="51"/>
    </row>
    <row r="725" spans="1:45" s="21" customFormat="1" ht="26.25" customHeight="1" x14ac:dyDescent="0.2">
      <c r="A725" s="8">
        <v>633</v>
      </c>
      <c r="B725" s="46">
        <v>21</v>
      </c>
      <c r="C725" s="16" t="s">
        <v>52</v>
      </c>
      <c r="D725" s="48">
        <v>29700</v>
      </c>
      <c r="E725" s="47">
        <v>1</v>
      </c>
      <c r="F725" s="48">
        <v>5279</v>
      </c>
      <c r="G725" s="49"/>
      <c r="H725" s="48">
        <v>21</v>
      </c>
      <c r="I725" s="48">
        <v>2</v>
      </c>
      <c r="J725" s="48">
        <v>10</v>
      </c>
      <c r="K725" s="3">
        <v>8610</v>
      </c>
      <c r="L725" s="16"/>
      <c r="M725" s="57"/>
      <c r="N725" s="58"/>
      <c r="P725" s="16">
        <v>1</v>
      </c>
      <c r="Q725" s="20">
        <f t="shared" si="137"/>
        <v>8610</v>
      </c>
      <c r="R725" s="14">
        <v>160</v>
      </c>
      <c r="S725" s="20">
        <f t="shared" si="132"/>
        <v>1377600</v>
      </c>
      <c r="T725" s="16"/>
      <c r="U725" s="17"/>
      <c r="V725" s="17"/>
      <c r="W725" s="4"/>
      <c r="X725" s="16"/>
      <c r="Y725" s="5"/>
      <c r="Z725" s="16"/>
      <c r="AA725" s="16"/>
      <c r="AB725" s="16"/>
      <c r="AC725" s="14"/>
      <c r="AD725" s="14"/>
      <c r="AE725" s="16" t="s">
        <v>118</v>
      </c>
      <c r="AG725" s="22">
        <f t="shared" si="138"/>
        <v>0</v>
      </c>
      <c r="AH725" s="6"/>
      <c r="AJ725" s="20">
        <f t="shared" si="133"/>
        <v>0</v>
      </c>
      <c r="AK725" s="50"/>
      <c r="AL725" s="6"/>
      <c r="AM725" s="20">
        <f t="shared" si="134"/>
        <v>0</v>
      </c>
      <c r="AN725" s="20">
        <f t="shared" si="139"/>
        <v>1377600</v>
      </c>
      <c r="AP725" s="20">
        <f t="shared" si="136"/>
        <v>1377600</v>
      </c>
      <c r="AQ725" s="7"/>
      <c r="AR725" s="20"/>
      <c r="AS725" s="51"/>
    </row>
    <row r="726" spans="1:45" ht="30" customHeight="1" x14ac:dyDescent="0.2">
      <c r="A726" s="8"/>
      <c r="B726" s="46"/>
      <c r="C726" s="16"/>
      <c r="Q726" s="20"/>
      <c r="AG726" s="22"/>
      <c r="AJ726" s="20"/>
      <c r="AM726" s="20"/>
      <c r="AN726" s="20"/>
      <c r="AP726" s="20"/>
      <c r="AR726" s="20"/>
    </row>
    <row r="727" spans="1:45" ht="30" customHeight="1" x14ac:dyDescent="0.2">
      <c r="A727" s="8"/>
      <c r="B727" s="46"/>
      <c r="C727" s="16"/>
      <c r="Q727" s="20"/>
      <c r="AG727" s="22"/>
      <c r="AJ727" s="20"/>
      <c r="AM727" s="20"/>
      <c r="AN727" s="20"/>
      <c r="AP727" s="20"/>
      <c r="AR727" s="20"/>
    </row>
    <row r="728" spans="1:45" ht="30" customHeight="1" x14ac:dyDescent="0.2">
      <c r="A728" s="8"/>
      <c r="B728" s="46"/>
      <c r="C728" s="16"/>
      <c r="Q728" s="20"/>
      <c r="S728" s="20"/>
      <c r="AG728" s="22"/>
      <c r="AJ728" s="20"/>
      <c r="AM728" s="20"/>
      <c r="AN728" s="20"/>
      <c r="AP728" s="20"/>
      <c r="AR728" s="20"/>
    </row>
    <row r="729" spans="1:45" ht="30" customHeight="1" x14ac:dyDescent="0.2">
      <c r="A729" s="8"/>
      <c r="B729" s="46"/>
      <c r="C729" s="16"/>
      <c r="Q729" s="20"/>
      <c r="AG729" s="22"/>
      <c r="AJ729" s="20"/>
      <c r="AM729" s="20"/>
      <c r="AN729" s="20"/>
      <c r="AP729" s="20"/>
      <c r="AR729" s="20"/>
    </row>
    <row r="730" spans="1:45" ht="30" customHeight="1" x14ac:dyDescent="0.2">
      <c r="A730" s="8">
        <v>634</v>
      </c>
      <c r="B730" s="46">
        <v>26</v>
      </c>
      <c r="C730" s="16" t="s">
        <v>65</v>
      </c>
      <c r="D730" s="17">
        <v>1962</v>
      </c>
      <c r="E730" s="17">
        <v>55</v>
      </c>
      <c r="H730" s="17">
        <v>6</v>
      </c>
      <c r="I730" s="17">
        <v>2</v>
      </c>
      <c r="J730" s="17">
        <v>86</v>
      </c>
      <c r="K730" s="10">
        <v>2686</v>
      </c>
      <c r="P730" s="17">
        <v>1</v>
      </c>
      <c r="Q730" s="20">
        <f t="shared" si="137"/>
        <v>2686</v>
      </c>
      <c r="R730" s="14">
        <v>160</v>
      </c>
      <c r="S730" s="19">
        <f t="shared" si="132"/>
        <v>429760</v>
      </c>
      <c r="AC730" s="21"/>
      <c r="AD730" s="21"/>
      <c r="AG730" s="22">
        <f t="shared" si="138"/>
        <v>0</v>
      </c>
      <c r="AJ730" s="20">
        <f t="shared" si="133"/>
        <v>0</v>
      </c>
      <c r="AM730" s="20">
        <f t="shared" si="134"/>
        <v>0</v>
      </c>
      <c r="AN730" s="20">
        <f t="shared" si="139"/>
        <v>429760</v>
      </c>
      <c r="AP730" s="20">
        <f t="shared" si="136"/>
        <v>429760</v>
      </c>
      <c r="AQ730" s="12">
        <v>1E-4</v>
      </c>
      <c r="AR730" s="20"/>
    </row>
    <row r="731" spans="1:45" ht="30" customHeight="1" x14ac:dyDescent="0.2">
      <c r="A731" s="8">
        <v>635</v>
      </c>
      <c r="B731" s="46">
        <v>27</v>
      </c>
      <c r="C731" s="16" t="s">
        <v>65</v>
      </c>
      <c r="D731" s="17">
        <v>2274</v>
      </c>
      <c r="E731" s="17">
        <v>52</v>
      </c>
      <c r="H731" s="17">
        <v>7</v>
      </c>
      <c r="I731" s="17">
        <v>1</v>
      </c>
      <c r="J731" s="17">
        <v>5</v>
      </c>
      <c r="K731" s="10">
        <v>2905</v>
      </c>
      <c r="Q731" s="20">
        <f t="shared" si="137"/>
        <v>2905</v>
      </c>
      <c r="R731" s="14">
        <v>200</v>
      </c>
      <c r="S731" s="20">
        <f t="shared" si="132"/>
        <v>581000</v>
      </c>
      <c r="AC731" s="21"/>
      <c r="AD731" s="21"/>
      <c r="AE731" s="17" t="s">
        <v>94</v>
      </c>
      <c r="AG731" s="22">
        <f t="shared" si="138"/>
        <v>0</v>
      </c>
      <c r="AJ731" s="20">
        <f t="shared" si="133"/>
        <v>0</v>
      </c>
      <c r="AM731" s="20">
        <f t="shared" si="134"/>
        <v>0</v>
      </c>
      <c r="AN731" s="20">
        <f t="shared" si="139"/>
        <v>581000</v>
      </c>
      <c r="AP731" s="20">
        <f t="shared" si="136"/>
        <v>581000</v>
      </c>
      <c r="AQ731" s="12">
        <v>1E-4</v>
      </c>
      <c r="AR731" s="20"/>
    </row>
    <row r="732" spans="1:45" ht="30" customHeight="1" x14ac:dyDescent="0.2">
      <c r="A732" s="8">
        <v>636</v>
      </c>
      <c r="B732" s="46">
        <v>28</v>
      </c>
      <c r="C732" s="16" t="s">
        <v>65</v>
      </c>
      <c r="D732" s="17">
        <v>2275</v>
      </c>
      <c r="E732" s="17">
        <v>53</v>
      </c>
      <c r="H732" s="17">
        <v>7</v>
      </c>
      <c r="I732" s="17">
        <v>0</v>
      </c>
      <c r="J732" s="17">
        <v>40</v>
      </c>
      <c r="K732" s="10">
        <v>2840</v>
      </c>
      <c r="Q732" s="20">
        <f t="shared" si="137"/>
        <v>2840</v>
      </c>
      <c r="R732" s="14">
        <v>250</v>
      </c>
      <c r="S732" s="19">
        <f t="shared" si="132"/>
        <v>710000</v>
      </c>
      <c r="AC732" s="21"/>
      <c r="AD732" s="21"/>
      <c r="AE732" s="17" t="s">
        <v>94</v>
      </c>
      <c r="AG732" s="22">
        <f t="shared" si="138"/>
        <v>0</v>
      </c>
      <c r="AJ732" s="20">
        <f t="shared" si="133"/>
        <v>0</v>
      </c>
      <c r="AM732" s="20">
        <f t="shared" si="134"/>
        <v>0</v>
      </c>
      <c r="AN732" s="20">
        <f t="shared" si="139"/>
        <v>710000</v>
      </c>
      <c r="AP732" s="20">
        <f t="shared" si="136"/>
        <v>710000</v>
      </c>
      <c r="AQ732" s="12">
        <v>1E-4</v>
      </c>
      <c r="AR732" s="20"/>
    </row>
    <row r="733" spans="1:45" ht="30" customHeight="1" x14ac:dyDescent="0.2">
      <c r="A733" s="8">
        <v>637</v>
      </c>
      <c r="B733" s="46">
        <v>29</v>
      </c>
      <c r="C733" s="16" t="s">
        <v>65</v>
      </c>
      <c r="D733" s="17">
        <v>2455</v>
      </c>
      <c r="E733" s="17">
        <v>1</v>
      </c>
      <c r="H733" s="17">
        <v>3</v>
      </c>
      <c r="I733" s="17">
        <v>0</v>
      </c>
      <c r="J733" s="17">
        <v>0</v>
      </c>
      <c r="K733" s="10">
        <v>1200</v>
      </c>
      <c r="P733" s="17">
        <v>1</v>
      </c>
      <c r="Q733" s="20">
        <f t="shared" si="137"/>
        <v>1200</v>
      </c>
      <c r="R733" s="14">
        <v>160</v>
      </c>
      <c r="S733" s="19">
        <f t="shared" si="132"/>
        <v>192000</v>
      </c>
      <c r="AC733" s="21"/>
      <c r="AD733" s="21"/>
      <c r="AE733" s="17" t="s">
        <v>95</v>
      </c>
      <c r="AG733" s="22">
        <f t="shared" si="138"/>
        <v>0</v>
      </c>
      <c r="AJ733" s="20">
        <f t="shared" si="133"/>
        <v>0</v>
      </c>
      <c r="AM733" s="20">
        <f t="shared" si="134"/>
        <v>0</v>
      </c>
      <c r="AN733" s="20">
        <f t="shared" si="139"/>
        <v>192000</v>
      </c>
      <c r="AP733" s="20">
        <f t="shared" si="136"/>
        <v>192000</v>
      </c>
      <c r="AQ733" s="12">
        <v>1E-4</v>
      </c>
      <c r="AR733" s="20"/>
    </row>
    <row r="734" spans="1:45" ht="30" customHeight="1" x14ac:dyDescent="0.2">
      <c r="A734" s="8"/>
      <c r="B734" s="46"/>
      <c r="C734" s="16"/>
      <c r="Q734" s="20"/>
      <c r="S734" s="20"/>
      <c r="AC734" s="21"/>
      <c r="AD734" s="21"/>
      <c r="AG734" s="22"/>
      <c r="AJ734" s="20"/>
      <c r="AM734" s="20"/>
      <c r="AN734" s="20"/>
      <c r="AP734" s="20"/>
      <c r="AR734" s="20"/>
    </row>
    <row r="735" spans="1:45" s="21" customFormat="1" ht="30" customHeight="1" x14ac:dyDescent="0.2">
      <c r="A735" s="8">
        <v>638</v>
      </c>
      <c r="B735" s="46">
        <v>1</v>
      </c>
      <c r="C735" s="16" t="s">
        <v>52</v>
      </c>
      <c r="D735" s="48">
        <v>4845</v>
      </c>
      <c r="E735" s="47">
        <v>11</v>
      </c>
      <c r="F735" s="48">
        <v>2735</v>
      </c>
      <c r="G735" s="49">
        <v>7</v>
      </c>
      <c r="H735" s="48">
        <v>8</v>
      </c>
      <c r="I735" s="48">
        <v>0</v>
      </c>
      <c r="J735" s="48">
        <v>95</v>
      </c>
      <c r="K735" s="3">
        <v>3295</v>
      </c>
      <c r="L735" s="16"/>
      <c r="M735" s="57"/>
      <c r="N735" s="58"/>
      <c r="P735" s="16">
        <v>1</v>
      </c>
      <c r="Q735" s="20">
        <f t="shared" si="137"/>
        <v>3295</v>
      </c>
      <c r="R735" s="14">
        <v>160</v>
      </c>
      <c r="S735" s="19">
        <f t="shared" si="132"/>
        <v>527200</v>
      </c>
      <c r="T735" s="16"/>
      <c r="U735" s="17"/>
      <c r="V735" s="17"/>
      <c r="W735" s="4"/>
      <c r="X735" s="16"/>
      <c r="Y735" s="5"/>
      <c r="Z735" s="16"/>
      <c r="AA735" s="16"/>
      <c r="AB735" s="16"/>
      <c r="AC735" s="14"/>
      <c r="AD735" s="14"/>
      <c r="AE735" s="16"/>
      <c r="AG735" s="22">
        <f t="shared" si="138"/>
        <v>0</v>
      </c>
      <c r="AH735" s="6"/>
      <c r="AJ735" s="20">
        <f t="shared" si="133"/>
        <v>0</v>
      </c>
      <c r="AK735" s="50"/>
      <c r="AL735" s="6"/>
      <c r="AM735" s="20">
        <f t="shared" si="134"/>
        <v>0</v>
      </c>
      <c r="AN735" s="20">
        <f t="shared" si="139"/>
        <v>527200</v>
      </c>
      <c r="AP735" s="20">
        <f t="shared" si="136"/>
        <v>527200</v>
      </c>
      <c r="AQ735" s="7"/>
      <c r="AR735" s="20"/>
      <c r="AS735" s="51"/>
    </row>
    <row r="736" spans="1:45" s="21" customFormat="1" ht="30" customHeight="1" x14ac:dyDescent="0.2">
      <c r="A736" s="8">
        <v>639</v>
      </c>
      <c r="B736" s="46">
        <v>2</v>
      </c>
      <c r="C736" s="16" t="s">
        <v>52</v>
      </c>
      <c r="D736" s="48">
        <v>4848</v>
      </c>
      <c r="E736" s="47">
        <v>10</v>
      </c>
      <c r="F736" s="48">
        <v>2746</v>
      </c>
      <c r="G736" s="49">
        <v>7</v>
      </c>
      <c r="H736" s="48">
        <v>32</v>
      </c>
      <c r="I736" s="48">
        <v>2</v>
      </c>
      <c r="J736" s="48">
        <v>37</v>
      </c>
      <c r="K736" s="3">
        <v>13037</v>
      </c>
      <c r="L736" s="16"/>
      <c r="M736" s="57"/>
      <c r="N736" s="58"/>
      <c r="P736" s="16">
        <v>1</v>
      </c>
      <c r="Q736" s="20">
        <f t="shared" si="137"/>
        <v>13037</v>
      </c>
      <c r="R736" s="14">
        <v>160</v>
      </c>
      <c r="S736" s="19">
        <f t="shared" si="132"/>
        <v>2085920</v>
      </c>
      <c r="T736" s="16"/>
      <c r="U736" s="17"/>
      <c r="V736" s="17"/>
      <c r="W736" s="4"/>
      <c r="X736" s="16"/>
      <c r="Y736" s="5"/>
      <c r="Z736" s="16"/>
      <c r="AA736" s="16"/>
      <c r="AB736" s="16"/>
      <c r="AC736" s="14"/>
      <c r="AD736" s="14"/>
      <c r="AE736" s="16"/>
      <c r="AG736" s="22">
        <f t="shared" si="138"/>
        <v>0</v>
      </c>
      <c r="AH736" s="6"/>
      <c r="AJ736" s="20">
        <f t="shared" si="133"/>
        <v>0</v>
      </c>
      <c r="AK736" s="50"/>
      <c r="AL736" s="6"/>
      <c r="AM736" s="20">
        <f t="shared" si="134"/>
        <v>0</v>
      </c>
      <c r="AN736" s="20">
        <f t="shared" si="139"/>
        <v>2085920</v>
      </c>
      <c r="AP736" s="20">
        <f t="shared" si="136"/>
        <v>2085920</v>
      </c>
      <c r="AQ736" s="7"/>
      <c r="AR736" s="20"/>
      <c r="AS736" s="51"/>
    </row>
    <row r="737" spans="1:49" s="21" customFormat="1" ht="30" customHeight="1" x14ac:dyDescent="0.2">
      <c r="A737" s="8">
        <v>640</v>
      </c>
      <c r="B737" s="46">
        <v>1</v>
      </c>
      <c r="C737" s="16" t="s">
        <v>52</v>
      </c>
      <c r="D737" s="48">
        <v>4842</v>
      </c>
      <c r="E737" s="47">
        <v>16</v>
      </c>
      <c r="F737" s="48">
        <v>2732</v>
      </c>
      <c r="G737" s="49">
        <v>7</v>
      </c>
      <c r="H737" s="48">
        <v>17</v>
      </c>
      <c r="I737" s="48">
        <v>1</v>
      </c>
      <c r="J737" s="48">
        <v>64</v>
      </c>
      <c r="K737" s="3">
        <v>6964</v>
      </c>
      <c r="L737" s="16"/>
      <c r="M737" s="57"/>
      <c r="N737" s="58"/>
      <c r="P737" s="16">
        <v>1</v>
      </c>
      <c r="Q737" s="20">
        <f t="shared" si="137"/>
        <v>6964</v>
      </c>
      <c r="R737" s="14">
        <v>160</v>
      </c>
      <c r="S737" s="20">
        <f t="shared" si="132"/>
        <v>1114240</v>
      </c>
      <c r="T737" s="16"/>
      <c r="U737" s="17"/>
      <c r="V737" s="17"/>
      <c r="W737" s="4"/>
      <c r="X737" s="16"/>
      <c r="Y737" s="5"/>
      <c r="Z737" s="16"/>
      <c r="AA737" s="16"/>
      <c r="AB737" s="16"/>
      <c r="AC737" s="14"/>
      <c r="AD737" s="14"/>
      <c r="AE737" s="16"/>
      <c r="AG737" s="22">
        <f t="shared" si="138"/>
        <v>0</v>
      </c>
      <c r="AH737" s="6"/>
      <c r="AJ737" s="20">
        <f t="shared" si="133"/>
        <v>0</v>
      </c>
      <c r="AK737" s="50"/>
      <c r="AL737" s="6"/>
      <c r="AM737" s="20">
        <f t="shared" si="134"/>
        <v>0</v>
      </c>
      <c r="AN737" s="20">
        <f t="shared" si="139"/>
        <v>1114240</v>
      </c>
      <c r="AP737" s="20">
        <f t="shared" si="136"/>
        <v>1114240</v>
      </c>
      <c r="AQ737" s="7"/>
      <c r="AR737" s="20"/>
      <c r="AS737" s="51"/>
    </row>
    <row r="738" spans="1:49" ht="30" customHeight="1" x14ac:dyDescent="0.2">
      <c r="A738" s="8">
        <v>641</v>
      </c>
      <c r="B738" s="13">
        <v>2</v>
      </c>
      <c r="C738" s="16" t="s">
        <v>65</v>
      </c>
      <c r="D738" s="17">
        <v>2058</v>
      </c>
      <c r="E738" s="17">
        <v>11</v>
      </c>
      <c r="H738" s="17">
        <v>48</v>
      </c>
      <c r="I738" s="17">
        <v>0</v>
      </c>
      <c r="J738" s="17">
        <v>55</v>
      </c>
      <c r="K738" s="10">
        <f>48*400+55</f>
        <v>19255</v>
      </c>
      <c r="P738" s="17">
        <v>1</v>
      </c>
      <c r="Q738" s="20">
        <f t="shared" si="137"/>
        <v>19255</v>
      </c>
      <c r="R738" s="14">
        <v>200</v>
      </c>
      <c r="S738" s="19">
        <f t="shared" si="132"/>
        <v>3851000</v>
      </c>
      <c r="AC738" s="21"/>
      <c r="AD738" s="21"/>
      <c r="AG738" s="22">
        <f t="shared" si="138"/>
        <v>0</v>
      </c>
      <c r="AJ738" s="20">
        <f t="shared" si="133"/>
        <v>0</v>
      </c>
      <c r="AM738" s="20">
        <f t="shared" si="134"/>
        <v>0</v>
      </c>
      <c r="AN738" s="20">
        <f t="shared" si="139"/>
        <v>3851000</v>
      </c>
      <c r="AP738" s="20">
        <f t="shared" si="136"/>
        <v>3851000</v>
      </c>
      <c r="AQ738" s="12">
        <v>1E-4</v>
      </c>
      <c r="AR738" s="20"/>
    </row>
    <row r="739" spans="1:49" ht="30" customHeight="1" x14ac:dyDescent="0.2">
      <c r="A739" s="8"/>
      <c r="C739" s="16"/>
      <c r="Q739" s="20"/>
      <c r="AG739" s="22"/>
      <c r="AJ739" s="20"/>
      <c r="AM739" s="20"/>
      <c r="AN739" s="20"/>
      <c r="AP739" s="20"/>
      <c r="AR739" s="20"/>
    </row>
    <row r="740" spans="1:49" s="21" customFormat="1" ht="30" customHeight="1" x14ac:dyDescent="0.2">
      <c r="A740" s="8">
        <v>642</v>
      </c>
      <c r="B740" s="46">
        <v>1</v>
      </c>
      <c r="C740" s="16" t="s">
        <v>52</v>
      </c>
      <c r="D740" s="48">
        <v>4843</v>
      </c>
      <c r="E740" s="47">
        <v>15</v>
      </c>
      <c r="F740" s="48">
        <v>2733</v>
      </c>
      <c r="G740" s="49">
        <v>7</v>
      </c>
      <c r="H740" s="48">
        <v>8</v>
      </c>
      <c r="I740" s="48">
        <v>0</v>
      </c>
      <c r="J740" s="48">
        <v>39</v>
      </c>
      <c r="K740" s="3">
        <f>(400*8)+(100*0)+39</f>
        <v>3239</v>
      </c>
      <c r="L740" s="16"/>
      <c r="M740" s="57"/>
      <c r="N740" s="58"/>
      <c r="P740" s="16">
        <v>1</v>
      </c>
      <c r="Q740" s="20">
        <f t="shared" si="137"/>
        <v>3239</v>
      </c>
      <c r="R740" s="14">
        <v>160</v>
      </c>
      <c r="S740" s="20">
        <f t="shared" si="132"/>
        <v>518240</v>
      </c>
      <c r="T740" s="16"/>
      <c r="U740" s="16"/>
      <c r="V740" s="16"/>
      <c r="W740" s="5"/>
      <c r="X740" s="16"/>
      <c r="Y740" s="5"/>
      <c r="Z740" s="16"/>
      <c r="AA740" s="16"/>
      <c r="AB740" s="16"/>
      <c r="AE740" s="16"/>
      <c r="AG740" s="22">
        <f t="shared" si="138"/>
        <v>0</v>
      </c>
      <c r="AH740" s="6"/>
      <c r="AJ740" s="20">
        <f t="shared" si="133"/>
        <v>0</v>
      </c>
      <c r="AK740" s="50"/>
      <c r="AL740" s="6"/>
      <c r="AM740" s="20">
        <f t="shared" si="134"/>
        <v>0</v>
      </c>
      <c r="AN740" s="20">
        <f t="shared" si="139"/>
        <v>518240</v>
      </c>
      <c r="AP740" s="20">
        <f t="shared" si="136"/>
        <v>518240</v>
      </c>
      <c r="AQ740" s="7"/>
      <c r="AR740" s="20"/>
      <c r="AS740" s="51"/>
    </row>
    <row r="741" spans="1:49" s="21" customFormat="1" ht="30" customHeight="1" x14ac:dyDescent="0.2">
      <c r="A741" s="8">
        <v>643</v>
      </c>
      <c r="B741" s="46">
        <v>2</v>
      </c>
      <c r="C741" s="16" t="s">
        <v>52</v>
      </c>
      <c r="D741" s="48">
        <v>4850</v>
      </c>
      <c r="E741" s="47">
        <v>14</v>
      </c>
      <c r="F741" s="48">
        <v>2748</v>
      </c>
      <c r="G741" s="49">
        <v>7</v>
      </c>
      <c r="H741" s="48">
        <v>29</v>
      </c>
      <c r="I741" s="48">
        <v>1</v>
      </c>
      <c r="J741" s="48">
        <v>47.01</v>
      </c>
      <c r="K741" s="3">
        <f>(400*29)+(100*1)+47.01</f>
        <v>11747.01</v>
      </c>
      <c r="L741" s="16"/>
      <c r="M741" s="57"/>
      <c r="N741" s="58"/>
      <c r="P741" s="16">
        <v>1</v>
      </c>
      <c r="Q741" s="20">
        <f t="shared" si="137"/>
        <v>11747.01</v>
      </c>
      <c r="R741" s="14">
        <v>160</v>
      </c>
      <c r="S741" s="19">
        <f t="shared" si="132"/>
        <v>1879521.6</v>
      </c>
      <c r="T741" s="16"/>
      <c r="U741" s="17"/>
      <c r="V741" s="16"/>
      <c r="W741" s="5"/>
      <c r="X741" s="16"/>
      <c r="Y741" s="5"/>
      <c r="Z741" s="16"/>
      <c r="AA741" s="16"/>
      <c r="AB741" s="16"/>
      <c r="AE741" s="16"/>
      <c r="AG741" s="22">
        <f t="shared" si="138"/>
        <v>0</v>
      </c>
      <c r="AH741" s="6"/>
      <c r="AJ741" s="20">
        <f t="shared" si="133"/>
        <v>0</v>
      </c>
      <c r="AK741" s="50"/>
      <c r="AL741" s="6"/>
      <c r="AM741" s="20">
        <f t="shared" si="134"/>
        <v>0</v>
      </c>
      <c r="AN741" s="20">
        <f t="shared" si="139"/>
        <v>1879521.6</v>
      </c>
      <c r="AP741" s="20">
        <f t="shared" si="136"/>
        <v>1879521.6</v>
      </c>
      <c r="AQ741" s="7"/>
      <c r="AR741" s="20"/>
      <c r="AS741" s="51"/>
    </row>
    <row r="742" spans="1:49" s="21" customFormat="1" ht="30" customHeight="1" x14ac:dyDescent="0.2">
      <c r="A742" s="8">
        <v>644</v>
      </c>
      <c r="B742" s="46">
        <v>1</v>
      </c>
      <c r="C742" s="16" t="s">
        <v>52</v>
      </c>
      <c r="D742" s="48">
        <v>1754</v>
      </c>
      <c r="E742" s="47">
        <v>8</v>
      </c>
      <c r="F742" s="48">
        <v>759</v>
      </c>
      <c r="G742" s="49">
        <v>7</v>
      </c>
      <c r="H742" s="48">
        <v>3</v>
      </c>
      <c r="I742" s="48">
        <v>3</v>
      </c>
      <c r="J742" s="48">
        <v>42</v>
      </c>
      <c r="K742" s="3">
        <f>(400*3)+(100*3)+42</f>
        <v>1542</v>
      </c>
      <c r="L742" s="16"/>
      <c r="M742" s="57"/>
      <c r="N742" s="58"/>
      <c r="P742" s="16">
        <v>1</v>
      </c>
      <c r="Q742" s="20">
        <f t="shared" si="137"/>
        <v>1542</v>
      </c>
      <c r="R742" s="14">
        <v>2250</v>
      </c>
      <c r="S742" s="19">
        <f t="shared" si="132"/>
        <v>3469500</v>
      </c>
      <c r="T742" s="16"/>
      <c r="U742" s="17"/>
      <c r="V742" s="17"/>
      <c r="W742" s="4"/>
      <c r="X742" s="16"/>
      <c r="Y742" s="5"/>
      <c r="Z742" s="16"/>
      <c r="AA742" s="16"/>
      <c r="AB742" s="16"/>
      <c r="AE742" s="16"/>
      <c r="AG742" s="22">
        <f t="shared" si="138"/>
        <v>0</v>
      </c>
      <c r="AH742" s="6"/>
      <c r="AJ742" s="20">
        <f t="shared" si="133"/>
        <v>0</v>
      </c>
      <c r="AK742" s="50"/>
      <c r="AL742" s="6"/>
      <c r="AM742" s="20">
        <f t="shared" si="134"/>
        <v>0</v>
      </c>
      <c r="AN742" s="20">
        <f t="shared" si="139"/>
        <v>3469500</v>
      </c>
      <c r="AP742" s="20">
        <f t="shared" si="136"/>
        <v>3469500</v>
      </c>
      <c r="AQ742" s="7"/>
      <c r="AR742" s="20"/>
      <c r="AS742" s="51"/>
    </row>
    <row r="743" spans="1:49" s="21" customFormat="1" ht="30" customHeight="1" x14ac:dyDescent="0.2">
      <c r="A743" s="8">
        <v>645</v>
      </c>
      <c r="B743" s="46">
        <v>1</v>
      </c>
      <c r="C743" s="16" t="s">
        <v>52</v>
      </c>
      <c r="D743" s="48">
        <v>1210</v>
      </c>
      <c r="E743" s="47">
        <v>24</v>
      </c>
      <c r="F743" s="48">
        <v>1352</v>
      </c>
      <c r="G743" s="49">
        <v>2</v>
      </c>
      <c r="H743" s="48">
        <v>0</v>
      </c>
      <c r="I743" s="48">
        <v>1</v>
      </c>
      <c r="J743" s="48">
        <v>34</v>
      </c>
      <c r="K743" s="3">
        <f>(400*0)+(100*1)+34</f>
        <v>134</v>
      </c>
      <c r="L743" s="16"/>
      <c r="M743" s="57"/>
      <c r="N743" s="58"/>
      <c r="P743" s="16">
        <v>1</v>
      </c>
      <c r="Q743" s="20">
        <f t="shared" si="137"/>
        <v>134</v>
      </c>
      <c r="R743" s="14">
        <v>160</v>
      </c>
      <c r="S743" s="20">
        <f t="shared" si="132"/>
        <v>21440</v>
      </c>
      <c r="T743" s="16"/>
      <c r="U743" s="17"/>
      <c r="V743" s="17"/>
      <c r="W743" s="4"/>
      <c r="X743" s="16"/>
      <c r="Y743" s="5"/>
      <c r="Z743" s="16"/>
      <c r="AA743" s="16"/>
      <c r="AB743" s="16"/>
      <c r="AE743" s="16"/>
      <c r="AG743" s="22">
        <f t="shared" si="138"/>
        <v>0</v>
      </c>
      <c r="AH743" s="6"/>
      <c r="AJ743" s="20">
        <f t="shared" si="133"/>
        <v>0</v>
      </c>
      <c r="AK743" s="50"/>
      <c r="AL743" s="6"/>
      <c r="AM743" s="20">
        <f t="shared" si="134"/>
        <v>0</v>
      </c>
      <c r="AN743" s="20">
        <f t="shared" si="139"/>
        <v>21440</v>
      </c>
      <c r="AP743" s="20">
        <f t="shared" si="136"/>
        <v>21440</v>
      </c>
      <c r="AQ743" s="7"/>
      <c r="AR743" s="51">
        <f>79+142+210+210+298+258+240+634</f>
        <v>2071</v>
      </c>
      <c r="AS743" s="101">
        <f>+AR743+AR744</f>
        <v>9949</v>
      </c>
      <c r="AW743" s="21" t="s">
        <v>119</v>
      </c>
    </row>
    <row r="744" spans="1:49" s="21" customFormat="1" ht="30" customHeight="1" x14ac:dyDescent="0.2">
      <c r="A744" s="8">
        <v>646</v>
      </c>
      <c r="B744" s="46">
        <v>2</v>
      </c>
      <c r="C744" s="16" t="s">
        <v>52</v>
      </c>
      <c r="D744" s="48">
        <v>1454</v>
      </c>
      <c r="E744" s="47">
        <v>25</v>
      </c>
      <c r="F744" s="48">
        <v>1353</v>
      </c>
      <c r="G744" s="49">
        <v>2</v>
      </c>
      <c r="H744" s="48">
        <v>0</v>
      </c>
      <c r="I744" s="48">
        <v>0</v>
      </c>
      <c r="J744" s="48">
        <v>76</v>
      </c>
      <c r="K744" s="3"/>
      <c r="L744" s="16">
        <v>76</v>
      </c>
      <c r="M744" s="57"/>
      <c r="N744" s="58"/>
      <c r="P744" s="16">
        <v>2</v>
      </c>
      <c r="Q744" s="20">
        <f t="shared" si="137"/>
        <v>76</v>
      </c>
      <c r="R744" s="14">
        <v>160</v>
      </c>
      <c r="S744" s="19">
        <f t="shared" si="132"/>
        <v>12160</v>
      </c>
      <c r="T744" s="16"/>
      <c r="U744" s="16" t="s">
        <v>63</v>
      </c>
      <c r="V744" s="16" t="s">
        <v>56</v>
      </c>
      <c r="W744" s="5"/>
      <c r="X744" s="16"/>
      <c r="Y744" s="5">
        <v>148.5</v>
      </c>
      <c r="Z744" s="16"/>
      <c r="AA744" s="16"/>
      <c r="AB744" s="16">
        <v>31</v>
      </c>
      <c r="AE744" s="16"/>
      <c r="AG744" s="22">
        <f t="shared" si="138"/>
        <v>148.5</v>
      </c>
      <c r="AH744" s="6"/>
      <c r="AJ744" s="20">
        <f t="shared" si="133"/>
        <v>0</v>
      </c>
      <c r="AK744" s="50">
        <v>31</v>
      </c>
      <c r="AL744" s="6"/>
      <c r="AM744" s="20">
        <f t="shared" si="134"/>
        <v>0</v>
      </c>
      <c r="AN744" s="20">
        <f t="shared" si="139"/>
        <v>12160</v>
      </c>
      <c r="AP744" s="20">
        <f t="shared" si="136"/>
        <v>12160</v>
      </c>
      <c r="AQ744" s="7"/>
      <c r="AR744" s="20">
        <v>7878</v>
      </c>
      <c r="AS744" s="51"/>
    </row>
    <row r="745" spans="1:49" s="21" customFormat="1" ht="30" customHeight="1" x14ac:dyDescent="0.2">
      <c r="A745" s="8">
        <v>647</v>
      </c>
      <c r="B745" s="46">
        <v>3</v>
      </c>
      <c r="C745" s="16" t="s">
        <v>52</v>
      </c>
      <c r="D745" s="48">
        <v>1455</v>
      </c>
      <c r="E745" s="47">
        <v>26</v>
      </c>
      <c r="F745" s="48">
        <v>1354</v>
      </c>
      <c r="G745" s="49">
        <v>2</v>
      </c>
      <c r="H745" s="48">
        <v>0</v>
      </c>
      <c r="I745" s="48">
        <v>0</v>
      </c>
      <c r="J745" s="48">
        <v>9</v>
      </c>
      <c r="K745" s="3"/>
      <c r="L745" s="16">
        <v>9</v>
      </c>
      <c r="M745" s="57"/>
      <c r="N745" s="58"/>
      <c r="P745" s="16">
        <v>2</v>
      </c>
      <c r="Q745" s="20">
        <f t="shared" si="137"/>
        <v>9</v>
      </c>
      <c r="R745" s="14">
        <v>160</v>
      </c>
      <c r="S745" s="19">
        <f t="shared" si="132"/>
        <v>1440</v>
      </c>
      <c r="T745" s="16"/>
      <c r="U745" s="17"/>
      <c r="V745" s="17"/>
      <c r="W745" s="4"/>
      <c r="X745" s="16"/>
      <c r="Y745" s="5"/>
      <c r="Z745" s="16"/>
      <c r="AA745" s="16"/>
      <c r="AB745" s="16"/>
      <c r="AE745" s="16"/>
      <c r="AG745" s="22">
        <f t="shared" si="138"/>
        <v>0</v>
      </c>
      <c r="AH745" s="6"/>
      <c r="AJ745" s="20">
        <f t="shared" si="133"/>
        <v>0</v>
      </c>
      <c r="AK745" s="50"/>
      <c r="AL745" s="6"/>
      <c r="AM745" s="20">
        <f t="shared" si="134"/>
        <v>0</v>
      </c>
      <c r="AN745" s="20">
        <f t="shared" si="139"/>
        <v>1440</v>
      </c>
      <c r="AP745" s="20">
        <f t="shared" si="136"/>
        <v>1440</v>
      </c>
      <c r="AQ745" s="7"/>
      <c r="AR745" s="20"/>
      <c r="AS745" s="51"/>
    </row>
    <row r="746" spans="1:49" s="21" customFormat="1" ht="30" customHeight="1" x14ac:dyDescent="0.2">
      <c r="A746" s="8">
        <v>648</v>
      </c>
      <c r="B746" s="46">
        <v>4</v>
      </c>
      <c r="C746" s="16" t="s">
        <v>52</v>
      </c>
      <c r="D746" s="48">
        <v>1456</v>
      </c>
      <c r="E746" s="47">
        <v>27</v>
      </c>
      <c r="F746" s="48">
        <v>1355</v>
      </c>
      <c r="G746" s="49">
        <v>2</v>
      </c>
      <c r="H746" s="48">
        <v>0</v>
      </c>
      <c r="I746" s="48">
        <v>0</v>
      </c>
      <c r="J746" s="48">
        <v>16</v>
      </c>
      <c r="K746" s="3"/>
      <c r="L746" s="16">
        <v>16</v>
      </c>
      <c r="M746" s="57"/>
      <c r="N746" s="58"/>
      <c r="P746" s="16">
        <v>2</v>
      </c>
      <c r="Q746" s="20">
        <f t="shared" si="137"/>
        <v>16</v>
      </c>
      <c r="R746" s="14">
        <v>4500</v>
      </c>
      <c r="S746" s="20">
        <f t="shared" si="132"/>
        <v>72000</v>
      </c>
      <c r="T746" s="16"/>
      <c r="U746" s="17"/>
      <c r="V746" s="17"/>
      <c r="W746" s="4"/>
      <c r="X746" s="16"/>
      <c r="Y746" s="5"/>
      <c r="Z746" s="16"/>
      <c r="AA746" s="16"/>
      <c r="AB746" s="16"/>
      <c r="AE746" s="16"/>
      <c r="AG746" s="22">
        <f t="shared" si="138"/>
        <v>0</v>
      </c>
      <c r="AH746" s="6"/>
      <c r="AJ746" s="20">
        <f t="shared" si="133"/>
        <v>0</v>
      </c>
      <c r="AK746" s="50"/>
      <c r="AL746" s="6"/>
      <c r="AM746" s="20">
        <f t="shared" si="134"/>
        <v>0</v>
      </c>
      <c r="AN746" s="20">
        <f t="shared" si="139"/>
        <v>72000</v>
      </c>
      <c r="AP746" s="20">
        <f t="shared" si="136"/>
        <v>72000</v>
      </c>
      <c r="AQ746" s="7"/>
      <c r="AR746" s="20"/>
      <c r="AS746" s="51"/>
    </row>
    <row r="747" spans="1:49" s="21" customFormat="1" ht="30" customHeight="1" x14ac:dyDescent="0.2">
      <c r="A747" s="8">
        <v>649</v>
      </c>
      <c r="B747" s="46">
        <v>5</v>
      </c>
      <c r="C747" s="16" t="s">
        <v>52</v>
      </c>
      <c r="D747" s="48">
        <v>1457</v>
      </c>
      <c r="E747" s="47">
        <v>30</v>
      </c>
      <c r="F747" s="48">
        <v>1357</v>
      </c>
      <c r="G747" s="49">
        <v>2</v>
      </c>
      <c r="H747" s="48">
        <v>0</v>
      </c>
      <c r="I747" s="48">
        <v>0</v>
      </c>
      <c r="J747" s="48">
        <v>10</v>
      </c>
      <c r="K747" s="3"/>
      <c r="L747" s="16">
        <v>10</v>
      </c>
      <c r="M747" s="57"/>
      <c r="N747" s="58"/>
      <c r="P747" s="16">
        <v>2</v>
      </c>
      <c r="Q747" s="20">
        <f t="shared" si="137"/>
        <v>10</v>
      </c>
      <c r="R747" s="14">
        <v>160</v>
      </c>
      <c r="S747" s="19">
        <f t="shared" si="132"/>
        <v>1600</v>
      </c>
      <c r="T747" s="16"/>
      <c r="U747" s="16"/>
      <c r="V747" s="16"/>
      <c r="W747" s="5"/>
      <c r="X747" s="16"/>
      <c r="Y747" s="5"/>
      <c r="Z747" s="16"/>
      <c r="AA747" s="16"/>
      <c r="AB747" s="16"/>
      <c r="AE747" s="16"/>
      <c r="AG747" s="22">
        <f t="shared" si="138"/>
        <v>0</v>
      </c>
      <c r="AH747" s="6"/>
      <c r="AJ747" s="20">
        <f t="shared" si="133"/>
        <v>0</v>
      </c>
      <c r="AK747" s="50"/>
      <c r="AL747" s="6"/>
      <c r="AM747" s="20">
        <f t="shared" si="134"/>
        <v>0</v>
      </c>
      <c r="AN747" s="20">
        <f t="shared" si="139"/>
        <v>1600</v>
      </c>
      <c r="AP747" s="20">
        <f t="shared" si="136"/>
        <v>1600</v>
      </c>
      <c r="AQ747" s="7"/>
      <c r="AR747" s="20"/>
      <c r="AS747" s="51"/>
    </row>
    <row r="748" spans="1:49" s="21" customFormat="1" ht="30" customHeight="1" x14ac:dyDescent="0.2">
      <c r="A748" s="8">
        <v>650</v>
      </c>
      <c r="B748" s="46">
        <v>6</v>
      </c>
      <c r="C748" s="16" t="s">
        <v>52</v>
      </c>
      <c r="D748" s="48">
        <v>1704</v>
      </c>
      <c r="E748" s="47">
        <v>28</v>
      </c>
      <c r="F748" s="48">
        <v>1356</v>
      </c>
      <c r="G748" s="49">
        <v>2</v>
      </c>
      <c r="H748" s="48">
        <v>0</v>
      </c>
      <c r="I748" s="48">
        <v>0</v>
      </c>
      <c r="J748" s="48">
        <v>15</v>
      </c>
      <c r="K748" s="3"/>
      <c r="L748" s="16">
        <v>15</v>
      </c>
      <c r="M748" s="57"/>
      <c r="N748" s="58"/>
      <c r="P748" s="16">
        <v>2</v>
      </c>
      <c r="Q748" s="20">
        <f t="shared" si="137"/>
        <v>15</v>
      </c>
      <c r="R748" s="14">
        <v>4500</v>
      </c>
      <c r="S748" s="19">
        <f t="shared" si="132"/>
        <v>67500</v>
      </c>
      <c r="T748" s="16"/>
      <c r="U748" s="17"/>
      <c r="V748" s="16"/>
      <c r="W748" s="5"/>
      <c r="X748" s="16"/>
      <c r="Y748" s="5"/>
      <c r="Z748" s="16"/>
      <c r="AA748" s="16"/>
      <c r="AB748" s="16"/>
      <c r="AE748" s="16"/>
      <c r="AG748" s="22">
        <f t="shared" si="138"/>
        <v>0</v>
      </c>
      <c r="AH748" s="6"/>
      <c r="AJ748" s="20">
        <f t="shared" si="133"/>
        <v>0</v>
      </c>
      <c r="AK748" s="50"/>
      <c r="AL748" s="6"/>
      <c r="AM748" s="20">
        <f t="shared" si="134"/>
        <v>0</v>
      </c>
      <c r="AN748" s="20">
        <f t="shared" si="139"/>
        <v>67500</v>
      </c>
      <c r="AP748" s="20">
        <f t="shared" si="136"/>
        <v>67500</v>
      </c>
      <c r="AQ748" s="7"/>
      <c r="AR748" s="20"/>
      <c r="AS748" s="51"/>
    </row>
    <row r="749" spans="1:49" s="21" customFormat="1" ht="30" customHeight="1" x14ac:dyDescent="0.2">
      <c r="A749" s="8">
        <v>651</v>
      </c>
      <c r="B749" s="46">
        <v>7</v>
      </c>
      <c r="C749" s="16" t="s">
        <v>52</v>
      </c>
      <c r="D749" s="48">
        <v>1705</v>
      </c>
      <c r="E749" s="47">
        <v>29</v>
      </c>
      <c r="F749" s="48">
        <v>1358</v>
      </c>
      <c r="G749" s="49">
        <v>2</v>
      </c>
      <c r="H749" s="48">
        <v>0</v>
      </c>
      <c r="I749" s="48">
        <v>0</v>
      </c>
      <c r="J749" s="48">
        <v>57</v>
      </c>
      <c r="K749" s="3"/>
      <c r="L749" s="16">
        <v>57</v>
      </c>
      <c r="M749" s="57"/>
      <c r="N749" s="58"/>
      <c r="P749" s="16">
        <v>2</v>
      </c>
      <c r="Q749" s="20">
        <f t="shared" si="137"/>
        <v>57</v>
      </c>
      <c r="R749" s="14">
        <v>4500</v>
      </c>
      <c r="S749" s="20">
        <f t="shared" si="132"/>
        <v>256500</v>
      </c>
      <c r="T749" s="16"/>
      <c r="U749" s="17"/>
      <c r="V749" s="17"/>
      <c r="W749" s="4"/>
      <c r="X749" s="16"/>
      <c r="Y749" s="5"/>
      <c r="Z749" s="16"/>
      <c r="AA749" s="16"/>
      <c r="AB749" s="16"/>
      <c r="AE749" s="16"/>
      <c r="AG749" s="22">
        <f t="shared" si="138"/>
        <v>0</v>
      </c>
      <c r="AH749" s="6"/>
      <c r="AJ749" s="20">
        <f t="shared" si="133"/>
        <v>0</v>
      </c>
      <c r="AK749" s="50"/>
      <c r="AL749" s="6"/>
      <c r="AM749" s="20">
        <f t="shared" si="134"/>
        <v>0</v>
      </c>
      <c r="AN749" s="20">
        <f t="shared" si="139"/>
        <v>256500</v>
      </c>
      <c r="AP749" s="20">
        <f t="shared" si="136"/>
        <v>256500</v>
      </c>
      <c r="AQ749" s="7"/>
      <c r="AR749" s="20"/>
      <c r="AS749" s="51"/>
    </row>
    <row r="750" spans="1:49" s="21" customFormat="1" ht="30" customHeight="1" x14ac:dyDescent="0.2">
      <c r="A750" s="8">
        <v>652</v>
      </c>
      <c r="B750" s="46">
        <v>8</v>
      </c>
      <c r="C750" s="16" t="s">
        <v>52</v>
      </c>
      <c r="D750" s="48">
        <v>1999</v>
      </c>
      <c r="E750" s="47">
        <v>2</v>
      </c>
      <c r="F750" s="48">
        <v>1033</v>
      </c>
      <c r="G750" s="49">
        <v>4</v>
      </c>
      <c r="H750" s="48">
        <v>14</v>
      </c>
      <c r="I750" s="48">
        <v>1</v>
      </c>
      <c r="J750" s="48">
        <v>66</v>
      </c>
      <c r="K750" s="3">
        <f>(400*14)+(100*1)+66</f>
        <v>5766</v>
      </c>
      <c r="L750" s="16"/>
      <c r="M750" s="57"/>
      <c r="N750" s="58"/>
      <c r="P750" s="16">
        <v>1</v>
      </c>
      <c r="Q750" s="20">
        <f t="shared" si="137"/>
        <v>5766</v>
      </c>
      <c r="R750" s="14">
        <v>500</v>
      </c>
      <c r="S750" s="19">
        <f t="shared" si="132"/>
        <v>2883000</v>
      </c>
      <c r="T750" s="16"/>
      <c r="U750" s="17"/>
      <c r="V750" s="17"/>
      <c r="W750" s="4"/>
      <c r="X750" s="16"/>
      <c r="Y750" s="5"/>
      <c r="Z750" s="16"/>
      <c r="AA750" s="16"/>
      <c r="AB750" s="16"/>
      <c r="AE750" s="16"/>
      <c r="AG750" s="22">
        <f t="shared" si="138"/>
        <v>0</v>
      </c>
      <c r="AH750" s="6"/>
      <c r="AJ750" s="20">
        <f t="shared" si="133"/>
        <v>0</v>
      </c>
      <c r="AK750" s="50"/>
      <c r="AL750" s="6"/>
      <c r="AM750" s="20">
        <f t="shared" si="134"/>
        <v>0</v>
      </c>
      <c r="AN750" s="20">
        <f t="shared" si="139"/>
        <v>2883000</v>
      </c>
      <c r="AP750" s="20">
        <f t="shared" si="136"/>
        <v>2883000</v>
      </c>
      <c r="AQ750" s="7"/>
      <c r="AR750" s="20"/>
      <c r="AS750" s="51"/>
    </row>
    <row r="751" spans="1:49" s="21" customFormat="1" ht="30" customHeight="1" x14ac:dyDescent="0.2">
      <c r="A751" s="8">
        <v>653</v>
      </c>
      <c r="B751" s="46">
        <v>9</v>
      </c>
      <c r="C751" s="16" t="s">
        <v>52</v>
      </c>
      <c r="D751" s="48">
        <v>2000</v>
      </c>
      <c r="E751" s="47">
        <v>3</v>
      </c>
      <c r="F751" s="48">
        <v>1034</v>
      </c>
      <c r="G751" s="49">
        <v>4</v>
      </c>
      <c r="H751" s="48">
        <v>23</v>
      </c>
      <c r="I751" s="48">
        <v>3</v>
      </c>
      <c r="J751" s="48">
        <v>24</v>
      </c>
      <c r="K751" s="3">
        <f>(400*23)+(100*3)+24</f>
        <v>9524</v>
      </c>
      <c r="L751" s="16"/>
      <c r="M751" s="57"/>
      <c r="N751" s="58"/>
      <c r="P751" s="16">
        <v>1</v>
      </c>
      <c r="Q751" s="20">
        <f t="shared" si="137"/>
        <v>9524</v>
      </c>
      <c r="R751" s="14">
        <v>500</v>
      </c>
      <c r="S751" s="19">
        <f t="shared" ref="S751:S756" si="140">+Q751*R751</f>
        <v>4762000</v>
      </c>
      <c r="T751" s="16"/>
      <c r="U751" s="17"/>
      <c r="V751" s="17"/>
      <c r="W751" s="4"/>
      <c r="X751" s="16"/>
      <c r="Y751" s="5"/>
      <c r="Z751" s="16"/>
      <c r="AA751" s="16"/>
      <c r="AB751" s="16"/>
      <c r="AC751" s="14"/>
      <c r="AD751" s="14"/>
      <c r="AE751" s="16"/>
      <c r="AG751" s="22">
        <f t="shared" si="138"/>
        <v>0</v>
      </c>
      <c r="AH751" s="6"/>
      <c r="AJ751" s="20">
        <f>+AG751*AH751*AI751</f>
        <v>0</v>
      </c>
      <c r="AK751" s="50"/>
      <c r="AL751" s="6"/>
      <c r="AM751" s="20">
        <f>+AJ751-(AL751*AJ751)</f>
        <v>0</v>
      </c>
      <c r="AN751" s="20">
        <f>+S751+AM751</f>
        <v>4762000</v>
      </c>
      <c r="AP751" s="20">
        <f>AN751</f>
        <v>4762000</v>
      </c>
      <c r="AQ751" s="7"/>
      <c r="AR751" s="20"/>
      <c r="AS751" s="51"/>
    </row>
    <row r="752" spans="1:49" s="21" customFormat="1" ht="30" customHeight="1" x14ac:dyDescent="0.2">
      <c r="A752" s="8">
        <v>654</v>
      </c>
      <c r="B752" s="46">
        <v>10</v>
      </c>
      <c r="C752" s="16" t="s">
        <v>52</v>
      </c>
      <c r="D752" s="48">
        <v>5128</v>
      </c>
      <c r="E752" s="47">
        <v>1</v>
      </c>
      <c r="F752" s="48">
        <v>2856</v>
      </c>
      <c r="G752" s="49">
        <v>7</v>
      </c>
      <c r="H752" s="48">
        <v>26</v>
      </c>
      <c r="I752" s="48">
        <v>2</v>
      </c>
      <c r="J752" s="48">
        <v>91</v>
      </c>
      <c r="K752" s="3">
        <f>(400*26)+(100*2)+91</f>
        <v>10691</v>
      </c>
      <c r="L752" s="16"/>
      <c r="M752" s="57"/>
      <c r="N752" s="58"/>
      <c r="P752" s="16">
        <v>1</v>
      </c>
      <c r="Q752" s="20">
        <f t="shared" si="137"/>
        <v>10691</v>
      </c>
      <c r="R752" s="14">
        <v>1100</v>
      </c>
      <c r="S752" s="20">
        <f t="shared" si="140"/>
        <v>11760100</v>
      </c>
      <c r="T752" s="16"/>
      <c r="U752" s="17"/>
      <c r="V752" s="17"/>
      <c r="W752" s="4"/>
      <c r="X752" s="16"/>
      <c r="Y752" s="5"/>
      <c r="Z752" s="16"/>
      <c r="AA752" s="16"/>
      <c r="AB752" s="16"/>
      <c r="AE752" s="16"/>
      <c r="AG752" s="22">
        <f t="shared" si="138"/>
        <v>0</v>
      </c>
      <c r="AH752" s="6"/>
      <c r="AJ752" s="20">
        <f>+AG752*AH752*AI752</f>
        <v>0</v>
      </c>
      <c r="AK752" s="50"/>
      <c r="AL752" s="6"/>
      <c r="AM752" s="20">
        <f>+AJ752-(AL752*AJ752)</f>
        <v>0</v>
      </c>
      <c r="AN752" s="20">
        <f>+S752+AM752</f>
        <v>11760100</v>
      </c>
      <c r="AP752" s="20">
        <f>AN752</f>
        <v>11760100</v>
      </c>
      <c r="AQ752" s="7"/>
      <c r="AR752" s="20"/>
      <c r="AS752" s="51"/>
    </row>
    <row r="753" spans="1:45" s="21" customFormat="1" ht="30" customHeight="1" x14ac:dyDescent="0.2">
      <c r="A753" s="8">
        <v>655</v>
      </c>
      <c r="B753" s="46">
        <v>11</v>
      </c>
      <c r="C753" s="16" t="s">
        <v>52</v>
      </c>
      <c r="D753" s="48">
        <v>1630</v>
      </c>
      <c r="E753" s="47">
        <v>18</v>
      </c>
      <c r="F753" s="48">
        <v>1408</v>
      </c>
      <c r="G753" s="49">
        <v>2</v>
      </c>
      <c r="H753" s="48">
        <v>7</v>
      </c>
      <c r="I753" s="48">
        <v>3</v>
      </c>
      <c r="J753" s="48">
        <v>92</v>
      </c>
      <c r="K753" s="3">
        <f>(400*7)+(100*3)+92</f>
        <v>3192</v>
      </c>
      <c r="L753" s="16"/>
      <c r="M753" s="57"/>
      <c r="N753" s="58"/>
      <c r="P753" s="16">
        <v>1</v>
      </c>
      <c r="Q753" s="20">
        <f t="shared" si="137"/>
        <v>3192</v>
      </c>
      <c r="R753" s="14">
        <v>1100</v>
      </c>
      <c r="S753" s="19">
        <f t="shared" si="140"/>
        <v>3511200</v>
      </c>
      <c r="T753" s="16"/>
      <c r="U753" s="17"/>
      <c r="V753" s="17"/>
      <c r="W753" s="4"/>
      <c r="X753" s="16"/>
      <c r="Y753" s="5"/>
      <c r="Z753" s="16"/>
      <c r="AA753" s="16"/>
      <c r="AB753" s="16"/>
      <c r="AC753" s="14"/>
      <c r="AD753" s="14"/>
      <c r="AE753" s="16"/>
      <c r="AG753" s="22">
        <f t="shared" si="138"/>
        <v>0</v>
      </c>
      <c r="AH753" s="6"/>
      <c r="AJ753" s="20">
        <f>+AG753*AH753*AI753</f>
        <v>0</v>
      </c>
      <c r="AK753" s="50"/>
      <c r="AL753" s="6"/>
      <c r="AM753" s="20">
        <f>+AJ753-(AL753*AJ753)</f>
        <v>0</v>
      </c>
      <c r="AN753" s="20">
        <f>+S753+AM753</f>
        <v>3511200</v>
      </c>
      <c r="AP753" s="20">
        <f>AN753</f>
        <v>3511200</v>
      </c>
      <c r="AQ753" s="7"/>
      <c r="AR753" s="20"/>
      <c r="AS753" s="51"/>
    </row>
    <row r="754" spans="1:45" s="21" customFormat="1" ht="30" customHeight="1" x14ac:dyDescent="0.2">
      <c r="A754" s="8">
        <v>656</v>
      </c>
      <c r="B754" s="46">
        <v>12</v>
      </c>
      <c r="C754" s="16" t="s">
        <v>52</v>
      </c>
      <c r="D754" s="48">
        <v>1687</v>
      </c>
      <c r="E754" s="47">
        <v>35</v>
      </c>
      <c r="F754" s="48">
        <v>1409</v>
      </c>
      <c r="G754" s="49">
        <v>2</v>
      </c>
      <c r="H754" s="48">
        <v>12</v>
      </c>
      <c r="I754" s="48">
        <v>1</v>
      </c>
      <c r="J754" s="48">
        <v>42</v>
      </c>
      <c r="K754" s="3">
        <f>((400*12)+(100*1)+42)-L754</f>
        <v>4923.4399999999996</v>
      </c>
      <c r="L754" s="16">
        <v>18.559999999999999</v>
      </c>
      <c r="M754" s="57"/>
      <c r="N754" s="58"/>
      <c r="P754" s="16">
        <v>5</v>
      </c>
      <c r="Q754" s="20">
        <f t="shared" si="137"/>
        <v>4942</v>
      </c>
      <c r="R754" s="14">
        <v>1100</v>
      </c>
      <c r="S754" s="19">
        <f t="shared" si="140"/>
        <v>5436200</v>
      </c>
      <c r="T754" s="16"/>
      <c r="U754" s="16"/>
      <c r="V754" s="16"/>
      <c r="W754" s="5"/>
      <c r="X754" s="16"/>
      <c r="Y754" s="5"/>
      <c r="Z754" s="16"/>
      <c r="AA754" s="16"/>
      <c r="AB754" s="16"/>
      <c r="AC754" s="14"/>
      <c r="AD754" s="14"/>
      <c r="AE754" s="16"/>
      <c r="AG754" s="22"/>
      <c r="AH754" s="6"/>
      <c r="AJ754" s="20"/>
      <c r="AK754" s="50"/>
      <c r="AL754" s="6"/>
      <c r="AM754" s="20"/>
      <c r="AN754" s="20"/>
      <c r="AP754" s="20"/>
      <c r="AQ754" s="7"/>
      <c r="AR754" s="20"/>
      <c r="AS754" s="51"/>
    </row>
    <row r="755" spans="1:45" s="21" customFormat="1" ht="30" customHeight="1" x14ac:dyDescent="0.2">
      <c r="A755" s="8"/>
      <c r="B755" s="46"/>
      <c r="C755" s="16"/>
      <c r="D755" s="48"/>
      <c r="E755" s="47"/>
      <c r="F755" s="48"/>
      <c r="G755" s="49"/>
      <c r="H755" s="48"/>
      <c r="I755" s="48"/>
      <c r="J755" s="48"/>
      <c r="K755" s="3"/>
      <c r="L755" s="16"/>
      <c r="M755" s="57"/>
      <c r="N755" s="58"/>
      <c r="P755" s="16">
        <v>1</v>
      </c>
      <c r="Q755" s="20">
        <f>+Q754-Q756</f>
        <v>4785.75</v>
      </c>
      <c r="R755" s="14">
        <v>1100</v>
      </c>
      <c r="S755" s="19">
        <f t="shared" si="140"/>
        <v>5264325</v>
      </c>
      <c r="T755" s="16"/>
      <c r="U755" s="16"/>
      <c r="V755" s="16"/>
      <c r="W755" s="5"/>
      <c r="X755" s="16"/>
      <c r="Y755" s="5"/>
      <c r="Z755" s="16"/>
      <c r="AA755" s="16"/>
      <c r="AB755" s="16"/>
      <c r="AC755" s="14"/>
      <c r="AD755" s="14"/>
      <c r="AE755" s="16"/>
      <c r="AG755" s="22"/>
      <c r="AH755" s="6"/>
      <c r="AJ755" s="20"/>
      <c r="AK755" s="50"/>
      <c r="AL755" s="6"/>
      <c r="AM755" s="20"/>
      <c r="AN755" s="20"/>
      <c r="AP755" s="20"/>
      <c r="AQ755" s="7"/>
      <c r="AR755" s="20"/>
      <c r="AS755" s="51"/>
    </row>
    <row r="756" spans="1:45" s="21" customFormat="1" ht="30" customHeight="1" x14ac:dyDescent="0.2">
      <c r="A756" s="8"/>
      <c r="B756" s="46"/>
      <c r="C756" s="16"/>
      <c r="D756" s="48"/>
      <c r="E756" s="47"/>
      <c r="F756" s="48"/>
      <c r="G756" s="49"/>
      <c r="H756" s="48"/>
      <c r="I756" s="48"/>
      <c r="J756" s="48"/>
      <c r="K756" s="3"/>
      <c r="L756" s="16"/>
      <c r="M756" s="57"/>
      <c r="N756" s="58"/>
      <c r="P756" s="16">
        <v>3</v>
      </c>
      <c r="Q756" s="20">
        <v>156.25</v>
      </c>
      <c r="R756" s="14">
        <v>1100</v>
      </c>
      <c r="S756" s="19">
        <f t="shared" si="140"/>
        <v>171875</v>
      </c>
      <c r="T756" s="16"/>
      <c r="U756" s="16"/>
      <c r="V756" s="16"/>
      <c r="W756" s="5"/>
      <c r="X756" s="16"/>
      <c r="Y756" s="5"/>
      <c r="Z756" s="16"/>
      <c r="AA756" s="16"/>
      <c r="AB756" s="16"/>
      <c r="AC756" s="14"/>
      <c r="AD756" s="14"/>
      <c r="AE756" s="16"/>
      <c r="AG756" s="22"/>
      <c r="AH756" s="6"/>
      <c r="AJ756" s="20">
        <f t="shared" ref="AJ756:AJ775" si="141">+AG756*AH756*AI756</f>
        <v>0</v>
      </c>
      <c r="AK756" s="50"/>
      <c r="AL756" s="6"/>
      <c r="AM756" s="20">
        <f t="shared" ref="AM756:AM800" si="142">+AJ756-(AL756*AJ756)</f>
        <v>0</v>
      </c>
      <c r="AN756" s="20">
        <f t="shared" ref="AN756:AN800" si="143">+S756+AM756</f>
        <v>171875</v>
      </c>
      <c r="AP756" s="20">
        <f t="shared" ref="AP756:AP800" si="144">AN756</f>
        <v>171875</v>
      </c>
      <c r="AQ756" s="7">
        <v>3.0000000000000001E-3</v>
      </c>
      <c r="AR756" s="20"/>
      <c r="AS756" s="51"/>
    </row>
    <row r="757" spans="1:45" s="21" customFormat="1" ht="30" customHeight="1" x14ac:dyDescent="0.2">
      <c r="A757" s="8"/>
      <c r="B757" s="46"/>
      <c r="C757" s="16"/>
      <c r="D757" s="48"/>
      <c r="E757" s="47"/>
      <c r="F757" s="48"/>
      <c r="G757" s="49"/>
      <c r="H757" s="48"/>
      <c r="I757" s="48"/>
      <c r="J757" s="48"/>
      <c r="K757" s="3"/>
      <c r="L757" s="16"/>
      <c r="M757" s="57"/>
      <c r="N757" s="58"/>
      <c r="P757" s="16">
        <v>3</v>
      </c>
      <c r="Q757" s="20"/>
      <c r="R757" s="14">
        <v>1100</v>
      </c>
      <c r="S757" s="19"/>
      <c r="T757" s="16">
        <v>1</v>
      </c>
      <c r="U757" s="16" t="s">
        <v>57</v>
      </c>
      <c r="V757" s="16" t="s">
        <v>56</v>
      </c>
      <c r="W757" s="5">
        <f>4.5*16.5</f>
        <v>74.25</v>
      </c>
      <c r="X757" s="16"/>
      <c r="Y757" s="5"/>
      <c r="Z757" s="16">
        <v>74.25</v>
      </c>
      <c r="AA757" s="16"/>
      <c r="AB757" s="16">
        <f>63-31</f>
        <v>32</v>
      </c>
      <c r="AC757" s="14"/>
      <c r="AD757" s="14"/>
      <c r="AE757" s="16" t="s">
        <v>120</v>
      </c>
      <c r="AF757" s="21">
        <v>3</v>
      </c>
      <c r="AG757" s="22">
        <v>74.25</v>
      </c>
      <c r="AH757" s="6">
        <v>1</v>
      </c>
      <c r="AI757" s="21">
        <v>7250</v>
      </c>
      <c r="AJ757" s="20">
        <f t="shared" si="141"/>
        <v>538312.5</v>
      </c>
      <c r="AK757" s="50">
        <v>32</v>
      </c>
      <c r="AL757" s="6">
        <v>0.54</v>
      </c>
      <c r="AM757" s="20">
        <f t="shared" si="142"/>
        <v>247623.75</v>
      </c>
      <c r="AN757" s="20">
        <f t="shared" si="143"/>
        <v>247623.75</v>
      </c>
      <c r="AP757" s="20">
        <f t="shared" si="144"/>
        <v>247623.75</v>
      </c>
      <c r="AQ757" s="7">
        <v>3.0000000000000001E-3</v>
      </c>
      <c r="AR757" s="20"/>
      <c r="AS757" s="51"/>
    </row>
    <row r="758" spans="1:45" ht="30" customHeight="1" x14ac:dyDescent="0.2">
      <c r="A758" s="8">
        <v>657</v>
      </c>
      <c r="B758" s="46">
        <v>13</v>
      </c>
      <c r="C758" s="16" t="s">
        <v>65</v>
      </c>
      <c r="D758" s="17">
        <v>2074</v>
      </c>
      <c r="E758" s="17">
        <v>4</v>
      </c>
      <c r="H758" s="17">
        <v>34</v>
      </c>
      <c r="I758" s="17">
        <v>0</v>
      </c>
      <c r="J758" s="17">
        <v>20</v>
      </c>
      <c r="K758" s="10">
        <f>34*400+20</f>
        <v>13620</v>
      </c>
      <c r="P758" s="17">
        <v>1</v>
      </c>
      <c r="Q758" s="20">
        <f t="shared" ref="Q758:Q776" si="145">+(H758*400)+(I758*100)+J758</f>
        <v>13620</v>
      </c>
      <c r="R758" s="14">
        <v>160</v>
      </c>
      <c r="S758" s="19">
        <f t="shared" ref="S758:S776" si="146">+Q758*R758</f>
        <v>2179200</v>
      </c>
      <c r="AC758" s="21"/>
      <c r="AD758" s="21"/>
      <c r="AG758" s="22">
        <f t="shared" ref="AG758:AG775" si="147">Y758</f>
        <v>0</v>
      </c>
      <c r="AJ758" s="20">
        <f t="shared" si="141"/>
        <v>0</v>
      </c>
      <c r="AM758" s="20">
        <f t="shared" si="142"/>
        <v>0</v>
      </c>
      <c r="AN758" s="20">
        <f t="shared" si="143"/>
        <v>2179200</v>
      </c>
      <c r="AP758" s="20">
        <f t="shared" si="144"/>
        <v>2179200</v>
      </c>
      <c r="AQ758" s="12">
        <v>1E-4</v>
      </c>
      <c r="AR758" s="20"/>
    </row>
    <row r="759" spans="1:45" ht="30" customHeight="1" x14ac:dyDescent="0.2">
      <c r="A759" s="8">
        <v>658</v>
      </c>
      <c r="B759" s="46">
        <v>14</v>
      </c>
      <c r="C759" s="16" t="s">
        <v>69</v>
      </c>
      <c r="E759" s="17">
        <v>1503</v>
      </c>
      <c r="F759" s="17">
        <v>1</v>
      </c>
      <c r="G759" s="13">
        <v>6</v>
      </c>
      <c r="H759" s="17">
        <v>33</v>
      </c>
      <c r="I759" s="17">
        <v>1</v>
      </c>
      <c r="J759" s="17">
        <v>5</v>
      </c>
      <c r="K759" s="10">
        <v>13305</v>
      </c>
      <c r="P759" s="17">
        <v>1</v>
      </c>
      <c r="Q759" s="20">
        <f t="shared" si="145"/>
        <v>13305</v>
      </c>
      <c r="R759" s="14">
        <v>160</v>
      </c>
      <c r="S759" s="19">
        <f t="shared" si="146"/>
        <v>2128800</v>
      </c>
      <c r="AG759" s="22">
        <f t="shared" si="147"/>
        <v>0</v>
      </c>
      <c r="AJ759" s="20">
        <f t="shared" si="141"/>
        <v>0</v>
      </c>
      <c r="AM759" s="20">
        <f t="shared" si="142"/>
        <v>0</v>
      </c>
      <c r="AN759" s="20">
        <f t="shared" si="143"/>
        <v>2128800</v>
      </c>
      <c r="AP759" s="20">
        <f t="shared" si="144"/>
        <v>2128800</v>
      </c>
      <c r="AQ759" s="12">
        <v>1E-4</v>
      </c>
      <c r="AR759" s="20"/>
    </row>
    <row r="760" spans="1:45" ht="30" customHeight="1" x14ac:dyDescent="0.2">
      <c r="A760" s="8">
        <v>659</v>
      </c>
      <c r="B760" s="46">
        <v>15</v>
      </c>
      <c r="C760" s="16" t="s">
        <v>69</v>
      </c>
      <c r="E760" s="17">
        <v>1503</v>
      </c>
      <c r="F760" s="17">
        <v>3</v>
      </c>
      <c r="G760" s="13">
        <v>6</v>
      </c>
      <c r="H760" s="17">
        <v>19</v>
      </c>
      <c r="I760" s="17">
        <v>0</v>
      </c>
      <c r="J760" s="17">
        <v>25</v>
      </c>
      <c r="K760" s="10">
        <v>7625</v>
      </c>
      <c r="P760" s="17">
        <v>1</v>
      </c>
      <c r="Q760" s="20">
        <f t="shared" si="145"/>
        <v>7625</v>
      </c>
      <c r="R760" s="14">
        <v>160</v>
      </c>
      <c r="S760" s="20">
        <f t="shared" si="146"/>
        <v>1220000</v>
      </c>
      <c r="AG760" s="22">
        <f t="shared" si="147"/>
        <v>0</v>
      </c>
      <c r="AJ760" s="20">
        <f t="shared" si="141"/>
        <v>0</v>
      </c>
      <c r="AM760" s="20">
        <f t="shared" si="142"/>
        <v>0</v>
      </c>
      <c r="AN760" s="20">
        <f t="shared" si="143"/>
        <v>1220000</v>
      </c>
      <c r="AP760" s="20">
        <f t="shared" si="144"/>
        <v>1220000</v>
      </c>
      <c r="AQ760" s="12">
        <v>1E-4</v>
      </c>
      <c r="AR760" s="20"/>
    </row>
    <row r="761" spans="1:45" ht="30" customHeight="1" x14ac:dyDescent="0.2">
      <c r="A761" s="8"/>
      <c r="B761" s="46"/>
      <c r="C761" s="16"/>
      <c r="Q761" s="20"/>
      <c r="S761" s="20"/>
      <c r="AC761" s="21"/>
      <c r="AD761" s="21"/>
      <c r="AG761" s="22"/>
      <c r="AJ761" s="20"/>
      <c r="AM761" s="20"/>
      <c r="AN761" s="20"/>
      <c r="AP761" s="20"/>
      <c r="AR761" s="20"/>
    </row>
    <row r="762" spans="1:45" ht="30" customHeight="1" x14ac:dyDescent="0.2">
      <c r="A762" s="8">
        <v>660</v>
      </c>
      <c r="B762" s="13">
        <v>1</v>
      </c>
      <c r="C762" s="16" t="s">
        <v>65</v>
      </c>
      <c r="D762" s="17">
        <v>1670</v>
      </c>
      <c r="E762" s="17">
        <v>10</v>
      </c>
      <c r="H762" s="17">
        <v>11</v>
      </c>
      <c r="I762" s="17">
        <v>2</v>
      </c>
      <c r="J762" s="17">
        <v>70</v>
      </c>
      <c r="K762" s="10">
        <f>11*400+270</f>
        <v>4670</v>
      </c>
      <c r="P762" s="17">
        <v>1</v>
      </c>
      <c r="Q762" s="20">
        <f t="shared" si="145"/>
        <v>4670</v>
      </c>
      <c r="R762" s="14">
        <v>1000</v>
      </c>
      <c r="S762" s="19">
        <f t="shared" si="146"/>
        <v>4670000</v>
      </c>
      <c r="AC762" s="21"/>
      <c r="AD762" s="21"/>
      <c r="AG762" s="22">
        <f t="shared" si="147"/>
        <v>0</v>
      </c>
      <c r="AJ762" s="20">
        <f t="shared" si="141"/>
        <v>0</v>
      </c>
      <c r="AM762" s="20">
        <f t="shared" si="142"/>
        <v>0</v>
      </c>
      <c r="AN762" s="20">
        <f t="shared" si="143"/>
        <v>4670000</v>
      </c>
      <c r="AP762" s="20">
        <f t="shared" si="144"/>
        <v>4670000</v>
      </c>
      <c r="AQ762" s="12">
        <v>1E-4</v>
      </c>
      <c r="AR762" s="20"/>
    </row>
    <row r="763" spans="1:45" ht="30" customHeight="1" x14ac:dyDescent="0.2">
      <c r="A763" s="8">
        <v>661</v>
      </c>
      <c r="B763" s="13">
        <v>2</v>
      </c>
      <c r="C763" s="16" t="s">
        <v>65</v>
      </c>
      <c r="D763" s="17">
        <v>1955</v>
      </c>
      <c r="E763" s="17">
        <v>41</v>
      </c>
      <c r="H763" s="17">
        <v>11</v>
      </c>
      <c r="I763" s="17">
        <v>0</v>
      </c>
      <c r="J763" s="17">
        <v>33</v>
      </c>
      <c r="K763" s="10">
        <f>11*400+33</f>
        <v>4433</v>
      </c>
      <c r="P763" s="17">
        <v>1</v>
      </c>
      <c r="Q763" s="20">
        <f t="shared" si="145"/>
        <v>4433</v>
      </c>
      <c r="R763" s="14">
        <v>160</v>
      </c>
      <c r="S763" s="19">
        <f t="shared" si="146"/>
        <v>709280</v>
      </c>
      <c r="AC763" s="21"/>
      <c r="AD763" s="21"/>
      <c r="AG763" s="22">
        <f t="shared" si="147"/>
        <v>0</v>
      </c>
      <c r="AJ763" s="20">
        <f t="shared" si="141"/>
        <v>0</v>
      </c>
      <c r="AM763" s="20">
        <f t="shared" si="142"/>
        <v>0</v>
      </c>
      <c r="AN763" s="20">
        <f t="shared" si="143"/>
        <v>709280</v>
      </c>
      <c r="AP763" s="20">
        <f t="shared" si="144"/>
        <v>709280</v>
      </c>
      <c r="AQ763" s="12">
        <v>1E-4</v>
      </c>
      <c r="AR763" s="20"/>
    </row>
    <row r="764" spans="1:45" ht="30" customHeight="1" x14ac:dyDescent="0.2">
      <c r="A764" s="8">
        <v>662</v>
      </c>
      <c r="B764" s="13">
        <v>1</v>
      </c>
      <c r="C764" s="16" t="s">
        <v>65</v>
      </c>
      <c r="D764" s="17">
        <v>2385</v>
      </c>
      <c r="E764" s="17">
        <v>23</v>
      </c>
      <c r="H764" s="17">
        <v>5</v>
      </c>
      <c r="I764" s="17">
        <v>0</v>
      </c>
      <c r="J764" s="17">
        <v>36</v>
      </c>
      <c r="K764" s="10">
        <v>2036</v>
      </c>
      <c r="P764" s="17">
        <v>1</v>
      </c>
      <c r="Q764" s="20">
        <f t="shared" si="145"/>
        <v>2036</v>
      </c>
      <c r="R764" s="14">
        <v>160</v>
      </c>
      <c r="S764" s="20">
        <f t="shared" si="146"/>
        <v>325760</v>
      </c>
      <c r="AC764" s="21"/>
      <c r="AD764" s="21"/>
      <c r="AG764" s="22">
        <f t="shared" si="147"/>
        <v>0</v>
      </c>
      <c r="AJ764" s="20">
        <f t="shared" si="141"/>
        <v>0</v>
      </c>
      <c r="AM764" s="20">
        <f t="shared" si="142"/>
        <v>0</v>
      </c>
      <c r="AN764" s="20">
        <f t="shared" si="143"/>
        <v>325760</v>
      </c>
      <c r="AP764" s="20">
        <f t="shared" si="144"/>
        <v>325760</v>
      </c>
      <c r="AQ764" s="12">
        <v>1E-4</v>
      </c>
      <c r="AR764" s="20"/>
    </row>
    <row r="765" spans="1:45" ht="30" customHeight="1" x14ac:dyDescent="0.2">
      <c r="A765" s="8">
        <v>663</v>
      </c>
      <c r="B765" s="13">
        <v>1</v>
      </c>
      <c r="C765" s="16" t="s">
        <v>65</v>
      </c>
      <c r="D765" s="17">
        <v>2191</v>
      </c>
      <c r="E765" s="17">
        <v>33</v>
      </c>
      <c r="H765" s="17">
        <v>5</v>
      </c>
      <c r="I765" s="17">
        <v>0</v>
      </c>
      <c r="J765" s="17">
        <v>70</v>
      </c>
      <c r="K765" s="10">
        <v>2070</v>
      </c>
      <c r="P765" s="17">
        <v>1</v>
      </c>
      <c r="Q765" s="20">
        <f t="shared" si="145"/>
        <v>2070</v>
      </c>
      <c r="R765" s="14">
        <v>200</v>
      </c>
      <c r="S765" s="19">
        <f t="shared" si="146"/>
        <v>414000</v>
      </c>
      <c r="AG765" s="22">
        <f t="shared" si="147"/>
        <v>0</v>
      </c>
      <c r="AJ765" s="20">
        <f t="shared" si="141"/>
        <v>0</v>
      </c>
      <c r="AM765" s="20">
        <f t="shared" si="142"/>
        <v>0</v>
      </c>
      <c r="AN765" s="20">
        <f t="shared" si="143"/>
        <v>414000</v>
      </c>
      <c r="AP765" s="20">
        <f t="shared" si="144"/>
        <v>414000</v>
      </c>
      <c r="AQ765" s="12">
        <v>1E-4</v>
      </c>
      <c r="AR765" s="60"/>
      <c r="AS765" s="123">
        <v>540</v>
      </c>
    </row>
    <row r="766" spans="1:45" ht="30" customHeight="1" x14ac:dyDescent="0.2">
      <c r="A766" s="8">
        <v>664</v>
      </c>
      <c r="B766" s="13">
        <v>2</v>
      </c>
      <c r="C766" s="16" t="s">
        <v>65</v>
      </c>
      <c r="D766" s="17">
        <v>2192</v>
      </c>
      <c r="E766" s="17">
        <v>34</v>
      </c>
      <c r="H766" s="17">
        <v>22</v>
      </c>
      <c r="I766" s="17">
        <v>0</v>
      </c>
      <c r="J766" s="17">
        <v>20</v>
      </c>
      <c r="K766" s="10">
        <f>22*400+20</f>
        <v>8820</v>
      </c>
      <c r="P766" s="17">
        <v>1</v>
      </c>
      <c r="Q766" s="20">
        <f t="shared" si="145"/>
        <v>8820</v>
      </c>
      <c r="R766" s="14">
        <v>200</v>
      </c>
      <c r="S766" s="19">
        <f t="shared" si="146"/>
        <v>1764000</v>
      </c>
      <c r="AC766" s="21"/>
      <c r="AD766" s="21"/>
      <c r="AG766" s="22">
        <f t="shared" si="147"/>
        <v>0</v>
      </c>
      <c r="AJ766" s="20">
        <f t="shared" si="141"/>
        <v>0</v>
      </c>
      <c r="AM766" s="20">
        <f t="shared" si="142"/>
        <v>0</v>
      </c>
      <c r="AN766" s="20">
        <f t="shared" si="143"/>
        <v>1764000</v>
      </c>
      <c r="AP766" s="20">
        <f t="shared" si="144"/>
        <v>1764000</v>
      </c>
      <c r="AQ766" s="12">
        <v>1E-4</v>
      </c>
      <c r="AR766" s="24"/>
      <c r="AS766" s="124"/>
    </row>
    <row r="767" spans="1:45" ht="30" customHeight="1" x14ac:dyDescent="0.2">
      <c r="A767" s="8">
        <v>665</v>
      </c>
      <c r="B767" s="13">
        <v>3</v>
      </c>
      <c r="C767" s="16" t="s">
        <v>65</v>
      </c>
      <c r="D767" s="17">
        <v>2193</v>
      </c>
      <c r="E767" s="17">
        <v>35</v>
      </c>
      <c r="H767" s="17">
        <v>41</v>
      </c>
      <c r="I767" s="17">
        <v>1</v>
      </c>
      <c r="J767" s="17">
        <v>10</v>
      </c>
      <c r="K767" s="10">
        <f>41*400+110</f>
        <v>16510</v>
      </c>
      <c r="P767" s="17">
        <v>1</v>
      </c>
      <c r="Q767" s="20">
        <f t="shared" si="145"/>
        <v>16510</v>
      </c>
      <c r="R767" s="14">
        <v>200</v>
      </c>
      <c r="S767" s="20">
        <f t="shared" si="146"/>
        <v>3302000</v>
      </c>
      <c r="AG767" s="22">
        <f t="shared" si="147"/>
        <v>0</v>
      </c>
      <c r="AJ767" s="20">
        <f t="shared" si="141"/>
        <v>0</v>
      </c>
      <c r="AM767" s="20">
        <f t="shared" si="142"/>
        <v>0</v>
      </c>
      <c r="AN767" s="20">
        <f t="shared" si="143"/>
        <v>3302000</v>
      </c>
      <c r="AP767" s="20">
        <f t="shared" si="144"/>
        <v>3302000</v>
      </c>
      <c r="AQ767" s="12">
        <v>1E-4</v>
      </c>
      <c r="AR767" s="24"/>
      <c r="AS767" s="124"/>
    </row>
    <row r="768" spans="1:45" ht="30" customHeight="1" x14ac:dyDescent="0.2">
      <c r="A768" s="8">
        <v>666</v>
      </c>
      <c r="B768" s="13">
        <v>4</v>
      </c>
      <c r="C768" s="16" t="s">
        <v>65</v>
      </c>
      <c r="D768" s="17">
        <v>2194</v>
      </c>
      <c r="E768" s="17">
        <v>36</v>
      </c>
      <c r="H768" s="17">
        <v>30</v>
      </c>
      <c r="I768" s="17">
        <v>2</v>
      </c>
      <c r="J768" s="17">
        <v>0</v>
      </c>
      <c r="K768" s="10">
        <f>30*40+200</f>
        <v>1400</v>
      </c>
      <c r="P768" s="17">
        <v>1</v>
      </c>
      <c r="Q768" s="20">
        <f t="shared" si="145"/>
        <v>12200</v>
      </c>
      <c r="R768" s="14">
        <v>160</v>
      </c>
      <c r="S768" s="19">
        <f t="shared" si="146"/>
        <v>1952000</v>
      </c>
      <c r="AG768" s="22">
        <f t="shared" si="147"/>
        <v>0</v>
      </c>
      <c r="AJ768" s="20">
        <f t="shared" si="141"/>
        <v>0</v>
      </c>
      <c r="AM768" s="20">
        <f t="shared" si="142"/>
        <v>0</v>
      </c>
      <c r="AN768" s="20">
        <f t="shared" si="143"/>
        <v>1952000</v>
      </c>
      <c r="AP768" s="20">
        <f t="shared" si="144"/>
        <v>1952000</v>
      </c>
      <c r="AQ768" s="12">
        <v>1E-4</v>
      </c>
      <c r="AR768" s="24"/>
      <c r="AS768" s="124"/>
    </row>
    <row r="769" spans="1:45" ht="30" customHeight="1" x14ac:dyDescent="0.2">
      <c r="A769" s="8">
        <v>667</v>
      </c>
      <c r="B769" s="13">
        <v>5</v>
      </c>
      <c r="C769" s="16" t="s">
        <v>65</v>
      </c>
      <c r="D769" s="17">
        <v>2195</v>
      </c>
      <c r="E769" s="17">
        <v>37</v>
      </c>
      <c r="H769" s="17">
        <v>5</v>
      </c>
      <c r="I769" s="17">
        <v>2</v>
      </c>
      <c r="J769" s="17">
        <v>20</v>
      </c>
      <c r="K769" s="10">
        <f>5*400+220</f>
        <v>2220</v>
      </c>
      <c r="P769" s="17">
        <v>1</v>
      </c>
      <c r="Q769" s="20">
        <f t="shared" si="145"/>
        <v>2220</v>
      </c>
      <c r="R769" s="14">
        <v>160</v>
      </c>
      <c r="S769" s="19">
        <f t="shared" si="146"/>
        <v>355200</v>
      </c>
      <c r="AG769" s="22">
        <f t="shared" si="147"/>
        <v>0</v>
      </c>
      <c r="AJ769" s="20">
        <f t="shared" si="141"/>
        <v>0</v>
      </c>
      <c r="AM769" s="20">
        <f t="shared" si="142"/>
        <v>0</v>
      </c>
      <c r="AN769" s="20">
        <f t="shared" si="143"/>
        <v>355200</v>
      </c>
      <c r="AP769" s="20">
        <f t="shared" si="144"/>
        <v>355200</v>
      </c>
      <c r="AQ769" s="12">
        <v>1E-4</v>
      </c>
      <c r="AR769" s="24"/>
      <c r="AS769" s="124"/>
    </row>
    <row r="770" spans="1:45" ht="30" customHeight="1" x14ac:dyDescent="0.2">
      <c r="A770" s="8">
        <v>668</v>
      </c>
      <c r="B770" s="13">
        <v>6</v>
      </c>
      <c r="C770" s="16" t="s">
        <v>65</v>
      </c>
      <c r="D770" s="17">
        <v>2196</v>
      </c>
      <c r="E770" s="17">
        <v>38</v>
      </c>
      <c r="H770" s="17">
        <v>18</v>
      </c>
      <c r="I770" s="17">
        <v>0</v>
      </c>
      <c r="J770" s="17">
        <v>80</v>
      </c>
      <c r="K770" s="10">
        <f>18*400+80</f>
        <v>7280</v>
      </c>
      <c r="P770" s="17">
        <v>1</v>
      </c>
      <c r="Q770" s="20">
        <f t="shared" si="145"/>
        <v>7280</v>
      </c>
      <c r="R770" s="14">
        <v>160</v>
      </c>
      <c r="S770" s="20">
        <f t="shared" si="146"/>
        <v>1164800</v>
      </c>
      <c r="AG770" s="22">
        <f t="shared" si="147"/>
        <v>0</v>
      </c>
      <c r="AJ770" s="20">
        <f t="shared" si="141"/>
        <v>0</v>
      </c>
      <c r="AM770" s="20">
        <f t="shared" si="142"/>
        <v>0</v>
      </c>
      <c r="AN770" s="20">
        <f t="shared" si="143"/>
        <v>1164800</v>
      </c>
      <c r="AP770" s="20">
        <f t="shared" si="144"/>
        <v>1164800</v>
      </c>
      <c r="AQ770" s="12">
        <v>1E-4</v>
      </c>
      <c r="AR770" s="25"/>
      <c r="AS770" s="125"/>
    </row>
    <row r="771" spans="1:45" ht="30" customHeight="1" x14ac:dyDescent="0.2">
      <c r="A771" s="8">
        <v>669</v>
      </c>
      <c r="B771" s="13">
        <v>1</v>
      </c>
      <c r="C771" s="16" t="s">
        <v>69</v>
      </c>
      <c r="E771" s="17">
        <v>1500</v>
      </c>
      <c r="F771" s="17">
        <v>10</v>
      </c>
      <c r="G771" s="13">
        <v>6</v>
      </c>
      <c r="H771" s="17">
        <v>36</v>
      </c>
      <c r="I771" s="17">
        <v>3</v>
      </c>
      <c r="J771" s="17">
        <v>70</v>
      </c>
      <c r="K771" s="10">
        <v>14770</v>
      </c>
      <c r="P771" s="17">
        <v>1</v>
      </c>
      <c r="Q771" s="20">
        <f t="shared" si="145"/>
        <v>14770</v>
      </c>
      <c r="R771" s="14">
        <v>200</v>
      </c>
      <c r="S771" s="19">
        <f t="shared" si="146"/>
        <v>2954000</v>
      </c>
      <c r="AG771" s="22">
        <f t="shared" si="147"/>
        <v>0</v>
      </c>
      <c r="AJ771" s="20">
        <f t="shared" si="141"/>
        <v>0</v>
      </c>
      <c r="AM771" s="20">
        <f t="shared" si="142"/>
        <v>0</v>
      </c>
      <c r="AN771" s="20">
        <f t="shared" si="143"/>
        <v>2954000</v>
      </c>
      <c r="AP771" s="20">
        <f t="shared" si="144"/>
        <v>2954000</v>
      </c>
      <c r="AQ771" s="12">
        <v>1E-4</v>
      </c>
      <c r="AR771" s="20"/>
    </row>
    <row r="772" spans="1:45" ht="30" customHeight="1" x14ac:dyDescent="0.2">
      <c r="A772" s="8">
        <v>670</v>
      </c>
      <c r="B772" s="13">
        <v>2</v>
      </c>
      <c r="C772" s="16" t="s">
        <v>69</v>
      </c>
      <c r="E772" s="17">
        <v>1501</v>
      </c>
      <c r="F772" s="17">
        <v>3</v>
      </c>
      <c r="G772" s="13">
        <v>6</v>
      </c>
      <c r="H772" s="17">
        <v>14</v>
      </c>
      <c r="I772" s="17">
        <v>2</v>
      </c>
      <c r="J772" s="17">
        <v>37</v>
      </c>
      <c r="K772" s="10">
        <v>5837</v>
      </c>
      <c r="P772" s="17">
        <v>1</v>
      </c>
      <c r="Q772" s="20">
        <f t="shared" si="145"/>
        <v>5837</v>
      </c>
      <c r="R772" s="14">
        <v>250</v>
      </c>
      <c r="S772" s="19">
        <f t="shared" si="146"/>
        <v>1459250</v>
      </c>
      <c r="AG772" s="22">
        <f t="shared" si="147"/>
        <v>0</v>
      </c>
      <c r="AJ772" s="20">
        <f t="shared" si="141"/>
        <v>0</v>
      </c>
      <c r="AM772" s="20">
        <f t="shared" si="142"/>
        <v>0</v>
      </c>
      <c r="AN772" s="20">
        <f t="shared" si="143"/>
        <v>1459250</v>
      </c>
      <c r="AP772" s="20">
        <f t="shared" si="144"/>
        <v>1459250</v>
      </c>
      <c r="AQ772" s="12">
        <v>1E-4</v>
      </c>
      <c r="AR772" s="20"/>
    </row>
    <row r="773" spans="1:45" ht="30" customHeight="1" x14ac:dyDescent="0.2">
      <c r="A773" s="8">
        <v>671</v>
      </c>
      <c r="B773" s="13">
        <v>1</v>
      </c>
      <c r="C773" s="16" t="s">
        <v>69</v>
      </c>
      <c r="E773" s="17">
        <v>1500</v>
      </c>
      <c r="F773" s="17">
        <v>2</v>
      </c>
      <c r="G773" s="13">
        <v>6</v>
      </c>
      <c r="H773" s="17">
        <v>28</v>
      </c>
      <c r="I773" s="17">
        <v>3</v>
      </c>
      <c r="J773" s="17">
        <v>52</v>
      </c>
      <c r="K773" s="10">
        <v>11552</v>
      </c>
      <c r="P773" s="17">
        <v>1</v>
      </c>
      <c r="Q773" s="20">
        <f t="shared" si="145"/>
        <v>11552</v>
      </c>
      <c r="R773" s="14">
        <v>200</v>
      </c>
      <c r="S773" s="20">
        <f t="shared" si="146"/>
        <v>2310400</v>
      </c>
      <c r="AG773" s="22">
        <f t="shared" si="147"/>
        <v>0</v>
      </c>
      <c r="AJ773" s="20">
        <f t="shared" si="141"/>
        <v>0</v>
      </c>
      <c r="AM773" s="20">
        <f t="shared" si="142"/>
        <v>0</v>
      </c>
      <c r="AN773" s="20">
        <f t="shared" si="143"/>
        <v>2310400</v>
      </c>
      <c r="AP773" s="20">
        <f t="shared" si="144"/>
        <v>2310400</v>
      </c>
      <c r="AQ773" s="12">
        <v>1E-4</v>
      </c>
      <c r="AR773" s="20"/>
    </row>
    <row r="774" spans="1:45" ht="30" customHeight="1" x14ac:dyDescent="0.2">
      <c r="Q774" s="20">
        <f t="shared" si="145"/>
        <v>0</v>
      </c>
      <c r="R774" s="14" t="e">
        <v>#N/A</v>
      </c>
      <c r="S774" s="19" t="e">
        <f t="shared" si="146"/>
        <v>#N/A</v>
      </c>
      <c r="AG774" s="22">
        <f t="shared" si="147"/>
        <v>0</v>
      </c>
      <c r="AJ774" s="20">
        <f t="shared" si="141"/>
        <v>0</v>
      </c>
      <c r="AM774" s="20">
        <f t="shared" si="142"/>
        <v>0</v>
      </c>
      <c r="AN774" s="20" t="e">
        <f t="shared" si="143"/>
        <v>#N/A</v>
      </c>
      <c r="AP774" s="20" t="e">
        <f t="shared" si="144"/>
        <v>#N/A</v>
      </c>
      <c r="AR774" s="20"/>
    </row>
    <row r="775" spans="1:45" s="21" customFormat="1" ht="30" customHeight="1" x14ac:dyDescent="0.2">
      <c r="A775" s="8">
        <v>672</v>
      </c>
      <c r="B775" s="46">
        <v>1</v>
      </c>
      <c r="C775" s="16" t="s">
        <v>52</v>
      </c>
      <c r="D775" s="48">
        <v>2605</v>
      </c>
      <c r="E775" s="47">
        <v>15</v>
      </c>
      <c r="F775" s="48">
        <v>1861</v>
      </c>
      <c r="G775" s="49">
        <v>1</v>
      </c>
      <c r="H775" s="48">
        <v>0</v>
      </c>
      <c r="I775" s="48">
        <v>0</v>
      </c>
      <c r="J775" s="48">
        <v>54</v>
      </c>
      <c r="K775" s="3">
        <v>54</v>
      </c>
      <c r="L775" s="16"/>
      <c r="M775" s="57"/>
      <c r="N775" s="58"/>
      <c r="P775" s="16">
        <v>1</v>
      </c>
      <c r="Q775" s="20">
        <f t="shared" si="145"/>
        <v>54</v>
      </c>
      <c r="R775" s="14">
        <v>250</v>
      </c>
      <c r="S775" s="19">
        <f t="shared" si="146"/>
        <v>13500</v>
      </c>
      <c r="T775" s="16"/>
      <c r="U775" s="17"/>
      <c r="V775" s="17"/>
      <c r="W775" s="4"/>
      <c r="X775" s="16"/>
      <c r="Y775" s="5"/>
      <c r="Z775" s="16"/>
      <c r="AA775" s="16"/>
      <c r="AB775" s="16"/>
      <c r="AC775" s="14"/>
      <c r="AD775" s="14"/>
      <c r="AE775" s="16"/>
      <c r="AG775" s="22">
        <f t="shared" si="147"/>
        <v>0</v>
      </c>
      <c r="AH775" s="6"/>
      <c r="AJ775" s="20">
        <f t="shared" si="141"/>
        <v>0</v>
      </c>
      <c r="AK775" s="50"/>
      <c r="AL775" s="6"/>
      <c r="AM775" s="20">
        <f t="shared" si="142"/>
        <v>0</v>
      </c>
      <c r="AN775" s="20">
        <f t="shared" si="143"/>
        <v>13500</v>
      </c>
      <c r="AP775" s="20">
        <f t="shared" si="144"/>
        <v>13500</v>
      </c>
      <c r="AQ775" s="7"/>
      <c r="AR775" s="20"/>
      <c r="AS775" s="51"/>
    </row>
    <row r="776" spans="1:45" s="21" customFormat="1" ht="30" customHeight="1" x14ac:dyDescent="0.2">
      <c r="A776" s="8">
        <v>673</v>
      </c>
      <c r="B776" s="46">
        <v>1</v>
      </c>
      <c r="C776" s="16" t="s">
        <v>52</v>
      </c>
      <c r="D776" s="48">
        <v>645</v>
      </c>
      <c r="E776" s="47">
        <v>521</v>
      </c>
      <c r="F776" s="48">
        <v>97</v>
      </c>
      <c r="G776" s="49">
        <v>2</v>
      </c>
      <c r="H776" s="48">
        <v>1</v>
      </c>
      <c r="I776" s="48">
        <v>2</v>
      </c>
      <c r="J776" s="48">
        <v>1</v>
      </c>
      <c r="K776" s="3"/>
      <c r="L776" s="16">
        <v>601</v>
      </c>
      <c r="M776" s="57"/>
      <c r="N776" s="58"/>
      <c r="P776" s="16">
        <v>2</v>
      </c>
      <c r="Q776" s="20">
        <f t="shared" si="145"/>
        <v>601</v>
      </c>
      <c r="R776" s="14">
        <v>4500</v>
      </c>
      <c r="S776" s="20">
        <f t="shared" si="146"/>
        <v>2704500</v>
      </c>
      <c r="T776" s="16"/>
      <c r="U776" s="17"/>
      <c r="V776" s="17"/>
      <c r="W776" s="4"/>
      <c r="X776" s="16"/>
      <c r="Y776" s="5"/>
      <c r="Z776" s="16"/>
      <c r="AA776" s="16"/>
      <c r="AB776" s="16"/>
      <c r="AC776" s="14"/>
      <c r="AD776" s="14"/>
      <c r="AE776" s="16"/>
      <c r="AG776" s="22"/>
      <c r="AH776" s="6"/>
      <c r="AJ776" s="20"/>
      <c r="AK776" s="50"/>
      <c r="AL776" s="6"/>
      <c r="AM776" s="20">
        <f t="shared" si="142"/>
        <v>0</v>
      </c>
      <c r="AN776" s="20">
        <f t="shared" si="143"/>
        <v>2704500</v>
      </c>
      <c r="AP776" s="20">
        <f t="shared" si="144"/>
        <v>2704500</v>
      </c>
      <c r="AQ776" s="7">
        <v>3.0000000000000001E-3</v>
      </c>
      <c r="AR776" s="20"/>
      <c r="AS776" s="51"/>
    </row>
    <row r="777" spans="1:45" s="21" customFormat="1" ht="30" customHeight="1" x14ac:dyDescent="0.2">
      <c r="A777" s="8"/>
      <c r="B777" s="46"/>
      <c r="C777" s="16"/>
      <c r="D777" s="48"/>
      <c r="E777" s="47"/>
      <c r="F777" s="48"/>
      <c r="G777" s="49"/>
      <c r="H777" s="48"/>
      <c r="I777" s="48"/>
      <c r="J777" s="48"/>
      <c r="K777" s="3"/>
      <c r="L777" s="16"/>
      <c r="M777" s="57"/>
      <c r="N777" s="58"/>
      <c r="P777" s="16"/>
      <c r="Q777" s="20"/>
      <c r="R777" s="14"/>
      <c r="S777" s="20"/>
      <c r="T777" s="16">
        <v>1</v>
      </c>
      <c r="U777" s="17" t="s">
        <v>55</v>
      </c>
      <c r="V777" s="17"/>
      <c r="W777" s="4"/>
      <c r="X777" s="16"/>
      <c r="Y777" s="5"/>
      <c r="Z777" s="16">
        <v>87.5</v>
      </c>
      <c r="AA777" s="16"/>
      <c r="AB777" s="16"/>
      <c r="AC777" s="14"/>
      <c r="AD777" s="14"/>
      <c r="AE777" s="16">
        <f>63-49</f>
        <v>14</v>
      </c>
      <c r="AF777" s="21">
        <v>3</v>
      </c>
      <c r="AG777" s="22">
        <v>87.5</v>
      </c>
      <c r="AH777" s="6">
        <v>1</v>
      </c>
      <c r="AI777" s="21">
        <v>5650</v>
      </c>
      <c r="AJ777" s="20">
        <f t="shared" ref="AJ777:AJ800" si="148">+AG777*AH777*AI777</f>
        <v>494375</v>
      </c>
      <c r="AK777" s="50">
        <v>14</v>
      </c>
      <c r="AL777" s="6">
        <v>0.18</v>
      </c>
      <c r="AM777" s="20">
        <f t="shared" si="142"/>
        <v>405387.5</v>
      </c>
      <c r="AN777" s="20">
        <f t="shared" si="143"/>
        <v>405387.5</v>
      </c>
      <c r="AP777" s="20">
        <f t="shared" si="144"/>
        <v>405387.5</v>
      </c>
      <c r="AQ777" s="7">
        <v>3.0000000000000001E-3</v>
      </c>
      <c r="AR777" s="20"/>
      <c r="AS777" s="51"/>
    </row>
    <row r="778" spans="1:45" s="21" customFormat="1" ht="30" customHeight="1" x14ac:dyDescent="0.2">
      <c r="A778" s="8"/>
      <c r="B778" s="46"/>
      <c r="C778" s="16"/>
      <c r="D778" s="48"/>
      <c r="E778" s="47"/>
      <c r="F778" s="48"/>
      <c r="G778" s="49"/>
      <c r="H778" s="48"/>
      <c r="I778" s="48"/>
      <c r="J778" s="48"/>
      <c r="K778" s="3"/>
      <c r="L778" s="16"/>
      <c r="M778" s="57"/>
      <c r="N778" s="58"/>
      <c r="P778" s="16"/>
      <c r="Q778" s="20"/>
      <c r="R778" s="14"/>
      <c r="S778" s="20"/>
      <c r="T778" s="16">
        <v>2</v>
      </c>
      <c r="U778" s="17" t="s">
        <v>60</v>
      </c>
      <c r="V778" s="17"/>
      <c r="W778" s="4"/>
      <c r="X778" s="16"/>
      <c r="Y778" s="5"/>
      <c r="Z778" s="16">
        <v>9</v>
      </c>
      <c r="AA778" s="16"/>
      <c r="AB778" s="16"/>
      <c r="AC778" s="14"/>
      <c r="AD778" s="14"/>
      <c r="AE778" s="16"/>
      <c r="AF778" s="21">
        <v>3</v>
      </c>
      <c r="AG778" s="22">
        <v>9</v>
      </c>
      <c r="AH778" s="6">
        <v>1</v>
      </c>
      <c r="AI778" s="21">
        <v>6450</v>
      </c>
      <c r="AJ778" s="20">
        <f t="shared" si="148"/>
        <v>58050</v>
      </c>
      <c r="AK778" s="50">
        <v>14</v>
      </c>
      <c r="AL778" s="6">
        <v>0.18</v>
      </c>
      <c r="AM778" s="20">
        <f t="shared" si="142"/>
        <v>47601</v>
      </c>
      <c r="AN778" s="20">
        <f t="shared" si="143"/>
        <v>47601</v>
      </c>
      <c r="AP778" s="20">
        <f t="shared" si="144"/>
        <v>47601</v>
      </c>
      <c r="AQ778" s="7">
        <v>3.0000000000000001E-3</v>
      </c>
      <c r="AR778" s="20"/>
      <c r="AS778" s="51"/>
    </row>
    <row r="779" spans="1:45" ht="30" customHeight="1" x14ac:dyDescent="0.2">
      <c r="A779" s="8">
        <v>674</v>
      </c>
      <c r="B779" s="13">
        <v>1</v>
      </c>
      <c r="C779" s="16" t="s">
        <v>69</v>
      </c>
      <c r="E779" s="17">
        <v>1494</v>
      </c>
      <c r="F779" s="17">
        <v>7</v>
      </c>
      <c r="G779" s="13">
        <v>6</v>
      </c>
      <c r="H779" s="17">
        <v>46</v>
      </c>
      <c r="I779" s="17">
        <v>1</v>
      </c>
      <c r="J779" s="17">
        <v>91</v>
      </c>
      <c r="K779" s="10">
        <v>18591</v>
      </c>
      <c r="P779" s="17">
        <v>1</v>
      </c>
      <c r="Q779" s="20">
        <f t="shared" ref="Q779:Q801" si="149">+(H779*400)+(I779*100)+J779</f>
        <v>18591</v>
      </c>
      <c r="R779" s="14">
        <v>200</v>
      </c>
      <c r="S779" s="19">
        <f t="shared" ref="S779:S803" si="150">+Q779*R779</f>
        <v>3718200</v>
      </c>
      <c r="AG779" s="22">
        <f t="shared" ref="AG779:AG787" si="151">Y779</f>
        <v>0</v>
      </c>
      <c r="AJ779" s="20">
        <f t="shared" si="148"/>
        <v>0</v>
      </c>
      <c r="AM779" s="20">
        <f t="shared" si="142"/>
        <v>0</v>
      </c>
      <c r="AN779" s="20">
        <f t="shared" si="143"/>
        <v>3718200</v>
      </c>
      <c r="AP779" s="20">
        <f t="shared" si="144"/>
        <v>3718200</v>
      </c>
      <c r="AQ779" s="12">
        <v>1E-4</v>
      </c>
      <c r="AR779" s="20"/>
    </row>
    <row r="780" spans="1:45" ht="30" customHeight="1" x14ac:dyDescent="0.2">
      <c r="A780" s="8">
        <v>675</v>
      </c>
      <c r="B780" s="13">
        <v>1</v>
      </c>
      <c r="C780" s="16" t="s">
        <v>69</v>
      </c>
      <c r="E780" s="17">
        <v>1499</v>
      </c>
      <c r="F780" s="17">
        <v>4</v>
      </c>
      <c r="G780" s="13">
        <v>6</v>
      </c>
      <c r="H780" s="17">
        <v>14</v>
      </c>
      <c r="I780" s="17">
        <v>1</v>
      </c>
      <c r="J780" s="17">
        <v>63</v>
      </c>
      <c r="K780" s="10">
        <v>5763</v>
      </c>
      <c r="P780" s="17">
        <v>1</v>
      </c>
      <c r="Q780" s="20">
        <f t="shared" si="149"/>
        <v>5763</v>
      </c>
      <c r="R780" s="14">
        <v>200</v>
      </c>
      <c r="S780" s="19">
        <f t="shared" si="150"/>
        <v>1152600</v>
      </c>
      <c r="AG780" s="22">
        <f t="shared" si="151"/>
        <v>0</v>
      </c>
      <c r="AJ780" s="20">
        <f t="shared" si="148"/>
        <v>0</v>
      </c>
      <c r="AM780" s="20">
        <f t="shared" si="142"/>
        <v>0</v>
      </c>
      <c r="AN780" s="20">
        <f t="shared" si="143"/>
        <v>1152600</v>
      </c>
      <c r="AP780" s="20">
        <f t="shared" si="144"/>
        <v>1152600</v>
      </c>
      <c r="AQ780" s="12">
        <v>1E-4</v>
      </c>
      <c r="AR780" s="20"/>
    </row>
    <row r="781" spans="1:45" ht="30" customHeight="1" x14ac:dyDescent="0.2">
      <c r="A781" s="8">
        <v>676</v>
      </c>
      <c r="B781" s="13">
        <v>2</v>
      </c>
      <c r="C781" s="16" t="s">
        <v>69</v>
      </c>
      <c r="E781" s="17">
        <v>1502</v>
      </c>
      <c r="F781" s="17">
        <v>5</v>
      </c>
      <c r="G781" s="13">
        <v>6</v>
      </c>
      <c r="H781" s="17">
        <v>9</v>
      </c>
      <c r="I781" s="17">
        <v>0</v>
      </c>
      <c r="J781" s="17">
        <v>99</v>
      </c>
      <c r="K781" s="10">
        <v>3699</v>
      </c>
      <c r="P781" s="17">
        <v>1</v>
      </c>
      <c r="Q781" s="20">
        <f t="shared" si="149"/>
        <v>3699</v>
      </c>
      <c r="R781" s="14">
        <v>160</v>
      </c>
      <c r="S781" s="20">
        <f t="shared" si="150"/>
        <v>591840</v>
      </c>
      <c r="AG781" s="22">
        <f t="shared" si="151"/>
        <v>0</v>
      </c>
      <c r="AJ781" s="20">
        <f t="shared" si="148"/>
        <v>0</v>
      </c>
      <c r="AM781" s="20">
        <f t="shared" si="142"/>
        <v>0</v>
      </c>
      <c r="AN781" s="20">
        <f t="shared" si="143"/>
        <v>591840</v>
      </c>
      <c r="AP781" s="20">
        <f t="shared" si="144"/>
        <v>591840</v>
      </c>
      <c r="AQ781" s="12">
        <v>1E-4</v>
      </c>
      <c r="AR781" s="20"/>
    </row>
    <row r="782" spans="1:45" s="21" customFormat="1" ht="30" customHeight="1" x14ac:dyDescent="0.2">
      <c r="A782" s="8">
        <v>677</v>
      </c>
      <c r="B782" s="46">
        <v>1</v>
      </c>
      <c r="C782" s="16" t="s">
        <v>52</v>
      </c>
      <c r="D782" s="48">
        <v>946</v>
      </c>
      <c r="E782" s="47">
        <v>7</v>
      </c>
      <c r="F782" s="48">
        <v>340</v>
      </c>
      <c r="G782" s="49">
        <v>1</v>
      </c>
      <c r="H782" s="48">
        <v>0</v>
      </c>
      <c r="I782" s="48">
        <v>1</v>
      </c>
      <c r="J782" s="48">
        <v>19</v>
      </c>
      <c r="K782" s="3">
        <v>119</v>
      </c>
      <c r="L782" s="16"/>
      <c r="M782" s="57"/>
      <c r="N782" s="58"/>
      <c r="P782" s="16">
        <v>1</v>
      </c>
      <c r="Q782" s="20">
        <f t="shared" si="149"/>
        <v>119</v>
      </c>
      <c r="R782" s="14">
        <v>3000</v>
      </c>
      <c r="S782" s="19">
        <f t="shared" si="150"/>
        <v>357000</v>
      </c>
      <c r="T782" s="16"/>
      <c r="U782" s="17"/>
      <c r="V782" s="17"/>
      <c r="W782" s="4"/>
      <c r="X782" s="16"/>
      <c r="Y782" s="5"/>
      <c r="Z782" s="16"/>
      <c r="AA782" s="16"/>
      <c r="AB782" s="16"/>
      <c r="AE782" s="16"/>
      <c r="AG782" s="22">
        <f t="shared" si="151"/>
        <v>0</v>
      </c>
      <c r="AH782" s="6"/>
      <c r="AJ782" s="20">
        <f t="shared" si="148"/>
        <v>0</v>
      </c>
      <c r="AK782" s="50"/>
      <c r="AL782" s="6"/>
      <c r="AM782" s="20">
        <f t="shared" si="142"/>
        <v>0</v>
      </c>
      <c r="AN782" s="20">
        <f t="shared" si="143"/>
        <v>357000</v>
      </c>
      <c r="AP782" s="20">
        <f t="shared" si="144"/>
        <v>357000</v>
      </c>
      <c r="AQ782" s="7"/>
      <c r="AR782" s="60"/>
      <c r="AS782" s="128">
        <v>18</v>
      </c>
    </row>
    <row r="783" spans="1:45" s="21" customFormat="1" ht="30" customHeight="1" x14ac:dyDescent="0.2">
      <c r="A783" s="8">
        <v>678</v>
      </c>
      <c r="B783" s="46">
        <v>2</v>
      </c>
      <c r="C783" s="16" t="s">
        <v>52</v>
      </c>
      <c r="D783" s="48">
        <v>948</v>
      </c>
      <c r="E783" s="47">
        <v>9</v>
      </c>
      <c r="F783" s="48">
        <v>342</v>
      </c>
      <c r="G783" s="49">
        <v>1</v>
      </c>
      <c r="H783" s="48">
        <v>5</v>
      </c>
      <c r="I783" s="48">
        <v>1</v>
      </c>
      <c r="J783" s="48">
        <v>38</v>
      </c>
      <c r="K783" s="3">
        <v>2138</v>
      </c>
      <c r="L783" s="16"/>
      <c r="M783" s="57"/>
      <c r="N783" s="58"/>
      <c r="P783" s="16">
        <v>1</v>
      </c>
      <c r="Q783" s="20">
        <f t="shared" si="149"/>
        <v>2138</v>
      </c>
      <c r="R783" s="14">
        <v>160</v>
      </c>
      <c r="S783" s="19">
        <f t="shared" si="150"/>
        <v>342080</v>
      </c>
      <c r="T783" s="16"/>
      <c r="U783" s="17"/>
      <c r="V783" s="17"/>
      <c r="W783" s="4"/>
      <c r="X783" s="16"/>
      <c r="Y783" s="5"/>
      <c r="Z783" s="16"/>
      <c r="AA783" s="16"/>
      <c r="AB783" s="16"/>
      <c r="AE783" s="16"/>
      <c r="AG783" s="22">
        <f t="shared" si="151"/>
        <v>0</v>
      </c>
      <c r="AH783" s="6"/>
      <c r="AJ783" s="20">
        <f t="shared" si="148"/>
        <v>0</v>
      </c>
      <c r="AK783" s="50"/>
      <c r="AL783" s="6"/>
      <c r="AM783" s="20">
        <f t="shared" si="142"/>
        <v>0</v>
      </c>
      <c r="AN783" s="20">
        <f t="shared" si="143"/>
        <v>342080</v>
      </c>
      <c r="AP783" s="20">
        <f t="shared" si="144"/>
        <v>342080</v>
      </c>
      <c r="AQ783" s="7"/>
      <c r="AR783" s="25"/>
      <c r="AS783" s="130"/>
    </row>
    <row r="784" spans="1:45" ht="30" customHeight="1" x14ac:dyDescent="0.2">
      <c r="A784" s="8">
        <v>679</v>
      </c>
      <c r="B784" s="13">
        <v>1</v>
      </c>
      <c r="C784" s="16" t="s">
        <v>65</v>
      </c>
      <c r="D784" s="17">
        <v>968</v>
      </c>
      <c r="E784" s="17">
        <v>23</v>
      </c>
      <c r="H784" s="17">
        <v>5</v>
      </c>
      <c r="I784" s="17">
        <v>0</v>
      </c>
      <c r="J784" s="17">
        <v>0</v>
      </c>
      <c r="K784" s="10">
        <v>2000</v>
      </c>
      <c r="P784" s="17">
        <v>1</v>
      </c>
      <c r="Q784" s="20">
        <f t="shared" si="149"/>
        <v>2000</v>
      </c>
      <c r="R784" s="14">
        <v>500</v>
      </c>
      <c r="S784" s="20">
        <f t="shared" si="150"/>
        <v>1000000</v>
      </c>
      <c r="AG784" s="22">
        <f t="shared" si="151"/>
        <v>0</v>
      </c>
      <c r="AJ784" s="20">
        <f t="shared" si="148"/>
        <v>0</v>
      </c>
      <c r="AM784" s="20">
        <f t="shared" si="142"/>
        <v>0</v>
      </c>
      <c r="AN784" s="20">
        <f t="shared" si="143"/>
        <v>1000000</v>
      </c>
      <c r="AP784" s="20">
        <f t="shared" si="144"/>
        <v>1000000</v>
      </c>
      <c r="AQ784" s="12">
        <v>1E-4</v>
      </c>
      <c r="AR784" s="20"/>
      <c r="AS784" s="26">
        <v>13328</v>
      </c>
    </row>
    <row r="785" spans="1:45" s="21" customFormat="1" ht="30" customHeight="1" x14ac:dyDescent="0.2">
      <c r="A785" s="8">
        <v>680</v>
      </c>
      <c r="B785" s="46">
        <v>1</v>
      </c>
      <c r="C785" s="16" t="s">
        <v>52</v>
      </c>
      <c r="D785" s="48">
        <v>2472</v>
      </c>
      <c r="E785" s="47">
        <v>1</v>
      </c>
      <c r="F785" s="48">
        <v>1471</v>
      </c>
      <c r="G785" s="49">
        <v>2</v>
      </c>
      <c r="H785" s="48">
        <v>7</v>
      </c>
      <c r="I785" s="48">
        <v>1</v>
      </c>
      <c r="J785" s="48">
        <v>98.06</v>
      </c>
      <c r="K785" s="3">
        <v>2998.06</v>
      </c>
      <c r="L785" s="16"/>
      <c r="M785" s="57"/>
      <c r="N785" s="58"/>
      <c r="P785" s="16">
        <v>1</v>
      </c>
      <c r="Q785" s="20">
        <f t="shared" si="149"/>
        <v>2998.06</v>
      </c>
      <c r="R785" s="14">
        <v>200</v>
      </c>
      <c r="S785" s="19">
        <f t="shared" si="150"/>
        <v>599612</v>
      </c>
      <c r="T785" s="16"/>
      <c r="U785" s="16"/>
      <c r="V785" s="16"/>
      <c r="W785" s="5"/>
      <c r="X785" s="16"/>
      <c r="Y785" s="5"/>
      <c r="Z785" s="16"/>
      <c r="AA785" s="16"/>
      <c r="AB785" s="16"/>
      <c r="AE785" s="16"/>
      <c r="AG785" s="22">
        <f t="shared" si="151"/>
        <v>0</v>
      </c>
      <c r="AH785" s="6"/>
      <c r="AJ785" s="20">
        <f t="shared" si="148"/>
        <v>0</v>
      </c>
      <c r="AK785" s="50"/>
      <c r="AL785" s="6"/>
      <c r="AM785" s="20">
        <f t="shared" si="142"/>
        <v>0</v>
      </c>
      <c r="AN785" s="20">
        <f t="shared" si="143"/>
        <v>599612</v>
      </c>
      <c r="AP785" s="20">
        <f t="shared" si="144"/>
        <v>599612</v>
      </c>
      <c r="AQ785" s="7"/>
      <c r="AR785" s="20"/>
      <c r="AS785" s="51"/>
    </row>
    <row r="786" spans="1:45" s="29" customFormat="1" ht="30" customHeight="1" x14ac:dyDescent="0.2">
      <c r="A786" s="2">
        <v>681</v>
      </c>
      <c r="B786" s="46">
        <v>2</v>
      </c>
      <c r="C786" s="16" t="s">
        <v>52</v>
      </c>
      <c r="D786" s="48">
        <v>1480</v>
      </c>
      <c r="E786" s="47">
        <v>22</v>
      </c>
      <c r="F786" s="48">
        <v>1479</v>
      </c>
      <c r="G786" s="53">
        <v>2</v>
      </c>
      <c r="H786" s="48">
        <v>0</v>
      </c>
      <c r="I786" s="48">
        <v>0</v>
      </c>
      <c r="J786" s="48">
        <v>43</v>
      </c>
      <c r="K786" s="63"/>
      <c r="L786" s="63"/>
      <c r="M786" s="103"/>
      <c r="N786" s="63">
        <v>43</v>
      </c>
      <c r="O786" s="63"/>
      <c r="P786" s="104" t="s">
        <v>121</v>
      </c>
      <c r="Q786" s="20">
        <f t="shared" si="149"/>
        <v>43</v>
      </c>
      <c r="R786" s="14">
        <v>3000</v>
      </c>
      <c r="S786" s="20">
        <f t="shared" si="150"/>
        <v>129000</v>
      </c>
      <c r="T786" s="63"/>
      <c r="U786" s="87"/>
      <c r="V786" s="87"/>
      <c r="W786" s="28"/>
      <c r="X786" s="63"/>
      <c r="Y786" s="67"/>
      <c r="Z786" s="63"/>
      <c r="AA786" s="63"/>
      <c r="AB786" s="63"/>
      <c r="AC786" s="21"/>
      <c r="AD786" s="21"/>
      <c r="AE786" s="14"/>
      <c r="AF786" s="14"/>
      <c r="AG786" s="22">
        <f t="shared" si="151"/>
        <v>0</v>
      </c>
      <c r="AH786" s="11"/>
      <c r="AI786" s="14"/>
      <c r="AJ786" s="20">
        <f t="shared" si="148"/>
        <v>0</v>
      </c>
      <c r="AK786" s="23"/>
      <c r="AL786" s="11"/>
      <c r="AM786" s="20">
        <f t="shared" si="142"/>
        <v>0</v>
      </c>
      <c r="AN786" s="20">
        <f t="shared" si="143"/>
        <v>129000</v>
      </c>
      <c r="AO786" s="14"/>
      <c r="AP786" s="20">
        <f t="shared" si="144"/>
        <v>129000</v>
      </c>
      <c r="AQ786" s="12">
        <v>3.0000000000000001E-3</v>
      </c>
      <c r="AR786" s="105"/>
      <c r="AS786" s="106"/>
    </row>
    <row r="787" spans="1:45" s="29" customFormat="1" ht="30" customHeight="1" x14ac:dyDescent="0.2">
      <c r="A787" s="2">
        <v>682</v>
      </c>
      <c r="B787" s="46">
        <v>3</v>
      </c>
      <c r="C787" s="16" t="s">
        <v>52</v>
      </c>
      <c r="D787" s="48">
        <v>35017</v>
      </c>
      <c r="E787" s="47">
        <v>268</v>
      </c>
      <c r="F787" s="48">
        <v>6877</v>
      </c>
      <c r="G787" s="53">
        <v>2</v>
      </c>
      <c r="H787" s="48">
        <v>0</v>
      </c>
      <c r="I787" s="48">
        <v>0</v>
      </c>
      <c r="J787" s="48">
        <v>62</v>
      </c>
      <c r="K787" s="63">
        <v>62</v>
      </c>
      <c r="L787" s="63"/>
      <c r="M787" s="103"/>
      <c r="N787" s="63"/>
      <c r="O787" s="63"/>
      <c r="P787" s="104" t="s">
        <v>122</v>
      </c>
      <c r="Q787" s="20">
        <f t="shared" si="149"/>
        <v>62</v>
      </c>
      <c r="R787" s="14">
        <v>4500</v>
      </c>
      <c r="S787" s="19">
        <f t="shared" si="150"/>
        <v>279000</v>
      </c>
      <c r="T787" s="63"/>
      <c r="U787" s="87"/>
      <c r="V787" s="87"/>
      <c r="W787" s="28"/>
      <c r="X787" s="63"/>
      <c r="Y787" s="67"/>
      <c r="Z787" s="63"/>
      <c r="AA787" s="63"/>
      <c r="AB787" s="63"/>
      <c r="AC787" s="32"/>
      <c r="AD787" s="32"/>
      <c r="AE787" s="14"/>
      <c r="AF787" s="14"/>
      <c r="AG787" s="22">
        <f t="shared" si="151"/>
        <v>0</v>
      </c>
      <c r="AH787" s="11"/>
      <c r="AI787" s="14"/>
      <c r="AJ787" s="20">
        <f t="shared" si="148"/>
        <v>0</v>
      </c>
      <c r="AK787" s="23"/>
      <c r="AL787" s="11"/>
      <c r="AM787" s="20">
        <f t="shared" si="142"/>
        <v>0</v>
      </c>
      <c r="AN787" s="20">
        <f t="shared" si="143"/>
        <v>279000</v>
      </c>
      <c r="AO787" s="14"/>
      <c r="AP787" s="20">
        <f t="shared" si="144"/>
        <v>279000</v>
      </c>
      <c r="AQ787" s="12"/>
      <c r="AR787" s="105"/>
      <c r="AS787" s="106"/>
    </row>
    <row r="788" spans="1:45" s="21" customFormat="1" ht="30" customHeight="1" x14ac:dyDescent="0.2">
      <c r="A788" s="8">
        <v>683</v>
      </c>
      <c r="B788" s="46">
        <v>1</v>
      </c>
      <c r="C788" s="16" t="s">
        <v>52</v>
      </c>
      <c r="D788" s="48">
        <v>20584</v>
      </c>
      <c r="E788" s="47">
        <v>152</v>
      </c>
      <c r="F788" s="48">
        <v>4642</v>
      </c>
      <c r="G788" s="49">
        <v>2</v>
      </c>
      <c r="H788" s="48">
        <v>0</v>
      </c>
      <c r="I788" s="48">
        <v>1</v>
      </c>
      <c r="J788" s="48">
        <v>28</v>
      </c>
      <c r="K788" s="3"/>
      <c r="L788" s="16"/>
      <c r="M788" s="57">
        <v>128</v>
      </c>
      <c r="N788" s="58"/>
      <c r="P788" s="16">
        <v>3</v>
      </c>
      <c r="Q788" s="20">
        <f t="shared" si="149"/>
        <v>128</v>
      </c>
      <c r="R788" s="14">
        <v>4500</v>
      </c>
      <c r="S788" s="19">
        <f t="shared" si="150"/>
        <v>576000</v>
      </c>
      <c r="T788" s="16"/>
      <c r="U788" s="17" t="s">
        <v>123</v>
      </c>
      <c r="V788" s="16" t="s">
        <v>56</v>
      </c>
      <c r="W788" s="5">
        <v>360</v>
      </c>
      <c r="X788" s="16"/>
      <c r="Y788" s="5"/>
      <c r="Z788" s="16">
        <f>18*20</f>
        <v>360</v>
      </c>
      <c r="AA788" s="16"/>
      <c r="AB788" s="16">
        <f>63-57</f>
        <v>6</v>
      </c>
      <c r="AC788" s="16" t="s">
        <v>124</v>
      </c>
      <c r="AE788" s="16"/>
      <c r="AF788" s="21">
        <v>3</v>
      </c>
      <c r="AG788" s="22">
        <v>360</v>
      </c>
      <c r="AH788" s="6">
        <v>1</v>
      </c>
      <c r="AI788" s="21">
        <v>3600</v>
      </c>
      <c r="AJ788" s="20">
        <f t="shared" si="148"/>
        <v>1296000</v>
      </c>
      <c r="AK788" s="50">
        <v>5</v>
      </c>
      <c r="AL788" s="6">
        <v>0.05</v>
      </c>
      <c r="AM788" s="20">
        <f t="shared" si="142"/>
        <v>1231200</v>
      </c>
      <c r="AN788" s="20">
        <f t="shared" si="143"/>
        <v>1807200</v>
      </c>
      <c r="AP788" s="20">
        <f t="shared" si="144"/>
        <v>1807200</v>
      </c>
      <c r="AQ788" s="7">
        <v>3.0000000000000001E-3</v>
      </c>
      <c r="AR788" s="20"/>
      <c r="AS788" s="51">
        <v>6000</v>
      </c>
    </row>
    <row r="789" spans="1:45" s="21" customFormat="1" ht="30" customHeight="1" x14ac:dyDescent="0.2">
      <c r="A789" s="8">
        <v>684</v>
      </c>
      <c r="B789" s="46">
        <v>2</v>
      </c>
      <c r="C789" s="16" t="s">
        <v>52</v>
      </c>
      <c r="D789" s="48">
        <v>22079</v>
      </c>
      <c r="E789" s="47">
        <v>169</v>
      </c>
      <c r="F789" s="48">
        <v>4768</v>
      </c>
      <c r="G789" s="49">
        <v>2</v>
      </c>
      <c r="H789" s="48">
        <v>0</v>
      </c>
      <c r="I789" s="48">
        <v>0</v>
      </c>
      <c r="J789" s="48">
        <v>14</v>
      </c>
      <c r="K789" s="3"/>
      <c r="L789" s="16"/>
      <c r="M789" s="57">
        <v>14</v>
      </c>
      <c r="N789" s="58"/>
      <c r="P789" s="16">
        <v>3</v>
      </c>
      <c r="Q789" s="20">
        <f t="shared" si="149"/>
        <v>14</v>
      </c>
      <c r="R789" s="14">
        <v>2000</v>
      </c>
      <c r="S789" s="20">
        <f t="shared" si="150"/>
        <v>28000</v>
      </c>
      <c r="T789" s="16"/>
      <c r="U789" s="17"/>
      <c r="V789" s="17"/>
      <c r="W789" s="4"/>
      <c r="X789" s="16"/>
      <c r="Y789" s="5"/>
      <c r="Z789" s="16"/>
      <c r="AA789" s="16"/>
      <c r="AB789" s="16"/>
      <c r="AE789" s="16"/>
      <c r="AG789" s="22">
        <f>Y789</f>
        <v>0</v>
      </c>
      <c r="AH789" s="6"/>
      <c r="AJ789" s="20">
        <f t="shared" si="148"/>
        <v>0</v>
      </c>
      <c r="AK789" s="50"/>
      <c r="AL789" s="6"/>
      <c r="AM789" s="20">
        <f t="shared" si="142"/>
        <v>0</v>
      </c>
      <c r="AN789" s="20">
        <f t="shared" si="143"/>
        <v>28000</v>
      </c>
      <c r="AP789" s="20">
        <f t="shared" si="144"/>
        <v>28000</v>
      </c>
      <c r="AQ789" s="7"/>
      <c r="AR789" s="20">
        <v>6000</v>
      </c>
      <c r="AS789" s="51"/>
    </row>
    <row r="790" spans="1:45" s="21" customFormat="1" ht="30" customHeight="1" x14ac:dyDescent="0.2">
      <c r="A790" s="8">
        <v>685</v>
      </c>
      <c r="B790" s="46">
        <v>3</v>
      </c>
      <c r="C790" s="16" t="s">
        <v>52</v>
      </c>
      <c r="D790" s="48">
        <v>18347</v>
      </c>
      <c r="E790" s="47">
        <v>15</v>
      </c>
      <c r="F790" s="48">
        <v>4256</v>
      </c>
      <c r="G790" s="49">
        <v>7</v>
      </c>
      <c r="H790" s="48">
        <v>7</v>
      </c>
      <c r="I790" s="48">
        <v>2</v>
      </c>
      <c r="J790" s="48">
        <v>86</v>
      </c>
      <c r="K790" s="3">
        <v>3086</v>
      </c>
      <c r="L790" s="16"/>
      <c r="M790" s="57"/>
      <c r="N790" s="58"/>
      <c r="P790" s="16">
        <v>1</v>
      </c>
      <c r="Q790" s="20">
        <f t="shared" si="149"/>
        <v>3086</v>
      </c>
      <c r="R790" s="14">
        <v>1100</v>
      </c>
      <c r="S790" s="19">
        <f t="shared" si="150"/>
        <v>3394600</v>
      </c>
      <c r="T790" s="16"/>
      <c r="U790" s="17"/>
      <c r="V790" s="17"/>
      <c r="W790" s="4"/>
      <c r="X790" s="16"/>
      <c r="Y790" s="5"/>
      <c r="Z790" s="16"/>
      <c r="AA790" s="16"/>
      <c r="AB790" s="16"/>
      <c r="AE790" s="16"/>
      <c r="AG790" s="22">
        <f>Y790</f>
        <v>0</v>
      </c>
      <c r="AH790" s="6"/>
      <c r="AJ790" s="20">
        <f t="shared" si="148"/>
        <v>0</v>
      </c>
      <c r="AK790" s="50"/>
      <c r="AL790" s="6"/>
      <c r="AM790" s="20">
        <f t="shared" si="142"/>
        <v>0</v>
      </c>
      <c r="AN790" s="20">
        <f t="shared" si="143"/>
        <v>3394600</v>
      </c>
      <c r="AP790" s="20">
        <f t="shared" si="144"/>
        <v>3394600</v>
      </c>
      <c r="AQ790" s="7"/>
      <c r="AR790" s="20"/>
      <c r="AS790" s="51"/>
    </row>
    <row r="791" spans="1:45" ht="30" customHeight="1" x14ac:dyDescent="0.2">
      <c r="A791" s="8">
        <v>686</v>
      </c>
      <c r="B791" s="46">
        <v>4</v>
      </c>
      <c r="C791" s="16" t="s">
        <v>65</v>
      </c>
      <c r="D791" s="17">
        <v>2701</v>
      </c>
      <c r="E791" s="17">
        <v>344</v>
      </c>
      <c r="H791" s="17">
        <v>2</v>
      </c>
      <c r="I791" s="17">
        <v>0</v>
      </c>
      <c r="J791" s="17">
        <v>63</v>
      </c>
      <c r="K791" s="10">
        <v>863</v>
      </c>
      <c r="P791" s="17">
        <v>1</v>
      </c>
      <c r="Q791" s="20">
        <f t="shared" si="149"/>
        <v>863</v>
      </c>
      <c r="R791" s="14">
        <v>250</v>
      </c>
      <c r="S791" s="19">
        <f t="shared" si="150"/>
        <v>215750</v>
      </c>
      <c r="AC791" s="21"/>
      <c r="AD791" s="21"/>
      <c r="AG791" s="22">
        <f>Y791</f>
        <v>0</v>
      </c>
      <c r="AJ791" s="20">
        <f t="shared" si="148"/>
        <v>0</v>
      </c>
      <c r="AM791" s="20">
        <f t="shared" si="142"/>
        <v>0</v>
      </c>
      <c r="AN791" s="20">
        <f t="shared" si="143"/>
        <v>215750</v>
      </c>
      <c r="AP791" s="20">
        <f t="shared" si="144"/>
        <v>215750</v>
      </c>
      <c r="AQ791" s="12">
        <v>1E-4</v>
      </c>
      <c r="AR791" s="20"/>
    </row>
    <row r="792" spans="1:45" ht="30" customHeight="1" x14ac:dyDescent="0.2">
      <c r="A792" s="8">
        <v>687</v>
      </c>
      <c r="B792" s="46">
        <v>5</v>
      </c>
      <c r="C792" s="16" t="s">
        <v>65</v>
      </c>
      <c r="D792" s="17">
        <v>215</v>
      </c>
      <c r="E792" s="17">
        <v>126</v>
      </c>
      <c r="H792" s="17">
        <v>2</v>
      </c>
      <c r="I792" s="17">
        <v>0</v>
      </c>
      <c r="J792" s="17">
        <v>31</v>
      </c>
      <c r="K792" s="10">
        <v>831</v>
      </c>
      <c r="P792" s="17">
        <v>1</v>
      </c>
      <c r="Q792" s="20">
        <f t="shared" si="149"/>
        <v>831</v>
      </c>
      <c r="R792" s="14">
        <v>250</v>
      </c>
      <c r="S792" s="20">
        <f t="shared" si="150"/>
        <v>207750</v>
      </c>
      <c r="U792" s="17" t="s">
        <v>57</v>
      </c>
      <c r="V792" s="17" t="s">
        <v>56</v>
      </c>
      <c r="W792" s="4">
        <v>864</v>
      </c>
      <c r="Z792" s="17">
        <v>864</v>
      </c>
      <c r="AB792" s="17">
        <v>8</v>
      </c>
      <c r="AC792" s="21"/>
      <c r="AD792" s="21"/>
      <c r="AE792" s="17" t="s">
        <v>125</v>
      </c>
      <c r="AF792" s="14">
        <v>3</v>
      </c>
      <c r="AG792" s="22">
        <v>864</v>
      </c>
      <c r="AH792" s="11">
        <v>1</v>
      </c>
      <c r="AI792" s="14">
        <v>7250</v>
      </c>
      <c r="AJ792" s="20">
        <f t="shared" si="148"/>
        <v>6264000</v>
      </c>
      <c r="AK792" s="23">
        <v>8</v>
      </c>
      <c r="AL792" s="11">
        <v>0.08</v>
      </c>
      <c r="AM792" s="20">
        <f t="shared" si="142"/>
        <v>5762880</v>
      </c>
      <c r="AN792" s="20">
        <f t="shared" si="143"/>
        <v>5970630</v>
      </c>
      <c r="AP792" s="20">
        <f t="shared" si="144"/>
        <v>5970630</v>
      </c>
      <c r="AQ792" s="12">
        <v>3.0000000000000001E-3</v>
      </c>
      <c r="AR792" s="20"/>
    </row>
    <row r="793" spans="1:45" ht="30" customHeight="1" x14ac:dyDescent="0.2">
      <c r="A793" s="8">
        <v>688</v>
      </c>
      <c r="B793" s="46">
        <v>6</v>
      </c>
      <c r="C793" s="16" t="s">
        <v>65</v>
      </c>
      <c r="D793" s="17">
        <v>757</v>
      </c>
      <c r="E793" s="17">
        <v>4</v>
      </c>
      <c r="H793" s="17">
        <v>3</v>
      </c>
      <c r="I793" s="17">
        <v>2</v>
      </c>
      <c r="J793" s="17">
        <v>0</v>
      </c>
      <c r="K793" s="10">
        <v>1400</v>
      </c>
      <c r="P793" s="17">
        <v>1</v>
      </c>
      <c r="Q793" s="20">
        <f t="shared" si="149"/>
        <v>1400</v>
      </c>
      <c r="R793" s="14">
        <v>160</v>
      </c>
      <c r="S793" s="19">
        <f t="shared" si="150"/>
        <v>224000</v>
      </c>
      <c r="AC793" s="21"/>
      <c r="AD793" s="21"/>
      <c r="AG793" s="22">
        <f t="shared" ref="AG793:AG800" si="152">Y793</f>
        <v>0</v>
      </c>
      <c r="AJ793" s="20">
        <f t="shared" si="148"/>
        <v>0</v>
      </c>
      <c r="AM793" s="20">
        <f t="shared" si="142"/>
        <v>0</v>
      </c>
      <c r="AN793" s="20">
        <f t="shared" si="143"/>
        <v>224000</v>
      </c>
      <c r="AP793" s="20">
        <f t="shared" si="144"/>
        <v>224000</v>
      </c>
      <c r="AQ793" s="12">
        <v>1E-4</v>
      </c>
      <c r="AR793" s="20"/>
    </row>
    <row r="794" spans="1:45" ht="30" customHeight="1" x14ac:dyDescent="0.2">
      <c r="A794" s="8">
        <v>689</v>
      </c>
      <c r="B794" s="46">
        <v>7</v>
      </c>
      <c r="C794" s="16" t="s">
        <v>65</v>
      </c>
      <c r="D794" s="17">
        <v>763</v>
      </c>
      <c r="E794" s="17">
        <v>10</v>
      </c>
      <c r="H794" s="17">
        <v>1</v>
      </c>
      <c r="I794" s="17">
        <v>2</v>
      </c>
      <c r="J794" s="17">
        <v>53</v>
      </c>
      <c r="K794" s="10">
        <v>653</v>
      </c>
      <c r="P794" s="17">
        <v>1</v>
      </c>
      <c r="Q794" s="20">
        <f t="shared" si="149"/>
        <v>653</v>
      </c>
      <c r="R794" s="14">
        <v>160</v>
      </c>
      <c r="S794" s="19">
        <f t="shared" si="150"/>
        <v>104480</v>
      </c>
      <c r="AC794" s="21"/>
      <c r="AD794" s="21"/>
      <c r="AG794" s="22">
        <f t="shared" si="152"/>
        <v>0</v>
      </c>
      <c r="AJ794" s="20">
        <f t="shared" si="148"/>
        <v>0</v>
      </c>
      <c r="AM794" s="20">
        <f t="shared" si="142"/>
        <v>0</v>
      </c>
      <c r="AN794" s="20">
        <f t="shared" si="143"/>
        <v>104480</v>
      </c>
      <c r="AP794" s="20">
        <f t="shared" si="144"/>
        <v>104480</v>
      </c>
      <c r="AQ794" s="12">
        <v>1E-4</v>
      </c>
      <c r="AR794" s="20"/>
    </row>
    <row r="795" spans="1:45" ht="30" customHeight="1" x14ac:dyDescent="0.2">
      <c r="A795" s="8">
        <v>690</v>
      </c>
      <c r="B795" s="46">
        <v>8</v>
      </c>
      <c r="C795" s="16" t="s">
        <v>65</v>
      </c>
      <c r="D795" s="17">
        <v>2488</v>
      </c>
      <c r="E795" s="17">
        <v>45</v>
      </c>
      <c r="H795" s="17">
        <v>15</v>
      </c>
      <c r="I795" s="17">
        <v>3</v>
      </c>
      <c r="J795" s="17">
        <v>20</v>
      </c>
      <c r="K795" s="10">
        <f>15*400+320</f>
        <v>6320</v>
      </c>
      <c r="P795" s="17">
        <v>1</v>
      </c>
      <c r="Q795" s="20">
        <f t="shared" si="149"/>
        <v>6320</v>
      </c>
      <c r="R795" s="14">
        <v>500</v>
      </c>
      <c r="S795" s="19">
        <f t="shared" si="150"/>
        <v>3160000</v>
      </c>
      <c r="AC795" s="21"/>
      <c r="AD795" s="21"/>
      <c r="AG795" s="22">
        <f t="shared" si="152"/>
        <v>0</v>
      </c>
      <c r="AJ795" s="20">
        <f t="shared" si="148"/>
        <v>0</v>
      </c>
      <c r="AM795" s="20">
        <f t="shared" si="142"/>
        <v>0</v>
      </c>
      <c r="AN795" s="20">
        <f t="shared" si="143"/>
        <v>3160000</v>
      </c>
      <c r="AP795" s="20">
        <f t="shared" si="144"/>
        <v>3160000</v>
      </c>
      <c r="AQ795" s="12">
        <v>1E-4</v>
      </c>
      <c r="AR795" s="20"/>
    </row>
    <row r="796" spans="1:45" ht="30" customHeight="1" x14ac:dyDescent="0.2">
      <c r="A796" s="8">
        <v>691</v>
      </c>
      <c r="B796" s="46">
        <v>9</v>
      </c>
      <c r="C796" s="16" t="s">
        <v>65</v>
      </c>
      <c r="D796" s="17">
        <v>3173</v>
      </c>
      <c r="E796" s="17">
        <v>53</v>
      </c>
      <c r="H796" s="17">
        <v>4</v>
      </c>
      <c r="I796" s="17">
        <v>0</v>
      </c>
      <c r="J796" s="17">
        <v>6</v>
      </c>
      <c r="K796" s="10">
        <v>1606</v>
      </c>
      <c r="P796" s="17">
        <v>1</v>
      </c>
      <c r="Q796" s="20">
        <f t="shared" si="149"/>
        <v>1606</v>
      </c>
      <c r="R796" s="14">
        <v>250</v>
      </c>
      <c r="S796" s="19">
        <f t="shared" si="150"/>
        <v>401500</v>
      </c>
      <c r="AC796" s="21"/>
      <c r="AD796" s="21"/>
      <c r="AG796" s="22">
        <f t="shared" si="152"/>
        <v>0</v>
      </c>
      <c r="AJ796" s="20">
        <f t="shared" si="148"/>
        <v>0</v>
      </c>
      <c r="AM796" s="20">
        <f t="shared" si="142"/>
        <v>0</v>
      </c>
      <c r="AN796" s="20">
        <f t="shared" si="143"/>
        <v>401500</v>
      </c>
      <c r="AP796" s="20">
        <f t="shared" si="144"/>
        <v>401500</v>
      </c>
      <c r="AQ796" s="12">
        <v>1E-4</v>
      </c>
      <c r="AR796" s="20"/>
    </row>
    <row r="797" spans="1:45" ht="30" customHeight="1" x14ac:dyDescent="0.2">
      <c r="A797" s="8">
        <v>692</v>
      </c>
      <c r="B797" s="46">
        <v>10</v>
      </c>
      <c r="C797" s="16" t="s">
        <v>65</v>
      </c>
      <c r="D797" s="17">
        <v>982</v>
      </c>
      <c r="E797" s="17">
        <v>37</v>
      </c>
      <c r="H797" s="17">
        <v>4</v>
      </c>
      <c r="I797" s="17">
        <v>1</v>
      </c>
      <c r="J797" s="17">
        <v>24</v>
      </c>
      <c r="K797" s="10">
        <v>1724</v>
      </c>
      <c r="P797" s="17">
        <v>1</v>
      </c>
      <c r="Q797" s="20">
        <f t="shared" si="149"/>
        <v>1724</v>
      </c>
      <c r="R797" s="14">
        <v>1500</v>
      </c>
      <c r="S797" s="19">
        <f t="shared" si="150"/>
        <v>2586000</v>
      </c>
      <c r="AC797" s="21"/>
      <c r="AD797" s="21"/>
      <c r="AG797" s="22">
        <f t="shared" si="152"/>
        <v>0</v>
      </c>
      <c r="AJ797" s="20">
        <f t="shared" si="148"/>
        <v>0</v>
      </c>
      <c r="AM797" s="20">
        <f t="shared" si="142"/>
        <v>0</v>
      </c>
      <c r="AN797" s="20">
        <f t="shared" si="143"/>
        <v>2586000</v>
      </c>
      <c r="AP797" s="20">
        <f t="shared" si="144"/>
        <v>2586000</v>
      </c>
      <c r="AQ797" s="12">
        <v>1E-4</v>
      </c>
      <c r="AR797" s="20"/>
    </row>
    <row r="798" spans="1:45" ht="30" customHeight="1" x14ac:dyDescent="0.2">
      <c r="A798" s="8"/>
      <c r="B798" s="46"/>
      <c r="C798" s="16"/>
      <c r="Q798" s="20"/>
      <c r="S798" s="20"/>
      <c r="AC798" s="21"/>
      <c r="AD798" s="21"/>
      <c r="AG798" s="22"/>
      <c r="AJ798" s="20"/>
      <c r="AM798" s="20"/>
      <c r="AN798" s="20"/>
      <c r="AP798" s="20"/>
      <c r="AR798" s="20"/>
    </row>
    <row r="799" spans="1:45" ht="30" customHeight="1" x14ac:dyDescent="0.2">
      <c r="A799" s="8">
        <v>693</v>
      </c>
      <c r="B799" s="46">
        <v>10</v>
      </c>
      <c r="C799" s="16" t="s">
        <v>65</v>
      </c>
      <c r="D799" s="17">
        <v>2750</v>
      </c>
      <c r="E799" s="17">
        <v>53</v>
      </c>
      <c r="H799" s="17">
        <v>3</v>
      </c>
      <c r="I799" s="17">
        <v>1</v>
      </c>
      <c r="J799" s="17">
        <v>95</v>
      </c>
      <c r="K799" s="10">
        <v>1395</v>
      </c>
      <c r="Q799" s="20">
        <f t="shared" si="149"/>
        <v>1395</v>
      </c>
      <c r="R799" s="14">
        <v>200</v>
      </c>
      <c r="S799" s="19">
        <f t="shared" si="150"/>
        <v>279000</v>
      </c>
      <c r="AC799" s="21"/>
      <c r="AD799" s="21"/>
      <c r="AE799" s="17" t="s">
        <v>94</v>
      </c>
      <c r="AG799" s="22">
        <f t="shared" si="152"/>
        <v>0</v>
      </c>
      <c r="AJ799" s="20">
        <f t="shared" si="148"/>
        <v>0</v>
      </c>
      <c r="AM799" s="20">
        <f t="shared" si="142"/>
        <v>0</v>
      </c>
      <c r="AN799" s="20">
        <f t="shared" si="143"/>
        <v>279000</v>
      </c>
      <c r="AP799" s="20">
        <f t="shared" si="144"/>
        <v>279000</v>
      </c>
      <c r="AQ799" s="12">
        <v>1E-4</v>
      </c>
      <c r="AR799" s="20"/>
    </row>
    <row r="800" spans="1:45" ht="30" customHeight="1" x14ac:dyDescent="0.2">
      <c r="A800" s="8">
        <v>694</v>
      </c>
      <c r="B800" s="46">
        <v>11</v>
      </c>
      <c r="C800" s="16" t="s">
        <v>65</v>
      </c>
      <c r="D800" s="17">
        <v>2760</v>
      </c>
      <c r="E800" s="17">
        <v>362</v>
      </c>
      <c r="H800" s="17">
        <v>0</v>
      </c>
      <c r="I800" s="17">
        <v>0</v>
      </c>
      <c r="J800" s="17">
        <v>23</v>
      </c>
      <c r="K800" s="10">
        <v>23</v>
      </c>
      <c r="Q800" s="20">
        <f t="shared" si="149"/>
        <v>23</v>
      </c>
      <c r="R800" s="14">
        <v>160</v>
      </c>
      <c r="S800" s="20">
        <f t="shared" si="150"/>
        <v>3680</v>
      </c>
      <c r="AC800" s="21"/>
      <c r="AD800" s="21"/>
      <c r="AE800" s="17" t="s">
        <v>95</v>
      </c>
      <c r="AG800" s="22">
        <f t="shared" si="152"/>
        <v>0</v>
      </c>
      <c r="AJ800" s="20">
        <f t="shared" si="148"/>
        <v>0</v>
      </c>
      <c r="AM800" s="20">
        <f t="shared" si="142"/>
        <v>0</v>
      </c>
      <c r="AN800" s="20">
        <f t="shared" si="143"/>
        <v>3680</v>
      </c>
      <c r="AP800" s="20">
        <f t="shared" si="144"/>
        <v>3680</v>
      </c>
      <c r="AQ800" s="12">
        <v>1E-4</v>
      </c>
      <c r="AR800" s="20"/>
    </row>
    <row r="801" spans="1:45" ht="30" customHeight="1" x14ac:dyDescent="0.2">
      <c r="A801" s="8">
        <v>695</v>
      </c>
      <c r="B801" s="13">
        <v>1</v>
      </c>
      <c r="C801" s="16" t="s">
        <v>65</v>
      </c>
      <c r="D801" s="17">
        <v>766</v>
      </c>
      <c r="E801" s="17">
        <v>13</v>
      </c>
      <c r="H801" s="17">
        <v>8</v>
      </c>
      <c r="I801" s="17">
        <v>3</v>
      </c>
      <c r="J801" s="17">
        <v>20</v>
      </c>
      <c r="K801" s="10">
        <f>+(8*400+320)-L801</f>
        <v>3479.75</v>
      </c>
      <c r="L801" s="17">
        <f>161/4</f>
        <v>40.25</v>
      </c>
      <c r="P801" s="17">
        <v>5</v>
      </c>
      <c r="Q801" s="20">
        <f t="shared" si="149"/>
        <v>3520</v>
      </c>
      <c r="R801" s="14">
        <v>500</v>
      </c>
      <c r="S801" s="20">
        <f t="shared" si="150"/>
        <v>1760000</v>
      </c>
      <c r="AC801" s="21"/>
      <c r="AD801" s="21"/>
      <c r="AG801" s="22"/>
      <c r="AJ801" s="20"/>
      <c r="AM801" s="20"/>
      <c r="AN801" s="20"/>
      <c r="AP801" s="20"/>
      <c r="AR801" s="20"/>
      <c r="AS801" s="26">
        <v>49</v>
      </c>
    </row>
    <row r="802" spans="1:45" ht="30" customHeight="1" x14ac:dyDescent="0.2">
      <c r="A802" s="8"/>
      <c r="C802" s="16"/>
      <c r="Q802" s="20">
        <v>3479.8</v>
      </c>
      <c r="R802" s="14">
        <v>500</v>
      </c>
      <c r="S802" s="20">
        <f t="shared" si="150"/>
        <v>1739900</v>
      </c>
      <c r="AC802" s="21"/>
      <c r="AD802" s="21"/>
      <c r="AG802" s="22">
        <f t="shared" ref="AG802:AG839" si="153">Y802</f>
        <v>0</v>
      </c>
      <c r="AJ802" s="20">
        <f t="shared" ref="AJ802:AJ839" si="154">+AG802*AH802*AI802</f>
        <v>0</v>
      </c>
      <c r="AM802" s="20">
        <f>+AJ802-(AL802*AJ802)</f>
        <v>0</v>
      </c>
      <c r="AN802" s="20">
        <f>+S802+AM802</f>
        <v>1739900</v>
      </c>
      <c r="AP802" s="20">
        <f>AN802</f>
        <v>1739900</v>
      </c>
      <c r="AQ802" s="12">
        <v>1E-4</v>
      </c>
      <c r="AR802" s="20"/>
    </row>
    <row r="803" spans="1:45" ht="30" customHeight="1" x14ac:dyDescent="0.2">
      <c r="A803" s="8"/>
      <c r="C803" s="16"/>
      <c r="Q803" s="20">
        <v>40.25</v>
      </c>
      <c r="R803" s="14">
        <v>500</v>
      </c>
      <c r="S803" s="20">
        <f t="shared" si="150"/>
        <v>20125</v>
      </c>
      <c r="AC803" s="21"/>
      <c r="AD803" s="21"/>
      <c r="AG803" s="22">
        <f t="shared" si="153"/>
        <v>0</v>
      </c>
      <c r="AJ803" s="20">
        <f t="shared" si="154"/>
        <v>0</v>
      </c>
      <c r="AM803" s="20">
        <f>+AJ803-(AL803*AJ803)</f>
        <v>0</v>
      </c>
      <c r="AN803" s="20">
        <f>+S803+AM803</f>
        <v>20125</v>
      </c>
      <c r="AP803" s="20">
        <f>AN803</f>
        <v>20125</v>
      </c>
      <c r="AQ803" s="12">
        <v>2.0000000000000001E-4</v>
      </c>
      <c r="AR803" s="20"/>
    </row>
    <row r="804" spans="1:45" ht="30" customHeight="1" x14ac:dyDescent="0.2">
      <c r="A804" s="8"/>
      <c r="C804" s="16"/>
      <c r="Q804" s="20"/>
      <c r="S804" s="20"/>
      <c r="U804" s="17" t="s">
        <v>57</v>
      </c>
      <c r="V804" s="17" t="s">
        <v>88</v>
      </c>
      <c r="Y804" s="4">
        <v>161</v>
      </c>
      <c r="AB804" s="17">
        <f>62-31</f>
        <v>31</v>
      </c>
      <c r="AC804" s="21"/>
      <c r="AD804" s="21"/>
      <c r="AG804" s="22">
        <f t="shared" si="153"/>
        <v>161</v>
      </c>
      <c r="AJ804" s="20">
        <f t="shared" si="154"/>
        <v>0</v>
      </c>
      <c r="AK804" s="23">
        <v>31</v>
      </c>
      <c r="AM804" s="20"/>
      <c r="AN804" s="20"/>
      <c r="AP804" s="20"/>
      <c r="AR804" s="20"/>
    </row>
    <row r="805" spans="1:45" s="21" customFormat="1" ht="30" customHeight="1" x14ac:dyDescent="0.2">
      <c r="A805" s="8">
        <v>696</v>
      </c>
      <c r="B805" s="46">
        <v>1</v>
      </c>
      <c r="C805" s="16" t="s">
        <v>52</v>
      </c>
      <c r="D805" s="48">
        <v>20452</v>
      </c>
      <c r="E805" s="47">
        <v>27</v>
      </c>
      <c r="F805" s="48">
        <v>4618</v>
      </c>
      <c r="G805" s="49">
        <v>6</v>
      </c>
      <c r="H805" s="48">
        <v>0</v>
      </c>
      <c r="I805" s="48">
        <v>1</v>
      </c>
      <c r="J805" s="48">
        <v>14.03</v>
      </c>
      <c r="K805" s="3">
        <f>114.03-L805</f>
        <v>94.03</v>
      </c>
      <c r="L805" s="16">
        <v>20</v>
      </c>
      <c r="M805" s="57"/>
      <c r="N805" s="58"/>
      <c r="P805" s="16">
        <v>5</v>
      </c>
      <c r="Q805" s="20">
        <f t="shared" ref="Q805:Q839" si="155">+(H805*400)+(I805*100)+J805</f>
        <v>114.03</v>
      </c>
      <c r="R805" s="14">
        <v>160</v>
      </c>
      <c r="S805" s="19">
        <f t="shared" ref="S805:S839" si="156">+Q805*R805</f>
        <v>18244.8</v>
      </c>
      <c r="T805" s="16"/>
      <c r="U805" s="17" t="s">
        <v>57</v>
      </c>
      <c r="V805" s="17" t="s">
        <v>56</v>
      </c>
      <c r="W805" s="4"/>
      <c r="X805" s="16"/>
      <c r="Y805" s="5">
        <v>80</v>
      </c>
      <c r="Z805" s="16"/>
      <c r="AA805" s="16"/>
      <c r="AB805" s="16">
        <v>14</v>
      </c>
      <c r="AE805" s="16"/>
      <c r="AG805" s="22">
        <f t="shared" si="153"/>
        <v>80</v>
      </c>
      <c r="AH805" s="6"/>
      <c r="AJ805" s="20">
        <f t="shared" si="154"/>
        <v>0</v>
      </c>
      <c r="AK805" s="50">
        <v>14</v>
      </c>
      <c r="AL805" s="6"/>
      <c r="AM805" s="20">
        <f t="shared" ref="AM805:AM839" si="157">+AJ805-(AL805*AJ805)</f>
        <v>0</v>
      </c>
      <c r="AN805" s="20">
        <f t="shared" ref="AN805:AN815" si="158">+S805+AM805</f>
        <v>18244.8</v>
      </c>
      <c r="AP805" s="20">
        <f t="shared" ref="AP805:AP839" si="159">AN805</f>
        <v>18244.8</v>
      </c>
      <c r="AQ805" s="7"/>
      <c r="AR805" s="20"/>
      <c r="AS805" s="51"/>
    </row>
    <row r="806" spans="1:45" s="21" customFormat="1" ht="30" customHeight="1" x14ac:dyDescent="0.2">
      <c r="A806" s="8">
        <v>697</v>
      </c>
      <c r="B806" s="46">
        <v>1</v>
      </c>
      <c r="C806" s="16" t="s">
        <v>52</v>
      </c>
      <c r="D806" s="48">
        <v>5117</v>
      </c>
      <c r="E806" s="47">
        <v>52</v>
      </c>
      <c r="F806" s="48">
        <v>2848</v>
      </c>
      <c r="G806" s="49">
        <v>7</v>
      </c>
      <c r="H806" s="48">
        <v>76</v>
      </c>
      <c r="I806" s="48">
        <v>3</v>
      </c>
      <c r="J806" s="48">
        <v>44</v>
      </c>
      <c r="K806" s="3">
        <f>(76*400)+300+44</f>
        <v>30744</v>
      </c>
      <c r="L806" s="16"/>
      <c r="M806" s="57"/>
      <c r="N806" s="58"/>
      <c r="P806" s="16">
        <v>1</v>
      </c>
      <c r="Q806" s="20">
        <f t="shared" si="155"/>
        <v>30744</v>
      </c>
      <c r="R806" s="14">
        <v>410</v>
      </c>
      <c r="S806" s="19">
        <f t="shared" si="156"/>
        <v>12605040</v>
      </c>
      <c r="T806" s="16"/>
      <c r="U806" s="17"/>
      <c r="V806" s="17"/>
      <c r="W806" s="4"/>
      <c r="X806" s="16"/>
      <c r="Y806" s="5"/>
      <c r="Z806" s="16"/>
      <c r="AA806" s="16"/>
      <c r="AB806" s="16"/>
      <c r="AE806" s="16"/>
      <c r="AG806" s="22">
        <f t="shared" si="153"/>
        <v>0</v>
      </c>
      <c r="AH806" s="6"/>
      <c r="AJ806" s="20">
        <f t="shared" si="154"/>
        <v>0</v>
      </c>
      <c r="AK806" s="50"/>
      <c r="AL806" s="6"/>
      <c r="AM806" s="20">
        <f t="shared" si="157"/>
        <v>0</v>
      </c>
      <c r="AN806" s="20">
        <f t="shared" si="158"/>
        <v>12605040</v>
      </c>
      <c r="AP806" s="20">
        <f t="shared" si="159"/>
        <v>12605040</v>
      </c>
      <c r="AQ806" s="7"/>
      <c r="AR806" s="20"/>
      <c r="AS806" s="51"/>
    </row>
    <row r="807" spans="1:45" s="21" customFormat="1" ht="30" customHeight="1" x14ac:dyDescent="0.2">
      <c r="A807" s="8">
        <v>698</v>
      </c>
      <c r="B807" s="46">
        <v>2</v>
      </c>
      <c r="C807" s="16" t="s">
        <v>52</v>
      </c>
      <c r="D807" s="48">
        <v>5118</v>
      </c>
      <c r="E807" s="47">
        <v>53</v>
      </c>
      <c r="F807" s="48">
        <v>2849</v>
      </c>
      <c r="G807" s="49">
        <v>7</v>
      </c>
      <c r="H807" s="48">
        <v>1</v>
      </c>
      <c r="I807" s="48">
        <v>1</v>
      </c>
      <c r="J807" s="48">
        <v>82</v>
      </c>
      <c r="K807" s="3">
        <v>582</v>
      </c>
      <c r="L807" s="16"/>
      <c r="M807" s="57"/>
      <c r="N807" s="58"/>
      <c r="P807" s="16">
        <v>1</v>
      </c>
      <c r="Q807" s="20">
        <f t="shared" si="155"/>
        <v>582</v>
      </c>
      <c r="R807" s="14">
        <v>1000</v>
      </c>
      <c r="S807" s="20">
        <f t="shared" si="156"/>
        <v>582000</v>
      </c>
      <c r="T807" s="16"/>
      <c r="U807" s="17"/>
      <c r="V807" s="17"/>
      <c r="W807" s="4"/>
      <c r="X807" s="16"/>
      <c r="Y807" s="5"/>
      <c r="Z807" s="16"/>
      <c r="AA807" s="16"/>
      <c r="AB807" s="16"/>
      <c r="AE807" s="16"/>
      <c r="AG807" s="22">
        <f t="shared" si="153"/>
        <v>0</v>
      </c>
      <c r="AH807" s="6"/>
      <c r="AJ807" s="20">
        <f t="shared" si="154"/>
        <v>0</v>
      </c>
      <c r="AK807" s="50"/>
      <c r="AL807" s="6"/>
      <c r="AM807" s="20">
        <f t="shared" si="157"/>
        <v>0</v>
      </c>
      <c r="AN807" s="20">
        <f t="shared" si="158"/>
        <v>582000</v>
      </c>
      <c r="AP807" s="20">
        <f t="shared" si="159"/>
        <v>582000</v>
      </c>
      <c r="AQ807" s="7"/>
      <c r="AR807" s="20"/>
      <c r="AS807" s="51"/>
    </row>
    <row r="808" spans="1:45" s="21" customFormat="1" ht="30" customHeight="1" x14ac:dyDescent="0.2">
      <c r="A808" s="8">
        <v>699</v>
      </c>
      <c r="B808" s="46">
        <v>3</v>
      </c>
      <c r="C808" s="16" t="s">
        <v>52</v>
      </c>
      <c r="D808" s="48">
        <v>5119</v>
      </c>
      <c r="E808" s="47">
        <v>54</v>
      </c>
      <c r="F808" s="48">
        <v>2850</v>
      </c>
      <c r="G808" s="49">
        <v>7</v>
      </c>
      <c r="H808" s="48">
        <v>0</v>
      </c>
      <c r="I808" s="48">
        <v>0</v>
      </c>
      <c r="J808" s="48">
        <v>97</v>
      </c>
      <c r="K808" s="3">
        <v>97</v>
      </c>
      <c r="L808" s="16"/>
      <c r="M808" s="57"/>
      <c r="N808" s="58"/>
      <c r="P808" s="16">
        <v>1</v>
      </c>
      <c r="Q808" s="20">
        <f t="shared" si="155"/>
        <v>97</v>
      </c>
      <c r="R808" s="14">
        <v>1000</v>
      </c>
      <c r="S808" s="19">
        <f t="shared" si="156"/>
        <v>97000</v>
      </c>
      <c r="T808" s="16"/>
      <c r="U808" s="16"/>
      <c r="V808" s="16"/>
      <c r="W808" s="5"/>
      <c r="X808" s="16"/>
      <c r="Y808" s="5"/>
      <c r="Z808" s="16"/>
      <c r="AA808" s="16"/>
      <c r="AB808" s="16"/>
      <c r="AE808" s="16"/>
      <c r="AG808" s="22">
        <f t="shared" si="153"/>
        <v>0</v>
      </c>
      <c r="AH808" s="6"/>
      <c r="AJ808" s="20">
        <f t="shared" si="154"/>
        <v>0</v>
      </c>
      <c r="AK808" s="50"/>
      <c r="AL808" s="6"/>
      <c r="AM808" s="20">
        <f t="shared" si="157"/>
        <v>0</v>
      </c>
      <c r="AN808" s="20">
        <f t="shared" si="158"/>
        <v>97000</v>
      </c>
      <c r="AP808" s="20">
        <f t="shared" si="159"/>
        <v>97000</v>
      </c>
      <c r="AQ808" s="7"/>
      <c r="AR808" s="20"/>
      <c r="AS808" s="51"/>
    </row>
    <row r="809" spans="1:45" s="21" customFormat="1" ht="30" customHeight="1" x14ac:dyDescent="0.2">
      <c r="A809" s="8">
        <v>700</v>
      </c>
      <c r="B809" s="46">
        <v>4</v>
      </c>
      <c r="C809" s="16" t="s">
        <v>52</v>
      </c>
      <c r="D809" s="48">
        <v>5120</v>
      </c>
      <c r="E809" s="47">
        <v>50</v>
      </c>
      <c r="F809" s="48">
        <v>2847</v>
      </c>
      <c r="G809" s="49">
        <v>7</v>
      </c>
      <c r="H809" s="48">
        <v>18</v>
      </c>
      <c r="I809" s="48">
        <v>2</v>
      </c>
      <c r="J809" s="48">
        <v>97</v>
      </c>
      <c r="K809" s="3">
        <f>(18*400)+200+97</f>
        <v>7497</v>
      </c>
      <c r="L809" s="16"/>
      <c r="M809" s="57"/>
      <c r="N809" s="58"/>
      <c r="P809" s="16">
        <v>1</v>
      </c>
      <c r="Q809" s="20">
        <f t="shared" si="155"/>
        <v>7497</v>
      </c>
      <c r="R809" s="14">
        <v>160</v>
      </c>
      <c r="S809" s="19">
        <f t="shared" si="156"/>
        <v>1199520</v>
      </c>
      <c r="T809" s="16"/>
      <c r="U809" s="17"/>
      <c r="V809" s="16"/>
      <c r="W809" s="5"/>
      <c r="X809" s="16"/>
      <c r="Y809" s="5"/>
      <c r="Z809" s="16"/>
      <c r="AA809" s="16"/>
      <c r="AB809" s="16"/>
      <c r="AC809" s="14"/>
      <c r="AD809" s="14"/>
      <c r="AE809" s="16"/>
      <c r="AG809" s="22">
        <f t="shared" si="153"/>
        <v>0</v>
      </c>
      <c r="AH809" s="6"/>
      <c r="AJ809" s="20">
        <f t="shared" si="154"/>
        <v>0</v>
      </c>
      <c r="AK809" s="50"/>
      <c r="AL809" s="6"/>
      <c r="AM809" s="20">
        <f t="shared" si="157"/>
        <v>0</v>
      </c>
      <c r="AN809" s="20">
        <f t="shared" si="158"/>
        <v>1199520</v>
      </c>
      <c r="AP809" s="20">
        <f t="shared" si="159"/>
        <v>1199520</v>
      </c>
      <c r="AQ809" s="7"/>
      <c r="AR809" s="20"/>
      <c r="AS809" s="51"/>
    </row>
    <row r="810" spans="1:45" s="21" customFormat="1" ht="30" customHeight="1" x14ac:dyDescent="0.2">
      <c r="A810" s="8">
        <v>701</v>
      </c>
      <c r="B810" s="46">
        <v>1</v>
      </c>
      <c r="C810" s="16" t="s">
        <v>52</v>
      </c>
      <c r="D810" s="48">
        <v>2981</v>
      </c>
      <c r="E810" s="47">
        <v>8</v>
      </c>
      <c r="F810" s="48">
        <v>2049</v>
      </c>
      <c r="G810" s="49">
        <v>2</v>
      </c>
      <c r="H810" s="48">
        <v>0</v>
      </c>
      <c r="I810" s="48">
        <v>1</v>
      </c>
      <c r="J810" s="48">
        <v>49</v>
      </c>
      <c r="K810" s="3">
        <v>149</v>
      </c>
      <c r="L810" s="16"/>
      <c r="M810" s="57"/>
      <c r="N810" s="58"/>
      <c r="P810" s="16">
        <v>1</v>
      </c>
      <c r="Q810" s="20">
        <f t="shared" si="155"/>
        <v>149</v>
      </c>
      <c r="R810" s="14">
        <v>250</v>
      </c>
      <c r="S810" s="20">
        <f t="shared" si="156"/>
        <v>37250</v>
      </c>
      <c r="T810" s="16"/>
      <c r="U810" s="17"/>
      <c r="V810" s="17"/>
      <c r="W810" s="4"/>
      <c r="X810" s="16"/>
      <c r="Y810" s="5"/>
      <c r="Z810" s="16"/>
      <c r="AA810" s="16"/>
      <c r="AB810" s="16"/>
      <c r="AE810" s="16"/>
      <c r="AG810" s="22">
        <f t="shared" si="153"/>
        <v>0</v>
      </c>
      <c r="AH810" s="6"/>
      <c r="AJ810" s="20">
        <f t="shared" si="154"/>
        <v>0</v>
      </c>
      <c r="AK810" s="50"/>
      <c r="AL810" s="6"/>
      <c r="AM810" s="20">
        <f t="shared" si="157"/>
        <v>0</v>
      </c>
      <c r="AN810" s="20">
        <f t="shared" si="158"/>
        <v>37250</v>
      </c>
      <c r="AP810" s="20">
        <f t="shared" si="159"/>
        <v>37250</v>
      </c>
      <c r="AQ810" s="7"/>
      <c r="AR810" s="20"/>
      <c r="AS810" s="51"/>
    </row>
    <row r="811" spans="1:45" s="21" customFormat="1" ht="30" customHeight="1" x14ac:dyDescent="0.2">
      <c r="A811" s="8">
        <v>702</v>
      </c>
      <c r="B811" s="46">
        <v>2</v>
      </c>
      <c r="C811" s="16" t="s">
        <v>52</v>
      </c>
      <c r="D811" s="48">
        <v>1284</v>
      </c>
      <c r="E811" s="47">
        <v>5</v>
      </c>
      <c r="F811" s="48">
        <v>762</v>
      </c>
      <c r="G811" s="49">
        <v>7</v>
      </c>
      <c r="H811" s="48">
        <v>0</v>
      </c>
      <c r="I811" s="48">
        <v>0</v>
      </c>
      <c r="J811" s="48">
        <v>78</v>
      </c>
      <c r="K811" s="3"/>
      <c r="L811" s="16">
        <v>78</v>
      </c>
      <c r="M811" s="57"/>
      <c r="N811" s="58"/>
      <c r="P811" s="16">
        <v>2</v>
      </c>
      <c r="Q811" s="20">
        <f t="shared" si="155"/>
        <v>78</v>
      </c>
      <c r="R811" s="14">
        <v>4500</v>
      </c>
      <c r="S811" s="19">
        <f t="shared" si="156"/>
        <v>351000</v>
      </c>
      <c r="T811" s="16"/>
      <c r="U811" s="17" t="s">
        <v>57</v>
      </c>
      <c r="V811" s="17" t="s">
        <v>56</v>
      </c>
      <c r="W811" s="4"/>
      <c r="X811" s="16"/>
      <c r="Y811" s="5">
        <v>132</v>
      </c>
      <c r="Z811" s="16"/>
      <c r="AA811" s="16"/>
      <c r="AB811" s="16">
        <v>16</v>
      </c>
      <c r="AC811" s="14"/>
      <c r="AD811" s="14"/>
      <c r="AE811" s="16"/>
      <c r="AG811" s="22">
        <f t="shared" si="153"/>
        <v>132</v>
      </c>
      <c r="AH811" s="6"/>
      <c r="AJ811" s="20">
        <f t="shared" si="154"/>
        <v>0</v>
      </c>
      <c r="AK811" s="50">
        <v>16</v>
      </c>
      <c r="AL811" s="6"/>
      <c r="AM811" s="20">
        <f t="shared" si="157"/>
        <v>0</v>
      </c>
      <c r="AN811" s="20">
        <f t="shared" si="158"/>
        <v>351000</v>
      </c>
      <c r="AP811" s="20">
        <f t="shared" si="159"/>
        <v>351000</v>
      </c>
      <c r="AQ811" s="7"/>
      <c r="AR811" s="20"/>
      <c r="AS811" s="51"/>
    </row>
    <row r="812" spans="1:45" s="21" customFormat="1" ht="30" customHeight="1" x14ac:dyDescent="0.2">
      <c r="A812" s="8">
        <v>703</v>
      </c>
      <c r="B812" s="46">
        <v>1</v>
      </c>
      <c r="C812" s="16" t="s">
        <v>52</v>
      </c>
      <c r="D812" s="48">
        <v>1287</v>
      </c>
      <c r="E812" s="47">
        <v>2</v>
      </c>
      <c r="F812" s="48">
        <v>786</v>
      </c>
      <c r="G812" s="49">
        <v>6</v>
      </c>
      <c r="H812" s="48">
        <v>9</v>
      </c>
      <c r="I812" s="48">
        <v>3</v>
      </c>
      <c r="J812" s="48">
        <v>55</v>
      </c>
      <c r="K812" s="3">
        <f>((9*400)+300+55)-L812</f>
        <v>3951</v>
      </c>
      <c r="L812" s="16">
        <v>4</v>
      </c>
      <c r="M812" s="57"/>
      <c r="N812" s="58"/>
      <c r="P812" s="16">
        <v>5</v>
      </c>
      <c r="Q812" s="20">
        <f t="shared" si="155"/>
        <v>3955</v>
      </c>
      <c r="R812" s="14">
        <v>1100</v>
      </c>
      <c r="S812" s="19">
        <f t="shared" si="156"/>
        <v>4350500</v>
      </c>
      <c r="T812" s="16"/>
      <c r="U812" s="17"/>
      <c r="V812" s="17"/>
      <c r="W812" s="4"/>
      <c r="X812" s="16"/>
      <c r="Y812" s="5">
        <v>16</v>
      </c>
      <c r="Z812" s="16"/>
      <c r="AA812" s="16"/>
      <c r="AB812" s="16">
        <v>21</v>
      </c>
      <c r="AC812" s="14"/>
      <c r="AD812" s="14"/>
      <c r="AE812" s="16"/>
      <c r="AG812" s="22">
        <f t="shared" si="153"/>
        <v>16</v>
      </c>
      <c r="AH812" s="6"/>
      <c r="AJ812" s="20">
        <f t="shared" si="154"/>
        <v>0</v>
      </c>
      <c r="AK812" s="50">
        <v>21</v>
      </c>
      <c r="AL812" s="6"/>
      <c r="AM812" s="20">
        <f t="shared" si="157"/>
        <v>0</v>
      </c>
      <c r="AN812" s="20">
        <f t="shared" si="158"/>
        <v>4350500</v>
      </c>
      <c r="AP812" s="20">
        <f t="shared" si="159"/>
        <v>4350500</v>
      </c>
      <c r="AQ812" s="7"/>
      <c r="AR812" s="20"/>
      <c r="AS812" s="51">
        <v>62</v>
      </c>
    </row>
    <row r="813" spans="1:45" s="21" customFormat="1" ht="30" customHeight="1" x14ac:dyDescent="0.2">
      <c r="A813" s="8">
        <v>704</v>
      </c>
      <c r="B813" s="46">
        <v>1</v>
      </c>
      <c r="C813" s="16" t="s">
        <v>52</v>
      </c>
      <c r="D813" s="48">
        <v>3176</v>
      </c>
      <c r="E813" s="47">
        <v>60</v>
      </c>
      <c r="F813" s="48">
        <v>2105</v>
      </c>
      <c r="G813" s="49">
        <v>2</v>
      </c>
      <c r="H813" s="48">
        <v>1</v>
      </c>
      <c r="I813" s="48">
        <v>0</v>
      </c>
      <c r="J813" s="48">
        <v>72</v>
      </c>
      <c r="K813" s="3">
        <v>472</v>
      </c>
      <c r="L813" s="16"/>
      <c r="M813" s="57"/>
      <c r="N813" s="58"/>
      <c r="P813" s="16">
        <v>1</v>
      </c>
      <c r="Q813" s="20">
        <f t="shared" si="155"/>
        <v>472</v>
      </c>
      <c r="R813" s="14">
        <v>200</v>
      </c>
      <c r="S813" s="20">
        <f t="shared" si="156"/>
        <v>94400</v>
      </c>
      <c r="T813" s="16"/>
      <c r="U813" s="17"/>
      <c r="V813" s="17"/>
      <c r="W813" s="4"/>
      <c r="X813" s="16"/>
      <c r="Y813" s="5"/>
      <c r="Z813" s="16"/>
      <c r="AA813" s="16"/>
      <c r="AB813" s="16"/>
      <c r="AC813" s="14"/>
      <c r="AD813" s="14"/>
      <c r="AE813" s="16"/>
      <c r="AG813" s="22">
        <f t="shared" si="153"/>
        <v>0</v>
      </c>
      <c r="AH813" s="6"/>
      <c r="AJ813" s="20">
        <f t="shared" si="154"/>
        <v>0</v>
      </c>
      <c r="AK813" s="50"/>
      <c r="AL813" s="6"/>
      <c r="AM813" s="20">
        <f t="shared" si="157"/>
        <v>0</v>
      </c>
      <c r="AN813" s="20">
        <f t="shared" si="158"/>
        <v>94400</v>
      </c>
      <c r="AP813" s="20">
        <f t="shared" si="159"/>
        <v>94400</v>
      </c>
      <c r="AQ813" s="7">
        <v>3.0000000000000001E-3</v>
      </c>
      <c r="AR813" s="60">
        <v>102</v>
      </c>
      <c r="AS813" s="96">
        <f>102+7188</f>
        <v>7290</v>
      </c>
    </row>
    <row r="814" spans="1:45" s="21" customFormat="1" ht="30" customHeight="1" x14ac:dyDescent="0.2">
      <c r="A814" s="8">
        <v>705</v>
      </c>
      <c r="B814" s="46">
        <v>2</v>
      </c>
      <c r="C814" s="16" t="s">
        <v>52</v>
      </c>
      <c r="D814" s="48">
        <v>1493</v>
      </c>
      <c r="E814" s="47">
        <v>88</v>
      </c>
      <c r="F814" s="48">
        <v>1205</v>
      </c>
      <c r="G814" s="49">
        <v>2</v>
      </c>
      <c r="H814" s="48">
        <v>2</v>
      </c>
      <c r="I814" s="48">
        <v>2</v>
      </c>
      <c r="J814" s="48">
        <v>69</v>
      </c>
      <c r="K814" s="3">
        <v>1069</v>
      </c>
      <c r="L814" s="16"/>
      <c r="M814" s="57"/>
      <c r="N814" s="58"/>
      <c r="P814" s="16">
        <v>1</v>
      </c>
      <c r="Q814" s="20">
        <f t="shared" si="155"/>
        <v>1069</v>
      </c>
      <c r="R814" s="14">
        <v>160</v>
      </c>
      <c r="S814" s="19">
        <f t="shared" si="156"/>
        <v>171040</v>
      </c>
      <c r="T814" s="16"/>
      <c r="U814" s="17"/>
      <c r="V814" s="17"/>
      <c r="W814" s="4"/>
      <c r="X814" s="16"/>
      <c r="Y814" s="5"/>
      <c r="Z814" s="16"/>
      <c r="AA814" s="16"/>
      <c r="AB814" s="16"/>
      <c r="AC814" s="14"/>
      <c r="AD814" s="14"/>
      <c r="AE814" s="16"/>
      <c r="AG814" s="22">
        <f t="shared" si="153"/>
        <v>0</v>
      </c>
      <c r="AH814" s="6"/>
      <c r="AJ814" s="20">
        <f t="shared" si="154"/>
        <v>0</v>
      </c>
      <c r="AK814" s="50"/>
      <c r="AL814" s="6"/>
      <c r="AM814" s="20">
        <f t="shared" si="157"/>
        <v>0</v>
      </c>
      <c r="AN814" s="20">
        <f t="shared" si="158"/>
        <v>171040</v>
      </c>
      <c r="AP814" s="20">
        <f t="shared" si="159"/>
        <v>171040</v>
      </c>
      <c r="AQ814" s="7"/>
      <c r="AR814" s="24">
        <v>7188</v>
      </c>
      <c r="AS814" s="97"/>
    </row>
    <row r="815" spans="1:45" s="21" customFormat="1" ht="30" customHeight="1" x14ac:dyDescent="0.2">
      <c r="A815" s="8">
        <v>706</v>
      </c>
      <c r="B815" s="46">
        <v>3</v>
      </c>
      <c r="C815" s="16" t="s">
        <v>52</v>
      </c>
      <c r="D815" s="48">
        <v>1495</v>
      </c>
      <c r="E815" s="47">
        <v>89</v>
      </c>
      <c r="F815" s="48">
        <v>1206</v>
      </c>
      <c r="G815" s="49">
        <v>2</v>
      </c>
      <c r="H815" s="48">
        <v>3</v>
      </c>
      <c r="I815" s="48">
        <v>3</v>
      </c>
      <c r="J815" s="48">
        <v>50</v>
      </c>
      <c r="K815" s="3">
        <v>1550</v>
      </c>
      <c r="L815" s="16"/>
      <c r="M815" s="57"/>
      <c r="N815" s="58"/>
      <c r="P815" s="16">
        <v>1</v>
      </c>
      <c r="Q815" s="20">
        <f t="shared" si="155"/>
        <v>1550</v>
      </c>
      <c r="R815" s="14">
        <v>160</v>
      </c>
      <c r="S815" s="19">
        <f t="shared" si="156"/>
        <v>248000</v>
      </c>
      <c r="T815" s="16"/>
      <c r="U815" s="16"/>
      <c r="V815" s="16"/>
      <c r="W815" s="5"/>
      <c r="X815" s="16"/>
      <c r="Y815" s="5"/>
      <c r="Z815" s="16"/>
      <c r="AA815" s="16"/>
      <c r="AB815" s="16"/>
      <c r="AC815" s="14"/>
      <c r="AD815" s="14"/>
      <c r="AE815" s="16"/>
      <c r="AG815" s="22">
        <f t="shared" si="153"/>
        <v>0</v>
      </c>
      <c r="AH815" s="6"/>
      <c r="AJ815" s="20">
        <f t="shared" si="154"/>
        <v>0</v>
      </c>
      <c r="AK815" s="50"/>
      <c r="AL815" s="6"/>
      <c r="AM815" s="20">
        <f t="shared" si="157"/>
        <v>0</v>
      </c>
      <c r="AN815" s="20">
        <f t="shared" si="158"/>
        <v>248000</v>
      </c>
      <c r="AP815" s="20">
        <f t="shared" si="159"/>
        <v>248000</v>
      </c>
      <c r="AQ815" s="7"/>
      <c r="AR815" s="24"/>
      <c r="AS815" s="97"/>
    </row>
    <row r="816" spans="1:45" s="21" customFormat="1" ht="30" customHeight="1" x14ac:dyDescent="0.2">
      <c r="A816" s="131">
        <v>707</v>
      </c>
      <c r="B816" s="46">
        <v>4</v>
      </c>
      <c r="C816" s="16" t="s">
        <v>52</v>
      </c>
      <c r="D816" s="48">
        <v>1807</v>
      </c>
      <c r="E816" s="47">
        <v>124</v>
      </c>
      <c r="F816" s="48">
        <v>1191</v>
      </c>
      <c r="G816" s="49">
        <v>2</v>
      </c>
      <c r="H816" s="48">
        <v>0</v>
      </c>
      <c r="I816" s="48">
        <v>0</v>
      </c>
      <c r="J816" s="48">
        <v>80</v>
      </c>
      <c r="K816" s="3"/>
      <c r="L816" s="16"/>
      <c r="M816" s="57">
        <v>80</v>
      </c>
      <c r="N816" s="58"/>
      <c r="P816" s="16">
        <v>5</v>
      </c>
      <c r="Q816" s="20">
        <f t="shared" si="155"/>
        <v>80</v>
      </c>
      <c r="R816" s="14">
        <v>2000</v>
      </c>
      <c r="S816" s="20">
        <f t="shared" si="156"/>
        <v>160000</v>
      </c>
      <c r="T816" s="16"/>
      <c r="U816" s="17" t="s">
        <v>63</v>
      </c>
      <c r="V816" s="16" t="s">
        <v>56</v>
      </c>
      <c r="W816" s="5"/>
      <c r="X816" s="16"/>
      <c r="Y816" s="5">
        <v>72</v>
      </c>
      <c r="Z816" s="16"/>
      <c r="AA816" s="16"/>
      <c r="AB816" s="16">
        <v>8</v>
      </c>
      <c r="AE816" s="16" t="s">
        <v>126</v>
      </c>
      <c r="AF816" s="21">
        <v>3</v>
      </c>
      <c r="AG816" s="22">
        <f t="shared" si="153"/>
        <v>72</v>
      </c>
      <c r="AH816" s="6">
        <v>1</v>
      </c>
      <c r="AI816" s="21">
        <v>8100</v>
      </c>
      <c r="AJ816" s="20">
        <f t="shared" si="154"/>
        <v>583200</v>
      </c>
      <c r="AK816" s="50">
        <v>8</v>
      </c>
      <c r="AL816" s="6">
        <v>0.08</v>
      </c>
      <c r="AM816" s="20">
        <f t="shared" si="157"/>
        <v>536544</v>
      </c>
      <c r="AN816" s="20">
        <f>AM816+(S816*0.5)</f>
        <v>616544</v>
      </c>
      <c r="AP816" s="20">
        <f t="shared" si="159"/>
        <v>616544</v>
      </c>
      <c r="AQ816" s="7">
        <v>3.0000000000000001E-3</v>
      </c>
      <c r="AR816" s="24"/>
      <c r="AS816" s="97"/>
    </row>
    <row r="817" spans="1:49" s="21" customFormat="1" ht="30" customHeight="1" x14ac:dyDescent="0.2">
      <c r="A817" s="131"/>
      <c r="B817" s="46"/>
      <c r="C817" s="16"/>
      <c r="D817" s="48"/>
      <c r="E817" s="47"/>
      <c r="F817" s="48"/>
      <c r="G817" s="49"/>
      <c r="H817" s="48"/>
      <c r="I817" s="48"/>
      <c r="J817" s="48"/>
      <c r="K817" s="3"/>
      <c r="L817" s="16"/>
      <c r="M817" s="57"/>
      <c r="N817" s="58"/>
      <c r="P817" s="16"/>
      <c r="Q817" s="20">
        <f t="shared" si="155"/>
        <v>0</v>
      </c>
      <c r="R817" s="14" t="e">
        <v>#N/A</v>
      </c>
      <c r="S817" s="19" t="e">
        <f t="shared" si="156"/>
        <v>#N/A</v>
      </c>
      <c r="T817" s="16"/>
      <c r="U817" s="17" t="s">
        <v>63</v>
      </c>
      <c r="V817" s="16" t="s">
        <v>56</v>
      </c>
      <c r="W817" s="5"/>
      <c r="X817" s="16"/>
      <c r="Y817" s="5">
        <v>72</v>
      </c>
      <c r="Z817" s="16"/>
      <c r="AA817" s="16"/>
      <c r="AB817" s="16">
        <v>8</v>
      </c>
      <c r="AE817" s="16" t="s">
        <v>127</v>
      </c>
      <c r="AF817" s="21">
        <v>3</v>
      </c>
      <c r="AG817" s="22">
        <f t="shared" si="153"/>
        <v>72</v>
      </c>
      <c r="AH817" s="6">
        <v>1</v>
      </c>
      <c r="AI817" s="21">
        <v>8100</v>
      </c>
      <c r="AJ817" s="20">
        <f t="shared" si="154"/>
        <v>583200</v>
      </c>
      <c r="AK817" s="50">
        <v>8</v>
      </c>
      <c r="AL817" s="6">
        <v>0.08</v>
      </c>
      <c r="AM817" s="20">
        <f t="shared" si="157"/>
        <v>536544</v>
      </c>
      <c r="AN817" s="20">
        <f>(S816*0.5)+AM817</f>
        <v>616544</v>
      </c>
      <c r="AP817" s="20">
        <f t="shared" si="159"/>
        <v>616544</v>
      </c>
      <c r="AQ817" s="7">
        <v>3.0000000000000001E-3</v>
      </c>
      <c r="AR817" s="24"/>
      <c r="AS817" s="97"/>
    </row>
    <row r="818" spans="1:49" s="21" customFormat="1" ht="30" customHeight="1" x14ac:dyDescent="0.2">
      <c r="A818" s="8">
        <v>708</v>
      </c>
      <c r="B818" s="46">
        <v>5</v>
      </c>
      <c r="C818" s="16" t="s">
        <v>52</v>
      </c>
      <c r="D818" s="48">
        <v>3178</v>
      </c>
      <c r="E818" s="47">
        <v>39</v>
      </c>
      <c r="F818" s="48">
        <v>2107</v>
      </c>
      <c r="G818" s="49">
        <v>2</v>
      </c>
      <c r="H818" s="48">
        <v>9</v>
      </c>
      <c r="I818" s="48">
        <v>1</v>
      </c>
      <c r="J818" s="48">
        <v>34</v>
      </c>
      <c r="K818" s="3">
        <f>(9*400)+100+34</f>
        <v>3734</v>
      </c>
      <c r="L818" s="16"/>
      <c r="M818" s="57"/>
      <c r="N818" s="58"/>
      <c r="P818" s="16">
        <v>1</v>
      </c>
      <c r="Q818" s="20">
        <f t="shared" si="155"/>
        <v>3734</v>
      </c>
      <c r="R818" s="14">
        <v>200</v>
      </c>
      <c r="S818" s="19">
        <f t="shared" si="156"/>
        <v>746800</v>
      </c>
      <c r="T818" s="16"/>
      <c r="U818" s="17"/>
      <c r="V818" s="17"/>
      <c r="W818" s="4"/>
      <c r="X818" s="16"/>
      <c r="Y818" s="5"/>
      <c r="Z818" s="16"/>
      <c r="AA818" s="16"/>
      <c r="AB818" s="16"/>
      <c r="AE818" s="16"/>
      <c r="AG818" s="22">
        <f t="shared" si="153"/>
        <v>0</v>
      </c>
      <c r="AH818" s="6"/>
      <c r="AJ818" s="20">
        <f t="shared" si="154"/>
        <v>0</v>
      </c>
      <c r="AK818" s="50"/>
      <c r="AL818" s="6"/>
      <c r="AM818" s="20">
        <f t="shared" si="157"/>
        <v>0</v>
      </c>
      <c r="AN818" s="20">
        <f t="shared" ref="AN818:AN839" si="160">+S818+AM818</f>
        <v>746800</v>
      </c>
      <c r="AP818" s="20">
        <f t="shared" si="159"/>
        <v>746800</v>
      </c>
      <c r="AQ818" s="7"/>
      <c r="AR818" s="24"/>
      <c r="AS818" s="97"/>
    </row>
    <row r="819" spans="1:49" s="21" customFormat="1" ht="30" customHeight="1" x14ac:dyDescent="0.2">
      <c r="A819" s="8">
        <v>709</v>
      </c>
      <c r="B819" s="46">
        <v>6</v>
      </c>
      <c r="C819" s="16" t="s">
        <v>52</v>
      </c>
      <c r="D819" s="48">
        <v>4161</v>
      </c>
      <c r="E819" s="47">
        <v>79</v>
      </c>
      <c r="F819" s="48">
        <v>2250</v>
      </c>
      <c r="G819" s="49">
        <v>2</v>
      </c>
      <c r="H819" s="48">
        <v>4</v>
      </c>
      <c r="I819" s="48">
        <v>1</v>
      </c>
      <c r="J819" s="48">
        <v>57</v>
      </c>
      <c r="K819" s="3"/>
      <c r="L819" s="16"/>
      <c r="M819" s="57"/>
      <c r="N819" s="58">
        <v>1757</v>
      </c>
      <c r="P819" s="16">
        <v>4</v>
      </c>
      <c r="Q819" s="20">
        <f t="shared" si="155"/>
        <v>1757</v>
      </c>
      <c r="R819" s="14">
        <v>200</v>
      </c>
      <c r="S819" s="20">
        <f t="shared" si="156"/>
        <v>351400</v>
      </c>
      <c r="T819" s="16"/>
      <c r="U819" s="17"/>
      <c r="V819" s="17"/>
      <c r="W819" s="4"/>
      <c r="X819" s="16"/>
      <c r="Y819" s="5"/>
      <c r="Z819" s="16"/>
      <c r="AA819" s="16"/>
      <c r="AB819" s="16"/>
      <c r="AE819" s="16" t="s">
        <v>128</v>
      </c>
      <c r="AG819" s="22">
        <f t="shared" si="153"/>
        <v>0</v>
      </c>
      <c r="AH819" s="6"/>
      <c r="AJ819" s="20">
        <f t="shared" si="154"/>
        <v>0</v>
      </c>
      <c r="AK819" s="50"/>
      <c r="AL819" s="6"/>
      <c r="AM819" s="20">
        <f t="shared" si="157"/>
        <v>0</v>
      </c>
      <c r="AN819" s="20">
        <f t="shared" si="160"/>
        <v>351400</v>
      </c>
      <c r="AP819" s="20">
        <f t="shared" si="159"/>
        <v>351400</v>
      </c>
      <c r="AQ819" s="7"/>
      <c r="AR819" s="25"/>
      <c r="AS819" s="98"/>
    </row>
    <row r="820" spans="1:49" s="21" customFormat="1" ht="30" customHeight="1" x14ac:dyDescent="0.2">
      <c r="A820" s="8">
        <v>710</v>
      </c>
      <c r="B820" s="46">
        <v>1</v>
      </c>
      <c r="C820" s="16" t="s">
        <v>52</v>
      </c>
      <c r="D820" s="48">
        <v>3636</v>
      </c>
      <c r="E820" s="47">
        <v>10</v>
      </c>
      <c r="F820" s="48">
        <v>2371</v>
      </c>
      <c r="G820" s="49">
        <v>2</v>
      </c>
      <c r="H820" s="48">
        <v>13</v>
      </c>
      <c r="I820" s="48">
        <v>3</v>
      </c>
      <c r="J820" s="48">
        <v>16</v>
      </c>
      <c r="K820" s="3">
        <f>(13*400)+300+16</f>
        <v>5516</v>
      </c>
      <c r="L820" s="16"/>
      <c r="M820" s="57"/>
      <c r="N820" s="58"/>
      <c r="P820" s="16">
        <v>1</v>
      </c>
      <c r="Q820" s="20">
        <f t="shared" si="155"/>
        <v>5516</v>
      </c>
      <c r="R820" s="14">
        <v>160</v>
      </c>
      <c r="S820" s="19">
        <f t="shared" si="156"/>
        <v>882560</v>
      </c>
      <c r="T820" s="16"/>
      <c r="U820" s="17"/>
      <c r="V820" s="17"/>
      <c r="W820" s="4"/>
      <c r="X820" s="16"/>
      <c r="Y820" s="5"/>
      <c r="Z820" s="16"/>
      <c r="AA820" s="16"/>
      <c r="AB820" s="16"/>
      <c r="AE820" s="16"/>
      <c r="AG820" s="22">
        <f t="shared" si="153"/>
        <v>0</v>
      </c>
      <c r="AH820" s="6"/>
      <c r="AJ820" s="20">
        <f t="shared" si="154"/>
        <v>0</v>
      </c>
      <c r="AK820" s="50"/>
      <c r="AL820" s="6"/>
      <c r="AM820" s="20">
        <f t="shared" si="157"/>
        <v>0</v>
      </c>
      <c r="AN820" s="20">
        <f t="shared" si="160"/>
        <v>882560</v>
      </c>
      <c r="AP820" s="20">
        <f t="shared" si="159"/>
        <v>882560</v>
      </c>
      <c r="AQ820" s="7"/>
      <c r="AR820" s="20"/>
      <c r="AS820" s="51"/>
    </row>
    <row r="821" spans="1:49" s="21" customFormat="1" ht="30" customHeight="1" x14ac:dyDescent="0.2">
      <c r="A821" s="8">
        <v>711</v>
      </c>
      <c r="B821" s="46">
        <v>1</v>
      </c>
      <c r="C821" s="16" t="s">
        <v>52</v>
      </c>
      <c r="D821" s="48">
        <v>36377</v>
      </c>
      <c r="E821" s="47">
        <v>67</v>
      </c>
      <c r="F821" s="48">
        <v>7104</v>
      </c>
      <c r="G821" s="49">
        <v>3</v>
      </c>
      <c r="H821" s="48">
        <v>0</v>
      </c>
      <c r="I821" s="48">
        <v>3</v>
      </c>
      <c r="J821" s="48">
        <v>80</v>
      </c>
      <c r="K821" s="3">
        <f>+(380)-L821</f>
        <v>355.5</v>
      </c>
      <c r="L821" s="16">
        <v>24.5</v>
      </c>
      <c r="M821" s="57"/>
      <c r="N821" s="58"/>
      <c r="P821" s="16">
        <v>5</v>
      </c>
      <c r="Q821" s="20">
        <f t="shared" si="155"/>
        <v>380</v>
      </c>
      <c r="R821" s="14">
        <v>2000</v>
      </c>
      <c r="S821" s="19">
        <f t="shared" si="156"/>
        <v>760000</v>
      </c>
      <c r="T821" s="16"/>
      <c r="U821" s="17" t="s">
        <v>57</v>
      </c>
      <c r="V821" s="17" t="s">
        <v>56</v>
      </c>
      <c r="W821" s="4"/>
      <c r="X821" s="16"/>
      <c r="Y821" s="5">
        <v>98</v>
      </c>
      <c r="Z821" s="16"/>
      <c r="AA821" s="16"/>
      <c r="AB821" s="16">
        <v>18</v>
      </c>
      <c r="AE821" s="16"/>
      <c r="AG821" s="22">
        <f t="shared" si="153"/>
        <v>98</v>
      </c>
      <c r="AH821" s="6"/>
      <c r="AJ821" s="20">
        <f t="shared" si="154"/>
        <v>0</v>
      </c>
      <c r="AK821" s="50">
        <v>18</v>
      </c>
      <c r="AL821" s="6"/>
      <c r="AM821" s="20">
        <f t="shared" si="157"/>
        <v>0</v>
      </c>
      <c r="AN821" s="20">
        <f t="shared" si="160"/>
        <v>760000</v>
      </c>
      <c r="AP821" s="20">
        <f t="shared" si="159"/>
        <v>760000</v>
      </c>
      <c r="AQ821" s="7"/>
      <c r="AR821" s="20"/>
      <c r="AS821" s="51"/>
    </row>
    <row r="822" spans="1:49" s="21" customFormat="1" ht="30" customHeight="1" x14ac:dyDescent="0.2">
      <c r="A822" s="8">
        <v>712</v>
      </c>
      <c r="B822" s="46">
        <v>1</v>
      </c>
      <c r="C822" s="16" t="s">
        <v>52</v>
      </c>
      <c r="D822" s="48">
        <v>2001</v>
      </c>
      <c r="E822" s="47">
        <v>13</v>
      </c>
      <c r="F822" s="48">
        <v>1035</v>
      </c>
      <c r="G822" s="49">
        <v>4</v>
      </c>
      <c r="H822" s="48">
        <v>3</v>
      </c>
      <c r="I822" s="48">
        <v>3</v>
      </c>
      <c r="J822" s="48">
        <v>87</v>
      </c>
      <c r="K822" s="3">
        <f>+((3*400)+300+87)-L822</f>
        <v>1561.62</v>
      </c>
      <c r="L822" s="16">
        <v>25.38</v>
      </c>
      <c r="M822" s="57"/>
      <c r="N822" s="58"/>
      <c r="P822" s="16">
        <v>5</v>
      </c>
      <c r="Q822" s="20">
        <f t="shared" si="155"/>
        <v>1587</v>
      </c>
      <c r="R822" s="14">
        <v>500</v>
      </c>
      <c r="S822" s="20">
        <f t="shared" si="156"/>
        <v>793500</v>
      </c>
      <c r="T822" s="16"/>
      <c r="U822" s="17" t="s">
        <v>57</v>
      </c>
      <c r="V822" s="17" t="s">
        <v>56</v>
      </c>
      <c r="W822" s="4"/>
      <c r="X822" s="16"/>
      <c r="Y822" s="5">
        <v>101.5</v>
      </c>
      <c r="Z822" s="16"/>
      <c r="AA822" s="16"/>
      <c r="AB822" s="16">
        <v>25</v>
      </c>
      <c r="AE822" s="16"/>
      <c r="AG822" s="22">
        <f t="shared" si="153"/>
        <v>101.5</v>
      </c>
      <c r="AH822" s="6"/>
      <c r="AJ822" s="20">
        <f t="shared" si="154"/>
        <v>0</v>
      </c>
      <c r="AK822" s="50">
        <v>25</v>
      </c>
      <c r="AL822" s="6"/>
      <c r="AM822" s="20">
        <f t="shared" si="157"/>
        <v>0</v>
      </c>
      <c r="AN822" s="20">
        <f t="shared" si="160"/>
        <v>793500</v>
      </c>
      <c r="AP822" s="20">
        <f t="shared" si="159"/>
        <v>793500</v>
      </c>
      <c r="AQ822" s="7"/>
      <c r="AR822" s="20"/>
      <c r="AS822" s="51"/>
    </row>
    <row r="823" spans="1:49" s="21" customFormat="1" ht="30" customHeight="1" x14ac:dyDescent="0.2">
      <c r="A823" s="8">
        <v>713</v>
      </c>
      <c r="B823" s="46">
        <v>2</v>
      </c>
      <c r="C823" s="16" t="s">
        <v>52</v>
      </c>
      <c r="D823" s="48">
        <v>2458</v>
      </c>
      <c r="E823" s="47">
        <v>21</v>
      </c>
      <c r="F823" s="48">
        <v>1140</v>
      </c>
      <c r="G823" s="49">
        <v>4</v>
      </c>
      <c r="H823" s="48">
        <v>1</v>
      </c>
      <c r="I823" s="48">
        <v>1</v>
      </c>
      <c r="J823" s="48">
        <v>18</v>
      </c>
      <c r="K823" s="3">
        <v>518</v>
      </c>
      <c r="L823" s="16"/>
      <c r="M823" s="57"/>
      <c r="N823" s="58"/>
      <c r="P823" s="16">
        <v>1</v>
      </c>
      <c r="Q823" s="20">
        <f t="shared" si="155"/>
        <v>518</v>
      </c>
      <c r="R823" s="14">
        <v>160</v>
      </c>
      <c r="S823" s="19">
        <f t="shared" si="156"/>
        <v>82880</v>
      </c>
      <c r="T823" s="16"/>
      <c r="U823" s="16"/>
      <c r="V823" s="16"/>
      <c r="W823" s="5"/>
      <c r="X823" s="16"/>
      <c r="Y823" s="5"/>
      <c r="Z823" s="16"/>
      <c r="AA823" s="16"/>
      <c r="AB823" s="16"/>
      <c r="AE823" s="16"/>
      <c r="AG823" s="22">
        <f t="shared" si="153"/>
        <v>0</v>
      </c>
      <c r="AH823" s="6"/>
      <c r="AJ823" s="20">
        <f t="shared" si="154"/>
        <v>0</v>
      </c>
      <c r="AK823" s="50"/>
      <c r="AL823" s="6"/>
      <c r="AM823" s="20">
        <f t="shared" si="157"/>
        <v>0</v>
      </c>
      <c r="AN823" s="20">
        <f t="shared" si="160"/>
        <v>82880</v>
      </c>
      <c r="AP823" s="20">
        <f t="shared" si="159"/>
        <v>82880</v>
      </c>
      <c r="AQ823" s="7"/>
      <c r="AR823" s="20"/>
      <c r="AS823" s="51"/>
    </row>
    <row r="824" spans="1:49" s="21" customFormat="1" ht="30" customHeight="1" x14ac:dyDescent="0.2">
      <c r="A824" s="8">
        <v>714</v>
      </c>
      <c r="B824" s="46">
        <v>1</v>
      </c>
      <c r="C824" s="16" t="s">
        <v>52</v>
      </c>
      <c r="D824" s="48">
        <v>29943</v>
      </c>
      <c r="E824" s="47">
        <v>165</v>
      </c>
      <c r="F824" s="48">
        <v>5771</v>
      </c>
      <c r="G824" s="49">
        <v>1</v>
      </c>
      <c r="H824" s="48">
        <v>0</v>
      </c>
      <c r="I824" s="48">
        <v>0</v>
      </c>
      <c r="J824" s="48">
        <v>50</v>
      </c>
      <c r="K824" s="3"/>
      <c r="L824" s="16"/>
      <c r="M824" s="57"/>
      <c r="N824" s="58">
        <v>50</v>
      </c>
      <c r="P824" s="16">
        <v>4</v>
      </c>
      <c r="Q824" s="20">
        <f t="shared" si="155"/>
        <v>50</v>
      </c>
      <c r="R824" s="14">
        <v>250</v>
      </c>
      <c r="S824" s="19">
        <f t="shared" si="156"/>
        <v>12500</v>
      </c>
      <c r="T824" s="16"/>
      <c r="U824" s="17"/>
      <c r="V824" s="16"/>
      <c r="W824" s="5"/>
      <c r="X824" s="16"/>
      <c r="Y824" s="5"/>
      <c r="Z824" s="16"/>
      <c r="AA824" s="16"/>
      <c r="AB824" s="16"/>
      <c r="AE824" s="16"/>
      <c r="AG824" s="22">
        <f t="shared" si="153"/>
        <v>0</v>
      </c>
      <c r="AH824" s="6"/>
      <c r="AJ824" s="20">
        <f t="shared" si="154"/>
        <v>0</v>
      </c>
      <c r="AK824" s="50"/>
      <c r="AL824" s="6"/>
      <c r="AM824" s="20">
        <f t="shared" si="157"/>
        <v>0</v>
      </c>
      <c r="AN824" s="20">
        <f t="shared" si="160"/>
        <v>12500</v>
      </c>
      <c r="AP824" s="20">
        <f t="shared" si="159"/>
        <v>12500</v>
      </c>
      <c r="AQ824" s="7">
        <v>3.0000000000000001E-3</v>
      </c>
      <c r="AR824" s="20"/>
      <c r="AS824" s="51" t="s">
        <v>111</v>
      </c>
    </row>
    <row r="825" spans="1:49" s="21" customFormat="1" ht="30" customHeight="1" x14ac:dyDescent="0.2">
      <c r="A825" s="8">
        <v>715</v>
      </c>
      <c r="B825" s="46">
        <v>1</v>
      </c>
      <c r="C825" s="16" t="s">
        <v>52</v>
      </c>
      <c r="D825" s="48">
        <v>25722</v>
      </c>
      <c r="E825" s="47">
        <v>81</v>
      </c>
      <c r="F825" s="48">
        <v>5029</v>
      </c>
      <c r="G825" s="49">
        <v>1</v>
      </c>
      <c r="H825" s="48">
        <v>1</v>
      </c>
      <c r="I825" s="48">
        <v>0</v>
      </c>
      <c r="J825" s="48">
        <v>68</v>
      </c>
      <c r="K825" s="3">
        <v>468</v>
      </c>
      <c r="L825" s="16"/>
      <c r="M825" s="57"/>
      <c r="N825" s="58"/>
      <c r="P825" s="16">
        <v>1</v>
      </c>
      <c r="Q825" s="20">
        <f t="shared" si="155"/>
        <v>468</v>
      </c>
      <c r="R825" s="14">
        <v>200</v>
      </c>
      <c r="S825" s="20">
        <f t="shared" si="156"/>
        <v>93600</v>
      </c>
      <c r="T825" s="16"/>
      <c r="U825" s="17"/>
      <c r="V825" s="17"/>
      <c r="W825" s="4"/>
      <c r="X825" s="16"/>
      <c r="Y825" s="5"/>
      <c r="Z825" s="16"/>
      <c r="AA825" s="16"/>
      <c r="AB825" s="16"/>
      <c r="AE825" s="16"/>
      <c r="AG825" s="22">
        <f t="shared" si="153"/>
        <v>0</v>
      </c>
      <c r="AH825" s="6"/>
      <c r="AJ825" s="20">
        <f t="shared" si="154"/>
        <v>0</v>
      </c>
      <c r="AK825" s="50"/>
      <c r="AL825" s="6"/>
      <c r="AM825" s="20">
        <f t="shared" si="157"/>
        <v>0</v>
      </c>
      <c r="AN825" s="20">
        <f t="shared" si="160"/>
        <v>93600</v>
      </c>
      <c r="AP825" s="20">
        <f t="shared" si="159"/>
        <v>93600</v>
      </c>
      <c r="AQ825" s="7"/>
      <c r="AR825" s="60"/>
      <c r="AS825" s="128">
        <f>12+59</f>
        <v>71</v>
      </c>
    </row>
    <row r="826" spans="1:49" ht="30" customHeight="1" x14ac:dyDescent="0.2">
      <c r="A826" s="8">
        <v>716</v>
      </c>
      <c r="B826" s="13">
        <v>2</v>
      </c>
      <c r="C826" s="16" t="s">
        <v>69</v>
      </c>
      <c r="E826" s="17">
        <v>168</v>
      </c>
      <c r="F826" s="17">
        <v>3</v>
      </c>
      <c r="G826" s="13">
        <v>1</v>
      </c>
      <c r="H826" s="17">
        <v>4</v>
      </c>
      <c r="I826" s="17">
        <v>0</v>
      </c>
      <c r="J826" s="17">
        <v>23</v>
      </c>
      <c r="K826" s="10">
        <v>1623</v>
      </c>
      <c r="P826" s="17">
        <v>1</v>
      </c>
      <c r="Q826" s="20">
        <f t="shared" si="155"/>
        <v>1623</v>
      </c>
      <c r="R826" s="14">
        <v>160</v>
      </c>
      <c r="S826" s="19">
        <f t="shared" si="156"/>
        <v>259680</v>
      </c>
      <c r="AG826" s="22">
        <f t="shared" si="153"/>
        <v>0</v>
      </c>
      <c r="AJ826" s="20">
        <f t="shared" si="154"/>
        <v>0</v>
      </c>
      <c r="AM826" s="20">
        <f t="shared" si="157"/>
        <v>0</v>
      </c>
      <c r="AN826" s="20">
        <f t="shared" si="160"/>
        <v>259680</v>
      </c>
      <c r="AP826" s="20">
        <f t="shared" si="159"/>
        <v>259680</v>
      </c>
      <c r="AQ826" s="12">
        <v>1E-4</v>
      </c>
      <c r="AR826" s="24"/>
      <c r="AS826" s="129"/>
    </row>
    <row r="827" spans="1:49" s="21" customFormat="1" ht="30" customHeight="1" x14ac:dyDescent="0.2">
      <c r="A827" s="8">
        <v>717</v>
      </c>
      <c r="B827" s="46">
        <v>3</v>
      </c>
      <c r="C827" s="16" t="s">
        <v>52</v>
      </c>
      <c r="D827" s="48">
        <v>3402</v>
      </c>
      <c r="E827" s="47">
        <v>28</v>
      </c>
      <c r="F827" s="48">
        <v>2206</v>
      </c>
      <c r="G827" s="49">
        <v>2</v>
      </c>
      <c r="H827" s="48">
        <v>10</v>
      </c>
      <c r="I827" s="48">
        <v>2</v>
      </c>
      <c r="J827" s="48">
        <v>96</v>
      </c>
      <c r="K827" s="3">
        <f>+(400*10)+200+96</f>
        <v>4296</v>
      </c>
      <c r="L827" s="16"/>
      <c r="M827" s="57"/>
      <c r="N827" s="58"/>
      <c r="P827" s="16">
        <v>1</v>
      </c>
      <c r="Q827" s="20">
        <f t="shared" si="155"/>
        <v>4296</v>
      </c>
      <c r="R827" s="14">
        <v>200</v>
      </c>
      <c r="S827" s="19">
        <f t="shared" si="156"/>
        <v>859200</v>
      </c>
      <c r="T827" s="16"/>
      <c r="U827" s="17"/>
      <c r="V827" s="17"/>
      <c r="W827" s="4"/>
      <c r="X827" s="16"/>
      <c r="Y827" s="5"/>
      <c r="Z827" s="16"/>
      <c r="AA827" s="16"/>
      <c r="AB827" s="16"/>
      <c r="AC827" s="14"/>
      <c r="AD827" s="14"/>
      <c r="AE827" s="16"/>
      <c r="AG827" s="22">
        <f t="shared" si="153"/>
        <v>0</v>
      </c>
      <c r="AH827" s="6"/>
      <c r="AJ827" s="20">
        <f t="shared" si="154"/>
        <v>0</v>
      </c>
      <c r="AK827" s="50"/>
      <c r="AL827" s="6"/>
      <c r="AM827" s="20">
        <f t="shared" si="157"/>
        <v>0</v>
      </c>
      <c r="AN827" s="20">
        <f t="shared" si="160"/>
        <v>859200</v>
      </c>
      <c r="AP827" s="20">
        <f t="shared" si="159"/>
        <v>859200</v>
      </c>
      <c r="AQ827" s="7"/>
      <c r="AR827" s="25"/>
      <c r="AS827" s="98"/>
      <c r="AW827" s="21" t="s">
        <v>129</v>
      </c>
    </row>
    <row r="828" spans="1:49" s="21" customFormat="1" ht="30" customHeight="1" x14ac:dyDescent="0.2">
      <c r="A828" s="8">
        <v>718</v>
      </c>
      <c r="B828" s="46">
        <v>1</v>
      </c>
      <c r="C828" s="16" t="s">
        <v>52</v>
      </c>
      <c r="D828" s="48">
        <v>892</v>
      </c>
      <c r="E828" s="47">
        <v>4</v>
      </c>
      <c r="F828" s="48">
        <v>187</v>
      </c>
      <c r="G828" s="49">
        <v>1</v>
      </c>
      <c r="H828" s="48">
        <v>0</v>
      </c>
      <c r="I828" s="48">
        <v>3</v>
      </c>
      <c r="J828" s="48">
        <v>0</v>
      </c>
      <c r="K828" s="3">
        <f>300-L828</f>
        <v>262</v>
      </c>
      <c r="L828" s="16">
        <v>38</v>
      </c>
      <c r="M828" s="57"/>
      <c r="N828" s="58"/>
      <c r="P828" s="16">
        <v>5</v>
      </c>
      <c r="Q828" s="20">
        <f t="shared" si="155"/>
        <v>300</v>
      </c>
      <c r="R828" s="14">
        <v>250</v>
      </c>
      <c r="S828" s="20">
        <f t="shared" si="156"/>
        <v>75000</v>
      </c>
      <c r="T828" s="16"/>
      <c r="U828" s="17" t="s">
        <v>57</v>
      </c>
      <c r="V828" s="17" t="s">
        <v>56</v>
      </c>
      <c r="W828" s="4"/>
      <c r="X828" s="16"/>
      <c r="Y828" s="5">
        <v>152</v>
      </c>
      <c r="Z828" s="16"/>
      <c r="AA828" s="16"/>
      <c r="AB828" s="16">
        <v>31</v>
      </c>
      <c r="AE828" s="16"/>
      <c r="AG828" s="22">
        <f t="shared" si="153"/>
        <v>152</v>
      </c>
      <c r="AH828" s="6"/>
      <c r="AJ828" s="20">
        <f t="shared" si="154"/>
        <v>0</v>
      </c>
      <c r="AK828" s="50">
        <v>31</v>
      </c>
      <c r="AL828" s="6"/>
      <c r="AM828" s="20">
        <f t="shared" si="157"/>
        <v>0</v>
      </c>
      <c r="AN828" s="20">
        <f t="shared" si="160"/>
        <v>75000</v>
      </c>
      <c r="AP828" s="20">
        <f t="shared" si="159"/>
        <v>75000</v>
      </c>
      <c r="AQ828" s="7"/>
      <c r="AR828" s="20"/>
      <c r="AS828" s="51"/>
    </row>
    <row r="829" spans="1:49" s="21" customFormat="1" ht="30" customHeight="1" x14ac:dyDescent="0.2">
      <c r="A829" s="8">
        <v>719</v>
      </c>
      <c r="B829" s="46">
        <v>2</v>
      </c>
      <c r="C829" s="16" t="s">
        <v>52</v>
      </c>
      <c r="D829" s="48">
        <v>4189</v>
      </c>
      <c r="E829" s="47">
        <v>29</v>
      </c>
      <c r="F829" s="48">
        <v>2530</v>
      </c>
      <c r="G829" s="49">
        <v>1</v>
      </c>
      <c r="H829" s="48">
        <v>14</v>
      </c>
      <c r="I829" s="48">
        <v>2</v>
      </c>
      <c r="J829" s="48">
        <v>33</v>
      </c>
      <c r="K829" s="3">
        <f>+(14*400)+200+33</f>
        <v>5833</v>
      </c>
      <c r="L829" s="16"/>
      <c r="M829" s="57"/>
      <c r="N829" s="58"/>
      <c r="P829" s="16">
        <v>1</v>
      </c>
      <c r="Q829" s="20">
        <f t="shared" si="155"/>
        <v>5833</v>
      </c>
      <c r="R829" s="14">
        <v>200</v>
      </c>
      <c r="S829" s="19">
        <f t="shared" si="156"/>
        <v>1166600</v>
      </c>
      <c r="T829" s="16"/>
      <c r="U829" s="17"/>
      <c r="V829" s="17"/>
      <c r="W829" s="4"/>
      <c r="X829" s="16"/>
      <c r="Y829" s="5"/>
      <c r="Z829" s="16"/>
      <c r="AA829" s="16"/>
      <c r="AB829" s="16"/>
      <c r="AE829" s="16"/>
      <c r="AG829" s="22">
        <f t="shared" si="153"/>
        <v>0</v>
      </c>
      <c r="AH829" s="6"/>
      <c r="AJ829" s="20">
        <f t="shared" si="154"/>
        <v>0</v>
      </c>
      <c r="AK829" s="50"/>
      <c r="AL829" s="6"/>
      <c r="AM829" s="20">
        <f t="shared" si="157"/>
        <v>0</v>
      </c>
      <c r="AN829" s="20">
        <f t="shared" si="160"/>
        <v>1166600</v>
      </c>
      <c r="AP829" s="20">
        <f t="shared" si="159"/>
        <v>1166600</v>
      </c>
      <c r="AQ829" s="7"/>
      <c r="AR829" s="20"/>
      <c r="AS829" s="51"/>
    </row>
    <row r="830" spans="1:49" s="21" customFormat="1" ht="30" customHeight="1" x14ac:dyDescent="0.2">
      <c r="A830" s="8">
        <v>720</v>
      </c>
      <c r="B830" s="46">
        <v>1</v>
      </c>
      <c r="C830" s="16" t="s">
        <v>52</v>
      </c>
      <c r="D830" s="48">
        <v>2769</v>
      </c>
      <c r="E830" s="47">
        <v>8</v>
      </c>
      <c r="F830" s="48">
        <v>1961</v>
      </c>
      <c r="G830" s="49"/>
      <c r="H830" s="48">
        <v>35</v>
      </c>
      <c r="I830" s="48">
        <v>2</v>
      </c>
      <c r="J830" s="48">
        <v>84</v>
      </c>
      <c r="K830" s="3">
        <f>+(35*400)+200+84</f>
        <v>14284</v>
      </c>
      <c r="L830" s="16"/>
      <c r="M830" s="57"/>
      <c r="N830" s="58"/>
      <c r="P830" s="16">
        <v>1</v>
      </c>
      <c r="Q830" s="20">
        <f t="shared" si="155"/>
        <v>14284</v>
      </c>
      <c r="R830" s="14">
        <v>160</v>
      </c>
      <c r="S830" s="19">
        <f t="shared" si="156"/>
        <v>2285440</v>
      </c>
      <c r="T830" s="16"/>
      <c r="U830" s="17"/>
      <c r="V830" s="17"/>
      <c r="W830" s="4"/>
      <c r="X830" s="16"/>
      <c r="Y830" s="5"/>
      <c r="Z830" s="16"/>
      <c r="AA830" s="16"/>
      <c r="AB830" s="16"/>
      <c r="AE830" s="16"/>
      <c r="AG830" s="22">
        <f t="shared" si="153"/>
        <v>0</v>
      </c>
      <c r="AH830" s="6"/>
      <c r="AJ830" s="20">
        <f t="shared" si="154"/>
        <v>0</v>
      </c>
      <c r="AK830" s="50"/>
      <c r="AL830" s="6"/>
      <c r="AM830" s="20">
        <f t="shared" si="157"/>
        <v>0</v>
      </c>
      <c r="AN830" s="20">
        <f t="shared" si="160"/>
        <v>2285440</v>
      </c>
      <c r="AP830" s="20">
        <f t="shared" si="159"/>
        <v>2285440</v>
      </c>
      <c r="AQ830" s="7"/>
      <c r="AR830" s="60"/>
      <c r="AS830" s="128">
        <v>133</v>
      </c>
    </row>
    <row r="831" spans="1:49" s="21" customFormat="1" ht="30" customHeight="1" x14ac:dyDescent="0.2">
      <c r="A831" s="8">
        <v>721</v>
      </c>
      <c r="B831" s="46">
        <v>2</v>
      </c>
      <c r="C831" s="16" t="s">
        <v>52</v>
      </c>
      <c r="D831" s="48">
        <v>2770</v>
      </c>
      <c r="E831" s="47">
        <v>5</v>
      </c>
      <c r="F831" s="48">
        <v>1962</v>
      </c>
      <c r="G831" s="49"/>
      <c r="H831" s="48">
        <v>8</v>
      </c>
      <c r="I831" s="48">
        <v>2</v>
      </c>
      <c r="J831" s="48">
        <v>69</v>
      </c>
      <c r="K831" s="3">
        <f>+(8*400)+200+69</f>
        <v>3469</v>
      </c>
      <c r="L831" s="16"/>
      <c r="M831" s="57"/>
      <c r="N831" s="58"/>
      <c r="P831" s="16">
        <v>1</v>
      </c>
      <c r="Q831" s="20">
        <f t="shared" si="155"/>
        <v>3469</v>
      </c>
      <c r="R831" s="14">
        <v>160</v>
      </c>
      <c r="S831" s="20">
        <f t="shared" si="156"/>
        <v>555040</v>
      </c>
      <c r="T831" s="16"/>
      <c r="U831" s="16"/>
      <c r="V831" s="16"/>
      <c r="W831" s="5"/>
      <c r="X831" s="16"/>
      <c r="Y831" s="5"/>
      <c r="Z831" s="16"/>
      <c r="AA831" s="16"/>
      <c r="AB831" s="16"/>
      <c r="AC831" s="14"/>
      <c r="AD831" s="14"/>
      <c r="AE831" s="16"/>
      <c r="AG831" s="22">
        <f t="shared" si="153"/>
        <v>0</v>
      </c>
      <c r="AH831" s="6"/>
      <c r="AJ831" s="20">
        <f t="shared" si="154"/>
        <v>0</v>
      </c>
      <c r="AK831" s="50"/>
      <c r="AL831" s="6"/>
      <c r="AM831" s="20">
        <f t="shared" si="157"/>
        <v>0</v>
      </c>
      <c r="AN831" s="20">
        <f t="shared" si="160"/>
        <v>555040</v>
      </c>
      <c r="AP831" s="20">
        <f t="shared" si="159"/>
        <v>555040</v>
      </c>
      <c r="AQ831" s="7"/>
      <c r="AR831" s="25"/>
      <c r="AS831" s="130"/>
    </row>
    <row r="832" spans="1:49" ht="30" customHeight="1" x14ac:dyDescent="0.2">
      <c r="A832" s="8">
        <v>722</v>
      </c>
      <c r="B832" s="13">
        <v>1</v>
      </c>
      <c r="C832" s="16" t="s">
        <v>65</v>
      </c>
      <c r="D832" s="17">
        <v>1857</v>
      </c>
      <c r="E832" s="17">
        <v>115</v>
      </c>
      <c r="H832" s="17">
        <v>14</v>
      </c>
      <c r="I832" s="17">
        <v>1</v>
      </c>
      <c r="J832" s="17">
        <v>86</v>
      </c>
      <c r="K832" s="10">
        <f>14*400+186</f>
        <v>5786</v>
      </c>
      <c r="P832" s="17">
        <v>1</v>
      </c>
      <c r="Q832" s="20">
        <f t="shared" si="155"/>
        <v>5786</v>
      </c>
      <c r="R832" s="14">
        <v>160</v>
      </c>
      <c r="S832" s="19">
        <f t="shared" si="156"/>
        <v>925760</v>
      </c>
      <c r="AC832" s="21"/>
      <c r="AD832" s="21"/>
      <c r="AG832" s="22">
        <f t="shared" si="153"/>
        <v>0</v>
      </c>
      <c r="AJ832" s="20">
        <f t="shared" si="154"/>
        <v>0</v>
      </c>
      <c r="AM832" s="20">
        <f t="shared" si="157"/>
        <v>0</v>
      </c>
      <c r="AN832" s="20">
        <f t="shared" si="160"/>
        <v>925760</v>
      </c>
      <c r="AP832" s="20">
        <f t="shared" si="159"/>
        <v>925760</v>
      </c>
      <c r="AQ832" s="12">
        <v>1E-4</v>
      </c>
      <c r="AR832" s="20"/>
    </row>
    <row r="833" spans="1:45" s="21" customFormat="1" ht="30" customHeight="1" x14ac:dyDescent="0.2">
      <c r="A833" s="8">
        <v>723</v>
      </c>
      <c r="B833" s="46">
        <v>1</v>
      </c>
      <c r="C833" s="16" t="s">
        <v>52</v>
      </c>
      <c r="D833" s="48">
        <v>14051</v>
      </c>
      <c r="E833" s="47">
        <v>269</v>
      </c>
      <c r="F833" s="48">
        <v>3312</v>
      </c>
      <c r="G833" s="49">
        <v>2</v>
      </c>
      <c r="H833" s="48">
        <v>0</v>
      </c>
      <c r="I833" s="48">
        <v>0</v>
      </c>
      <c r="J833" s="48">
        <v>62</v>
      </c>
      <c r="K833" s="3"/>
      <c r="L833" s="16">
        <v>62</v>
      </c>
      <c r="M833" s="57"/>
      <c r="N833" s="58"/>
      <c r="P833" s="16">
        <v>2</v>
      </c>
      <c r="Q833" s="20">
        <f t="shared" si="155"/>
        <v>62</v>
      </c>
      <c r="R833" s="14">
        <v>1500</v>
      </c>
      <c r="S833" s="19">
        <f t="shared" si="156"/>
        <v>93000</v>
      </c>
      <c r="T833" s="16"/>
      <c r="U833" s="17" t="s">
        <v>57</v>
      </c>
      <c r="V833" s="16" t="s">
        <v>56</v>
      </c>
      <c r="W833" s="5"/>
      <c r="X833" s="16"/>
      <c r="Y833" s="5">
        <v>90</v>
      </c>
      <c r="Z833" s="16"/>
      <c r="AA833" s="16"/>
      <c r="AB833" s="16">
        <v>27</v>
      </c>
      <c r="AC833" s="14"/>
      <c r="AD833" s="14"/>
      <c r="AE833" s="16"/>
      <c r="AG833" s="22">
        <f t="shared" si="153"/>
        <v>90</v>
      </c>
      <c r="AH833" s="6"/>
      <c r="AJ833" s="20">
        <f t="shared" si="154"/>
        <v>0</v>
      </c>
      <c r="AK833" s="50">
        <v>27</v>
      </c>
      <c r="AL833" s="6"/>
      <c r="AM833" s="20">
        <f t="shared" si="157"/>
        <v>0</v>
      </c>
      <c r="AN833" s="20">
        <f t="shared" si="160"/>
        <v>93000</v>
      </c>
      <c r="AP833" s="20">
        <f t="shared" si="159"/>
        <v>93000</v>
      </c>
      <c r="AQ833" s="7"/>
      <c r="AR833" s="60"/>
      <c r="AS833" s="128">
        <v>156</v>
      </c>
    </row>
    <row r="834" spans="1:45" s="21" customFormat="1" ht="30" customHeight="1" x14ac:dyDescent="0.2">
      <c r="A834" s="8">
        <v>724</v>
      </c>
      <c r="B834" s="46">
        <v>2</v>
      </c>
      <c r="C834" s="16" t="s">
        <v>52</v>
      </c>
      <c r="D834" s="48">
        <v>402</v>
      </c>
      <c r="E834" s="47">
        <v>501</v>
      </c>
      <c r="F834" s="48">
        <v>52</v>
      </c>
      <c r="G834" s="49"/>
      <c r="H834" s="48">
        <v>21</v>
      </c>
      <c r="I834" s="48">
        <v>2</v>
      </c>
      <c r="J834" s="48">
        <v>49</v>
      </c>
      <c r="K834" s="3">
        <f>+(21*400)+200+49</f>
        <v>8649</v>
      </c>
      <c r="L834" s="16"/>
      <c r="M834" s="57"/>
      <c r="N834" s="58"/>
      <c r="P834" s="16">
        <v>1</v>
      </c>
      <c r="Q834" s="20">
        <f t="shared" si="155"/>
        <v>8649</v>
      </c>
      <c r="R834" s="14">
        <v>1100</v>
      </c>
      <c r="S834" s="20">
        <f t="shared" si="156"/>
        <v>9513900</v>
      </c>
      <c r="T834" s="16"/>
      <c r="U834" s="17"/>
      <c r="V834" s="17"/>
      <c r="W834" s="4"/>
      <c r="X834" s="16"/>
      <c r="Y834" s="5"/>
      <c r="Z834" s="16"/>
      <c r="AA834" s="16"/>
      <c r="AB834" s="16"/>
      <c r="AC834" s="14"/>
      <c r="AD834" s="14"/>
      <c r="AE834" s="16"/>
      <c r="AG834" s="22">
        <f t="shared" si="153"/>
        <v>0</v>
      </c>
      <c r="AH834" s="6"/>
      <c r="AJ834" s="20">
        <f t="shared" si="154"/>
        <v>0</v>
      </c>
      <c r="AK834" s="50"/>
      <c r="AL834" s="6"/>
      <c r="AM834" s="20">
        <f t="shared" si="157"/>
        <v>0</v>
      </c>
      <c r="AN834" s="20">
        <f t="shared" si="160"/>
        <v>9513900</v>
      </c>
      <c r="AP834" s="20">
        <f t="shared" si="159"/>
        <v>9513900</v>
      </c>
      <c r="AQ834" s="7"/>
      <c r="AR834" s="25"/>
      <c r="AS834" s="130"/>
    </row>
    <row r="835" spans="1:45" s="21" customFormat="1" ht="30" customHeight="1" x14ac:dyDescent="0.2">
      <c r="A835" s="8">
        <v>725</v>
      </c>
      <c r="B835" s="46">
        <v>1</v>
      </c>
      <c r="C835" s="16" t="s">
        <v>52</v>
      </c>
      <c r="D835" s="48">
        <v>4598</v>
      </c>
      <c r="E835" s="47">
        <v>57</v>
      </c>
      <c r="F835" s="48">
        <v>2457</v>
      </c>
      <c r="G835" s="49">
        <v>1</v>
      </c>
      <c r="H835" s="48">
        <v>11</v>
      </c>
      <c r="I835" s="48">
        <v>0</v>
      </c>
      <c r="J835" s="48">
        <v>65</v>
      </c>
      <c r="K835" s="3">
        <f>+(11*400)+65</f>
        <v>4465</v>
      </c>
      <c r="L835" s="16"/>
      <c r="M835" s="57"/>
      <c r="N835" s="58"/>
      <c r="P835" s="16">
        <v>1</v>
      </c>
      <c r="Q835" s="20">
        <f t="shared" si="155"/>
        <v>4465</v>
      </c>
      <c r="R835" s="14">
        <v>200</v>
      </c>
      <c r="S835" s="19">
        <f t="shared" si="156"/>
        <v>893000</v>
      </c>
      <c r="T835" s="16"/>
      <c r="U835" s="17"/>
      <c r="V835" s="17"/>
      <c r="W835" s="4"/>
      <c r="X835" s="16"/>
      <c r="Y835" s="5"/>
      <c r="Z835" s="16"/>
      <c r="AA835" s="16"/>
      <c r="AB835" s="16"/>
      <c r="AC835" s="14"/>
      <c r="AD835" s="14"/>
      <c r="AE835" s="16"/>
      <c r="AG835" s="22">
        <f t="shared" si="153"/>
        <v>0</v>
      </c>
      <c r="AH835" s="6"/>
      <c r="AJ835" s="20">
        <f t="shared" si="154"/>
        <v>0</v>
      </c>
      <c r="AK835" s="50"/>
      <c r="AL835" s="6"/>
      <c r="AM835" s="20">
        <f t="shared" si="157"/>
        <v>0</v>
      </c>
      <c r="AN835" s="20">
        <f t="shared" si="160"/>
        <v>893000</v>
      </c>
      <c r="AP835" s="20">
        <f t="shared" si="159"/>
        <v>893000</v>
      </c>
      <c r="AQ835" s="7"/>
      <c r="AR835" s="20"/>
      <c r="AS835" s="51"/>
    </row>
    <row r="836" spans="1:45" s="21" customFormat="1" ht="30" customHeight="1" x14ac:dyDescent="0.2">
      <c r="A836" s="8">
        <v>726</v>
      </c>
      <c r="B836" s="46">
        <v>1</v>
      </c>
      <c r="C836" s="16" t="s">
        <v>52</v>
      </c>
      <c r="D836" s="48">
        <v>1813</v>
      </c>
      <c r="E836" s="47">
        <v>117</v>
      </c>
      <c r="F836" s="48">
        <v>1197</v>
      </c>
      <c r="G836" s="49">
        <v>2</v>
      </c>
      <c r="H836" s="48">
        <v>1</v>
      </c>
      <c r="I836" s="48">
        <v>1</v>
      </c>
      <c r="J836" s="48">
        <v>26</v>
      </c>
      <c r="K836" s="3">
        <v>526</v>
      </c>
      <c r="L836" s="16"/>
      <c r="M836" s="57"/>
      <c r="N836" s="58"/>
      <c r="P836" s="16">
        <v>1</v>
      </c>
      <c r="Q836" s="20">
        <f t="shared" si="155"/>
        <v>526</v>
      </c>
      <c r="R836" s="14">
        <v>160</v>
      </c>
      <c r="S836" s="19">
        <f t="shared" si="156"/>
        <v>84160</v>
      </c>
      <c r="T836" s="16"/>
      <c r="U836" s="17"/>
      <c r="V836" s="17"/>
      <c r="W836" s="4"/>
      <c r="X836" s="16"/>
      <c r="Y836" s="5"/>
      <c r="Z836" s="16"/>
      <c r="AA836" s="16"/>
      <c r="AB836" s="16"/>
      <c r="AC836" s="14"/>
      <c r="AD836" s="14"/>
      <c r="AE836" s="16"/>
      <c r="AG836" s="22">
        <f t="shared" si="153"/>
        <v>0</v>
      </c>
      <c r="AH836" s="6"/>
      <c r="AJ836" s="20">
        <f t="shared" si="154"/>
        <v>0</v>
      </c>
      <c r="AK836" s="50"/>
      <c r="AL836" s="6"/>
      <c r="AM836" s="20">
        <f t="shared" si="157"/>
        <v>0</v>
      </c>
      <c r="AN836" s="20">
        <f t="shared" si="160"/>
        <v>84160</v>
      </c>
      <c r="AP836" s="20">
        <f t="shared" si="159"/>
        <v>84160</v>
      </c>
      <c r="AQ836" s="7"/>
      <c r="AR836" s="20"/>
      <c r="AS836" s="51"/>
    </row>
    <row r="837" spans="1:45" ht="30" customHeight="1" x14ac:dyDescent="0.2">
      <c r="A837" s="8"/>
      <c r="C837" s="16"/>
      <c r="Q837" s="20"/>
      <c r="S837" s="20"/>
      <c r="AG837" s="22"/>
      <c r="AJ837" s="20"/>
      <c r="AM837" s="20"/>
      <c r="AN837" s="20"/>
      <c r="AP837" s="20"/>
      <c r="AR837" s="20"/>
    </row>
    <row r="838" spans="1:45" s="21" customFormat="1" ht="30" customHeight="1" x14ac:dyDescent="0.2">
      <c r="A838" s="8">
        <v>727</v>
      </c>
      <c r="B838" s="46">
        <v>1</v>
      </c>
      <c r="C838" s="16" t="s">
        <v>52</v>
      </c>
      <c r="D838" s="48">
        <v>20464</v>
      </c>
      <c r="E838" s="47">
        <v>85</v>
      </c>
      <c r="F838" s="48">
        <v>4611</v>
      </c>
      <c r="G838" s="49">
        <v>4</v>
      </c>
      <c r="H838" s="48">
        <v>1</v>
      </c>
      <c r="I838" s="48">
        <v>0</v>
      </c>
      <c r="J838" s="48">
        <v>0</v>
      </c>
      <c r="K838" s="3"/>
      <c r="L838" s="16"/>
      <c r="M838" s="57"/>
      <c r="N838" s="58">
        <v>400</v>
      </c>
      <c r="P838" s="16">
        <v>4</v>
      </c>
      <c r="Q838" s="20">
        <f t="shared" si="155"/>
        <v>400</v>
      </c>
      <c r="R838" s="14">
        <v>160</v>
      </c>
      <c r="S838" s="19">
        <f t="shared" si="156"/>
        <v>64000</v>
      </c>
      <c r="T838" s="16"/>
      <c r="U838" s="17"/>
      <c r="V838" s="17"/>
      <c r="W838" s="4"/>
      <c r="X838" s="16"/>
      <c r="Y838" s="5"/>
      <c r="Z838" s="16"/>
      <c r="AA838" s="16"/>
      <c r="AB838" s="16"/>
      <c r="AE838" s="16"/>
      <c r="AG838" s="22">
        <f t="shared" si="153"/>
        <v>0</v>
      </c>
      <c r="AH838" s="6"/>
      <c r="AJ838" s="20">
        <f t="shared" si="154"/>
        <v>0</v>
      </c>
      <c r="AK838" s="50"/>
      <c r="AL838" s="6"/>
      <c r="AM838" s="20">
        <f t="shared" si="157"/>
        <v>0</v>
      </c>
      <c r="AN838" s="20">
        <f t="shared" si="160"/>
        <v>64000</v>
      </c>
      <c r="AP838" s="20">
        <f t="shared" si="159"/>
        <v>64000</v>
      </c>
      <c r="AQ838" s="7">
        <v>3.0000000000000001E-3</v>
      </c>
      <c r="AR838" s="20"/>
      <c r="AS838" s="51"/>
    </row>
    <row r="839" spans="1:45" s="21" customFormat="1" ht="30" customHeight="1" x14ac:dyDescent="0.2">
      <c r="A839" s="8">
        <v>728</v>
      </c>
      <c r="B839" s="46">
        <v>2</v>
      </c>
      <c r="C839" s="16" t="s">
        <v>52</v>
      </c>
      <c r="D839" s="48">
        <v>20466</v>
      </c>
      <c r="E839" s="47">
        <v>82</v>
      </c>
      <c r="F839" s="48">
        <v>4579</v>
      </c>
      <c r="G839" s="49">
        <v>4</v>
      </c>
      <c r="H839" s="48">
        <v>0</v>
      </c>
      <c r="I839" s="48">
        <v>0</v>
      </c>
      <c r="J839" s="48">
        <v>39</v>
      </c>
      <c r="K839" s="3"/>
      <c r="L839" s="16"/>
      <c r="M839" s="57"/>
      <c r="N839" s="58">
        <v>39</v>
      </c>
      <c r="P839" s="16">
        <v>4</v>
      </c>
      <c r="Q839" s="20">
        <f t="shared" si="155"/>
        <v>39</v>
      </c>
      <c r="R839" s="14">
        <v>250</v>
      </c>
      <c r="S839" s="19">
        <f t="shared" si="156"/>
        <v>9750</v>
      </c>
      <c r="T839" s="16"/>
      <c r="U839" s="17"/>
      <c r="V839" s="17"/>
      <c r="W839" s="4"/>
      <c r="X839" s="16"/>
      <c r="Y839" s="5"/>
      <c r="Z839" s="16"/>
      <c r="AA839" s="16"/>
      <c r="AB839" s="16"/>
      <c r="AE839" s="16"/>
      <c r="AG839" s="22">
        <f t="shared" si="153"/>
        <v>0</v>
      </c>
      <c r="AH839" s="6"/>
      <c r="AJ839" s="20">
        <f t="shared" si="154"/>
        <v>0</v>
      </c>
      <c r="AK839" s="50"/>
      <c r="AL839" s="6"/>
      <c r="AM839" s="20">
        <f t="shared" si="157"/>
        <v>0</v>
      </c>
      <c r="AN839" s="20">
        <f t="shared" si="160"/>
        <v>9750</v>
      </c>
      <c r="AP839" s="20">
        <f t="shared" si="159"/>
        <v>9750</v>
      </c>
      <c r="AQ839" s="7">
        <v>3.0000000000000001E-3</v>
      </c>
      <c r="AR839" s="20"/>
      <c r="AS839" s="51"/>
    </row>
    <row r="840" spans="1:45" ht="30" customHeight="1" x14ac:dyDescent="0.2">
      <c r="R840" s="14" t="e">
        <v>#N/A</v>
      </c>
    </row>
    <row r="841" spans="1:45" ht="30" customHeight="1" x14ac:dyDescent="0.2">
      <c r="A841" s="8">
        <v>729</v>
      </c>
      <c r="B841" s="13">
        <v>1</v>
      </c>
      <c r="C841" s="16" t="s">
        <v>65</v>
      </c>
      <c r="D841" s="17">
        <v>3221</v>
      </c>
      <c r="E841" s="17">
        <v>490</v>
      </c>
      <c r="H841" s="17">
        <v>0</v>
      </c>
      <c r="I841" s="17">
        <v>1</v>
      </c>
      <c r="J841" s="17">
        <v>24</v>
      </c>
      <c r="K841" s="10">
        <v>124</v>
      </c>
      <c r="P841" s="17">
        <v>1</v>
      </c>
      <c r="Q841" s="20">
        <f t="shared" ref="Q841:Q874" si="161">+(H841*400)+(I841*100)+J841</f>
        <v>124</v>
      </c>
      <c r="R841" s="14">
        <v>160</v>
      </c>
      <c r="S841" s="19">
        <f t="shared" ref="S841:S874" si="162">+Q841*R841</f>
        <v>19840</v>
      </c>
      <c r="AE841" s="17" t="s">
        <v>86</v>
      </c>
      <c r="AG841" s="22">
        <f t="shared" ref="AG841:AG873" si="163">Y841</f>
        <v>0</v>
      </c>
      <c r="AJ841" s="20">
        <f t="shared" ref="AJ841:AJ873" si="164">+AG841*AH841*AI841</f>
        <v>0</v>
      </c>
      <c r="AM841" s="20">
        <f t="shared" ref="AM841:AM877" si="165">+AJ841-(AL841*AJ841)</f>
        <v>0</v>
      </c>
      <c r="AN841" s="20">
        <f t="shared" ref="AN841:AN874" si="166">+S841+AM841</f>
        <v>19840</v>
      </c>
      <c r="AP841" s="20">
        <f t="shared" ref="AP841:AP874" si="167">AN841</f>
        <v>19840</v>
      </c>
      <c r="AQ841" s="12">
        <v>1E-4</v>
      </c>
      <c r="AR841" s="25"/>
      <c r="AS841" s="107"/>
    </row>
    <row r="842" spans="1:45" s="21" customFormat="1" ht="30" customHeight="1" x14ac:dyDescent="0.2">
      <c r="A842" s="8">
        <v>730</v>
      </c>
      <c r="B842" s="46">
        <v>1</v>
      </c>
      <c r="C842" s="16" t="s">
        <v>52</v>
      </c>
      <c r="D842" s="48">
        <v>1399</v>
      </c>
      <c r="E842" s="47">
        <v>29</v>
      </c>
      <c r="F842" s="48">
        <v>591</v>
      </c>
      <c r="G842" s="49">
        <v>1</v>
      </c>
      <c r="H842" s="48">
        <v>0</v>
      </c>
      <c r="I842" s="48">
        <v>3</v>
      </c>
      <c r="J842" s="48">
        <v>36</v>
      </c>
      <c r="K842" s="3"/>
      <c r="L842" s="16">
        <v>132</v>
      </c>
      <c r="M842" s="57"/>
      <c r="N842" s="58"/>
      <c r="P842" s="16">
        <v>2</v>
      </c>
      <c r="Q842" s="20">
        <f t="shared" si="161"/>
        <v>336</v>
      </c>
      <c r="R842" s="14">
        <v>200</v>
      </c>
      <c r="S842" s="19">
        <f t="shared" si="162"/>
        <v>67200</v>
      </c>
      <c r="T842" s="16"/>
      <c r="U842" s="16" t="s">
        <v>63</v>
      </c>
      <c r="V842" s="16"/>
      <c r="W842" s="5"/>
      <c r="X842" s="16"/>
      <c r="Y842" s="5">
        <v>816</v>
      </c>
      <c r="Z842" s="16"/>
      <c r="AA842" s="16"/>
      <c r="AB842" s="16">
        <v>20</v>
      </c>
      <c r="AE842" s="16"/>
      <c r="AG842" s="22">
        <f t="shared" si="163"/>
        <v>816</v>
      </c>
      <c r="AH842" s="6"/>
      <c r="AJ842" s="20">
        <f t="shared" si="164"/>
        <v>0</v>
      </c>
      <c r="AK842" s="50">
        <v>20</v>
      </c>
      <c r="AL842" s="6"/>
      <c r="AM842" s="20">
        <f t="shared" si="165"/>
        <v>0</v>
      </c>
      <c r="AN842" s="20">
        <f t="shared" si="166"/>
        <v>67200</v>
      </c>
      <c r="AP842" s="20">
        <f t="shared" si="167"/>
        <v>67200</v>
      </c>
      <c r="AQ842" s="7"/>
      <c r="AR842" s="20"/>
      <c r="AS842" s="51"/>
    </row>
    <row r="843" spans="1:45" s="21" customFormat="1" ht="30" customHeight="1" x14ac:dyDescent="0.2">
      <c r="A843" s="8">
        <v>731</v>
      </c>
      <c r="B843" s="46">
        <v>2</v>
      </c>
      <c r="C843" s="16" t="s">
        <v>52</v>
      </c>
      <c r="D843" s="48">
        <v>30206</v>
      </c>
      <c r="E843" s="47">
        <v>87</v>
      </c>
      <c r="F843" s="48">
        <v>5331</v>
      </c>
      <c r="G843" s="49">
        <v>1</v>
      </c>
      <c r="H843" s="48">
        <v>0</v>
      </c>
      <c r="I843" s="48">
        <v>1</v>
      </c>
      <c r="J843" s="48">
        <v>32</v>
      </c>
      <c r="K843" s="3">
        <v>132</v>
      </c>
      <c r="L843" s="16"/>
      <c r="M843" s="57"/>
      <c r="N843" s="58"/>
      <c r="P843" s="16">
        <v>1</v>
      </c>
      <c r="Q843" s="20">
        <f t="shared" si="161"/>
        <v>132</v>
      </c>
      <c r="R843" s="14">
        <v>200</v>
      </c>
      <c r="S843" s="20">
        <f t="shared" si="162"/>
        <v>26400</v>
      </c>
      <c r="T843" s="16"/>
      <c r="U843" s="17"/>
      <c r="V843" s="16"/>
      <c r="W843" s="5"/>
      <c r="X843" s="16"/>
      <c r="Y843" s="5"/>
      <c r="Z843" s="16"/>
      <c r="AA843" s="16"/>
      <c r="AB843" s="16"/>
      <c r="AE843" s="16"/>
      <c r="AG843" s="22">
        <f t="shared" si="163"/>
        <v>0</v>
      </c>
      <c r="AH843" s="6"/>
      <c r="AJ843" s="20">
        <f t="shared" si="164"/>
        <v>0</v>
      </c>
      <c r="AK843" s="50"/>
      <c r="AL843" s="6"/>
      <c r="AM843" s="20">
        <f t="shared" si="165"/>
        <v>0</v>
      </c>
      <c r="AN843" s="20">
        <f t="shared" si="166"/>
        <v>26400</v>
      </c>
      <c r="AP843" s="20">
        <f t="shared" si="167"/>
        <v>26400</v>
      </c>
      <c r="AQ843" s="7"/>
      <c r="AR843" s="20"/>
      <c r="AS843" s="51"/>
    </row>
    <row r="844" spans="1:45" s="21" customFormat="1" ht="30" customHeight="1" x14ac:dyDescent="0.2">
      <c r="A844" s="8">
        <v>732</v>
      </c>
      <c r="B844" s="46">
        <v>1</v>
      </c>
      <c r="C844" s="16" t="s">
        <v>52</v>
      </c>
      <c r="D844" s="48">
        <v>3739</v>
      </c>
      <c r="E844" s="47">
        <v>105</v>
      </c>
      <c r="F844" s="48">
        <v>2259</v>
      </c>
      <c r="G844" s="49">
        <v>2</v>
      </c>
      <c r="H844" s="48">
        <v>2</v>
      </c>
      <c r="I844" s="48">
        <v>3</v>
      </c>
      <c r="J844" s="48">
        <v>59</v>
      </c>
      <c r="K844" s="3">
        <v>1159</v>
      </c>
      <c r="L844" s="16"/>
      <c r="M844" s="57"/>
      <c r="N844" s="58"/>
      <c r="P844" s="16">
        <v>1</v>
      </c>
      <c r="Q844" s="20">
        <f t="shared" si="161"/>
        <v>1159</v>
      </c>
      <c r="R844" s="14">
        <v>200</v>
      </c>
      <c r="S844" s="19">
        <f t="shared" si="162"/>
        <v>231800</v>
      </c>
      <c r="T844" s="16"/>
      <c r="U844" s="17"/>
      <c r="V844" s="17"/>
      <c r="W844" s="4"/>
      <c r="X844" s="16"/>
      <c r="Y844" s="5"/>
      <c r="Z844" s="16"/>
      <c r="AA844" s="16"/>
      <c r="AB844" s="16"/>
      <c r="AE844" s="16"/>
      <c r="AG844" s="22">
        <f t="shared" si="163"/>
        <v>0</v>
      </c>
      <c r="AH844" s="6"/>
      <c r="AJ844" s="20">
        <f t="shared" si="164"/>
        <v>0</v>
      </c>
      <c r="AK844" s="50"/>
      <c r="AL844" s="6"/>
      <c r="AM844" s="20">
        <f t="shared" si="165"/>
        <v>0</v>
      </c>
      <c r="AN844" s="20">
        <f t="shared" si="166"/>
        <v>231800</v>
      </c>
      <c r="AP844" s="20">
        <f t="shared" si="167"/>
        <v>231800</v>
      </c>
      <c r="AQ844" s="7"/>
      <c r="AR844" s="20"/>
      <c r="AS844" s="51"/>
    </row>
    <row r="845" spans="1:45" s="21" customFormat="1" ht="30" customHeight="1" x14ac:dyDescent="0.2">
      <c r="A845" s="8">
        <v>733</v>
      </c>
      <c r="B845" s="46">
        <v>2</v>
      </c>
      <c r="C845" s="16" t="s">
        <v>52</v>
      </c>
      <c r="D845" s="48">
        <v>31898</v>
      </c>
      <c r="E845" s="47">
        <v>251</v>
      </c>
      <c r="F845" s="48">
        <v>6125</v>
      </c>
      <c r="G845" s="49">
        <v>2</v>
      </c>
      <c r="H845" s="48">
        <v>5</v>
      </c>
      <c r="I845" s="48">
        <v>3</v>
      </c>
      <c r="J845" s="48">
        <v>62.08</v>
      </c>
      <c r="K845" s="3">
        <v>2362.08</v>
      </c>
      <c r="L845" s="16"/>
      <c r="M845" s="57"/>
      <c r="N845" s="58"/>
      <c r="P845" s="16">
        <v>1</v>
      </c>
      <c r="Q845" s="20">
        <f t="shared" si="161"/>
        <v>2362.08</v>
      </c>
      <c r="R845" s="14">
        <v>160</v>
      </c>
      <c r="S845" s="19">
        <f t="shared" si="162"/>
        <v>377932.79999999999</v>
      </c>
      <c r="T845" s="16"/>
      <c r="U845" s="17"/>
      <c r="V845" s="17"/>
      <c r="W845" s="4"/>
      <c r="X845" s="16"/>
      <c r="Y845" s="5"/>
      <c r="Z845" s="16"/>
      <c r="AA845" s="16"/>
      <c r="AB845" s="16"/>
      <c r="AE845" s="16"/>
      <c r="AG845" s="22">
        <f t="shared" si="163"/>
        <v>0</v>
      </c>
      <c r="AH845" s="6"/>
      <c r="AJ845" s="20">
        <f t="shared" si="164"/>
        <v>0</v>
      </c>
      <c r="AK845" s="50"/>
      <c r="AL845" s="6"/>
      <c r="AM845" s="20">
        <f t="shared" si="165"/>
        <v>0</v>
      </c>
      <c r="AN845" s="20">
        <f t="shared" si="166"/>
        <v>377932.79999999999</v>
      </c>
      <c r="AP845" s="20">
        <f t="shared" si="167"/>
        <v>377932.79999999999</v>
      </c>
      <c r="AQ845" s="7"/>
      <c r="AR845" s="20"/>
      <c r="AS845" s="51"/>
    </row>
    <row r="846" spans="1:45" ht="30" customHeight="1" x14ac:dyDescent="0.2">
      <c r="A846" s="8"/>
      <c r="C846" s="16"/>
      <c r="Q846" s="20"/>
      <c r="S846" s="20"/>
      <c r="AG846" s="22"/>
      <c r="AJ846" s="20"/>
      <c r="AM846" s="20"/>
      <c r="AN846" s="20"/>
      <c r="AP846" s="20"/>
      <c r="AR846" s="20"/>
    </row>
    <row r="847" spans="1:45" s="21" customFormat="1" ht="30" customHeight="1" x14ac:dyDescent="0.2">
      <c r="A847" s="8">
        <v>734</v>
      </c>
      <c r="B847" s="46">
        <v>1</v>
      </c>
      <c r="C847" s="16" t="s">
        <v>52</v>
      </c>
      <c r="D847" s="48">
        <v>31893</v>
      </c>
      <c r="E847" s="47">
        <v>246</v>
      </c>
      <c r="F847" s="48">
        <v>6120</v>
      </c>
      <c r="G847" s="49">
        <v>2</v>
      </c>
      <c r="H847" s="48">
        <v>6</v>
      </c>
      <c r="I847" s="48">
        <v>1</v>
      </c>
      <c r="J847" s="48">
        <v>4.08</v>
      </c>
      <c r="K847" s="3">
        <v>2504.08</v>
      </c>
      <c r="L847" s="16"/>
      <c r="M847" s="57"/>
      <c r="N847" s="58"/>
      <c r="P847" s="16">
        <v>1</v>
      </c>
      <c r="Q847" s="20">
        <f t="shared" si="161"/>
        <v>2504.08</v>
      </c>
      <c r="R847" s="14">
        <v>200</v>
      </c>
      <c r="S847" s="19">
        <f t="shared" si="162"/>
        <v>500816</v>
      </c>
      <c r="T847" s="16"/>
      <c r="U847" s="17"/>
      <c r="V847" s="17"/>
      <c r="W847" s="4"/>
      <c r="X847" s="16"/>
      <c r="Y847" s="5"/>
      <c r="Z847" s="16"/>
      <c r="AA847" s="16"/>
      <c r="AB847" s="16"/>
      <c r="AE847" s="16"/>
      <c r="AG847" s="22">
        <f t="shared" si="163"/>
        <v>0</v>
      </c>
      <c r="AH847" s="6"/>
      <c r="AJ847" s="20">
        <f t="shared" si="164"/>
        <v>0</v>
      </c>
      <c r="AK847" s="50"/>
      <c r="AL847" s="6"/>
      <c r="AM847" s="20">
        <f t="shared" si="165"/>
        <v>0</v>
      </c>
      <c r="AN847" s="20">
        <f t="shared" si="166"/>
        <v>500816</v>
      </c>
      <c r="AP847" s="20">
        <f t="shared" si="167"/>
        <v>500816</v>
      </c>
      <c r="AQ847" s="7"/>
      <c r="AR847" s="20"/>
      <c r="AS847" s="51" t="s">
        <v>131</v>
      </c>
    </row>
    <row r="848" spans="1:45" ht="30" customHeight="1" x14ac:dyDescent="0.2">
      <c r="A848" s="8"/>
      <c r="C848" s="16"/>
      <c r="Q848" s="20"/>
      <c r="AG848" s="22"/>
      <c r="AJ848" s="20"/>
      <c r="AM848" s="20"/>
      <c r="AN848" s="20"/>
      <c r="AP848" s="20"/>
      <c r="AR848" s="20"/>
    </row>
    <row r="849" spans="1:45" s="21" customFormat="1" ht="30" customHeight="1" x14ac:dyDescent="0.2">
      <c r="A849" s="8">
        <v>735</v>
      </c>
      <c r="B849" s="46">
        <v>1</v>
      </c>
      <c r="C849" s="16" t="s">
        <v>52</v>
      </c>
      <c r="D849" s="48">
        <v>4825</v>
      </c>
      <c r="E849" s="47">
        <v>36</v>
      </c>
      <c r="F849" s="48">
        <v>2715</v>
      </c>
      <c r="G849" s="49">
        <v>7</v>
      </c>
      <c r="H849" s="48">
        <v>2</v>
      </c>
      <c r="I849" s="48">
        <v>1</v>
      </c>
      <c r="J849" s="48">
        <v>95</v>
      </c>
      <c r="K849" s="3">
        <v>995</v>
      </c>
      <c r="L849" s="16"/>
      <c r="M849" s="57"/>
      <c r="N849" s="58"/>
      <c r="P849" s="16">
        <v>1</v>
      </c>
      <c r="Q849" s="20">
        <f t="shared" si="161"/>
        <v>995</v>
      </c>
      <c r="R849" s="14">
        <v>160</v>
      </c>
      <c r="S849" s="20">
        <f t="shared" si="162"/>
        <v>159200</v>
      </c>
      <c r="T849" s="16"/>
      <c r="U849" s="17"/>
      <c r="V849" s="17"/>
      <c r="W849" s="4"/>
      <c r="X849" s="16"/>
      <c r="Y849" s="5"/>
      <c r="Z849" s="16"/>
      <c r="AA849" s="16"/>
      <c r="AB849" s="16"/>
      <c r="AE849" s="16"/>
      <c r="AG849" s="22">
        <f t="shared" si="163"/>
        <v>0</v>
      </c>
      <c r="AH849" s="6"/>
      <c r="AJ849" s="20">
        <f t="shared" si="164"/>
        <v>0</v>
      </c>
      <c r="AK849" s="50"/>
      <c r="AL849" s="6"/>
      <c r="AM849" s="20">
        <f t="shared" si="165"/>
        <v>0</v>
      </c>
      <c r="AN849" s="20">
        <f t="shared" si="166"/>
        <v>159200</v>
      </c>
      <c r="AP849" s="20">
        <f t="shared" si="167"/>
        <v>159200</v>
      </c>
      <c r="AQ849" s="7"/>
      <c r="AR849" s="20"/>
      <c r="AS849" s="51"/>
    </row>
    <row r="850" spans="1:45" s="21" customFormat="1" ht="30" customHeight="1" x14ac:dyDescent="0.2">
      <c r="A850" s="8">
        <v>736</v>
      </c>
      <c r="B850" s="46">
        <v>1</v>
      </c>
      <c r="C850" s="16" t="s">
        <v>52</v>
      </c>
      <c r="D850" s="48">
        <v>22297</v>
      </c>
      <c r="E850" s="47">
        <v>201</v>
      </c>
      <c r="F850" s="48">
        <v>4785</v>
      </c>
      <c r="G850" s="49">
        <v>1</v>
      </c>
      <c r="H850" s="48">
        <v>0</v>
      </c>
      <c r="I850" s="48">
        <v>2</v>
      </c>
      <c r="J850" s="48">
        <v>4</v>
      </c>
      <c r="K850" s="3">
        <v>204</v>
      </c>
      <c r="L850" s="16"/>
      <c r="M850" s="57"/>
      <c r="N850" s="58"/>
      <c r="P850" s="16">
        <v>1</v>
      </c>
      <c r="Q850" s="20">
        <f t="shared" si="161"/>
        <v>204</v>
      </c>
      <c r="R850" s="14">
        <v>200</v>
      </c>
      <c r="S850" s="19">
        <f t="shared" si="162"/>
        <v>40800</v>
      </c>
      <c r="T850" s="16"/>
      <c r="U850" s="17"/>
      <c r="V850" s="17"/>
      <c r="W850" s="4"/>
      <c r="X850" s="16"/>
      <c r="Y850" s="5"/>
      <c r="Z850" s="16"/>
      <c r="AA850" s="16"/>
      <c r="AB850" s="16"/>
      <c r="AE850" s="16"/>
      <c r="AG850" s="22">
        <f t="shared" si="163"/>
        <v>0</v>
      </c>
      <c r="AH850" s="6"/>
      <c r="AJ850" s="20">
        <f t="shared" si="164"/>
        <v>0</v>
      </c>
      <c r="AK850" s="50"/>
      <c r="AL850" s="6"/>
      <c r="AM850" s="20">
        <f t="shared" si="165"/>
        <v>0</v>
      </c>
      <c r="AN850" s="20">
        <f t="shared" si="166"/>
        <v>40800</v>
      </c>
      <c r="AP850" s="20">
        <f t="shared" si="167"/>
        <v>40800</v>
      </c>
      <c r="AQ850" s="7"/>
      <c r="AR850" s="20"/>
      <c r="AS850" s="51"/>
    </row>
    <row r="851" spans="1:45" s="21" customFormat="1" ht="30" customHeight="1" x14ac:dyDescent="0.2">
      <c r="A851" s="8">
        <v>737</v>
      </c>
      <c r="B851" s="46">
        <v>1</v>
      </c>
      <c r="C851" s="16" t="s">
        <v>52</v>
      </c>
      <c r="D851" s="48">
        <v>484</v>
      </c>
      <c r="E851" s="47">
        <v>507</v>
      </c>
      <c r="F851" s="48">
        <v>64</v>
      </c>
      <c r="G851" s="49">
        <v>2</v>
      </c>
      <c r="H851" s="48">
        <v>0</v>
      </c>
      <c r="I851" s="48">
        <v>0</v>
      </c>
      <c r="J851" s="48">
        <v>69.02</v>
      </c>
      <c r="K851" s="3"/>
      <c r="L851" s="16">
        <v>69.02</v>
      </c>
      <c r="M851" s="57"/>
      <c r="N851" s="58"/>
      <c r="P851" s="16">
        <v>2</v>
      </c>
      <c r="Q851" s="20">
        <f t="shared" si="161"/>
        <v>69.02</v>
      </c>
      <c r="R851" s="14">
        <v>1500</v>
      </c>
      <c r="S851" s="19">
        <f t="shared" si="162"/>
        <v>103530</v>
      </c>
      <c r="T851" s="16"/>
      <c r="U851" s="16"/>
      <c r="V851" s="16"/>
      <c r="W851" s="5"/>
      <c r="X851" s="16"/>
      <c r="Y851" s="5"/>
      <c r="Z851" s="16"/>
      <c r="AA851" s="16"/>
      <c r="AB851" s="16"/>
      <c r="AE851" s="16"/>
      <c r="AG851" s="22">
        <f t="shared" si="163"/>
        <v>0</v>
      </c>
      <c r="AH851" s="6"/>
      <c r="AJ851" s="20">
        <f t="shared" si="164"/>
        <v>0</v>
      </c>
      <c r="AK851" s="50"/>
      <c r="AL851" s="6"/>
      <c r="AM851" s="20">
        <f t="shared" si="165"/>
        <v>0</v>
      </c>
      <c r="AN851" s="20">
        <f t="shared" si="166"/>
        <v>103530</v>
      </c>
      <c r="AP851" s="20">
        <f t="shared" si="167"/>
        <v>103530</v>
      </c>
      <c r="AQ851" s="7"/>
      <c r="AR851" s="20"/>
      <c r="AS851" s="51"/>
    </row>
    <row r="852" spans="1:45" ht="30" customHeight="1" x14ac:dyDescent="0.2">
      <c r="A852" s="8"/>
      <c r="C852" s="16"/>
      <c r="Q852" s="20"/>
      <c r="S852" s="20"/>
      <c r="AG852" s="22"/>
      <c r="AJ852" s="20"/>
      <c r="AM852" s="20"/>
      <c r="AN852" s="20"/>
      <c r="AP852" s="20"/>
      <c r="AR852" s="20"/>
    </row>
    <row r="853" spans="1:45" ht="30" customHeight="1" x14ac:dyDescent="0.2">
      <c r="A853" s="8"/>
      <c r="C853" s="16"/>
      <c r="Q853" s="20"/>
      <c r="AG853" s="22"/>
      <c r="AJ853" s="20"/>
      <c r="AM853" s="20"/>
      <c r="AN853" s="20"/>
      <c r="AP853" s="20"/>
      <c r="AR853" s="20"/>
    </row>
    <row r="854" spans="1:45" ht="30" customHeight="1" x14ac:dyDescent="0.2">
      <c r="A854" s="8"/>
      <c r="C854" s="16"/>
      <c r="Q854" s="20"/>
      <c r="AG854" s="22"/>
      <c r="AJ854" s="20"/>
      <c r="AM854" s="20"/>
      <c r="AN854" s="20"/>
      <c r="AP854" s="20"/>
      <c r="AR854" s="20"/>
    </row>
    <row r="855" spans="1:45" s="21" customFormat="1" ht="30" customHeight="1" x14ac:dyDescent="0.2">
      <c r="A855" s="8">
        <v>738</v>
      </c>
      <c r="B855" s="46">
        <v>1</v>
      </c>
      <c r="C855" s="16" t="s">
        <v>52</v>
      </c>
      <c r="D855" s="48">
        <v>2772</v>
      </c>
      <c r="E855" s="47">
        <v>3</v>
      </c>
      <c r="F855" s="48">
        <v>1965</v>
      </c>
      <c r="G855" s="49">
        <v>1</v>
      </c>
      <c r="H855" s="48">
        <v>34</v>
      </c>
      <c r="I855" s="48">
        <v>0</v>
      </c>
      <c r="J855" s="48">
        <v>81</v>
      </c>
      <c r="K855" s="3">
        <f>+(34*400)+81</f>
        <v>13681</v>
      </c>
      <c r="L855" s="16"/>
      <c r="M855" s="57"/>
      <c r="N855" s="58"/>
      <c r="P855" s="16">
        <v>1</v>
      </c>
      <c r="Q855" s="20">
        <f t="shared" si="161"/>
        <v>13681</v>
      </c>
      <c r="R855" s="14">
        <v>160</v>
      </c>
      <c r="S855" s="20">
        <f t="shared" si="162"/>
        <v>2188960</v>
      </c>
      <c r="T855" s="16"/>
      <c r="U855" s="17"/>
      <c r="V855" s="16"/>
      <c r="W855" s="5"/>
      <c r="X855" s="16"/>
      <c r="Y855" s="5"/>
      <c r="Z855" s="16"/>
      <c r="AA855" s="16"/>
      <c r="AB855" s="16"/>
      <c r="AE855" s="16"/>
      <c r="AG855" s="22">
        <f t="shared" si="163"/>
        <v>0</v>
      </c>
      <c r="AH855" s="6"/>
      <c r="AJ855" s="20">
        <f t="shared" si="164"/>
        <v>0</v>
      </c>
      <c r="AK855" s="50"/>
      <c r="AL855" s="6"/>
      <c r="AM855" s="20">
        <f t="shared" si="165"/>
        <v>0</v>
      </c>
      <c r="AN855" s="20">
        <f t="shared" si="166"/>
        <v>2188960</v>
      </c>
      <c r="AP855" s="20">
        <f t="shared" si="167"/>
        <v>2188960</v>
      </c>
      <c r="AQ855" s="7"/>
      <c r="AR855" s="60"/>
      <c r="AS855" s="128">
        <v>132</v>
      </c>
    </row>
    <row r="856" spans="1:45" s="21" customFormat="1" ht="30" customHeight="1" x14ac:dyDescent="0.2">
      <c r="A856" s="8">
        <v>739</v>
      </c>
      <c r="B856" s="46">
        <v>2</v>
      </c>
      <c r="C856" s="16" t="s">
        <v>52</v>
      </c>
      <c r="D856" s="48">
        <v>2773</v>
      </c>
      <c r="E856" s="47">
        <v>2</v>
      </c>
      <c r="F856" s="48">
        <v>1966</v>
      </c>
      <c r="G856" s="49">
        <v>1</v>
      </c>
      <c r="H856" s="48">
        <v>9</v>
      </c>
      <c r="I856" s="48">
        <v>2</v>
      </c>
      <c r="J856" s="48">
        <v>93</v>
      </c>
      <c r="K856" s="3">
        <f>+(9*400)+200+93</f>
        <v>3893</v>
      </c>
      <c r="L856" s="16"/>
      <c r="M856" s="57"/>
      <c r="N856" s="58"/>
      <c r="P856" s="16">
        <v>1</v>
      </c>
      <c r="Q856" s="20">
        <f t="shared" si="161"/>
        <v>3893</v>
      </c>
      <c r="R856" s="14">
        <v>160</v>
      </c>
      <c r="S856" s="19">
        <f t="shared" si="162"/>
        <v>622880</v>
      </c>
      <c r="T856" s="16"/>
      <c r="U856" s="17"/>
      <c r="V856" s="17"/>
      <c r="W856" s="4"/>
      <c r="X856" s="16"/>
      <c r="Y856" s="5"/>
      <c r="Z856" s="16"/>
      <c r="AA856" s="16"/>
      <c r="AB856" s="16"/>
      <c r="AC856" s="14"/>
      <c r="AD856" s="14"/>
      <c r="AE856" s="16"/>
      <c r="AG856" s="22">
        <f t="shared" si="163"/>
        <v>0</v>
      </c>
      <c r="AH856" s="6"/>
      <c r="AJ856" s="20">
        <f t="shared" si="164"/>
        <v>0</v>
      </c>
      <c r="AK856" s="50"/>
      <c r="AL856" s="6"/>
      <c r="AM856" s="20">
        <f t="shared" si="165"/>
        <v>0</v>
      </c>
      <c r="AN856" s="20">
        <f t="shared" si="166"/>
        <v>622880</v>
      </c>
      <c r="AP856" s="20">
        <f t="shared" si="167"/>
        <v>622880</v>
      </c>
      <c r="AQ856" s="7"/>
      <c r="AR856" s="25"/>
      <c r="AS856" s="130"/>
    </row>
    <row r="857" spans="1:45" s="21" customFormat="1" ht="30" customHeight="1" x14ac:dyDescent="0.2">
      <c r="A857" s="8">
        <v>740</v>
      </c>
      <c r="B857" s="46">
        <v>1</v>
      </c>
      <c r="C857" s="16" t="s">
        <v>52</v>
      </c>
      <c r="D857" s="48">
        <v>5839</v>
      </c>
      <c r="E857" s="47">
        <v>7</v>
      </c>
      <c r="F857" s="48">
        <v>3036</v>
      </c>
      <c r="G857" s="49">
        <v>5</v>
      </c>
      <c r="H857" s="48">
        <v>1</v>
      </c>
      <c r="I857" s="48">
        <v>0</v>
      </c>
      <c r="J857" s="48">
        <v>51</v>
      </c>
      <c r="K857" s="3">
        <v>451</v>
      </c>
      <c r="L857" s="16"/>
      <c r="M857" s="57"/>
      <c r="N857" s="58"/>
      <c r="P857" s="16">
        <v>1</v>
      </c>
      <c r="Q857" s="20">
        <f t="shared" si="161"/>
        <v>451</v>
      </c>
      <c r="R857" s="14">
        <v>160</v>
      </c>
      <c r="S857" s="19">
        <f t="shared" si="162"/>
        <v>72160</v>
      </c>
      <c r="T857" s="16"/>
      <c r="U857" s="17"/>
      <c r="V857" s="17"/>
      <c r="W857" s="4"/>
      <c r="X857" s="16"/>
      <c r="Y857" s="5"/>
      <c r="Z857" s="16"/>
      <c r="AA857" s="16"/>
      <c r="AB857" s="16"/>
      <c r="AE857" s="16"/>
      <c r="AG857" s="22">
        <f t="shared" si="163"/>
        <v>0</v>
      </c>
      <c r="AH857" s="6"/>
      <c r="AJ857" s="20">
        <f t="shared" si="164"/>
        <v>0</v>
      </c>
      <c r="AK857" s="50"/>
      <c r="AL857" s="6"/>
      <c r="AM857" s="20">
        <f t="shared" si="165"/>
        <v>0</v>
      </c>
      <c r="AN857" s="20">
        <f t="shared" si="166"/>
        <v>72160</v>
      </c>
      <c r="AP857" s="20">
        <f t="shared" si="167"/>
        <v>72160</v>
      </c>
      <c r="AQ857" s="7"/>
      <c r="AR857" s="20"/>
      <c r="AS857" s="51"/>
    </row>
    <row r="858" spans="1:45" s="21" customFormat="1" ht="30" customHeight="1" x14ac:dyDescent="0.2">
      <c r="A858" s="8">
        <v>741</v>
      </c>
      <c r="B858" s="46">
        <v>1</v>
      </c>
      <c r="C858" s="16" t="s">
        <v>52</v>
      </c>
      <c r="D858" s="48">
        <v>22248</v>
      </c>
      <c r="E858" s="47">
        <v>141</v>
      </c>
      <c r="F858" s="48">
        <v>4755</v>
      </c>
      <c r="G858" s="49">
        <v>2</v>
      </c>
      <c r="H858" s="48">
        <v>0</v>
      </c>
      <c r="I858" s="48">
        <v>0</v>
      </c>
      <c r="J858" s="48">
        <v>54</v>
      </c>
      <c r="K858" s="3"/>
      <c r="L858" s="16">
        <v>14</v>
      </c>
      <c r="M858" s="57"/>
      <c r="N858" s="58"/>
      <c r="P858" s="16">
        <v>2</v>
      </c>
      <c r="Q858" s="20">
        <f t="shared" si="161"/>
        <v>54</v>
      </c>
      <c r="R858" s="14">
        <v>1200</v>
      </c>
      <c r="S858" s="20">
        <f t="shared" si="162"/>
        <v>64800</v>
      </c>
      <c r="T858" s="16"/>
      <c r="U858" s="17" t="s">
        <v>63</v>
      </c>
      <c r="V858" s="17" t="s">
        <v>56</v>
      </c>
      <c r="W858" s="4"/>
      <c r="X858" s="16"/>
      <c r="Y858" s="5">
        <v>56</v>
      </c>
      <c r="Z858" s="16"/>
      <c r="AA858" s="16"/>
      <c r="AB858" s="16">
        <v>11</v>
      </c>
      <c r="AC858" s="14"/>
      <c r="AD858" s="14"/>
      <c r="AE858" s="16"/>
      <c r="AG858" s="22">
        <f t="shared" si="163"/>
        <v>56</v>
      </c>
      <c r="AH858" s="6"/>
      <c r="AJ858" s="20">
        <f t="shared" si="164"/>
        <v>0</v>
      </c>
      <c r="AK858" s="50">
        <v>11</v>
      </c>
      <c r="AL858" s="6"/>
      <c r="AM858" s="20">
        <f t="shared" si="165"/>
        <v>0</v>
      </c>
      <c r="AN858" s="20">
        <f t="shared" si="166"/>
        <v>64800</v>
      </c>
      <c r="AP858" s="20">
        <f t="shared" si="167"/>
        <v>64800</v>
      </c>
      <c r="AQ858" s="7"/>
      <c r="AR858" s="20"/>
      <c r="AS858" s="51"/>
    </row>
    <row r="859" spans="1:45" s="21" customFormat="1" ht="30" customHeight="1" x14ac:dyDescent="0.2">
      <c r="A859" s="8">
        <v>742</v>
      </c>
      <c r="B859" s="46">
        <v>2</v>
      </c>
      <c r="C859" s="16" t="s">
        <v>52</v>
      </c>
      <c r="D859" s="48">
        <v>22249</v>
      </c>
      <c r="E859" s="47">
        <v>142</v>
      </c>
      <c r="F859" s="48">
        <v>4756</v>
      </c>
      <c r="G859" s="49">
        <v>2</v>
      </c>
      <c r="H859" s="48">
        <v>0</v>
      </c>
      <c r="I859" s="48">
        <v>0</v>
      </c>
      <c r="J859" s="48">
        <v>43</v>
      </c>
      <c r="K859" s="3"/>
      <c r="L859" s="16">
        <v>43</v>
      </c>
      <c r="M859" s="57"/>
      <c r="N859" s="58"/>
      <c r="P859" s="16">
        <v>2</v>
      </c>
      <c r="Q859" s="20">
        <f t="shared" si="161"/>
        <v>43</v>
      </c>
      <c r="R859" s="14">
        <v>1200</v>
      </c>
      <c r="S859" s="19">
        <f t="shared" si="162"/>
        <v>51600</v>
      </c>
      <c r="T859" s="16"/>
      <c r="U859" s="17"/>
      <c r="V859" s="17"/>
      <c r="W859" s="4"/>
      <c r="X859" s="16"/>
      <c r="Y859" s="5"/>
      <c r="Z859" s="16"/>
      <c r="AA859" s="16"/>
      <c r="AB859" s="16"/>
      <c r="AC859" s="14"/>
      <c r="AD859" s="14"/>
      <c r="AE859" s="16"/>
      <c r="AG859" s="22">
        <f t="shared" si="163"/>
        <v>0</v>
      </c>
      <c r="AH859" s="6"/>
      <c r="AJ859" s="20">
        <f t="shared" si="164"/>
        <v>0</v>
      </c>
      <c r="AK859" s="50"/>
      <c r="AL859" s="6"/>
      <c r="AM859" s="20">
        <f t="shared" si="165"/>
        <v>0</v>
      </c>
      <c r="AN859" s="20">
        <f t="shared" si="166"/>
        <v>51600</v>
      </c>
      <c r="AP859" s="20">
        <f t="shared" si="167"/>
        <v>51600</v>
      </c>
      <c r="AQ859" s="7"/>
      <c r="AR859" s="20"/>
      <c r="AS859" s="51"/>
    </row>
    <row r="860" spans="1:45" s="21" customFormat="1" ht="30" customHeight="1" x14ac:dyDescent="0.2">
      <c r="A860" s="8">
        <v>743</v>
      </c>
      <c r="B860" s="46">
        <v>1</v>
      </c>
      <c r="C860" s="16" t="s">
        <v>52</v>
      </c>
      <c r="D860" s="48">
        <v>861</v>
      </c>
      <c r="E860" s="47">
        <v>91</v>
      </c>
      <c r="F860" s="48">
        <v>151</v>
      </c>
      <c r="G860" s="49">
        <v>1</v>
      </c>
      <c r="H860" s="48">
        <v>0</v>
      </c>
      <c r="I860" s="48">
        <v>0</v>
      </c>
      <c r="J860" s="48">
        <v>42</v>
      </c>
      <c r="K860" s="3"/>
      <c r="L860" s="16"/>
      <c r="M860" s="57">
        <v>42</v>
      </c>
      <c r="N860" s="58"/>
      <c r="P860" s="16">
        <v>2</v>
      </c>
      <c r="Q860" s="20">
        <f t="shared" si="161"/>
        <v>42</v>
      </c>
      <c r="R860" s="14">
        <v>3000</v>
      </c>
      <c r="S860" s="19">
        <f t="shared" si="162"/>
        <v>126000</v>
      </c>
      <c r="T860" s="16"/>
      <c r="U860" s="17"/>
      <c r="V860" s="17"/>
      <c r="W860" s="4"/>
      <c r="X860" s="16"/>
      <c r="Y860" s="5"/>
      <c r="Z860" s="16"/>
      <c r="AA860" s="16"/>
      <c r="AB860" s="16"/>
      <c r="AC860" s="14"/>
      <c r="AD860" s="14"/>
      <c r="AE860" s="16" t="s">
        <v>132</v>
      </c>
      <c r="AG860" s="22">
        <f t="shared" si="163"/>
        <v>0</v>
      </c>
      <c r="AH860" s="6"/>
      <c r="AJ860" s="20">
        <f t="shared" si="164"/>
        <v>0</v>
      </c>
      <c r="AK860" s="50"/>
      <c r="AL860" s="6"/>
      <c r="AM860" s="20">
        <f t="shared" si="165"/>
        <v>0</v>
      </c>
      <c r="AN860" s="20">
        <f t="shared" si="166"/>
        <v>126000</v>
      </c>
      <c r="AP860" s="20">
        <f t="shared" si="167"/>
        <v>126000</v>
      </c>
      <c r="AQ860" s="7"/>
      <c r="AR860" s="20"/>
      <c r="AS860" s="51"/>
    </row>
    <row r="861" spans="1:45" s="21" customFormat="1" ht="30" customHeight="1" x14ac:dyDescent="0.2">
      <c r="A861" s="8">
        <v>744</v>
      </c>
      <c r="B861" s="46">
        <v>2</v>
      </c>
      <c r="C861" s="16" t="s">
        <v>52</v>
      </c>
      <c r="D861" s="48">
        <v>862</v>
      </c>
      <c r="E861" s="47">
        <v>92</v>
      </c>
      <c r="F861" s="48">
        <v>152</v>
      </c>
      <c r="G861" s="49">
        <v>1</v>
      </c>
      <c r="H861" s="48">
        <v>0</v>
      </c>
      <c r="I861" s="48">
        <v>0</v>
      </c>
      <c r="J861" s="48">
        <v>31</v>
      </c>
      <c r="K861" s="3"/>
      <c r="L861" s="16"/>
      <c r="M861" s="57">
        <v>31</v>
      </c>
      <c r="N861" s="58"/>
      <c r="P861" s="16">
        <v>2</v>
      </c>
      <c r="Q861" s="20">
        <f t="shared" si="161"/>
        <v>31</v>
      </c>
      <c r="R861" s="14">
        <v>3000</v>
      </c>
      <c r="S861" s="20">
        <f t="shared" si="162"/>
        <v>93000</v>
      </c>
      <c r="T861" s="16"/>
      <c r="U861" s="16"/>
      <c r="V861" s="16"/>
      <c r="W861" s="5"/>
      <c r="X861" s="16"/>
      <c r="Y861" s="5"/>
      <c r="Z861" s="16"/>
      <c r="AA861" s="16"/>
      <c r="AB861" s="16"/>
      <c r="AC861" s="14"/>
      <c r="AD861" s="14"/>
      <c r="AE861" s="16"/>
      <c r="AG861" s="22">
        <f t="shared" si="163"/>
        <v>0</v>
      </c>
      <c r="AH861" s="6"/>
      <c r="AJ861" s="20">
        <f t="shared" si="164"/>
        <v>0</v>
      </c>
      <c r="AK861" s="50"/>
      <c r="AL861" s="6"/>
      <c r="AM861" s="20">
        <f t="shared" si="165"/>
        <v>0</v>
      </c>
      <c r="AN861" s="20">
        <f t="shared" si="166"/>
        <v>93000</v>
      </c>
      <c r="AP861" s="20">
        <f t="shared" si="167"/>
        <v>93000</v>
      </c>
      <c r="AQ861" s="7"/>
      <c r="AR861" s="20"/>
      <c r="AS861" s="51"/>
    </row>
    <row r="862" spans="1:45" s="21" customFormat="1" ht="30" customHeight="1" x14ac:dyDescent="0.2">
      <c r="A862" s="8">
        <v>745</v>
      </c>
      <c r="B862" s="46">
        <v>3</v>
      </c>
      <c r="C862" s="16" t="s">
        <v>52</v>
      </c>
      <c r="D862" s="48">
        <v>11692</v>
      </c>
      <c r="E862" s="47">
        <v>48</v>
      </c>
      <c r="F862" s="48">
        <v>3180</v>
      </c>
      <c r="G862" s="49">
        <v>1</v>
      </c>
      <c r="H862" s="48">
        <v>0</v>
      </c>
      <c r="I862" s="48">
        <v>1</v>
      </c>
      <c r="J862" s="48">
        <v>55</v>
      </c>
      <c r="K862" s="3">
        <v>155</v>
      </c>
      <c r="L862" s="16"/>
      <c r="M862" s="57"/>
      <c r="N862" s="58"/>
      <c r="P862" s="16">
        <v>1</v>
      </c>
      <c r="Q862" s="20">
        <f t="shared" si="161"/>
        <v>155</v>
      </c>
      <c r="R862" s="14">
        <v>250</v>
      </c>
      <c r="S862" s="19">
        <f t="shared" si="162"/>
        <v>38750</v>
      </c>
      <c r="T862" s="16"/>
      <c r="U862" s="17"/>
      <c r="V862" s="16"/>
      <c r="W862" s="5"/>
      <c r="X862" s="16"/>
      <c r="Y862" s="5"/>
      <c r="Z862" s="16"/>
      <c r="AA862" s="16"/>
      <c r="AB862" s="16"/>
      <c r="AC862" s="14"/>
      <c r="AD862" s="14"/>
      <c r="AE862" s="16"/>
      <c r="AG862" s="22">
        <f t="shared" si="163"/>
        <v>0</v>
      </c>
      <c r="AH862" s="6"/>
      <c r="AJ862" s="20">
        <f t="shared" si="164"/>
        <v>0</v>
      </c>
      <c r="AK862" s="50"/>
      <c r="AL862" s="6"/>
      <c r="AM862" s="20">
        <f t="shared" si="165"/>
        <v>0</v>
      </c>
      <c r="AN862" s="20">
        <f t="shared" si="166"/>
        <v>38750</v>
      </c>
      <c r="AP862" s="20">
        <f t="shared" si="167"/>
        <v>38750</v>
      </c>
      <c r="AQ862" s="7"/>
      <c r="AR862" s="20"/>
      <c r="AS862" s="51"/>
    </row>
    <row r="863" spans="1:45" s="21" customFormat="1" ht="30" customHeight="1" x14ac:dyDescent="0.2">
      <c r="A863" s="8">
        <v>746</v>
      </c>
      <c r="B863" s="46">
        <v>4</v>
      </c>
      <c r="C863" s="16" t="s">
        <v>52</v>
      </c>
      <c r="D863" s="48">
        <v>14472</v>
      </c>
      <c r="E863" s="47">
        <v>157</v>
      </c>
      <c r="F863" s="48">
        <v>3387</v>
      </c>
      <c r="G863" s="49">
        <v>1</v>
      </c>
      <c r="H863" s="48">
        <v>0</v>
      </c>
      <c r="I863" s="48">
        <v>0</v>
      </c>
      <c r="J863" s="48">
        <v>28</v>
      </c>
      <c r="K863" s="3"/>
      <c r="L863" s="16"/>
      <c r="M863" s="57">
        <v>28</v>
      </c>
      <c r="N863" s="58"/>
      <c r="P863" s="16">
        <v>2</v>
      </c>
      <c r="Q863" s="20">
        <f t="shared" si="161"/>
        <v>28</v>
      </c>
      <c r="R863" s="14">
        <v>3000</v>
      </c>
      <c r="S863" s="19">
        <f t="shared" si="162"/>
        <v>84000</v>
      </c>
      <c r="T863" s="16"/>
      <c r="U863" s="17"/>
      <c r="V863" s="17"/>
      <c r="W863" s="4"/>
      <c r="X863" s="16"/>
      <c r="Y863" s="5"/>
      <c r="Z863" s="16"/>
      <c r="AA863" s="16"/>
      <c r="AB863" s="16"/>
      <c r="AE863" s="16"/>
      <c r="AG863" s="22">
        <f t="shared" si="163"/>
        <v>0</v>
      </c>
      <c r="AH863" s="6"/>
      <c r="AJ863" s="20">
        <f t="shared" si="164"/>
        <v>0</v>
      </c>
      <c r="AK863" s="50"/>
      <c r="AL863" s="6"/>
      <c r="AM863" s="20">
        <f t="shared" si="165"/>
        <v>0</v>
      </c>
      <c r="AN863" s="20">
        <f t="shared" si="166"/>
        <v>84000</v>
      </c>
      <c r="AP863" s="20">
        <f t="shared" si="167"/>
        <v>84000</v>
      </c>
      <c r="AQ863" s="7"/>
      <c r="AR863" s="20"/>
      <c r="AS863" s="51"/>
    </row>
    <row r="864" spans="1:45" s="21" customFormat="1" ht="30" customHeight="1" x14ac:dyDescent="0.2">
      <c r="A864" s="8">
        <v>747</v>
      </c>
      <c r="B864" s="46">
        <v>5</v>
      </c>
      <c r="C864" s="16" t="s">
        <v>52</v>
      </c>
      <c r="D864" s="48">
        <v>25118</v>
      </c>
      <c r="E864" s="47">
        <v>218</v>
      </c>
      <c r="F864" s="48">
        <v>4981</v>
      </c>
      <c r="G864" s="49">
        <v>1</v>
      </c>
      <c r="H864" s="48">
        <v>0</v>
      </c>
      <c r="I864" s="48">
        <v>1</v>
      </c>
      <c r="J864" s="48">
        <v>94</v>
      </c>
      <c r="K864" s="3">
        <v>194</v>
      </c>
      <c r="L864" s="16"/>
      <c r="M864" s="57"/>
      <c r="N864" s="58"/>
      <c r="P864" s="16">
        <v>1</v>
      </c>
      <c r="Q864" s="20">
        <f t="shared" si="161"/>
        <v>194</v>
      </c>
      <c r="R864" s="14">
        <v>250</v>
      </c>
      <c r="S864" s="20">
        <f t="shared" si="162"/>
        <v>48500</v>
      </c>
      <c r="T864" s="16"/>
      <c r="U864" s="17"/>
      <c r="V864" s="17"/>
      <c r="W864" s="4"/>
      <c r="X864" s="16"/>
      <c r="Y864" s="5"/>
      <c r="Z864" s="16"/>
      <c r="AA864" s="16"/>
      <c r="AB864" s="16"/>
      <c r="AE864" s="16"/>
      <c r="AG864" s="22">
        <f t="shared" si="163"/>
        <v>0</v>
      </c>
      <c r="AH864" s="6"/>
      <c r="AJ864" s="20">
        <f t="shared" si="164"/>
        <v>0</v>
      </c>
      <c r="AK864" s="50"/>
      <c r="AL864" s="6"/>
      <c r="AM864" s="20">
        <f t="shared" si="165"/>
        <v>0</v>
      </c>
      <c r="AN864" s="20">
        <f t="shared" si="166"/>
        <v>48500</v>
      </c>
      <c r="AP864" s="20">
        <f t="shared" si="167"/>
        <v>48500</v>
      </c>
      <c r="AQ864" s="7"/>
      <c r="AR864" s="20"/>
      <c r="AS864" s="51"/>
    </row>
    <row r="865" spans="1:45" s="21" customFormat="1" ht="30" customHeight="1" x14ac:dyDescent="0.2">
      <c r="A865" s="8">
        <v>748</v>
      </c>
      <c r="B865" s="46">
        <v>6</v>
      </c>
      <c r="C865" s="16" t="s">
        <v>52</v>
      </c>
      <c r="D865" s="48">
        <v>35774</v>
      </c>
      <c r="E865" s="47">
        <v>150</v>
      </c>
      <c r="F865" s="48">
        <v>7065</v>
      </c>
      <c r="G865" s="49">
        <v>1</v>
      </c>
      <c r="H865" s="48">
        <v>1</v>
      </c>
      <c r="I865" s="48">
        <v>0</v>
      </c>
      <c r="J865" s="48">
        <v>47.06</v>
      </c>
      <c r="K865" s="3">
        <v>447.06</v>
      </c>
      <c r="L865" s="16"/>
      <c r="M865" s="57"/>
      <c r="N865" s="58"/>
      <c r="P865" s="16">
        <v>1</v>
      </c>
      <c r="Q865" s="20">
        <f t="shared" si="161"/>
        <v>447.06</v>
      </c>
      <c r="R865" s="14">
        <v>2000</v>
      </c>
      <c r="S865" s="19">
        <f t="shared" si="162"/>
        <v>894120</v>
      </c>
      <c r="T865" s="16"/>
      <c r="U865" s="17"/>
      <c r="V865" s="17"/>
      <c r="W865" s="4"/>
      <c r="X865" s="16"/>
      <c r="Y865" s="5"/>
      <c r="Z865" s="16"/>
      <c r="AA865" s="16"/>
      <c r="AB865" s="16"/>
      <c r="AE865" s="16"/>
      <c r="AG865" s="22">
        <f t="shared" si="163"/>
        <v>0</v>
      </c>
      <c r="AH865" s="6"/>
      <c r="AJ865" s="20">
        <f t="shared" si="164"/>
        <v>0</v>
      </c>
      <c r="AK865" s="50"/>
      <c r="AL865" s="6"/>
      <c r="AM865" s="20">
        <f t="shared" si="165"/>
        <v>0</v>
      </c>
      <c r="AN865" s="20">
        <f t="shared" si="166"/>
        <v>894120</v>
      </c>
      <c r="AP865" s="20">
        <f t="shared" si="167"/>
        <v>894120</v>
      </c>
      <c r="AQ865" s="7"/>
      <c r="AR865" s="20"/>
      <c r="AS865" s="51"/>
    </row>
    <row r="866" spans="1:45" ht="30" customHeight="1" x14ac:dyDescent="0.2">
      <c r="A866" s="8">
        <v>749</v>
      </c>
      <c r="B866" s="13">
        <v>7</v>
      </c>
      <c r="C866" s="16" t="s">
        <v>65</v>
      </c>
      <c r="D866" s="17">
        <v>1435</v>
      </c>
      <c r="E866" s="17">
        <v>10</v>
      </c>
      <c r="H866" s="17">
        <v>3</v>
      </c>
      <c r="I866" s="17">
        <v>1</v>
      </c>
      <c r="J866" s="17">
        <v>33</v>
      </c>
      <c r="K866" s="10">
        <v>1333</v>
      </c>
      <c r="P866" s="17">
        <v>1</v>
      </c>
      <c r="Q866" s="20">
        <f t="shared" si="161"/>
        <v>1333</v>
      </c>
      <c r="R866" s="14">
        <v>160</v>
      </c>
      <c r="S866" s="19">
        <f t="shared" si="162"/>
        <v>213280</v>
      </c>
      <c r="AG866" s="22">
        <f t="shared" si="163"/>
        <v>0</v>
      </c>
      <c r="AJ866" s="20">
        <f t="shared" si="164"/>
        <v>0</v>
      </c>
      <c r="AM866" s="20">
        <f t="shared" si="165"/>
        <v>0</v>
      </c>
      <c r="AN866" s="20">
        <f t="shared" si="166"/>
        <v>213280</v>
      </c>
      <c r="AP866" s="20">
        <f t="shared" si="167"/>
        <v>213280</v>
      </c>
      <c r="AQ866" s="12">
        <v>1E-4</v>
      </c>
      <c r="AR866" s="20"/>
    </row>
    <row r="867" spans="1:45" s="21" customFormat="1" ht="30" customHeight="1" x14ac:dyDescent="0.2">
      <c r="A867" s="8">
        <v>750</v>
      </c>
      <c r="B867" s="46">
        <v>1</v>
      </c>
      <c r="C867" s="16" t="s">
        <v>52</v>
      </c>
      <c r="D867" s="48">
        <v>28737</v>
      </c>
      <c r="E867" s="47">
        <v>108</v>
      </c>
      <c r="F867" s="48">
        <v>5324</v>
      </c>
      <c r="G867" s="49">
        <v>2</v>
      </c>
      <c r="H867" s="48">
        <v>0</v>
      </c>
      <c r="I867" s="48">
        <v>1</v>
      </c>
      <c r="J867" s="48">
        <v>44</v>
      </c>
      <c r="K867" s="3"/>
      <c r="L867" s="16"/>
      <c r="M867" s="57"/>
      <c r="N867" s="58">
        <v>144</v>
      </c>
      <c r="P867" s="16">
        <v>4</v>
      </c>
      <c r="Q867" s="20">
        <f t="shared" si="161"/>
        <v>144</v>
      </c>
      <c r="R867" s="14">
        <v>160</v>
      </c>
      <c r="S867" s="20">
        <f t="shared" si="162"/>
        <v>23040</v>
      </c>
      <c r="T867" s="16"/>
      <c r="U867" s="17"/>
      <c r="V867" s="17"/>
      <c r="W867" s="4"/>
      <c r="X867" s="16"/>
      <c r="Y867" s="5"/>
      <c r="Z867" s="16"/>
      <c r="AA867" s="16"/>
      <c r="AB867" s="16"/>
      <c r="AE867" s="16"/>
      <c r="AG867" s="22">
        <f t="shared" si="163"/>
        <v>0</v>
      </c>
      <c r="AH867" s="6"/>
      <c r="AJ867" s="20">
        <f t="shared" si="164"/>
        <v>0</v>
      </c>
      <c r="AK867" s="50"/>
      <c r="AL867" s="6"/>
      <c r="AM867" s="20">
        <f t="shared" si="165"/>
        <v>0</v>
      </c>
      <c r="AN867" s="20">
        <f t="shared" si="166"/>
        <v>23040</v>
      </c>
      <c r="AP867" s="20">
        <f t="shared" si="167"/>
        <v>23040</v>
      </c>
      <c r="AQ867" s="7">
        <v>3.0000000000000001E-3</v>
      </c>
      <c r="AR867" s="20"/>
      <c r="AS867" s="51"/>
    </row>
    <row r="868" spans="1:45" s="21" customFormat="1" ht="30" customHeight="1" x14ac:dyDescent="0.2">
      <c r="A868" s="8">
        <v>751</v>
      </c>
      <c r="B868" s="46">
        <v>2</v>
      </c>
      <c r="C868" s="16" t="s">
        <v>52</v>
      </c>
      <c r="D868" s="48">
        <v>36762</v>
      </c>
      <c r="E868" s="47">
        <v>501</v>
      </c>
      <c r="F868" s="48">
        <v>7007</v>
      </c>
      <c r="G868" s="49"/>
      <c r="H868" s="48">
        <v>0</v>
      </c>
      <c r="I868" s="48">
        <v>3</v>
      </c>
      <c r="J868" s="48">
        <v>39</v>
      </c>
      <c r="K868" s="3">
        <v>339</v>
      </c>
      <c r="L868" s="16"/>
      <c r="M868" s="57"/>
      <c r="N868" s="58"/>
      <c r="P868" s="16">
        <v>1</v>
      </c>
      <c r="Q868" s="20">
        <f t="shared" si="161"/>
        <v>339</v>
      </c>
      <c r="R868" s="14">
        <v>2250</v>
      </c>
      <c r="S868" s="19">
        <f t="shared" si="162"/>
        <v>762750</v>
      </c>
      <c r="T868" s="16"/>
      <c r="U868" s="17"/>
      <c r="V868" s="17"/>
      <c r="W868" s="4"/>
      <c r="X868" s="16"/>
      <c r="Y868" s="5"/>
      <c r="Z868" s="16"/>
      <c r="AA868" s="16"/>
      <c r="AB868" s="16"/>
      <c r="AE868" s="16"/>
      <c r="AG868" s="22">
        <f t="shared" si="163"/>
        <v>0</v>
      </c>
      <c r="AH868" s="6"/>
      <c r="AJ868" s="20">
        <f t="shared" si="164"/>
        <v>0</v>
      </c>
      <c r="AK868" s="50"/>
      <c r="AL868" s="6"/>
      <c r="AM868" s="20">
        <f t="shared" si="165"/>
        <v>0</v>
      </c>
      <c r="AN868" s="20">
        <f t="shared" si="166"/>
        <v>762750</v>
      </c>
      <c r="AP868" s="20">
        <f t="shared" si="167"/>
        <v>762750</v>
      </c>
      <c r="AQ868" s="7"/>
      <c r="AR868" s="20"/>
      <c r="AS868" s="51"/>
    </row>
    <row r="869" spans="1:45" ht="30" customHeight="1" x14ac:dyDescent="0.2">
      <c r="A869" s="8">
        <v>752</v>
      </c>
      <c r="B869" s="13">
        <v>3</v>
      </c>
      <c r="C869" s="16" t="s">
        <v>65</v>
      </c>
      <c r="D869" s="17">
        <v>1679</v>
      </c>
      <c r="E869" s="17">
        <v>21</v>
      </c>
      <c r="H869" s="17">
        <v>2</v>
      </c>
      <c r="I869" s="17">
        <v>1</v>
      </c>
      <c r="J869" s="17">
        <v>36</v>
      </c>
      <c r="K869" s="10">
        <v>936</v>
      </c>
      <c r="P869" s="17">
        <v>1</v>
      </c>
      <c r="Q869" s="20">
        <f t="shared" si="161"/>
        <v>936</v>
      </c>
      <c r="R869" s="14">
        <v>160</v>
      </c>
      <c r="S869" s="19">
        <f t="shared" si="162"/>
        <v>149760</v>
      </c>
      <c r="AC869" s="21"/>
      <c r="AD869" s="21"/>
      <c r="AG869" s="22">
        <f t="shared" si="163"/>
        <v>0</v>
      </c>
      <c r="AJ869" s="20">
        <f t="shared" si="164"/>
        <v>0</v>
      </c>
      <c r="AM869" s="20">
        <f t="shared" si="165"/>
        <v>0</v>
      </c>
      <c r="AN869" s="20">
        <f t="shared" si="166"/>
        <v>149760</v>
      </c>
      <c r="AP869" s="20">
        <f t="shared" si="167"/>
        <v>149760</v>
      </c>
      <c r="AQ869" s="12">
        <v>1E-4</v>
      </c>
      <c r="AR869" s="20"/>
    </row>
    <row r="870" spans="1:45" s="21" customFormat="1" ht="30" customHeight="1" x14ac:dyDescent="0.2">
      <c r="A870" s="8">
        <v>753</v>
      </c>
      <c r="B870" s="46">
        <v>1</v>
      </c>
      <c r="C870" s="16" t="s">
        <v>52</v>
      </c>
      <c r="D870" s="48">
        <v>29797</v>
      </c>
      <c r="E870" s="47">
        <v>99</v>
      </c>
      <c r="F870" s="48">
        <v>5533</v>
      </c>
      <c r="G870" s="49">
        <v>1</v>
      </c>
      <c r="H870" s="48">
        <v>0</v>
      </c>
      <c r="I870" s="48">
        <v>0</v>
      </c>
      <c r="J870" s="48">
        <v>47</v>
      </c>
      <c r="K870" s="3"/>
      <c r="L870" s="16"/>
      <c r="M870" s="57"/>
      <c r="N870" s="58">
        <v>47</v>
      </c>
      <c r="P870" s="16">
        <v>4</v>
      </c>
      <c r="Q870" s="20">
        <f t="shared" si="161"/>
        <v>47</v>
      </c>
      <c r="R870" s="14">
        <v>160</v>
      </c>
      <c r="S870" s="20">
        <f t="shared" si="162"/>
        <v>7520</v>
      </c>
      <c r="T870" s="16"/>
      <c r="U870" s="16"/>
      <c r="V870" s="16"/>
      <c r="W870" s="5"/>
      <c r="X870" s="16"/>
      <c r="Y870" s="5"/>
      <c r="Z870" s="16"/>
      <c r="AA870" s="16"/>
      <c r="AB870" s="16"/>
      <c r="AE870" s="16"/>
      <c r="AG870" s="22">
        <f t="shared" si="163"/>
        <v>0</v>
      </c>
      <c r="AH870" s="6"/>
      <c r="AJ870" s="20">
        <f t="shared" si="164"/>
        <v>0</v>
      </c>
      <c r="AK870" s="50"/>
      <c r="AL870" s="6"/>
      <c r="AM870" s="20">
        <f t="shared" si="165"/>
        <v>0</v>
      </c>
      <c r="AN870" s="20">
        <f t="shared" si="166"/>
        <v>7520</v>
      </c>
      <c r="AP870" s="20">
        <f t="shared" si="167"/>
        <v>7520</v>
      </c>
      <c r="AQ870" s="7">
        <v>3.0000000000000001E-3</v>
      </c>
      <c r="AR870" s="20"/>
      <c r="AS870" s="51"/>
    </row>
    <row r="871" spans="1:45" s="21" customFormat="1" ht="30" customHeight="1" x14ac:dyDescent="0.2">
      <c r="A871" s="8">
        <v>754</v>
      </c>
      <c r="B871" s="46">
        <v>2</v>
      </c>
      <c r="C871" s="16" t="s">
        <v>52</v>
      </c>
      <c r="D871" s="48">
        <v>29715</v>
      </c>
      <c r="E871" s="47">
        <v>184</v>
      </c>
      <c r="F871" s="48">
        <v>5515</v>
      </c>
      <c r="G871" s="49">
        <v>2</v>
      </c>
      <c r="H871" s="48">
        <v>0</v>
      </c>
      <c r="I871" s="48">
        <v>0</v>
      </c>
      <c r="J871" s="48">
        <v>25</v>
      </c>
      <c r="K871" s="3"/>
      <c r="L871" s="16"/>
      <c r="M871" s="57"/>
      <c r="N871" s="58">
        <v>25</v>
      </c>
      <c r="P871" s="16">
        <v>4</v>
      </c>
      <c r="Q871" s="20">
        <f t="shared" si="161"/>
        <v>25</v>
      </c>
      <c r="R871" s="14">
        <v>160</v>
      </c>
      <c r="S871" s="19">
        <f t="shared" si="162"/>
        <v>4000</v>
      </c>
      <c r="T871" s="16"/>
      <c r="U871" s="17"/>
      <c r="V871" s="16"/>
      <c r="W871" s="5"/>
      <c r="X871" s="16"/>
      <c r="Y871" s="5"/>
      <c r="Z871" s="16"/>
      <c r="AA871" s="16"/>
      <c r="AB871" s="16"/>
      <c r="AE871" s="16"/>
      <c r="AG871" s="22">
        <f t="shared" si="163"/>
        <v>0</v>
      </c>
      <c r="AH871" s="6"/>
      <c r="AJ871" s="20">
        <f t="shared" si="164"/>
        <v>0</v>
      </c>
      <c r="AK871" s="50"/>
      <c r="AL871" s="6"/>
      <c r="AM871" s="20">
        <f t="shared" si="165"/>
        <v>0</v>
      </c>
      <c r="AN871" s="20">
        <f t="shared" si="166"/>
        <v>4000</v>
      </c>
      <c r="AP871" s="20">
        <f t="shared" si="167"/>
        <v>4000</v>
      </c>
      <c r="AQ871" s="7">
        <v>3.0000000000000001E-3</v>
      </c>
      <c r="AR871" s="20"/>
      <c r="AS871" s="51"/>
    </row>
    <row r="872" spans="1:45" s="21" customFormat="1" ht="30" customHeight="1" x14ac:dyDescent="0.2">
      <c r="A872" s="8">
        <v>755</v>
      </c>
      <c r="B872" s="46">
        <v>1</v>
      </c>
      <c r="C872" s="16" t="s">
        <v>52</v>
      </c>
      <c r="D872" s="48">
        <v>2591</v>
      </c>
      <c r="E872" s="47">
        <v>39</v>
      </c>
      <c r="F872" s="48">
        <v>1847</v>
      </c>
      <c r="G872" s="49">
        <v>1</v>
      </c>
      <c r="H872" s="48">
        <v>0</v>
      </c>
      <c r="I872" s="48">
        <v>1</v>
      </c>
      <c r="J872" s="48">
        <v>50</v>
      </c>
      <c r="K872" s="3">
        <v>150</v>
      </c>
      <c r="L872" s="16"/>
      <c r="M872" s="57"/>
      <c r="N872" s="58"/>
      <c r="P872" s="16">
        <v>1</v>
      </c>
      <c r="Q872" s="20">
        <f t="shared" si="161"/>
        <v>150</v>
      </c>
      <c r="R872" s="14">
        <v>250</v>
      </c>
      <c r="S872" s="19">
        <f t="shared" si="162"/>
        <v>37500</v>
      </c>
      <c r="T872" s="16"/>
      <c r="U872" s="17"/>
      <c r="V872" s="17"/>
      <c r="W872" s="4"/>
      <c r="X872" s="16"/>
      <c r="Y872" s="5"/>
      <c r="Z872" s="16"/>
      <c r="AA872" s="16"/>
      <c r="AB872" s="16"/>
      <c r="AE872" s="16"/>
      <c r="AG872" s="22">
        <f t="shared" si="163"/>
        <v>0</v>
      </c>
      <c r="AH872" s="6"/>
      <c r="AJ872" s="20">
        <f t="shared" si="164"/>
        <v>0</v>
      </c>
      <c r="AK872" s="50"/>
      <c r="AL872" s="6"/>
      <c r="AM872" s="20">
        <f t="shared" si="165"/>
        <v>0</v>
      </c>
      <c r="AN872" s="20">
        <f t="shared" si="166"/>
        <v>37500</v>
      </c>
      <c r="AP872" s="20">
        <f t="shared" si="167"/>
        <v>37500</v>
      </c>
      <c r="AQ872" s="7"/>
      <c r="AR872" s="20"/>
      <c r="AS872" s="51"/>
    </row>
    <row r="873" spans="1:45" s="21" customFormat="1" ht="30" customHeight="1" x14ac:dyDescent="0.2">
      <c r="A873" s="8">
        <v>756</v>
      </c>
      <c r="B873" s="46">
        <v>1</v>
      </c>
      <c r="C873" s="16" t="s">
        <v>52</v>
      </c>
      <c r="D873" s="48">
        <v>937</v>
      </c>
      <c r="E873" s="47">
        <v>2</v>
      </c>
      <c r="F873" s="48">
        <v>331</v>
      </c>
      <c r="G873" s="49">
        <v>1</v>
      </c>
      <c r="H873" s="48">
        <v>3</v>
      </c>
      <c r="I873" s="48">
        <v>2</v>
      </c>
      <c r="J873" s="48">
        <v>12</v>
      </c>
      <c r="K873" s="3">
        <v>1412</v>
      </c>
      <c r="L873" s="16"/>
      <c r="M873" s="57"/>
      <c r="N873" s="58"/>
      <c r="P873" s="16">
        <v>1</v>
      </c>
      <c r="Q873" s="20">
        <f t="shared" si="161"/>
        <v>1412</v>
      </c>
      <c r="R873" s="14">
        <v>160</v>
      </c>
      <c r="S873" s="20">
        <f t="shared" si="162"/>
        <v>225920</v>
      </c>
      <c r="T873" s="16"/>
      <c r="U873" s="17"/>
      <c r="V873" s="17"/>
      <c r="W873" s="4"/>
      <c r="X873" s="16"/>
      <c r="Y873" s="5"/>
      <c r="Z873" s="16"/>
      <c r="AA873" s="16"/>
      <c r="AB873" s="16"/>
      <c r="AE873" s="16"/>
      <c r="AG873" s="22">
        <f t="shared" si="163"/>
        <v>0</v>
      </c>
      <c r="AH873" s="6"/>
      <c r="AJ873" s="20">
        <f t="shared" si="164"/>
        <v>0</v>
      </c>
      <c r="AK873" s="50"/>
      <c r="AL873" s="6"/>
      <c r="AM873" s="20">
        <f t="shared" si="165"/>
        <v>0</v>
      </c>
      <c r="AN873" s="20">
        <f t="shared" si="166"/>
        <v>225920</v>
      </c>
      <c r="AP873" s="20">
        <f t="shared" si="167"/>
        <v>225920</v>
      </c>
      <c r="AQ873" s="7"/>
      <c r="AR873" s="20"/>
      <c r="AS873" s="51"/>
    </row>
    <row r="874" spans="1:45" s="21" customFormat="1" ht="30" customHeight="1" x14ac:dyDescent="0.2">
      <c r="A874" s="8">
        <v>757</v>
      </c>
      <c r="B874" s="46">
        <v>2</v>
      </c>
      <c r="C874" s="16" t="s">
        <v>52</v>
      </c>
      <c r="D874" s="48">
        <v>943</v>
      </c>
      <c r="E874" s="47">
        <v>4</v>
      </c>
      <c r="F874" s="48">
        <v>337</v>
      </c>
      <c r="G874" s="49">
        <v>1</v>
      </c>
      <c r="H874" s="48">
        <v>0</v>
      </c>
      <c r="I874" s="48">
        <v>0</v>
      </c>
      <c r="J874" s="48">
        <v>92</v>
      </c>
      <c r="K874" s="3"/>
      <c r="L874" s="16"/>
      <c r="M874" s="57">
        <v>92</v>
      </c>
      <c r="N874" s="58"/>
      <c r="P874" s="16">
        <v>3</v>
      </c>
      <c r="Q874" s="20">
        <f t="shared" si="161"/>
        <v>92</v>
      </c>
      <c r="R874" s="14">
        <v>3000</v>
      </c>
      <c r="S874" s="19">
        <f t="shared" si="162"/>
        <v>276000</v>
      </c>
      <c r="T874" s="16"/>
      <c r="U874" s="17"/>
      <c r="V874" s="17"/>
      <c r="W874" s="4"/>
      <c r="X874" s="16"/>
      <c r="Y874" s="5"/>
      <c r="Z874" s="16"/>
      <c r="AA874" s="16"/>
      <c r="AB874" s="16"/>
      <c r="AE874" s="16"/>
      <c r="AG874" s="22"/>
      <c r="AH874" s="6"/>
      <c r="AJ874" s="20"/>
      <c r="AK874" s="50"/>
      <c r="AL874" s="6"/>
      <c r="AM874" s="20">
        <f t="shared" si="165"/>
        <v>0</v>
      </c>
      <c r="AN874" s="20">
        <f t="shared" si="166"/>
        <v>276000</v>
      </c>
      <c r="AP874" s="20">
        <f t="shared" si="167"/>
        <v>276000</v>
      </c>
      <c r="AQ874" s="7">
        <v>3.0000000000000001E-3</v>
      </c>
      <c r="AR874" s="20"/>
      <c r="AS874" s="51"/>
    </row>
    <row r="875" spans="1:45" s="21" customFormat="1" ht="30" customHeight="1" x14ac:dyDescent="0.2">
      <c r="A875" s="8"/>
      <c r="B875" s="46"/>
      <c r="C875" s="16"/>
      <c r="D875" s="48"/>
      <c r="E875" s="47"/>
      <c r="F875" s="48"/>
      <c r="G875" s="49"/>
      <c r="H875" s="48"/>
      <c r="I875" s="48"/>
      <c r="J875" s="48"/>
      <c r="K875" s="3"/>
      <c r="L875" s="16"/>
      <c r="M875" s="57"/>
      <c r="N875" s="58"/>
      <c r="P875" s="16"/>
      <c r="Q875" s="20"/>
      <c r="R875" s="14"/>
      <c r="S875" s="19"/>
      <c r="T875" s="16"/>
      <c r="U875" s="17" t="s">
        <v>55</v>
      </c>
      <c r="V875" s="17" t="s">
        <v>56</v>
      </c>
      <c r="W875" s="4">
        <f>20*7</f>
        <v>140</v>
      </c>
      <c r="X875" s="16"/>
      <c r="Y875" s="5">
        <v>140</v>
      </c>
      <c r="Z875" s="16"/>
      <c r="AA875" s="16"/>
      <c r="AB875" s="16">
        <v>22</v>
      </c>
      <c r="AE875" s="16" t="s">
        <v>106</v>
      </c>
      <c r="AF875" s="21">
        <v>3</v>
      </c>
      <c r="AG875" s="22">
        <f>Y875</f>
        <v>140</v>
      </c>
      <c r="AH875" s="6">
        <v>1</v>
      </c>
      <c r="AI875" s="21">
        <v>5650</v>
      </c>
      <c r="AJ875" s="20">
        <f>+AG875*AH875*AI875</f>
        <v>791000</v>
      </c>
      <c r="AK875" s="50">
        <v>22</v>
      </c>
      <c r="AL875" s="6">
        <v>0.34</v>
      </c>
      <c r="AM875" s="20">
        <f t="shared" si="165"/>
        <v>522060</v>
      </c>
      <c r="AN875" s="20"/>
      <c r="AP875" s="20">
        <f>AM875</f>
        <v>522060</v>
      </c>
      <c r="AQ875" s="7">
        <v>3.0000000000000001E-3</v>
      </c>
      <c r="AR875" s="20"/>
      <c r="AS875" s="51"/>
    </row>
    <row r="876" spans="1:45" s="21" customFormat="1" ht="30" customHeight="1" x14ac:dyDescent="0.2">
      <c r="A876" s="8">
        <v>758</v>
      </c>
      <c r="B876" s="46">
        <v>3</v>
      </c>
      <c r="C876" s="16" t="s">
        <v>52</v>
      </c>
      <c r="D876" s="48">
        <v>944</v>
      </c>
      <c r="E876" s="47">
        <v>5</v>
      </c>
      <c r="F876" s="48">
        <v>338</v>
      </c>
      <c r="G876" s="49">
        <v>1</v>
      </c>
      <c r="H876" s="48">
        <v>0</v>
      </c>
      <c r="I876" s="48">
        <v>0</v>
      </c>
      <c r="J876" s="48">
        <v>71</v>
      </c>
      <c r="K876" s="3"/>
      <c r="L876" s="16"/>
      <c r="M876" s="57">
        <v>71</v>
      </c>
      <c r="N876" s="58"/>
      <c r="P876" s="16">
        <v>3</v>
      </c>
      <c r="Q876" s="20">
        <f>+(H876*400)+(I876*100)+J876</f>
        <v>71</v>
      </c>
      <c r="R876" s="14">
        <v>3000</v>
      </c>
      <c r="S876" s="19">
        <f>+Q876*R876</f>
        <v>213000</v>
      </c>
      <c r="T876" s="16"/>
      <c r="U876" s="17"/>
      <c r="V876" s="17"/>
      <c r="W876" s="4"/>
      <c r="X876" s="16"/>
      <c r="Y876" s="5"/>
      <c r="Z876" s="16"/>
      <c r="AA876" s="16"/>
      <c r="AB876" s="16"/>
      <c r="AE876" s="16" t="s">
        <v>106</v>
      </c>
      <c r="AF876" s="21">
        <v>3</v>
      </c>
      <c r="AG876" s="22"/>
      <c r="AH876" s="6"/>
      <c r="AJ876" s="20"/>
      <c r="AK876" s="50"/>
      <c r="AL876" s="6"/>
      <c r="AM876" s="20">
        <f t="shared" si="165"/>
        <v>0</v>
      </c>
      <c r="AN876" s="20">
        <f>+S876+AM876</f>
        <v>213000</v>
      </c>
      <c r="AP876" s="20">
        <f>AN876</f>
        <v>213000</v>
      </c>
      <c r="AQ876" s="7">
        <v>3.0000000000000001E-3</v>
      </c>
      <c r="AR876" s="20"/>
      <c r="AS876" s="51"/>
    </row>
    <row r="877" spans="1:45" s="21" customFormat="1" ht="30" customHeight="1" x14ac:dyDescent="0.2">
      <c r="A877" s="8">
        <v>759</v>
      </c>
      <c r="B877" s="46">
        <v>4</v>
      </c>
      <c r="C877" s="16" t="s">
        <v>52</v>
      </c>
      <c r="D877" s="48">
        <v>14457</v>
      </c>
      <c r="E877" s="47">
        <v>157</v>
      </c>
      <c r="F877" s="48">
        <v>3367</v>
      </c>
      <c r="G877" s="49">
        <v>1</v>
      </c>
      <c r="H877" s="48">
        <v>0</v>
      </c>
      <c r="I877" s="48">
        <v>0</v>
      </c>
      <c r="J877" s="48">
        <v>54</v>
      </c>
      <c r="K877" s="3"/>
      <c r="L877" s="16"/>
      <c r="M877" s="57">
        <v>54</v>
      </c>
      <c r="N877" s="58"/>
      <c r="P877" s="16">
        <v>3</v>
      </c>
      <c r="Q877" s="20">
        <f>+(H877*400)+(I877*100)+J877</f>
        <v>54</v>
      </c>
      <c r="R877" s="14">
        <v>3000</v>
      </c>
      <c r="S877" s="20">
        <f>+Q877*R877</f>
        <v>162000</v>
      </c>
      <c r="T877" s="16"/>
      <c r="U877" s="17"/>
      <c r="V877" s="17"/>
      <c r="W877" s="4"/>
      <c r="X877" s="16"/>
      <c r="Y877" s="5"/>
      <c r="Z877" s="16"/>
      <c r="AA877" s="16"/>
      <c r="AB877" s="16"/>
      <c r="AC877" s="14"/>
      <c r="AD877" s="14"/>
      <c r="AE877" s="16" t="s">
        <v>106</v>
      </c>
      <c r="AF877" s="21">
        <v>3</v>
      </c>
      <c r="AG877" s="22"/>
      <c r="AH877" s="6"/>
      <c r="AJ877" s="20"/>
      <c r="AK877" s="50"/>
      <c r="AL877" s="6"/>
      <c r="AM877" s="20">
        <f t="shared" si="165"/>
        <v>0</v>
      </c>
      <c r="AN877" s="20">
        <f>+S877+AM877</f>
        <v>162000</v>
      </c>
      <c r="AP877" s="20">
        <f>AN877</f>
        <v>162000</v>
      </c>
      <c r="AQ877" s="7">
        <v>3.0000000000000001E-3</v>
      </c>
      <c r="AR877" s="20"/>
      <c r="AS877" s="51"/>
    </row>
    <row r="878" spans="1:45" ht="30" customHeight="1" x14ac:dyDescent="0.2">
      <c r="A878" s="8">
        <v>760</v>
      </c>
      <c r="B878" s="13">
        <v>5</v>
      </c>
      <c r="C878" s="16" t="s">
        <v>65</v>
      </c>
      <c r="D878" s="17">
        <v>1447</v>
      </c>
      <c r="E878" s="17">
        <v>22</v>
      </c>
      <c r="H878" s="17">
        <v>4</v>
      </c>
      <c r="I878" s="17">
        <v>2</v>
      </c>
      <c r="J878" s="17">
        <v>45</v>
      </c>
      <c r="K878" s="10">
        <v>1845</v>
      </c>
      <c r="P878" s="17">
        <v>5</v>
      </c>
      <c r="Q878" s="20">
        <f>+(H878*400)+(I878*100)+J878</f>
        <v>1845</v>
      </c>
      <c r="R878" s="14">
        <v>160</v>
      </c>
      <c r="S878" s="19">
        <f>+Q878*R878</f>
        <v>295200</v>
      </c>
      <c r="AC878" s="21"/>
      <c r="AD878" s="21"/>
      <c r="AE878" s="17" t="s">
        <v>106</v>
      </c>
      <c r="AG878" s="22"/>
      <c r="AJ878" s="20"/>
      <c r="AM878" s="20"/>
      <c r="AN878" s="20"/>
      <c r="AP878" s="20"/>
      <c r="AR878" s="20"/>
    </row>
    <row r="879" spans="1:45" ht="30" customHeight="1" x14ac:dyDescent="0.2">
      <c r="A879" s="8"/>
      <c r="C879" s="16"/>
      <c r="P879" s="17">
        <v>1</v>
      </c>
      <c r="Q879" s="20">
        <v>1745</v>
      </c>
      <c r="R879" s="14">
        <v>160</v>
      </c>
      <c r="S879" s="19">
        <f>+Q879*R879</f>
        <v>279200</v>
      </c>
      <c r="AC879" s="21"/>
      <c r="AD879" s="21"/>
      <c r="AG879" s="22"/>
      <c r="AJ879" s="20"/>
      <c r="AM879" s="20"/>
      <c r="AN879" s="20">
        <f>+S879+AM879</f>
        <v>279200</v>
      </c>
      <c r="AP879" s="20">
        <f>AN879</f>
        <v>279200</v>
      </c>
      <c r="AQ879" s="12">
        <v>1E-4</v>
      </c>
      <c r="AR879" s="20"/>
    </row>
    <row r="880" spans="1:45" ht="30" customHeight="1" x14ac:dyDescent="0.2">
      <c r="A880" s="8"/>
      <c r="C880" s="16"/>
      <c r="P880" s="17">
        <v>3</v>
      </c>
      <c r="Q880" s="20">
        <v>100</v>
      </c>
      <c r="R880" s="14">
        <v>160</v>
      </c>
      <c r="S880" s="19">
        <f>+Q880*R880</f>
        <v>16000</v>
      </c>
      <c r="AC880" s="21"/>
      <c r="AD880" s="21"/>
      <c r="AG880" s="22"/>
      <c r="AJ880" s="20"/>
      <c r="AM880" s="20"/>
      <c r="AN880" s="20">
        <f>+S880+AM880</f>
        <v>16000</v>
      </c>
      <c r="AP880" s="20">
        <f>AN880</f>
        <v>16000</v>
      </c>
      <c r="AQ880" s="12">
        <v>3.0000000000000001E-3</v>
      </c>
      <c r="AR880" s="20"/>
    </row>
    <row r="881" spans="1:45" ht="30" customHeight="1" x14ac:dyDescent="0.2">
      <c r="A881" s="8"/>
      <c r="C881" s="16"/>
      <c r="P881" s="17">
        <v>3</v>
      </c>
      <c r="Q881" s="20">
        <v>50</v>
      </c>
      <c r="R881" s="14">
        <v>160</v>
      </c>
      <c r="U881" s="17" t="s">
        <v>60</v>
      </c>
      <c r="V881" s="17" t="s">
        <v>56</v>
      </c>
      <c r="W881" s="4">
        <f>5*19</f>
        <v>95</v>
      </c>
      <c r="AC881" s="21"/>
      <c r="AD881" s="21"/>
      <c r="AE881" s="17" t="s">
        <v>106</v>
      </c>
      <c r="AF881" s="14">
        <v>3</v>
      </c>
      <c r="AG881" s="22">
        <v>95</v>
      </c>
      <c r="AH881" s="11">
        <v>1</v>
      </c>
      <c r="AI881" s="14">
        <v>6450</v>
      </c>
      <c r="AJ881" s="20">
        <f t="shared" ref="AJ881:AJ944" si="168">+AG881*AH881*AI881</f>
        <v>612750</v>
      </c>
      <c r="AK881" s="23">
        <v>6</v>
      </c>
      <c r="AL881" s="11">
        <v>0.06</v>
      </c>
      <c r="AM881" s="20">
        <f t="shared" ref="AM881:AM944" si="169">+AJ881-(AL881*AJ881)</f>
        <v>575985</v>
      </c>
      <c r="AN881" s="20"/>
      <c r="AP881" s="20">
        <f>AM881</f>
        <v>575985</v>
      </c>
      <c r="AQ881" s="12">
        <v>3.0000000000000001E-3</v>
      </c>
      <c r="AR881" s="20"/>
    </row>
    <row r="882" spans="1:45" ht="30" customHeight="1" x14ac:dyDescent="0.2">
      <c r="A882" s="8"/>
      <c r="C882" s="16"/>
      <c r="P882" s="17">
        <v>3</v>
      </c>
      <c r="Q882" s="20">
        <v>50</v>
      </c>
      <c r="R882" s="14">
        <v>160</v>
      </c>
      <c r="U882" s="17" t="s">
        <v>133</v>
      </c>
      <c r="V882" s="17" t="s">
        <v>56</v>
      </c>
      <c r="W882" s="4">
        <f>5*9</f>
        <v>45</v>
      </c>
      <c r="AC882" s="21"/>
      <c r="AD882" s="21"/>
      <c r="AE882" s="17" t="s">
        <v>106</v>
      </c>
      <c r="AF882" s="14">
        <v>3</v>
      </c>
      <c r="AG882" s="22">
        <v>45</v>
      </c>
      <c r="AH882" s="11">
        <v>1</v>
      </c>
      <c r="AI882" s="14">
        <v>6100</v>
      </c>
      <c r="AJ882" s="20">
        <f t="shared" si="168"/>
        <v>274500</v>
      </c>
      <c r="AK882" s="23">
        <v>6</v>
      </c>
      <c r="AL882" s="11">
        <v>0.06</v>
      </c>
      <c r="AM882" s="20">
        <f t="shared" si="169"/>
        <v>258030</v>
      </c>
      <c r="AN882" s="20"/>
      <c r="AP882" s="20">
        <f>AM882</f>
        <v>258030</v>
      </c>
      <c r="AQ882" s="12">
        <v>3.0000000000000001E-3</v>
      </c>
      <c r="AR882" s="20"/>
    </row>
    <row r="883" spans="1:45" s="21" customFormat="1" ht="30" customHeight="1" x14ac:dyDescent="0.2">
      <c r="A883" s="8">
        <v>761</v>
      </c>
      <c r="B883" s="46">
        <v>1</v>
      </c>
      <c r="C883" s="16" t="s">
        <v>52</v>
      </c>
      <c r="D883" s="48">
        <v>2797</v>
      </c>
      <c r="E883" s="47">
        <v>23</v>
      </c>
      <c r="F883" s="48">
        <v>1912</v>
      </c>
      <c r="G883" s="49">
        <v>1</v>
      </c>
      <c r="H883" s="48">
        <v>0</v>
      </c>
      <c r="I883" s="48">
        <v>2</v>
      </c>
      <c r="J883" s="48">
        <v>97</v>
      </c>
      <c r="K883" s="3">
        <v>297</v>
      </c>
      <c r="L883" s="16"/>
      <c r="M883" s="57"/>
      <c r="N883" s="58"/>
      <c r="P883" s="16">
        <v>1</v>
      </c>
      <c r="Q883" s="20">
        <f t="shared" ref="Q883:Q935" si="170">+(H883*400)+(I883*100)+J883</f>
        <v>297</v>
      </c>
      <c r="R883" s="14">
        <v>200</v>
      </c>
      <c r="S883" s="19">
        <f t="shared" ref="S883:S935" si="171">+Q883*R883</f>
        <v>59400</v>
      </c>
      <c r="T883" s="16"/>
      <c r="U883" s="16"/>
      <c r="V883" s="16"/>
      <c r="W883" s="5"/>
      <c r="X883" s="16"/>
      <c r="Y883" s="5"/>
      <c r="Z883" s="16"/>
      <c r="AA883" s="16"/>
      <c r="AB883" s="16"/>
      <c r="AE883" s="16"/>
      <c r="AG883" s="22">
        <f t="shared" ref="AG883:AG934" si="172">Y883</f>
        <v>0</v>
      </c>
      <c r="AH883" s="6"/>
      <c r="AJ883" s="20">
        <f t="shared" si="168"/>
        <v>0</v>
      </c>
      <c r="AK883" s="50"/>
      <c r="AL883" s="6"/>
      <c r="AM883" s="20">
        <f t="shared" si="169"/>
        <v>0</v>
      </c>
      <c r="AN883" s="20">
        <f t="shared" ref="AN883:AN914" si="173">+S883+AM883</f>
        <v>59400</v>
      </c>
      <c r="AP883" s="20">
        <f t="shared" ref="AP883:AP946" si="174">AN883</f>
        <v>59400</v>
      </c>
      <c r="AQ883" s="7"/>
      <c r="AR883" s="20"/>
      <c r="AS883" s="51">
        <v>4</v>
      </c>
    </row>
    <row r="884" spans="1:45" s="21" customFormat="1" ht="30" customHeight="1" x14ac:dyDescent="0.2">
      <c r="A884" s="8">
        <v>762</v>
      </c>
      <c r="B884" s="46">
        <v>1</v>
      </c>
      <c r="C884" s="16" t="s">
        <v>52</v>
      </c>
      <c r="D884" s="48">
        <v>1519</v>
      </c>
      <c r="E884" s="47">
        <v>23</v>
      </c>
      <c r="F884" s="48">
        <v>1118</v>
      </c>
      <c r="G884" s="49"/>
      <c r="H884" s="48">
        <v>1</v>
      </c>
      <c r="I884" s="48">
        <v>3</v>
      </c>
      <c r="J884" s="48">
        <v>62</v>
      </c>
      <c r="K884" s="3">
        <v>762</v>
      </c>
      <c r="L884" s="16"/>
      <c r="M884" s="57"/>
      <c r="N884" s="58"/>
      <c r="P884" s="16">
        <v>1</v>
      </c>
      <c r="Q884" s="20">
        <f t="shared" si="170"/>
        <v>762</v>
      </c>
      <c r="R884" s="14">
        <v>160</v>
      </c>
      <c r="S884" s="19">
        <f t="shared" si="171"/>
        <v>121920</v>
      </c>
      <c r="T884" s="16"/>
      <c r="U884" s="17"/>
      <c r="V884" s="17"/>
      <c r="W884" s="4"/>
      <c r="X884" s="16"/>
      <c r="Y884" s="5"/>
      <c r="Z884" s="16"/>
      <c r="AA884" s="16"/>
      <c r="AB884" s="16"/>
      <c r="AC884" s="14"/>
      <c r="AD884" s="14"/>
      <c r="AE884" s="16"/>
      <c r="AG884" s="22">
        <f t="shared" si="172"/>
        <v>0</v>
      </c>
      <c r="AH884" s="6"/>
      <c r="AJ884" s="20">
        <f t="shared" si="168"/>
        <v>0</v>
      </c>
      <c r="AK884" s="50"/>
      <c r="AL884" s="6"/>
      <c r="AM884" s="20">
        <f t="shared" si="169"/>
        <v>0</v>
      </c>
      <c r="AN884" s="20">
        <f t="shared" si="173"/>
        <v>121920</v>
      </c>
      <c r="AP884" s="20">
        <f t="shared" si="174"/>
        <v>121920</v>
      </c>
      <c r="AQ884" s="7"/>
      <c r="AR884" s="60"/>
      <c r="AS884" s="96"/>
    </row>
    <row r="885" spans="1:45" s="21" customFormat="1" ht="30" customHeight="1" x14ac:dyDescent="0.2">
      <c r="A885" s="8">
        <v>763</v>
      </c>
      <c r="B885" s="46">
        <v>2</v>
      </c>
      <c r="C885" s="16" t="s">
        <v>52</v>
      </c>
      <c r="D885" s="48">
        <v>1520</v>
      </c>
      <c r="E885" s="47">
        <v>24</v>
      </c>
      <c r="F885" s="48">
        <v>1120</v>
      </c>
      <c r="G885" s="49"/>
      <c r="H885" s="48">
        <v>1</v>
      </c>
      <c r="I885" s="48">
        <v>3</v>
      </c>
      <c r="J885" s="48">
        <v>59</v>
      </c>
      <c r="K885" s="3">
        <v>759</v>
      </c>
      <c r="L885" s="16"/>
      <c r="M885" s="57"/>
      <c r="N885" s="58"/>
      <c r="P885" s="16">
        <v>1</v>
      </c>
      <c r="Q885" s="20">
        <f t="shared" si="170"/>
        <v>759</v>
      </c>
      <c r="R885" s="14">
        <v>160</v>
      </c>
      <c r="S885" s="19">
        <f t="shared" si="171"/>
        <v>121440</v>
      </c>
      <c r="T885" s="16"/>
      <c r="U885" s="17"/>
      <c r="V885" s="17"/>
      <c r="W885" s="4"/>
      <c r="X885" s="16"/>
      <c r="Y885" s="5"/>
      <c r="Z885" s="16"/>
      <c r="AA885" s="16"/>
      <c r="AB885" s="16"/>
      <c r="AE885" s="16"/>
      <c r="AG885" s="22">
        <f t="shared" si="172"/>
        <v>0</v>
      </c>
      <c r="AH885" s="6"/>
      <c r="AJ885" s="20">
        <f t="shared" si="168"/>
        <v>0</v>
      </c>
      <c r="AK885" s="50"/>
      <c r="AL885" s="6"/>
      <c r="AM885" s="20">
        <f t="shared" si="169"/>
        <v>0</v>
      </c>
      <c r="AN885" s="20">
        <f t="shared" si="173"/>
        <v>121440</v>
      </c>
      <c r="AP885" s="20">
        <f t="shared" si="174"/>
        <v>121440</v>
      </c>
      <c r="AQ885" s="7"/>
      <c r="AR885" s="24"/>
      <c r="AS885" s="97"/>
    </row>
    <row r="886" spans="1:45" s="21" customFormat="1" ht="30" customHeight="1" x14ac:dyDescent="0.2">
      <c r="A886" s="8">
        <v>764</v>
      </c>
      <c r="B886" s="46">
        <v>3</v>
      </c>
      <c r="C886" s="16" t="s">
        <v>52</v>
      </c>
      <c r="D886" s="48">
        <v>1777</v>
      </c>
      <c r="E886" s="47">
        <v>33</v>
      </c>
      <c r="F886" s="48">
        <v>1127</v>
      </c>
      <c r="G886" s="49">
        <v>3</v>
      </c>
      <c r="H886" s="48">
        <v>1</v>
      </c>
      <c r="I886" s="48">
        <v>3</v>
      </c>
      <c r="J886" s="48">
        <v>29</v>
      </c>
      <c r="K886" s="3">
        <v>729</v>
      </c>
      <c r="L886" s="16"/>
      <c r="M886" s="57"/>
      <c r="N886" s="58"/>
      <c r="P886" s="16">
        <v>1</v>
      </c>
      <c r="Q886" s="20">
        <f t="shared" si="170"/>
        <v>729</v>
      </c>
      <c r="R886" s="14">
        <v>160</v>
      </c>
      <c r="S886" s="20">
        <f t="shared" si="171"/>
        <v>116640</v>
      </c>
      <c r="T886" s="16"/>
      <c r="U886" s="16"/>
      <c r="V886" s="16"/>
      <c r="W886" s="5"/>
      <c r="X886" s="16"/>
      <c r="Y886" s="5"/>
      <c r="Z886" s="16"/>
      <c r="AA886" s="16"/>
      <c r="AB886" s="16"/>
      <c r="AE886" s="16"/>
      <c r="AG886" s="22">
        <f t="shared" si="172"/>
        <v>0</v>
      </c>
      <c r="AH886" s="6"/>
      <c r="AJ886" s="20">
        <f t="shared" si="168"/>
        <v>0</v>
      </c>
      <c r="AK886" s="50"/>
      <c r="AL886" s="6"/>
      <c r="AM886" s="20">
        <f t="shared" si="169"/>
        <v>0</v>
      </c>
      <c r="AN886" s="20">
        <f t="shared" si="173"/>
        <v>116640</v>
      </c>
      <c r="AP886" s="20">
        <f t="shared" si="174"/>
        <v>116640</v>
      </c>
      <c r="AQ886" s="7"/>
      <c r="AR886" s="24"/>
      <c r="AS886" s="97"/>
    </row>
    <row r="887" spans="1:45" s="21" customFormat="1" ht="30" customHeight="1" x14ac:dyDescent="0.2">
      <c r="A887" s="8">
        <v>765</v>
      </c>
      <c r="B887" s="46">
        <v>4</v>
      </c>
      <c r="C887" s="16" t="s">
        <v>52</v>
      </c>
      <c r="D887" s="48">
        <v>2089</v>
      </c>
      <c r="E887" s="47">
        <v>12</v>
      </c>
      <c r="F887" s="48">
        <v>1557</v>
      </c>
      <c r="G887" s="49"/>
      <c r="H887" s="48">
        <v>2</v>
      </c>
      <c r="I887" s="48">
        <v>1</v>
      </c>
      <c r="J887" s="48">
        <v>43</v>
      </c>
      <c r="K887" s="3">
        <v>943</v>
      </c>
      <c r="L887" s="16"/>
      <c r="M887" s="57"/>
      <c r="N887" s="58"/>
      <c r="P887" s="16">
        <v>1</v>
      </c>
      <c r="Q887" s="20">
        <f t="shared" si="170"/>
        <v>943</v>
      </c>
      <c r="R887" s="14">
        <v>160</v>
      </c>
      <c r="S887" s="19">
        <f t="shared" si="171"/>
        <v>150880</v>
      </c>
      <c r="T887" s="16"/>
      <c r="U887" s="17"/>
      <c r="V887" s="16"/>
      <c r="W887" s="5"/>
      <c r="X887" s="16"/>
      <c r="Y887" s="5"/>
      <c r="Z887" s="16"/>
      <c r="AA887" s="16"/>
      <c r="AB887" s="16"/>
      <c r="AE887" s="16"/>
      <c r="AG887" s="22">
        <f t="shared" si="172"/>
        <v>0</v>
      </c>
      <c r="AH887" s="6"/>
      <c r="AJ887" s="20">
        <f t="shared" si="168"/>
        <v>0</v>
      </c>
      <c r="AK887" s="50"/>
      <c r="AL887" s="6"/>
      <c r="AM887" s="20">
        <f t="shared" si="169"/>
        <v>0</v>
      </c>
      <c r="AN887" s="20">
        <f t="shared" si="173"/>
        <v>150880</v>
      </c>
      <c r="AP887" s="20">
        <f t="shared" si="174"/>
        <v>150880</v>
      </c>
      <c r="AQ887" s="7"/>
      <c r="AR887" s="24"/>
      <c r="AS887" s="97"/>
    </row>
    <row r="888" spans="1:45" s="21" customFormat="1" ht="30" customHeight="1" x14ac:dyDescent="0.2">
      <c r="A888" s="8">
        <v>766</v>
      </c>
      <c r="B888" s="46">
        <v>5</v>
      </c>
      <c r="C888" s="16" t="s">
        <v>52</v>
      </c>
      <c r="D888" s="48">
        <v>2091</v>
      </c>
      <c r="E888" s="47">
        <v>9</v>
      </c>
      <c r="F888" s="48">
        <v>1560</v>
      </c>
      <c r="G888" s="49">
        <v>3</v>
      </c>
      <c r="H888" s="48">
        <v>4</v>
      </c>
      <c r="I888" s="48">
        <v>0</v>
      </c>
      <c r="J888" s="48">
        <v>3</v>
      </c>
      <c r="K888" s="3">
        <v>1203</v>
      </c>
      <c r="L888" s="16"/>
      <c r="M888" s="57"/>
      <c r="N888" s="58"/>
      <c r="P888" s="16">
        <v>1</v>
      </c>
      <c r="Q888" s="20">
        <f t="shared" si="170"/>
        <v>1603</v>
      </c>
      <c r="R888" s="14">
        <v>160</v>
      </c>
      <c r="S888" s="19">
        <f t="shared" si="171"/>
        <v>256480</v>
      </c>
      <c r="T888" s="16"/>
      <c r="U888" s="17"/>
      <c r="V888" s="17"/>
      <c r="W888" s="4"/>
      <c r="X888" s="16"/>
      <c r="Y888" s="5"/>
      <c r="Z888" s="16"/>
      <c r="AA888" s="16"/>
      <c r="AB888" s="16"/>
      <c r="AE888" s="16"/>
      <c r="AG888" s="22">
        <f t="shared" si="172"/>
        <v>0</v>
      </c>
      <c r="AH888" s="6"/>
      <c r="AJ888" s="20">
        <f t="shared" si="168"/>
        <v>0</v>
      </c>
      <c r="AK888" s="50"/>
      <c r="AL888" s="6"/>
      <c r="AM888" s="20">
        <f t="shared" si="169"/>
        <v>0</v>
      </c>
      <c r="AN888" s="20">
        <f t="shared" si="173"/>
        <v>256480</v>
      </c>
      <c r="AP888" s="20">
        <f t="shared" si="174"/>
        <v>256480</v>
      </c>
      <c r="AQ888" s="7"/>
      <c r="AR888" s="24"/>
      <c r="AS888" s="97"/>
    </row>
    <row r="889" spans="1:45" s="21" customFormat="1" ht="30" customHeight="1" x14ac:dyDescent="0.2">
      <c r="A889" s="8">
        <v>767</v>
      </c>
      <c r="B889" s="46">
        <v>6</v>
      </c>
      <c r="C889" s="16" t="s">
        <v>52</v>
      </c>
      <c r="D889" s="48">
        <v>2283</v>
      </c>
      <c r="E889" s="47">
        <v>50</v>
      </c>
      <c r="F889" s="48">
        <v>1771</v>
      </c>
      <c r="G889" s="49">
        <v>3</v>
      </c>
      <c r="H889" s="48">
        <v>3</v>
      </c>
      <c r="I889" s="48">
        <v>2</v>
      </c>
      <c r="J889" s="48">
        <v>25</v>
      </c>
      <c r="K889" s="3">
        <v>1425</v>
      </c>
      <c r="L889" s="16"/>
      <c r="M889" s="57"/>
      <c r="N889" s="58"/>
      <c r="P889" s="16">
        <v>1</v>
      </c>
      <c r="Q889" s="20">
        <f t="shared" si="170"/>
        <v>1425</v>
      </c>
      <c r="R889" s="14">
        <v>200</v>
      </c>
      <c r="S889" s="20">
        <f t="shared" si="171"/>
        <v>285000</v>
      </c>
      <c r="T889" s="16"/>
      <c r="U889" s="17"/>
      <c r="V889" s="16"/>
      <c r="W889" s="5"/>
      <c r="X889" s="16"/>
      <c r="Y889" s="5"/>
      <c r="Z889" s="16"/>
      <c r="AA889" s="16"/>
      <c r="AB889" s="16"/>
      <c r="AC889" s="14"/>
      <c r="AD889" s="14"/>
      <c r="AE889" s="16"/>
      <c r="AG889" s="22">
        <f t="shared" si="172"/>
        <v>0</v>
      </c>
      <c r="AH889" s="6"/>
      <c r="AJ889" s="20">
        <f t="shared" si="168"/>
        <v>0</v>
      </c>
      <c r="AK889" s="50"/>
      <c r="AL889" s="6"/>
      <c r="AM889" s="20">
        <f t="shared" si="169"/>
        <v>0</v>
      </c>
      <c r="AN889" s="20">
        <f t="shared" si="173"/>
        <v>285000</v>
      </c>
      <c r="AP889" s="20">
        <f t="shared" si="174"/>
        <v>285000</v>
      </c>
      <c r="AQ889" s="7"/>
      <c r="AR889" s="24"/>
      <c r="AS889" s="97">
        <v>92</v>
      </c>
    </row>
    <row r="890" spans="1:45" s="21" customFormat="1" ht="30" customHeight="1" x14ac:dyDescent="0.2">
      <c r="A890" s="8">
        <v>768</v>
      </c>
      <c r="B890" s="46">
        <v>7</v>
      </c>
      <c r="C890" s="16" t="s">
        <v>52</v>
      </c>
      <c r="D890" s="48">
        <v>2354</v>
      </c>
      <c r="E890" s="47">
        <v>82</v>
      </c>
      <c r="F890" s="48">
        <v>1548</v>
      </c>
      <c r="G890" s="49">
        <v>3</v>
      </c>
      <c r="H890" s="48">
        <v>2</v>
      </c>
      <c r="I890" s="48">
        <v>1</v>
      </c>
      <c r="J890" s="48">
        <v>59</v>
      </c>
      <c r="K890" s="3">
        <v>959</v>
      </c>
      <c r="L890" s="16"/>
      <c r="M890" s="57"/>
      <c r="N890" s="58"/>
      <c r="P890" s="16">
        <v>1</v>
      </c>
      <c r="Q890" s="20">
        <f t="shared" si="170"/>
        <v>959</v>
      </c>
      <c r="R890" s="14">
        <v>160</v>
      </c>
      <c r="S890" s="19">
        <f t="shared" si="171"/>
        <v>153440</v>
      </c>
      <c r="T890" s="16"/>
      <c r="U890" s="17"/>
      <c r="V890" s="17"/>
      <c r="W890" s="4"/>
      <c r="X890" s="16"/>
      <c r="Y890" s="5"/>
      <c r="Z890" s="16"/>
      <c r="AA890" s="16"/>
      <c r="AB890" s="16"/>
      <c r="AC890" s="14"/>
      <c r="AD890" s="14"/>
      <c r="AE890" s="16"/>
      <c r="AG890" s="22">
        <f t="shared" si="172"/>
        <v>0</v>
      </c>
      <c r="AH890" s="6"/>
      <c r="AJ890" s="20">
        <f t="shared" si="168"/>
        <v>0</v>
      </c>
      <c r="AK890" s="50"/>
      <c r="AL890" s="6"/>
      <c r="AM890" s="20">
        <f t="shared" si="169"/>
        <v>0</v>
      </c>
      <c r="AN890" s="20">
        <f t="shared" si="173"/>
        <v>153440</v>
      </c>
      <c r="AP890" s="20">
        <f t="shared" si="174"/>
        <v>153440</v>
      </c>
      <c r="AQ890" s="7"/>
      <c r="AR890" s="24"/>
      <c r="AS890" s="97"/>
    </row>
    <row r="891" spans="1:45" s="21" customFormat="1" ht="30" customHeight="1" x14ac:dyDescent="0.2">
      <c r="A891" s="8">
        <v>769</v>
      </c>
      <c r="B891" s="46">
        <v>8</v>
      </c>
      <c r="C891" s="16" t="s">
        <v>52</v>
      </c>
      <c r="D891" s="48">
        <v>2355</v>
      </c>
      <c r="E891" s="47">
        <v>76</v>
      </c>
      <c r="F891" s="48">
        <v>1549</v>
      </c>
      <c r="G891" s="49">
        <v>3</v>
      </c>
      <c r="H891" s="48">
        <v>2</v>
      </c>
      <c r="I891" s="48">
        <v>2</v>
      </c>
      <c r="J891" s="48">
        <v>59</v>
      </c>
      <c r="K891" s="3">
        <v>1059</v>
      </c>
      <c r="L891" s="16"/>
      <c r="M891" s="57"/>
      <c r="N891" s="58"/>
      <c r="P891" s="16">
        <v>1</v>
      </c>
      <c r="Q891" s="20">
        <f t="shared" si="170"/>
        <v>1059</v>
      </c>
      <c r="R891" s="14">
        <v>160</v>
      </c>
      <c r="S891" s="19">
        <f t="shared" si="171"/>
        <v>169440</v>
      </c>
      <c r="T891" s="16"/>
      <c r="U891" s="17"/>
      <c r="V891" s="17"/>
      <c r="W891" s="4"/>
      <c r="X891" s="16"/>
      <c r="Y891" s="5"/>
      <c r="Z891" s="16"/>
      <c r="AA891" s="16"/>
      <c r="AB891" s="16"/>
      <c r="AC891" s="14"/>
      <c r="AD891" s="14"/>
      <c r="AE891" s="16"/>
      <c r="AG891" s="22">
        <f t="shared" si="172"/>
        <v>0</v>
      </c>
      <c r="AH891" s="6"/>
      <c r="AJ891" s="20">
        <f t="shared" si="168"/>
        <v>0</v>
      </c>
      <c r="AK891" s="50"/>
      <c r="AL891" s="6"/>
      <c r="AM891" s="20">
        <f t="shared" si="169"/>
        <v>0</v>
      </c>
      <c r="AN891" s="20">
        <f t="shared" si="173"/>
        <v>169440</v>
      </c>
      <c r="AP891" s="20">
        <f t="shared" si="174"/>
        <v>169440</v>
      </c>
      <c r="AQ891" s="7"/>
      <c r="AR891" s="24"/>
      <c r="AS891" s="97"/>
    </row>
    <row r="892" spans="1:45" s="21" customFormat="1" ht="30" customHeight="1" x14ac:dyDescent="0.2">
      <c r="A892" s="8">
        <v>770</v>
      </c>
      <c r="B892" s="46">
        <v>9</v>
      </c>
      <c r="C892" s="16" t="s">
        <v>52</v>
      </c>
      <c r="D892" s="48">
        <v>34102</v>
      </c>
      <c r="E892" s="47">
        <v>148</v>
      </c>
      <c r="F892" s="48">
        <v>6771</v>
      </c>
      <c r="G892" s="49">
        <v>3</v>
      </c>
      <c r="H892" s="48">
        <v>0</v>
      </c>
      <c r="I892" s="48">
        <v>2</v>
      </c>
      <c r="J892" s="48">
        <v>24.03</v>
      </c>
      <c r="K892" s="3">
        <v>224.03</v>
      </c>
      <c r="L892" s="16"/>
      <c r="M892" s="57"/>
      <c r="N892" s="58"/>
      <c r="P892" s="16">
        <v>1</v>
      </c>
      <c r="Q892" s="20">
        <f t="shared" si="170"/>
        <v>224.03</v>
      </c>
      <c r="R892" s="14">
        <v>160</v>
      </c>
      <c r="S892" s="20">
        <f t="shared" si="171"/>
        <v>35844.800000000003</v>
      </c>
      <c r="T892" s="16"/>
      <c r="U892" s="17"/>
      <c r="V892" s="17"/>
      <c r="W892" s="4"/>
      <c r="X892" s="16"/>
      <c r="Y892" s="5"/>
      <c r="Z892" s="16"/>
      <c r="AA892" s="16"/>
      <c r="AB892" s="16"/>
      <c r="AC892" s="14"/>
      <c r="AD892" s="14"/>
      <c r="AE892" s="16"/>
      <c r="AG892" s="22">
        <f t="shared" si="172"/>
        <v>0</v>
      </c>
      <c r="AH892" s="6"/>
      <c r="AJ892" s="20">
        <f t="shared" si="168"/>
        <v>0</v>
      </c>
      <c r="AK892" s="50"/>
      <c r="AL892" s="6"/>
      <c r="AM892" s="20">
        <f t="shared" si="169"/>
        <v>0</v>
      </c>
      <c r="AN892" s="20">
        <f t="shared" si="173"/>
        <v>35844.800000000003</v>
      </c>
      <c r="AP892" s="20">
        <f t="shared" si="174"/>
        <v>35844.800000000003</v>
      </c>
      <c r="AQ892" s="7"/>
      <c r="AR892" s="24"/>
      <c r="AS892" s="97"/>
    </row>
    <row r="893" spans="1:45" s="21" customFormat="1" ht="30" customHeight="1" x14ac:dyDescent="0.2">
      <c r="A893" s="8">
        <v>771</v>
      </c>
      <c r="B893" s="46">
        <v>10</v>
      </c>
      <c r="C893" s="16" t="s">
        <v>52</v>
      </c>
      <c r="D893" s="48">
        <v>36626</v>
      </c>
      <c r="E893" s="47">
        <v>226</v>
      </c>
      <c r="F893" s="48">
        <v>7174</v>
      </c>
      <c r="G893" s="49"/>
      <c r="H893" s="48">
        <v>1</v>
      </c>
      <c r="I893" s="48">
        <v>3</v>
      </c>
      <c r="J893" s="48">
        <v>54.8</v>
      </c>
      <c r="K893" s="3">
        <v>754.8</v>
      </c>
      <c r="L893" s="16"/>
      <c r="M893" s="57"/>
      <c r="N893" s="58"/>
      <c r="P893" s="16">
        <v>1</v>
      </c>
      <c r="Q893" s="20">
        <f t="shared" si="170"/>
        <v>754.8</v>
      </c>
      <c r="R893" s="14">
        <v>160</v>
      </c>
      <c r="S893" s="20">
        <f t="shared" si="171"/>
        <v>120768</v>
      </c>
      <c r="T893" s="16"/>
      <c r="U893" s="17"/>
      <c r="V893" s="17"/>
      <c r="W893" s="4"/>
      <c r="X893" s="16"/>
      <c r="Y893" s="5"/>
      <c r="Z893" s="16"/>
      <c r="AA893" s="16"/>
      <c r="AB893" s="16"/>
      <c r="AC893" s="14"/>
      <c r="AD893" s="14"/>
      <c r="AE893" s="16"/>
      <c r="AG893" s="22">
        <f t="shared" si="172"/>
        <v>0</v>
      </c>
      <c r="AH893" s="6"/>
      <c r="AJ893" s="20">
        <f t="shared" si="168"/>
        <v>0</v>
      </c>
      <c r="AK893" s="50"/>
      <c r="AL893" s="6"/>
      <c r="AM893" s="20">
        <f t="shared" si="169"/>
        <v>0</v>
      </c>
      <c r="AN893" s="20">
        <f t="shared" si="173"/>
        <v>120768</v>
      </c>
      <c r="AP893" s="20">
        <f t="shared" si="174"/>
        <v>120768</v>
      </c>
      <c r="AQ893" s="7"/>
      <c r="AR893" s="24"/>
      <c r="AS893" s="97"/>
    </row>
    <row r="894" spans="1:45" s="21" customFormat="1" ht="30" customHeight="1" x14ac:dyDescent="0.2">
      <c r="A894" s="8">
        <v>772</v>
      </c>
      <c r="B894" s="46">
        <v>11</v>
      </c>
      <c r="C894" s="16" t="s">
        <v>52</v>
      </c>
      <c r="D894" s="48">
        <v>36627</v>
      </c>
      <c r="E894" s="47">
        <v>227</v>
      </c>
      <c r="F894" s="48">
        <v>7175</v>
      </c>
      <c r="G894" s="49"/>
      <c r="H894" s="48">
        <v>0</v>
      </c>
      <c r="I894" s="48">
        <v>2</v>
      </c>
      <c r="J894" s="48">
        <v>40.5</v>
      </c>
      <c r="K894" s="3">
        <v>240.5</v>
      </c>
      <c r="L894" s="16"/>
      <c r="M894" s="57"/>
      <c r="N894" s="58"/>
      <c r="P894" s="16">
        <v>1</v>
      </c>
      <c r="Q894" s="20">
        <f t="shared" si="170"/>
        <v>240.5</v>
      </c>
      <c r="R894" s="14">
        <v>160</v>
      </c>
      <c r="S894" s="20">
        <f t="shared" si="171"/>
        <v>38480</v>
      </c>
      <c r="T894" s="16"/>
      <c r="U894" s="17"/>
      <c r="V894" s="17"/>
      <c r="W894" s="4"/>
      <c r="X894" s="16"/>
      <c r="Y894" s="5"/>
      <c r="Z894" s="16"/>
      <c r="AA894" s="16"/>
      <c r="AB894" s="16"/>
      <c r="AC894" s="14"/>
      <c r="AD894" s="14"/>
      <c r="AE894" s="16"/>
      <c r="AG894" s="22">
        <f t="shared" si="172"/>
        <v>0</v>
      </c>
      <c r="AH894" s="6"/>
      <c r="AJ894" s="20">
        <f t="shared" si="168"/>
        <v>0</v>
      </c>
      <c r="AK894" s="50"/>
      <c r="AL894" s="6"/>
      <c r="AM894" s="20">
        <f t="shared" si="169"/>
        <v>0</v>
      </c>
      <c r="AN894" s="20">
        <f t="shared" si="173"/>
        <v>38480</v>
      </c>
      <c r="AP894" s="20">
        <f t="shared" si="174"/>
        <v>38480</v>
      </c>
      <c r="AQ894" s="7"/>
      <c r="AR894" s="24"/>
      <c r="AS894" s="97"/>
    </row>
    <row r="895" spans="1:45" s="21" customFormat="1" ht="30" customHeight="1" x14ac:dyDescent="0.2">
      <c r="A895" s="8">
        <v>773</v>
      </c>
      <c r="B895" s="46">
        <v>12</v>
      </c>
      <c r="C895" s="16" t="s">
        <v>52</v>
      </c>
      <c r="D895" s="48">
        <v>36628</v>
      </c>
      <c r="E895" s="47">
        <v>228</v>
      </c>
      <c r="F895" s="48">
        <v>7176</v>
      </c>
      <c r="G895" s="49"/>
      <c r="H895" s="48">
        <v>1</v>
      </c>
      <c r="I895" s="48">
        <v>3</v>
      </c>
      <c r="J895" s="48">
        <v>66.599999999999994</v>
      </c>
      <c r="K895" s="3">
        <v>766.6</v>
      </c>
      <c r="L895" s="16"/>
      <c r="M895" s="57"/>
      <c r="N895" s="58"/>
      <c r="P895" s="16">
        <v>1</v>
      </c>
      <c r="Q895" s="20">
        <f t="shared" si="170"/>
        <v>766.6</v>
      </c>
      <c r="R895" s="14">
        <v>160</v>
      </c>
      <c r="S895" s="20">
        <f t="shared" si="171"/>
        <v>122656</v>
      </c>
      <c r="T895" s="16"/>
      <c r="U895" s="17"/>
      <c r="V895" s="17"/>
      <c r="W895" s="4"/>
      <c r="X895" s="16"/>
      <c r="Y895" s="5"/>
      <c r="Z895" s="16"/>
      <c r="AA895" s="16"/>
      <c r="AB895" s="16"/>
      <c r="AC895" s="14"/>
      <c r="AD895" s="14"/>
      <c r="AE895" s="16"/>
      <c r="AG895" s="22">
        <f t="shared" si="172"/>
        <v>0</v>
      </c>
      <c r="AH895" s="6"/>
      <c r="AJ895" s="20">
        <f t="shared" si="168"/>
        <v>0</v>
      </c>
      <c r="AK895" s="50"/>
      <c r="AL895" s="6"/>
      <c r="AM895" s="20">
        <f t="shared" si="169"/>
        <v>0</v>
      </c>
      <c r="AN895" s="20">
        <f t="shared" si="173"/>
        <v>122656</v>
      </c>
      <c r="AP895" s="20">
        <f t="shared" si="174"/>
        <v>122656</v>
      </c>
      <c r="AQ895" s="7"/>
      <c r="AR895" s="24"/>
      <c r="AS895" s="97"/>
    </row>
    <row r="896" spans="1:45" s="21" customFormat="1" ht="30" customHeight="1" x14ac:dyDescent="0.2">
      <c r="A896" s="8">
        <v>774</v>
      </c>
      <c r="B896" s="46">
        <v>13</v>
      </c>
      <c r="C896" s="16" t="s">
        <v>52</v>
      </c>
      <c r="D896" s="48">
        <v>36630</v>
      </c>
      <c r="E896" s="47">
        <v>230</v>
      </c>
      <c r="F896" s="48">
        <v>7178</v>
      </c>
      <c r="G896" s="49"/>
      <c r="H896" s="48">
        <v>0</v>
      </c>
      <c r="I896" s="48">
        <v>1</v>
      </c>
      <c r="J896" s="48">
        <v>2.7</v>
      </c>
      <c r="K896" s="3">
        <v>102.7</v>
      </c>
      <c r="L896" s="16"/>
      <c r="M896" s="57"/>
      <c r="N896" s="58"/>
      <c r="P896" s="16">
        <v>1</v>
      </c>
      <c r="Q896" s="20">
        <f t="shared" si="170"/>
        <v>102.7</v>
      </c>
      <c r="R896" s="14">
        <v>160</v>
      </c>
      <c r="S896" s="20">
        <f t="shared" si="171"/>
        <v>16432</v>
      </c>
      <c r="T896" s="16"/>
      <c r="U896" s="17"/>
      <c r="V896" s="17"/>
      <c r="W896" s="4"/>
      <c r="X896" s="16"/>
      <c r="Y896" s="5"/>
      <c r="Z896" s="16"/>
      <c r="AA896" s="16"/>
      <c r="AB896" s="16"/>
      <c r="AC896" s="14"/>
      <c r="AD896" s="14"/>
      <c r="AE896" s="16"/>
      <c r="AG896" s="22">
        <f t="shared" si="172"/>
        <v>0</v>
      </c>
      <c r="AH896" s="6"/>
      <c r="AJ896" s="20">
        <f t="shared" si="168"/>
        <v>0</v>
      </c>
      <c r="AK896" s="50"/>
      <c r="AL896" s="6"/>
      <c r="AM896" s="20">
        <f t="shared" si="169"/>
        <v>0</v>
      </c>
      <c r="AN896" s="20">
        <f t="shared" si="173"/>
        <v>16432</v>
      </c>
      <c r="AP896" s="20">
        <f t="shared" si="174"/>
        <v>16432</v>
      </c>
      <c r="AQ896" s="7"/>
      <c r="AR896" s="24"/>
      <c r="AS896" s="97"/>
    </row>
    <row r="897" spans="1:45" s="21" customFormat="1" ht="30" customHeight="1" x14ac:dyDescent="0.2">
      <c r="A897" s="8">
        <v>775</v>
      </c>
      <c r="B897" s="46">
        <v>14</v>
      </c>
      <c r="C897" s="16" t="s">
        <v>52</v>
      </c>
      <c r="D897" s="48">
        <v>36631</v>
      </c>
      <c r="E897" s="47">
        <v>231</v>
      </c>
      <c r="F897" s="48">
        <v>7179</v>
      </c>
      <c r="G897" s="49"/>
      <c r="H897" s="48">
        <v>0</v>
      </c>
      <c r="I897" s="48">
        <v>1</v>
      </c>
      <c r="J897" s="48">
        <v>34.700000000000003</v>
      </c>
      <c r="K897" s="3">
        <v>134.69999999999999</v>
      </c>
      <c r="L897" s="16"/>
      <c r="M897" s="57"/>
      <c r="N897" s="58"/>
      <c r="P897" s="16">
        <v>1</v>
      </c>
      <c r="Q897" s="20">
        <f t="shared" si="170"/>
        <v>134.69999999999999</v>
      </c>
      <c r="R897" s="14">
        <v>160</v>
      </c>
      <c r="S897" s="20">
        <f t="shared" si="171"/>
        <v>21552</v>
      </c>
      <c r="T897" s="16"/>
      <c r="U897" s="17"/>
      <c r="V897" s="17"/>
      <c r="W897" s="4"/>
      <c r="X897" s="16"/>
      <c r="Y897" s="5"/>
      <c r="Z897" s="16"/>
      <c r="AA897" s="16"/>
      <c r="AB897" s="16"/>
      <c r="AC897" s="14"/>
      <c r="AD897" s="14"/>
      <c r="AE897" s="16"/>
      <c r="AG897" s="22">
        <f t="shared" si="172"/>
        <v>0</v>
      </c>
      <c r="AH897" s="6"/>
      <c r="AJ897" s="20">
        <f t="shared" si="168"/>
        <v>0</v>
      </c>
      <c r="AK897" s="50"/>
      <c r="AL897" s="6"/>
      <c r="AM897" s="20">
        <f t="shared" si="169"/>
        <v>0</v>
      </c>
      <c r="AN897" s="20">
        <f t="shared" si="173"/>
        <v>21552</v>
      </c>
      <c r="AP897" s="20">
        <f t="shared" si="174"/>
        <v>21552</v>
      </c>
      <c r="AQ897" s="7"/>
      <c r="AR897" s="24"/>
      <c r="AS897" s="97"/>
    </row>
    <row r="898" spans="1:45" ht="30" customHeight="1" x14ac:dyDescent="0.2">
      <c r="A898" s="8"/>
      <c r="B898" s="46"/>
      <c r="C898" s="16"/>
      <c r="Q898" s="20"/>
      <c r="S898" s="20"/>
      <c r="AC898" s="21"/>
      <c r="AD898" s="21"/>
      <c r="AG898" s="22"/>
      <c r="AJ898" s="20"/>
      <c r="AM898" s="20"/>
      <c r="AN898" s="20"/>
      <c r="AP898" s="20"/>
      <c r="AR898" s="25"/>
      <c r="AS898" s="98"/>
    </row>
    <row r="899" spans="1:45" s="21" customFormat="1" ht="30" customHeight="1" x14ac:dyDescent="0.2">
      <c r="A899" s="8">
        <v>776</v>
      </c>
      <c r="B899" s="46">
        <v>1</v>
      </c>
      <c r="C899" s="16" t="s">
        <v>52</v>
      </c>
      <c r="D899" s="48">
        <v>2173</v>
      </c>
      <c r="E899" s="47">
        <v>25</v>
      </c>
      <c r="F899" s="48">
        <v>1618</v>
      </c>
      <c r="G899" s="49">
        <v>3</v>
      </c>
      <c r="H899" s="48">
        <v>11</v>
      </c>
      <c r="I899" s="48">
        <v>1</v>
      </c>
      <c r="J899" s="48">
        <v>33</v>
      </c>
      <c r="K899" s="3">
        <f>+(11*400)+100+33</f>
        <v>4533</v>
      </c>
      <c r="L899" s="16"/>
      <c r="M899" s="57"/>
      <c r="N899" s="58"/>
      <c r="P899" s="16">
        <v>1</v>
      </c>
      <c r="Q899" s="20">
        <f t="shared" si="170"/>
        <v>4533</v>
      </c>
      <c r="R899" s="14">
        <v>250</v>
      </c>
      <c r="S899" s="19">
        <f t="shared" si="171"/>
        <v>1133250</v>
      </c>
      <c r="T899" s="16"/>
      <c r="U899" s="17"/>
      <c r="V899" s="17"/>
      <c r="W899" s="4"/>
      <c r="X899" s="16"/>
      <c r="Y899" s="5"/>
      <c r="Z899" s="16"/>
      <c r="AA899" s="16"/>
      <c r="AB899" s="16"/>
      <c r="AE899" s="16"/>
      <c r="AG899" s="22">
        <f t="shared" si="172"/>
        <v>0</v>
      </c>
      <c r="AH899" s="6"/>
      <c r="AJ899" s="20">
        <f t="shared" si="168"/>
        <v>0</v>
      </c>
      <c r="AK899" s="50"/>
      <c r="AL899" s="6"/>
      <c r="AM899" s="20">
        <f t="shared" si="169"/>
        <v>0</v>
      </c>
      <c r="AN899" s="20">
        <f t="shared" si="173"/>
        <v>1133250</v>
      </c>
      <c r="AP899" s="20">
        <f t="shared" si="174"/>
        <v>1133250</v>
      </c>
      <c r="AQ899" s="7"/>
      <c r="AR899" s="20"/>
      <c r="AS899" s="51"/>
    </row>
    <row r="900" spans="1:45" s="21" customFormat="1" ht="30" customHeight="1" x14ac:dyDescent="0.2">
      <c r="A900" s="8">
        <v>777</v>
      </c>
      <c r="B900" s="46">
        <v>2</v>
      </c>
      <c r="C900" s="16" t="s">
        <v>52</v>
      </c>
      <c r="D900" s="48">
        <v>2190</v>
      </c>
      <c r="E900" s="47">
        <v>56</v>
      </c>
      <c r="F900" s="48">
        <v>1807</v>
      </c>
      <c r="G900" s="49">
        <v>3</v>
      </c>
      <c r="H900" s="48">
        <v>1</v>
      </c>
      <c r="I900" s="48">
        <v>3</v>
      </c>
      <c r="J900" s="48">
        <v>57</v>
      </c>
      <c r="K900" s="3">
        <v>757</v>
      </c>
      <c r="L900" s="16"/>
      <c r="M900" s="57"/>
      <c r="N900" s="58"/>
      <c r="P900" s="16">
        <v>1</v>
      </c>
      <c r="Q900" s="20">
        <f t="shared" si="170"/>
        <v>757</v>
      </c>
      <c r="R900" s="14">
        <v>750</v>
      </c>
      <c r="S900" s="19">
        <f t="shared" si="171"/>
        <v>567750</v>
      </c>
      <c r="T900" s="16"/>
      <c r="U900" s="17"/>
      <c r="V900" s="17"/>
      <c r="W900" s="4"/>
      <c r="X900" s="16"/>
      <c r="Y900" s="5"/>
      <c r="Z900" s="16"/>
      <c r="AA900" s="16"/>
      <c r="AB900" s="16"/>
      <c r="AE900" s="16"/>
      <c r="AG900" s="22">
        <f t="shared" si="172"/>
        <v>0</v>
      </c>
      <c r="AH900" s="6"/>
      <c r="AJ900" s="20">
        <f t="shared" si="168"/>
        <v>0</v>
      </c>
      <c r="AK900" s="50"/>
      <c r="AL900" s="6"/>
      <c r="AM900" s="20">
        <f t="shared" si="169"/>
        <v>0</v>
      </c>
      <c r="AN900" s="20">
        <f t="shared" si="173"/>
        <v>567750</v>
      </c>
      <c r="AP900" s="20">
        <f t="shared" si="174"/>
        <v>567750</v>
      </c>
      <c r="AQ900" s="7"/>
      <c r="AR900" s="20"/>
      <c r="AS900" s="51"/>
    </row>
    <row r="901" spans="1:45" s="21" customFormat="1" ht="30" customHeight="1" x14ac:dyDescent="0.2">
      <c r="A901" s="8">
        <v>778</v>
      </c>
      <c r="B901" s="46">
        <v>3</v>
      </c>
      <c r="C901" s="16" t="s">
        <v>52</v>
      </c>
      <c r="D901" s="48">
        <v>2250</v>
      </c>
      <c r="E901" s="47">
        <v>26</v>
      </c>
      <c r="F901" s="48">
        <v>1617</v>
      </c>
      <c r="G901" s="49">
        <v>3</v>
      </c>
      <c r="H901" s="48">
        <v>12</v>
      </c>
      <c r="I901" s="48">
        <v>0</v>
      </c>
      <c r="J901" s="48">
        <v>54</v>
      </c>
      <c r="K901" s="3">
        <f>+(12*400)+54</f>
        <v>4854</v>
      </c>
      <c r="L901" s="16"/>
      <c r="M901" s="57"/>
      <c r="N901" s="58"/>
      <c r="P901" s="16">
        <v>1</v>
      </c>
      <c r="Q901" s="20">
        <f t="shared" si="170"/>
        <v>4854</v>
      </c>
      <c r="R901" s="14">
        <v>250</v>
      </c>
      <c r="S901" s="20">
        <f t="shared" si="171"/>
        <v>1213500</v>
      </c>
      <c r="T901" s="16"/>
      <c r="U901" s="17"/>
      <c r="V901" s="17"/>
      <c r="W901" s="4"/>
      <c r="X901" s="16"/>
      <c r="Y901" s="5"/>
      <c r="Z901" s="16"/>
      <c r="AA901" s="16"/>
      <c r="AB901" s="16"/>
      <c r="AE901" s="16"/>
      <c r="AG901" s="22">
        <f t="shared" si="172"/>
        <v>0</v>
      </c>
      <c r="AH901" s="6"/>
      <c r="AJ901" s="20">
        <f t="shared" si="168"/>
        <v>0</v>
      </c>
      <c r="AK901" s="50"/>
      <c r="AL901" s="6"/>
      <c r="AM901" s="20">
        <f t="shared" si="169"/>
        <v>0</v>
      </c>
      <c r="AN901" s="20">
        <f t="shared" si="173"/>
        <v>1213500</v>
      </c>
      <c r="AP901" s="20">
        <f t="shared" si="174"/>
        <v>1213500</v>
      </c>
      <c r="AQ901" s="7"/>
      <c r="AR901" s="20"/>
      <c r="AS901" s="51"/>
    </row>
    <row r="902" spans="1:45" s="21" customFormat="1" ht="30" customHeight="1" x14ac:dyDescent="0.2">
      <c r="A902" s="8">
        <v>779</v>
      </c>
      <c r="B902" s="46">
        <v>4</v>
      </c>
      <c r="C902" s="16" t="s">
        <v>52</v>
      </c>
      <c r="D902" s="48">
        <v>2263</v>
      </c>
      <c r="E902" s="47">
        <v>55</v>
      </c>
      <c r="F902" s="48">
        <v>1800</v>
      </c>
      <c r="G902" s="49">
        <v>3</v>
      </c>
      <c r="H902" s="48">
        <v>0</v>
      </c>
      <c r="I902" s="48">
        <v>0</v>
      </c>
      <c r="J902" s="48">
        <v>62</v>
      </c>
      <c r="K902" s="3">
        <v>62</v>
      </c>
      <c r="L902" s="16"/>
      <c r="M902" s="57"/>
      <c r="N902" s="58"/>
      <c r="P902" s="16">
        <v>1</v>
      </c>
      <c r="Q902" s="20">
        <f t="shared" si="170"/>
        <v>62</v>
      </c>
      <c r="R902" s="14">
        <v>2000</v>
      </c>
      <c r="S902" s="19">
        <f t="shared" si="171"/>
        <v>124000</v>
      </c>
      <c r="T902" s="16"/>
      <c r="U902" s="17"/>
      <c r="V902" s="17"/>
      <c r="W902" s="4"/>
      <c r="X902" s="16"/>
      <c r="Y902" s="5"/>
      <c r="Z902" s="16"/>
      <c r="AA902" s="16"/>
      <c r="AB902" s="16"/>
      <c r="AE902" s="16"/>
      <c r="AG902" s="22">
        <f t="shared" si="172"/>
        <v>0</v>
      </c>
      <c r="AH902" s="6"/>
      <c r="AJ902" s="20">
        <f t="shared" si="168"/>
        <v>0</v>
      </c>
      <c r="AK902" s="50"/>
      <c r="AL902" s="6"/>
      <c r="AM902" s="20">
        <f t="shared" si="169"/>
        <v>0</v>
      </c>
      <c r="AN902" s="20">
        <f t="shared" si="173"/>
        <v>124000</v>
      </c>
      <c r="AP902" s="20">
        <f t="shared" si="174"/>
        <v>124000</v>
      </c>
      <c r="AQ902" s="7"/>
      <c r="AR902" s="20"/>
      <c r="AS902" s="51"/>
    </row>
    <row r="903" spans="1:45" s="21" customFormat="1" ht="30" customHeight="1" x14ac:dyDescent="0.2">
      <c r="A903" s="8">
        <v>780</v>
      </c>
      <c r="B903" s="46">
        <v>5</v>
      </c>
      <c r="C903" s="16" t="s">
        <v>52</v>
      </c>
      <c r="D903" s="48">
        <v>2264</v>
      </c>
      <c r="E903" s="47">
        <v>54</v>
      </c>
      <c r="F903" s="48">
        <v>1801</v>
      </c>
      <c r="G903" s="49">
        <v>3</v>
      </c>
      <c r="H903" s="48">
        <v>0</v>
      </c>
      <c r="I903" s="48">
        <v>2</v>
      </c>
      <c r="J903" s="48">
        <v>38</v>
      </c>
      <c r="K903" s="3">
        <v>238</v>
      </c>
      <c r="L903" s="16"/>
      <c r="M903" s="57"/>
      <c r="N903" s="58"/>
      <c r="P903" s="16">
        <v>1</v>
      </c>
      <c r="Q903" s="20">
        <f t="shared" si="170"/>
        <v>238</v>
      </c>
      <c r="R903" s="14">
        <v>2000</v>
      </c>
      <c r="S903" s="19">
        <f t="shared" si="171"/>
        <v>476000</v>
      </c>
      <c r="T903" s="16"/>
      <c r="U903" s="16"/>
      <c r="V903" s="16"/>
      <c r="W903" s="5"/>
      <c r="X903" s="16"/>
      <c r="Y903" s="5"/>
      <c r="Z903" s="16"/>
      <c r="AA903" s="16"/>
      <c r="AB903" s="16"/>
      <c r="AE903" s="16"/>
      <c r="AG903" s="22">
        <f t="shared" si="172"/>
        <v>0</v>
      </c>
      <c r="AH903" s="6"/>
      <c r="AJ903" s="20">
        <f t="shared" si="168"/>
        <v>0</v>
      </c>
      <c r="AK903" s="50"/>
      <c r="AL903" s="6"/>
      <c r="AM903" s="20">
        <f t="shared" si="169"/>
        <v>0</v>
      </c>
      <c r="AN903" s="20">
        <f t="shared" si="173"/>
        <v>476000</v>
      </c>
      <c r="AP903" s="20">
        <f t="shared" si="174"/>
        <v>476000</v>
      </c>
      <c r="AQ903" s="7"/>
      <c r="AR903" s="20"/>
      <c r="AS903" s="51"/>
    </row>
    <row r="904" spans="1:45" s="21" customFormat="1" ht="30" customHeight="1" x14ac:dyDescent="0.2">
      <c r="A904" s="8">
        <v>781</v>
      </c>
      <c r="B904" s="46">
        <v>6</v>
      </c>
      <c r="C904" s="16" t="s">
        <v>52</v>
      </c>
      <c r="D904" s="48">
        <v>2268</v>
      </c>
      <c r="E904" s="47">
        <v>53</v>
      </c>
      <c r="F904" s="48">
        <v>1806</v>
      </c>
      <c r="G904" s="49">
        <v>3</v>
      </c>
      <c r="H904" s="48">
        <v>0</v>
      </c>
      <c r="I904" s="48">
        <v>0</v>
      </c>
      <c r="J904" s="48">
        <v>68</v>
      </c>
      <c r="K904" s="3">
        <v>68</v>
      </c>
      <c r="L904" s="16"/>
      <c r="M904" s="57"/>
      <c r="N904" s="58"/>
      <c r="P904" s="16">
        <v>1</v>
      </c>
      <c r="Q904" s="20">
        <f t="shared" si="170"/>
        <v>68</v>
      </c>
      <c r="R904" s="14">
        <v>2000</v>
      </c>
      <c r="S904" s="20">
        <f t="shared" si="171"/>
        <v>136000</v>
      </c>
      <c r="T904" s="16"/>
      <c r="U904" s="17"/>
      <c r="V904" s="16"/>
      <c r="W904" s="5"/>
      <c r="X904" s="16"/>
      <c r="Y904" s="5"/>
      <c r="Z904" s="16"/>
      <c r="AA904" s="16"/>
      <c r="AB904" s="16"/>
      <c r="AE904" s="16"/>
      <c r="AG904" s="22">
        <f t="shared" si="172"/>
        <v>0</v>
      </c>
      <c r="AH904" s="6"/>
      <c r="AJ904" s="20">
        <f t="shared" si="168"/>
        <v>0</v>
      </c>
      <c r="AK904" s="50"/>
      <c r="AL904" s="6"/>
      <c r="AM904" s="20">
        <f t="shared" si="169"/>
        <v>0</v>
      </c>
      <c r="AN904" s="20">
        <f t="shared" si="173"/>
        <v>136000</v>
      </c>
      <c r="AP904" s="20">
        <f t="shared" si="174"/>
        <v>136000</v>
      </c>
      <c r="AQ904" s="7"/>
      <c r="AR904" s="20"/>
      <c r="AS904" s="51"/>
    </row>
    <row r="905" spans="1:45" s="21" customFormat="1" ht="30" customHeight="1" x14ac:dyDescent="0.2">
      <c r="A905" s="8">
        <v>782</v>
      </c>
      <c r="B905" s="46">
        <v>7</v>
      </c>
      <c r="C905" s="16" t="s">
        <v>52</v>
      </c>
      <c r="D905" s="48">
        <v>16044</v>
      </c>
      <c r="E905" s="47">
        <v>136</v>
      </c>
      <c r="F905" s="48">
        <v>3522</v>
      </c>
      <c r="G905" s="49">
        <v>3</v>
      </c>
      <c r="H905" s="48">
        <v>0</v>
      </c>
      <c r="I905" s="48">
        <v>1</v>
      </c>
      <c r="J905" s="48">
        <v>97.02</v>
      </c>
      <c r="K905" s="3">
        <v>197.02</v>
      </c>
      <c r="L905" s="16"/>
      <c r="M905" s="57"/>
      <c r="N905" s="58"/>
      <c r="P905" s="16">
        <v>1</v>
      </c>
      <c r="Q905" s="20">
        <f t="shared" si="170"/>
        <v>197.01999999999998</v>
      </c>
      <c r="R905" s="14">
        <v>160</v>
      </c>
      <c r="S905" s="19">
        <f t="shared" si="171"/>
        <v>31523.199999999997</v>
      </c>
      <c r="T905" s="16"/>
      <c r="U905" s="17"/>
      <c r="V905" s="17"/>
      <c r="W905" s="4"/>
      <c r="X905" s="16"/>
      <c r="Y905" s="5"/>
      <c r="Z905" s="16"/>
      <c r="AA905" s="16"/>
      <c r="AB905" s="16"/>
      <c r="AE905" s="16"/>
      <c r="AG905" s="22">
        <f t="shared" si="172"/>
        <v>0</v>
      </c>
      <c r="AH905" s="6"/>
      <c r="AJ905" s="20">
        <f t="shared" si="168"/>
        <v>0</v>
      </c>
      <c r="AK905" s="50"/>
      <c r="AL905" s="6"/>
      <c r="AM905" s="20">
        <f t="shared" si="169"/>
        <v>0</v>
      </c>
      <c r="AN905" s="20">
        <f t="shared" si="173"/>
        <v>31523.199999999997</v>
      </c>
      <c r="AP905" s="20">
        <f t="shared" si="174"/>
        <v>31523.199999999997</v>
      </c>
      <c r="AQ905" s="7"/>
      <c r="AR905" s="20"/>
      <c r="AS905" s="51"/>
    </row>
    <row r="906" spans="1:45" s="21" customFormat="1" ht="30" customHeight="1" x14ac:dyDescent="0.2">
      <c r="A906" s="8">
        <v>783</v>
      </c>
      <c r="B906" s="46">
        <v>8</v>
      </c>
      <c r="C906" s="16" t="s">
        <v>52</v>
      </c>
      <c r="D906" s="48">
        <v>37110</v>
      </c>
      <c r="E906" s="47">
        <v>49</v>
      </c>
      <c r="F906" s="48">
        <v>7377</v>
      </c>
      <c r="G906" s="49">
        <v>6</v>
      </c>
      <c r="H906" s="48">
        <v>2</v>
      </c>
      <c r="I906" s="48">
        <v>1</v>
      </c>
      <c r="J906" s="48">
        <v>93.05</v>
      </c>
      <c r="K906" s="3">
        <v>9930.5</v>
      </c>
      <c r="L906" s="16"/>
      <c r="M906" s="57"/>
      <c r="N906" s="58"/>
      <c r="P906" s="16">
        <v>1</v>
      </c>
      <c r="Q906" s="20">
        <f t="shared" si="170"/>
        <v>993.05</v>
      </c>
      <c r="R906" s="14">
        <v>1100</v>
      </c>
      <c r="S906" s="19">
        <f t="shared" si="171"/>
        <v>1092355</v>
      </c>
      <c r="T906" s="16"/>
      <c r="U906" s="17"/>
      <c r="V906" s="17"/>
      <c r="W906" s="4"/>
      <c r="X906" s="16"/>
      <c r="Y906" s="5"/>
      <c r="Z906" s="16"/>
      <c r="AA906" s="16"/>
      <c r="AB906" s="16"/>
      <c r="AC906" s="14"/>
      <c r="AD906" s="14"/>
      <c r="AE906" s="16"/>
      <c r="AG906" s="22">
        <f t="shared" si="172"/>
        <v>0</v>
      </c>
      <c r="AH906" s="6"/>
      <c r="AJ906" s="20">
        <f t="shared" si="168"/>
        <v>0</v>
      </c>
      <c r="AK906" s="50"/>
      <c r="AL906" s="6"/>
      <c r="AM906" s="20">
        <f t="shared" si="169"/>
        <v>0</v>
      </c>
      <c r="AN906" s="20">
        <f t="shared" si="173"/>
        <v>1092355</v>
      </c>
      <c r="AP906" s="20">
        <f t="shared" si="174"/>
        <v>1092355</v>
      </c>
      <c r="AQ906" s="7"/>
      <c r="AR906" s="20"/>
      <c r="AS906" s="51"/>
    </row>
    <row r="907" spans="1:45" s="21" customFormat="1" ht="30" customHeight="1" x14ac:dyDescent="0.2">
      <c r="A907" s="8">
        <v>784</v>
      </c>
      <c r="B907" s="46">
        <v>9</v>
      </c>
      <c r="C907" s="16" t="s">
        <v>52</v>
      </c>
      <c r="D907" s="48">
        <v>4851</v>
      </c>
      <c r="E907" s="47">
        <v>17</v>
      </c>
      <c r="F907" s="48">
        <v>2749</v>
      </c>
      <c r="G907" s="49">
        <v>7</v>
      </c>
      <c r="H907" s="48">
        <v>31</v>
      </c>
      <c r="I907" s="48">
        <v>3</v>
      </c>
      <c r="J907" s="48">
        <v>68</v>
      </c>
      <c r="K907" s="3">
        <f>(31*400)+300+68</f>
        <v>12768</v>
      </c>
      <c r="L907" s="16"/>
      <c r="M907" s="57"/>
      <c r="N907" s="58"/>
      <c r="P907" s="16">
        <v>1</v>
      </c>
      <c r="Q907" s="20">
        <f t="shared" si="170"/>
        <v>12768</v>
      </c>
      <c r="R907" s="14">
        <v>160</v>
      </c>
      <c r="S907" s="20">
        <f t="shared" si="171"/>
        <v>2042880</v>
      </c>
      <c r="T907" s="16"/>
      <c r="U907" s="17"/>
      <c r="V907" s="17"/>
      <c r="W907" s="4"/>
      <c r="X907" s="16"/>
      <c r="Y907" s="5"/>
      <c r="Z907" s="16"/>
      <c r="AA907" s="16"/>
      <c r="AB907" s="16"/>
      <c r="AE907" s="16"/>
      <c r="AG907" s="22">
        <f t="shared" si="172"/>
        <v>0</v>
      </c>
      <c r="AH907" s="6"/>
      <c r="AJ907" s="20">
        <f t="shared" si="168"/>
        <v>0</v>
      </c>
      <c r="AK907" s="50"/>
      <c r="AL907" s="6"/>
      <c r="AM907" s="20">
        <f t="shared" si="169"/>
        <v>0</v>
      </c>
      <c r="AN907" s="20">
        <f t="shared" si="173"/>
        <v>2042880</v>
      </c>
      <c r="AP907" s="20">
        <f t="shared" si="174"/>
        <v>2042880</v>
      </c>
      <c r="AQ907" s="7"/>
      <c r="AR907" s="20"/>
      <c r="AS907" s="51"/>
    </row>
    <row r="908" spans="1:45" s="21" customFormat="1" ht="30" customHeight="1" x14ac:dyDescent="0.2">
      <c r="A908" s="8">
        <v>785</v>
      </c>
      <c r="B908" s="46">
        <v>10</v>
      </c>
      <c r="C908" s="16" t="s">
        <v>52</v>
      </c>
      <c r="D908" s="48">
        <v>4867</v>
      </c>
      <c r="E908" s="47">
        <v>16</v>
      </c>
      <c r="F908" s="48">
        <v>2558</v>
      </c>
      <c r="G908" s="49">
        <v>7</v>
      </c>
      <c r="H908" s="48">
        <v>1</v>
      </c>
      <c r="I908" s="48">
        <v>2</v>
      </c>
      <c r="J908" s="48">
        <v>61</v>
      </c>
      <c r="K908" s="3">
        <v>661</v>
      </c>
      <c r="L908" s="16"/>
      <c r="M908" s="57"/>
      <c r="N908" s="58"/>
      <c r="P908" s="16">
        <v>1</v>
      </c>
      <c r="Q908" s="20">
        <f t="shared" si="170"/>
        <v>661</v>
      </c>
      <c r="R908" s="14">
        <v>660</v>
      </c>
      <c r="S908" s="19">
        <f t="shared" si="171"/>
        <v>436260</v>
      </c>
      <c r="T908" s="16"/>
      <c r="U908" s="17"/>
      <c r="V908" s="17"/>
      <c r="W908" s="4"/>
      <c r="X908" s="16"/>
      <c r="Y908" s="5"/>
      <c r="Z908" s="16"/>
      <c r="AA908" s="16"/>
      <c r="AB908" s="16"/>
      <c r="AC908" s="14"/>
      <c r="AD908" s="14"/>
      <c r="AE908" s="16"/>
      <c r="AG908" s="22">
        <f t="shared" si="172"/>
        <v>0</v>
      </c>
      <c r="AH908" s="6"/>
      <c r="AJ908" s="20">
        <f t="shared" si="168"/>
        <v>0</v>
      </c>
      <c r="AK908" s="50"/>
      <c r="AL908" s="6"/>
      <c r="AM908" s="20">
        <f t="shared" si="169"/>
        <v>0</v>
      </c>
      <c r="AN908" s="20">
        <f t="shared" si="173"/>
        <v>436260</v>
      </c>
      <c r="AP908" s="20">
        <f t="shared" si="174"/>
        <v>436260</v>
      </c>
      <c r="AQ908" s="7"/>
      <c r="AR908" s="20"/>
      <c r="AS908" s="51"/>
    </row>
    <row r="909" spans="1:45" s="21" customFormat="1" ht="30" customHeight="1" x14ac:dyDescent="0.2">
      <c r="A909" s="8">
        <v>786</v>
      </c>
      <c r="B909" s="46">
        <v>11</v>
      </c>
      <c r="C909" s="16" t="s">
        <v>52</v>
      </c>
      <c r="D909" s="48">
        <v>33513</v>
      </c>
      <c r="E909" s="47">
        <v>70</v>
      </c>
      <c r="F909" s="48">
        <v>6709</v>
      </c>
      <c r="G909" s="49">
        <v>7</v>
      </c>
      <c r="H909" s="48">
        <v>0</v>
      </c>
      <c r="I909" s="48">
        <v>1</v>
      </c>
      <c r="J909" s="48">
        <v>77</v>
      </c>
      <c r="K909" s="3">
        <v>177</v>
      </c>
      <c r="L909" s="16"/>
      <c r="M909" s="57"/>
      <c r="N909" s="58"/>
      <c r="P909" s="16">
        <v>1</v>
      </c>
      <c r="Q909" s="20">
        <f t="shared" si="170"/>
        <v>177</v>
      </c>
      <c r="R909" s="14">
        <v>250</v>
      </c>
      <c r="S909" s="19">
        <f t="shared" si="171"/>
        <v>44250</v>
      </c>
      <c r="T909" s="16"/>
      <c r="U909" s="16"/>
      <c r="V909" s="16"/>
      <c r="W909" s="5"/>
      <c r="X909" s="16"/>
      <c r="Y909" s="5"/>
      <c r="Z909" s="16"/>
      <c r="AA909" s="16"/>
      <c r="AB909" s="16"/>
      <c r="AC909" s="14"/>
      <c r="AD909" s="14"/>
      <c r="AE909" s="16"/>
      <c r="AG909" s="22">
        <f t="shared" si="172"/>
        <v>0</v>
      </c>
      <c r="AH909" s="6"/>
      <c r="AJ909" s="20">
        <f t="shared" si="168"/>
        <v>0</v>
      </c>
      <c r="AK909" s="50"/>
      <c r="AL909" s="6"/>
      <c r="AM909" s="20">
        <f t="shared" si="169"/>
        <v>0</v>
      </c>
      <c r="AN909" s="20">
        <f t="shared" si="173"/>
        <v>44250</v>
      </c>
      <c r="AP909" s="20">
        <f t="shared" si="174"/>
        <v>44250</v>
      </c>
      <c r="AQ909" s="7"/>
      <c r="AR909" s="20"/>
      <c r="AS909" s="51"/>
    </row>
    <row r="910" spans="1:45" s="21" customFormat="1" ht="30" customHeight="1" x14ac:dyDescent="0.2">
      <c r="A910" s="8">
        <v>787</v>
      </c>
      <c r="B910" s="46">
        <v>12</v>
      </c>
      <c r="C910" s="16" t="s">
        <v>52</v>
      </c>
      <c r="D910" s="48">
        <v>33514</v>
      </c>
      <c r="E910" s="47">
        <v>71</v>
      </c>
      <c r="F910" s="48">
        <v>6710</v>
      </c>
      <c r="G910" s="49">
        <v>7</v>
      </c>
      <c r="H910" s="48">
        <v>0</v>
      </c>
      <c r="I910" s="48">
        <v>1</v>
      </c>
      <c r="J910" s="48">
        <v>91</v>
      </c>
      <c r="K910" s="3">
        <v>191</v>
      </c>
      <c r="L910" s="16"/>
      <c r="M910" s="57"/>
      <c r="N910" s="58"/>
      <c r="P910" s="16">
        <v>1</v>
      </c>
      <c r="Q910" s="20">
        <f t="shared" si="170"/>
        <v>191</v>
      </c>
      <c r="R910" s="14">
        <v>250</v>
      </c>
      <c r="S910" s="20">
        <f t="shared" si="171"/>
        <v>47750</v>
      </c>
      <c r="T910" s="16"/>
      <c r="U910" s="17"/>
      <c r="V910" s="16"/>
      <c r="W910" s="5"/>
      <c r="X910" s="16"/>
      <c r="Y910" s="5"/>
      <c r="Z910" s="16"/>
      <c r="AA910" s="16"/>
      <c r="AB910" s="16"/>
      <c r="AC910" s="14"/>
      <c r="AD910" s="14"/>
      <c r="AE910" s="16"/>
      <c r="AG910" s="22">
        <f t="shared" si="172"/>
        <v>0</v>
      </c>
      <c r="AH910" s="6"/>
      <c r="AJ910" s="20">
        <f t="shared" si="168"/>
        <v>0</v>
      </c>
      <c r="AK910" s="50"/>
      <c r="AL910" s="6"/>
      <c r="AM910" s="20">
        <f t="shared" si="169"/>
        <v>0</v>
      </c>
      <c r="AN910" s="20">
        <f t="shared" si="173"/>
        <v>47750</v>
      </c>
      <c r="AP910" s="20">
        <f t="shared" si="174"/>
        <v>47750</v>
      </c>
      <c r="AQ910" s="7"/>
      <c r="AR910" s="20"/>
      <c r="AS910" s="51"/>
    </row>
    <row r="911" spans="1:45" s="21" customFormat="1" ht="30" customHeight="1" x14ac:dyDescent="0.2">
      <c r="A911" s="8">
        <v>788</v>
      </c>
      <c r="B911" s="46">
        <v>13</v>
      </c>
      <c r="C911" s="16" t="s">
        <v>52</v>
      </c>
      <c r="D911" s="48">
        <v>22475</v>
      </c>
      <c r="E911" s="47">
        <v>135</v>
      </c>
      <c r="F911" s="48">
        <v>4766</v>
      </c>
      <c r="G911" s="49">
        <v>3</v>
      </c>
      <c r="H911" s="48">
        <v>1</v>
      </c>
      <c r="I911" s="48">
        <v>1</v>
      </c>
      <c r="J911" s="48">
        <v>45</v>
      </c>
      <c r="K911" s="3"/>
      <c r="L911" s="16">
        <v>545</v>
      </c>
      <c r="M911" s="57"/>
      <c r="N911" s="58"/>
      <c r="P911" s="16">
        <v>2</v>
      </c>
      <c r="Q911" s="20">
        <f t="shared" si="170"/>
        <v>545</v>
      </c>
      <c r="R911" s="14">
        <v>500</v>
      </c>
      <c r="S911" s="19">
        <f t="shared" si="171"/>
        <v>272500</v>
      </c>
      <c r="T911" s="16"/>
      <c r="U911" s="17" t="s">
        <v>57</v>
      </c>
      <c r="V911" s="17" t="s">
        <v>56</v>
      </c>
      <c r="W911" s="4"/>
      <c r="X911" s="16"/>
      <c r="Y911" s="5">
        <v>48</v>
      </c>
      <c r="Z911" s="16"/>
      <c r="AA911" s="16"/>
      <c r="AB911" s="16">
        <v>16</v>
      </c>
      <c r="AC911" s="14"/>
      <c r="AD911" s="14"/>
      <c r="AE911" s="16"/>
      <c r="AG911" s="22">
        <f t="shared" si="172"/>
        <v>48</v>
      </c>
      <c r="AH911" s="6"/>
      <c r="AJ911" s="20">
        <f t="shared" si="168"/>
        <v>0</v>
      </c>
      <c r="AK911" s="50">
        <v>16</v>
      </c>
      <c r="AL911" s="6"/>
      <c r="AM911" s="20">
        <f t="shared" si="169"/>
        <v>0</v>
      </c>
      <c r="AN911" s="20">
        <f t="shared" si="173"/>
        <v>272500</v>
      </c>
      <c r="AP911" s="20">
        <f t="shared" si="174"/>
        <v>272500</v>
      </c>
      <c r="AQ911" s="7"/>
      <c r="AR911" s="20"/>
      <c r="AS911" s="51"/>
    </row>
    <row r="912" spans="1:45" ht="30" customHeight="1" x14ac:dyDescent="0.2">
      <c r="A912" s="8">
        <v>789</v>
      </c>
      <c r="B912" s="46">
        <v>14</v>
      </c>
      <c r="C912" s="16" t="s">
        <v>97</v>
      </c>
      <c r="D912" s="17">
        <v>478</v>
      </c>
      <c r="G912" s="13">
        <v>2</v>
      </c>
      <c r="H912" s="17">
        <v>2</v>
      </c>
      <c r="I912" s="17">
        <v>1</v>
      </c>
      <c r="J912" s="17">
        <v>72</v>
      </c>
      <c r="K912" s="10">
        <v>972</v>
      </c>
      <c r="Q912" s="20">
        <f t="shared" si="170"/>
        <v>972</v>
      </c>
      <c r="R912" s="14">
        <v>200</v>
      </c>
      <c r="S912" s="19">
        <f t="shared" si="171"/>
        <v>194400</v>
      </c>
      <c r="AE912" s="136" t="s">
        <v>134</v>
      </c>
      <c r="AF912" s="137"/>
      <c r="AG912" s="22">
        <f t="shared" si="172"/>
        <v>0</v>
      </c>
      <c r="AJ912" s="20">
        <f t="shared" si="168"/>
        <v>0</v>
      </c>
      <c r="AM912" s="20">
        <f t="shared" si="169"/>
        <v>0</v>
      </c>
      <c r="AN912" s="20">
        <f t="shared" si="173"/>
        <v>194400</v>
      </c>
      <c r="AP912" s="20">
        <f t="shared" si="174"/>
        <v>194400</v>
      </c>
      <c r="AQ912" s="12">
        <v>1E-4</v>
      </c>
      <c r="AR912" s="20"/>
    </row>
    <row r="913" spans="1:45" ht="30" customHeight="1" x14ac:dyDescent="0.2">
      <c r="A913" s="8"/>
      <c r="B913" s="46">
        <v>15</v>
      </c>
      <c r="C913" s="16" t="s">
        <v>65</v>
      </c>
      <c r="D913" s="17">
        <v>1334</v>
      </c>
      <c r="E913" s="17">
        <v>48</v>
      </c>
      <c r="H913" s="17">
        <v>17</v>
      </c>
      <c r="I913" s="17">
        <v>1</v>
      </c>
      <c r="J913" s="17">
        <v>46</v>
      </c>
      <c r="K913" s="10">
        <f>17*400+146</f>
        <v>6946</v>
      </c>
      <c r="Q913" s="20">
        <f t="shared" si="170"/>
        <v>6946</v>
      </c>
      <c r="R913" s="14" t="e">
        <v>#N/A</v>
      </c>
      <c r="S913" s="20" t="e">
        <f t="shared" si="171"/>
        <v>#N/A</v>
      </c>
      <c r="AC913" s="21"/>
      <c r="AD913" s="21"/>
      <c r="AE913" s="138"/>
      <c r="AF913" s="139"/>
      <c r="AG913" s="22">
        <f t="shared" si="172"/>
        <v>0</v>
      </c>
      <c r="AJ913" s="20">
        <f t="shared" si="168"/>
        <v>0</v>
      </c>
      <c r="AM913" s="20">
        <f t="shared" si="169"/>
        <v>0</v>
      </c>
      <c r="AN913" s="20" t="e">
        <f t="shared" si="173"/>
        <v>#N/A</v>
      </c>
      <c r="AP913" s="20" t="e">
        <f t="shared" si="174"/>
        <v>#N/A</v>
      </c>
      <c r="AQ913" s="12">
        <v>1E-4</v>
      </c>
      <c r="AR913" s="20"/>
    </row>
    <row r="914" spans="1:45" ht="30" customHeight="1" x14ac:dyDescent="0.2">
      <c r="A914" s="8">
        <v>790</v>
      </c>
      <c r="B914" s="46">
        <v>16</v>
      </c>
      <c r="C914" s="16" t="s">
        <v>65</v>
      </c>
      <c r="D914" s="17">
        <v>1335</v>
      </c>
      <c r="E914" s="17">
        <v>49</v>
      </c>
      <c r="H914" s="17">
        <v>3</v>
      </c>
      <c r="I914" s="17">
        <v>3</v>
      </c>
      <c r="J914" s="17">
        <v>73</v>
      </c>
      <c r="K914" s="10">
        <v>1573</v>
      </c>
      <c r="Q914" s="20">
        <f t="shared" si="170"/>
        <v>1573</v>
      </c>
      <c r="R914" s="14">
        <v>160</v>
      </c>
      <c r="S914" s="19">
        <f t="shared" si="171"/>
        <v>251680</v>
      </c>
      <c r="AC914" s="21"/>
      <c r="AD914" s="21"/>
      <c r="AE914" s="138"/>
      <c r="AF914" s="139"/>
      <c r="AG914" s="22">
        <f t="shared" si="172"/>
        <v>0</v>
      </c>
      <c r="AJ914" s="20">
        <f t="shared" si="168"/>
        <v>0</v>
      </c>
      <c r="AM914" s="20">
        <f t="shared" si="169"/>
        <v>0</v>
      </c>
      <c r="AN914" s="20">
        <f t="shared" si="173"/>
        <v>251680</v>
      </c>
      <c r="AP914" s="20">
        <f t="shared" si="174"/>
        <v>251680</v>
      </c>
      <c r="AQ914" s="12">
        <v>1E-4</v>
      </c>
      <c r="AR914" s="20"/>
    </row>
    <row r="915" spans="1:45" ht="30" customHeight="1" x14ac:dyDescent="0.2">
      <c r="A915" s="8">
        <v>791</v>
      </c>
      <c r="B915" s="46">
        <v>17</v>
      </c>
      <c r="C915" s="16" t="s">
        <v>65</v>
      </c>
      <c r="D915" s="17">
        <v>2599</v>
      </c>
      <c r="E915" s="17">
        <v>159</v>
      </c>
      <c r="H915" s="17">
        <v>1</v>
      </c>
      <c r="I915" s="17">
        <v>1</v>
      </c>
      <c r="J915" s="17">
        <v>57</v>
      </c>
      <c r="K915" s="10">
        <v>557</v>
      </c>
      <c r="Q915" s="20">
        <f t="shared" si="170"/>
        <v>557</v>
      </c>
      <c r="R915" s="14">
        <v>200</v>
      </c>
      <c r="S915" s="19">
        <f t="shared" si="171"/>
        <v>111400</v>
      </c>
      <c r="AC915" s="21"/>
      <c r="AD915" s="21"/>
      <c r="AE915" s="138"/>
      <c r="AF915" s="139"/>
      <c r="AG915" s="22">
        <f t="shared" si="172"/>
        <v>0</v>
      </c>
      <c r="AJ915" s="20">
        <f t="shared" si="168"/>
        <v>0</v>
      </c>
      <c r="AM915" s="20">
        <f t="shared" si="169"/>
        <v>0</v>
      </c>
      <c r="AN915" s="20">
        <f t="shared" ref="AN915:AN935" si="175">+S915+AM915</f>
        <v>111400</v>
      </c>
      <c r="AP915" s="20">
        <f t="shared" si="174"/>
        <v>111400</v>
      </c>
      <c r="AQ915" s="12">
        <v>1E-4</v>
      </c>
      <c r="AR915" s="20"/>
    </row>
    <row r="916" spans="1:45" ht="30" customHeight="1" x14ac:dyDescent="0.2">
      <c r="A916" s="8">
        <v>792</v>
      </c>
      <c r="B916" s="13">
        <v>18</v>
      </c>
      <c r="C916" s="16" t="s">
        <v>65</v>
      </c>
      <c r="D916" s="17">
        <v>436</v>
      </c>
      <c r="E916" s="17">
        <v>78</v>
      </c>
      <c r="H916" s="17">
        <v>4</v>
      </c>
      <c r="I916" s="17">
        <v>3</v>
      </c>
      <c r="J916" s="17">
        <v>86</v>
      </c>
      <c r="K916" s="10">
        <v>1586</v>
      </c>
      <c r="Q916" s="20">
        <f t="shared" si="170"/>
        <v>1986</v>
      </c>
      <c r="R916" s="14">
        <v>200</v>
      </c>
      <c r="S916" s="20">
        <f t="shared" si="171"/>
        <v>397200</v>
      </c>
      <c r="AE916" s="140"/>
      <c r="AF916" s="141"/>
      <c r="AG916" s="22">
        <f t="shared" si="172"/>
        <v>0</v>
      </c>
      <c r="AJ916" s="20">
        <f t="shared" si="168"/>
        <v>0</v>
      </c>
      <c r="AM916" s="20">
        <f t="shared" si="169"/>
        <v>0</v>
      </c>
      <c r="AN916" s="20">
        <f t="shared" si="175"/>
        <v>397200</v>
      </c>
      <c r="AP916" s="20">
        <f t="shared" si="174"/>
        <v>397200</v>
      </c>
      <c r="AQ916" s="12">
        <v>1E-4</v>
      </c>
      <c r="AR916" s="20"/>
    </row>
    <row r="917" spans="1:45" ht="30" customHeight="1" x14ac:dyDescent="0.2">
      <c r="A917" s="8">
        <v>793</v>
      </c>
      <c r="B917" s="13">
        <v>1</v>
      </c>
      <c r="C917" s="16" t="s">
        <v>65</v>
      </c>
      <c r="D917" s="17">
        <v>2021</v>
      </c>
      <c r="E917" s="17">
        <v>118</v>
      </c>
      <c r="H917" s="17">
        <v>26</v>
      </c>
      <c r="I917" s="17">
        <v>0</v>
      </c>
      <c r="J917" s="17">
        <v>13</v>
      </c>
      <c r="K917" s="10">
        <f>26*400+13</f>
        <v>10413</v>
      </c>
      <c r="P917" s="17">
        <v>1</v>
      </c>
      <c r="Q917" s="20">
        <f t="shared" si="170"/>
        <v>10413</v>
      </c>
      <c r="R917" s="14">
        <v>160</v>
      </c>
      <c r="S917" s="19">
        <f t="shared" si="171"/>
        <v>1666080</v>
      </c>
      <c r="AC917" s="21"/>
      <c r="AD917" s="21"/>
      <c r="AG917" s="22">
        <f t="shared" si="172"/>
        <v>0</v>
      </c>
      <c r="AJ917" s="20">
        <f t="shared" si="168"/>
        <v>0</v>
      </c>
      <c r="AM917" s="20">
        <f t="shared" si="169"/>
        <v>0</v>
      </c>
      <c r="AN917" s="20">
        <f t="shared" si="175"/>
        <v>1666080</v>
      </c>
      <c r="AP917" s="20">
        <f t="shared" si="174"/>
        <v>1666080</v>
      </c>
      <c r="AQ917" s="12">
        <v>1E-4</v>
      </c>
      <c r="AR917" s="20"/>
    </row>
    <row r="918" spans="1:45" s="21" customFormat="1" ht="30" customHeight="1" x14ac:dyDescent="0.2">
      <c r="A918" s="8">
        <v>794</v>
      </c>
      <c r="B918" s="46">
        <v>1</v>
      </c>
      <c r="C918" s="16" t="s">
        <v>52</v>
      </c>
      <c r="D918" s="48">
        <v>14059</v>
      </c>
      <c r="E918" s="47">
        <v>60</v>
      </c>
      <c r="F918" s="48">
        <v>3310</v>
      </c>
      <c r="G918" s="49">
        <v>6</v>
      </c>
      <c r="H918" s="48">
        <v>0</v>
      </c>
      <c r="I918" s="48">
        <v>0</v>
      </c>
      <c r="J918" s="48">
        <v>36</v>
      </c>
      <c r="K918" s="3"/>
      <c r="L918" s="16">
        <v>36</v>
      </c>
      <c r="M918" s="57"/>
      <c r="N918" s="58"/>
      <c r="P918" s="16">
        <v>2</v>
      </c>
      <c r="Q918" s="20">
        <f t="shared" si="170"/>
        <v>36</v>
      </c>
      <c r="R918" s="14">
        <v>1500</v>
      </c>
      <c r="S918" s="20">
        <f t="shared" si="171"/>
        <v>54000</v>
      </c>
      <c r="T918" s="16"/>
      <c r="U918" s="17" t="s">
        <v>57</v>
      </c>
      <c r="V918" s="17" t="s">
        <v>56</v>
      </c>
      <c r="W918" s="4"/>
      <c r="X918" s="16"/>
      <c r="Y918" s="5">
        <v>55</v>
      </c>
      <c r="Z918" s="16"/>
      <c r="AA918" s="16"/>
      <c r="AB918" s="16">
        <v>11</v>
      </c>
      <c r="AE918" s="16"/>
      <c r="AG918" s="22">
        <f t="shared" si="172"/>
        <v>55</v>
      </c>
      <c r="AH918" s="6"/>
      <c r="AJ918" s="20">
        <f t="shared" si="168"/>
        <v>0</v>
      </c>
      <c r="AK918" s="50">
        <v>11</v>
      </c>
      <c r="AL918" s="6"/>
      <c r="AM918" s="20">
        <f t="shared" si="169"/>
        <v>0</v>
      </c>
      <c r="AN918" s="20">
        <f t="shared" si="175"/>
        <v>54000</v>
      </c>
      <c r="AP918" s="20">
        <f t="shared" si="174"/>
        <v>54000</v>
      </c>
      <c r="AQ918" s="7"/>
      <c r="AR918" s="20"/>
      <c r="AS918" s="51"/>
    </row>
    <row r="919" spans="1:45" ht="30" customHeight="1" x14ac:dyDescent="0.2">
      <c r="A919" s="8">
        <v>795</v>
      </c>
      <c r="B919" s="13">
        <v>1</v>
      </c>
      <c r="C919" s="16" t="s">
        <v>69</v>
      </c>
      <c r="E919" s="17">
        <v>1494</v>
      </c>
      <c r="F919" s="17">
        <v>6</v>
      </c>
      <c r="G919" s="13">
        <v>6</v>
      </c>
      <c r="H919" s="17">
        <v>50</v>
      </c>
      <c r="I919" s="17">
        <v>0</v>
      </c>
      <c r="J919" s="17">
        <v>0</v>
      </c>
      <c r="K919" s="10">
        <v>20000</v>
      </c>
      <c r="P919" s="17">
        <v>1</v>
      </c>
      <c r="Q919" s="20">
        <f t="shared" si="170"/>
        <v>20000</v>
      </c>
      <c r="R919" s="14">
        <v>160</v>
      </c>
      <c r="S919" s="19">
        <f t="shared" si="171"/>
        <v>3200000</v>
      </c>
      <c r="AG919" s="22">
        <f t="shared" si="172"/>
        <v>0</v>
      </c>
      <c r="AJ919" s="20">
        <f t="shared" si="168"/>
        <v>0</v>
      </c>
      <c r="AM919" s="20">
        <f t="shared" si="169"/>
        <v>0</v>
      </c>
      <c r="AN919" s="20">
        <f t="shared" si="175"/>
        <v>3200000</v>
      </c>
      <c r="AP919" s="20">
        <f t="shared" si="174"/>
        <v>3200000</v>
      </c>
      <c r="AQ919" s="12">
        <v>1E-4</v>
      </c>
      <c r="AR919" s="20"/>
    </row>
    <row r="920" spans="1:45" ht="30" customHeight="1" x14ac:dyDescent="0.2">
      <c r="A920" s="8">
        <v>796</v>
      </c>
      <c r="B920" s="13">
        <v>1</v>
      </c>
      <c r="C920" s="16" t="s">
        <v>69</v>
      </c>
      <c r="E920" s="17">
        <v>1499</v>
      </c>
      <c r="F920" s="17">
        <v>2</v>
      </c>
      <c r="G920" s="13">
        <v>6</v>
      </c>
      <c r="H920" s="17">
        <v>50</v>
      </c>
      <c r="I920" s="17">
        <v>0</v>
      </c>
      <c r="J920" s="17">
        <v>0</v>
      </c>
      <c r="K920" s="10">
        <v>20000</v>
      </c>
      <c r="P920" s="17">
        <v>1</v>
      </c>
      <c r="Q920" s="20">
        <f t="shared" si="170"/>
        <v>20000</v>
      </c>
      <c r="R920" s="14">
        <v>200</v>
      </c>
      <c r="S920" s="19">
        <f t="shared" si="171"/>
        <v>4000000</v>
      </c>
      <c r="AG920" s="22">
        <f t="shared" si="172"/>
        <v>0</v>
      </c>
      <c r="AJ920" s="20">
        <f t="shared" si="168"/>
        <v>0</v>
      </c>
      <c r="AM920" s="20">
        <f t="shared" si="169"/>
        <v>0</v>
      </c>
      <c r="AN920" s="20">
        <f t="shared" si="175"/>
        <v>4000000</v>
      </c>
      <c r="AP920" s="20">
        <f t="shared" si="174"/>
        <v>4000000</v>
      </c>
      <c r="AQ920" s="12">
        <v>1E-4</v>
      </c>
      <c r="AR920" s="20"/>
    </row>
    <row r="921" spans="1:45" s="21" customFormat="1" ht="30" customHeight="1" x14ac:dyDescent="0.2">
      <c r="A921" s="8">
        <v>797</v>
      </c>
      <c r="B921" s="46">
        <v>1</v>
      </c>
      <c r="C921" s="16" t="s">
        <v>52</v>
      </c>
      <c r="D921" s="48">
        <v>4886</v>
      </c>
      <c r="E921" s="47">
        <v>33</v>
      </c>
      <c r="F921" s="48">
        <v>2701</v>
      </c>
      <c r="G921" s="49">
        <v>7</v>
      </c>
      <c r="H921" s="48">
        <v>5</v>
      </c>
      <c r="I921" s="48">
        <v>0</v>
      </c>
      <c r="J921" s="48">
        <v>86</v>
      </c>
      <c r="K921" s="3">
        <v>2086</v>
      </c>
      <c r="L921" s="16"/>
      <c r="M921" s="57"/>
      <c r="N921" s="58"/>
      <c r="P921" s="16">
        <v>1</v>
      </c>
      <c r="Q921" s="20">
        <f t="shared" si="170"/>
        <v>2086</v>
      </c>
      <c r="R921" s="14">
        <v>540</v>
      </c>
      <c r="S921" s="20">
        <f t="shared" si="171"/>
        <v>1126440</v>
      </c>
      <c r="T921" s="16"/>
      <c r="U921" s="17"/>
      <c r="V921" s="17"/>
      <c r="W921" s="4"/>
      <c r="X921" s="16"/>
      <c r="Y921" s="5"/>
      <c r="Z921" s="16"/>
      <c r="AA921" s="16"/>
      <c r="AB921" s="16"/>
      <c r="AE921" s="16"/>
      <c r="AG921" s="22">
        <f t="shared" si="172"/>
        <v>0</v>
      </c>
      <c r="AH921" s="6"/>
      <c r="AJ921" s="20">
        <f t="shared" si="168"/>
        <v>0</v>
      </c>
      <c r="AK921" s="50"/>
      <c r="AL921" s="6"/>
      <c r="AM921" s="20">
        <f t="shared" si="169"/>
        <v>0</v>
      </c>
      <c r="AN921" s="20">
        <f t="shared" si="175"/>
        <v>1126440</v>
      </c>
      <c r="AP921" s="20">
        <f t="shared" si="174"/>
        <v>1126440</v>
      </c>
      <c r="AQ921" s="7"/>
      <c r="AR921" s="20"/>
      <c r="AS921" s="51"/>
    </row>
    <row r="922" spans="1:45" s="21" customFormat="1" ht="30" customHeight="1" x14ac:dyDescent="0.2">
      <c r="A922" s="8">
        <v>798</v>
      </c>
      <c r="B922" s="46">
        <v>1</v>
      </c>
      <c r="C922" s="16" t="s">
        <v>52</v>
      </c>
      <c r="D922" s="48">
        <v>11722</v>
      </c>
      <c r="E922" s="47">
        <v>52</v>
      </c>
      <c r="F922" s="48">
        <v>3195</v>
      </c>
      <c r="G922" s="49">
        <v>6</v>
      </c>
      <c r="H922" s="48">
        <v>0</v>
      </c>
      <c r="I922" s="48">
        <v>0</v>
      </c>
      <c r="J922" s="48">
        <v>55</v>
      </c>
      <c r="K922" s="3">
        <v>55</v>
      </c>
      <c r="L922" s="16"/>
      <c r="M922" s="57"/>
      <c r="N922" s="58"/>
      <c r="P922" s="16">
        <v>1</v>
      </c>
      <c r="Q922" s="20">
        <f t="shared" si="170"/>
        <v>55</v>
      </c>
      <c r="R922" s="14">
        <v>1500</v>
      </c>
      <c r="S922" s="19">
        <f t="shared" si="171"/>
        <v>82500</v>
      </c>
      <c r="T922" s="16"/>
      <c r="U922" s="17"/>
      <c r="V922" s="17"/>
      <c r="W922" s="4"/>
      <c r="X922" s="16"/>
      <c r="Y922" s="5"/>
      <c r="Z922" s="16"/>
      <c r="AA922" s="16"/>
      <c r="AB922" s="16"/>
      <c r="AE922" s="16"/>
      <c r="AG922" s="22">
        <f t="shared" si="172"/>
        <v>0</v>
      </c>
      <c r="AH922" s="6"/>
      <c r="AJ922" s="20">
        <f t="shared" si="168"/>
        <v>0</v>
      </c>
      <c r="AK922" s="50"/>
      <c r="AL922" s="6"/>
      <c r="AM922" s="20">
        <f t="shared" si="169"/>
        <v>0</v>
      </c>
      <c r="AN922" s="20">
        <f t="shared" si="175"/>
        <v>82500</v>
      </c>
      <c r="AP922" s="20">
        <f t="shared" si="174"/>
        <v>82500</v>
      </c>
      <c r="AQ922" s="7"/>
      <c r="AR922" s="20"/>
      <c r="AS922" s="51"/>
    </row>
    <row r="923" spans="1:45" s="21" customFormat="1" ht="30" customHeight="1" x14ac:dyDescent="0.2">
      <c r="A923" s="8">
        <v>799</v>
      </c>
      <c r="B923" s="46">
        <v>2</v>
      </c>
      <c r="C923" s="16" t="s">
        <v>52</v>
      </c>
      <c r="D923" s="48">
        <v>18470</v>
      </c>
      <c r="E923" s="47">
        <v>63</v>
      </c>
      <c r="F923" s="48">
        <v>3372</v>
      </c>
      <c r="G923" s="49">
        <v>6</v>
      </c>
      <c r="H923" s="48">
        <v>0</v>
      </c>
      <c r="I923" s="48">
        <v>0</v>
      </c>
      <c r="J923" s="48">
        <v>42</v>
      </c>
      <c r="K923" s="3"/>
      <c r="L923" s="16">
        <v>42</v>
      </c>
      <c r="M923" s="57"/>
      <c r="N923" s="58"/>
      <c r="P923" s="16">
        <v>2</v>
      </c>
      <c r="Q923" s="20">
        <f t="shared" si="170"/>
        <v>42</v>
      </c>
      <c r="R923" s="14">
        <v>1500</v>
      </c>
      <c r="S923" s="19">
        <f t="shared" si="171"/>
        <v>63000</v>
      </c>
      <c r="T923" s="16"/>
      <c r="U923" s="16" t="s">
        <v>57</v>
      </c>
      <c r="V923" s="16" t="s">
        <v>56</v>
      </c>
      <c r="W923" s="5"/>
      <c r="X923" s="16"/>
      <c r="Y923" s="5">
        <v>60</v>
      </c>
      <c r="Z923" s="16"/>
      <c r="AA923" s="16"/>
      <c r="AB923" s="16">
        <v>18</v>
      </c>
      <c r="AE923" s="16"/>
      <c r="AG923" s="22">
        <f t="shared" si="172"/>
        <v>60</v>
      </c>
      <c r="AH923" s="6"/>
      <c r="AJ923" s="20">
        <f t="shared" si="168"/>
        <v>0</v>
      </c>
      <c r="AK923" s="50">
        <v>18</v>
      </c>
      <c r="AL923" s="6"/>
      <c r="AM923" s="20">
        <f t="shared" si="169"/>
        <v>0</v>
      </c>
      <c r="AN923" s="20">
        <f t="shared" si="175"/>
        <v>63000</v>
      </c>
      <c r="AP923" s="20">
        <f t="shared" si="174"/>
        <v>63000</v>
      </c>
      <c r="AQ923" s="7"/>
      <c r="AR923" s="20"/>
      <c r="AS923" s="51"/>
    </row>
    <row r="924" spans="1:45" s="21" customFormat="1" ht="30" customHeight="1" x14ac:dyDescent="0.2">
      <c r="A924" s="8">
        <v>800</v>
      </c>
      <c r="B924" s="46">
        <v>3</v>
      </c>
      <c r="C924" s="16" t="s">
        <v>52</v>
      </c>
      <c r="D924" s="48">
        <v>18471</v>
      </c>
      <c r="E924" s="47">
        <v>64</v>
      </c>
      <c r="F924" s="48">
        <v>3373</v>
      </c>
      <c r="G924" s="49">
        <v>6</v>
      </c>
      <c r="H924" s="48">
        <v>0</v>
      </c>
      <c r="I924" s="48">
        <v>0</v>
      </c>
      <c r="J924" s="48">
        <v>43</v>
      </c>
      <c r="K924" s="3"/>
      <c r="L924" s="16">
        <v>43</v>
      </c>
      <c r="M924" s="57"/>
      <c r="N924" s="58"/>
      <c r="P924" s="16">
        <v>2</v>
      </c>
      <c r="Q924" s="20">
        <f t="shared" si="170"/>
        <v>43</v>
      </c>
      <c r="R924" s="14">
        <v>1500</v>
      </c>
      <c r="S924" s="20">
        <f t="shared" si="171"/>
        <v>64500</v>
      </c>
      <c r="T924" s="16"/>
      <c r="U924" s="17" t="s">
        <v>57</v>
      </c>
      <c r="V924" s="16" t="s">
        <v>56</v>
      </c>
      <c r="W924" s="5"/>
      <c r="X924" s="16"/>
      <c r="Y924" s="5">
        <v>50</v>
      </c>
      <c r="Z924" s="16"/>
      <c r="AA924" s="16"/>
      <c r="AB924" s="16">
        <v>19</v>
      </c>
      <c r="AE924" s="16"/>
      <c r="AG924" s="22">
        <f t="shared" si="172"/>
        <v>50</v>
      </c>
      <c r="AH924" s="6"/>
      <c r="AJ924" s="20">
        <f t="shared" si="168"/>
        <v>0</v>
      </c>
      <c r="AK924" s="50">
        <v>19</v>
      </c>
      <c r="AL924" s="6"/>
      <c r="AM924" s="20">
        <f t="shared" si="169"/>
        <v>0</v>
      </c>
      <c r="AN924" s="20">
        <f t="shared" si="175"/>
        <v>64500</v>
      </c>
      <c r="AP924" s="20">
        <f t="shared" si="174"/>
        <v>64500</v>
      </c>
      <c r="AQ924" s="7"/>
      <c r="AR924" s="20"/>
      <c r="AS924" s="51"/>
    </row>
    <row r="925" spans="1:45" s="21" customFormat="1" ht="30" customHeight="1" x14ac:dyDescent="0.2">
      <c r="A925" s="8">
        <v>801</v>
      </c>
      <c r="B925" s="46">
        <v>4</v>
      </c>
      <c r="C925" s="16" t="s">
        <v>52</v>
      </c>
      <c r="D925" s="48">
        <v>20450</v>
      </c>
      <c r="E925" s="47">
        <v>25</v>
      </c>
      <c r="F925" s="48">
        <v>4616</v>
      </c>
      <c r="G925" s="49">
        <v>6</v>
      </c>
      <c r="H925" s="48">
        <v>0</v>
      </c>
      <c r="I925" s="48">
        <v>2</v>
      </c>
      <c r="J925" s="48">
        <v>22.06</v>
      </c>
      <c r="K925" s="3">
        <v>222.06</v>
      </c>
      <c r="L925" s="16"/>
      <c r="M925" s="57"/>
      <c r="N925" s="58"/>
      <c r="P925" s="16">
        <v>1</v>
      </c>
      <c r="Q925" s="20">
        <f t="shared" si="170"/>
        <v>222.06</v>
      </c>
      <c r="R925" s="14">
        <v>160</v>
      </c>
      <c r="S925" s="19">
        <f t="shared" si="171"/>
        <v>35529.599999999999</v>
      </c>
      <c r="T925" s="16"/>
      <c r="U925" s="17"/>
      <c r="V925" s="17"/>
      <c r="W925" s="4"/>
      <c r="X925" s="16"/>
      <c r="Y925" s="5"/>
      <c r="Z925" s="16"/>
      <c r="AA925" s="16"/>
      <c r="AB925" s="16"/>
      <c r="AE925" s="16"/>
      <c r="AG925" s="22">
        <f t="shared" si="172"/>
        <v>0</v>
      </c>
      <c r="AH925" s="6"/>
      <c r="AJ925" s="20">
        <f t="shared" si="168"/>
        <v>0</v>
      </c>
      <c r="AK925" s="50"/>
      <c r="AL925" s="6"/>
      <c r="AM925" s="20">
        <f t="shared" si="169"/>
        <v>0</v>
      </c>
      <c r="AN925" s="20">
        <f t="shared" si="175"/>
        <v>35529.599999999999</v>
      </c>
      <c r="AP925" s="20">
        <f t="shared" si="174"/>
        <v>35529.599999999999</v>
      </c>
      <c r="AQ925" s="7"/>
      <c r="AR925" s="20"/>
      <c r="AS925" s="51"/>
    </row>
    <row r="926" spans="1:45" s="21" customFormat="1" ht="30" customHeight="1" x14ac:dyDescent="0.2">
      <c r="A926" s="8">
        <v>802</v>
      </c>
      <c r="B926" s="46">
        <v>5</v>
      </c>
      <c r="C926" s="16" t="s">
        <v>52</v>
      </c>
      <c r="D926" s="48">
        <v>25745</v>
      </c>
      <c r="E926" s="47">
        <v>69</v>
      </c>
      <c r="F926" s="48">
        <v>4806</v>
      </c>
      <c r="G926" s="49">
        <v>6</v>
      </c>
      <c r="H926" s="48">
        <v>0</v>
      </c>
      <c r="I926" s="48">
        <v>1</v>
      </c>
      <c r="J926" s="48">
        <v>27</v>
      </c>
      <c r="K926" s="3">
        <v>127</v>
      </c>
      <c r="L926" s="16"/>
      <c r="M926" s="57"/>
      <c r="N926" s="58"/>
      <c r="P926" s="16">
        <v>1</v>
      </c>
      <c r="Q926" s="20">
        <f t="shared" si="170"/>
        <v>127</v>
      </c>
      <c r="R926" s="14">
        <v>160</v>
      </c>
      <c r="S926" s="19">
        <f t="shared" si="171"/>
        <v>20320</v>
      </c>
      <c r="T926" s="16"/>
      <c r="U926" s="17"/>
      <c r="V926" s="17"/>
      <c r="W926" s="4"/>
      <c r="X926" s="16"/>
      <c r="Y926" s="5"/>
      <c r="Z926" s="16"/>
      <c r="AA926" s="16"/>
      <c r="AB926" s="16"/>
      <c r="AE926" s="16"/>
      <c r="AG926" s="22">
        <f t="shared" si="172"/>
        <v>0</v>
      </c>
      <c r="AH926" s="6"/>
      <c r="AJ926" s="20">
        <f t="shared" si="168"/>
        <v>0</v>
      </c>
      <c r="AK926" s="50"/>
      <c r="AL926" s="6"/>
      <c r="AM926" s="20">
        <f t="shared" si="169"/>
        <v>0</v>
      </c>
      <c r="AN926" s="20">
        <f t="shared" si="175"/>
        <v>20320</v>
      </c>
      <c r="AP926" s="20">
        <f t="shared" si="174"/>
        <v>20320</v>
      </c>
      <c r="AQ926" s="7"/>
      <c r="AR926" s="20"/>
      <c r="AS926" s="51"/>
    </row>
    <row r="927" spans="1:45" s="21" customFormat="1" ht="30" customHeight="1" x14ac:dyDescent="0.2">
      <c r="A927" s="8">
        <v>803</v>
      </c>
      <c r="B927" s="46">
        <v>1</v>
      </c>
      <c r="C927" s="16" t="s">
        <v>52</v>
      </c>
      <c r="D927" s="48">
        <v>5022</v>
      </c>
      <c r="E927" s="47">
        <v>20</v>
      </c>
      <c r="F927" s="48">
        <v>2763</v>
      </c>
      <c r="G927" s="49">
        <v>7</v>
      </c>
      <c r="H927" s="48">
        <v>6</v>
      </c>
      <c r="I927" s="48">
        <v>1</v>
      </c>
      <c r="J927" s="48">
        <v>46</v>
      </c>
      <c r="K927" s="3">
        <v>2546</v>
      </c>
      <c r="L927" s="16"/>
      <c r="M927" s="57"/>
      <c r="N927" s="58"/>
      <c r="P927" s="16">
        <v>1</v>
      </c>
      <c r="Q927" s="20">
        <f t="shared" si="170"/>
        <v>2546</v>
      </c>
      <c r="R927" s="14">
        <v>160</v>
      </c>
      <c r="S927" s="20">
        <f t="shared" si="171"/>
        <v>407360</v>
      </c>
      <c r="T927" s="16"/>
      <c r="U927" s="17"/>
      <c r="V927" s="17"/>
      <c r="W927" s="4"/>
      <c r="X927" s="16"/>
      <c r="Y927" s="5"/>
      <c r="Z927" s="16"/>
      <c r="AA927" s="16"/>
      <c r="AB927" s="16"/>
      <c r="AE927" s="16"/>
      <c r="AG927" s="22">
        <f t="shared" si="172"/>
        <v>0</v>
      </c>
      <c r="AH927" s="6"/>
      <c r="AJ927" s="20">
        <f t="shared" si="168"/>
        <v>0</v>
      </c>
      <c r="AK927" s="50"/>
      <c r="AL927" s="6"/>
      <c r="AM927" s="20">
        <f t="shared" si="169"/>
        <v>0</v>
      </c>
      <c r="AN927" s="20">
        <f t="shared" si="175"/>
        <v>407360</v>
      </c>
      <c r="AP927" s="20">
        <f t="shared" si="174"/>
        <v>407360</v>
      </c>
      <c r="AQ927" s="7"/>
      <c r="AR927" s="20"/>
      <c r="AS927" s="51">
        <v>19</v>
      </c>
    </row>
    <row r="928" spans="1:45" ht="30" customHeight="1" x14ac:dyDescent="0.2">
      <c r="A928" s="8">
        <v>804</v>
      </c>
      <c r="B928" s="13">
        <v>1</v>
      </c>
      <c r="C928" s="16" t="s">
        <v>65</v>
      </c>
      <c r="D928" s="17">
        <v>3598</v>
      </c>
      <c r="E928" s="17">
        <v>267</v>
      </c>
      <c r="H928" s="17">
        <v>0</v>
      </c>
      <c r="I928" s="17">
        <v>2</v>
      </c>
      <c r="J928" s="17">
        <v>57</v>
      </c>
      <c r="K928" s="10">
        <v>257</v>
      </c>
      <c r="P928" s="17">
        <v>1</v>
      </c>
      <c r="Q928" s="20">
        <f t="shared" si="170"/>
        <v>257</v>
      </c>
      <c r="R928" s="14">
        <v>200</v>
      </c>
      <c r="S928" s="19">
        <f t="shared" si="171"/>
        <v>51400</v>
      </c>
      <c r="AC928" s="21"/>
      <c r="AD928" s="21"/>
      <c r="AE928" s="17" t="s">
        <v>95</v>
      </c>
      <c r="AG928" s="22">
        <f t="shared" si="172"/>
        <v>0</v>
      </c>
      <c r="AJ928" s="20">
        <f t="shared" si="168"/>
        <v>0</v>
      </c>
      <c r="AM928" s="20">
        <f t="shared" si="169"/>
        <v>0</v>
      </c>
      <c r="AN928" s="20">
        <f t="shared" si="175"/>
        <v>51400</v>
      </c>
      <c r="AP928" s="20">
        <f t="shared" si="174"/>
        <v>51400</v>
      </c>
      <c r="AQ928" s="12">
        <v>1E-4</v>
      </c>
      <c r="AR928" s="20"/>
    </row>
    <row r="929" spans="1:45" s="21" customFormat="1" ht="30" customHeight="1" x14ac:dyDescent="0.2">
      <c r="A929" s="8">
        <v>805</v>
      </c>
      <c r="B929" s="46">
        <v>1</v>
      </c>
      <c r="C929" s="16" t="s">
        <v>52</v>
      </c>
      <c r="D929" s="48">
        <v>29839</v>
      </c>
      <c r="E929" s="47">
        <v>9</v>
      </c>
      <c r="F929" s="48">
        <v>5522</v>
      </c>
      <c r="G929" s="49">
        <v>5</v>
      </c>
      <c r="H929" s="48">
        <v>9</v>
      </c>
      <c r="I929" s="48">
        <v>0</v>
      </c>
      <c r="J929" s="48">
        <v>19.07</v>
      </c>
      <c r="K929" s="3">
        <f>9*400+19.09</f>
        <v>3619.09</v>
      </c>
      <c r="L929" s="16"/>
      <c r="M929" s="57"/>
      <c r="N929" s="58"/>
      <c r="P929" s="16">
        <v>1</v>
      </c>
      <c r="Q929" s="20">
        <f t="shared" si="170"/>
        <v>3619.07</v>
      </c>
      <c r="R929" s="14">
        <v>160</v>
      </c>
      <c r="S929" s="19">
        <f t="shared" si="171"/>
        <v>579051.20000000007</v>
      </c>
      <c r="T929" s="16"/>
      <c r="U929" s="17"/>
      <c r="V929" s="17"/>
      <c r="W929" s="4"/>
      <c r="X929" s="16"/>
      <c r="Y929" s="5"/>
      <c r="Z929" s="16"/>
      <c r="AA929" s="16"/>
      <c r="AB929" s="16"/>
      <c r="AE929" s="16"/>
      <c r="AG929" s="22">
        <f t="shared" si="172"/>
        <v>0</v>
      </c>
      <c r="AH929" s="6"/>
      <c r="AJ929" s="20">
        <f t="shared" si="168"/>
        <v>0</v>
      </c>
      <c r="AK929" s="50"/>
      <c r="AL929" s="6"/>
      <c r="AM929" s="20">
        <f t="shared" si="169"/>
        <v>0</v>
      </c>
      <c r="AN929" s="20">
        <f t="shared" si="175"/>
        <v>579051.20000000007</v>
      </c>
      <c r="AP929" s="20">
        <f t="shared" si="174"/>
        <v>579051.20000000007</v>
      </c>
      <c r="AQ929" s="7"/>
      <c r="AR929" s="20"/>
      <c r="AS929" s="51"/>
    </row>
    <row r="930" spans="1:45" s="21" customFormat="1" ht="30" customHeight="1" x14ac:dyDescent="0.2">
      <c r="A930" s="8">
        <v>806</v>
      </c>
      <c r="B930" s="46">
        <v>1</v>
      </c>
      <c r="C930" s="16" t="s">
        <v>52</v>
      </c>
      <c r="D930" s="48">
        <v>31217</v>
      </c>
      <c r="E930" s="47">
        <v>75</v>
      </c>
      <c r="F930" s="48">
        <v>6194</v>
      </c>
      <c r="G930" s="49">
        <v>7</v>
      </c>
      <c r="H930" s="48">
        <v>0</v>
      </c>
      <c r="I930" s="48">
        <v>0</v>
      </c>
      <c r="J930" s="48">
        <v>40</v>
      </c>
      <c r="K930" s="3">
        <v>40</v>
      </c>
      <c r="L930" s="16"/>
      <c r="M930" s="57"/>
      <c r="N930" s="58"/>
      <c r="P930" s="16">
        <v>1</v>
      </c>
      <c r="Q930" s="20">
        <f t="shared" si="170"/>
        <v>40</v>
      </c>
      <c r="R930" s="14">
        <v>4500</v>
      </c>
      <c r="S930" s="20">
        <f t="shared" si="171"/>
        <v>180000</v>
      </c>
      <c r="T930" s="16"/>
      <c r="U930" s="17"/>
      <c r="V930" s="17"/>
      <c r="W930" s="4"/>
      <c r="X930" s="16"/>
      <c r="Y930" s="5"/>
      <c r="Z930" s="16"/>
      <c r="AA930" s="16"/>
      <c r="AB930" s="16"/>
      <c r="AE930" s="16"/>
      <c r="AG930" s="22">
        <f t="shared" si="172"/>
        <v>0</v>
      </c>
      <c r="AH930" s="6"/>
      <c r="AJ930" s="20">
        <f t="shared" si="168"/>
        <v>0</v>
      </c>
      <c r="AK930" s="50"/>
      <c r="AL930" s="6"/>
      <c r="AM930" s="20">
        <f t="shared" si="169"/>
        <v>0</v>
      </c>
      <c r="AN930" s="20">
        <f t="shared" si="175"/>
        <v>180000</v>
      </c>
      <c r="AP930" s="20">
        <f t="shared" si="174"/>
        <v>180000</v>
      </c>
      <c r="AQ930" s="7">
        <v>3.0000000000000001E-3</v>
      </c>
      <c r="AR930" s="20"/>
      <c r="AS930" s="51" t="s">
        <v>135</v>
      </c>
    </row>
    <row r="931" spans="1:45" ht="30" customHeight="1" x14ac:dyDescent="0.2">
      <c r="A931" s="8">
        <v>807</v>
      </c>
      <c r="B931" s="13">
        <v>1</v>
      </c>
      <c r="C931" s="16" t="s">
        <v>65</v>
      </c>
      <c r="D931" s="17">
        <v>976</v>
      </c>
      <c r="E931" s="17">
        <v>31</v>
      </c>
      <c r="H931" s="17">
        <v>10</v>
      </c>
      <c r="I931" s="17">
        <v>1</v>
      </c>
      <c r="J931" s="17">
        <v>50</v>
      </c>
      <c r="K931" s="10">
        <v>4150</v>
      </c>
      <c r="P931" s="17">
        <v>1</v>
      </c>
      <c r="Q931" s="20">
        <f t="shared" si="170"/>
        <v>4150</v>
      </c>
      <c r="R931" s="14">
        <v>1000</v>
      </c>
      <c r="S931" s="19">
        <f t="shared" si="171"/>
        <v>4150000</v>
      </c>
      <c r="AC931" s="21"/>
      <c r="AD931" s="21"/>
      <c r="AG931" s="22">
        <f t="shared" si="172"/>
        <v>0</v>
      </c>
      <c r="AJ931" s="20">
        <f t="shared" si="168"/>
        <v>0</v>
      </c>
      <c r="AM931" s="20">
        <f t="shared" si="169"/>
        <v>0</v>
      </c>
      <c r="AN931" s="20">
        <f t="shared" si="175"/>
        <v>4150000</v>
      </c>
      <c r="AP931" s="20">
        <f t="shared" si="174"/>
        <v>4150000</v>
      </c>
      <c r="AQ931" s="12">
        <v>1E-4</v>
      </c>
      <c r="AR931" s="20"/>
      <c r="AS931" s="26" t="s">
        <v>136</v>
      </c>
    </row>
    <row r="932" spans="1:45" s="21" customFormat="1" ht="30" customHeight="1" x14ac:dyDescent="0.2">
      <c r="A932" s="8">
        <v>808</v>
      </c>
      <c r="B932" s="46">
        <v>1</v>
      </c>
      <c r="C932" s="16" t="s">
        <v>52</v>
      </c>
      <c r="D932" s="48">
        <v>37619</v>
      </c>
      <c r="E932" s="47">
        <v>63</v>
      </c>
      <c r="F932" s="48">
        <v>7626</v>
      </c>
      <c r="G932" s="49">
        <v>4</v>
      </c>
      <c r="H932" s="48">
        <v>0</v>
      </c>
      <c r="I932" s="48">
        <v>0</v>
      </c>
      <c r="J932" s="48">
        <v>37</v>
      </c>
      <c r="K932" s="3"/>
      <c r="L932" s="16"/>
      <c r="M932" s="57"/>
      <c r="N932" s="58">
        <v>37</v>
      </c>
      <c r="P932" s="16">
        <v>4</v>
      </c>
      <c r="Q932" s="20">
        <f t="shared" si="170"/>
        <v>37</v>
      </c>
      <c r="R932" s="14">
        <v>2000</v>
      </c>
      <c r="S932" s="19">
        <f t="shared" si="171"/>
        <v>74000</v>
      </c>
      <c r="T932" s="16"/>
      <c r="U932" s="16"/>
      <c r="V932" s="16"/>
      <c r="W932" s="5"/>
      <c r="X932" s="16"/>
      <c r="Y932" s="5"/>
      <c r="Z932" s="16"/>
      <c r="AA932" s="16"/>
      <c r="AB932" s="16"/>
      <c r="AC932" s="14"/>
      <c r="AD932" s="14"/>
      <c r="AE932" s="16"/>
      <c r="AG932" s="22">
        <f t="shared" si="172"/>
        <v>0</v>
      </c>
      <c r="AH932" s="6"/>
      <c r="AJ932" s="20">
        <f t="shared" si="168"/>
        <v>0</v>
      </c>
      <c r="AK932" s="50"/>
      <c r="AL932" s="6"/>
      <c r="AM932" s="20">
        <f t="shared" si="169"/>
        <v>0</v>
      </c>
      <c r="AN932" s="20">
        <f t="shared" si="175"/>
        <v>74000</v>
      </c>
      <c r="AP932" s="20">
        <f t="shared" si="174"/>
        <v>74000</v>
      </c>
      <c r="AQ932" s="7">
        <v>3.0000000000000001E-3</v>
      </c>
      <c r="AR932" s="20"/>
      <c r="AS932" s="51"/>
    </row>
    <row r="933" spans="1:45" s="21" customFormat="1" ht="30" customHeight="1" x14ac:dyDescent="0.2">
      <c r="A933" s="8">
        <v>809</v>
      </c>
      <c r="B933" s="46">
        <v>1</v>
      </c>
      <c r="C933" s="16" t="s">
        <v>52</v>
      </c>
      <c r="D933" s="48">
        <v>5538</v>
      </c>
      <c r="E933" s="47">
        <v>131</v>
      </c>
      <c r="F933" s="48">
        <v>3027</v>
      </c>
      <c r="G933" s="49">
        <v>3</v>
      </c>
      <c r="H933" s="48">
        <v>0</v>
      </c>
      <c r="I933" s="48">
        <v>1</v>
      </c>
      <c r="J933" s="48">
        <v>56</v>
      </c>
      <c r="K933" s="3"/>
      <c r="L933" s="16">
        <v>156</v>
      </c>
      <c r="M933" s="57"/>
      <c r="N933" s="58"/>
      <c r="P933" s="16">
        <v>2</v>
      </c>
      <c r="Q933" s="20">
        <f t="shared" si="170"/>
        <v>156</v>
      </c>
      <c r="R933" s="14">
        <v>2000</v>
      </c>
      <c r="S933" s="20">
        <f t="shared" si="171"/>
        <v>312000</v>
      </c>
      <c r="T933" s="16"/>
      <c r="U933" s="17" t="s">
        <v>57</v>
      </c>
      <c r="V933" s="16" t="s">
        <v>56</v>
      </c>
      <c r="W933" s="5"/>
      <c r="X933" s="16"/>
      <c r="Y933" s="5">
        <v>60</v>
      </c>
      <c r="Z933" s="16"/>
      <c r="AA933" s="16"/>
      <c r="AB933" s="16">
        <v>5</v>
      </c>
      <c r="AE933" s="16"/>
      <c r="AG933" s="22">
        <f t="shared" si="172"/>
        <v>60</v>
      </c>
      <c r="AH933" s="6"/>
      <c r="AJ933" s="20">
        <f t="shared" si="168"/>
        <v>0</v>
      </c>
      <c r="AK933" s="50">
        <v>5</v>
      </c>
      <c r="AL933" s="6"/>
      <c r="AM933" s="20">
        <f t="shared" si="169"/>
        <v>0</v>
      </c>
      <c r="AN933" s="20">
        <f t="shared" si="175"/>
        <v>312000</v>
      </c>
      <c r="AP933" s="20">
        <f t="shared" si="174"/>
        <v>312000</v>
      </c>
      <c r="AQ933" s="7"/>
      <c r="AR933" s="20"/>
      <c r="AS933" s="51"/>
    </row>
    <row r="934" spans="1:45" s="21" customFormat="1" ht="30" customHeight="1" x14ac:dyDescent="0.2">
      <c r="A934" s="8">
        <v>810</v>
      </c>
      <c r="B934" s="46">
        <v>1</v>
      </c>
      <c r="C934" s="16" t="s">
        <v>52</v>
      </c>
      <c r="D934" s="48">
        <v>31928</v>
      </c>
      <c r="E934" s="47">
        <v>181</v>
      </c>
      <c r="F934" s="48">
        <v>6155</v>
      </c>
      <c r="G934" s="49">
        <v>2</v>
      </c>
      <c r="H934" s="48">
        <v>0</v>
      </c>
      <c r="I934" s="48">
        <v>0</v>
      </c>
      <c r="J934" s="48">
        <v>45.08</v>
      </c>
      <c r="K934" s="3"/>
      <c r="L934" s="16">
        <v>45</v>
      </c>
      <c r="M934" s="57"/>
      <c r="N934" s="58"/>
      <c r="P934" s="16">
        <v>2</v>
      </c>
      <c r="Q934" s="20">
        <f t="shared" si="170"/>
        <v>45.08</v>
      </c>
      <c r="R934" s="14">
        <v>4500</v>
      </c>
      <c r="S934" s="19">
        <f t="shared" si="171"/>
        <v>202860</v>
      </c>
      <c r="T934" s="16"/>
      <c r="U934" s="17"/>
      <c r="V934" s="17"/>
      <c r="W934" s="4"/>
      <c r="X934" s="16"/>
      <c r="Y934" s="5"/>
      <c r="Z934" s="16">
        <v>95</v>
      </c>
      <c r="AA934" s="16"/>
      <c r="AB934" s="16">
        <v>7</v>
      </c>
      <c r="AC934" s="14"/>
      <c r="AD934" s="14"/>
      <c r="AE934" s="16" t="s">
        <v>137</v>
      </c>
      <c r="AG934" s="22">
        <f t="shared" si="172"/>
        <v>0</v>
      </c>
      <c r="AH934" s="6"/>
      <c r="AJ934" s="20">
        <f t="shared" si="168"/>
        <v>0</v>
      </c>
      <c r="AK934" s="50"/>
      <c r="AL934" s="6"/>
      <c r="AM934" s="20">
        <f t="shared" si="169"/>
        <v>0</v>
      </c>
      <c r="AN934" s="20">
        <f t="shared" si="175"/>
        <v>202860</v>
      </c>
      <c r="AP934" s="20">
        <f t="shared" si="174"/>
        <v>202860</v>
      </c>
      <c r="AQ934" s="7"/>
      <c r="AR934" s="20"/>
      <c r="AS934" s="51"/>
    </row>
    <row r="935" spans="1:45" s="21" customFormat="1" ht="30" customHeight="1" x14ac:dyDescent="0.2">
      <c r="A935" s="8">
        <v>811</v>
      </c>
      <c r="B935" s="46">
        <v>1</v>
      </c>
      <c r="C935" s="16" t="s">
        <v>52</v>
      </c>
      <c r="D935" s="48">
        <v>28249</v>
      </c>
      <c r="E935" s="47">
        <v>546</v>
      </c>
      <c r="F935" s="48">
        <v>6832</v>
      </c>
      <c r="G935" s="49">
        <v>2</v>
      </c>
      <c r="H935" s="48">
        <v>0</v>
      </c>
      <c r="I935" s="48">
        <v>0</v>
      </c>
      <c r="J935" s="48">
        <v>85.01</v>
      </c>
      <c r="K935" s="3"/>
      <c r="L935" s="16"/>
      <c r="M935" s="57"/>
      <c r="N935" s="58"/>
      <c r="O935" s="21">
        <v>85.01</v>
      </c>
      <c r="P935" s="16">
        <v>5</v>
      </c>
      <c r="Q935" s="20">
        <f t="shared" si="170"/>
        <v>85.01</v>
      </c>
      <c r="R935" s="14">
        <v>4500</v>
      </c>
      <c r="S935" s="19">
        <f t="shared" si="171"/>
        <v>382545</v>
      </c>
      <c r="T935" s="16"/>
      <c r="U935" s="17" t="s">
        <v>63</v>
      </c>
      <c r="V935" s="17" t="s">
        <v>56</v>
      </c>
      <c r="W935" s="4">
        <v>240</v>
      </c>
      <c r="X935" s="16"/>
      <c r="Y935" s="5">
        <v>220</v>
      </c>
      <c r="Z935" s="16">
        <v>20</v>
      </c>
      <c r="AA935" s="16"/>
      <c r="AB935" s="16">
        <v>7</v>
      </c>
      <c r="AC935" s="14"/>
      <c r="AD935" s="14"/>
      <c r="AE935" s="16" t="s">
        <v>138</v>
      </c>
      <c r="AF935" s="21">
        <v>2</v>
      </c>
      <c r="AG935" s="22">
        <v>240</v>
      </c>
      <c r="AH935" s="6">
        <f>0.916666666666667%*100</f>
        <v>0.91666666666666696</v>
      </c>
      <c r="AI935" s="21">
        <v>8100</v>
      </c>
      <c r="AJ935" s="20">
        <f t="shared" si="168"/>
        <v>1782000.0000000005</v>
      </c>
      <c r="AK935" s="50">
        <v>7</v>
      </c>
      <c r="AL935" s="6">
        <v>7.0000000000000007E-2</v>
      </c>
      <c r="AM935" s="20">
        <f t="shared" si="169"/>
        <v>1657260.0000000005</v>
      </c>
      <c r="AN935" s="20">
        <f t="shared" si="175"/>
        <v>2039805.0000000005</v>
      </c>
      <c r="AP935" s="20">
        <f t="shared" si="174"/>
        <v>2039805.0000000005</v>
      </c>
      <c r="AQ935" s="7"/>
      <c r="AR935" s="20">
        <v>450</v>
      </c>
      <c r="AS935" s="51">
        <v>450</v>
      </c>
    </row>
    <row r="936" spans="1:45" s="21" customFormat="1" ht="30" customHeight="1" x14ac:dyDescent="0.2">
      <c r="A936" s="8"/>
      <c r="B936" s="46"/>
      <c r="C936" s="16"/>
      <c r="D936" s="48"/>
      <c r="E936" s="47"/>
      <c r="F936" s="48"/>
      <c r="G936" s="49"/>
      <c r="H936" s="48"/>
      <c r="I936" s="48"/>
      <c r="J936" s="48"/>
      <c r="K936" s="3"/>
      <c r="L936" s="16"/>
      <c r="M936" s="57"/>
      <c r="N936" s="58"/>
      <c r="P936" s="16"/>
      <c r="Q936" s="20"/>
      <c r="R936" s="14" t="e">
        <v>#N/A</v>
      </c>
      <c r="S936" s="19"/>
      <c r="T936" s="16"/>
      <c r="U936" s="17"/>
      <c r="V936" s="17"/>
      <c r="W936" s="4"/>
      <c r="X936" s="16"/>
      <c r="Y936" s="5"/>
      <c r="Z936" s="16"/>
      <c r="AA936" s="16"/>
      <c r="AB936" s="16"/>
      <c r="AC936" s="14"/>
      <c r="AD936" s="14"/>
      <c r="AE936" s="16"/>
      <c r="AF936" s="21">
        <v>3</v>
      </c>
      <c r="AG936" s="22">
        <v>240</v>
      </c>
      <c r="AH936" s="6">
        <f>0.0833333333333333*100%</f>
        <v>8.3333333333333301E-2</v>
      </c>
      <c r="AI936" s="21">
        <v>8100</v>
      </c>
      <c r="AJ936" s="20">
        <f t="shared" si="168"/>
        <v>161999.99999999994</v>
      </c>
      <c r="AK936" s="50">
        <v>7</v>
      </c>
      <c r="AL936" s="6">
        <v>7.0000000000000007E-2</v>
      </c>
      <c r="AM936" s="20">
        <f t="shared" si="169"/>
        <v>150659.99999999994</v>
      </c>
      <c r="AN936" s="20">
        <f>+(S935*0.08)+AM936</f>
        <v>181263.59999999995</v>
      </c>
      <c r="AP936" s="20">
        <f t="shared" si="174"/>
        <v>181263.59999999995</v>
      </c>
      <c r="AQ936" s="7">
        <v>3.0000000000000001E-3</v>
      </c>
      <c r="AR936" s="20"/>
      <c r="AS936" s="51"/>
    </row>
    <row r="937" spans="1:45" s="21" customFormat="1" ht="30" customHeight="1" x14ac:dyDescent="0.2">
      <c r="A937" s="8">
        <v>812</v>
      </c>
      <c r="B937" s="46">
        <v>1</v>
      </c>
      <c r="C937" s="16" t="s">
        <v>52</v>
      </c>
      <c r="D937" s="48">
        <v>20522</v>
      </c>
      <c r="E937" s="47">
        <v>28</v>
      </c>
      <c r="F937" s="48">
        <v>4559</v>
      </c>
      <c r="G937" s="49">
        <v>6</v>
      </c>
      <c r="H937" s="48">
        <v>0</v>
      </c>
      <c r="I937" s="48">
        <v>2</v>
      </c>
      <c r="J937" s="48">
        <v>7</v>
      </c>
      <c r="K937" s="3"/>
      <c r="L937" s="16">
        <v>207</v>
      </c>
      <c r="M937" s="57"/>
      <c r="N937" s="58"/>
      <c r="P937" s="16">
        <v>2</v>
      </c>
      <c r="Q937" s="20">
        <f t="shared" ref="Q937:Q963" si="176">+(H937*400)+(I937*100)+J937</f>
        <v>207</v>
      </c>
      <c r="R937" s="14">
        <v>1500</v>
      </c>
      <c r="S937" s="20">
        <f t="shared" ref="S937:S965" si="177">+Q937*R937</f>
        <v>310500</v>
      </c>
      <c r="T937" s="16"/>
      <c r="U937" s="17"/>
      <c r="V937" s="17"/>
      <c r="W937" s="4"/>
      <c r="X937" s="16"/>
      <c r="Y937" s="5"/>
      <c r="Z937" s="16"/>
      <c r="AA937" s="16"/>
      <c r="AB937" s="16"/>
      <c r="AC937" s="14"/>
      <c r="AD937" s="14"/>
      <c r="AE937" s="16"/>
      <c r="AG937" s="22">
        <f t="shared" ref="AG937:AG962" si="178">Y937</f>
        <v>0</v>
      </c>
      <c r="AH937" s="6"/>
      <c r="AJ937" s="20">
        <f t="shared" si="168"/>
        <v>0</v>
      </c>
      <c r="AK937" s="50"/>
      <c r="AL937" s="6"/>
      <c r="AM937" s="20">
        <f t="shared" si="169"/>
        <v>0</v>
      </c>
      <c r="AN937" s="20">
        <f t="shared" ref="AN937:AN962" si="179">+S937+AM937</f>
        <v>310500</v>
      </c>
      <c r="AP937" s="20">
        <f t="shared" si="174"/>
        <v>310500</v>
      </c>
      <c r="AQ937" s="7"/>
      <c r="AR937" s="20"/>
      <c r="AS937" s="51"/>
    </row>
    <row r="938" spans="1:45" s="21" customFormat="1" ht="30" customHeight="1" x14ac:dyDescent="0.2">
      <c r="A938" s="8">
        <v>813</v>
      </c>
      <c r="B938" s="46">
        <v>1</v>
      </c>
      <c r="C938" s="16" t="s">
        <v>52</v>
      </c>
      <c r="D938" s="48">
        <v>3620</v>
      </c>
      <c r="E938" s="47">
        <v>93</v>
      </c>
      <c r="F938" s="48">
        <v>2348</v>
      </c>
      <c r="G938" s="49">
        <v>2</v>
      </c>
      <c r="H938" s="48">
        <v>0</v>
      </c>
      <c r="I938" s="48">
        <v>0</v>
      </c>
      <c r="J938" s="48">
        <v>90</v>
      </c>
      <c r="K938" s="3"/>
      <c r="L938" s="16">
        <v>90</v>
      </c>
      <c r="M938" s="57"/>
      <c r="N938" s="58"/>
      <c r="P938" s="16">
        <v>2</v>
      </c>
      <c r="Q938" s="20">
        <f t="shared" si="176"/>
        <v>90</v>
      </c>
      <c r="R938" s="14">
        <v>250</v>
      </c>
      <c r="S938" s="19">
        <f t="shared" si="177"/>
        <v>22500</v>
      </c>
      <c r="T938" s="16"/>
      <c r="U938" s="17" t="s">
        <v>57</v>
      </c>
      <c r="V938" s="17" t="s">
        <v>56</v>
      </c>
      <c r="W938" s="4"/>
      <c r="X938" s="16"/>
      <c r="Y938" s="5">
        <v>112</v>
      </c>
      <c r="Z938" s="16"/>
      <c r="AA938" s="16"/>
      <c r="AB938" s="16"/>
      <c r="AC938" s="14"/>
      <c r="AD938" s="14"/>
      <c r="AE938" s="16"/>
      <c r="AG938" s="22">
        <f t="shared" si="178"/>
        <v>112</v>
      </c>
      <c r="AH938" s="6"/>
      <c r="AJ938" s="20">
        <f t="shared" si="168"/>
        <v>0</v>
      </c>
      <c r="AK938" s="50"/>
      <c r="AL938" s="6"/>
      <c r="AM938" s="20">
        <f t="shared" si="169"/>
        <v>0</v>
      </c>
      <c r="AN938" s="20">
        <f t="shared" si="179"/>
        <v>22500</v>
      </c>
      <c r="AP938" s="20">
        <f t="shared" si="174"/>
        <v>22500</v>
      </c>
      <c r="AQ938" s="7"/>
      <c r="AR938" s="20"/>
      <c r="AS938" s="51"/>
    </row>
    <row r="939" spans="1:45" s="21" customFormat="1" ht="30" customHeight="1" x14ac:dyDescent="0.2">
      <c r="A939" s="8">
        <v>814</v>
      </c>
      <c r="B939" s="46"/>
      <c r="C939" s="16" t="s">
        <v>52</v>
      </c>
      <c r="D939" s="48">
        <v>3785</v>
      </c>
      <c r="E939" s="47">
        <v>89</v>
      </c>
      <c r="F939" s="48">
        <v>2340</v>
      </c>
      <c r="G939" s="49">
        <v>2</v>
      </c>
      <c r="H939" s="48">
        <v>0</v>
      </c>
      <c r="I939" s="48">
        <v>0</v>
      </c>
      <c r="J939" s="48">
        <v>20</v>
      </c>
      <c r="K939" s="3"/>
      <c r="L939" s="16">
        <v>20</v>
      </c>
      <c r="M939" s="57"/>
      <c r="N939" s="58"/>
      <c r="P939" s="16">
        <v>2</v>
      </c>
      <c r="Q939" s="20">
        <f t="shared" si="176"/>
        <v>20</v>
      </c>
      <c r="R939" s="14">
        <v>200</v>
      </c>
      <c r="S939" s="19">
        <f t="shared" si="177"/>
        <v>4000</v>
      </c>
      <c r="T939" s="16"/>
      <c r="U939" s="17"/>
      <c r="V939" s="17"/>
      <c r="W939" s="4"/>
      <c r="X939" s="16"/>
      <c r="Y939" s="5"/>
      <c r="Z939" s="16"/>
      <c r="AA939" s="16"/>
      <c r="AB939" s="16"/>
      <c r="AC939" s="14"/>
      <c r="AD939" s="14"/>
      <c r="AE939" s="16"/>
      <c r="AG939" s="22">
        <f t="shared" si="178"/>
        <v>0</v>
      </c>
      <c r="AH939" s="6"/>
      <c r="AJ939" s="20">
        <f t="shared" si="168"/>
        <v>0</v>
      </c>
      <c r="AK939" s="50"/>
      <c r="AL939" s="6"/>
      <c r="AM939" s="20">
        <f t="shared" si="169"/>
        <v>0</v>
      </c>
      <c r="AN939" s="20">
        <f t="shared" si="179"/>
        <v>4000</v>
      </c>
      <c r="AP939" s="20">
        <f t="shared" si="174"/>
        <v>4000</v>
      </c>
      <c r="AQ939" s="7"/>
      <c r="AR939" s="20"/>
      <c r="AS939" s="51"/>
    </row>
    <row r="940" spans="1:45" s="21" customFormat="1" ht="30" customHeight="1" x14ac:dyDescent="0.2">
      <c r="A940" s="8">
        <v>815</v>
      </c>
      <c r="B940" s="46"/>
      <c r="C940" s="16" t="s">
        <v>52</v>
      </c>
      <c r="D940" s="48">
        <v>3792</v>
      </c>
      <c r="E940" s="47">
        <v>90</v>
      </c>
      <c r="F940" s="48">
        <v>2347</v>
      </c>
      <c r="G940" s="49">
        <v>2</v>
      </c>
      <c r="H940" s="48">
        <v>0</v>
      </c>
      <c r="I940" s="48">
        <v>2</v>
      </c>
      <c r="J940" s="48">
        <v>38</v>
      </c>
      <c r="K940" s="3"/>
      <c r="L940" s="16">
        <v>238</v>
      </c>
      <c r="M940" s="57"/>
      <c r="N940" s="58"/>
      <c r="P940" s="16">
        <v>2</v>
      </c>
      <c r="Q940" s="20">
        <f t="shared" si="176"/>
        <v>238</v>
      </c>
      <c r="R940" s="14">
        <v>250</v>
      </c>
      <c r="S940" s="20">
        <f t="shared" si="177"/>
        <v>59500</v>
      </c>
      <c r="T940" s="16"/>
      <c r="U940" s="16" t="s">
        <v>57</v>
      </c>
      <c r="V940" s="16" t="s">
        <v>56</v>
      </c>
      <c r="W940" s="5"/>
      <c r="X940" s="16"/>
      <c r="Y940" s="5">
        <v>216</v>
      </c>
      <c r="Z940" s="16"/>
      <c r="AA940" s="16"/>
      <c r="AB940" s="16"/>
      <c r="AE940" s="16"/>
      <c r="AG940" s="22">
        <f t="shared" si="178"/>
        <v>216</v>
      </c>
      <c r="AH940" s="6"/>
      <c r="AJ940" s="20">
        <f t="shared" si="168"/>
        <v>0</v>
      </c>
      <c r="AK940" s="50"/>
      <c r="AL940" s="6"/>
      <c r="AM940" s="20">
        <f t="shared" si="169"/>
        <v>0</v>
      </c>
      <c r="AN940" s="20">
        <f t="shared" si="179"/>
        <v>59500</v>
      </c>
      <c r="AP940" s="20">
        <f t="shared" si="174"/>
        <v>59500</v>
      </c>
      <c r="AQ940" s="7"/>
      <c r="AR940" s="20"/>
      <c r="AS940" s="51"/>
    </row>
    <row r="941" spans="1:45" s="21" customFormat="1" ht="30" customHeight="1" x14ac:dyDescent="0.2">
      <c r="A941" s="8">
        <v>816</v>
      </c>
      <c r="B941" s="46"/>
      <c r="C941" s="16" t="s">
        <v>52</v>
      </c>
      <c r="D941" s="48">
        <v>12325</v>
      </c>
      <c r="E941" s="47">
        <v>215</v>
      </c>
      <c r="F941" s="48">
        <v>3231</v>
      </c>
      <c r="G941" s="49">
        <v>2</v>
      </c>
      <c r="H941" s="48">
        <v>0</v>
      </c>
      <c r="I941" s="48">
        <v>1</v>
      </c>
      <c r="J941" s="48">
        <v>82.01</v>
      </c>
      <c r="K941" s="3">
        <v>182.01</v>
      </c>
      <c r="L941" s="16"/>
      <c r="M941" s="57"/>
      <c r="P941" s="16">
        <v>1</v>
      </c>
      <c r="Q941" s="20">
        <f t="shared" si="176"/>
        <v>182.01</v>
      </c>
      <c r="R941" s="14">
        <v>160</v>
      </c>
      <c r="S941" s="19">
        <f t="shared" si="177"/>
        <v>29121.599999999999</v>
      </c>
      <c r="T941" s="16"/>
      <c r="U941" s="17"/>
      <c r="V941" s="16"/>
      <c r="W941" s="5"/>
      <c r="X941" s="16"/>
      <c r="Y941" s="5"/>
      <c r="Z941" s="16"/>
      <c r="AA941" s="16"/>
      <c r="AB941" s="16"/>
      <c r="AE941" s="16"/>
      <c r="AG941" s="22">
        <f t="shared" si="178"/>
        <v>0</v>
      </c>
      <c r="AH941" s="6"/>
      <c r="AJ941" s="20">
        <f t="shared" si="168"/>
        <v>0</v>
      </c>
      <c r="AK941" s="50"/>
      <c r="AL941" s="6"/>
      <c r="AM941" s="20">
        <f t="shared" si="169"/>
        <v>0</v>
      </c>
      <c r="AN941" s="20">
        <f t="shared" si="179"/>
        <v>29121.599999999999</v>
      </c>
      <c r="AP941" s="20">
        <f t="shared" si="174"/>
        <v>29121.599999999999</v>
      </c>
      <c r="AQ941" s="7"/>
      <c r="AR941" s="20"/>
      <c r="AS941" s="51"/>
    </row>
    <row r="942" spans="1:45" s="21" customFormat="1" ht="30" customHeight="1" x14ac:dyDescent="0.2">
      <c r="A942" s="8">
        <v>817</v>
      </c>
      <c r="B942" s="46"/>
      <c r="C942" s="16" t="s">
        <v>52</v>
      </c>
      <c r="D942" s="48">
        <v>32513</v>
      </c>
      <c r="E942" s="47">
        <v>166</v>
      </c>
      <c r="F942" s="48">
        <v>6408</v>
      </c>
      <c r="G942" s="49">
        <v>2</v>
      </c>
      <c r="H942" s="48">
        <v>0</v>
      </c>
      <c r="I942" s="48">
        <v>0</v>
      </c>
      <c r="J942" s="48">
        <v>20</v>
      </c>
      <c r="K942" s="3"/>
      <c r="L942" s="16">
        <v>20</v>
      </c>
      <c r="M942" s="57"/>
      <c r="P942" s="16">
        <v>2</v>
      </c>
      <c r="Q942" s="20">
        <f t="shared" si="176"/>
        <v>20</v>
      </c>
      <c r="R942" s="14">
        <v>250</v>
      </c>
      <c r="S942" s="19">
        <f t="shared" si="177"/>
        <v>5000</v>
      </c>
      <c r="T942" s="16"/>
      <c r="U942" s="17"/>
      <c r="V942" s="17"/>
      <c r="W942" s="4"/>
      <c r="X942" s="16"/>
      <c r="Y942" s="5"/>
      <c r="Z942" s="16"/>
      <c r="AA942" s="16"/>
      <c r="AB942" s="16"/>
      <c r="AE942" s="16"/>
      <c r="AG942" s="22">
        <f t="shared" si="178"/>
        <v>0</v>
      </c>
      <c r="AH942" s="6"/>
      <c r="AJ942" s="20">
        <f t="shared" si="168"/>
        <v>0</v>
      </c>
      <c r="AK942" s="50"/>
      <c r="AL942" s="6"/>
      <c r="AM942" s="20">
        <f t="shared" si="169"/>
        <v>0</v>
      </c>
      <c r="AN942" s="20">
        <f t="shared" si="179"/>
        <v>5000</v>
      </c>
      <c r="AP942" s="20">
        <f t="shared" si="174"/>
        <v>5000</v>
      </c>
      <c r="AQ942" s="7"/>
      <c r="AR942" s="20"/>
      <c r="AS942" s="51"/>
    </row>
    <row r="943" spans="1:45" s="21" customFormat="1" ht="30" customHeight="1" x14ac:dyDescent="0.2">
      <c r="A943" s="8">
        <v>818</v>
      </c>
      <c r="B943" s="46"/>
      <c r="C943" s="16" t="s">
        <v>52</v>
      </c>
      <c r="D943" s="48">
        <v>32514</v>
      </c>
      <c r="E943" s="47">
        <v>167</v>
      </c>
      <c r="F943" s="48">
        <v>6409</v>
      </c>
      <c r="G943" s="49">
        <v>2</v>
      </c>
      <c r="H943" s="48">
        <v>0</v>
      </c>
      <c r="I943" s="48">
        <v>0</v>
      </c>
      <c r="J943" s="48">
        <v>20</v>
      </c>
      <c r="K943" s="3"/>
      <c r="L943" s="16">
        <v>20</v>
      </c>
      <c r="M943" s="57"/>
      <c r="P943" s="16">
        <v>2</v>
      </c>
      <c r="Q943" s="20">
        <f t="shared" si="176"/>
        <v>20</v>
      </c>
      <c r="R943" s="14">
        <v>250</v>
      </c>
      <c r="S943" s="20">
        <f t="shared" si="177"/>
        <v>5000</v>
      </c>
      <c r="T943" s="16"/>
      <c r="U943" s="17"/>
      <c r="V943" s="17"/>
      <c r="W943" s="4"/>
      <c r="X943" s="16"/>
      <c r="Y943" s="5"/>
      <c r="Z943" s="16"/>
      <c r="AA943" s="16"/>
      <c r="AB943" s="16"/>
      <c r="AE943" s="16"/>
      <c r="AG943" s="22">
        <f t="shared" si="178"/>
        <v>0</v>
      </c>
      <c r="AH943" s="6"/>
      <c r="AJ943" s="20">
        <f t="shared" si="168"/>
        <v>0</v>
      </c>
      <c r="AK943" s="50"/>
      <c r="AL943" s="6"/>
      <c r="AM943" s="20">
        <f t="shared" si="169"/>
        <v>0</v>
      </c>
      <c r="AN943" s="20">
        <f t="shared" si="179"/>
        <v>5000</v>
      </c>
      <c r="AP943" s="20">
        <f t="shared" si="174"/>
        <v>5000</v>
      </c>
      <c r="AQ943" s="7"/>
      <c r="AR943" s="20"/>
      <c r="AS943" s="51"/>
    </row>
    <row r="944" spans="1:45" s="21" customFormat="1" ht="30" customHeight="1" x14ac:dyDescent="0.2">
      <c r="A944" s="8">
        <v>819</v>
      </c>
      <c r="B944" s="46"/>
      <c r="C944" s="16" t="s">
        <v>52</v>
      </c>
      <c r="D944" s="48">
        <v>32515</v>
      </c>
      <c r="E944" s="47">
        <v>168</v>
      </c>
      <c r="F944" s="48">
        <v>6410</v>
      </c>
      <c r="G944" s="49">
        <v>2</v>
      </c>
      <c r="H944" s="48">
        <v>0</v>
      </c>
      <c r="I944" s="48">
        <v>0</v>
      </c>
      <c r="J944" s="48">
        <v>18</v>
      </c>
      <c r="K944" s="3"/>
      <c r="L944" s="16">
        <v>18</v>
      </c>
      <c r="M944" s="57"/>
      <c r="P944" s="16">
        <v>2</v>
      </c>
      <c r="Q944" s="20">
        <f t="shared" si="176"/>
        <v>18</v>
      </c>
      <c r="R944" s="14">
        <v>250</v>
      </c>
      <c r="S944" s="19">
        <f t="shared" si="177"/>
        <v>4500</v>
      </c>
      <c r="T944" s="16"/>
      <c r="U944" s="17"/>
      <c r="V944" s="17"/>
      <c r="W944" s="4"/>
      <c r="X944" s="16"/>
      <c r="Y944" s="5"/>
      <c r="Z944" s="16"/>
      <c r="AA944" s="16"/>
      <c r="AB944" s="16"/>
      <c r="AE944" s="16"/>
      <c r="AG944" s="22">
        <f t="shared" si="178"/>
        <v>0</v>
      </c>
      <c r="AH944" s="6"/>
      <c r="AJ944" s="20">
        <f t="shared" si="168"/>
        <v>0</v>
      </c>
      <c r="AK944" s="50"/>
      <c r="AL944" s="6"/>
      <c r="AM944" s="20">
        <f t="shared" si="169"/>
        <v>0</v>
      </c>
      <c r="AN944" s="20">
        <f t="shared" si="179"/>
        <v>4500</v>
      </c>
      <c r="AP944" s="20">
        <f t="shared" si="174"/>
        <v>4500</v>
      </c>
      <c r="AQ944" s="7"/>
      <c r="AR944" s="20"/>
      <c r="AS944" s="51"/>
    </row>
    <row r="945" spans="1:45" s="21" customFormat="1" ht="30" customHeight="1" x14ac:dyDescent="0.2">
      <c r="A945" s="8">
        <v>820</v>
      </c>
      <c r="B945" s="46">
        <v>1</v>
      </c>
      <c r="C945" s="16" t="s">
        <v>52</v>
      </c>
      <c r="D945" s="48">
        <v>18230</v>
      </c>
      <c r="E945" s="47">
        <v>30</v>
      </c>
      <c r="F945" s="48">
        <v>4152</v>
      </c>
      <c r="G945" s="49">
        <v>5</v>
      </c>
      <c r="H945" s="48">
        <v>0</v>
      </c>
      <c r="I945" s="48">
        <v>0</v>
      </c>
      <c r="J945" s="48">
        <v>97</v>
      </c>
      <c r="K945" s="3"/>
      <c r="L945" s="16"/>
      <c r="M945" s="57"/>
      <c r="N945" s="58">
        <v>97</v>
      </c>
      <c r="P945" s="16">
        <v>4</v>
      </c>
      <c r="Q945" s="20">
        <f t="shared" si="176"/>
        <v>97</v>
      </c>
      <c r="R945" s="14">
        <v>1500</v>
      </c>
      <c r="S945" s="19">
        <f t="shared" si="177"/>
        <v>145500</v>
      </c>
      <c r="T945" s="16"/>
      <c r="U945" s="17"/>
      <c r="V945" s="17"/>
      <c r="W945" s="4"/>
      <c r="X945" s="16"/>
      <c r="Y945" s="5"/>
      <c r="Z945" s="16"/>
      <c r="AA945" s="16"/>
      <c r="AB945" s="16"/>
      <c r="AE945" s="16"/>
      <c r="AG945" s="22">
        <f t="shared" si="178"/>
        <v>0</v>
      </c>
      <c r="AH945" s="6"/>
      <c r="AJ945" s="20">
        <f t="shared" ref="AJ945:AJ962" si="180">+AG945*AH945*AI945</f>
        <v>0</v>
      </c>
      <c r="AK945" s="50"/>
      <c r="AL945" s="6"/>
      <c r="AM945" s="20">
        <f t="shared" ref="AM945:AM962" si="181">+AJ945-(AL945*AJ945)</f>
        <v>0</v>
      </c>
      <c r="AN945" s="20">
        <f t="shared" si="179"/>
        <v>145500</v>
      </c>
      <c r="AP945" s="20">
        <f t="shared" si="174"/>
        <v>145500</v>
      </c>
      <c r="AQ945" s="7">
        <v>3.0000000000000001E-3</v>
      </c>
      <c r="AR945" s="20"/>
      <c r="AS945" s="51">
        <v>1</v>
      </c>
    </row>
    <row r="946" spans="1:45" ht="30" customHeight="1" x14ac:dyDescent="0.2">
      <c r="A946" s="8">
        <v>821</v>
      </c>
      <c r="B946" s="13">
        <v>1</v>
      </c>
      <c r="C946" s="16" t="s">
        <v>69</v>
      </c>
      <c r="E946" s="17">
        <v>151</v>
      </c>
      <c r="F946" s="17">
        <v>4</v>
      </c>
      <c r="G946" s="13">
        <v>2</v>
      </c>
      <c r="H946" s="17">
        <v>4</v>
      </c>
      <c r="I946" s="17">
        <v>3</v>
      </c>
      <c r="J946" s="17">
        <v>84</v>
      </c>
      <c r="K946" s="10">
        <v>1984</v>
      </c>
      <c r="P946" s="17">
        <v>1</v>
      </c>
      <c r="Q946" s="20">
        <f t="shared" si="176"/>
        <v>1984</v>
      </c>
      <c r="R946" s="14">
        <v>160</v>
      </c>
      <c r="S946" s="20">
        <f t="shared" si="177"/>
        <v>317440</v>
      </c>
      <c r="AG946" s="22">
        <f t="shared" si="178"/>
        <v>0</v>
      </c>
      <c r="AJ946" s="20">
        <f t="shared" si="180"/>
        <v>0</v>
      </c>
      <c r="AM946" s="20">
        <f t="shared" si="181"/>
        <v>0</v>
      </c>
      <c r="AN946" s="20">
        <f t="shared" si="179"/>
        <v>317440</v>
      </c>
      <c r="AP946" s="20">
        <f t="shared" si="174"/>
        <v>317440</v>
      </c>
      <c r="AQ946" s="12">
        <v>1E-4</v>
      </c>
      <c r="AR946" s="20"/>
    </row>
    <row r="947" spans="1:45" ht="30" customHeight="1" x14ac:dyDescent="0.2">
      <c r="A947" s="8">
        <v>822</v>
      </c>
      <c r="B947" s="13">
        <v>2</v>
      </c>
      <c r="C947" s="16" t="s">
        <v>69</v>
      </c>
      <c r="E947" s="17">
        <v>152</v>
      </c>
      <c r="F947" s="17">
        <v>6</v>
      </c>
      <c r="G947" s="13">
        <v>2</v>
      </c>
      <c r="H947" s="17">
        <v>30</v>
      </c>
      <c r="I947" s="17">
        <v>1</v>
      </c>
      <c r="J947" s="17">
        <v>8</v>
      </c>
      <c r="K947" s="10">
        <v>12108</v>
      </c>
      <c r="P947" s="17">
        <v>1</v>
      </c>
      <c r="Q947" s="20">
        <f t="shared" si="176"/>
        <v>12108</v>
      </c>
      <c r="R947" s="14">
        <v>200</v>
      </c>
      <c r="S947" s="19">
        <f t="shared" si="177"/>
        <v>2421600</v>
      </c>
      <c r="AG947" s="22">
        <f t="shared" si="178"/>
        <v>0</v>
      </c>
      <c r="AJ947" s="20">
        <f t="shared" si="180"/>
        <v>0</v>
      </c>
      <c r="AM947" s="20">
        <f t="shared" si="181"/>
        <v>0</v>
      </c>
      <c r="AN947" s="20">
        <f t="shared" si="179"/>
        <v>2421600</v>
      </c>
      <c r="AP947" s="20">
        <f t="shared" ref="AP947:AP962" si="182">AN947</f>
        <v>2421600</v>
      </c>
      <c r="AQ947" s="12">
        <v>1E-4</v>
      </c>
      <c r="AR947" s="20"/>
    </row>
    <row r="948" spans="1:45" s="21" customFormat="1" ht="30" customHeight="1" x14ac:dyDescent="0.2">
      <c r="A948" s="8">
        <v>823</v>
      </c>
      <c r="B948" s="46">
        <v>1</v>
      </c>
      <c r="C948" s="16" t="s">
        <v>52</v>
      </c>
      <c r="D948" s="48">
        <v>425</v>
      </c>
      <c r="E948" s="47">
        <v>501</v>
      </c>
      <c r="F948" s="48">
        <v>16</v>
      </c>
      <c r="G948" s="49">
        <v>2</v>
      </c>
      <c r="H948" s="48">
        <v>0</v>
      </c>
      <c r="I948" s="48">
        <v>2</v>
      </c>
      <c r="J948" s="48">
        <v>33</v>
      </c>
      <c r="K948" s="3">
        <v>233</v>
      </c>
      <c r="L948" s="16"/>
      <c r="M948" s="57"/>
      <c r="N948" s="58"/>
      <c r="P948" s="16">
        <v>1</v>
      </c>
      <c r="Q948" s="20">
        <f t="shared" si="176"/>
        <v>233</v>
      </c>
      <c r="R948" s="14">
        <v>4500</v>
      </c>
      <c r="S948" s="19">
        <f t="shared" si="177"/>
        <v>1048500</v>
      </c>
      <c r="T948" s="16"/>
      <c r="U948" s="17"/>
      <c r="V948" s="17"/>
      <c r="W948" s="4"/>
      <c r="X948" s="16"/>
      <c r="Y948" s="5"/>
      <c r="Z948" s="16"/>
      <c r="AA948" s="16"/>
      <c r="AB948" s="16"/>
      <c r="AE948" s="16"/>
      <c r="AG948" s="22">
        <f t="shared" si="178"/>
        <v>0</v>
      </c>
      <c r="AH948" s="6"/>
      <c r="AJ948" s="20">
        <f t="shared" si="180"/>
        <v>0</v>
      </c>
      <c r="AK948" s="50"/>
      <c r="AL948" s="6"/>
      <c r="AM948" s="20">
        <f t="shared" si="181"/>
        <v>0</v>
      </c>
      <c r="AN948" s="20">
        <f t="shared" si="179"/>
        <v>1048500</v>
      </c>
      <c r="AP948" s="20">
        <f t="shared" si="182"/>
        <v>1048500</v>
      </c>
      <c r="AQ948" s="7"/>
      <c r="AR948" s="20"/>
      <c r="AS948" s="51"/>
    </row>
    <row r="949" spans="1:45" s="21" customFormat="1" ht="30" customHeight="1" x14ac:dyDescent="0.2">
      <c r="A949" s="8">
        <v>824</v>
      </c>
      <c r="B949" s="46">
        <v>1</v>
      </c>
      <c r="C949" s="16" t="s">
        <v>52</v>
      </c>
      <c r="D949" s="48">
        <v>3212</v>
      </c>
      <c r="E949" s="47">
        <v>53</v>
      </c>
      <c r="F949" s="48">
        <v>2145</v>
      </c>
      <c r="G949" s="49">
        <v>2</v>
      </c>
      <c r="H949" s="48">
        <v>0</v>
      </c>
      <c r="I949" s="48">
        <v>0</v>
      </c>
      <c r="J949" s="48">
        <v>88</v>
      </c>
      <c r="K949" s="3">
        <v>88</v>
      </c>
      <c r="L949" s="16"/>
      <c r="M949" s="57"/>
      <c r="N949" s="58"/>
      <c r="P949" s="16">
        <v>1</v>
      </c>
      <c r="Q949" s="20">
        <f t="shared" si="176"/>
        <v>88</v>
      </c>
      <c r="R949" s="14">
        <v>250</v>
      </c>
      <c r="S949" s="20">
        <f t="shared" si="177"/>
        <v>22000</v>
      </c>
      <c r="T949" s="16"/>
      <c r="U949" s="16"/>
      <c r="V949" s="16"/>
      <c r="W949" s="5"/>
      <c r="X949" s="16"/>
      <c r="Y949" s="5"/>
      <c r="Z949" s="16"/>
      <c r="AA949" s="16"/>
      <c r="AB949" s="16"/>
      <c r="AE949" s="16"/>
      <c r="AG949" s="22">
        <f t="shared" si="178"/>
        <v>0</v>
      </c>
      <c r="AH949" s="6"/>
      <c r="AJ949" s="20">
        <f t="shared" si="180"/>
        <v>0</v>
      </c>
      <c r="AK949" s="50"/>
      <c r="AL949" s="6"/>
      <c r="AM949" s="20">
        <f t="shared" si="181"/>
        <v>0</v>
      </c>
      <c r="AN949" s="20">
        <f t="shared" si="179"/>
        <v>22000</v>
      </c>
      <c r="AP949" s="20">
        <f t="shared" si="182"/>
        <v>22000</v>
      </c>
      <c r="AQ949" s="7"/>
      <c r="AR949" s="20"/>
      <c r="AS949" s="51"/>
    </row>
    <row r="950" spans="1:45" s="21" customFormat="1" ht="30" customHeight="1" x14ac:dyDescent="0.2">
      <c r="A950" s="8">
        <v>825</v>
      </c>
      <c r="B950" s="46">
        <v>2</v>
      </c>
      <c r="C950" s="16" t="s">
        <v>52</v>
      </c>
      <c r="D950" s="48">
        <v>21960</v>
      </c>
      <c r="E950" s="47">
        <v>131</v>
      </c>
      <c r="F950" s="48">
        <v>4568</v>
      </c>
      <c r="G950" s="49">
        <v>2</v>
      </c>
      <c r="H950" s="48">
        <v>0</v>
      </c>
      <c r="I950" s="48">
        <v>0</v>
      </c>
      <c r="J950" s="48">
        <v>62</v>
      </c>
      <c r="K950" s="3">
        <v>62</v>
      </c>
      <c r="L950" s="16"/>
      <c r="M950" s="57"/>
      <c r="N950" s="58"/>
      <c r="P950" s="16">
        <v>1</v>
      </c>
      <c r="Q950" s="20">
        <f t="shared" si="176"/>
        <v>62</v>
      </c>
      <c r="R950" s="14">
        <v>250</v>
      </c>
      <c r="S950" s="19">
        <f t="shared" si="177"/>
        <v>15500</v>
      </c>
      <c r="T950" s="16"/>
      <c r="U950" s="17"/>
      <c r="V950" s="16"/>
      <c r="W950" s="5"/>
      <c r="X950" s="16"/>
      <c r="Y950" s="5"/>
      <c r="Z950" s="16"/>
      <c r="AA950" s="16"/>
      <c r="AB950" s="16"/>
      <c r="AE950" s="16"/>
      <c r="AG950" s="22">
        <f t="shared" si="178"/>
        <v>0</v>
      </c>
      <c r="AH950" s="6"/>
      <c r="AJ950" s="20">
        <f t="shared" si="180"/>
        <v>0</v>
      </c>
      <c r="AK950" s="50"/>
      <c r="AL950" s="6"/>
      <c r="AM950" s="20">
        <f t="shared" si="181"/>
        <v>0</v>
      </c>
      <c r="AN950" s="20">
        <f t="shared" si="179"/>
        <v>15500</v>
      </c>
      <c r="AP950" s="20">
        <f t="shared" si="182"/>
        <v>15500</v>
      </c>
      <c r="AQ950" s="7"/>
      <c r="AR950" s="20"/>
      <c r="AS950" s="51"/>
    </row>
    <row r="951" spans="1:45" s="21" customFormat="1" ht="30" customHeight="1" x14ac:dyDescent="0.2">
      <c r="A951" s="8">
        <v>826</v>
      </c>
      <c r="B951" s="46">
        <v>1</v>
      </c>
      <c r="C951" s="16" t="s">
        <v>52</v>
      </c>
      <c r="D951" s="48">
        <v>21961</v>
      </c>
      <c r="E951" s="47">
        <v>132</v>
      </c>
      <c r="F951" s="48">
        <v>4569</v>
      </c>
      <c r="G951" s="49">
        <v>2</v>
      </c>
      <c r="H951" s="48">
        <v>0</v>
      </c>
      <c r="I951" s="48">
        <v>0</v>
      </c>
      <c r="J951" s="48">
        <v>60</v>
      </c>
      <c r="K951" s="3"/>
      <c r="L951" s="16">
        <v>60</v>
      </c>
      <c r="M951" s="57"/>
      <c r="N951" s="58"/>
      <c r="P951" s="16">
        <v>2</v>
      </c>
      <c r="Q951" s="20">
        <f t="shared" si="176"/>
        <v>60</v>
      </c>
      <c r="R951" s="14">
        <v>250</v>
      </c>
      <c r="S951" s="19">
        <f t="shared" si="177"/>
        <v>15000</v>
      </c>
      <c r="T951" s="16"/>
      <c r="U951" s="17"/>
      <c r="V951" s="17"/>
      <c r="W951" s="4"/>
      <c r="X951" s="16"/>
      <c r="Y951" s="5"/>
      <c r="Z951" s="16"/>
      <c r="AA951" s="16"/>
      <c r="AB951" s="16"/>
      <c r="AE951" s="16"/>
      <c r="AG951" s="22">
        <f t="shared" si="178"/>
        <v>0</v>
      </c>
      <c r="AH951" s="6"/>
      <c r="AJ951" s="20">
        <f t="shared" si="180"/>
        <v>0</v>
      </c>
      <c r="AK951" s="50"/>
      <c r="AL951" s="6"/>
      <c r="AM951" s="20">
        <f t="shared" si="181"/>
        <v>0</v>
      </c>
      <c r="AN951" s="20">
        <f t="shared" si="179"/>
        <v>15000</v>
      </c>
      <c r="AP951" s="20">
        <f t="shared" si="182"/>
        <v>15000</v>
      </c>
      <c r="AQ951" s="7"/>
      <c r="AR951" s="20"/>
      <c r="AS951" s="51"/>
    </row>
    <row r="952" spans="1:45" s="21" customFormat="1" ht="30" customHeight="1" x14ac:dyDescent="0.2">
      <c r="A952" s="8">
        <v>827</v>
      </c>
      <c r="B952" s="46">
        <v>1</v>
      </c>
      <c r="C952" s="16" t="s">
        <v>52</v>
      </c>
      <c r="D952" s="48">
        <v>22216</v>
      </c>
      <c r="E952" s="47">
        <v>133</v>
      </c>
      <c r="F952" s="48">
        <v>4570</v>
      </c>
      <c r="G952" s="49">
        <v>2</v>
      </c>
      <c r="H952" s="48">
        <v>0</v>
      </c>
      <c r="I952" s="48">
        <v>0</v>
      </c>
      <c r="J952" s="48">
        <v>81</v>
      </c>
      <c r="K952" s="3"/>
      <c r="L952" s="16">
        <v>81</v>
      </c>
      <c r="M952" s="57"/>
      <c r="N952" s="58"/>
      <c r="P952" s="16">
        <v>2</v>
      </c>
      <c r="Q952" s="20">
        <f t="shared" si="176"/>
        <v>81</v>
      </c>
      <c r="R952" s="14">
        <v>250</v>
      </c>
      <c r="S952" s="20">
        <f t="shared" si="177"/>
        <v>20250</v>
      </c>
      <c r="T952" s="16"/>
      <c r="U952" s="17"/>
      <c r="V952" s="17"/>
      <c r="W952" s="4"/>
      <c r="X952" s="16"/>
      <c r="Y952" s="5"/>
      <c r="Z952" s="16"/>
      <c r="AA952" s="16"/>
      <c r="AB952" s="16"/>
      <c r="AE952" s="16"/>
      <c r="AG952" s="22">
        <f t="shared" si="178"/>
        <v>0</v>
      </c>
      <c r="AH952" s="6"/>
      <c r="AJ952" s="20">
        <f t="shared" si="180"/>
        <v>0</v>
      </c>
      <c r="AK952" s="50"/>
      <c r="AL952" s="6"/>
      <c r="AM952" s="20">
        <f t="shared" si="181"/>
        <v>0</v>
      </c>
      <c r="AN952" s="20">
        <f t="shared" si="179"/>
        <v>20250</v>
      </c>
      <c r="AP952" s="20">
        <f t="shared" si="182"/>
        <v>20250</v>
      </c>
      <c r="AQ952" s="7"/>
      <c r="AR952" s="20"/>
      <c r="AS952" s="51"/>
    </row>
    <row r="953" spans="1:45" s="21" customFormat="1" ht="30" customHeight="1" x14ac:dyDescent="0.2">
      <c r="A953" s="8">
        <v>828</v>
      </c>
      <c r="B953" s="46">
        <v>1</v>
      </c>
      <c r="C953" s="16" t="s">
        <v>52</v>
      </c>
      <c r="D953" s="48">
        <v>5928</v>
      </c>
      <c r="E953" s="47">
        <v>68</v>
      </c>
      <c r="F953" s="48">
        <v>3061</v>
      </c>
      <c r="G953" s="49">
        <v>5</v>
      </c>
      <c r="H953" s="48">
        <v>0</v>
      </c>
      <c r="I953" s="48">
        <v>1</v>
      </c>
      <c r="J953" s="48">
        <v>22</v>
      </c>
      <c r="K953" s="3">
        <v>122</v>
      </c>
      <c r="L953" s="16"/>
      <c r="M953" s="57"/>
      <c r="N953" s="58"/>
      <c r="P953" s="16">
        <v>1</v>
      </c>
      <c r="Q953" s="20">
        <f t="shared" si="176"/>
        <v>122</v>
      </c>
      <c r="R953" s="14">
        <v>1500</v>
      </c>
      <c r="S953" s="19">
        <f t="shared" si="177"/>
        <v>183000</v>
      </c>
      <c r="T953" s="16"/>
      <c r="U953" s="17"/>
      <c r="V953" s="17"/>
      <c r="W953" s="4"/>
      <c r="X953" s="16"/>
      <c r="Y953" s="5"/>
      <c r="Z953" s="16"/>
      <c r="AA953" s="16"/>
      <c r="AB953" s="16"/>
      <c r="AC953" s="14"/>
      <c r="AD953" s="14"/>
      <c r="AE953" s="16"/>
      <c r="AG953" s="22">
        <f t="shared" si="178"/>
        <v>0</v>
      </c>
      <c r="AH953" s="6"/>
      <c r="AJ953" s="20">
        <f t="shared" si="180"/>
        <v>0</v>
      </c>
      <c r="AK953" s="50"/>
      <c r="AL953" s="6"/>
      <c r="AM953" s="20">
        <f t="shared" si="181"/>
        <v>0</v>
      </c>
      <c r="AN953" s="20">
        <f t="shared" si="179"/>
        <v>183000</v>
      </c>
      <c r="AP953" s="20">
        <f t="shared" si="182"/>
        <v>183000</v>
      </c>
      <c r="AQ953" s="7"/>
      <c r="AR953" s="20"/>
      <c r="AS953" s="51"/>
    </row>
    <row r="954" spans="1:45" s="21" customFormat="1" ht="30" customHeight="1" x14ac:dyDescent="0.2">
      <c r="A954" s="8">
        <v>829</v>
      </c>
      <c r="B954" s="46">
        <v>1</v>
      </c>
      <c r="C954" s="16" t="s">
        <v>52</v>
      </c>
      <c r="D954" s="48">
        <v>4045</v>
      </c>
      <c r="E954" s="47">
        <v>62</v>
      </c>
      <c r="F954" s="48">
        <v>2314</v>
      </c>
      <c r="G954" s="49">
        <v>2</v>
      </c>
      <c r="H954" s="48">
        <v>0</v>
      </c>
      <c r="I954" s="48">
        <v>1</v>
      </c>
      <c r="J954" s="48">
        <v>25</v>
      </c>
      <c r="K954" s="3">
        <v>125</v>
      </c>
      <c r="L954" s="16"/>
      <c r="M954" s="57"/>
      <c r="N954" s="58"/>
      <c r="P954" s="16">
        <v>1</v>
      </c>
      <c r="Q954" s="20">
        <f t="shared" si="176"/>
        <v>125</v>
      </c>
      <c r="R954" s="14">
        <v>1200</v>
      </c>
      <c r="S954" s="19">
        <f t="shared" si="177"/>
        <v>150000</v>
      </c>
      <c r="T954" s="16"/>
      <c r="U954" s="17"/>
      <c r="V954" s="17"/>
      <c r="W954" s="4"/>
      <c r="X954" s="16"/>
      <c r="Y954" s="5"/>
      <c r="Z954" s="16"/>
      <c r="AA954" s="16"/>
      <c r="AB954" s="16"/>
      <c r="AE954" s="16"/>
      <c r="AG954" s="22">
        <f t="shared" si="178"/>
        <v>0</v>
      </c>
      <c r="AH954" s="6"/>
      <c r="AJ954" s="20">
        <f t="shared" si="180"/>
        <v>0</v>
      </c>
      <c r="AK954" s="50"/>
      <c r="AL954" s="6"/>
      <c r="AM954" s="20">
        <f t="shared" si="181"/>
        <v>0</v>
      </c>
      <c r="AN954" s="20">
        <f t="shared" si="179"/>
        <v>150000</v>
      </c>
      <c r="AP954" s="20">
        <f t="shared" si="182"/>
        <v>150000</v>
      </c>
      <c r="AQ954" s="7"/>
      <c r="AR954" s="20"/>
      <c r="AS954" s="51"/>
    </row>
    <row r="955" spans="1:45" s="21" customFormat="1" ht="30" customHeight="1" x14ac:dyDescent="0.2">
      <c r="A955" s="8">
        <v>830</v>
      </c>
      <c r="B955" s="46">
        <v>1</v>
      </c>
      <c r="C955" s="16" t="s">
        <v>52</v>
      </c>
      <c r="D955" s="48">
        <v>18421</v>
      </c>
      <c r="E955" s="47">
        <v>14</v>
      </c>
      <c r="F955" s="48">
        <v>4309</v>
      </c>
      <c r="G955" s="49">
        <v>5</v>
      </c>
      <c r="H955" s="48">
        <v>13</v>
      </c>
      <c r="I955" s="48">
        <v>3</v>
      </c>
      <c r="J955" s="48">
        <v>50</v>
      </c>
      <c r="K955" s="3">
        <f>13*400+300+50</f>
        <v>5550</v>
      </c>
      <c r="L955" s="16"/>
      <c r="M955" s="57"/>
      <c r="N955" s="58"/>
      <c r="P955" s="16">
        <v>1</v>
      </c>
      <c r="Q955" s="20">
        <f t="shared" si="176"/>
        <v>5550</v>
      </c>
      <c r="R955" s="14">
        <v>375</v>
      </c>
      <c r="S955" s="20">
        <f t="shared" si="177"/>
        <v>2081250</v>
      </c>
      <c r="T955" s="16"/>
      <c r="U955" s="17"/>
      <c r="V955" s="17"/>
      <c r="W955" s="4"/>
      <c r="X955" s="16"/>
      <c r="Y955" s="5"/>
      <c r="Z955" s="16"/>
      <c r="AA955" s="16"/>
      <c r="AB955" s="16"/>
      <c r="AC955" s="14"/>
      <c r="AD955" s="14"/>
      <c r="AE955" s="16"/>
      <c r="AG955" s="22">
        <f t="shared" si="178"/>
        <v>0</v>
      </c>
      <c r="AH955" s="6"/>
      <c r="AJ955" s="20">
        <f t="shared" si="180"/>
        <v>0</v>
      </c>
      <c r="AK955" s="50"/>
      <c r="AL955" s="6"/>
      <c r="AM955" s="20">
        <f t="shared" si="181"/>
        <v>0</v>
      </c>
      <c r="AN955" s="20">
        <f t="shared" si="179"/>
        <v>2081250</v>
      </c>
      <c r="AP955" s="20">
        <f t="shared" si="182"/>
        <v>2081250</v>
      </c>
      <c r="AQ955" s="7"/>
      <c r="AR955" s="60"/>
      <c r="AS955" s="128">
        <v>76</v>
      </c>
    </row>
    <row r="956" spans="1:45" ht="30" customHeight="1" x14ac:dyDescent="0.2">
      <c r="A956" s="8">
        <v>831</v>
      </c>
      <c r="B956" s="13">
        <v>2</v>
      </c>
      <c r="C956" s="16" t="s">
        <v>65</v>
      </c>
      <c r="D956" s="17">
        <v>1048</v>
      </c>
      <c r="E956" s="17">
        <v>74</v>
      </c>
      <c r="H956" s="17">
        <v>18</v>
      </c>
      <c r="I956" s="17">
        <v>3</v>
      </c>
      <c r="J956" s="17">
        <v>95</v>
      </c>
      <c r="K956" s="10">
        <f>18*395</f>
        <v>7110</v>
      </c>
      <c r="Q956" s="20">
        <f t="shared" si="176"/>
        <v>7595</v>
      </c>
      <c r="R956" s="14">
        <v>250</v>
      </c>
      <c r="S956" s="19">
        <f t="shared" si="177"/>
        <v>1898750</v>
      </c>
      <c r="AC956" s="21"/>
      <c r="AD956" s="21"/>
      <c r="AE956" s="17" t="s">
        <v>94</v>
      </c>
      <c r="AG956" s="22">
        <f t="shared" si="178"/>
        <v>0</v>
      </c>
      <c r="AJ956" s="20">
        <f t="shared" si="180"/>
        <v>0</v>
      </c>
      <c r="AM956" s="20">
        <f t="shared" si="181"/>
        <v>0</v>
      </c>
      <c r="AN956" s="20">
        <f t="shared" si="179"/>
        <v>1898750</v>
      </c>
      <c r="AP956" s="20">
        <f t="shared" si="182"/>
        <v>1898750</v>
      </c>
      <c r="AQ956" s="12">
        <v>1E-4</v>
      </c>
      <c r="AR956" s="25"/>
      <c r="AS956" s="130"/>
    </row>
    <row r="957" spans="1:45" s="21" customFormat="1" ht="30" customHeight="1" x14ac:dyDescent="0.2">
      <c r="A957" s="8">
        <v>832</v>
      </c>
      <c r="B957" s="46">
        <v>1</v>
      </c>
      <c r="C957" s="16" t="s">
        <v>52</v>
      </c>
      <c r="D957" s="48">
        <v>1142</v>
      </c>
      <c r="E957" s="47">
        <v>83</v>
      </c>
      <c r="F957" s="48">
        <v>952</v>
      </c>
      <c r="G957" s="49">
        <v>1</v>
      </c>
      <c r="H957" s="48">
        <v>12</v>
      </c>
      <c r="I957" s="48">
        <v>0</v>
      </c>
      <c r="J957" s="48">
        <v>59</v>
      </c>
      <c r="K957" s="3">
        <f>12*400+59</f>
        <v>4859</v>
      </c>
      <c r="L957" s="16"/>
      <c r="M957" s="57"/>
      <c r="N957" s="58"/>
      <c r="P957" s="16">
        <v>1</v>
      </c>
      <c r="Q957" s="20">
        <f t="shared" si="176"/>
        <v>4859</v>
      </c>
      <c r="R957" s="14">
        <v>160</v>
      </c>
      <c r="S957" s="19">
        <f t="shared" si="177"/>
        <v>777440</v>
      </c>
      <c r="T957" s="16"/>
      <c r="U957" s="16"/>
      <c r="V957" s="16"/>
      <c r="W957" s="5"/>
      <c r="X957" s="16"/>
      <c r="Y957" s="5"/>
      <c r="Z957" s="16"/>
      <c r="AA957" s="16"/>
      <c r="AB957" s="16"/>
      <c r="AC957" s="14"/>
      <c r="AD957" s="14"/>
      <c r="AE957" s="16"/>
      <c r="AG957" s="22">
        <f t="shared" si="178"/>
        <v>0</v>
      </c>
      <c r="AH957" s="6"/>
      <c r="AJ957" s="20">
        <f t="shared" si="180"/>
        <v>0</v>
      </c>
      <c r="AK957" s="50"/>
      <c r="AL957" s="6"/>
      <c r="AM957" s="20">
        <f t="shared" si="181"/>
        <v>0</v>
      </c>
      <c r="AN957" s="20">
        <f t="shared" si="179"/>
        <v>777440</v>
      </c>
      <c r="AP957" s="20">
        <f t="shared" si="182"/>
        <v>777440</v>
      </c>
      <c r="AQ957" s="7"/>
      <c r="AR957" s="20"/>
      <c r="AS957" s="51"/>
    </row>
    <row r="958" spans="1:45" s="21" customFormat="1" ht="30" customHeight="1" x14ac:dyDescent="0.2">
      <c r="A958" s="131">
        <v>833</v>
      </c>
      <c r="B958" s="46">
        <v>1</v>
      </c>
      <c r="C958" s="16" t="s">
        <v>52</v>
      </c>
      <c r="D958" s="48">
        <v>20449</v>
      </c>
      <c r="E958" s="47">
        <v>24</v>
      </c>
      <c r="F958" s="48">
        <v>4615</v>
      </c>
      <c r="G958" s="49">
        <v>6</v>
      </c>
      <c r="H958" s="48">
        <v>2</v>
      </c>
      <c r="I958" s="48">
        <v>0</v>
      </c>
      <c r="J958" s="48">
        <v>96</v>
      </c>
      <c r="K958" s="3">
        <f>896-L958</f>
        <v>830.1875</v>
      </c>
      <c r="L958" s="16">
        <f>(90+80+65.25+28)/4</f>
        <v>65.8125</v>
      </c>
      <c r="M958" s="57"/>
      <c r="N958" s="58"/>
      <c r="P958" s="16">
        <v>5</v>
      </c>
      <c r="Q958" s="20">
        <f t="shared" si="176"/>
        <v>896</v>
      </c>
      <c r="R958" s="14">
        <v>160</v>
      </c>
      <c r="S958" s="20">
        <f t="shared" si="177"/>
        <v>143360</v>
      </c>
      <c r="T958" s="16">
        <v>1</v>
      </c>
      <c r="U958" s="17" t="s">
        <v>57</v>
      </c>
      <c r="V958" s="16" t="s">
        <v>56</v>
      </c>
      <c r="W958" s="5"/>
      <c r="X958" s="16"/>
      <c r="Y958" s="5">
        <v>90</v>
      </c>
      <c r="Z958" s="16"/>
      <c r="AA958" s="16"/>
      <c r="AB958" s="16">
        <v>31</v>
      </c>
      <c r="AC958" s="14"/>
      <c r="AD958" s="14"/>
      <c r="AE958" s="16"/>
      <c r="AG958" s="22">
        <f t="shared" si="178"/>
        <v>90</v>
      </c>
      <c r="AH958" s="6"/>
      <c r="AJ958" s="20">
        <f t="shared" si="180"/>
        <v>0</v>
      </c>
      <c r="AK958" s="50">
        <v>31</v>
      </c>
      <c r="AL958" s="6"/>
      <c r="AM958" s="20">
        <f t="shared" si="181"/>
        <v>0</v>
      </c>
      <c r="AN958" s="20">
        <f t="shared" si="179"/>
        <v>143360</v>
      </c>
      <c r="AP958" s="20">
        <f t="shared" si="182"/>
        <v>143360</v>
      </c>
      <c r="AQ958" s="7"/>
      <c r="AR958" s="20"/>
      <c r="AS958" s="51"/>
    </row>
    <row r="959" spans="1:45" s="21" customFormat="1" ht="30" customHeight="1" x14ac:dyDescent="0.2">
      <c r="A959" s="131"/>
      <c r="B959" s="46"/>
      <c r="C959" s="16"/>
      <c r="D959" s="48"/>
      <c r="E959" s="47"/>
      <c r="F959" s="48"/>
      <c r="G959" s="49"/>
      <c r="H959" s="48"/>
      <c r="I959" s="48"/>
      <c r="J959" s="48"/>
      <c r="K959" s="3"/>
      <c r="L959" s="16"/>
      <c r="M959" s="57"/>
      <c r="N959" s="58"/>
      <c r="P959" s="16"/>
      <c r="Q959" s="20">
        <f t="shared" si="176"/>
        <v>0</v>
      </c>
      <c r="R959" s="14" t="e">
        <v>#N/A</v>
      </c>
      <c r="S959" s="19" t="e">
        <f t="shared" si="177"/>
        <v>#N/A</v>
      </c>
      <c r="T959" s="16">
        <v>2</v>
      </c>
      <c r="U959" s="17" t="s">
        <v>57</v>
      </c>
      <c r="V959" s="16" t="s">
        <v>56</v>
      </c>
      <c r="W959" s="5"/>
      <c r="X959" s="16"/>
      <c r="Y959" s="5">
        <v>80</v>
      </c>
      <c r="Z959" s="16"/>
      <c r="AA959" s="16"/>
      <c r="AB959" s="16">
        <v>36</v>
      </c>
      <c r="AC959" s="14"/>
      <c r="AD959" s="14"/>
      <c r="AE959" s="16"/>
      <c r="AG959" s="22">
        <f t="shared" si="178"/>
        <v>80</v>
      </c>
      <c r="AH959" s="6"/>
      <c r="AJ959" s="20">
        <f t="shared" si="180"/>
        <v>0</v>
      </c>
      <c r="AK959" s="50">
        <v>36</v>
      </c>
      <c r="AL959" s="6"/>
      <c r="AM959" s="20">
        <f t="shared" si="181"/>
        <v>0</v>
      </c>
      <c r="AN959" s="20" t="e">
        <f t="shared" si="179"/>
        <v>#N/A</v>
      </c>
      <c r="AP959" s="20" t="e">
        <f t="shared" si="182"/>
        <v>#N/A</v>
      </c>
      <c r="AQ959" s="7"/>
      <c r="AR959" s="20"/>
      <c r="AS959" s="51"/>
    </row>
    <row r="960" spans="1:45" s="21" customFormat="1" ht="30" customHeight="1" x14ac:dyDescent="0.2">
      <c r="A960" s="131"/>
      <c r="B960" s="46"/>
      <c r="C960" s="16"/>
      <c r="D960" s="48"/>
      <c r="E960" s="47"/>
      <c r="F960" s="48"/>
      <c r="G960" s="49"/>
      <c r="H960" s="48"/>
      <c r="I960" s="48"/>
      <c r="J960" s="48"/>
      <c r="K960" s="3"/>
      <c r="L960" s="16"/>
      <c r="M960" s="57"/>
      <c r="N960" s="58"/>
      <c r="P960" s="16"/>
      <c r="Q960" s="20">
        <f t="shared" si="176"/>
        <v>0</v>
      </c>
      <c r="R960" s="14" t="e">
        <v>#N/A</v>
      </c>
      <c r="S960" s="19" t="e">
        <f t="shared" si="177"/>
        <v>#N/A</v>
      </c>
      <c r="T960" s="16">
        <v>3</v>
      </c>
      <c r="U960" s="17" t="s">
        <v>57</v>
      </c>
      <c r="V960" s="16" t="s">
        <v>56</v>
      </c>
      <c r="W960" s="5"/>
      <c r="X960" s="16"/>
      <c r="Y960" s="5">
        <v>65.25</v>
      </c>
      <c r="Z960" s="16"/>
      <c r="AA960" s="16"/>
      <c r="AB960" s="16">
        <v>20</v>
      </c>
      <c r="AC960" s="14"/>
      <c r="AD960" s="14"/>
      <c r="AE960" s="16"/>
      <c r="AG960" s="22">
        <f t="shared" si="178"/>
        <v>65.25</v>
      </c>
      <c r="AH960" s="6"/>
      <c r="AJ960" s="20">
        <f t="shared" si="180"/>
        <v>0</v>
      </c>
      <c r="AK960" s="50">
        <v>20</v>
      </c>
      <c r="AL960" s="6"/>
      <c r="AM960" s="20">
        <f t="shared" si="181"/>
        <v>0</v>
      </c>
      <c r="AN960" s="20" t="e">
        <f t="shared" si="179"/>
        <v>#N/A</v>
      </c>
      <c r="AP960" s="20" t="e">
        <f t="shared" si="182"/>
        <v>#N/A</v>
      </c>
      <c r="AQ960" s="7"/>
      <c r="AR960" s="20"/>
      <c r="AS960" s="51"/>
    </row>
    <row r="961" spans="1:45" s="21" customFormat="1" ht="30" customHeight="1" x14ac:dyDescent="0.2">
      <c r="A961" s="131"/>
      <c r="B961" s="46"/>
      <c r="C961" s="16"/>
      <c r="D961" s="48"/>
      <c r="E961" s="47"/>
      <c r="F961" s="48"/>
      <c r="G961" s="49"/>
      <c r="H961" s="48"/>
      <c r="I961" s="48"/>
      <c r="J961" s="48"/>
      <c r="K961" s="3"/>
      <c r="L961" s="16"/>
      <c r="M961" s="57"/>
      <c r="N961" s="58"/>
      <c r="P961" s="16"/>
      <c r="Q961" s="20">
        <f t="shared" si="176"/>
        <v>0</v>
      </c>
      <c r="R961" s="14" t="e">
        <v>#N/A</v>
      </c>
      <c r="S961" s="20" t="e">
        <f t="shared" si="177"/>
        <v>#N/A</v>
      </c>
      <c r="T961" s="16">
        <v>4</v>
      </c>
      <c r="U961" s="17" t="s">
        <v>57</v>
      </c>
      <c r="V961" s="16" t="s">
        <v>88</v>
      </c>
      <c r="W961" s="5"/>
      <c r="X961" s="16"/>
      <c r="Y961" s="5">
        <v>28</v>
      </c>
      <c r="Z961" s="16"/>
      <c r="AA961" s="16"/>
      <c r="AB961" s="16">
        <v>21</v>
      </c>
      <c r="AC961" s="14"/>
      <c r="AD961" s="14"/>
      <c r="AE961" s="16"/>
      <c r="AG961" s="22">
        <f t="shared" si="178"/>
        <v>28</v>
      </c>
      <c r="AH961" s="6"/>
      <c r="AJ961" s="20">
        <f t="shared" si="180"/>
        <v>0</v>
      </c>
      <c r="AK961" s="50">
        <v>21</v>
      </c>
      <c r="AL961" s="6"/>
      <c r="AM961" s="20">
        <f t="shared" si="181"/>
        <v>0</v>
      </c>
      <c r="AN961" s="20" t="e">
        <f t="shared" si="179"/>
        <v>#N/A</v>
      </c>
      <c r="AP961" s="20" t="e">
        <f t="shared" si="182"/>
        <v>#N/A</v>
      </c>
      <c r="AQ961" s="7"/>
      <c r="AR961" s="20"/>
      <c r="AS961" s="51"/>
    </row>
    <row r="962" spans="1:45" s="21" customFormat="1" ht="30" customHeight="1" x14ac:dyDescent="0.2">
      <c r="A962" s="8">
        <v>834</v>
      </c>
      <c r="B962" s="46">
        <v>1</v>
      </c>
      <c r="C962" s="16" t="s">
        <v>52</v>
      </c>
      <c r="D962" s="48">
        <v>1982</v>
      </c>
      <c r="E962" s="47">
        <v>19</v>
      </c>
      <c r="F962" s="48">
        <v>817</v>
      </c>
      <c r="G962" s="49">
        <v>4</v>
      </c>
      <c r="H962" s="48">
        <v>0</v>
      </c>
      <c r="I962" s="48">
        <v>0</v>
      </c>
      <c r="J962" s="48">
        <v>81</v>
      </c>
      <c r="K962" s="3"/>
      <c r="L962" s="16">
        <v>81</v>
      </c>
      <c r="M962" s="57"/>
      <c r="N962" s="58"/>
      <c r="P962" s="16">
        <v>2</v>
      </c>
      <c r="Q962" s="20">
        <f t="shared" si="176"/>
        <v>81</v>
      </c>
      <c r="R962" s="14">
        <v>2000</v>
      </c>
      <c r="S962" s="19">
        <f t="shared" si="177"/>
        <v>162000</v>
      </c>
      <c r="T962" s="16"/>
      <c r="U962" s="17"/>
      <c r="V962" s="17"/>
      <c r="W962" s="4"/>
      <c r="X962" s="16"/>
      <c r="Y962" s="5"/>
      <c r="Z962" s="16"/>
      <c r="AA962" s="16"/>
      <c r="AB962" s="16"/>
      <c r="AC962" s="14"/>
      <c r="AD962" s="14"/>
      <c r="AE962" s="16"/>
      <c r="AG962" s="22">
        <f t="shared" si="178"/>
        <v>0</v>
      </c>
      <c r="AH962" s="6"/>
      <c r="AJ962" s="20">
        <f t="shared" si="180"/>
        <v>0</v>
      </c>
      <c r="AK962" s="50"/>
      <c r="AL962" s="6"/>
      <c r="AM962" s="20">
        <f t="shared" si="181"/>
        <v>0</v>
      </c>
      <c r="AN962" s="20">
        <f t="shared" si="179"/>
        <v>162000</v>
      </c>
      <c r="AP962" s="20">
        <f t="shared" si="182"/>
        <v>162000</v>
      </c>
      <c r="AQ962" s="7"/>
      <c r="AR962" s="20"/>
      <c r="AS962" s="51"/>
    </row>
    <row r="963" spans="1:45" s="21" customFormat="1" ht="30" customHeight="1" x14ac:dyDescent="0.2">
      <c r="A963" s="8">
        <v>835</v>
      </c>
      <c r="B963" s="46">
        <v>1</v>
      </c>
      <c r="C963" s="16" t="s">
        <v>52</v>
      </c>
      <c r="D963" s="48">
        <v>2497</v>
      </c>
      <c r="E963" s="47">
        <v>50</v>
      </c>
      <c r="F963" s="48">
        <v>1501</v>
      </c>
      <c r="G963" s="49">
        <v>2</v>
      </c>
      <c r="H963" s="48">
        <v>3</v>
      </c>
      <c r="I963" s="48">
        <v>1</v>
      </c>
      <c r="J963" s="48">
        <v>73</v>
      </c>
      <c r="K963" s="3"/>
      <c r="L963" s="16"/>
      <c r="M963" s="57">
        <v>1373</v>
      </c>
      <c r="N963" s="58"/>
      <c r="P963" s="16">
        <v>5</v>
      </c>
      <c r="Q963" s="20">
        <f t="shared" si="176"/>
        <v>1373</v>
      </c>
      <c r="R963" s="14">
        <v>1100</v>
      </c>
      <c r="S963" s="19">
        <f t="shared" si="177"/>
        <v>1510300</v>
      </c>
      <c r="T963" s="16"/>
      <c r="U963" s="17"/>
      <c r="V963" s="17"/>
      <c r="W963" s="4"/>
      <c r="X963" s="16"/>
      <c r="Y963" s="5"/>
      <c r="Z963" s="16"/>
      <c r="AA963" s="16"/>
      <c r="AB963" s="16"/>
      <c r="AC963" s="14"/>
      <c r="AD963" s="14"/>
      <c r="AE963" s="16"/>
      <c r="AG963" s="22"/>
      <c r="AH963" s="6"/>
      <c r="AJ963" s="20"/>
      <c r="AK963" s="50"/>
      <c r="AL963" s="6"/>
      <c r="AM963" s="20"/>
      <c r="AN963" s="20"/>
      <c r="AP963" s="20"/>
      <c r="AQ963" s="7"/>
      <c r="AR963" s="20"/>
      <c r="AS963" s="51">
        <v>720</v>
      </c>
    </row>
    <row r="964" spans="1:45" s="21" customFormat="1" ht="30" customHeight="1" x14ac:dyDescent="0.2">
      <c r="A964" s="8"/>
      <c r="B964" s="46"/>
      <c r="C964" s="16"/>
      <c r="D964" s="48"/>
      <c r="E964" s="47"/>
      <c r="F964" s="48"/>
      <c r="G964" s="49"/>
      <c r="H964" s="48"/>
      <c r="I964" s="48"/>
      <c r="J964" s="48"/>
      <c r="K964" s="3"/>
      <c r="L964" s="16"/>
      <c r="M964" s="57"/>
      <c r="N964" s="58"/>
      <c r="P964" s="16"/>
      <c r="Q964" s="20">
        <f>1373-63</f>
        <v>1310</v>
      </c>
      <c r="R964" s="14">
        <v>1100</v>
      </c>
      <c r="S964" s="19">
        <f t="shared" si="177"/>
        <v>1441000</v>
      </c>
      <c r="T964" s="16"/>
      <c r="U964" s="17"/>
      <c r="V964" s="17"/>
      <c r="W964" s="4"/>
      <c r="X964" s="16"/>
      <c r="Y964" s="5"/>
      <c r="Z964" s="16"/>
      <c r="AA964" s="16"/>
      <c r="AB964" s="16"/>
      <c r="AC964" s="14"/>
      <c r="AD964" s="14"/>
      <c r="AE964" s="16"/>
      <c r="AG964" s="22"/>
      <c r="AH964" s="6"/>
      <c r="AJ964" s="20"/>
      <c r="AK964" s="50"/>
      <c r="AL964" s="6"/>
      <c r="AM964" s="20"/>
      <c r="AN964" s="20"/>
      <c r="AP964" s="20"/>
      <c r="AQ964" s="7"/>
      <c r="AR964" s="20"/>
      <c r="AS964" s="51"/>
    </row>
    <row r="965" spans="1:45" s="21" customFormat="1" ht="30" customHeight="1" x14ac:dyDescent="0.2">
      <c r="A965" s="8"/>
      <c r="B965" s="46"/>
      <c r="C965" s="16"/>
      <c r="D965" s="48"/>
      <c r="E965" s="47"/>
      <c r="F965" s="48"/>
      <c r="G965" s="49"/>
      <c r="H965" s="48"/>
      <c r="I965" s="48"/>
      <c r="J965" s="48"/>
      <c r="K965" s="3"/>
      <c r="L965" s="16"/>
      <c r="M965" s="57"/>
      <c r="N965" s="58"/>
      <c r="P965" s="16">
        <v>2</v>
      </c>
      <c r="Q965" s="20">
        <v>63</v>
      </c>
      <c r="R965" s="14">
        <v>1100</v>
      </c>
      <c r="S965" s="19">
        <f t="shared" si="177"/>
        <v>69300</v>
      </c>
      <c r="T965" s="16"/>
      <c r="U965" s="17" t="s">
        <v>63</v>
      </c>
      <c r="V965" s="17" t="s">
        <v>56</v>
      </c>
      <c r="W965" s="4">
        <v>204</v>
      </c>
      <c r="X965" s="16"/>
      <c r="Y965" s="5">
        <f>204-32</f>
        <v>172</v>
      </c>
      <c r="Z965" s="16"/>
      <c r="AA965" s="16"/>
      <c r="AB965" s="16">
        <v>14</v>
      </c>
      <c r="AC965" s="14"/>
      <c r="AD965" s="14"/>
      <c r="AE965" s="16"/>
      <c r="AF965" s="21">
        <v>2</v>
      </c>
      <c r="AG965" s="22">
        <f>Y965</f>
        <v>172</v>
      </c>
      <c r="AH965" s="6">
        <v>0.84</v>
      </c>
      <c r="AI965" s="21">
        <v>8100</v>
      </c>
      <c r="AJ965" s="20">
        <f t="shared" ref="AJ965:AJ987" si="183">+AG965*AH965*AI965</f>
        <v>1170288</v>
      </c>
      <c r="AK965" s="50">
        <v>14</v>
      </c>
      <c r="AL965" s="6">
        <v>0.18</v>
      </c>
      <c r="AM965" s="20">
        <f t="shared" ref="AM965:AM987" si="184">+AJ965-(AL965*AJ965)</f>
        <v>959636.16</v>
      </c>
      <c r="AN965" s="20">
        <f>+(S965*AH965)+AM965</f>
        <v>1017848.16</v>
      </c>
      <c r="AP965" s="20">
        <f t="shared" ref="AP965:AP987" si="185">AN965</f>
        <v>1017848.16</v>
      </c>
      <c r="AQ965" s="7"/>
      <c r="AR965" s="20"/>
      <c r="AS965" s="51"/>
    </row>
    <row r="966" spans="1:45" s="21" customFormat="1" ht="30" customHeight="1" x14ac:dyDescent="0.2">
      <c r="A966" s="8"/>
      <c r="B966" s="46"/>
      <c r="C966" s="16"/>
      <c r="D966" s="48"/>
      <c r="E966" s="47"/>
      <c r="F966" s="48"/>
      <c r="G966" s="49"/>
      <c r="H966" s="48"/>
      <c r="I966" s="48"/>
      <c r="J966" s="48"/>
      <c r="K966" s="3"/>
      <c r="L966" s="16"/>
      <c r="M966" s="57"/>
      <c r="N966" s="58"/>
      <c r="P966" s="16">
        <v>3</v>
      </c>
      <c r="Q966" s="20"/>
      <c r="R966" s="14">
        <v>1100</v>
      </c>
      <c r="S966" s="19"/>
      <c r="T966" s="16"/>
      <c r="U966" s="17"/>
      <c r="V966" s="17"/>
      <c r="W966" s="4"/>
      <c r="X966" s="16"/>
      <c r="Y966" s="5"/>
      <c r="Z966" s="16">
        <v>32</v>
      </c>
      <c r="AA966" s="16"/>
      <c r="AB966" s="16"/>
      <c r="AC966" s="14"/>
      <c r="AD966" s="14"/>
      <c r="AE966" s="16"/>
      <c r="AF966" s="21">
        <v>3</v>
      </c>
      <c r="AG966" s="22">
        <v>172</v>
      </c>
      <c r="AH966" s="6">
        <v>0.16</v>
      </c>
      <c r="AI966" s="21">
        <v>8100</v>
      </c>
      <c r="AJ966" s="20">
        <f t="shared" si="183"/>
        <v>222912</v>
      </c>
      <c r="AK966" s="50">
        <v>14</v>
      </c>
      <c r="AL966" s="6">
        <v>0.18</v>
      </c>
      <c r="AM966" s="20">
        <f t="shared" si="184"/>
        <v>182787.84</v>
      </c>
      <c r="AN966" s="20">
        <f>+(S965*0.16)+AM966</f>
        <v>193875.84</v>
      </c>
      <c r="AP966" s="20">
        <f t="shared" si="185"/>
        <v>193875.84</v>
      </c>
      <c r="AQ966" s="7">
        <v>3.0000000000000001E-3</v>
      </c>
      <c r="AR966" s="20">
        <v>720</v>
      </c>
      <c r="AS966" s="51"/>
    </row>
    <row r="967" spans="1:45" s="21" customFormat="1" ht="30" customHeight="1" x14ac:dyDescent="0.2">
      <c r="A967" s="8">
        <v>836</v>
      </c>
      <c r="B967" s="46">
        <v>1</v>
      </c>
      <c r="C967" s="16" t="s">
        <v>52</v>
      </c>
      <c r="D967" s="48">
        <v>1603</v>
      </c>
      <c r="E967" s="47">
        <v>38</v>
      </c>
      <c r="F967" s="48">
        <v>555</v>
      </c>
      <c r="G967" s="49">
        <v>2</v>
      </c>
      <c r="H967" s="48">
        <v>5</v>
      </c>
      <c r="I967" s="48">
        <v>2</v>
      </c>
      <c r="J967" s="48">
        <v>85</v>
      </c>
      <c r="K967" s="3">
        <f>5*400+200+85</f>
        <v>2285</v>
      </c>
      <c r="L967" s="16"/>
      <c r="M967" s="57"/>
      <c r="N967" s="58"/>
      <c r="P967" s="16">
        <v>1</v>
      </c>
      <c r="Q967" s="20">
        <f t="shared" ref="Q967:Q974" si="186">+(H967*400)+(I967*100)+J967</f>
        <v>2285</v>
      </c>
      <c r="R967" s="14">
        <v>200</v>
      </c>
      <c r="S967" s="20">
        <f t="shared" ref="S967:S974" si="187">+Q967*R967</f>
        <v>457000</v>
      </c>
      <c r="T967" s="16"/>
      <c r="U967" s="17"/>
      <c r="V967" s="17"/>
      <c r="W967" s="4"/>
      <c r="X967" s="16"/>
      <c r="Y967" s="5"/>
      <c r="Z967" s="16"/>
      <c r="AA967" s="16"/>
      <c r="AB967" s="16"/>
      <c r="AE967" s="16"/>
      <c r="AG967" s="22">
        <f t="shared" ref="AG967:AG973" si="188">Y967</f>
        <v>0</v>
      </c>
      <c r="AH967" s="6"/>
      <c r="AJ967" s="20">
        <f t="shared" si="183"/>
        <v>0</v>
      </c>
      <c r="AK967" s="50"/>
      <c r="AL967" s="6"/>
      <c r="AM967" s="20">
        <f t="shared" si="184"/>
        <v>0</v>
      </c>
      <c r="AN967" s="20">
        <f t="shared" ref="AN967:AN973" si="189">+S967+AM967</f>
        <v>457000</v>
      </c>
      <c r="AP967" s="20">
        <f t="shared" si="185"/>
        <v>457000</v>
      </c>
      <c r="AQ967" s="7"/>
      <c r="AR967" s="20"/>
      <c r="AS967" s="51">
        <v>31</v>
      </c>
    </row>
    <row r="968" spans="1:45" s="21" customFormat="1" ht="30" customHeight="1" x14ac:dyDescent="0.2">
      <c r="A968" s="8">
        <v>837</v>
      </c>
      <c r="B968" s="46">
        <v>1</v>
      </c>
      <c r="C968" s="16" t="s">
        <v>52</v>
      </c>
      <c r="D968" s="48">
        <v>2742</v>
      </c>
      <c r="E968" s="47">
        <v>29</v>
      </c>
      <c r="F968" s="48">
        <v>1931</v>
      </c>
      <c r="G968" s="49">
        <v>1</v>
      </c>
      <c r="H968" s="48">
        <v>34</v>
      </c>
      <c r="I968" s="48">
        <v>3</v>
      </c>
      <c r="J968" s="48">
        <v>84</v>
      </c>
      <c r="K968" s="3">
        <f>34*400+300+84</f>
        <v>13984</v>
      </c>
      <c r="L968" s="16"/>
      <c r="M968" s="57"/>
      <c r="N968" s="58"/>
      <c r="P968" s="16">
        <v>1</v>
      </c>
      <c r="Q968" s="20">
        <f t="shared" si="186"/>
        <v>13984</v>
      </c>
      <c r="R968" s="14">
        <v>160</v>
      </c>
      <c r="S968" s="19">
        <f t="shared" si="187"/>
        <v>2237440</v>
      </c>
      <c r="T968" s="16"/>
      <c r="U968" s="17"/>
      <c r="V968" s="17"/>
      <c r="W968" s="4"/>
      <c r="X968" s="16"/>
      <c r="Y968" s="5"/>
      <c r="Z968" s="16"/>
      <c r="AA968" s="16"/>
      <c r="AB968" s="16"/>
      <c r="AE968" s="16"/>
      <c r="AG968" s="22">
        <f t="shared" si="188"/>
        <v>0</v>
      </c>
      <c r="AH968" s="6"/>
      <c r="AJ968" s="20">
        <f t="shared" si="183"/>
        <v>0</v>
      </c>
      <c r="AK968" s="50"/>
      <c r="AL968" s="6"/>
      <c r="AM968" s="20">
        <f t="shared" si="184"/>
        <v>0</v>
      </c>
      <c r="AN968" s="20">
        <f t="shared" si="189"/>
        <v>2237440</v>
      </c>
      <c r="AP968" s="20">
        <f t="shared" si="185"/>
        <v>2237440</v>
      </c>
      <c r="AQ968" s="7"/>
      <c r="AR968" s="60"/>
      <c r="AS968" s="128">
        <v>132</v>
      </c>
    </row>
    <row r="969" spans="1:45" s="21" customFormat="1" ht="30" customHeight="1" x14ac:dyDescent="0.2">
      <c r="A969" s="8">
        <v>838</v>
      </c>
      <c r="B969" s="46">
        <v>2</v>
      </c>
      <c r="C969" s="16" t="s">
        <v>52</v>
      </c>
      <c r="D969" s="48">
        <v>2743</v>
      </c>
      <c r="E969" s="47">
        <v>28</v>
      </c>
      <c r="F969" s="48">
        <v>1932</v>
      </c>
      <c r="G969" s="49">
        <v>1</v>
      </c>
      <c r="H969" s="48">
        <v>9</v>
      </c>
      <c r="I969" s="48">
        <v>0</v>
      </c>
      <c r="J969" s="48">
        <v>45</v>
      </c>
      <c r="K969" s="3">
        <f>9*400+45</f>
        <v>3645</v>
      </c>
      <c r="L969" s="16"/>
      <c r="M969" s="57"/>
      <c r="N969" s="58"/>
      <c r="P969" s="16">
        <v>1</v>
      </c>
      <c r="Q969" s="20">
        <f t="shared" si="186"/>
        <v>3645</v>
      </c>
      <c r="R969" s="14">
        <v>160</v>
      </c>
      <c r="S969" s="19">
        <f t="shared" si="187"/>
        <v>583200</v>
      </c>
      <c r="T969" s="16"/>
      <c r="U969" s="17"/>
      <c r="V969" s="17"/>
      <c r="W969" s="4"/>
      <c r="X969" s="16"/>
      <c r="Y969" s="5"/>
      <c r="Z969" s="16"/>
      <c r="AA969" s="16"/>
      <c r="AB969" s="16"/>
      <c r="AE969" s="16"/>
      <c r="AG969" s="22">
        <f t="shared" si="188"/>
        <v>0</v>
      </c>
      <c r="AH969" s="6"/>
      <c r="AJ969" s="20">
        <f t="shared" si="183"/>
        <v>0</v>
      </c>
      <c r="AK969" s="50"/>
      <c r="AL969" s="6"/>
      <c r="AM969" s="20">
        <f t="shared" si="184"/>
        <v>0</v>
      </c>
      <c r="AN969" s="20">
        <f t="shared" si="189"/>
        <v>583200</v>
      </c>
      <c r="AP969" s="20">
        <f t="shared" si="185"/>
        <v>583200</v>
      </c>
      <c r="AQ969" s="7"/>
      <c r="AR969" s="25"/>
      <c r="AS969" s="130"/>
    </row>
    <row r="970" spans="1:45" s="21" customFormat="1" ht="30" customHeight="1" x14ac:dyDescent="0.2">
      <c r="A970" s="8">
        <v>839</v>
      </c>
      <c r="B970" s="46">
        <v>1</v>
      </c>
      <c r="C970" s="16" t="s">
        <v>52</v>
      </c>
      <c r="D970" s="48">
        <v>2741</v>
      </c>
      <c r="E970" s="47">
        <v>25</v>
      </c>
      <c r="F970" s="48">
        <v>1929</v>
      </c>
      <c r="G970" s="49">
        <v>1</v>
      </c>
      <c r="H970" s="48">
        <v>8</v>
      </c>
      <c r="I970" s="48">
        <v>1</v>
      </c>
      <c r="J970" s="48">
        <v>10</v>
      </c>
      <c r="K970" s="3">
        <f>8*400+100+10</f>
        <v>3310</v>
      </c>
      <c r="L970" s="16"/>
      <c r="M970" s="57"/>
      <c r="N970" s="58"/>
      <c r="P970" s="16">
        <v>1</v>
      </c>
      <c r="Q970" s="20">
        <f t="shared" si="186"/>
        <v>3310</v>
      </c>
      <c r="R970" s="14">
        <v>160</v>
      </c>
      <c r="S970" s="20">
        <f t="shared" si="187"/>
        <v>529600</v>
      </c>
      <c r="T970" s="16"/>
      <c r="U970" s="16"/>
      <c r="V970" s="16"/>
      <c r="W970" s="5"/>
      <c r="X970" s="16"/>
      <c r="Y970" s="5"/>
      <c r="Z970" s="16"/>
      <c r="AA970" s="16"/>
      <c r="AB970" s="16"/>
      <c r="AE970" s="16"/>
      <c r="AG970" s="22">
        <f t="shared" si="188"/>
        <v>0</v>
      </c>
      <c r="AH970" s="6"/>
      <c r="AJ970" s="20">
        <f t="shared" si="183"/>
        <v>0</v>
      </c>
      <c r="AK970" s="50"/>
      <c r="AL970" s="6"/>
      <c r="AM970" s="20">
        <f t="shared" si="184"/>
        <v>0</v>
      </c>
      <c r="AN970" s="20">
        <f t="shared" si="189"/>
        <v>529600</v>
      </c>
      <c r="AP970" s="20">
        <f t="shared" si="185"/>
        <v>529600</v>
      </c>
      <c r="AQ970" s="7"/>
      <c r="AR970" s="60"/>
      <c r="AS970" s="128">
        <v>245</v>
      </c>
    </row>
    <row r="971" spans="1:45" s="21" customFormat="1" ht="30" customHeight="1" x14ac:dyDescent="0.2">
      <c r="A971" s="8">
        <v>840</v>
      </c>
      <c r="B971" s="46">
        <v>2</v>
      </c>
      <c r="C971" s="16" t="s">
        <v>52</v>
      </c>
      <c r="D971" s="48">
        <v>2901</v>
      </c>
      <c r="E971" s="47">
        <v>26</v>
      </c>
      <c r="F971" s="48">
        <v>1930</v>
      </c>
      <c r="G971" s="49">
        <v>1</v>
      </c>
      <c r="H971" s="48">
        <v>36</v>
      </c>
      <c r="I971" s="48">
        <v>1</v>
      </c>
      <c r="J971" s="48">
        <v>33</v>
      </c>
      <c r="K971" s="3">
        <f>36*400+100+33</f>
        <v>14533</v>
      </c>
      <c r="L971" s="16"/>
      <c r="M971" s="57"/>
      <c r="N971" s="58"/>
      <c r="P971" s="16">
        <v>1</v>
      </c>
      <c r="Q971" s="20">
        <f t="shared" si="186"/>
        <v>14533</v>
      </c>
      <c r="R971" s="14">
        <v>160</v>
      </c>
      <c r="S971" s="19">
        <f t="shared" si="187"/>
        <v>2325280</v>
      </c>
      <c r="T971" s="16"/>
      <c r="U971" s="17"/>
      <c r="V971" s="16"/>
      <c r="W971" s="5"/>
      <c r="X971" s="16"/>
      <c r="Y971" s="5"/>
      <c r="Z971" s="16"/>
      <c r="AA971" s="16"/>
      <c r="AB971" s="16"/>
      <c r="AE971" s="16"/>
      <c r="AG971" s="22">
        <f t="shared" si="188"/>
        <v>0</v>
      </c>
      <c r="AH971" s="6"/>
      <c r="AJ971" s="20">
        <f t="shared" si="183"/>
        <v>0</v>
      </c>
      <c r="AK971" s="50"/>
      <c r="AL971" s="6"/>
      <c r="AM971" s="20">
        <f t="shared" si="184"/>
        <v>0</v>
      </c>
      <c r="AN971" s="20">
        <f t="shared" si="189"/>
        <v>2325280</v>
      </c>
      <c r="AP971" s="20">
        <f t="shared" si="185"/>
        <v>2325280</v>
      </c>
      <c r="AQ971" s="7"/>
      <c r="AR971" s="25"/>
      <c r="AS971" s="130"/>
    </row>
    <row r="972" spans="1:45" s="21" customFormat="1" ht="30" customHeight="1" x14ac:dyDescent="0.2">
      <c r="A972" s="8">
        <v>841</v>
      </c>
      <c r="B972" s="46">
        <v>1</v>
      </c>
      <c r="C972" s="16" t="s">
        <v>52</v>
      </c>
      <c r="D972" s="48">
        <v>1760</v>
      </c>
      <c r="E972" s="47">
        <v>21</v>
      </c>
      <c r="F972" s="48">
        <v>768</v>
      </c>
      <c r="G972" s="49">
        <v>6</v>
      </c>
      <c r="H972" s="48">
        <v>0</v>
      </c>
      <c r="I972" s="48">
        <v>3</v>
      </c>
      <c r="J972" s="48">
        <v>25</v>
      </c>
      <c r="K972" s="3"/>
      <c r="L972" s="16">
        <v>325</v>
      </c>
      <c r="M972" s="57"/>
      <c r="N972" s="58"/>
      <c r="P972" s="16">
        <v>2</v>
      </c>
      <c r="Q972" s="20">
        <f t="shared" si="186"/>
        <v>325</v>
      </c>
      <c r="R972" s="14">
        <v>2250</v>
      </c>
      <c r="S972" s="19">
        <f t="shared" si="187"/>
        <v>731250</v>
      </c>
      <c r="T972" s="16"/>
      <c r="U972" s="17" t="s">
        <v>57</v>
      </c>
      <c r="V972" s="17" t="s">
        <v>56</v>
      </c>
      <c r="W972" s="4"/>
      <c r="X972" s="16"/>
      <c r="Y972" s="5">
        <v>160</v>
      </c>
      <c r="Z972" s="16"/>
      <c r="AA972" s="16"/>
      <c r="AB972" s="16">
        <v>17</v>
      </c>
      <c r="AE972" s="16"/>
      <c r="AG972" s="22">
        <f t="shared" si="188"/>
        <v>160</v>
      </c>
      <c r="AH972" s="6"/>
      <c r="AJ972" s="20">
        <f t="shared" si="183"/>
        <v>0</v>
      </c>
      <c r="AK972" s="50">
        <v>17</v>
      </c>
      <c r="AL972" s="6"/>
      <c r="AM972" s="20">
        <f t="shared" si="184"/>
        <v>0</v>
      </c>
      <c r="AN972" s="20">
        <f t="shared" si="189"/>
        <v>731250</v>
      </c>
      <c r="AP972" s="20">
        <f t="shared" si="185"/>
        <v>731250</v>
      </c>
      <c r="AQ972" s="7"/>
      <c r="AR972" s="20"/>
      <c r="AS972" s="51"/>
    </row>
    <row r="973" spans="1:45" ht="30" customHeight="1" x14ac:dyDescent="0.2">
      <c r="A973" s="8">
        <v>842</v>
      </c>
      <c r="B973" s="13">
        <v>1</v>
      </c>
      <c r="C973" s="16" t="s">
        <v>69</v>
      </c>
      <c r="E973" s="17">
        <v>1497</v>
      </c>
      <c r="F973" s="17">
        <v>3</v>
      </c>
      <c r="G973" s="13">
        <v>6</v>
      </c>
      <c r="H973" s="17">
        <v>19</v>
      </c>
      <c r="I973" s="17">
        <v>1</v>
      </c>
      <c r="J973" s="17">
        <v>29</v>
      </c>
      <c r="K973" s="10">
        <v>7729</v>
      </c>
      <c r="P973" s="17">
        <v>1</v>
      </c>
      <c r="Q973" s="20">
        <f t="shared" si="186"/>
        <v>7729</v>
      </c>
      <c r="R973" s="14">
        <v>160</v>
      </c>
      <c r="S973" s="20">
        <f t="shared" si="187"/>
        <v>1236640</v>
      </c>
      <c r="AG973" s="22">
        <f t="shared" si="188"/>
        <v>0</v>
      </c>
      <c r="AJ973" s="20">
        <f t="shared" si="183"/>
        <v>0</v>
      </c>
      <c r="AM973" s="20">
        <f t="shared" si="184"/>
        <v>0</v>
      </c>
      <c r="AN973" s="20">
        <f t="shared" si="189"/>
        <v>1236640</v>
      </c>
      <c r="AP973" s="20">
        <f t="shared" si="185"/>
        <v>1236640</v>
      </c>
      <c r="AQ973" s="12">
        <v>1E-4</v>
      </c>
      <c r="AR973" s="20"/>
    </row>
    <row r="974" spans="1:45" s="21" customFormat="1" ht="30" customHeight="1" x14ac:dyDescent="0.2">
      <c r="A974" s="8">
        <v>843</v>
      </c>
      <c r="B974" s="46">
        <v>1</v>
      </c>
      <c r="C974" s="16" t="s">
        <v>52</v>
      </c>
      <c r="D974" s="48">
        <v>2441</v>
      </c>
      <c r="E974" s="47">
        <v>76</v>
      </c>
      <c r="F974" s="48">
        <v>415</v>
      </c>
      <c r="G974" s="49">
        <v>2</v>
      </c>
      <c r="H974" s="48">
        <v>0</v>
      </c>
      <c r="I974" s="48">
        <v>0</v>
      </c>
      <c r="J974" s="48">
        <v>95</v>
      </c>
      <c r="K974" s="3"/>
      <c r="L974" s="16">
        <v>95</v>
      </c>
      <c r="M974" s="57"/>
      <c r="N974" s="58"/>
      <c r="P974" s="16">
        <v>2</v>
      </c>
      <c r="Q974" s="20">
        <f t="shared" si="186"/>
        <v>95</v>
      </c>
      <c r="R974" s="14">
        <v>4500</v>
      </c>
      <c r="S974" s="19">
        <f t="shared" si="187"/>
        <v>427500</v>
      </c>
      <c r="T974" s="16"/>
      <c r="U974" s="17"/>
      <c r="V974" s="17"/>
      <c r="W974" s="4">
        <v>337.5</v>
      </c>
      <c r="X974" s="16"/>
      <c r="Y974" s="5">
        <v>247.5</v>
      </c>
      <c r="Z974" s="16"/>
      <c r="AA974" s="16"/>
      <c r="AB974" s="16">
        <v>23</v>
      </c>
      <c r="AE974" s="16"/>
      <c r="AF974" s="21">
        <v>2</v>
      </c>
      <c r="AG974" s="22">
        <v>337.5</v>
      </c>
      <c r="AH974" s="6">
        <v>0.73</v>
      </c>
      <c r="AI974" s="21">
        <v>7250</v>
      </c>
      <c r="AJ974" s="20">
        <f t="shared" si="183"/>
        <v>1786218.75</v>
      </c>
      <c r="AK974" s="50">
        <v>22</v>
      </c>
      <c r="AL974" s="6">
        <v>0.36</v>
      </c>
      <c r="AM974" s="20">
        <f t="shared" si="184"/>
        <v>1143180</v>
      </c>
      <c r="AN974" s="20">
        <f>+(S974*0.73)+AM974</f>
        <v>1455255</v>
      </c>
      <c r="AP974" s="20">
        <f t="shared" si="185"/>
        <v>1455255</v>
      </c>
      <c r="AQ974" s="7"/>
      <c r="AR974" s="20"/>
      <c r="AS974" s="51"/>
    </row>
    <row r="975" spans="1:45" s="21" customFormat="1" ht="30" customHeight="1" x14ac:dyDescent="0.2">
      <c r="A975" s="8"/>
      <c r="B975" s="46"/>
      <c r="C975" s="16"/>
      <c r="D975" s="48"/>
      <c r="E975" s="47"/>
      <c r="F975" s="48"/>
      <c r="G975" s="49"/>
      <c r="H975" s="48"/>
      <c r="I975" s="48"/>
      <c r="J975" s="48"/>
      <c r="K975" s="3"/>
      <c r="L975" s="16"/>
      <c r="M975" s="57"/>
      <c r="N975" s="58"/>
      <c r="P975" s="16"/>
      <c r="Q975" s="20"/>
      <c r="R975" s="14" t="e">
        <v>#N/A</v>
      </c>
      <c r="S975" s="19"/>
      <c r="T975" s="16"/>
      <c r="U975" s="17"/>
      <c r="V975" s="17"/>
      <c r="W975" s="4"/>
      <c r="X975" s="16"/>
      <c r="Y975" s="5"/>
      <c r="Z975" s="16">
        <v>90</v>
      </c>
      <c r="AA975" s="16"/>
      <c r="AB975" s="16"/>
      <c r="AE975" s="16"/>
      <c r="AF975" s="21">
        <v>3</v>
      </c>
      <c r="AG975" s="22">
        <v>337.5</v>
      </c>
      <c r="AH975" s="6">
        <v>0.27</v>
      </c>
      <c r="AI975" s="21">
        <v>7250</v>
      </c>
      <c r="AJ975" s="20">
        <f t="shared" si="183"/>
        <v>660656.25</v>
      </c>
      <c r="AK975" s="50">
        <v>22</v>
      </c>
      <c r="AL975" s="6">
        <v>0.36</v>
      </c>
      <c r="AM975" s="20">
        <f t="shared" si="184"/>
        <v>422820</v>
      </c>
      <c r="AN975" s="20">
        <f>+(S974*0.27)+AM975</f>
        <v>538245</v>
      </c>
      <c r="AP975" s="20">
        <f t="shared" si="185"/>
        <v>538245</v>
      </c>
      <c r="AQ975" s="7">
        <v>3.0000000000000001E-3</v>
      </c>
      <c r="AR975" s="20"/>
      <c r="AS975" s="51"/>
    </row>
    <row r="976" spans="1:45" s="21" customFormat="1" ht="30" customHeight="1" x14ac:dyDescent="0.2">
      <c r="A976" s="8">
        <v>844</v>
      </c>
      <c r="B976" s="46">
        <v>1</v>
      </c>
      <c r="C976" s="16" t="s">
        <v>52</v>
      </c>
      <c r="D976" s="48">
        <v>37612</v>
      </c>
      <c r="E976" s="47">
        <v>222</v>
      </c>
      <c r="F976" s="48">
        <v>7624</v>
      </c>
      <c r="G976" s="49">
        <v>2</v>
      </c>
      <c r="H976" s="48">
        <v>0</v>
      </c>
      <c r="I976" s="48">
        <v>1</v>
      </c>
      <c r="J976" s="48">
        <v>2</v>
      </c>
      <c r="K976" s="3"/>
      <c r="L976" s="16">
        <v>102</v>
      </c>
      <c r="M976" s="57"/>
      <c r="N976" s="58"/>
      <c r="P976" s="16">
        <v>2</v>
      </c>
      <c r="Q976" s="20">
        <f t="shared" ref="Q976:Q993" si="190">+(H976*400)+(I976*100)+J976</f>
        <v>102</v>
      </c>
      <c r="R976" s="14">
        <v>250</v>
      </c>
      <c r="S976" s="19">
        <f t="shared" ref="S976:S987" si="191">+Q976*R976</f>
        <v>25500</v>
      </c>
      <c r="T976" s="16"/>
      <c r="U976" s="17"/>
      <c r="V976" s="17"/>
      <c r="W976" s="4"/>
      <c r="X976" s="16"/>
      <c r="Y976" s="5"/>
      <c r="Z976" s="16"/>
      <c r="AA976" s="16"/>
      <c r="AB976" s="16"/>
      <c r="AE976" s="16"/>
      <c r="AG976" s="22">
        <f t="shared" ref="AG976:AG986" si="192">Y976</f>
        <v>0</v>
      </c>
      <c r="AH976" s="6"/>
      <c r="AJ976" s="20">
        <f t="shared" si="183"/>
        <v>0</v>
      </c>
      <c r="AK976" s="50"/>
      <c r="AL976" s="6"/>
      <c r="AM976" s="20">
        <f t="shared" si="184"/>
        <v>0</v>
      </c>
      <c r="AN976" s="20">
        <f t="shared" ref="AN976:AN987" si="193">+S976+AM976</f>
        <v>25500</v>
      </c>
      <c r="AP976" s="20">
        <f t="shared" si="185"/>
        <v>25500</v>
      </c>
      <c r="AQ976" s="7"/>
      <c r="AR976" s="20"/>
      <c r="AS976" s="51"/>
    </row>
    <row r="977" spans="1:45" ht="30" customHeight="1" x14ac:dyDescent="0.2">
      <c r="A977" s="8">
        <v>845</v>
      </c>
      <c r="B977" s="13">
        <v>1</v>
      </c>
      <c r="C977" s="16" t="s">
        <v>65</v>
      </c>
      <c r="D977" s="17">
        <v>1910</v>
      </c>
      <c r="E977" s="17">
        <v>83</v>
      </c>
      <c r="H977" s="17">
        <v>2</v>
      </c>
      <c r="I977" s="17">
        <v>1</v>
      </c>
      <c r="J977" s="17">
        <v>10</v>
      </c>
      <c r="K977" s="10">
        <v>910</v>
      </c>
      <c r="P977" s="17">
        <v>1</v>
      </c>
      <c r="Q977" s="20">
        <f t="shared" si="190"/>
        <v>910</v>
      </c>
      <c r="R977" s="14">
        <v>1500</v>
      </c>
      <c r="S977" s="20">
        <f t="shared" si="191"/>
        <v>1365000</v>
      </c>
      <c r="AC977" s="21"/>
      <c r="AD977" s="21"/>
      <c r="AG977" s="22">
        <f t="shared" si="192"/>
        <v>0</v>
      </c>
      <c r="AJ977" s="20">
        <f t="shared" si="183"/>
        <v>0</v>
      </c>
      <c r="AM977" s="20">
        <f t="shared" si="184"/>
        <v>0</v>
      </c>
      <c r="AN977" s="20">
        <f t="shared" si="193"/>
        <v>1365000</v>
      </c>
      <c r="AP977" s="20">
        <f t="shared" si="185"/>
        <v>1365000</v>
      </c>
      <c r="AQ977" s="12">
        <v>1E-4</v>
      </c>
      <c r="AR977" s="20"/>
    </row>
    <row r="978" spans="1:45" s="21" customFormat="1" ht="30" customHeight="1" x14ac:dyDescent="0.2">
      <c r="A978" s="8">
        <v>846</v>
      </c>
      <c r="B978" s="46">
        <v>1</v>
      </c>
      <c r="C978" s="16" t="s">
        <v>52</v>
      </c>
      <c r="D978" s="48">
        <v>33358</v>
      </c>
      <c r="E978" s="47">
        <v>38</v>
      </c>
      <c r="F978" s="48">
        <v>6554</v>
      </c>
      <c r="G978" s="49">
        <v>5</v>
      </c>
      <c r="H978" s="48">
        <v>19</v>
      </c>
      <c r="I978" s="48">
        <v>1</v>
      </c>
      <c r="J978" s="48">
        <v>54</v>
      </c>
      <c r="K978" s="3">
        <f>19*400+100+54</f>
        <v>7754</v>
      </c>
      <c r="L978" s="16"/>
      <c r="M978" s="57"/>
      <c r="N978" s="58"/>
      <c r="P978" s="16">
        <v>1</v>
      </c>
      <c r="Q978" s="20">
        <f t="shared" si="190"/>
        <v>7754</v>
      </c>
      <c r="R978" s="14">
        <v>375</v>
      </c>
      <c r="S978" s="19">
        <f t="shared" si="191"/>
        <v>2907750</v>
      </c>
      <c r="T978" s="16"/>
      <c r="U978" s="17"/>
      <c r="V978" s="17"/>
      <c r="W978" s="4"/>
      <c r="X978" s="16"/>
      <c r="Y978" s="5"/>
      <c r="Z978" s="16"/>
      <c r="AA978" s="16"/>
      <c r="AB978" s="16"/>
      <c r="AE978" s="16"/>
      <c r="AG978" s="22">
        <f t="shared" si="192"/>
        <v>0</v>
      </c>
      <c r="AH978" s="6"/>
      <c r="AJ978" s="20">
        <f t="shared" si="183"/>
        <v>0</v>
      </c>
      <c r="AK978" s="50"/>
      <c r="AL978" s="6"/>
      <c r="AM978" s="20">
        <f t="shared" si="184"/>
        <v>0</v>
      </c>
      <c r="AN978" s="20">
        <f t="shared" si="193"/>
        <v>2907750</v>
      </c>
      <c r="AP978" s="20">
        <f t="shared" si="185"/>
        <v>2907750</v>
      </c>
      <c r="AQ978" s="7"/>
      <c r="AR978" s="20"/>
      <c r="AS978" s="51">
        <v>101</v>
      </c>
    </row>
    <row r="979" spans="1:45" s="21" customFormat="1" ht="30" customHeight="1" x14ac:dyDescent="0.2">
      <c r="A979" s="8">
        <v>847</v>
      </c>
      <c r="B979" s="46">
        <v>1</v>
      </c>
      <c r="C979" s="16" t="s">
        <v>52</v>
      </c>
      <c r="D979" s="48">
        <v>2756</v>
      </c>
      <c r="E979" s="47">
        <v>4</v>
      </c>
      <c r="F979" s="48">
        <v>1945</v>
      </c>
      <c r="G979" s="49">
        <v>1</v>
      </c>
      <c r="H979" s="48">
        <v>8</v>
      </c>
      <c r="I979" s="48">
        <v>1</v>
      </c>
      <c r="J979" s="48">
        <v>93</v>
      </c>
      <c r="K979" s="3">
        <f>8*400+100+93</f>
        <v>3393</v>
      </c>
      <c r="L979" s="16"/>
      <c r="M979" s="57"/>
      <c r="N979" s="58"/>
      <c r="P979" s="16">
        <v>1</v>
      </c>
      <c r="Q979" s="20">
        <f t="shared" si="190"/>
        <v>3393</v>
      </c>
      <c r="R979" s="14">
        <v>160</v>
      </c>
      <c r="S979" s="19">
        <f t="shared" si="191"/>
        <v>542880</v>
      </c>
      <c r="T979" s="16"/>
      <c r="U979" s="17"/>
      <c r="V979" s="17"/>
      <c r="W979" s="4"/>
      <c r="X979" s="16"/>
      <c r="Y979" s="5"/>
      <c r="Z979" s="16"/>
      <c r="AA979" s="16"/>
      <c r="AB979" s="16"/>
      <c r="AE979" s="16"/>
      <c r="AG979" s="22">
        <f t="shared" si="192"/>
        <v>0</v>
      </c>
      <c r="AH979" s="6"/>
      <c r="AJ979" s="20">
        <f t="shared" si="183"/>
        <v>0</v>
      </c>
      <c r="AK979" s="50"/>
      <c r="AL979" s="6"/>
      <c r="AM979" s="20">
        <f t="shared" si="184"/>
        <v>0</v>
      </c>
      <c r="AN979" s="20">
        <f t="shared" si="193"/>
        <v>542880</v>
      </c>
      <c r="AP979" s="20">
        <f t="shared" si="185"/>
        <v>542880</v>
      </c>
      <c r="AQ979" s="7"/>
      <c r="AR979" s="60"/>
      <c r="AS979" s="128">
        <v>131</v>
      </c>
    </row>
    <row r="980" spans="1:45" s="21" customFormat="1" ht="30" customHeight="1" x14ac:dyDescent="0.2">
      <c r="A980" s="8">
        <v>848</v>
      </c>
      <c r="B980" s="46">
        <v>2</v>
      </c>
      <c r="C980" s="16" t="s">
        <v>52</v>
      </c>
      <c r="D980" s="48">
        <v>2757</v>
      </c>
      <c r="E980" s="47">
        <v>3</v>
      </c>
      <c r="F980" s="48">
        <v>1946</v>
      </c>
      <c r="G980" s="49">
        <v>1</v>
      </c>
      <c r="H980" s="48">
        <v>35</v>
      </c>
      <c r="I980" s="48">
        <v>1</v>
      </c>
      <c r="J980" s="48">
        <v>31</v>
      </c>
      <c r="K980" s="3">
        <f>35*400+100+31</f>
        <v>14131</v>
      </c>
      <c r="L980" s="16"/>
      <c r="M980" s="57"/>
      <c r="N980" s="58"/>
      <c r="P980" s="16">
        <v>1</v>
      </c>
      <c r="Q980" s="20">
        <f t="shared" si="190"/>
        <v>14131</v>
      </c>
      <c r="R980" s="14">
        <v>160</v>
      </c>
      <c r="S980" s="20">
        <f t="shared" si="191"/>
        <v>2260960</v>
      </c>
      <c r="T980" s="16"/>
      <c r="U980" s="16"/>
      <c r="V980" s="16"/>
      <c r="W980" s="5"/>
      <c r="X980" s="16"/>
      <c r="Y980" s="5"/>
      <c r="Z980" s="16"/>
      <c r="AA980" s="16"/>
      <c r="AB980" s="16"/>
      <c r="AE980" s="16"/>
      <c r="AG980" s="22">
        <f t="shared" si="192"/>
        <v>0</v>
      </c>
      <c r="AH980" s="6"/>
      <c r="AJ980" s="20">
        <f t="shared" si="183"/>
        <v>0</v>
      </c>
      <c r="AK980" s="50"/>
      <c r="AL980" s="6"/>
      <c r="AM980" s="20">
        <f t="shared" si="184"/>
        <v>0</v>
      </c>
      <c r="AN980" s="20">
        <f t="shared" si="193"/>
        <v>2260960</v>
      </c>
      <c r="AP980" s="20">
        <f t="shared" si="185"/>
        <v>2260960</v>
      </c>
      <c r="AQ980" s="7"/>
      <c r="AR980" s="25"/>
      <c r="AS980" s="130"/>
    </row>
    <row r="981" spans="1:45" s="21" customFormat="1" ht="30" customHeight="1" x14ac:dyDescent="0.2">
      <c r="A981" s="8">
        <v>849</v>
      </c>
      <c r="B981" s="46">
        <v>1</v>
      </c>
      <c r="C981" s="16" t="s">
        <v>52</v>
      </c>
      <c r="D981" s="48">
        <v>4923</v>
      </c>
      <c r="E981" s="47">
        <v>58</v>
      </c>
      <c r="F981" s="48">
        <v>2799</v>
      </c>
      <c r="G981" s="49">
        <v>7</v>
      </c>
      <c r="H981" s="48">
        <v>0</v>
      </c>
      <c r="I981" s="48">
        <v>2</v>
      </c>
      <c r="J981" s="48">
        <v>69</v>
      </c>
      <c r="K981" s="3">
        <v>269</v>
      </c>
      <c r="L981" s="16"/>
      <c r="M981" s="57"/>
      <c r="N981" s="58"/>
      <c r="P981" s="16">
        <v>1</v>
      </c>
      <c r="Q981" s="20">
        <f t="shared" si="190"/>
        <v>269</v>
      </c>
      <c r="R981" s="14">
        <v>160</v>
      </c>
      <c r="S981" s="19">
        <f t="shared" si="191"/>
        <v>43040</v>
      </c>
      <c r="T981" s="16"/>
      <c r="U981" s="17"/>
      <c r="V981" s="16"/>
      <c r="W981" s="5"/>
      <c r="X981" s="16"/>
      <c r="Y981" s="5"/>
      <c r="Z981" s="16"/>
      <c r="AA981" s="16"/>
      <c r="AB981" s="16"/>
      <c r="AC981" s="14"/>
      <c r="AD981" s="14"/>
      <c r="AE981" s="16"/>
      <c r="AG981" s="22">
        <f t="shared" si="192"/>
        <v>0</v>
      </c>
      <c r="AH981" s="6"/>
      <c r="AJ981" s="20">
        <f t="shared" si="183"/>
        <v>0</v>
      </c>
      <c r="AK981" s="50"/>
      <c r="AL981" s="6"/>
      <c r="AM981" s="20">
        <f t="shared" si="184"/>
        <v>0</v>
      </c>
      <c r="AN981" s="20">
        <f t="shared" si="193"/>
        <v>43040</v>
      </c>
      <c r="AP981" s="20">
        <f t="shared" si="185"/>
        <v>43040</v>
      </c>
      <c r="AQ981" s="7"/>
      <c r="AR981" s="20"/>
      <c r="AS981" s="51"/>
    </row>
    <row r="982" spans="1:45" s="21" customFormat="1" ht="30" customHeight="1" x14ac:dyDescent="0.2">
      <c r="A982" s="131">
        <v>850</v>
      </c>
      <c r="B982" s="46">
        <v>1</v>
      </c>
      <c r="C982" s="16" t="s">
        <v>52</v>
      </c>
      <c r="D982" s="48">
        <v>1364</v>
      </c>
      <c r="E982" s="47">
        <v>43</v>
      </c>
      <c r="F982" s="48">
        <v>653</v>
      </c>
      <c r="G982" s="49">
        <v>1</v>
      </c>
      <c r="H982" s="48">
        <v>4</v>
      </c>
      <c r="I982" s="48">
        <v>3</v>
      </c>
      <c r="J982" s="48">
        <v>89</v>
      </c>
      <c r="K982" s="3">
        <f>1989-L982</f>
        <v>1935.4375</v>
      </c>
      <c r="L982" s="16">
        <f>(166.25+48)/4</f>
        <v>53.5625</v>
      </c>
      <c r="M982" s="57"/>
      <c r="N982" s="58"/>
      <c r="P982" s="16">
        <v>5</v>
      </c>
      <c r="Q982" s="20">
        <f t="shared" si="190"/>
        <v>1989</v>
      </c>
      <c r="R982" s="14">
        <v>160</v>
      </c>
      <c r="S982" s="19">
        <f t="shared" si="191"/>
        <v>318240</v>
      </c>
      <c r="T982" s="16"/>
      <c r="U982" s="17" t="s">
        <v>57</v>
      </c>
      <c r="V982" s="17" t="s">
        <v>56</v>
      </c>
      <c r="W982" s="4"/>
      <c r="X982" s="16"/>
      <c r="Y982" s="5">
        <v>166.25</v>
      </c>
      <c r="Z982" s="16"/>
      <c r="AA982" s="16"/>
      <c r="AB982" s="16">
        <v>27</v>
      </c>
      <c r="AE982" s="16"/>
      <c r="AG982" s="22">
        <f t="shared" si="192"/>
        <v>166.25</v>
      </c>
      <c r="AH982" s="6"/>
      <c r="AJ982" s="20">
        <f t="shared" si="183"/>
        <v>0</v>
      </c>
      <c r="AK982" s="50">
        <v>27</v>
      </c>
      <c r="AL982" s="6"/>
      <c r="AM982" s="20">
        <f t="shared" si="184"/>
        <v>0</v>
      </c>
      <c r="AN982" s="20">
        <f t="shared" si="193"/>
        <v>318240</v>
      </c>
      <c r="AP982" s="20">
        <f t="shared" si="185"/>
        <v>318240</v>
      </c>
      <c r="AQ982" s="7"/>
      <c r="AR982" s="20"/>
      <c r="AS982" s="51"/>
    </row>
    <row r="983" spans="1:45" s="21" customFormat="1" ht="30" customHeight="1" x14ac:dyDescent="0.2">
      <c r="A983" s="131"/>
      <c r="B983" s="46"/>
      <c r="C983" s="16"/>
      <c r="D983" s="48"/>
      <c r="E983" s="47"/>
      <c r="F983" s="48"/>
      <c r="G983" s="49"/>
      <c r="H983" s="48"/>
      <c r="I983" s="48"/>
      <c r="J983" s="48"/>
      <c r="K983" s="3"/>
      <c r="L983" s="16"/>
      <c r="M983" s="57"/>
      <c r="N983" s="58"/>
      <c r="P983" s="16"/>
      <c r="Q983" s="20">
        <f t="shared" si="190"/>
        <v>0</v>
      </c>
      <c r="R983" s="14" t="e">
        <v>#N/A</v>
      </c>
      <c r="S983" s="20" t="e">
        <f t="shared" si="191"/>
        <v>#N/A</v>
      </c>
      <c r="T983" s="16"/>
      <c r="U983" s="17" t="s">
        <v>57</v>
      </c>
      <c r="V983" s="17" t="s">
        <v>56</v>
      </c>
      <c r="W983" s="4"/>
      <c r="X983" s="16"/>
      <c r="Y983" s="5">
        <v>48</v>
      </c>
      <c r="Z983" s="16"/>
      <c r="AA983" s="16"/>
      <c r="AB983" s="16">
        <v>10</v>
      </c>
      <c r="AE983" s="16"/>
      <c r="AG983" s="22">
        <f t="shared" si="192"/>
        <v>48</v>
      </c>
      <c r="AH983" s="6"/>
      <c r="AJ983" s="20">
        <f t="shared" si="183"/>
        <v>0</v>
      </c>
      <c r="AK983" s="50">
        <v>10</v>
      </c>
      <c r="AL983" s="6"/>
      <c r="AM983" s="20">
        <f t="shared" si="184"/>
        <v>0</v>
      </c>
      <c r="AN983" s="20" t="e">
        <f t="shared" si="193"/>
        <v>#N/A</v>
      </c>
      <c r="AP983" s="20" t="e">
        <f t="shared" si="185"/>
        <v>#N/A</v>
      </c>
      <c r="AQ983" s="7"/>
      <c r="AR983" s="20"/>
      <c r="AS983" s="51"/>
    </row>
    <row r="984" spans="1:45" s="21" customFormat="1" ht="30" customHeight="1" x14ac:dyDescent="0.2">
      <c r="A984" s="8">
        <v>851</v>
      </c>
      <c r="B984" s="46">
        <v>2</v>
      </c>
      <c r="C984" s="16" t="s">
        <v>52</v>
      </c>
      <c r="D984" s="48">
        <v>29491</v>
      </c>
      <c r="E984" s="47">
        <v>137</v>
      </c>
      <c r="F984" s="48">
        <v>5612</v>
      </c>
      <c r="G984" s="49">
        <v>1</v>
      </c>
      <c r="H984" s="48">
        <v>2</v>
      </c>
      <c r="I984" s="48">
        <v>0</v>
      </c>
      <c r="J984" s="48">
        <v>25</v>
      </c>
      <c r="K984" s="3">
        <v>825</v>
      </c>
      <c r="L984" s="16"/>
      <c r="M984" s="57"/>
      <c r="N984" s="58"/>
      <c r="P984" s="16">
        <v>1</v>
      </c>
      <c r="Q984" s="20">
        <f t="shared" si="190"/>
        <v>825</v>
      </c>
      <c r="R984" s="14">
        <v>160</v>
      </c>
      <c r="S984" s="19">
        <f t="shared" si="191"/>
        <v>132000</v>
      </c>
      <c r="T984" s="16"/>
      <c r="U984" s="17"/>
      <c r="V984" s="17"/>
      <c r="W984" s="4"/>
      <c r="X984" s="16"/>
      <c r="Y984" s="5"/>
      <c r="Z984" s="16"/>
      <c r="AA984" s="16"/>
      <c r="AB984" s="16"/>
      <c r="AC984" s="14"/>
      <c r="AD984" s="14"/>
      <c r="AE984" s="16"/>
      <c r="AG984" s="22">
        <f t="shared" si="192"/>
        <v>0</v>
      </c>
      <c r="AH984" s="6"/>
      <c r="AJ984" s="20">
        <f t="shared" si="183"/>
        <v>0</v>
      </c>
      <c r="AK984" s="50"/>
      <c r="AL984" s="6"/>
      <c r="AM984" s="20">
        <f t="shared" si="184"/>
        <v>0</v>
      </c>
      <c r="AN984" s="20">
        <f t="shared" si="193"/>
        <v>132000</v>
      </c>
      <c r="AP984" s="20">
        <f t="shared" si="185"/>
        <v>132000</v>
      </c>
      <c r="AQ984" s="7"/>
      <c r="AR984" s="20"/>
      <c r="AS984" s="51"/>
    </row>
    <row r="985" spans="1:45" ht="30" customHeight="1" x14ac:dyDescent="0.2">
      <c r="A985" s="2">
        <v>852</v>
      </c>
      <c r="B985" s="13">
        <v>1</v>
      </c>
      <c r="C985" s="16" t="s">
        <v>69</v>
      </c>
      <c r="E985" s="17">
        <v>151</v>
      </c>
      <c r="F985" s="17">
        <v>16</v>
      </c>
      <c r="G985" s="13">
        <v>2</v>
      </c>
      <c r="H985" s="17">
        <v>9</v>
      </c>
      <c r="I985" s="17">
        <v>1</v>
      </c>
      <c r="J985" s="17">
        <v>97</v>
      </c>
      <c r="K985" s="10">
        <v>3797</v>
      </c>
      <c r="P985" s="17">
        <v>1</v>
      </c>
      <c r="Q985" s="20">
        <f t="shared" si="190"/>
        <v>3797</v>
      </c>
      <c r="R985" s="14">
        <v>200</v>
      </c>
      <c r="S985" s="19">
        <f t="shared" si="191"/>
        <v>759400</v>
      </c>
      <c r="AG985" s="22">
        <f t="shared" si="192"/>
        <v>0</v>
      </c>
      <c r="AJ985" s="20">
        <f t="shared" si="183"/>
        <v>0</v>
      </c>
      <c r="AM985" s="20">
        <f t="shared" si="184"/>
        <v>0</v>
      </c>
      <c r="AN985" s="20">
        <f t="shared" si="193"/>
        <v>759400</v>
      </c>
      <c r="AP985" s="20">
        <f t="shared" si="185"/>
        <v>759400</v>
      </c>
      <c r="AQ985" s="12">
        <v>1E-4</v>
      </c>
      <c r="AR985" s="20"/>
    </row>
    <row r="986" spans="1:45" ht="30" customHeight="1" x14ac:dyDescent="0.2">
      <c r="A986" s="8">
        <v>853</v>
      </c>
      <c r="B986" s="13">
        <v>2</v>
      </c>
      <c r="C986" s="16" t="s">
        <v>69</v>
      </c>
      <c r="E986" s="17">
        <v>151</v>
      </c>
      <c r="F986" s="17">
        <v>17</v>
      </c>
      <c r="G986" s="13">
        <v>2</v>
      </c>
      <c r="H986" s="17">
        <v>13</v>
      </c>
      <c r="I986" s="17">
        <v>3</v>
      </c>
      <c r="J986" s="17">
        <v>59</v>
      </c>
      <c r="K986" s="10">
        <v>5559</v>
      </c>
      <c r="P986" s="17">
        <v>1</v>
      </c>
      <c r="Q986" s="20">
        <f t="shared" si="190"/>
        <v>5559</v>
      </c>
      <c r="R986" s="14">
        <v>200</v>
      </c>
      <c r="S986" s="20">
        <f t="shared" si="191"/>
        <v>1111800</v>
      </c>
      <c r="AG986" s="22">
        <f t="shared" si="192"/>
        <v>0</v>
      </c>
      <c r="AJ986" s="20">
        <f t="shared" si="183"/>
        <v>0</v>
      </c>
      <c r="AM986" s="20">
        <f t="shared" si="184"/>
        <v>0</v>
      </c>
      <c r="AN986" s="20">
        <f t="shared" si="193"/>
        <v>1111800</v>
      </c>
      <c r="AP986" s="20">
        <f t="shared" si="185"/>
        <v>1111800</v>
      </c>
      <c r="AQ986" s="12">
        <v>1E-4</v>
      </c>
      <c r="AR986" s="20"/>
    </row>
    <row r="987" spans="1:45" s="21" customFormat="1" ht="30" customHeight="1" x14ac:dyDescent="0.2">
      <c r="A987" s="2">
        <v>854</v>
      </c>
      <c r="B987" s="46">
        <v>1</v>
      </c>
      <c r="C987" s="16" t="s">
        <v>52</v>
      </c>
      <c r="D987" s="48">
        <v>30134</v>
      </c>
      <c r="E987" s="47">
        <v>531</v>
      </c>
      <c r="F987" s="48">
        <v>5795</v>
      </c>
      <c r="G987" s="49">
        <v>2</v>
      </c>
      <c r="H987" s="48">
        <v>0</v>
      </c>
      <c r="I987" s="48">
        <v>0</v>
      </c>
      <c r="J987" s="48">
        <v>22.05</v>
      </c>
      <c r="K987" s="3"/>
      <c r="L987" s="16">
        <v>22.05</v>
      </c>
      <c r="M987" s="57"/>
      <c r="N987" s="58"/>
      <c r="P987" s="16">
        <v>2</v>
      </c>
      <c r="Q987" s="20">
        <f t="shared" si="190"/>
        <v>22.05</v>
      </c>
      <c r="R987" s="14">
        <v>160</v>
      </c>
      <c r="S987" s="19">
        <f t="shared" si="191"/>
        <v>3528</v>
      </c>
      <c r="T987" s="16"/>
      <c r="U987" s="17" t="s">
        <v>63</v>
      </c>
      <c r="V987" s="17" t="s">
        <v>56</v>
      </c>
      <c r="W987" s="64">
        <v>216</v>
      </c>
      <c r="X987" s="63"/>
      <c r="Y987" s="28" t="s">
        <v>77</v>
      </c>
      <c r="Z987" s="63"/>
      <c r="AA987" s="65"/>
      <c r="AB987" s="63" t="s">
        <v>78</v>
      </c>
      <c r="AD987" s="29"/>
      <c r="AE987" s="29"/>
      <c r="AF987" s="14">
        <v>2</v>
      </c>
      <c r="AG987" s="14">
        <v>216</v>
      </c>
      <c r="AH987" s="11">
        <v>1</v>
      </c>
      <c r="AI987" s="14">
        <v>8100</v>
      </c>
      <c r="AJ987" s="20">
        <f t="shared" si="183"/>
        <v>1749600</v>
      </c>
      <c r="AK987" s="66" t="str">
        <f>AB987</f>
        <v>7</v>
      </c>
      <c r="AL987" s="11">
        <v>7.0000000000000007E-2</v>
      </c>
      <c r="AM987" s="20">
        <f t="shared" si="184"/>
        <v>1627128</v>
      </c>
      <c r="AN987" s="20">
        <f t="shared" si="193"/>
        <v>1630656</v>
      </c>
      <c r="AP987" s="20">
        <f t="shared" si="185"/>
        <v>1630656</v>
      </c>
      <c r="AQ987" s="7"/>
      <c r="AR987" s="20"/>
      <c r="AS987" s="51">
        <v>1654</v>
      </c>
    </row>
    <row r="988" spans="1:45" s="21" customFormat="1" ht="30" customHeight="1" x14ac:dyDescent="0.2">
      <c r="A988" s="2"/>
      <c r="B988" s="46"/>
      <c r="C988" s="16"/>
      <c r="D988" s="48"/>
      <c r="E988" s="47"/>
      <c r="F988" s="48"/>
      <c r="G988" s="49"/>
      <c r="H988" s="48"/>
      <c r="I988" s="48"/>
      <c r="J988" s="48"/>
      <c r="K988" s="3"/>
      <c r="L988" s="16"/>
      <c r="M988" s="57"/>
      <c r="N988" s="58"/>
      <c r="P988" s="16"/>
      <c r="Q988" s="20">
        <f t="shared" si="190"/>
        <v>0</v>
      </c>
      <c r="R988" s="14" t="e">
        <v>#N/A</v>
      </c>
      <c r="S988" s="19"/>
      <c r="T988" s="16"/>
      <c r="U988" s="17"/>
      <c r="V988" s="17"/>
      <c r="W988" s="4"/>
      <c r="X988" s="16"/>
      <c r="Y988" s="5"/>
      <c r="Z988" s="16"/>
      <c r="AA988" s="16"/>
      <c r="AB988" s="16"/>
      <c r="AC988" s="14"/>
      <c r="AD988" s="14"/>
      <c r="AE988" s="16"/>
      <c r="AG988" s="22"/>
      <c r="AH988" s="6"/>
      <c r="AJ988" s="20"/>
      <c r="AK988" s="50"/>
      <c r="AL988" s="6"/>
      <c r="AM988" s="20"/>
      <c r="AN988" s="20"/>
      <c r="AP988" s="20"/>
      <c r="AQ988" s="7"/>
      <c r="AR988" s="20">
        <v>1654</v>
      </c>
      <c r="AS988" s="51"/>
    </row>
    <row r="989" spans="1:45" s="21" customFormat="1" ht="30" customHeight="1" x14ac:dyDescent="0.2">
      <c r="A989" s="8">
        <v>855</v>
      </c>
      <c r="B989" s="46">
        <v>1</v>
      </c>
      <c r="C989" s="16" t="s">
        <v>52</v>
      </c>
      <c r="D989" s="48">
        <v>622</v>
      </c>
      <c r="E989" s="47">
        <v>503</v>
      </c>
      <c r="F989" s="48">
        <v>69</v>
      </c>
      <c r="G989" s="49">
        <v>2</v>
      </c>
      <c r="H989" s="48">
        <v>8</v>
      </c>
      <c r="I989" s="48">
        <v>2</v>
      </c>
      <c r="J989" s="48">
        <v>92.08</v>
      </c>
      <c r="K989" s="3">
        <f>8*400+200+92.08</f>
        <v>3492.08</v>
      </c>
      <c r="L989" s="16"/>
      <c r="M989" s="57"/>
      <c r="N989" s="58"/>
      <c r="P989" s="16">
        <v>1</v>
      </c>
      <c r="Q989" s="20">
        <f t="shared" si="190"/>
        <v>3492.08</v>
      </c>
      <c r="R989" s="14">
        <v>160</v>
      </c>
      <c r="S989" s="19">
        <f>+Q989*R989</f>
        <v>558732.80000000005</v>
      </c>
      <c r="T989" s="16"/>
      <c r="U989" s="17"/>
      <c r="V989" s="17"/>
      <c r="W989" s="4"/>
      <c r="X989" s="16"/>
      <c r="Y989" s="5"/>
      <c r="Z989" s="16"/>
      <c r="AA989" s="16"/>
      <c r="AB989" s="16"/>
      <c r="AC989" s="14"/>
      <c r="AD989" s="14"/>
      <c r="AE989" s="16"/>
      <c r="AG989" s="22">
        <f>Y989</f>
        <v>0</v>
      </c>
      <c r="AH989" s="6"/>
      <c r="AJ989" s="20">
        <f>+AG989*AH989*AI989</f>
        <v>0</v>
      </c>
      <c r="AK989" s="50"/>
      <c r="AL989" s="6"/>
      <c r="AM989" s="20">
        <f>+AJ989-(AL989*AJ989)</f>
        <v>0</v>
      </c>
      <c r="AN989" s="20">
        <f t="shared" ref="AN989:AN995" si="194">+S989+AM989</f>
        <v>558732.80000000005</v>
      </c>
      <c r="AP989" s="20">
        <f>AN989</f>
        <v>558732.80000000005</v>
      </c>
      <c r="AQ989" s="7"/>
      <c r="AR989" s="20"/>
      <c r="AS989" s="51"/>
    </row>
    <row r="990" spans="1:45" s="21" customFormat="1" ht="30" customHeight="1" x14ac:dyDescent="0.2">
      <c r="A990" s="2">
        <v>856</v>
      </c>
      <c r="B990" s="46">
        <v>1</v>
      </c>
      <c r="C990" s="16" t="s">
        <v>52</v>
      </c>
      <c r="D990" s="48">
        <v>22160</v>
      </c>
      <c r="E990" s="47">
        <v>104</v>
      </c>
      <c r="F990" s="48">
        <v>4771</v>
      </c>
      <c r="G990" s="49">
        <v>7</v>
      </c>
      <c r="H990" s="48">
        <v>0</v>
      </c>
      <c r="I990" s="48">
        <v>0</v>
      </c>
      <c r="J990" s="48">
        <v>44</v>
      </c>
      <c r="K990" s="3"/>
      <c r="L990" s="16"/>
      <c r="M990" s="57"/>
      <c r="N990" s="58">
        <v>44</v>
      </c>
      <c r="P990" s="16">
        <v>4</v>
      </c>
      <c r="Q990" s="20">
        <f t="shared" si="190"/>
        <v>44</v>
      </c>
      <c r="R990" s="14">
        <v>1000</v>
      </c>
      <c r="S990" s="20">
        <f>+Q990*R990</f>
        <v>44000</v>
      </c>
      <c r="T990" s="16"/>
      <c r="U990" s="17"/>
      <c r="V990" s="17"/>
      <c r="W990" s="4"/>
      <c r="X990" s="16"/>
      <c r="Y990" s="5"/>
      <c r="Z990" s="16"/>
      <c r="AA990" s="16"/>
      <c r="AB990" s="16"/>
      <c r="AC990" s="14"/>
      <c r="AD990" s="14"/>
      <c r="AE990" s="16"/>
      <c r="AG990" s="22">
        <f>Y990</f>
        <v>0</v>
      </c>
      <c r="AH990" s="6"/>
      <c r="AJ990" s="20">
        <f>+AG990*AH990*AI990</f>
        <v>0</v>
      </c>
      <c r="AK990" s="50"/>
      <c r="AL990" s="6"/>
      <c r="AM990" s="20">
        <f>+AJ990-(AL990*AJ990)</f>
        <v>0</v>
      </c>
      <c r="AN990" s="20">
        <f t="shared" si="194"/>
        <v>44000</v>
      </c>
      <c r="AP990" s="20">
        <f>AN990</f>
        <v>44000</v>
      </c>
      <c r="AQ990" s="7">
        <v>3.0000000000000001E-3</v>
      </c>
      <c r="AR990" s="20"/>
      <c r="AS990" s="51"/>
    </row>
    <row r="991" spans="1:45" s="21" customFormat="1" ht="30" customHeight="1" x14ac:dyDescent="0.2">
      <c r="A991" s="8">
        <v>857</v>
      </c>
      <c r="B991" s="46">
        <v>1</v>
      </c>
      <c r="C991" s="16" t="s">
        <v>52</v>
      </c>
      <c r="D991" s="48">
        <v>2322</v>
      </c>
      <c r="E991" s="47">
        <v>100</v>
      </c>
      <c r="F991" s="48">
        <v>1584</v>
      </c>
      <c r="G991" s="49">
        <v>3</v>
      </c>
      <c r="H991" s="48">
        <v>1</v>
      </c>
      <c r="I991" s="48">
        <v>3</v>
      </c>
      <c r="J991" s="48">
        <v>36</v>
      </c>
      <c r="K991" s="3">
        <v>736</v>
      </c>
      <c r="L991" s="16"/>
      <c r="M991" s="57"/>
      <c r="N991" s="58"/>
      <c r="P991" s="16">
        <v>1</v>
      </c>
      <c r="Q991" s="20">
        <f t="shared" si="190"/>
        <v>736</v>
      </c>
      <c r="R991" s="14">
        <v>1500</v>
      </c>
      <c r="S991" s="19">
        <f>+Q991*R991</f>
        <v>1104000</v>
      </c>
      <c r="T991" s="16"/>
      <c r="U991" s="16"/>
      <c r="V991" s="16"/>
      <c r="W991" s="5"/>
      <c r="X991" s="16"/>
      <c r="Y991" s="5"/>
      <c r="Z991" s="16"/>
      <c r="AA991" s="16"/>
      <c r="AB991" s="16"/>
      <c r="AC991" s="14"/>
      <c r="AD991" s="14"/>
      <c r="AE991" s="16"/>
      <c r="AG991" s="22">
        <f>Y991</f>
        <v>0</v>
      </c>
      <c r="AH991" s="6"/>
      <c r="AJ991" s="20">
        <f>+AG991*AH991*AI991</f>
        <v>0</v>
      </c>
      <c r="AK991" s="50"/>
      <c r="AL991" s="6"/>
      <c r="AM991" s="20">
        <f>+AJ991-(AL991*AJ991)</f>
        <v>0</v>
      </c>
      <c r="AN991" s="20">
        <f t="shared" si="194"/>
        <v>1104000</v>
      </c>
      <c r="AP991" s="20">
        <f>AN991</f>
        <v>1104000</v>
      </c>
      <c r="AQ991" s="7"/>
      <c r="AR991" s="20"/>
      <c r="AS991" s="51" t="s">
        <v>139</v>
      </c>
    </row>
    <row r="992" spans="1:45" s="21" customFormat="1" ht="30" customHeight="1" x14ac:dyDescent="0.2">
      <c r="A992" s="2">
        <v>858</v>
      </c>
      <c r="B992" s="46">
        <v>1</v>
      </c>
      <c r="C992" s="16" t="s">
        <v>52</v>
      </c>
      <c r="D992" s="48">
        <v>5102</v>
      </c>
      <c r="E992" s="47">
        <v>10</v>
      </c>
      <c r="F992" s="48">
        <v>2868</v>
      </c>
      <c r="G992" s="49">
        <v>7</v>
      </c>
      <c r="H992" s="48">
        <v>3</v>
      </c>
      <c r="I992" s="48">
        <v>2</v>
      </c>
      <c r="J992" s="48">
        <v>97</v>
      </c>
      <c r="K992" s="3">
        <f>1200+200+97</f>
        <v>1497</v>
      </c>
      <c r="L992" s="16"/>
      <c r="M992" s="57"/>
      <c r="N992" s="58"/>
      <c r="P992" s="16">
        <v>1</v>
      </c>
      <c r="Q992" s="20">
        <f t="shared" si="190"/>
        <v>1497</v>
      </c>
      <c r="R992" s="14">
        <v>160</v>
      </c>
      <c r="S992" s="19">
        <f>+Q992*R992</f>
        <v>239520</v>
      </c>
      <c r="T992" s="16"/>
      <c r="U992" s="17"/>
      <c r="V992" s="16"/>
      <c r="W992" s="5"/>
      <c r="X992" s="16"/>
      <c r="Y992" s="5"/>
      <c r="Z992" s="16"/>
      <c r="AA992" s="16"/>
      <c r="AB992" s="16"/>
      <c r="AE992" s="16"/>
      <c r="AG992" s="22">
        <f>Y992</f>
        <v>0</v>
      </c>
      <c r="AH992" s="6"/>
      <c r="AJ992" s="20">
        <f>+AG992*AH992*AI992</f>
        <v>0</v>
      </c>
      <c r="AK992" s="50"/>
      <c r="AL992" s="6"/>
      <c r="AM992" s="20">
        <f>+AJ992-(AL992*AJ992)</f>
        <v>0</v>
      </c>
      <c r="AN992" s="20">
        <f t="shared" si="194"/>
        <v>239520</v>
      </c>
      <c r="AP992" s="20">
        <f>AN992</f>
        <v>239520</v>
      </c>
      <c r="AQ992" s="7"/>
      <c r="AR992" s="60"/>
      <c r="AS992" s="128">
        <v>77</v>
      </c>
    </row>
    <row r="993" spans="1:48" s="21" customFormat="1" ht="30" customHeight="1" x14ac:dyDescent="0.2">
      <c r="A993" s="8">
        <v>859</v>
      </c>
      <c r="B993" s="46">
        <v>2</v>
      </c>
      <c r="C993" s="16" t="s">
        <v>52</v>
      </c>
      <c r="D993" s="48">
        <v>5104</v>
      </c>
      <c r="E993" s="47">
        <v>12</v>
      </c>
      <c r="F993" s="48">
        <v>2870</v>
      </c>
      <c r="G993" s="49">
        <v>7</v>
      </c>
      <c r="H993" s="48">
        <v>3</v>
      </c>
      <c r="I993" s="48">
        <v>0</v>
      </c>
      <c r="J993" s="48">
        <v>26</v>
      </c>
      <c r="K993" s="3">
        <v>1226</v>
      </c>
      <c r="L993" s="16"/>
      <c r="M993" s="57"/>
      <c r="N993" s="58"/>
      <c r="P993" s="16"/>
      <c r="Q993" s="20">
        <f t="shared" si="190"/>
        <v>1226</v>
      </c>
      <c r="R993" s="14">
        <v>160</v>
      </c>
      <c r="S993" s="20">
        <f>+Q993*R993</f>
        <v>196160</v>
      </c>
      <c r="T993" s="16"/>
      <c r="U993" s="17"/>
      <c r="V993" s="17"/>
      <c r="W993" s="4"/>
      <c r="X993" s="16"/>
      <c r="Y993" s="5"/>
      <c r="Z993" s="16"/>
      <c r="AA993" s="16"/>
      <c r="AB993" s="16"/>
      <c r="AE993" s="16"/>
      <c r="AG993" s="22">
        <f>Y993</f>
        <v>0</v>
      </c>
      <c r="AH993" s="6"/>
      <c r="AJ993" s="20">
        <f>+AG993*AH993*AI993</f>
        <v>0</v>
      </c>
      <c r="AK993" s="50"/>
      <c r="AL993" s="6"/>
      <c r="AM993" s="20">
        <f>+AJ993-(AL993*AJ993)</f>
        <v>0</v>
      </c>
      <c r="AN993" s="20">
        <f t="shared" si="194"/>
        <v>196160</v>
      </c>
      <c r="AP993" s="20">
        <f>AN993</f>
        <v>196160</v>
      </c>
      <c r="AQ993" s="7"/>
      <c r="AR993" s="25"/>
      <c r="AS993" s="130"/>
    </row>
    <row r="994" spans="1:48" ht="30" customHeight="1" x14ac:dyDescent="0.2">
      <c r="C994" s="16"/>
      <c r="Q994" s="20"/>
      <c r="AG994" s="22"/>
      <c r="AJ994" s="20"/>
      <c r="AM994" s="20"/>
      <c r="AN994" s="20"/>
      <c r="AP994" s="20"/>
      <c r="AR994" s="20"/>
    </row>
    <row r="995" spans="1:48" s="29" customFormat="1" ht="30" customHeight="1" x14ac:dyDescent="0.2">
      <c r="A995" s="86">
        <v>860</v>
      </c>
      <c r="B995" s="13">
        <v>5</v>
      </c>
      <c r="C995" s="16" t="s">
        <v>65</v>
      </c>
      <c r="D995" s="17">
        <v>3179</v>
      </c>
      <c r="E995" s="17">
        <v>246</v>
      </c>
      <c r="F995" s="17"/>
      <c r="G995" s="13"/>
      <c r="H995" s="17">
        <v>0</v>
      </c>
      <c r="I995" s="17">
        <v>1</v>
      </c>
      <c r="J995" s="17">
        <v>26</v>
      </c>
      <c r="K995" s="28">
        <v>126</v>
      </c>
      <c r="L995" s="63"/>
      <c r="M995" s="63"/>
      <c r="N995" s="63"/>
      <c r="O995" s="63"/>
      <c r="P995" s="21"/>
      <c r="Q995" s="19">
        <f>+(H995*400)+(I995*100)+J995</f>
        <v>126</v>
      </c>
      <c r="R995" s="14">
        <v>200</v>
      </c>
      <c r="S995" s="19">
        <f>+Q995*R995</f>
        <v>25200</v>
      </c>
      <c r="T995" s="63"/>
      <c r="U995" s="63"/>
      <c r="V995" s="63"/>
      <c r="W995" s="28"/>
      <c r="X995" s="63"/>
      <c r="Y995" s="28"/>
      <c r="Z995" s="63"/>
      <c r="AA995" s="63"/>
      <c r="AB995" s="63"/>
      <c r="AC995" s="14"/>
      <c r="AD995" s="93"/>
      <c r="AF995" s="14"/>
      <c r="AG995" s="14"/>
      <c r="AH995" s="11"/>
      <c r="AI995" s="14"/>
      <c r="AJ995" s="20">
        <f>+AG995*AH995*AI995</f>
        <v>0</v>
      </c>
      <c r="AK995" s="20">
        <f>AB995</f>
        <v>0</v>
      </c>
      <c r="AL995" s="11"/>
      <c r="AM995" s="20">
        <f>+AJ995-(AL995*AJ995)</f>
        <v>0</v>
      </c>
      <c r="AN995" s="20">
        <f t="shared" si="194"/>
        <v>25200</v>
      </c>
      <c r="AO995" s="14"/>
      <c r="AP995" s="20">
        <f>+AN995</f>
        <v>25200</v>
      </c>
      <c r="AQ995" s="12">
        <v>1E-4</v>
      </c>
      <c r="AR995" s="20"/>
      <c r="AS995" s="51"/>
      <c r="AT995" s="21"/>
      <c r="AU995" s="21"/>
      <c r="AV995" s="21"/>
    </row>
    <row r="996" spans="1:48" ht="2.25" customHeight="1" x14ac:dyDescent="0.2">
      <c r="A996" s="8"/>
      <c r="C996" s="16"/>
      <c r="Q996" s="20"/>
      <c r="AC996" s="21"/>
      <c r="AD996" s="21"/>
      <c r="AG996" s="22"/>
      <c r="AJ996" s="20"/>
      <c r="AM996" s="20"/>
      <c r="AN996" s="20"/>
      <c r="AP996" s="20"/>
      <c r="AR996" s="20"/>
    </row>
    <row r="997" spans="1:48" ht="28.5" hidden="1" customHeight="1" x14ac:dyDescent="0.2">
      <c r="C997" s="16"/>
      <c r="Q997" s="20"/>
      <c r="S997" s="20"/>
      <c r="AG997" s="22"/>
      <c r="AJ997" s="20"/>
      <c r="AM997" s="20"/>
      <c r="AN997" s="20"/>
      <c r="AP997" s="20"/>
      <c r="AR997" s="20"/>
    </row>
    <row r="998" spans="1:48" ht="30" hidden="1" customHeight="1" x14ac:dyDescent="0.2">
      <c r="A998" s="8"/>
      <c r="C998" s="16"/>
      <c r="Q998" s="20"/>
      <c r="AG998" s="22"/>
      <c r="AJ998" s="20"/>
      <c r="AM998" s="20"/>
      <c r="AN998" s="20"/>
      <c r="AP998" s="20"/>
      <c r="AR998" s="20"/>
    </row>
    <row r="999" spans="1:48" ht="30" hidden="1" customHeight="1" x14ac:dyDescent="0.2">
      <c r="C999" s="16"/>
      <c r="Q999" s="20"/>
      <c r="AG999" s="22"/>
      <c r="AJ999" s="20"/>
      <c r="AM999" s="20"/>
      <c r="AN999" s="20"/>
      <c r="AP999" s="20"/>
      <c r="AR999" s="20"/>
    </row>
    <row r="1000" spans="1:48" ht="30" hidden="1" customHeight="1" x14ac:dyDescent="0.2">
      <c r="A1000" s="8"/>
      <c r="C1000" s="16"/>
      <c r="Q1000" s="20"/>
      <c r="S1000" s="20"/>
      <c r="AG1000" s="22"/>
      <c r="AJ1000" s="20"/>
      <c r="AM1000" s="20"/>
      <c r="AN1000" s="20"/>
      <c r="AP1000" s="20"/>
      <c r="AR1000" s="20"/>
    </row>
    <row r="1001" spans="1:48" ht="30" hidden="1" customHeight="1" x14ac:dyDescent="0.2">
      <c r="C1001" s="16"/>
      <c r="Q1001" s="20"/>
      <c r="AG1001" s="22"/>
      <c r="AJ1001" s="20"/>
      <c r="AM1001" s="20"/>
      <c r="AN1001" s="20"/>
      <c r="AP1001" s="20"/>
      <c r="AR1001" s="20"/>
    </row>
    <row r="1002" spans="1:48" ht="30" hidden="1" customHeight="1" x14ac:dyDescent="0.2">
      <c r="A1002" s="8"/>
      <c r="C1002" s="16"/>
      <c r="Q1002" s="20"/>
      <c r="AC1002" s="21"/>
      <c r="AD1002" s="21"/>
      <c r="AG1002" s="22"/>
      <c r="AJ1002" s="20"/>
      <c r="AM1002" s="20"/>
      <c r="AN1002" s="20"/>
      <c r="AP1002" s="20"/>
      <c r="AR1002" s="20"/>
    </row>
    <row r="1003" spans="1:48" ht="30" hidden="1" customHeight="1" x14ac:dyDescent="0.2">
      <c r="C1003" s="16"/>
      <c r="Q1003" s="20"/>
      <c r="S1003" s="20"/>
      <c r="AC1003" s="21"/>
      <c r="AD1003" s="21"/>
      <c r="AG1003" s="22"/>
      <c r="AJ1003" s="20"/>
      <c r="AM1003" s="20"/>
      <c r="AN1003" s="20"/>
      <c r="AP1003" s="20"/>
      <c r="AR1003" s="20"/>
    </row>
    <row r="1004" spans="1:48" ht="27.75" hidden="1" customHeight="1" x14ac:dyDescent="0.2">
      <c r="A1004" s="8"/>
      <c r="C1004" s="16"/>
      <c r="Q1004" s="20"/>
      <c r="AC1004" s="21"/>
      <c r="AD1004" s="21"/>
      <c r="AG1004" s="22"/>
      <c r="AJ1004" s="20"/>
      <c r="AM1004" s="20"/>
      <c r="AN1004" s="20"/>
      <c r="AP1004" s="20"/>
      <c r="AR1004" s="20"/>
    </row>
    <row r="1005" spans="1:48" ht="30" hidden="1" customHeight="1" x14ac:dyDescent="0.2">
      <c r="C1005" s="16"/>
      <c r="Q1005" s="20"/>
      <c r="AC1005" s="21"/>
      <c r="AD1005" s="21"/>
      <c r="AG1005" s="22"/>
      <c r="AJ1005" s="20"/>
      <c r="AM1005" s="20"/>
      <c r="AN1005" s="20"/>
      <c r="AP1005" s="20"/>
      <c r="AR1005" s="20"/>
    </row>
    <row r="1006" spans="1:48" ht="30" hidden="1" customHeight="1" x14ac:dyDescent="0.2">
      <c r="A1006" s="8"/>
      <c r="C1006" s="16"/>
      <c r="Q1006" s="20"/>
      <c r="S1006" s="20"/>
      <c r="AC1006" s="21"/>
      <c r="AD1006" s="21"/>
      <c r="AG1006" s="22"/>
      <c r="AJ1006" s="20"/>
      <c r="AM1006" s="20"/>
      <c r="AN1006" s="20"/>
      <c r="AP1006" s="20"/>
      <c r="AR1006" s="20"/>
    </row>
    <row r="1007" spans="1:48" ht="30" hidden="1" customHeight="1" x14ac:dyDescent="0.2">
      <c r="C1007" s="16"/>
      <c r="Q1007" s="20"/>
      <c r="AC1007" s="21"/>
      <c r="AD1007" s="21"/>
      <c r="AG1007" s="22"/>
      <c r="AJ1007" s="20"/>
      <c r="AM1007" s="20"/>
      <c r="AN1007" s="20"/>
      <c r="AP1007" s="20"/>
      <c r="AR1007" s="20"/>
    </row>
    <row r="1008" spans="1:48" ht="30" hidden="1" customHeight="1" x14ac:dyDescent="0.2">
      <c r="A1008" s="8"/>
      <c r="C1008" s="16"/>
      <c r="Q1008" s="20"/>
      <c r="AC1008" s="21"/>
      <c r="AD1008" s="21"/>
      <c r="AG1008" s="22"/>
      <c r="AJ1008" s="20"/>
      <c r="AM1008" s="20"/>
      <c r="AN1008" s="20"/>
      <c r="AP1008" s="20"/>
      <c r="AR1008" s="20"/>
    </row>
    <row r="1009" spans="1:44" ht="30" hidden="1" customHeight="1" x14ac:dyDescent="0.2">
      <c r="C1009" s="16"/>
      <c r="Q1009" s="20"/>
      <c r="S1009" s="20"/>
      <c r="AC1009" s="21"/>
      <c r="AD1009" s="21"/>
      <c r="AG1009" s="22"/>
      <c r="AJ1009" s="20"/>
      <c r="AM1009" s="20"/>
      <c r="AN1009" s="20"/>
      <c r="AP1009" s="20"/>
      <c r="AR1009" s="20"/>
    </row>
    <row r="1010" spans="1:44" ht="30" hidden="1" customHeight="1" x14ac:dyDescent="0.2">
      <c r="A1010" s="8"/>
      <c r="C1010" s="16"/>
      <c r="Q1010" s="20"/>
      <c r="AC1010" s="21"/>
      <c r="AD1010" s="21"/>
      <c r="AG1010" s="22"/>
      <c r="AJ1010" s="20"/>
      <c r="AM1010" s="20"/>
      <c r="AN1010" s="20"/>
      <c r="AP1010" s="20"/>
      <c r="AR1010" s="20"/>
    </row>
    <row r="1011" spans="1:44" ht="25.5" hidden="1" customHeight="1" x14ac:dyDescent="0.2">
      <c r="C1011" s="16"/>
      <c r="Q1011" s="20"/>
      <c r="AC1011" s="21"/>
      <c r="AD1011" s="21"/>
      <c r="AG1011" s="22"/>
      <c r="AJ1011" s="20"/>
      <c r="AM1011" s="20"/>
      <c r="AN1011" s="20"/>
      <c r="AP1011" s="20"/>
      <c r="AR1011" s="20"/>
    </row>
    <row r="1012" spans="1:44" ht="30" hidden="1" customHeight="1" x14ac:dyDescent="0.2">
      <c r="A1012" s="8"/>
      <c r="C1012" s="16"/>
      <c r="Q1012" s="20"/>
      <c r="S1012" s="20"/>
      <c r="AC1012" s="21"/>
      <c r="AD1012" s="21"/>
      <c r="AG1012" s="22"/>
      <c r="AJ1012" s="20"/>
      <c r="AM1012" s="20"/>
      <c r="AN1012" s="20"/>
      <c r="AP1012" s="20"/>
      <c r="AR1012" s="20"/>
    </row>
    <row r="1013" spans="1:44" ht="30" hidden="1" customHeight="1" x14ac:dyDescent="0.2">
      <c r="C1013" s="16"/>
      <c r="Q1013" s="20"/>
      <c r="AG1013" s="22"/>
      <c r="AJ1013" s="20"/>
      <c r="AM1013" s="20"/>
      <c r="AN1013" s="20"/>
      <c r="AP1013" s="20"/>
      <c r="AR1013" s="20"/>
    </row>
    <row r="1014" spans="1:44" ht="30" hidden="1" customHeight="1" x14ac:dyDescent="0.2">
      <c r="A1014" s="8"/>
      <c r="C1014" s="16"/>
      <c r="Q1014" s="20"/>
      <c r="AC1014" s="21"/>
      <c r="AD1014" s="21"/>
      <c r="AG1014" s="22"/>
      <c r="AJ1014" s="20"/>
      <c r="AM1014" s="20"/>
      <c r="AN1014" s="20"/>
      <c r="AP1014" s="20"/>
      <c r="AR1014" s="20"/>
    </row>
    <row r="1015" spans="1:44" ht="30" hidden="1" customHeight="1" x14ac:dyDescent="0.2">
      <c r="C1015" s="16"/>
      <c r="Q1015" s="20"/>
      <c r="S1015" s="20"/>
      <c r="AG1015" s="22"/>
      <c r="AJ1015" s="20"/>
      <c r="AM1015" s="20"/>
      <c r="AN1015" s="20"/>
      <c r="AP1015" s="20"/>
      <c r="AR1015" s="20"/>
    </row>
    <row r="1016" spans="1:44" ht="30" hidden="1" customHeight="1" x14ac:dyDescent="0.2">
      <c r="A1016" s="8"/>
      <c r="C1016" s="16"/>
      <c r="Q1016" s="20"/>
      <c r="AG1016" s="22"/>
      <c r="AJ1016" s="20"/>
      <c r="AM1016" s="20"/>
      <c r="AN1016" s="20"/>
      <c r="AP1016" s="20"/>
      <c r="AR1016" s="20"/>
    </row>
    <row r="1017" spans="1:44" ht="30" hidden="1" customHeight="1" x14ac:dyDescent="0.2">
      <c r="C1017" s="16"/>
      <c r="Q1017" s="20"/>
      <c r="AG1017" s="22"/>
      <c r="AJ1017" s="20"/>
      <c r="AM1017" s="20"/>
      <c r="AN1017" s="20"/>
      <c r="AP1017" s="20"/>
      <c r="AR1017" s="20"/>
    </row>
    <row r="1018" spans="1:44" ht="30" hidden="1" customHeight="1" x14ac:dyDescent="0.2">
      <c r="A1018" s="8"/>
      <c r="C1018" s="16"/>
      <c r="Q1018" s="20"/>
      <c r="S1018" s="20"/>
      <c r="AG1018" s="22"/>
      <c r="AJ1018" s="20"/>
      <c r="AM1018" s="20"/>
      <c r="AN1018" s="20"/>
      <c r="AP1018" s="20"/>
      <c r="AR1018" s="20"/>
    </row>
    <row r="1019" spans="1:44" ht="30" hidden="1" customHeight="1" x14ac:dyDescent="0.2">
      <c r="C1019" s="16"/>
      <c r="Q1019" s="20"/>
      <c r="AG1019" s="22"/>
      <c r="AJ1019" s="20"/>
      <c r="AM1019" s="20"/>
      <c r="AN1019" s="20"/>
      <c r="AP1019" s="20"/>
      <c r="AR1019" s="20"/>
    </row>
    <row r="1020" spans="1:44" ht="13.5" hidden="1" customHeight="1" x14ac:dyDescent="0.2">
      <c r="A1020" s="8"/>
      <c r="C1020" s="16"/>
      <c r="Q1020" s="20"/>
      <c r="AC1020" s="21"/>
      <c r="AD1020" s="21"/>
      <c r="AG1020" s="22"/>
      <c r="AJ1020" s="20"/>
      <c r="AM1020" s="20"/>
      <c r="AN1020" s="20"/>
      <c r="AP1020" s="20"/>
      <c r="AR1020" s="20"/>
    </row>
    <row r="1021" spans="1:44" ht="30" hidden="1" customHeight="1" x14ac:dyDescent="0.2">
      <c r="C1021" s="16"/>
      <c r="Q1021" s="20"/>
      <c r="S1021" s="20"/>
      <c r="AC1021" s="21"/>
      <c r="AD1021" s="21"/>
      <c r="AG1021" s="22"/>
      <c r="AJ1021" s="20"/>
      <c r="AM1021" s="20"/>
      <c r="AN1021" s="20"/>
      <c r="AP1021" s="20"/>
      <c r="AR1021" s="20"/>
    </row>
    <row r="1022" spans="1:44" ht="30" hidden="1" customHeight="1" x14ac:dyDescent="0.2">
      <c r="A1022" s="8"/>
      <c r="C1022" s="16"/>
      <c r="Q1022" s="20"/>
      <c r="AC1022" s="21"/>
      <c r="AD1022" s="21"/>
      <c r="AG1022" s="22"/>
      <c r="AJ1022" s="20"/>
      <c r="AM1022" s="20"/>
      <c r="AN1022" s="20"/>
      <c r="AP1022" s="20"/>
      <c r="AR1022" s="20"/>
    </row>
    <row r="1023" spans="1:44" ht="30" hidden="1" customHeight="1" x14ac:dyDescent="0.2">
      <c r="C1023" s="16"/>
      <c r="Q1023" s="20"/>
      <c r="AC1023" s="21"/>
      <c r="AD1023" s="21"/>
      <c r="AG1023" s="22"/>
      <c r="AJ1023" s="20"/>
      <c r="AM1023" s="20"/>
      <c r="AN1023" s="20"/>
      <c r="AP1023" s="20"/>
      <c r="AR1023" s="20"/>
    </row>
    <row r="1024" spans="1:44" ht="30" hidden="1" customHeight="1" x14ac:dyDescent="0.2">
      <c r="A1024" s="8"/>
      <c r="C1024" s="16"/>
      <c r="Q1024" s="20"/>
      <c r="S1024" s="20"/>
      <c r="AC1024" s="21"/>
      <c r="AD1024" s="21"/>
      <c r="AG1024" s="22"/>
      <c r="AJ1024" s="20"/>
      <c r="AM1024" s="20"/>
      <c r="AN1024" s="20"/>
      <c r="AP1024" s="20"/>
      <c r="AR1024" s="20"/>
    </row>
    <row r="1025" spans="1:45" ht="30" hidden="1" customHeight="1" x14ac:dyDescent="0.2">
      <c r="C1025" s="16"/>
      <c r="Q1025" s="20"/>
      <c r="AC1025" s="21"/>
      <c r="AD1025" s="21"/>
      <c r="AG1025" s="22"/>
      <c r="AJ1025" s="20"/>
      <c r="AM1025" s="20"/>
      <c r="AN1025" s="20"/>
      <c r="AP1025" s="20"/>
      <c r="AR1025" s="20"/>
    </row>
    <row r="1026" spans="1:45" ht="18.75" hidden="1" customHeight="1" x14ac:dyDescent="0.2">
      <c r="A1026" s="8"/>
      <c r="C1026" s="16"/>
      <c r="Q1026" s="20"/>
      <c r="AC1026" s="21"/>
      <c r="AD1026" s="21"/>
      <c r="AG1026" s="22"/>
      <c r="AJ1026" s="20"/>
      <c r="AM1026" s="20"/>
      <c r="AN1026" s="20"/>
      <c r="AP1026" s="20"/>
      <c r="AR1026" s="20"/>
    </row>
    <row r="1027" spans="1:45" ht="30" hidden="1" customHeight="1" x14ac:dyDescent="0.2">
      <c r="C1027" s="16"/>
      <c r="Q1027" s="20"/>
      <c r="S1027" s="20"/>
      <c r="AC1027" s="21"/>
      <c r="AD1027" s="21"/>
      <c r="AG1027" s="22"/>
      <c r="AJ1027" s="20"/>
      <c r="AM1027" s="20"/>
      <c r="AN1027" s="20"/>
      <c r="AP1027" s="20"/>
      <c r="AR1027" s="20"/>
    </row>
    <row r="1028" spans="1:45" ht="30" hidden="1" customHeight="1" x14ac:dyDescent="0.2">
      <c r="A1028" s="8"/>
      <c r="C1028" s="16"/>
      <c r="Q1028" s="20"/>
      <c r="AC1028" s="21"/>
      <c r="AD1028" s="21"/>
      <c r="AG1028" s="22"/>
      <c r="AJ1028" s="20"/>
      <c r="AM1028" s="20"/>
      <c r="AN1028" s="20"/>
      <c r="AP1028" s="20"/>
      <c r="AR1028" s="20"/>
    </row>
    <row r="1029" spans="1:45" ht="30" hidden="1" customHeight="1" x14ac:dyDescent="0.2">
      <c r="C1029" s="16"/>
      <c r="Q1029" s="20"/>
      <c r="AC1029" s="21"/>
      <c r="AD1029" s="21"/>
      <c r="AG1029" s="22"/>
      <c r="AJ1029" s="20"/>
      <c r="AM1029" s="20"/>
      <c r="AN1029" s="20"/>
      <c r="AP1029" s="20"/>
      <c r="AR1029" s="20"/>
    </row>
    <row r="1030" spans="1:45" ht="30" hidden="1" customHeight="1" x14ac:dyDescent="0.2">
      <c r="A1030" s="8"/>
      <c r="C1030" s="16"/>
      <c r="Q1030" s="20"/>
      <c r="S1030" s="20"/>
      <c r="AC1030" s="21"/>
      <c r="AD1030" s="21"/>
      <c r="AG1030" s="22"/>
      <c r="AJ1030" s="20"/>
      <c r="AM1030" s="20"/>
      <c r="AN1030" s="20"/>
      <c r="AP1030" s="20"/>
      <c r="AR1030" s="20"/>
    </row>
    <row r="1031" spans="1:45" ht="30" hidden="1" customHeight="1" x14ac:dyDescent="0.2">
      <c r="C1031" s="16"/>
      <c r="Q1031" s="20"/>
      <c r="AG1031" s="22"/>
      <c r="AJ1031" s="20"/>
      <c r="AM1031" s="20"/>
      <c r="AN1031" s="20"/>
      <c r="AP1031" s="20"/>
      <c r="AR1031" s="20"/>
    </row>
    <row r="1032" spans="1:45" ht="29.25" hidden="1" customHeight="1" x14ac:dyDescent="0.2">
      <c r="A1032" s="8"/>
      <c r="C1032" s="16"/>
      <c r="Q1032" s="20"/>
      <c r="AC1032" s="21"/>
      <c r="AD1032" s="21"/>
      <c r="AG1032" s="22"/>
      <c r="AJ1032" s="20"/>
      <c r="AM1032" s="20"/>
      <c r="AN1032" s="20"/>
      <c r="AP1032" s="20"/>
      <c r="AR1032" s="20"/>
    </row>
    <row r="1033" spans="1:45" ht="30" hidden="1" customHeight="1" x14ac:dyDescent="0.2">
      <c r="C1033" s="16"/>
      <c r="Q1033" s="20"/>
      <c r="S1033" s="20"/>
      <c r="AG1033" s="22"/>
      <c r="AJ1033" s="20"/>
      <c r="AM1033" s="20"/>
      <c r="AN1033" s="20"/>
      <c r="AP1033" s="20"/>
      <c r="AR1033" s="20"/>
    </row>
    <row r="1034" spans="1:45" ht="30" hidden="1" customHeight="1" x14ac:dyDescent="0.2">
      <c r="A1034" s="8"/>
      <c r="C1034" s="16"/>
      <c r="Q1034" s="20"/>
      <c r="AG1034" s="22"/>
      <c r="AJ1034" s="20"/>
      <c r="AM1034" s="20"/>
      <c r="AN1034" s="20"/>
      <c r="AP1034" s="20"/>
      <c r="AR1034" s="20"/>
    </row>
    <row r="1035" spans="1:45" ht="30" hidden="1" customHeight="1" x14ac:dyDescent="0.2">
      <c r="C1035" s="16"/>
      <c r="Q1035" s="20"/>
      <c r="AG1035" s="22"/>
      <c r="AJ1035" s="20"/>
      <c r="AM1035" s="20"/>
      <c r="AN1035" s="20"/>
      <c r="AP1035" s="20"/>
      <c r="AR1035" s="20"/>
    </row>
    <row r="1036" spans="1:45" ht="30" hidden="1" customHeight="1" x14ac:dyDescent="0.2">
      <c r="A1036" s="8"/>
      <c r="C1036" s="16"/>
      <c r="Q1036" s="20"/>
      <c r="S1036" s="20"/>
      <c r="AG1036" s="22"/>
      <c r="AJ1036" s="20"/>
      <c r="AM1036" s="20"/>
      <c r="AN1036" s="20"/>
      <c r="AP1036" s="20"/>
      <c r="AR1036" s="20"/>
    </row>
    <row r="1037" spans="1:45" ht="30" hidden="1" customHeight="1" x14ac:dyDescent="0.2">
      <c r="C1037" s="16"/>
      <c r="Q1037" s="20"/>
      <c r="AG1037" s="22"/>
      <c r="AJ1037" s="20"/>
      <c r="AM1037" s="20"/>
      <c r="AN1037" s="20"/>
      <c r="AP1037" s="20"/>
      <c r="AR1037" s="20"/>
    </row>
    <row r="1038" spans="1:45" ht="30" hidden="1" customHeight="1" x14ac:dyDescent="0.2">
      <c r="A1038" s="8"/>
      <c r="C1038" s="16"/>
      <c r="Q1038" s="20"/>
      <c r="AC1038" s="21"/>
      <c r="AD1038" s="21"/>
      <c r="AG1038" s="22"/>
      <c r="AJ1038" s="20"/>
      <c r="AM1038" s="20"/>
      <c r="AN1038" s="20"/>
      <c r="AP1038" s="20"/>
      <c r="AR1038" s="20"/>
    </row>
    <row r="1039" spans="1:45" s="21" customFormat="1" ht="30" customHeight="1" x14ac:dyDescent="0.2">
      <c r="A1039" s="2">
        <v>861</v>
      </c>
      <c r="B1039" s="46">
        <v>1</v>
      </c>
      <c r="C1039" s="16" t="s">
        <v>52</v>
      </c>
      <c r="D1039" s="48">
        <v>2754</v>
      </c>
      <c r="E1039" s="47">
        <v>5</v>
      </c>
      <c r="F1039" s="48">
        <v>1943</v>
      </c>
      <c r="G1039" s="49">
        <v>1</v>
      </c>
      <c r="H1039" s="48">
        <v>17</v>
      </c>
      <c r="I1039" s="48">
        <v>2</v>
      </c>
      <c r="J1039" s="48">
        <v>93</v>
      </c>
      <c r="K1039" s="3">
        <f>17*400+200+93</f>
        <v>7093</v>
      </c>
      <c r="L1039" s="16"/>
      <c r="M1039" s="57"/>
      <c r="N1039" s="58"/>
      <c r="P1039" s="16">
        <v>1</v>
      </c>
      <c r="Q1039" s="20">
        <f>+(H1039*400)+(I1039*100)+J1039</f>
        <v>7093</v>
      </c>
      <c r="R1039" s="14">
        <v>160</v>
      </c>
      <c r="S1039" s="20">
        <f t="shared" ref="S1039:S1048" si="195">+Q1039*R1039</f>
        <v>1134880</v>
      </c>
      <c r="T1039" s="16"/>
      <c r="U1039" s="17"/>
      <c r="V1039" s="17"/>
      <c r="W1039" s="4"/>
      <c r="X1039" s="16"/>
      <c r="Y1039" s="5"/>
      <c r="Z1039" s="16"/>
      <c r="AA1039" s="16"/>
      <c r="AB1039" s="16"/>
      <c r="AE1039" s="16"/>
      <c r="AG1039" s="22">
        <f t="shared" ref="AG1039:AG1059" si="196">Y1039</f>
        <v>0</v>
      </c>
      <c r="AH1039" s="6"/>
      <c r="AJ1039" s="20">
        <f t="shared" ref="AJ1039:AJ1048" si="197">+AG1039*AH1039*AI1039</f>
        <v>0</v>
      </c>
      <c r="AK1039" s="50"/>
      <c r="AL1039" s="6"/>
      <c r="AM1039" s="20">
        <f t="shared" ref="AM1039:AM1048" si="198">+AJ1039-(AL1039*AJ1039)</f>
        <v>0</v>
      </c>
      <c r="AN1039" s="20">
        <f t="shared" ref="AN1039:AN1052" si="199">+S1039+AM1039</f>
        <v>1134880</v>
      </c>
      <c r="AP1039" s="20">
        <f t="shared" ref="AP1039:AP1059" si="200">AN1039</f>
        <v>1134880</v>
      </c>
      <c r="AQ1039" s="7"/>
      <c r="AR1039" s="60"/>
      <c r="AS1039" s="128">
        <v>66</v>
      </c>
    </row>
    <row r="1040" spans="1:45" s="21" customFormat="1" ht="30" customHeight="1" x14ac:dyDescent="0.2">
      <c r="A1040" s="8">
        <v>862</v>
      </c>
      <c r="B1040" s="46">
        <v>2</v>
      </c>
      <c r="C1040" s="16" t="s">
        <v>52</v>
      </c>
      <c r="D1040" s="48">
        <v>2755</v>
      </c>
      <c r="E1040" s="47">
        <v>6</v>
      </c>
      <c r="F1040" s="48">
        <v>1944</v>
      </c>
      <c r="G1040" s="49">
        <v>1</v>
      </c>
      <c r="H1040" s="48">
        <v>4</v>
      </c>
      <c r="I1040" s="48">
        <v>0</v>
      </c>
      <c r="J1040" s="48">
        <v>43</v>
      </c>
      <c r="K1040" s="3">
        <f>1200+43</f>
        <v>1243</v>
      </c>
      <c r="L1040" s="16"/>
      <c r="M1040" s="57"/>
      <c r="N1040" s="58"/>
      <c r="P1040" s="16">
        <v>1</v>
      </c>
      <c r="Q1040" s="20">
        <f t="shared" ref="Q1040:Q1066" si="201">+(H1040*400)+(I1040*100)+J1040</f>
        <v>1643</v>
      </c>
      <c r="R1040" s="14">
        <v>160</v>
      </c>
      <c r="S1040" s="19">
        <f t="shared" si="195"/>
        <v>262880</v>
      </c>
      <c r="T1040" s="16"/>
      <c r="U1040" s="17"/>
      <c r="V1040" s="17"/>
      <c r="W1040" s="4"/>
      <c r="X1040" s="16"/>
      <c r="Y1040" s="5"/>
      <c r="Z1040" s="16"/>
      <c r="AA1040" s="16"/>
      <c r="AB1040" s="16"/>
      <c r="AE1040" s="16"/>
      <c r="AG1040" s="22">
        <f t="shared" si="196"/>
        <v>0</v>
      </c>
      <c r="AH1040" s="6"/>
      <c r="AJ1040" s="20">
        <f t="shared" si="197"/>
        <v>0</v>
      </c>
      <c r="AK1040" s="50"/>
      <c r="AL1040" s="6"/>
      <c r="AM1040" s="20">
        <f t="shared" si="198"/>
        <v>0</v>
      </c>
      <c r="AN1040" s="20">
        <f t="shared" si="199"/>
        <v>262880</v>
      </c>
      <c r="AP1040" s="20">
        <f t="shared" si="200"/>
        <v>262880</v>
      </c>
      <c r="AQ1040" s="7"/>
      <c r="AR1040" s="25"/>
      <c r="AS1040" s="130"/>
    </row>
    <row r="1041" spans="1:45" s="21" customFormat="1" ht="30" customHeight="1" x14ac:dyDescent="0.2">
      <c r="A1041" s="2">
        <v>863</v>
      </c>
      <c r="B1041" s="46">
        <v>1</v>
      </c>
      <c r="C1041" s="16" t="s">
        <v>52</v>
      </c>
      <c r="D1041" s="48">
        <v>4833</v>
      </c>
      <c r="E1041" s="47">
        <v>40</v>
      </c>
      <c r="F1041" s="48">
        <v>2723</v>
      </c>
      <c r="G1041" s="49">
        <v>7</v>
      </c>
      <c r="H1041" s="48">
        <v>13</v>
      </c>
      <c r="I1041" s="48">
        <v>2</v>
      </c>
      <c r="J1041" s="48">
        <v>13</v>
      </c>
      <c r="K1041" s="3">
        <f>13*400+200+13</f>
        <v>5413</v>
      </c>
      <c r="L1041" s="16"/>
      <c r="M1041" s="57"/>
      <c r="N1041" s="58"/>
      <c r="P1041" s="16">
        <v>1</v>
      </c>
      <c r="Q1041" s="20">
        <f t="shared" si="201"/>
        <v>5413</v>
      </c>
      <c r="R1041" s="14">
        <v>470</v>
      </c>
      <c r="S1041" s="19">
        <f t="shared" si="195"/>
        <v>2544110</v>
      </c>
      <c r="T1041" s="16"/>
      <c r="U1041" s="17"/>
      <c r="V1041" s="17"/>
      <c r="W1041" s="4"/>
      <c r="X1041" s="16"/>
      <c r="Y1041" s="5"/>
      <c r="Z1041" s="16"/>
      <c r="AA1041" s="16"/>
      <c r="AB1041" s="16"/>
      <c r="AE1041" s="16"/>
      <c r="AG1041" s="22">
        <f t="shared" si="196"/>
        <v>0</v>
      </c>
      <c r="AH1041" s="6"/>
      <c r="AJ1041" s="20">
        <f t="shared" si="197"/>
        <v>0</v>
      </c>
      <c r="AK1041" s="50"/>
      <c r="AL1041" s="6"/>
      <c r="AM1041" s="20">
        <f t="shared" si="198"/>
        <v>0</v>
      </c>
      <c r="AN1041" s="20">
        <f t="shared" si="199"/>
        <v>2544110</v>
      </c>
      <c r="AP1041" s="20">
        <f t="shared" si="200"/>
        <v>2544110</v>
      </c>
      <c r="AQ1041" s="7"/>
      <c r="AR1041" s="20"/>
      <c r="AS1041" s="51">
        <v>74</v>
      </c>
    </row>
    <row r="1042" spans="1:45" s="21" customFormat="1" ht="30" customHeight="1" x14ac:dyDescent="0.2">
      <c r="A1042" s="8">
        <v>864</v>
      </c>
      <c r="B1042" s="46">
        <v>1</v>
      </c>
      <c r="C1042" s="16" t="s">
        <v>52</v>
      </c>
      <c r="D1042" s="48">
        <v>14544</v>
      </c>
      <c r="E1042" s="47">
        <v>89</v>
      </c>
      <c r="F1042" s="48">
        <v>3386</v>
      </c>
      <c r="G1042" s="49">
        <v>5</v>
      </c>
      <c r="H1042" s="48">
        <v>0</v>
      </c>
      <c r="I1042" s="48">
        <v>0</v>
      </c>
      <c r="J1042" s="48">
        <v>85</v>
      </c>
      <c r="K1042" s="3"/>
      <c r="L1042" s="16">
        <v>85</v>
      </c>
      <c r="M1042" s="57"/>
      <c r="N1042" s="58"/>
      <c r="P1042" s="16">
        <v>2</v>
      </c>
      <c r="Q1042" s="20">
        <f t="shared" si="201"/>
        <v>85</v>
      </c>
      <c r="R1042" s="14">
        <v>200</v>
      </c>
      <c r="S1042" s="20">
        <f t="shared" si="195"/>
        <v>17000</v>
      </c>
      <c r="T1042" s="16"/>
      <c r="U1042" s="17"/>
      <c r="V1042" s="17"/>
      <c r="W1042" s="4"/>
      <c r="X1042" s="16"/>
      <c r="Y1042" s="5"/>
      <c r="Z1042" s="16"/>
      <c r="AA1042" s="16"/>
      <c r="AB1042" s="16"/>
      <c r="AE1042" s="16"/>
      <c r="AG1042" s="22">
        <f t="shared" si="196"/>
        <v>0</v>
      </c>
      <c r="AH1042" s="6"/>
      <c r="AJ1042" s="20">
        <f t="shared" si="197"/>
        <v>0</v>
      </c>
      <c r="AK1042" s="50"/>
      <c r="AL1042" s="6"/>
      <c r="AM1042" s="20">
        <f t="shared" si="198"/>
        <v>0</v>
      </c>
      <c r="AN1042" s="20">
        <f t="shared" si="199"/>
        <v>17000</v>
      </c>
      <c r="AP1042" s="20">
        <f t="shared" si="200"/>
        <v>17000</v>
      </c>
      <c r="AQ1042" s="7"/>
      <c r="AR1042" s="20"/>
      <c r="AS1042" s="51"/>
    </row>
    <row r="1043" spans="1:45" s="21" customFormat="1" ht="30" customHeight="1" x14ac:dyDescent="0.2">
      <c r="A1043" s="2">
        <v>865</v>
      </c>
      <c r="B1043" s="46">
        <v>1</v>
      </c>
      <c r="C1043" s="16" t="s">
        <v>52</v>
      </c>
      <c r="D1043" s="48">
        <v>5873</v>
      </c>
      <c r="E1043" s="47">
        <v>25</v>
      </c>
      <c r="F1043" s="48">
        <v>3006</v>
      </c>
      <c r="G1043" s="49">
        <v>5</v>
      </c>
      <c r="H1043" s="48">
        <v>0</v>
      </c>
      <c r="I1043" s="48">
        <v>0</v>
      </c>
      <c r="J1043" s="48">
        <v>80</v>
      </c>
      <c r="K1043" s="3"/>
      <c r="L1043" s="16">
        <v>80</v>
      </c>
      <c r="M1043" s="57"/>
      <c r="N1043" s="58"/>
      <c r="P1043" s="16">
        <v>2</v>
      </c>
      <c r="Q1043" s="20">
        <f t="shared" si="201"/>
        <v>80</v>
      </c>
      <c r="R1043" s="14">
        <v>1500</v>
      </c>
      <c r="S1043" s="19">
        <f t="shared" si="195"/>
        <v>120000</v>
      </c>
      <c r="T1043" s="16"/>
      <c r="U1043" s="16"/>
      <c r="V1043" s="16"/>
      <c r="W1043" s="5"/>
      <c r="X1043" s="16"/>
      <c r="Y1043" s="5"/>
      <c r="Z1043" s="16"/>
      <c r="AA1043" s="16"/>
      <c r="AB1043" s="16"/>
      <c r="AE1043" s="16"/>
      <c r="AG1043" s="22">
        <f t="shared" si="196"/>
        <v>0</v>
      </c>
      <c r="AH1043" s="6"/>
      <c r="AJ1043" s="20">
        <f t="shared" si="197"/>
        <v>0</v>
      </c>
      <c r="AK1043" s="50"/>
      <c r="AL1043" s="6"/>
      <c r="AM1043" s="20">
        <f t="shared" si="198"/>
        <v>0</v>
      </c>
      <c r="AN1043" s="20">
        <f t="shared" si="199"/>
        <v>120000</v>
      </c>
      <c r="AP1043" s="20">
        <f t="shared" si="200"/>
        <v>120000</v>
      </c>
      <c r="AQ1043" s="7"/>
      <c r="AR1043" s="20"/>
      <c r="AS1043" s="51"/>
    </row>
    <row r="1044" spans="1:45" s="21" customFormat="1" ht="30" customHeight="1" x14ac:dyDescent="0.2">
      <c r="A1044" s="8">
        <v>866</v>
      </c>
      <c r="B1044" s="46">
        <v>1</v>
      </c>
      <c r="C1044" s="16" t="s">
        <v>52</v>
      </c>
      <c r="D1044" s="48">
        <v>3772</v>
      </c>
      <c r="E1044" s="47">
        <v>101</v>
      </c>
      <c r="F1044" s="48">
        <v>2297</v>
      </c>
      <c r="G1044" s="49">
        <v>2</v>
      </c>
      <c r="H1044" s="48">
        <v>6</v>
      </c>
      <c r="I1044" s="48">
        <v>0</v>
      </c>
      <c r="J1044" s="48">
        <v>86</v>
      </c>
      <c r="K1044" s="3">
        <f>6*400+86</f>
        <v>2486</v>
      </c>
      <c r="L1044" s="16"/>
      <c r="M1044" s="57"/>
      <c r="N1044" s="58"/>
      <c r="P1044" s="16">
        <v>1</v>
      </c>
      <c r="Q1044" s="20">
        <f t="shared" si="201"/>
        <v>2486</v>
      </c>
      <c r="R1044" s="14">
        <v>160</v>
      </c>
      <c r="S1044" s="19">
        <f t="shared" si="195"/>
        <v>397760</v>
      </c>
      <c r="T1044" s="16"/>
      <c r="U1044" s="17"/>
      <c r="V1044" s="17"/>
      <c r="W1044" s="5"/>
      <c r="X1044" s="16"/>
      <c r="Y1044" s="5"/>
      <c r="Z1044" s="16"/>
      <c r="AA1044" s="16"/>
      <c r="AB1044" s="16"/>
      <c r="AE1044" s="21" t="s">
        <v>140</v>
      </c>
      <c r="AG1044" s="22">
        <f t="shared" si="196"/>
        <v>0</v>
      </c>
      <c r="AH1044" s="6"/>
      <c r="AJ1044" s="20">
        <f t="shared" si="197"/>
        <v>0</v>
      </c>
      <c r="AK1044" s="50"/>
      <c r="AL1044" s="6"/>
      <c r="AM1044" s="20">
        <f t="shared" si="198"/>
        <v>0</v>
      </c>
      <c r="AN1044" s="20">
        <f t="shared" si="199"/>
        <v>397760</v>
      </c>
      <c r="AP1044" s="20">
        <f t="shared" si="200"/>
        <v>397760</v>
      </c>
      <c r="AQ1044" s="7"/>
      <c r="AR1044" s="20"/>
      <c r="AS1044" s="51"/>
    </row>
    <row r="1045" spans="1:45" s="21" customFormat="1" ht="30" customHeight="1" x14ac:dyDescent="0.2">
      <c r="A1045" s="8">
        <v>867</v>
      </c>
      <c r="B1045" s="46">
        <v>2</v>
      </c>
      <c r="C1045" s="16" t="s">
        <v>52</v>
      </c>
      <c r="D1045" s="48">
        <v>3773</v>
      </c>
      <c r="E1045" s="47">
        <v>3</v>
      </c>
      <c r="F1045" s="48">
        <v>2298</v>
      </c>
      <c r="G1045" s="49">
        <v>2</v>
      </c>
      <c r="H1045" s="48">
        <v>15</v>
      </c>
      <c r="I1045" s="48">
        <v>2</v>
      </c>
      <c r="J1045" s="48">
        <v>9</v>
      </c>
      <c r="K1045" s="3">
        <f>15*400+200+9</f>
        <v>6209</v>
      </c>
      <c r="L1045" s="16"/>
      <c r="M1045" s="57"/>
      <c r="N1045" s="58"/>
      <c r="P1045" s="16">
        <v>1</v>
      </c>
      <c r="Q1045" s="20">
        <f t="shared" si="201"/>
        <v>6209</v>
      </c>
      <c r="R1045" s="14">
        <v>200</v>
      </c>
      <c r="S1045" s="19">
        <f t="shared" si="195"/>
        <v>1241800</v>
      </c>
      <c r="T1045" s="16"/>
      <c r="U1045" s="17"/>
      <c r="V1045" s="16"/>
      <c r="W1045" s="5"/>
      <c r="X1045" s="16"/>
      <c r="Y1045" s="5"/>
      <c r="Z1045" s="16"/>
      <c r="AA1045" s="16"/>
      <c r="AB1045" s="16"/>
      <c r="AE1045" s="16"/>
      <c r="AG1045" s="22">
        <f t="shared" si="196"/>
        <v>0</v>
      </c>
      <c r="AH1045" s="6"/>
      <c r="AJ1045" s="20">
        <f t="shared" si="197"/>
        <v>0</v>
      </c>
      <c r="AK1045" s="50"/>
      <c r="AL1045" s="6"/>
      <c r="AM1045" s="20">
        <f t="shared" si="198"/>
        <v>0</v>
      </c>
      <c r="AN1045" s="20">
        <f t="shared" si="199"/>
        <v>1241800</v>
      </c>
      <c r="AP1045" s="20">
        <f t="shared" si="200"/>
        <v>1241800</v>
      </c>
      <c r="AQ1045" s="7"/>
      <c r="AR1045" s="20"/>
      <c r="AS1045" s="51"/>
    </row>
    <row r="1046" spans="1:45" s="21" customFormat="1" ht="30" customHeight="1" x14ac:dyDescent="0.2">
      <c r="A1046" s="2">
        <v>868</v>
      </c>
      <c r="B1046" s="46">
        <v>3</v>
      </c>
      <c r="C1046" s="16" t="s">
        <v>52</v>
      </c>
      <c r="D1046" s="48">
        <v>14473</v>
      </c>
      <c r="E1046" s="47">
        <v>123</v>
      </c>
      <c r="F1046" s="48">
        <v>3370</v>
      </c>
      <c r="G1046" s="49">
        <v>2</v>
      </c>
      <c r="H1046" s="48">
        <v>0</v>
      </c>
      <c r="I1046" s="48">
        <v>0</v>
      </c>
      <c r="J1046" s="48">
        <v>83.08</v>
      </c>
      <c r="K1046" s="3">
        <v>83.08</v>
      </c>
      <c r="L1046" s="16"/>
      <c r="M1046" s="57"/>
      <c r="N1046" s="58"/>
      <c r="P1046" s="16">
        <v>1</v>
      </c>
      <c r="Q1046" s="20">
        <f t="shared" si="201"/>
        <v>83.08</v>
      </c>
      <c r="R1046" s="14">
        <v>250</v>
      </c>
      <c r="S1046" s="20">
        <f t="shared" si="195"/>
        <v>20770</v>
      </c>
      <c r="T1046" s="16"/>
      <c r="U1046" s="17"/>
      <c r="V1046" s="17"/>
      <c r="W1046" s="4"/>
      <c r="X1046" s="16"/>
      <c r="Y1046" s="5"/>
      <c r="Z1046" s="16"/>
      <c r="AA1046" s="16"/>
      <c r="AB1046" s="16"/>
      <c r="AE1046" s="16"/>
      <c r="AG1046" s="22">
        <f t="shared" si="196"/>
        <v>0</v>
      </c>
      <c r="AH1046" s="6"/>
      <c r="AJ1046" s="20">
        <f t="shared" si="197"/>
        <v>0</v>
      </c>
      <c r="AK1046" s="50"/>
      <c r="AL1046" s="6"/>
      <c r="AM1046" s="20">
        <f t="shared" si="198"/>
        <v>0</v>
      </c>
      <c r="AN1046" s="20">
        <f t="shared" si="199"/>
        <v>20770</v>
      </c>
      <c r="AP1046" s="20">
        <f t="shared" si="200"/>
        <v>20770</v>
      </c>
      <c r="AQ1046" s="7"/>
      <c r="AR1046" s="20"/>
      <c r="AS1046" s="51"/>
    </row>
    <row r="1047" spans="1:45" s="21" customFormat="1" ht="30" customHeight="1" x14ac:dyDescent="0.2">
      <c r="A1047" s="8">
        <v>869</v>
      </c>
      <c r="B1047" s="46">
        <v>1</v>
      </c>
      <c r="C1047" s="16" t="s">
        <v>52</v>
      </c>
      <c r="D1047" s="48">
        <v>2731</v>
      </c>
      <c r="E1047" s="47">
        <v>26</v>
      </c>
      <c r="F1047" s="48">
        <v>1903</v>
      </c>
      <c r="G1047" s="49">
        <v>1</v>
      </c>
      <c r="H1047" s="48">
        <v>11</v>
      </c>
      <c r="I1047" s="48">
        <v>3</v>
      </c>
      <c r="J1047" s="48">
        <v>93</v>
      </c>
      <c r="K1047" s="3">
        <f>+((11*400)+300+93)-L1047</f>
        <v>4769</v>
      </c>
      <c r="L1047" s="16">
        <f>96/4</f>
        <v>24</v>
      </c>
      <c r="M1047" s="57"/>
      <c r="N1047" s="58"/>
      <c r="P1047" s="16">
        <v>5</v>
      </c>
      <c r="Q1047" s="20">
        <f t="shared" si="201"/>
        <v>4793</v>
      </c>
      <c r="R1047" s="14">
        <v>200</v>
      </c>
      <c r="S1047" s="19">
        <f t="shared" si="195"/>
        <v>958600</v>
      </c>
      <c r="T1047" s="16"/>
      <c r="U1047" s="17" t="s">
        <v>57</v>
      </c>
      <c r="V1047" s="17" t="s">
        <v>56</v>
      </c>
      <c r="W1047" s="4"/>
      <c r="X1047" s="16"/>
      <c r="Y1047" s="5">
        <v>96</v>
      </c>
      <c r="Z1047" s="16"/>
      <c r="AA1047" s="16"/>
      <c r="AB1047" s="16">
        <v>31</v>
      </c>
      <c r="AE1047" s="16"/>
      <c r="AG1047" s="22">
        <f t="shared" si="196"/>
        <v>96</v>
      </c>
      <c r="AH1047" s="6"/>
      <c r="AJ1047" s="20">
        <f t="shared" si="197"/>
        <v>0</v>
      </c>
      <c r="AK1047" s="50">
        <v>31</v>
      </c>
      <c r="AL1047" s="6"/>
      <c r="AM1047" s="20">
        <f t="shared" si="198"/>
        <v>0</v>
      </c>
      <c r="AN1047" s="20">
        <f t="shared" si="199"/>
        <v>958600</v>
      </c>
      <c r="AP1047" s="20">
        <f t="shared" si="200"/>
        <v>958600</v>
      </c>
      <c r="AQ1047" s="7"/>
      <c r="AR1047" s="20"/>
      <c r="AS1047" s="51">
        <v>62</v>
      </c>
    </row>
    <row r="1048" spans="1:45" s="21" customFormat="1" ht="30" customHeight="1" x14ac:dyDescent="0.2">
      <c r="A1048" s="2">
        <v>870</v>
      </c>
      <c r="B1048" s="46">
        <v>1</v>
      </c>
      <c r="C1048" s="16" t="s">
        <v>52</v>
      </c>
      <c r="D1048" s="48">
        <v>2388</v>
      </c>
      <c r="E1048" s="47">
        <v>17</v>
      </c>
      <c r="F1048" s="48">
        <v>1726</v>
      </c>
      <c r="G1048" s="49">
        <v>4</v>
      </c>
      <c r="H1048" s="48">
        <v>0</v>
      </c>
      <c r="I1048" s="48">
        <v>0</v>
      </c>
      <c r="J1048" s="48">
        <v>44</v>
      </c>
      <c r="K1048" s="3"/>
      <c r="L1048" s="16">
        <v>44</v>
      </c>
      <c r="M1048" s="57"/>
      <c r="N1048" s="58"/>
      <c r="P1048" s="16">
        <v>2</v>
      </c>
      <c r="Q1048" s="20">
        <f t="shared" si="201"/>
        <v>44</v>
      </c>
      <c r="R1048" s="14">
        <v>250</v>
      </c>
      <c r="S1048" s="19">
        <f t="shared" si="195"/>
        <v>11000</v>
      </c>
      <c r="T1048" s="16"/>
      <c r="U1048" s="17" t="s">
        <v>57</v>
      </c>
      <c r="V1048" s="17" t="s">
        <v>56</v>
      </c>
      <c r="W1048" s="4"/>
      <c r="X1048" s="16"/>
      <c r="Y1048" s="5">
        <f>8*28</f>
        <v>224</v>
      </c>
      <c r="Z1048" s="16"/>
      <c r="AA1048" s="16"/>
      <c r="AB1048" s="16">
        <v>1</v>
      </c>
      <c r="AE1048" s="16"/>
      <c r="AG1048" s="22">
        <f t="shared" si="196"/>
        <v>224</v>
      </c>
      <c r="AH1048" s="6"/>
      <c r="AJ1048" s="20">
        <f t="shared" si="197"/>
        <v>0</v>
      </c>
      <c r="AK1048" s="50">
        <v>1</v>
      </c>
      <c r="AL1048" s="6"/>
      <c r="AM1048" s="20">
        <f t="shared" si="198"/>
        <v>0</v>
      </c>
      <c r="AN1048" s="20">
        <f t="shared" si="199"/>
        <v>11000</v>
      </c>
      <c r="AP1048" s="20">
        <f t="shared" si="200"/>
        <v>11000</v>
      </c>
      <c r="AQ1048" s="7"/>
      <c r="AR1048" s="60"/>
      <c r="AS1048" s="128">
        <v>13</v>
      </c>
    </row>
    <row r="1049" spans="1:45" ht="30" customHeight="1" x14ac:dyDescent="0.2">
      <c r="A1049" s="8"/>
      <c r="C1049" s="16"/>
      <c r="Q1049" s="20"/>
      <c r="S1049" s="20"/>
      <c r="AC1049" s="21"/>
      <c r="AD1049" s="21"/>
      <c r="AG1049" s="22"/>
      <c r="AJ1049" s="20"/>
      <c r="AM1049" s="20"/>
      <c r="AN1049" s="20"/>
      <c r="AP1049" s="20"/>
      <c r="AR1049" s="25"/>
      <c r="AS1049" s="130"/>
    </row>
    <row r="1050" spans="1:45" s="21" customFormat="1" ht="30" customHeight="1" x14ac:dyDescent="0.2">
      <c r="A1050" s="8">
        <v>871</v>
      </c>
      <c r="B1050" s="46">
        <v>1</v>
      </c>
      <c r="C1050" s="16" t="s">
        <v>52</v>
      </c>
      <c r="D1050" s="48">
        <v>17707</v>
      </c>
      <c r="E1050" s="47">
        <v>50</v>
      </c>
      <c r="F1050" s="48">
        <v>3835</v>
      </c>
      <c r="G1050" s="49">
        <v>3</v>
      </c>
      <c r="H1050" s="48">
        <v>5</v>
      </c>
      <c r="I1050" s="48">
        <v>0</v>
      </c>
      <c r="J1050" s="48">
        <v>67</v>
      </c>
      <c r="K1050" s="3">
        <v>2067</v>
      </c>
      <c r="L1050" s="16"/>
      <c r="M1050" s="57"/>
      <c r="N1050" s="58"/>
      <c r="P1050" s="16">
        <v>1</v>
      </c>
      <c r="Q1050" s="20">
        <f t="shared" si="201"/>
        <v>2067</v>
      </c>
      <c r="R1050" s="14">
        <v>160</v>
      </c>
      <c r="S1050" s="19">
        <f>+Q1050*R1050</f>
        <v>330720</v>
      </c>
      <c r="T1050" s="16"/>
      <c r="U1050" s="17"/>
      <c r="V1050" s="17"/>
      <c r="W1050" s="4"/>
      <c r="X1050" s="16"/>
      <c r="Y1050" s="5"/>
      <c r="Z1050" s="16"/>
      <c r="AA1050" s="16"/>
      <c r="AB1050" s="16"/>
      <c r="AE1050" s="16"/>
      <c r="AG1050" s="22">
        <f t="shared" si="196"/>
        <v>0</v>
      </c>
      <c r="AH1050" s="6"/>
      <c r="AJ1050" s="20">
        <f>+AG1050*AH1050*AI1050</f>
        <v>0</v>
      </c>
      <c r="AK1050" s="50"/>
      <c r="AL1050" s="6"/>
      <c r="AM1050" s="20">
        <f>+AJ1050-(AL1050*AJ1050)</f>
        <v>0</v>
      </c>
      <c r="AN1050" s="20">
        <f t="shared" si="199"/>
        <v>330720</v>
      </c>
      <c r="AP1050" s="20">
        <f t="shared" si="200"/>
        <v>330720</v>
      </c>
      <c r="AQ1050" s="7"/>
      <c r="AR1050" s="24"/>
      <c r="AS1050" s="96">
        <f>16+25</f>
        <v>41</v>
      </c>
    </row>
    <row r="1051" spans="1:45" s="21" customFormat="1" ht="30" customHeight="1" x14ac:dyDescent="0.2">
      <c r="A1051" s="2">
        <v>872</v>
      </c>
      <c r="B1051" s="46">
        <v>2</v>
      </c>
      <c r="C1051" s="16" t="s">
        <v>52</v>
      </c>
      <c r="D1051" s="48">
        <v>17708</v>
      </c>
      <c r="E1051" s="47">
        <v>44</v>
      </c>
      <c r="F1051" s="48">
        <v>3836</v>
      </c>
      <c r="G1051" s="49">
        <v>3</v>
      </c>
      <c r="H1051" s="48">
        <v>9</v>
      </c>
      <c r="I1051" s="48">
        <v>3</v>
      </c>
      <c r="J1051" s="48">
        <v>90</v>
      </c>
      <c r="K1051" s="3">
        <f>9*400+300+90</f>
        <v>3990</v>
      </c>
      <c r="L1051" s="16"/>
      <c r="M1051" s="57"/>
      <c r="N1051" s="58"/>
      <c r="P1051" s="16">
        <v>1</v>
      </c>
      <c r="Q1051" s="20">
        <f t="shared" si="201"/>
        <v>3990</v>
      </c>
      <c r="R1051" s="14">
        <v>160</v>
      </c>
      <c r="S1051" s="20">
        <f>+Q1051*R1051</f>
        <v>638400</v>
      </c>
      <c r="T1051" s="16"/>
      <c r="U1051" s="16"/>
      <c r="V1051" s="16"/>
      <c r="W1051" s="5"/>
      <c r="X1051" s="16"/>
      <c r="Y1051" s="5"/>
      <c r="Z1051" s="16"/>
      <c r="AA1051" s="16"/>
      <c r="AB1051" s="16"/>
      <c r="AC1051" s="14"/>
      <c r="AD1051" s="14"/>
      <c r="AE1051" s="16"/>
      <c r="AG1051" s="22">
        <f t="shared" si="196"/>
        <v>0</v>
      </c>
      <c r="AH1051" s="6"/>
      <c r="AJ1051" s="20">
        <f>+AG1051*AH1051*AI1051</f>
        <v>0</v>
      </c>
      <c r="AK1051" s="50"/>
      <c r="AL1051" s="6"/>
      <c r="AM1051" s="20">
        <f>+AJ1051-(AL1051*AJ1051)</f>
        <v>0</v>
      </c>
      <c r="AN1051" s="20">
        <f t="shared" si="199"/>
        <v>638400</v>
      </c>
      <c r="AP1051" s="20">
        <f t="shared" si="200"/>
        <v>638400</v>
      </c>
      <c r="AQ1051" s="7"/>
      <c r="AR1051" s="24"/>
      <c r="AS1051" s="97"/>
    </row>
    <row r="1052" spans="1:45" ht="30" customHeight="1" x14ac:dyDescent="0.2">
      <c r="A1052" s="8">
        <v>873</v>
      </c>
      <c r="B1052" s="46">
        <v>3</v>
      </c>
      <c r="C1052" s="16" t="s">
        <v>65</v>
      </c>
      <c r="D1052" s="17">
        <v>3546</v>
      </c>
      <c r="E1052" s="17">
        <v>72</v>
      </c>
      <c r="H1052" s="17">
        <v>7</v>
      </c>
      <c r="I1052" s="17">
        <v>3</v>
      </c>
      <c r="J1052" s="17">
        <v>13</v>
      </c>
      <c r="K1052" s="10">
        <f>7*400+313</f>
        <v>3113</v>
      </c>
      <c r="P1052" s="17">
        <v>1</v>
      </c>
      <c r="Q1052" s="20">
        <f t="shared" si="201"/>
        <v>3113</v>
      </c>
      <c r="R1052" s="14">
        <v>160</v>
      </c>
      <c r="S1052" s="19">
        <f>+Q1052*R1052</f>
        <v>498080</v>
      </c>
      <c r="AC1052" s="21"/>
      <c r="AD1052" s="21"/>
      <c r="AG1052" s="22">
        <f t="shared" si="196"/>
        <v>0</v>
      </c>
      <c r="AJ1052" s="20">
        <f>+AG1052*AH1052*AI1052</f>
        <v>0</v>
      </c>
      <c r="AM1052" s="20">
        <f>+AJ1052-(AL1052*AJ1052)</f>
        <v>0</v>
      </c>
      <c r="AN1052" s="20">
        <f t="shared" si="199"/>
        <v>498080</v>
      </c>
      <c r="AP1052" s="20">
        <f t="shared" si="200"/>
        <v>498080</v>
      </c>
      <c r="AQ1052" s="12">
        <v>1E-4</v>
      </c>
      <c r="AR1052" s="25"/>
      <c r="AS1052" s="98"/>
    </row>
    <row r="1053" spans="1:45" ht="30" customHeight="1" x14ac:dyDescent="0.2">
      <c r="B1053" s="46"/>
      <c r="C1053" s="16"/>
      <c r="Q1053" s="20"/>
      <c r="AC1053" s="21"/>
      <c r="AD1053" s="21"/>
      <c r="AG1053" s="22"/>
      <c r="AJ1053" s="20"/>
      <c r="AM1053" s="20"/>
      <c r="AN1053" s="20"/>
      <c r="AP1053" s="20"/>
      <c r="AR1053" s="24"/>
      <c r="AS1053" s="97"/>
    </row>
    <row r="1054" spans="1:45" s="21" customFormat="1" ht="30" customHeight="1" x14ac:dyDescent="0.2">
      <c r="A1054" s="2">
        <v>874</v>
      </c>
      <c r="B1054" s="46">
        <v>1</v>
      </c>
      <c r="C1054" s="16" t="s">
        <v>52</v>
      </c>
      <c r="D1054" s="48">
        <v>17704</v>
      </c>
      <c r="E1054" s="47">
        <v>49</v>
      </c>
      <c r="F1054" s="48">
        <v>3832</v>
      </c>
      <c r="G1054" s="49">
        <v>3</v>
      </c>
      <c r="H1054" s="48">
        <v>0</v>
      </c>
      <c r="I1054" s="48">
        <v>0</v>
      </c>
      <c r="J1054" s="48">
        <v>96</v>
      </c>
      <c r="K1054" s="3">
        <v>96</v>
      </c>
      <c r="L1054" s="16"/>
      <c r="M1054" s="57"/>
      <c r="N1054" s="58"/>
      <c r="P1054" s="16"/>
      <c r="Q1054" s="20">
        <f t="shared" si="201"/>
        <v>96</v>
      </c>
      <c r="R1054" s="14">
        <v>1500</v>
      </c>
      <c r="S1054" s="19">
        <f t="shared" ref="S1054:S1060" si="202">+Q1054*R1054</f>
        <v>144000</v>
      </c>
      <c r="T1054" s="16"/>
      <c r="U1054" s="17"/>
      <c r="V1054" s="17"/>
      <c r="W1054" s="4"/>
      <c r="X1054" s="16"/>
      <c r="Y1054" s="5"/>
      <c r="Z1054" s="16"/>
      <c r="AA1054" s="16"/>
      <c r="AB1054" s="16"/>
      <c r="AC1054" s="14"/>
      <c r="AD1054" s="14"/>
      <c r="AE1054" s="16"/>
      <c r="AG1054" s="22">
        <f t="shared" si="196"/>
        <v>0</v>
      </c>
      <c r="AH1054" s="6"/>
      <c r="AJ1054" s="20">
        <f t="shared" ref="AJ1054:AJ1060" si="203">+AG1054*AH1054*AI1054</f>
        <v>0</v>
      </c>
      <c r="AK1054" s="50"/>
      <c r="AL1054" s="6"/>
      <c r="AM1054" s="20">
        <f t="shared" ref="AM1054:AM1060" si="204">+AJ1054-(AL1054*AJ1054)</f>
        <v>0</v>
      </c>
      <c r="AN1054" s="20">
        <f t="shared" ref="AN1054:AN1060" si="205">+S1054+AM1054</f>
        <v>144000</v>
      </c>
      <c r="AP1054" s="20">
        <f t="shared" si="200"/>
        <v>144000</v>
      </c>
      <c r="AQ1054" s="7"/>
      <c r="AR1054" s="60"/>
    </row>
    <row r="1055" spans="1:45" ht="30" customHeight="1" x14ac:dyDescent="0.2">
      <c r="A1055" s="8"/>
      <c r="B1055" s="46"/>
      <c r="C1055" s="16"/>
      <c r="Q1055" s="20"/>
      <c r="AC1055" s="21"/>
      <c r="AD1055" s="21"/>
      <c r="AG1055" s="22"/>
      <c r="AJ1055" s="20"/>
      <c r="AM1055" s="20"/>
      <c r="AN1055" s="20"/>
      <c r="AP1055" s="20"/>
      <c r="AR1055" s="24"/>
      <c r="AS1055" s="97"/>
    </row>
    <row r="1056" spans="1:45" ht="30" customHeight="1" x14ac:dyDescent="0.2">
      <c r="B1056" s="46"/>
      <c r="C1056" s="16"/>
      <c r="Q1056" s="20"/>
      <c r="AC1056" s="21"/>
      <c r="AD1056" s="21"/>
      <c r="AG1056" s="22"/>
      <c r="AJ1056" s="20"/>
      <c r="AM1056" s="20"/>
      <c r="AN1056" s="20"/>
      <c r="AP1056" s="20"/>
      <c r="AR1056" s="24"/>
      <c r="AS1056" s="97"/>
    </row>
    <row r="1057" spans="1:45" ht="30" customHeight="1" x14ac:dyDescent="0.2">
      <c r="A1057" s="8"/>
      <c r="B1057" s="46"/>
      <c r="C1057" s="16"/>
      <c r="Q1057" s="20"/>
      <c r="S1057" s="20"/>
      <c r="AC1057" s="21"/>
      <c r="AD1057" s="21"/>
      <c r="AG1057" s="22"/>
      <c r="AJ1057" s="20"/>
      <c r="AM1057" s="20"/>
      <c r="AN1057" s="20"/>
      <c r="AP1057" s="20"/>
      <c r="AR1057" s="24"/>
      <c r="AS1057" s="97"/>
    </row>
    <row r="1058" spans="1:45" ht="30" customHeight="1" x14ac:dyDescent="0.2">
      <c r="A1058" s="2">
        <v>875</v>
      </c>
      <c r="B1058" s="13">
        <v>1</v>
      </c>
      <c r="C1058" s="16" t="s">
        <v>65</v>
      </c>
      <c r="D1058" s="17">
        <v>1385</v>
      </c>
      <c r="E1058" s="17">
        <v>73</v>
      </c>
      <c r="H1058" s="17">
        <v>6</v>
      </c>
      <c r="I1058" s="17">
        <v>0</v>
      </c>
      <c r="J1058" s="17">
        <v>72</v>
      </c>
      <c r="K1058" s="10">
        <v>2472</v>
      </c>
      <c r="P1058" s="17">
        <v>1</v>
      </c>
      <c r="Q1058" s="20">
        <f t="shared" si="201"/>
        <v>2472</v>
      </c>
      <c r="R1058" s="14">
        <v>160</v>
      </c>
      <c r="S1058" s="20">
        <f t="shared" si="202"/>
        <v>395520</v>
      </c>
      <c r="AC1058" s="21"/>
      <c r="AD1058" s="21"/>
      <c r="AG1058" s="22">
        <f t="shared" si="196"/>
        <v>0</v>
      </c>
      <c r="AJ1058" s="20">
        <f t="shared" si="203"/>
        <v>0</v>
      </c>
      <c r="AM1058" s="20">
        <f t="shared" si="204"/>
        <v>0</v>
      </c>
      <c r="AN1058" s="20">
        <f t="shared" si="205"/>
        <v>395520</v>
      </c>
      <c r="AP1058" s="20">
        <f t="shared" si="200"/>
        <v>395520</v>
      </c>
      <c r="AQ1058" s="12">
        <v>1E-4</v>
      </c>
      <c r="AR1058" s="20"/>
    </row>
    <row r="1059" spans="1:45" s="21" customFormat="1" ht="30" customHeight="1" x14ac:dyDescent="0.2">
      <c r="A1059" s="8">
        <v>876</v>
      </c>
      <c r="B1059" s="46">
        <v>1</v>
      </c>
      <c r="C1059" s="16" t="s">
        <v>52</v>
      </c>
      <c r="D1059" s="48">
        <v>2391</v>
      </c>
      <c r="E1059" s="47">
        <v>21</v>
      </c>
      <c r="F1059" s="48">
        <v>1729</v>
      </c>
      <c r="G1059" s="49">
        <v>4</v>
      </c>
      <c r="H1059" s="48">
        <v>0</v>
      </c>
      <c r="I1059" s="48">
        <v>0</v>
      </c>
      <c r="J1059" s="48">
        <v>7</v>
      </c>
      <c r="K1059" s="3"/>
      <c r="L1059" s="16">
        <v>7</v>
      </c>
      <c r="M1059" s="57"/>
      <c r="N1059" s="58"/>
      <c r="P1059" s="16">
        <v>2</v>
      </c>
      <c r="Q1059" s="20">
        <f t="shared" si="201"/>
        <v>7</v>
      </c>
      <c r="R1059" s="14">
        <v>250</v>
      </c>
      <c r="S1059" s="19">
        <f t="shared" si="202"/>
        <v>1750</v>
      </c>
      <c r="T1059" s="16"/>
      <c r="U1059" s="17"/>
      <c r="V1059" s="16"/>
      <c r="W1059" s="5"/>
      <c r="X1059" s="16"/>
      <c r="Y1059" s="5"/>
      <c r="Z1059" s="16"/>
      <c r="AA1059" s="16"/>
      <c r="AB1059" s="16"/>
      <c r="AC1059" s="14"/>
      <c r="AD1059" s="14"/>
      <c r="AE1059" s="16"/>
      <c r="AG1059" s="22">
        <f t="shared" si="196"/>
        <v>0</v>
      </c>
      <c r="AH1059" s="6"/>
      <c r="AJ1059" s="20">
        <f t="shared" si="203"/>
        <v>0</v>
      </c>
      <c r="AK1059" s="50"/>
      <c r="AL1059" s="6"/>
      <c r="AM1059" s="20">
        <f t="shared" si="204"/>
        <v>0</v>
      </c>
      <c r="AN1059" s="20">
        <f t="shared" si="205"/>
        <v>1750</v>
      </c>
      <c r="AP1059" s="20">
        <f t="shared" si="200"/>
        <v>1750</v>
      </c>
      <c r="AQ1059" s="7"/>
      <c r="AR1059" s="20"/>
      <c r="AS1059" s="51"/>
    </row>
    <row r="1060" spans="1:45" ht="30" customHeight="1" x14ac:dyDescent="0.2">
      <c r="A1060" s="2">
        <v>877</v>
      </c>
      <c r="B1060" s="13">
        <v>1</v>
      </c>
      <c r="C1060" s="16" t="s">
        <v>65</v>
      </c>
      <c r="D1060" s="17">
        <v>2120</v>
      </c>
      <c r="E1060" s="17">
        <v>12</v>
      </c>
      <c r="H1060" s="17">
        <v>18</v>
      </c>
      <c r="I1060" s="17">
        <v>0</v>
      </c>
      <c r="J1060" s="17">
        <v>20</v>
      </c>
      <c r="K1060" s="10">
        <f>18*400+20</f>
        <v>7220</v>
      </c>
      <c r="P1060" s="17">
        <v>1</v>
      </c>
      <c r="Q1060" s="20">
        <f t="shared" si="201"/>
        <v>7220</v>
      </c>
      <c r="R1060" s="14">
        <v>500</v>
      </c>
      <c r="S1060" s="19">
        <f t="shared" si="202"/>
        <v>3610000</v>
      </c>
      <c r="AC1060" s="21"/>
      <c r="AD1060" s="21"/>
      <c r="AE1060" s="17" t="s">
        <v>94</v>
      </c>
      <c r="AG1060" s="22">
        <f>Y1060</f>
        <v>0</v>
      </c>
      <c r="AJ1060" s="20">
        <f t="shared" si="203"/>
        <v>0</v>
      </c>
      <c r="AM1060" s="20">
        <f t="shared" si="204"/>
        <v>0</v>
      </c>
      <c r="AN1060" s="20">
        <f t="shared" si="205"/>
        <v>3610000</v>
      </c>
      <c r="AP1060" s="20">
        <f>AN1060</f>
        <v>3610000</v>
      </c>
      <c r="AQ1060" s="12">
        <v>1E-4</v>
      </c>
      <c r="AR1060" s="20">
        <v>103</v>
      </c>
      <c r="AS1060" s="26">
        <f>3000+103</f>
        <v>3103</v>
      </c>
    </row>
    <row r="1061" spans="1:45" ht="30" customHeight="1" x14ac:dyDescent="0.2">
      <c r="C1061" s="16"/>
      <c r="Q1061" s="20">
        <f t="shared" si="201"/>
        <v>0</v>
      </c>
      <c r="R1061" s="14" t="e">
        <v>#N/A</v>
      </c>
      <c r="AC1061" s="21"/>
      <c r="AD1061" s="21"/>
      <c r="AG1061" s="22"/>
      <c r="AJ1061" s="20"/>
      <c r="AM1061" s="20"/>
      <c r="AN1061" s="20"/>
      <c r="AP1061" s="20"/>
      <c r="AR1061" s="20">
        <v>3000</v>
      </c>
    </row>
    <row r="1062" spans="1:45" s="21" customFormat="1" ht="30" customHeight="1" x14ac:dyDescent="0.2">
      <c r="A1062" s="8">
        <v>878</v>
      </c>
      <c r="B1062" s="46">
        <v>1</v>
      </c>
      <c r="C1062" s="16" t="s">
        <v>52</v>
      </c>
      <c r="D1062" s="48">
        <v>1503</v>
      </c>
      <c r="E1062" s="47">
        <v>67</v>
      </c>
      <c r="F1062" s="48">
        <v>1076</v>
      </c>
      <c r="G1062" s="49"/>
      <c r="H1062" s="48">
        <v>0</v>
      </c>
      <c r="I1062" s="48">
        <v>0</v>
      </c>
      <c r="J1062" s="48">
        <v>53</v>
      </c>
      <c r="K1062" s="3"/>
      <c r="L1062" s="16">
        <v>53</v>
      </c>
      <c r="M1062" s="57"/>
      <c r="N1062" s="58"/>
      <c r="P1062" s="16">
        <v>2</v>
      </c>
      <c r="Q1062" s="20">
        <f t="shared" si="201"/>
        <v>53</v>
      </c>
      <c r="R1062" s="14">
        <v>250</v>
      </c>
      <c r="S1062" s="20">
        <f>+Q1062*R1062</f>
        <v>13250</v>
      </c>
      <c r="T1062" s="16"/>
      <c r="U1062" s="17"/>
      <c r="V1062" s="17"/>
      <c r="W1062" s="4"/>
      <c r="X1062" s="16"/>
      <c r="Y1062" s="5"/>
      <c r="Z1062" s="16"/>
      <c r="AA1062" s="16"/>
      <c r="AB1062" s="16"/>
      <c r="AC1062" s="14"/>
      <c r="AD1062" s="14"/>
      <c r="AE1062" s="16"/>
      <c r="AG1062" s="22">
        <f>Y1062</f>
        <v>0</v>
      </c>
      <c r="AH1062" s="6"/>
      <c r="AJ1062" s="20">
        <f t="shared" ref="AJ1062:AJ1086" si="206">+AG1062*AH1062*AI1062</f>
        <v>0</v>
      </c>
      <c r="AK1062" s="50"/>
      <c r="AL1062" s="6"/>
      <c r="AM1062" s="20">
        <f t="shared" ref="AM1062:AM1086" si="207">+AJ1062-(AL1062*AJ1062)</f>
        <v>0</v>
      </c>
      <c r="AN1062" s="20">
        <f>+S1062+AM1062</f>
        <v>13250</v>
      </c>
      <c r="AP1062" s="20">
        <f t="shared" ref="AP1062:AP1086" si="208">AN1062</f>
        <v>13250</v>
      </c>
      <c r="AQ1062" s="7"/>
      <c r="AR1062" s="20"/>
      <c r="AS1062" s="51"/>
    </row>
    <row r="1063" spans="1:45" s="21" customFormat="1" ht="30" customHeight="1" x14ac:dyDescent="0.2">
      <c r="A1063" s="2">
        <v>879</v>
      </c>
      <c r="B1063" s="46">
        <v>1</v>
      </c>
      <c r="C1063" s="16" t="s">
        <v>52</v>
      </c>
      <c r="D1063" s="48">
        <v>18690</v>
      </c>
      <c r="E1063" s="47">
        <v>206</v>
      </c>
      <c r="F1063" s="48">
        <v>4201</v>
      </c>
      <c r="G1063" s="49"/>
      <c r="H1063" s="48">
        <v>0</v>
      </c>
      <c r="I1063" s="48">
        <v>0</v>
      </c>
      <c r="J1063" s="48">
        <v>50</v>
      </c>
      <c r="K1063" s="3"/>
      <c r="L1063" s="16"/>
      <c r="M1063" s="57"/>
      <c r="N1063" s="58">
        <v>50</v>
      </c>
      <c r="P1063" s="16">
        <v>4</v>
      </c>
      <c r="Q1063" s="20">
        <f t="shared" si="201"/>
        <v>50</v>
      </c>
      <c r="R1063" s="14">
        <v>250</v>
      </c>
      <c r="S1063" s="19">
        <f>+Q1063*R1063</f>
        <v>12500</v>
      </c>
      <c r="T1063" s="16"/>
      <c r="U1063" s="17"/>
      <c r="V1063" s="17"/>
      <c r="W1063" s="4"/>
      <c r="X1063" s="16"/>
      <c r="Y1063" s="5"/>
      <c r="Z1063" s="16"/>
      <c r="AA1063" s="16"/>
      <c r="AB1063" s="16"/>
      <c r="AC1063" s="14"/>
      <c r="AD1063" s="14"/>
      <c r="AE1063" s="16"/>
      <c r="AG1063" s="22">
        <f>Y1063</f>
        <v>0</v>
      </c>
      <c r="AH1063" s="6"/>
      <c r="AJ1063" s="20">
        <f t="shared" si="206"/>
        <v>0</v>
      </c>
      <c r="AK1063" s="50"/>
      <c r="AL1063" s="6"/>
      <c r="AM1063" s="20">
        <f t="shared" si="207"/>
        <v>0</v>
      </c>
      <c r="AN1063" s="20">
        <f>+S1063+AM1063</f>
        <v>12500</v>
      </c>
      <c r="AP1063" s="20">
        <f t="shared" si="208"/>
        <v>12500</v>
      </c>
      <c r="AQ1063" s="7">
        <v>3.0000000000000001E-3</v>
      </c>
      <c r="AR1063" s="20"/>
      <c r="AS1063" s="51"/>
    </row>
    <row r="1064" spans="1:45" s="21" customFormat="1" ht="30" customHeight="1" x14ac:dyDescent="0.2">
      <c r="A1064" s="8">
        <v>880</v>
      </c>
      <c r="B1064" s="46">
        <v>1</v>
      </c>
      <c r="C1064" s="16" t="s">
        <v>52</v>
      </c>
      <c r="D1064" s="48">
        <v>3020</v>
      </c>
      <c r="E1064" s="47">
        <v>79</v>
      </c>
      <c r="F1064" s="48">
        <v>2088</v>
      </c>
      <c r="G1064" s="49">
        <v>2</v>
      </c>
      <c r="H1064" s="48">
        <v>13</v>
      </c>
      <c r="I1064" s="48">
        <v>3</v>
      </c>
      <c r="J1064" s="48">
        <v>96</v>
      </c>
      <c r="K1064" s="3">
        <f>13*400+300+96</f>
        <v>5596</v>
      </c>
      <c r="L1064" s="16"/>
      <c r="M1064" s="57"/>
      <c r="N1064" s="58"/>
      <c r="P1064" s="16">
        <v>1</v>
      </c>
      <c r="Q1064" s="20">
        <f t="shared" si="201"/>
        <v>5596</v>
      </c>
      <c r="R1064" s="14">
        <v>200</v>
      </c>
      <c r="S1064" s="19">
        <f>+Q1064*R1064</f>
        <v>1119200</v>
      </c>
      <c r="T1064" s="16"/>
      <c r="U1064" s="17"/>
      <c r="V1064" s="17"/>
      <c r="W1064" s="4"/>
      <c r="X1064" s="16"/>
      <c r="Y1064" s="5"/>
      <c r="Z1064" s="16"/>
      <c r="AA1064" s="16"/>
      <c r="AB1064" s="16"/>
      <c r="AC1064" s="14"/>
      <c r="AD1064" s="14"/>
      <c r="AE1064" s="16"/>
      <c r="AG1064" s="22">
        <f>Y1064</f>
        <v>0</v>
      </c>
      <c r="AH1064" s="6"/>
      <c r="AJ1064" s="20">
        <f t="shared" si="206"/>
        <v>0</v>
      </c>
      <c r="AK1064" s="50"/>
      <c r="AL1064" s="6"/>
      <c r="AM1064" s="20">
        <f t="shared" si="207"/>
        <v>0</v>
      </c>
      <c r="AN1064" s="20">
        <f>+S1064+AM1064</f>
        <v>1119200</v>
      </c>
      <c r="AP1064" s="20">
        <f t="shared" si="208"/>
        <v>1119200</v>
      </c>
      <c r="AQ1064" s="7"/>
      <c r="AR1064" s="60"/>
      <c r="AS1064" s="128">
        <v>87</v>
      </c>
    </row>
    <row r="1065" spans="1:45" s="21" customFormat="1" ht="30" customHeight="1" x14ac:dyDescent="0.2">
      <c r="A1065" s="2">
        <v>881</v>
      </c>
      <c r="B1065" s="46">
        <v>2</v>
      </c>
      <c r="C1065" s="16" t="s">
        <v>52</v>
      </c>
      <c r="D1065" s="48">
        <v>11649</v>
      </c>
      <c r="E1065" s="47">
        <v>116</v>
      </c>
      <c r="F1065" s="48">
        <v>3173</v>
      </c>
      <c r="G1065" s="49">
        <v>2</v>
      </c>
      <c r="H1065" s="48">
        <v>1</v>
      </c>
      <c r="I1065" s="48">
        <v>3</v>
      </c>
      <c r="J1065" s="48">
        <v>52</v>
      </c>
      <c r="K1065" s="3">
        <v>752</v>
      </c>
      <c r="L1065" s="16"/>
      <c r="M1065" s="57"/>
      <c r="N1065" s="58"/>
      <c r="P1065" s="16">
        <v>1</v>
      </c>
      <c r="Q1065" s="20">
        <f t="shared" si="201"/>
        <v>752</v>
      </c>
      <c r="R1065" s="14">
        <v>250</v>
      </c>
      <c r="S1065" s="20">
        <f>+Q1065*R1065</f>
        <v>188000</v>
      </c>
      <c r="T1065" s="16"/>
      <c r="U1065" s="17"/>
      <c r="V1065" s="17"/>
      <c r="W1065" s="4"/>
      <c r="X1065" s="16"/>
      <c r="Y1065" s="5"/>
      <c r="Z1065" s="16"/>
      <c r="AA1065" s="16"/>
      <c r="AB1065" s="16"/>
      <c r="AE1065" s="16"/>
      <c r="AG1065" s="22">
        <f>Y1065</f>
        <v>0</v>
      </c>
      <c r="AH1065" s="6"/>
      <c r="AJ1065" s="20">
        <f t="shared" si="206"/>
        <v>0</v>
      </c>
      <c r="AK1065" s="50"/>
      <c r="AL1065" s="6"/>
      <c r="AM1065" s="20">
        <f t="shared" si="207"/>
        <v>0</v>
      </c>
      <c r="AN1065" s="20">
        <f>+S1065+AM1065</f>
        <v>188000</v>
      </c>
      <c r="AP1065" s="20">
        <f t="shared" si="208"/>
        <v>188000</v>
      </c>
      <c r="AQ1065" s="7"/>
      <c r="AR1065" s="25"/>
      <c r="AS1065" s="130"/>
    </row>
    <row r="1066" spans="1:45" s="21" customFormat="1" ht="30" customHeight="1" x14ac:dyDescent="0.2">
      <c r="A1066" s="8">
        <v>882</v>
      </c>
      <c r="B1066" s="46">
        <v>1</v>
      </c>
      <c r="C1066" s="16" t="s">
        <v>52</v>
      </c>
      <c r="D1066" s="48">
        <v>1914</v>
      </c>
      <c r="E1066" s="47">
        <v>94</v>
      </c>
      <c r="F1066" s="48">
        <v>500</v>
      </c>
      <c r="G1066" s="49">
        <v>2</v>
      </c>
      <c r="H1066" s="48">
        <v>0</v>
      </c>
      <c r="I1066" s="48">
        <v>0</v>
      </c>
      <c r="J1066" s="48">
        <v>38</v>
      </c>
      <c r="K1066" s="3"/>
      <c r="L1066" s="16">
        <v>38</v>
      </c>
      <c r="M1066" s="57"/>
      <c r="N1066" s="58"/>
      <c r="P1066" s="16">
        <v>2</v>
      </c>
      <c r="Q1066" s="20">
        <f t="shared" si="201"/>
        <v>38</v>
      </c>
      <c r="R1066" s="14">
        <v>4500</v>
      </c>
      <c r="S1066" s="19">
        <f>+Q1066*R1066</f>
        <v>171000</v>
      </c>
      <c r="T1066" s="16">
        <v>1</v>
      </c>
      <c r="U1066" s="17" t="s">
        <v>63</v>
      </c>
      <c r="V1066" s="17" t="s">
        <v>56</v>
      </c>
      <c r="W1066" s="4">
        <v>260</v>
      </c>
      <c r="X1066" s="16"/>
      <c r="Y1066" s="5">
        <f>260-16</f>
        <v>244</v>
      </c>
      <c r="Z1066" s="16"/>
      <c r="AA1066" s="16"/>
      <c r="AB1066" s="16">
        <v>28</v>
      </c>
      <c r="AE1066" s="16"/>
      <c r="AF1066" s="21">
        <v>2</v>
      </c>
      <c r="AG1066" s="22">
        <v>260</v>
      </c>
      <c r="AH1066" s="6">
        <v>0.93</v>
      </c>
      <c r="AI1066" s="21">
        <v>7250</v>
      </c>
      <c r="AJ1066" s="20">
        <f t="shared" si="206"/>
        <v>1753050</v>
      </c>
      <c r="AK1066" s="50">
        <v>28</v>
      </c>
      <c r="AL1066" s="6">
        <v>0.46</v>
      </c>
      <c r="AM1066" s="20">
        <f t="shared" si="207"/>
        <v>946647</v>
      </c>
      <c r="AN1066" s="20">
        <f>+S1066+AM1066</f>
        <v>1117647</v>
      </c>
      <c r="AP1066" s="20">
        <f t="shared" si="208"/>
        <v>1117647</v>
      </c>
      <c r="AQ1066" s="7"/>
      <c r="AR1066" s="20"/>
      <c r="AS1066" s="51">
        <v>600</v>
      </c>
    </row>
    <row r="1067" spans="1:45" s="21" customFormat="1" ht="30" customHeight="1" x14ac:dyDescent="0.2">
      <c r="A1067" s="8"/>
      <c r="B1067" s="46"/>
      <c r="C1067" s="16"/>
      <c r="D1067" s="48"/>
      <c r="E1067" s="47"/>
      <c r="F1067" s="48"/>
      <c r="G1067" s="49"/>
      <c r="H1067" s="48"/>
      <c r="I1067" s="48"/>
      <c r="J1067" s="48"/>
      <c r="K1067" s="3"/>
      <c r="L1067" s="16"/>
      <c r="M1067" s="57"/>
      <c r="N1067" s="58"/>
      <c r="P1067" s="16"/>
      <c r="Q1067" s="20"/>
      <c r="R1067" s="14" t="e">
        <v>#N/A</v>
      </c>
      <c r="S1067" s="19"/>
      <c r="T1067" s="16">
        <v>2</v>
      </c>
      <c r="U1067" s="17"/>
      <c r="V1067" s="17"/>
      <c r="W1067" s="4"/>
      <c r="X1067" s="16"/>
      <c r="Y1067" s="5"/>
      <c r="Z1067" s="16">
        <v>26</v>
      </c>
      <c r="AA1067" s="16"/>
      <c r="AB1067" s="16"/>
      <c r="AE1067" s="16"/>
      <c r="AF1067" s="21">
        <v>3</v>
      </c>
      <c r="AG1067" s="22">
        <v>260</v>
      </c>
      <c r="AH1067" s="6">
        <v>0.1</v>
      </c>
      <c r="AI1067" s="21">
        <v>7250</v>
      </c>
      <c r="AJ1067" s="20">
        <f t="shared" si="206"/>
        <v>188500</v>
      </c>
      <c r="AK1067" s="50">
        <v>28</v>
      </c>
      <c r="AL1067" s="6">
        <v>0.46</v>
      </c>
      <c r="AM1067" s="20">
        <f t="shared" si="207"/>
        <v>101790</v>
      </c>
      <c r="AN1067" s="20">
        <f>+(S1066*AH1067)+AM1067</f>
        <v>118890</v>
      </c>
      <c r="AP1067" s="20">
        <f t="shared" si="208"/>
        <v>118890</v>
      </c>
      <c r="AQ1067" s="7">
        <v>3.0000000000000001E-3</v>
      </c>
      <c r="AR1067" s="20"/>
      <c r="AS1067" s="51"/>
    </row>
    <row r="1068" spans="1:45" s="21" customFormat="1" ht="30" customHeight="1" x14ac:dyDescent="0.2">
      <c r="A1068" s="2">
        <v>883</v>
      </c>
      <c r="B1068" s="46">
        <v>2</v>
      </c>
      <c r="C1068" s="16" t="s">
        <v>52</v>
      </c>
      <c r="D1068" s="48">
        <v>1915</v>
      </c>
      <c r="E1068" s="47">
        <v>93</v>
      </c>
      <c r="F1068" s="48">
        <v>501</v>
      </c>
      <c r="G1068" s="49">
        <v>2</v>
      </c>
      <c r="H1068" s="48">
        <v>0</v>
      </c>
      <c r="I1068" s="48">
        <v>0</v>
      </c>
      <c r="J1068" s="48">
        <v>27</v>
      </c>
      <c r="K1068" s="3"/>
      <c r="L1068" s="16">
        <v>27</v>
      </c>
      <c r="M1068" s="57"/>
      <c r="N1068" s="58"/>
      <c r="P1068" s="16"/>
      <c r="Q1068" s="20">
        <f t="shared" ref="Q1068:Q1086" si="209">+(H1068*400)+(I1068*100)+J1068</f>
        <v>27</v>
      </c>
      <c r="R1068" s="14">
        <v>4500</v>
      </c>
      <c r="S1068" s="19">
        <f t="shared" ref="S1068:S1086" si="210">+Q1068*R1068</f>
        <v>121500</v>
      </c>
      <c r="T1068" s="16"/>
      <c r="U1068" s="17" t="s">
        <v>104</v>
      </c>
      <c r="V1068" s="16" t="s">
        <v>56</v>
      </c>
      <c r="W1068" s="5"/>
      <c r="X1068" s="16"/>
      <c r="Y1068" s="5">
        <v>17.25</v>
      </c>
      <c r="Z1068" s="16"/>
      <c r="AA1068" s="16"/>
      <c r="AB1068" s="16">
        <v>27</v>
      </c>
      <c r="AE1068" s="16"/>
      <c r="AG1068" s="22">
        <f t="shared" ref="AG1068:AG1086" si="211">Y1068</f>
        <v>17.25</v>
      </c>
      <c r="AH1068" s="6"/>
      <c r="AJ1068" s="20">
        <f t="shared" si="206"/>
        <v>0</v>
      </c>
      <c r="AK1068" s="50">
        <v>27</v>
      </c>
      <c r="AL1068" s="6"/>
      <c r="AM1068" s="20">
        <f t="shared" si="207"/>
        <v>0</v>
      </c>
      <c r="AN1068" s="20">
        <f t="shared" ref="AN1068:AN1086" si="212">+S1068+AM1068</f>
        <v>121500</v>
      </c>
      <c r="AP1068" s="20">
        <f t="shared" si="208"/>
        <v>121500</v>
      </c>
      <c r="AQ1068" s="7"/>
      <c r="AR1068" s="20">
        <v>600</v>
      </c>
      <c r="AS1068" s="51"/>
    </row>
    <row r="1069" spans="1:45" ht="30" customHeight="1" x14ac:dyDescent="0.2">
      <c r="A1069" s="2">
        <v>884</v>
      </c>
      <c r="B1069" s="13">
        <v>1</v>
      </c>
      <c r="C1069" s="16" t="s">
        <v>65</v>
      </c>
      <c r="D1069" s="17">
        <v>2666</v>
      </c>
      <c r="E1069" s="17">
        <v>328</v>
      </c>
      <c r="H1069" s="17">
        <v>0</v>
      </c>
      <c r="I1069" s="17">
        <v>0</v>
      </c>
      <c r="J1069" s="17">
        <v>25</v>
      </c>
      <c r="N1069" s="18">
        <v>25</v>
      </c>
      <c r="P1069" s="17">
        <v>4</v>
      </c>
      <c r="Q1069" s="20">
        <f t="shared" si="209"/>
        <v>25</v>
      </c>
      <c r="R1069" s="14">
        <v>4500</v>
      </c>
      <c r="S1069" s="19">
        <f t="shared" si="210"/>
        <v>112500</v>
      </c>
      <c r="AC1069" s="21"/>
      <c r="AD1069" s="21"/>
      <c r="AG1069" s="22">
        <f t="shared" si="211"/>
        <v>0</v>
      </c>
      <c r="AJ1069" s="20">
        <f t="shared" si="206"/>
        <v>0</v>
      </c>
      <c r="AM1069" s="20">
        <f t="shared" si="207"/>
        <v>0</v>
      </c>
      <c r="AN1069" s="20">
        <f t="shared" si="212"/>
        <v>112500</v>
      </c>
      <c r="AP1069" s="20">
        <f t="shared" si="208"/>
        <v>112500</v>
      </c>
      <c r="AQ1069" s="12">
        <v>3.0000000000000001E-3</v>
      </c>
      <c r="AR1069" s="20"/>
    </row>
    <row r="1070" spans="1:45" ht="30" customHeight="1" x14ac:dyDescent="0.2">
      <c r="A1070" s="8"/>
      <c r="C1070" s="16"/>
      <c r="Q1070" s="20"/>
      <c r="AC1070" s="21"/>
      <c r="AD1070" s="21"/>
      <c r="AG1070" s="22"/>
      <c r="AJ1070" s="20"/>
      <c r="AM1070" s="20"/>
      <c r="AN1070" s="20"/>
      <c r="AP1070" s="20"/>
      <c r="AR1070" s="20"/>
    </row>
    <row r="1071" spans="1:45" s="21" customFormat="1" ht="30" customHeight="1" x14ac:dyDescent="0.2">
      <c r="A1071" s="2">
        <v>885</v>
      </c>
      <c r="B1071" s="46">
        <v>1</v>
      </c>
      <c r="C1071" s="16" t="s">
        <v>52</v>
      </c>
      <c r="D1071" s="48">
        <v>33320</v>
      </c>
      <c r="E1071" s="47">
        <v>39</v>
      </c>
      <c r="F1071" s="48">
        <v>6690</v>
      </c>
      <c r="G1071" s="49">
        <v>3</v>
      </c>
      <c r="H1071" s="48">
        <v>0</v>
      </c>
      <c r="I1071" s="48">
        <v>2</v>
      </c>
      <c r="J1071" s="48">
        <v>7</v>
      </c>
      <c r="K1071" s="3"/>
      <c r="L1071" s="16">
        <v>207</v>
      </c>
      <c r="M1071" s="57"/>
      <c r="N1071" s="58"/>
      <c r="P1071" s="16">
        <v>2</v>
      </c>
      <c r="Q1071" s="20">
        <f t="shared" si="209"/>
        <v>207</v>
      </c>
      <c r="R1071" s="14">
        <v>160</v>
      </c>
      <c r="S1071" s="20">
        <f t="shared" si="210"/>
        <v>33120</v>
      </c>
      <c r="T1071" s="16"/>
      <c r="U1071" s="17" t="s">
        <v>57</v>
      </c>
      <c r="V1071" s="17" t="s">
        <v>56</v>
      </c>
      <c r="W1071" s="4"/>
      <c r="X1071" s="16"/>
      <c r="Y1071" s="5">
        <v>133</v>
      </c>
      <c r="Z1071" s="16"/>
      <c r="AA1071" s="16"/>
      <c r="AB1071" s="16">
        <v>31</v>
      </c>
      <c r="AE1071" s="16"/>
      <c r="AG1071" s="22">
        <f t="shared" si="211"/>
        <v>133</v>
      </c>
      <c r="AH1071" s="6"/>
      <c r="AJ1071" s="20">
        <f t="shared" si="206"/>
        <v>0</v>
      </c>
      <c r="AK1071" s="50">
        <v>31</v>
      </c>
      <c r="AL1071" s="6"/>
      <c r="AM1071" s="20">
        <f t="shared" si="207"/>
        <v>0</v>
      </c>
      <c r="AN1071" s="20">
        <f t="shared" si="212"/>
        <v>33120</v>
      </c>
      <c r="AP1071" s="20">
        <f t="shared" si="208"/>
        <v>33120</v>
      </c>
      <c r="AQ1071" s="7"/>
      <c r="AR1071" s="20"/>
      <c r="AS1071" s="51"/>
    </row>
    <row r="1072" spans="1:45" s="21" customFormat="1" ht="30" customHeight="1" x14ac:dyDescent="0.2">
      <c r="A1072" s="8">
        <v>886</v>
      </c>
      <c r="B1072" s="46">
        <v>1</v>
      </c>
      <c r="C1072" s="16" t="s">
        <v>52</v>
      </c>
      <c r="D1072" s="48">
        <v>1225</v>
      </c>
      <c r="E1072" s="47">
        <v>3</v>
      </c>
      <c r="F1072" s="48">
        <v>261</v>
      </c>
      <c r="G1072" s="49">
        <v>6</v>
      </c>
      <c r="H1072" s="48">
        <v>20</v>
      </c>
      <c r="I1072" s="48">
        <v>2</v>
      </c>
      <c r="J1072" s="48">
        <v>23</v>
      </c>
      <c r="K1072" s="3">
        <f>20*400+200+23</f>
        <v>8223</v>
      </c>
      <c r="L1072" s="16"/>
      <c r="M1072" s="57"/>
      <c r="N1072" s="58"/>
      <c r="P1072" s="16">
        <v>1</v>
      </c>
      <c r="Q1072" s="20">
        <f t="shared" si="209"/>
        <v>8223</v>
      </c>
      <c r="R1072" s="14">
        <v>160</v>
      </c>
      <c r="S1072" s="19">
        <f t="shared" si="210"/>
        <v>1315680</v>
      </c>
      <c r="T1072" s="16"/>
      <c r="U1072" s="17"/>
      <c r="V1072" s="17"/>
      <c r="W1072" s="4"/>
      <c r="X1072" s="16"/>
      <c r="Y1072" s="5"/>
      <c r="Z1072" s="16"/>
      <c r="AA1072" s="16"/>
      <c r="AB1072" s="16"/>
      <c r="AE1072" s="16" t="s">
        <v>74</v>
      </c>
      <c r="AG1072" s="22">
        <f t="shared" si="211"/>
        <v>0</v>
      </c>
      <c r="AH1072" s="6"/>
      <c r="AJ1072" s="20">
        <f t="shared" si="206"/>
        <v>0</v>
      </c>
      <c r="AK1072" s="50"/>
      <c r="AL1072" s="6"/>
      <c r="AM1072" s="20">
        <f t="shared" si="207"/>
        <v>0</v>
      </c>
      <c r="AN1072" s="20">
        <f t="shared" si="212"/>
        <v>1315680</v>
      </c>
      <c r="AP1072" s="20">
        <f t="shared" si="208"/>
        <v>1315680</v>
      </c>
      <c r="AQ1072" s="7"/>
      <c r="AR1072" s="20"/>
      <c r="AS1072" s="51">
        <v>62</v>
      </c>
    </row>
    <row r="1073" spans="1:46" s="21" customFormat="1" ht="30" customHeight="1" x14ac:dyDescent="0.2">
      <c r="A1073" s="2">
        <v>887</v>
      </c>
      <c r="B1073" s="46">
        <v>1</v>
      </c>
      <c r="C1073" s="16" t="s">
        <v>52</v>
      </c>
      <c r="D1073" s="48">
        <v>10451</v>
      </c>
      <c r="E1073" s="47">
        <v>17</v>
      </c>
      <c r="F1073" s="48">
        <v>3113</v>
      </c>
      <c r="G1073" s="49">
        <v>3</v>
      </c>
      <c r="H1073" s="48">
        <v>0</v>
      </c>
      <c r="I1073" s="48">
        <v>0</v>
      </c>
      <c r="J1073" s="48">
        <v>88.08</v>
      </c>
      <c r="K1073" s="3"/>
      <c r="L1073" s="16"/>
      <c r="M1073" s="57"/>
      <c r="N1073" s="58">
        <v>88.08</v>
      </c>
      <c r="P1073" s="16">
        <v>4</v>
      </c>
      <c r="Q1073" s="20">
        <f t="shared" si="209"/>
        <v>88.08</v>
      </c>
      <c r="R1073" s="14">
        <v>2000</v>
      </c>
      <c r="S1073" s="19">
        <f t="shared" si="210"/>
        <v>176160</v>
      </c>
      <c r="T1073" s="16"/>
      <c r="U1073" s="17"/>
      <c r="V1073" s="17"/>
      <c r="W1073" s="4"/>
      <c r="X1073" s="16"/>
      <c r="Y1073" s="5"/>
      <c r="Z1073" s="16"/>
      <c r="AA1073" s="16"/>
      <c r="AB1073" s="16"/>
      <c r="AE1073" s="16"/>
      <c r="AG1073" s="22">
        <f t="shared" si="211"/>
        <v>0</v>
      </c>
      <c r="AH1073" s="6"/>
      <c r="AJ1073" s="20">
        <f t="shared" si="206"/>
        <v>0</v>
      </c>
      <c r="AK1073" s="50"/>
      <c r="AL1073" s="6"/>
      <c r="AM1073" s="20">
        <f t="shared" si="207"/>
        <v>0</v>
      </c>
      <c r="AN1073" s="20">
        <f t="shared" si="212"/>
        <v>176160</v>
      </c>
      <c r="AP1073" s="20">
        <f t="shared" si="208"/>
        <v>176160</v>
      </c>
      <c r="AQ1073" s="7">
        <v>3.0000000000000001E-3</v>
      </c>
      <c r="AR1073" s="20"/>
      <c r="AS1073" s="51" t="s">
        <v>141</v>
      </c>
    </row>
    <row r="1074" spans="1:46" s="21" customFormat="1" ht="30" customHeight="1" x14ac:dyDescent="0.2">
      <c r="A1074" s="8">
        <v>888</v>
      </c>
      <c r="B1074" s="46">
        <v>2</v>
      </c>
      <c r="C1074" s="16" t="s">
        <v>52</v>
      </c>
      <c r="D1074" s="48">
        <v>10452</v>
      </c>
      <c r="E1074" s="47">
        <v>18</v>
      </c>
      <c r="F1074" s="48">
        <v>3114</v>
      </c>
      <c r="G1074" s="49">
        <v>3</v>
      </c>
      <c r="H1074" s="48">
        <v>0</v>
      </c>
      <c r="I1074" s="48">
        <v>0</v>
      </c>
      <c r="J1074" s="48">
        <v>44.04</v>
      </c>
      <c r="K1074" s="3"/>
      <c r="L1074" s="16"/>
      <c r="M1074" s="57"/>
      <c r="N1074" s="58">
        <v>44.04</v>
      </c>
      <c r="P1074" s="16">
        <v>4</v>
      </c>
      <c r="Q1074" s="20">
        <f t="shared" si="209"/>
        <v>44.04</v>
      </c>
      <c r="R1074" s="14">
        <v>2000</v>
      </c>
      <c r="S1074" s="20">
        <f t="shared" si="210"/>
        <v>88080</v>
      </c>
      <c r="T1074" s="16"/>
      <c r="U1074" s="17"/>
      <c r="V1074" s="17"/>
      <c r="W1074" s="4"/>
      <c r="X1074" s="16"/>
      <c r="Y1074" s="5"/>
      <c r="Z1074" s="16"/>
      <c r="AA1074" s="16"/>
      <c r="AB1074" s="16"/>
      <c r="AE1074" s="16"/>
      <c r="AG1074" s="22">
        <f t="shared" si="211"/>
        <v>0</v>
      </c>
      <c r="AH1074" s="6"/>
      <c r="AJ1074" s="20">
        <f t="shared" si="206"/>
        <v>0</v>
      </c>
      <c r="AK1074" s="50"/>
      <c r="AL1074" s="6"/>
      <c r="AM1074" s="20">
        <f t="shared" si="207"/>
        <v>0</v>
      </c>
      <c r="AN1074" s="20">
        <f t="shared" si="212"/>
        <v>88080</v>
      </c>
      <c r="AP1074" s="20">
        <f t="shared" si="208"/>
        <v>88080</v>
      </c>
      <c r="AQ1074" s="7">
        <v>3.0000000000000001E-3</v>
      </c>
      <c r="AR1074" s="20"/>
      <c r="AS1074" s="51">
        <v>862742775</v>
      </c>
      <c r="AT1074" s="21">
        <v>848627141</v>
      </c>
    </row>
    <row r="1075" spans="1:46" ht="30" customHeight="1" x14ac:dyDescent="0.2">
      <c r="A1075" s="2">
        <v>889</v>
      </c>
      <c r="B1075" s="13">
        <v>1</v>
      </c>
      <c r="C1075" s="16" t="s">
        <v>65</v>
      </c>
      <c r="D1075" s="17">
        <v>1035</v>
      </c>
      <c r="E1075" s="17">
        <v>205</v>
      </c>
      <c r="H1075" s="17">
        <v>34</v>
      </c>
      <c r="I1075" s="17">
        <v>0</v>
      </c>
      <c r="J1075" s="17">
        <v>36</v>
      </c>
      <c r="K1075" s="10">
        <f>34*400+36</f>
        <v>13636</v>
      </c>
      <c r="P1075" s="17">
        <v>1</v>
      </c>
      <c r="Q1075" s="20">
        <f t="shared" si="209"/>
        <v>13636</v>
      </c>
      <c r="R1075" s="14">
        <v>200</v>
      </c>
      <c r="S1075" s="19">
        <f t="shared" si="210"/>
        <v>2727200</v>
      </c>
      <c r="AG1075" s="22">
        <f t="shared" si="211"/>
        <v>0</v>
      </c>
      <c r="AJ1075" s="20">
        <f t="shared" si="206"/>
        <v>0</v>
      </c>
      <c r="AM1075" s="20">
        <f t="shared" si="207"/>
        <v>0</v>
      </c>
      <c r="AN1075" s="20">
        <f t="shared" si="212"/>
        <v>2727200</v>
      </c>
      <c r="AP1075" s="20">
        <f t="shared" si="208"/>
        <v>2727200</v>
      </c>
      <c r="AQ1075" s="12">
        <v>1E-4</v>
      </c>
      <c r="AR1075" s="20"/>
    </row>
    <row r="1076" spans="1:46" ht="30" customHeight="1" x14ac:dyDescent="0.2">
      <c r="A1076" s="8">
        <v>890</v>
      </c>
      <c r="B1076" s="13">
        <v>2</v>
      </c>
      <c r="C1076" s="16" t="s">
        <v>65</v>
      </c>
      <c r="D1076" s="17">
        <v>1030</v>
      </c>
      <c r="E1076" s="17">
        <v>199</v>
      </c>
      <c r="H1076" s="17">
        <v>18</v>
      </c>
      <c r="I1076" s="17">
        <v>2</v>
      </c>
      <c r="J1076" s="17">
        <v>96</v>
      </c>
      <c r="K1076" s="10">
        <f>18*400+296</f>
        <v>7496</v>
      </c>
      <c r="P1076" s="17">
        <v>1</v>
      </c>
      <c r="Q1076" s="20">
        <f t="shared" si="209"/>
        <v>7496</v>
      </c>
      <c r="R1076" s="14">
        <v>200</v>
      </c>
      <c r="S1076" s="19">
        <f t="shared" si="210"/>
        <v>1499200</v>
      </c>
      <c r="AC1076" s="21"/>
      <c r="AD1076" s="21"/>
      <c r="AG1076" s="22">
        <f t="shared" si="211"/>
        <v>0</v>
      </c>
      <c r="AJ1076" s="20">
        <f t="shared" si="206"/>
        <v>0</v>
      </c>
      <c r="AM1076" s="20">
        <f t="shared" si="207"/>
        <v>0</v>
      </c>
      <c r="AN1076" s="20">
        <f t="shared" si="212"/>
        <v>1499200</v>
      </c>
      <c r="AP1076" s="20">
        <f t="shared" si="208"/>
        <v>1499200</v>
      </c>
      <c r="AQ1076" s="12">
        <v>1E-4</v>
      </c>
      <c r="AR1076" s="20"/>
    </row>
    <row r="1077" spans="1:46" ht="30" customHeight="1" x14ac:dyDescent="0.2">
      <c r="A1077" s="2">
        <v>891</v>
      </c>
      <c r="B1077" s="13">
        <v>3</v>
      </c>
      <c r="C1077" s="16" t="s">
        <v>65</v>
      </c>
      <c r="D1077" s="17">
        <v>1098</v>
      </c>
      <c r="E1077" s="17">
        <v>7</v>
      </c>
      <c r="H1077" s="17">
        <v>5</v>
      </c>
      <c r="I1077" s="17">
        <v>3</v>
      </c>
      <c r="J1077" s="17">
        <v>70</v>
      </c>
      <c r="K1077" s="10">
        <f>5*400+370</f>
        <v>2370</v>
      </c>
      <c r="P1077" s="17">
        <v>1</v>
      </c>
      <c r="Q1077" s="20">
        <f t="shared" si="209"/>
        <v>2370</v>
      </c>
      <c r="R1077" s="14">
        <v>250</v>
      </c>
      <c r="S1077" s="20">
        <f t="shared" si="210"/>
        <v>592500</v>
      </c>
      <c r="AG1077" s="22">
        <f t="shared" si="211"/>
        <v>0</v>
      </c>
      <c r="AJ1077" s="20">
        <f t="shared" si="206"/>
        <v>0</v>
      </c>
      <c r="AM1077" s="20">
        <f t="shared" si="207"/>
        <v>0</v>
      </c>
      <c r="AN1077" s="20">
        <f t="shared" si="212"/>
        <v>592500</v>
      </c>
      <c r="AP1077" s="20">
        <f t="shared" si="208"/>
        <v>592500</v>
      </c>
      <c r="AQ1077" s="12">
        <v>1E-4</v>
      </c>
      <c r="AR1077" s="20"/>
    </row>
    <row r="1078" spans="1:46" ht="30" customHeight="1" x14ac:dyDescent="0.2">
      <c r="A1078" s="8">
        <v>892</v>
      </c>
      <c r="B1078" s="13">
        <v>4</v>
      </c>
      <c r="C1078" s="16" t="s">
        <v>65</v>
      </c>
      <c r="D1078" s="17">
        <v>1100</v>
      </c>
      <c r="E1078" s="17">
        <v>9</v>
      </c>
      <c r="H1078" s="17">
        <v>17</v>
      </c>
      <c r="I1078" s="17">
        <v>2</v>
      </c>
      <c r="J1078" s="17">
        <v>0</v>
      </c>
      <c r="K1078" s="10">
        <f>17*400+200</f>
        <v>7000</v>
      </c>
      <c r="P1078" s="17">
        <v>1</v>
      </c>
      <c r="Q1078" s="20">
        <f t="shared" si="209"/>
        <v>7000</v>
      </c>
      <c r="R1078" s="14">
        <v>250</v>
      </c>
      <c r="S1078" s="19">
        <f t="shared" si="210"/>
        <v>1750000</v>
      </c>
      <c r="AG1078" s="22">
        <f t="shared" si="211"/>
        <v>0</v>
      </c>
      <c r="AJ1078" s="20">
        <f t="shared" si="206"/>
        <v>0</v>
      </c>
      <c r="AM1078" s="20">
        <f t="shared" si="207"/>
        <v>0</v>
      </c>
      <c r="AN1078" s="20">
        <f t="shared" si="212"/>
        <v>1750000</v>
      </c>
      <c r="AP1078" s="20">
        <f t="shared" si="208"/>
        <v>1750000</v>
      </c>
      <c r="AQ1078" s="12">
        <v>1E-4</v>
      </c>
      <c r="AR1078" s="20"/>
    </row>
    <row r="1079" spans="1:46" ht="30" customHeight="1" x14ac:dyDescent="0.2">
      <c r="A1079" s="2">
        <v>893</v>
      </c>
      <c r="B1079" s="13">
        <v>5</v>
      </c>
      <c r="C1079" s="16" t="s">
        <v>65</v>
      </c>
      <c r="D1079" s="17">
        <v>1101</v>
      </c>
      <c r="E1079" s="17">
        <v>10</v>
      </c>
      <c r="H1079" s="17">
        <v>5</v>
      </c>
      <c r="I1079" s="17">
        <v>3</v>
      </c>
      <c r="J1079" s="17">
        <v>0</v>
      </c>
      <c r="K1079" s="10">
        <v>2300</v>
      </c>
      <c r="P1079" s="17">
        <v>1</v>
      </c>
      <c r="Q1079" s="20">
        <f t="shared" si="209"/>
        <v>2300</v>
      </c>
      <c r="R1079" s="14">
        <v>160</v>
      </c>
      <c r="S1079" s="19">
        <f t="shared" si="210"/>
        <v>368000</v>
      </c>
      <c r="AG1079" s="22">
        <f t="shared" si="211"/>
        <v>0</v>
      </c>
      <c r="AJ1079" s="20">
        <f t="shared" si="206"/>
        <v>0</v>
      </c>
      <c r="AM1079" s="20">
        <f t="shared" si="207"/>
        <v>0</v>
      </c>
      <c r="AN1079" s="20">
        <f t="shared" si="212"/>
        <v>368000</v>
      </c>
      <c r="AP1079" s="20">
        <f t="shared" si="208"/>
        <v>368000</v>
      </c>
      <c r="AQ1079" s="12">
        <v>1E-4</v>
      </c>
      <c r="AR1079" s="20"/>
    </row>
    <row r="1080" spans="1:46" ht="30" customHeight="1" x14ac:dyDescent="0.2">
      <c r="A1080" s="8">
        <v>894</v>
      </c>
      <c r="B1080" s="13">
        <v>6</v>
      </c>
      <c r="C1080" s="16" t="s">
        <v>65</v>
      </c>
      <c r="D1080" s="17">
        <v>1102</v>
      </c>
      <c r="E1080" s="17">
        <v>11</v>
      </c>
      <c r="H1080" s="17">
        <v>18</v>
      </c>
      <c r="I1080" s="17">
        <v>2</v>
      </c>
      <c r="J1080" s="17">
        <v>50</v>
      </c>
      <c r="K1080" s="10">
        <f>18*400+250</f>
        <v>7450</v>
      </c>
      <c r="P1080" s="17">
        <v>1</v>
      </c>
      <c r="Q1080" s="20">
        <f t="shared" si="209"/>
        <v>7450</v>
      </c>
      <c r="R1080" s="14">
        <v>160</v>
      </c>
      <c r="S1080" s="20">
        <f t="shared" si="210"/>
        <v>1192000</v>
      </c>
      <c r="AG1080" s="22">
        <f t="shared" si="211"/>
        <v>0</v>
      </c>
      <c r="AJ1080" s="20">
        <f t="shared" si="206"/>
        <v>0</v>
      </c>
      <c r="AM1080" s="20">
        <f t="shared" si="207"/>
        <v>0</v>
      </c>
      <c r="AN1080" s="20">
        <f t="shared" si="212"/>
        <v>1192000</v>
      </c>
      <c r="AP1080" s="20">
        <f t="shared" si="208"/>
        <v>1192000</v>
      </c>
      <c r="AQ1080" s="12">
        <v>1E-4</v>
      </c>
      <c r="AR1080" s="20"/>
    </row>
    <row r="1081" spans="1:46" ht="30" customHeight="1" x14ac:dyDescent="0.2">
      <c r="A1081" s="2">
        <v>895</v>
      </c>
      <c r="B1081" s="13">
        <v>7</v>
      </c>
      <c r="C1081" s="16" t="s">
        <v>65</v>
      </c>
      <c r="D1081" s="17">
        <v>1105</v>
      </c>
      <c r="E1081" s="17">
        <v>14</v>
      </c>
      <c r="H1081" s="17">
        <v>3</v>
      </c>
      <c r="I1081" s="17">
        <v>0</v>
      </c>
      <c r="J1081" s="17">
        <v>70</v>
      </c>
      <c r="K1081" s="10">
        <v>1270</v>
      </c>
      <c r="P1081" s="17">
        <v>1</v>
      </c>
      <c r="Q1081" s="20">
        <f t="shared" si="209"/>
        <v>1270</v>
      </c>
      <c r="R1081" s="14">
        <v>160</v>
      </c>
      <c r="S1081" s="19">
        <f t="shared" si="210"/>
        <v>203200</v>
      </c>
      <c r="AG1081" s="22">
        <f t="shared" si="211"/>
        <v>0</v>
      </c>
      <c r="AJ1081" s="20">
        <f t="shared" si="206"/>
        <v>0</v>
      </c>
      <c r="AM1081" s="20">
        <f t="shared" si="207"/>
        <v>0</v>
      </c>
      <c r="AN1081" s="20">
        <f t="shared" si="212"/>
        <v>203200</v>
      </c>
      <c r="AP1081" s="20">
        <f t="shared" si="208"/>
        <v>203200</v>
      </c>
      <c r="AQ1081" s="12">
        <v>1E-4</v>
      </c>
      <c r="AR1081" s="20"/>
    </row>
    <row r="1082" spans="1:46" ht="30" customHeight="1" x14ac:dyDescent="0.2">
      <c r="A1082" s="8">
        <v>896</v>
      </c>
      <c r="B1082" s="13">
        <v>8</v>
      </c>
      <c r="C1082" s="16" t="s">
        <v>65</v>
      </c>
      <c r="D1082" s="17">
        <v>1106</v>
      </c>
      <c r="E1082" s="17">
        <v>15</v>
      </c>
      <c r="H1082" s="17">
        <v>10</v>
      </c>
      <c r="I1082" s="17">
        <v>1</v>
      </c>
      <c r="J1082" s="17">
        <v>60</v>
      </c>
      <c r="K1082" s="10">
        <v>4160</v>
      </c>
      <c r="P1082" s="17">
        <v>1</v>
      </c>
      <c r="Q1082" s="20">
        <f t="shared" si="209"/>
        <v>4160</v>
      </c>
      <c r="R1082" s="14">
        <v>160</v>
      </c>
      <c r="S1082" s="19">
        <f t="shared" si="210"/>
        <v>665600</v>
      </c>
      <c r="AC1082" s="21"/>
      <c r="AD1082" s="21"/>
      <c r="AG1082" s="22">
        <f t="shared" si="211"/>
        <v>0</v>
      </c>
      <c r="AJ1082" s="20">
        <f t="shared" si="206"/>
        <v>0</v>
      </c>
      <c r="AM1082" s="20">
        <f t="shared" si="207"/>
        <v>0</v>
      </c>
      <c r="AN1082" s="20">
        <f t="shared" si="212"/>
        <v>665600</v>
      </c>
      <c r="AP1082" s="20">
        <f t="shared" si="208"/>
        <v>665600</v>
      </c>
      <c r="AQ1082" s="12">
        <v>1E-4</v>
      </c>
      <c r="AR1082" s="20"/>
    </row>
    <row r="1083" spans="1:46" ht="30" customHeight="1" x14ac:dyDescent="0.2">
      <c r="A1083" s="8">
        <v>897</v>
      </c>
      <c r="B1083" s="13">
        <v>9</v>
      </c>
      <c r="C1083" s="16" t="s">
        <v>65</v>
      </c>
      <c r="D1083" s="17">
        <v>1507</v>
      </c>
      <c r="E1083" s="17">
        <v>200</v>
      </c>
      <c r="H1083" s="17">
        <v>26</v>
      </c>
      <c r="I1083" s="17">
        <v>2</v>
      </c>
      <c r="J1083" s="17">
        <v>60</v>
      </c>
      <c r="K1083" s="10">
        <f>26*400+260</f>
        <v>10660</v>
      </c>
      <c r="P1083" s="17">
        <v>1</v>
      </c>
      <c r="Q1083" s="20">
        <f t="shared" si="209"/>
        <v>10660</v>
      </c>
      <c r="R1083" s="14">
        <v>200</v>
      </c>
      <c r="S1083" s="19">
        <f t="shared" si="210"/>
        <v>2132000</v>
      </c>
      <c r="AC1083" s="21"/>
      <c r="AD1083" s="21"/>
      <c r="AG1083" s="22">
        <f t="shared" si="211"/>
        <v>0</v>
      </c>
      <c r="AJ1083" s="20">
        <f t="shared" si="206"/>
        <v>0</v>
      </c>
      <c r="AM1083" s="20">
        <f t="shared" si="207"/>
        <v>0</v>
      </c>
      <c r="AN1083" s="20">
        <f t="shared" si="212"/>
        <v>2132000</v>
      </c>
      <c r="AP1083" s="20">
        <f t="shared" si="208"/>
        <v>2132000</v>
      </c>
      <c r="AQ1083" s="12">
        <v>1E-4</v>
      </c>
      <c r="AR1083" s="20"/>
    </row>
    <row r="1084" spans="1:46" ht="30" customHeight="1" x14ac:dyDescent="0.2">
      <c r="A1084" s="2">
        <v>898</v>
      </c>
      <c r="B1084" s="13">
        <v>10</v>
      </c>
      <c r="C1084" s="16" t="s">
        <v>65</v>
      </c>
      <c r="D1084" s="17">
        <v>1697</v>
      </c>
      <c r="E1084" s="17">
        <v>17</v>
      </c>
      <c r="H1084" s="17">
        <v>13</v>
      </c>
      <c r="I1084" s="17">
        <v>2</v>
      </c>
      <c r="J1084" s="17">
        <v>70</v>
      </c>
      <c r="K1084" s="10">
        <f>13*400+270</f>
        <v>5470</v>
      </c>
      <c r="P1084" s="17">
        <v>1</v>
      </c>
      <c r="Q1084" s="20">
        <f t="shared" si="209"/>
        <v>5470</v>
      </c>
      <c r="R1084" s="14">
        <v>160</v>
      </c>
      <c r="S1084" s="19">
        <f t="shared" si="210"/>
        <v>875200</v>
      </c>
      <c r="AC1084" s="21"/>
      <c r="AD1084" s="21"/>
      <c r="AG1084" s="22">
        <f t="shared" si="211"/>
        <v>0</v>
      </c>
      <c r="AJ1084" s="20">
        <f t="shared" si="206"/>
        <v>0</v>
      </c>
      <c r="AM1084" s="20">
        <f t="shared" si="207"/>
        <v>0</v>
      </c>
      <c r="AN1084" s="20">
        <f t="shared" si="212"/>
        <v>875200</v>
      </c>
      <c r="AP1084" s="20">
        <f t="shared" si="208"/>
        <v>875200</v>
      </c>
      <c r="AQ1084" s="12">
        <v>1E-4</v>
      </c>
      <c r="AR1084" s="20"/>
    </row>
    <row r="1085" spans="1:46" ht="30" customHeight="1" x14ac:dyDescent="0.2">
      <c r="A1085" s="8">
        <v>899</v>
      </c>
      <c r="B1085" s="13">
        <v>11</v>
      </c>
      <c r="C1085" s="16" t="s">
        <v>65</v>
      </c>
      <c r="D1085" s="17">
        <v>1738</v>
      </c>
      <c r="E1085" s="17">
        <v>59</v>
      </c>
      <c r="H1085" s="17">
        <v>7</v>
      </c>
      <c r="I1085" s="17">
        <v>0</v>
      </c>
      <c r="J1085" s="17">
        <v>13</v>
      </c>
      <c r="K1085" s="10">
        <f>7*400+13</f>
        <v>2813</v>
      </c>
      <c r="P1085" s="17">
        <v>1</v>
      </c>
      <c r="Q1085" s="20">
        <f t="shared" si="209"/>
        <v>2813</v>
      </c>
      <c r="R1085" s="14">
        <v>375</v>
      </c>
      <c r="S1085" s="20">
        <f t="shared" si="210"/>
        <v>1054875</v>
      </c>
      <c r="AC1085" s="21"/>
      <c r="AD1085" s="21"/>
      <c r="AG1085" s="22">
        <f t="shared" si="211"/>
        <v>0</v>
      </c>
      <c r="AJ1085" s="20">
        <f t="shared" si="206"/>
        <v>0</v>
      </c>
      <c r="AM1085" s="20">
        <f t="shared" si="207"/>
        <v>0</v>
      </c>
      <c r="AN1085" s="20">
        <f t="shared" si="212"/>
        <v>1054875</v>
      </c>
      <c r="AP1085" s="20">
        <f t="shared" si="208"/>
        <v>1054875</v>
      </c>
      <c r="AQ1085" s="12">
        <v>1E-4</v>
      </c>
      <c r="AR1085" s="20"/>
    </row>
    <row r="1086" spans="1:46" ht="30" customHeight="1" x14ac:dyDescent="0.2">
      <c r="A1086" s="2">
        <v>900</v>
      </c>
      <c r="B1086" s="13">
        <v>9</v>
      </c>
      <c r="C1086" s="16" t="s">
        <v>65</v>
      </c>
      <c r="D1086" s="17">
        <v>1348</v>
      </c>
      <c r="E1086" s="17">
        <v>6</v>
      </c>
      <c r="H1086" s="17">
        <v>12</v>
      </c>
      <c r="I1086" s="17">
        <v>0</v>
      </c>
      <c r="J1086" s="17">
        <v>40</v>
      </c>
      <c r="K1086" s="10">
        <f>12*400+40</f>
        <v>4840</v>
      </c>
      <c r="P1086" s="17">
        <v>1</v>
      </c>
      <c r="Q1086" s="20">
        <f t="shared" si="209"/>
        <v>4840</v>
      </c>
      <c r="R1086" s="14">
        <v>2250</v>
      </c>
      <c r="S1086" s="20">
        <f t="shared" si="210"/>
        <v>10890000</v>
      </c>
      <c r="AC1086" s="21"/>
      <c r="AD1086" s="21"/>
      <c r="AE1086" s="17" t="s">
        <v>95</v>
      </c>
      <c r="AG1086" s="22">
        <f t="shared" si="211"/>
        <v>0</v>
      </c>
      <c r="AJ1086" s="20">
        <f t="shared" si="206"/>
        <v>0</v>
      </c>
      <c r="AM1086" s="20">
        <f t="shared" si="207"/>
        <v>0</v>
      </c>
      <c r="AN1086" s="20">
        <f t="shared" si="212"/>
        <v>10890000</v>
      </c>
      <c r="AP1086" s="20">
        <f t="shared" si="208"/>
        <v>10890000</v>
      </c>
      <c r="AQ1086" s="12">
        <v>1E-4</v>
      </c>
      <c r="AR1086" s="20"/>
    </row>
    <row r="1087" spans="1:46" ht="30" customHeight="1" x14ac:dyDescent="0.2">
      <c r="C1087" s="16"/>
      <c r="Q1087" s="20"/>
      <c r="AC1087" s="21"/>
      <c r="AD1087" s="21"/>
      <c r="AG1087" s="22"/>
      <c r="AJ1087" s="20"/>
      <c r="AM1087" s="20"/>
      <c r="AN1087" s="20"/>
      <c r="AP1087" s="20"/>
      <c r="AR1087" s="20"/>
    </row>
    <row r="1088" spans="1:46" ht="30" customHeight="1" x14ac:dyDescent="0.2">
      <c r="R1088" s="14" t="e">
        <v>#N/A</v>
      </c>
    </row>
    <row r="1089" spans="1:45" ht="30" customHeight="1" x14ac:dyDescent="0.2">
      <c r="A1089" s="2">
        <v>901</v>
      </c>
      <c r="B1089" s="13">
        <v>1</v>
      </c>
      <c r="C1089" s="16" t="s">
        <v>65</v>
      </c>
      <c r="D1089" s="17">
        <v>2056</v>
      </c>
      <c r="E1089" s="17">
        <v>8</v>
      </c>
      <c r="H1089" s="17">
        <v>10</v>
      </c>
      <c r="I1089" s="17">
        <v>0</v>
      </c>
      <c r="J1089" s="17">
        <v>50</v>
      </c>
      <c r="K1089" s="10">
        <f>10*400+50</f>
        <v>4050</v>
      </c>
      <c r="P1089" s="17">
        <v>1</v>
      </c>
      <c r="Q1089" s="20">
        <f t="shared" ref="Q1089:Q1152" si="213">+(H1089*400)+(I1089*100)+J1089</f>
        <v>4050</v>
      </c>
      <c r="R1089" s="14">
        <v>160</v>
      </c>
      <c r="S1089" s="20">
        <f t="shared" ref="S1089:S1152" si="214">+Q1089*R1089</f>
        <v>648000</v>
      </c>
      <c r="AC1089" s="21"/>
      <c r="AD1089" s="21"/>
      <c r="AG1089" s="22">
        <f t="shared" ref="AG1089:AG1152" si="215">Y1089</f>
        <v>0</v>
      </c>
      <c r="AJ1089" s="20">
        <f t="shared" ref="AJ1089:AJ1152" si="216">+AG1089*AH1089*AI1089</f>
        <v>0</v>
      </c>
      <c r="AM1089" s="20">
        <f t="shared" ref="AM1089:AM1152" si="217">+AJ1089-(AL1089*AJ1089)</f>
        <v>0</v>
      </c>
      <c r="AN1089" s="20">
        <f t="shared" ref="AN1089:AN1120" si="218">+S1089+AM1089</f>
        <v>648000</v>
      </c>
      <c r="AP1089" s="20">
        <f t="shared" ref="AP1089:AP1152" si="219">AN1089</f>
        <v>648000</v>
      </c>
      <c r="AQ1089" s="12">
        <v>1E-4</v>
      </c>
      <c r="AR1089" s="20"/>
    </row>
    <row r="1090" spans="1:45" ht="30" customHeight="1" x14ac:dyDescent="0.2">
      <c r="A1090" s="8">
        <v>902</v>
      </c>
      <c r="B1090" s="13">
        <v>2</v>
      </c>
      <c r="C1090" s="16" t="s">
        <v>65</v>
      </c>
      <c r="D1090" s="17">
        <v>2057</v>
      </c>
      <c r="E1090" s="17">
        <v>10</v>
      </c>
      <c r="H1090" s="17">
        <v>40</v>
      </c>
      <c r="I1090" s="17">
        <v>0</v>
      </c>
      <c r="J1090" s="17">
        <v>50</v>
      </c>
      <c r="K1090" s="10">
        <f>40*400+50</f>
        <v>16050</v>
      </c>
      <c r="P1090" s="17">
        <v>1</v>
      </c>
      <c r="Q1090" s="20">
        <f t="shared" si="213"/>
        <v>16050</v>
      </c>
      <c r="R1090" s="14">
        <v>160</v>
      </c>
      <c r="S1090" s="19">
        <f t="shared" si="214"/>
        <v>2568000</v>
      </c>
      <c r="AC1090" s="21"/>
      <c r="AD1090" s="21"/>
      <c r="AG1090" s="22">
        <f t="shared" si="215"/>
        <v>0</v>
      </c>
      <c r="AJ1090" s="20">
        <f t="shared" si="216"/>
        <v>0</v>
      </c>
      <c r="AM1090" s="20">
        <f t="shared" si="217"/>
        <v>0</v>
      </c>
      <c r="AN1090" s="20">
        <f t="shared" si="218"/>
        <v>2568000</v>
      </c>
      <c r="AP1090" s="20">
        <f t="shared" si="219"/>
        <v>2568000</v>
      </c>
      <c r="AQ1090" s="12">
        <v>1E-4</v>
      </c>
      <c r="AR1090" s="20"/>
    </row>
    <row r="1091" spans="1:45" ht="30" customHeight="1" x14ac:dyDescent="0.2">
      <c r="A1091" s="2">
        <v>903</v>
      </c>
      <c r="B1091" s="13">
        <v>3</v>
      </c>
      <c r="C1091" s="16" t="s">
        <v>65</v>
      </c>
      <c r="D1091" s="17">
        <v>2059</v>
      </c>
      <c r="E1091" s="17">
        <v>12</v>
      </c>
      <c r="H1091" s="17">
        <v>31</v>
      </c>
      <c r="I1091" s="17">
        <v>3</v>
      </c>
      <c r="J1091" s="17">
        <v>75</v>
      </c>
      <c r="K1091" s="10">
        <f>31*400+375</f>
        <v>12775</v>
      </c>
      <c r="P1091" s="17">
        <v>1</v>
      </c>
      <c r="Q1091" s="20">
        <f t="shared" si="213"/>
        <v>12775</v>
      </c>
      <c r="R1091" s="14">
        <v>200</v>
      </c>
      <c r="S1091" s="19">
        <f t="shared" si="214"/>
        <v>2555000</v>
      </c>
      <c r="AC1091" s="21"/>
      <c r="AD1091" s="21"/>
      <c r="AG1091" s="22">
        <f t="shared" si="215"/>
        <v>0</v>
      </c>
      <c r="AJ1091" s="20">
        <f t="shared" si="216"/>
        <v>0</v>
      </c>
      <c r="AM1091" s="20">
        <f t="shared" si="217"/>
        <v>0</v>
      </c>
      <c r="AN1091" s="20">
        <f t="shared" si="218"/>
        <v>2555000</v>
      </c>
      <c r="AP1091" s="20">
        <f t="shared" si="219"/>
        <v>2555000</v>
      </c>
      <c r="AQ1091" s="12">
        <v>1E-4</v>
      </c>
      <c r="AR1091" s="20"/>
    </row>
    <row r="1092" spans="1:45" ht="30" customHeight="1" x14ac:dyDescent="0.2">
      <c r="A1092" s="8">
        <v>904</v>
      </c>
      <c r="B1092" s="13">
        <v>1</v>
      </c>
      <c r="C1092" s="16" t="s">
        <v>65</v>
      </c>
      <c r="D1092" s="17">
        <v>2060</v>
      </c>
      <c r="E1092" s="17">
        <v>13</v>
      </c>
      <c r="H1092" s="17">
        <v>41</v>
      </c>
      <c r="I1092" s="17">
        <v>1</v>
      </c>
      <c r="J1092" s="17">
        <v>90</v>
      </c>
      <c r="K1092" s="10">
        <f>41*400+190</f>
        <v>16590</v>
      </c>
      <c r="P1092" s="17">
        <v>1</v>
      </c>
      <c r="Q1092" s="20">
        <f>+(H1092*400)+(I1092*100)+J1092</f>
        <v>16590</v>
      </c>
      <c r="R1092" s="14">
        <v>160</v>
      </c>
      <c r="S1092" s="19">
        <f>+Q1092*R1092</f>
        <v>2654400</v>
      </c>
      <c r="AC1092" s="21"/>
      <c r="AD1092" s="21"/>
      <c r="AG1092" s="22">
        <f>Y1092</f>
        <v>0</v>
      </c>
      <c r="AJ1092" s="20">
        <f>+AG1092*AH1092*AI1092</f>
        <v>0</v>
      </c>
      <c r="AM1092" s="20">
        <f>+AJ1092-(AL1092*AJ1092)</f>
        <v>0</v>
      </c>
      <c r="AN1092" s="20">
        <f t="shared" si="218"/>
        <v>2654400</v>
      </c>
      <c r="AP1092" s="20">
        <f>AN1092</f>
        <v>2654400</v>
      </c>
      <c r="AQ1092" s="12">
        <v>1E-4</v>
      </c>
      <c r="AR1092" s="20"/>
    </row>
    <row r="1093" spans="1:45" ht="30" customHeight="1" x14ac:dyDescent="0.2">
      <c r="A1093" s="8">
        <v>905</v>
      </c>
      <c r="B1093" s="13">
        <v>2</v>
      </c>
      <c r="C1093" s="16" t="s">
        <v>65</v>
      </c>
      <c r="D1093" s="17">
        <v>2063</v>
      </c>
      <c r="E1093" s="17">
        <v>21</v>
      </c>
      <c r="H1093" s="17">
        <v>26</v>
      </c>
      <c r="I1093" s="17">
        <v>3</v>
      </c>
      <c r="J1093" s="17">
        <v>20</v>
      </c>
      <c r="K1093" s="10">
        <f>26*400+320</f>
        <v>10720</v>
      </c>
      <c r="P1093" s="17">
        <v>1</v>
      </c>
      <c r="Q1093" s="20">
        <f>+(H1093*400)+(I1093*100)+J1093</f>
        <v>10720</v>
      </c>
      <c r="R1093" s="14">
        <v>160</v>
      </c>
      <c r="S1093" s="20">
        <f>+Q1093*R1093</f>
        <v>1715200</v>
      </c>
      <c r="AC1093" s="21"/>
      <c r="AD1093" s="21"/>
      <c r="AG1093" s="22">
        <f>Y1093</f>
        <v>0</v>
      </c>
      <c r="AJ1093" s="20">
        <f>+AG1093*AH1093*AI1093</f>
        <v>0</v>
      </c>
      <c r="AM1093" s="20">
        <f>+AJ1093-(AL1093*AJ1093)</f>
        <v>0</v>
      </c>
      <c r="AN1093" s="20">
        <f t="shared" si="218"/>
        <v>1715200</v>
      </c>
      <c r="AP1093" s="20">
        <f>AN1093</f>
        <v>1715200</v>
      </c>
      <c r="AQ1093" s="12">
        <v>1E-4</v>
      </c>
      <c r="AR1093" s="20"/>
    </row>
    <row r="1094" spans="1:45" ht="30" customHeight="1" x14ac:dyDescent="0.2">
      <c r="A1094" s="8">
        <v>906</v>
      </c>
      <c r="B1094" s="13">
        <v>1</v>
      </c>
      <c r="C1094" s="16" t="s">
        <v>65</v>
      </c>
      <c r="D1094" s="17">
        <v>969</v>
      </c>
      <c r="E1094" s="17">
        <v>24</v>
      </c>
      <c r="H1094" s="17">
        <v>9</v>
      </c>
      <c r="I1094" s="17">
        <v>3</v>
      </c>
      <c r="J1094" s="17">
        <v>76</v>
      </c>
      <c r="K1094" s="10">
        <f>9*400+376</f>
        <v>3976</v>
      </c>
      <c r="P1094" s="17">
        <v>1</v>
      </c>
      <c r="Q1094" s="20">
        <f t="shared" si="213"/>
        <v>3976</v>
      </c>
      <c r="R1094" s="14">
        <v>500</v>
      </c>
      <c r="S1094" s="20">
        <f t="shared" si="214"/>
        <v>1988000</v>
      </c>
      <c r="AC1094" s="21"/>
      <c r="AD1094" s="21"/>
      <c r="AG1094" s="22">
        <f t="shared" si="215"/>
        <v>0</v>
      </c>
      <c r="AJ1094" s="20">
        <f t="shared" si="216"/>
        <v>0</v>
      </c>
      <c r="AM1094" s="20">
        <f t="shared" si="217"/>
        <v>0</v>
      </c>
      <c r="AN1094" s="20">
        <f t="shared" si="218"/>
        <v>1988000</v>
      </c>
      <c r="AP1094" s="20">
        <f t="shared" si="219"/>
        <v>1988000</v>
      </c>
      <c r="AQ1094" s="12">
        <v>1E-4</v>
      </c>
      <c r="AR1094" s="20"/>
    </row>
    <row r="1095" spans="1:45" ht="30" customHeight="1" x14ac:dyDescent="0.2">
      <c r="A1095" s="2">
        <v>907</v>
      </c>
      <c r="B1095" s="13">
        <v>2</v>
      </c>
      <c r="C1095" s="16" t="s">
        <v>65</v>
      </c>
      <c r="D1095" s="17">
        <v>970</v>
      </c>
      <c r="E1095" s="17">
        <v>25</v>
      </c>
      <c r="H1095" s="17">
        <v>5</v>
      </c>
      <c r="I1095" s="17">
        <v>1</v>
      </c>
      <c r="J1095" s="17">
        <v>26</v>
      </c>
      <c r="K1095" s="10">
        <v>2126</v>
      </c>
      <c r="P1095" s="17">
        <v>1</v>
      </c>
      <c r="Q1095" s="20">
        <f t="shared" si="213"/>
        <v>2126</v>
      </c>
      <c r="R1095" s="14">
        <v>500</v>
      </c>
      <c r="S1095" s="19">
        <f t="shared" si="214"/>
        <v>1063000</v>
      </c>
      <c r="AG1095" s="22">
        <f t="shared" si="215"/>
        <v>0</v>
      </c>
      <c r="AJ1095" s="20">
        <f t="shared" si="216"/>
        <v>0</v>
      </c>
      <c r="AM1095" s="20">
        <f t="shared" si="217"/>
        <v>0</v>
      </c>
      <c r="AN1095" s="20">
        <f t="shared" si="218"/>
        <v>1063000</v>
      </c>
      <c r="AP1095" s="20">
        <f t="shared" si="219"/>
        <v>1063000</v>
      </c>
      <c r="AQ1095" s="12">
        <v>1E-4</v>
      </c>
      <c r="AR1095" s="20"/>
    </row>
    <row r="1096" spans="1:45" ht="30" customHeight="1" x14ac:dyDescent="0.2">
      <c r="A1096" s="8">
        <v>908</v>
      </c>
      <c r="B1096" s="13">
        <v>1</v>
      </c>
      <c r="C1096" s="16" t="s">
        <v>65</v>
      </c>
      <c r="D1096" s="17">
        <v>967</v>
      </c>
      <c r="E1096" s="17">
        <v>22</v>
      </c>
      <c r="H1096" s="17">
        <v>5</v>
      </c>
      <c r="I1096" s="17">
        <v>0</v>
      </c>
      <c r="J1096" s="17">
        <v>66</v>
      </c>
      <c r="K1096" s="10">
        <v>2066</v>
      </c>
      <c r="P1096" s="17">
        <v>1</v>
      </c>
      <c r="Q1096" s="20">
        <f t="shared" si="213"/>
        <v>2066</v>
      </c>
      <c r="R1096" s="14">
        <v>500</v>
      </c>
      <c r="S1096" s="19">
        <f t="shared" si="214"/>
        <v>1033000</v>
      </c>
      <c r="AC1096" s="21"/>
      <c r="AD1096" s="21"/>
      <c r="AG1096" s="22">
        <f t="shared" si="215"/>
        <v>0</v>
      </c>
      <c r="AJ1096" s="20">
        <f t="shared" si="216"/>
        <v>0</v>
      </c>
      <c r="AM1096" s="20">
        <f t="shared" si="217"/>
        <v>0</v>
      </c>
      <c r="AN1096" s="20">
        <f t="shared" si="218"/>
        <v>1033000</v>
      </c>
      <c r="AP1096" s="20">
        <f t="shared" si="219"/>
        <v>1033000</v>
      </c>
      <c r="AQ1096" s="12">
        <v>1E-4</v>
      </c>
      <c r="AR1096" s="20"/>
    </row>
    <row r="1097" spans="1:45" ht="30" customHeight="1" x14ac:dyDescent="0.2">
      <c r="A1097" s="2">
        <v>909</v>
      </c>
      <c r="B1097" s="13">
        <v>1</v>
      </c>
      <c r="C1097" s="16" t="s">
        <v>65</v>
      </c>
      <c r="D1097" s="17">
        <v>1277</v>
      </c>
      <c r="E1097" s="17">
        <v>137</v>
      </c>
      <c r="H1097" s="17">
        <v>10</v>
      </c>
      <c r="I1097" s="17">
        <v>1</v>
      </c>
      <c r="J1097" s="17">
        <v>96</v>
      </c>
      <c r="K1097" s="10">
        <v>4196</v>
      </c>
      <c r="P1097" s="17">
        <v>1</v>
      </c>
      <c r="Q1097" s="20">
        <f t="shared" si="213"/>
        <v>4196</v>
      </c>
      <c r="R1097" s="14">
        <v>200</v>
      </c>
      <c r="S1097" s="20">
        <f t="shared" si="214"/>
        <v>839200</v>
      </c>
      <c r="AG1097" s="22">
        <f t="shared" si="215"/>
        <v>0</v>
      </c>
      <c r="AJ1097" s="20">
        <f t="shared" si="216"/>
        <v>0</v>
      </c>
      <c r="AM1097" s="20">
        <f t="shared" si="217"/>
        <v>0</v>
      </c>
      <c r="AN1097" s="20">
        <f t="shared" si="218"/>
        <v>839200</v>
      </c>
      <c r="AP1097" s="20">
        <f t="shared" si="219"/>
        <v>839200</v>
      </c>
      <c r="AQ1097" s="12">
        <v>1E-4</v>
      </c>
      <c r="AR1097" s="60"/>
      <c r="AS1097" s="123">
        <f>132+309+62+172</f>
        <v>675</v>
      </c>
    </row>
    <row r="1098" spans="1:45" ht="30" customHeight="1" x14ac:dyDescent="0.2">
      <c r="A1098" s="8">
        <v>910</v>
      </c>
      <c r="B1098" s="13">
        <v>2</v>
      </c>
      <c r="C1098" s="16" t="s">
        <v>65</v>
      </c>
      <c r="D1098" s="17">
        <v>1282</v>
      </c>
      <c r="E1098" s="17">
        <v>143</v>
      </c>
      <c r="H1098" s="17">
        <v>3</v>
      </c>
      <c r="I1098" s="17">
        <v>2</v>
      </c>
      <c r="J1098" s="17">
        <v>33</v>
      </c>
      <c r="K1098" s="10">
        <v>1433</v>
      </c>
      <c r="P1098" s="17">
        <v>1</v>
      </c>
      <c r="Q1098" s="20">
        <f t="shared" si="213"/>
        <v>1433</v>
      </c>
      <c r="R1098" s="14">
        <v>200</v>
      </c>
      <c r="S1098" s="19">
        <f t="shared" si="214"/>
        <v>286600</v>
      </c>
      <c r="AG1098" s="22">
        <f t="shared" si="215"/>
        <v>0</v>
      </c>
      <c r="AJ1098" s="20">
        <f t="shared" si="216"/>
        <v>0</v>
      </c>
      <c r="AM1098" s="20">
        <f t="shared" si="217"/>
        <v>0</v>
      </c>
      <c r="AN1098" s="20">
        <f t="shared" si="218"/>
        <v>286600</v>
      </c>
      <c r="AP1098" s="20">
        <f t="shared" si="219"/>
        <v>286600</v>
      </c>
      <c r="AQ1098" s="12">
        <v>1E-4</v>
      </c>
      <c r="AR1098" s="24"/>
      <c r="AS1098" s="124"/>
    </row>
    <row r="1099" spans="1:45" ht="30" customHeight="1" x14ac:dyDescent="0.2">
      <c r="A1099" s="2">
        <v>911</v>
      </c>
      <c r="B1099" s="13">
        <v>3</v>
      </c>
      <c r="C1099" s="16" t="s">
        <v>65</v>
      </c>
      <c r="D1099" s="17">
        <v>1285</v>
      </c>
      <c r="E1099" s="17">
        <v>144</v>
      </c>
      <c r="H1099" s="17">
        <v>25</v>
      </c>
      <c r="I1099" s="17">
        <v>3</v>
      </c>
      <c r="J1099" s="17">
        <v>66</v>
      </c>
      <c r="K1099" s="10">
        <f>25*400+366</f>
        <v>10366</v>
      </c>
      <c r="P1099" s="17">
        <v>1</v>
      </c>
      <c r="Q1099" s="20">
        <f t="shared" si="213"/>
        <v>10366</v>
      </c>
      <c r="R1099" s="14">
        <v>200</v>
      </c>
      <c r="S1099" s="19">
        <f t="shared" si="214"/>
        <v>2073200</v>
      </c>
      <c r="AG1099" s="22">
        <f t="shared" si="215"/>
        <v>0</v>
      </c>
      <c r="AJ1099" s="20">
        <f t="shared" si="216"/>
        <v>0</v>
      </c>
      <c r="AM1099" s="20">
        <f t="shared" si="217"/>
        <v>0</v>
      </c>
      <c r="AN1099" s="20">
        <f t="shared" si="218"/>
        <v>2073200</v>
      </c>
      <c r="AP1099" s="20">
        <f t="shared" si="219"/>
        <v>2073200</v>
      </c>
      <c r="AQ1099" s="12">
        <v>1E-4</v>
      </c>
      <c r="AR1099" s="24"/>
      <c r="AS1099" s="124"/>
    </row>
    <row r="1100" spans="1:45" ht="30" customHeight="1" x14ac:dyDescent="0.2">
      <c r="A1100" s="8">
        <v>912</v>
      </c>
      <c r="B1100" s="13">
        <v>4</v>
      </c>
      <c r="C1100" s="16" t="s">
        <v>65</v>
      </c>
      <c r="D1100" s="17">
        <v>2412</v>
      </c>
      <c r="E1100" s="17">
        <v>27</v>
      </c>
      <c r="H1100" s="17">
        <v>9</v>
      </c>
      <c r="I1100" s="17">
        <v>2</v>
      </c>
      <c r="J1100" s="17">
        <v>33</v>
      </c>
      <c r="K1100" s="10">
        <f>9*400+233</f>
        <v>3833</v>
      </c>
      <c r="P1100" s="17">
        <v>1</v>
      </c>
      <c r="Q1100" s="20">
        <f t="shared" si="213"/>
        <v>3833</v>
      </c>
      <c r="R1100" s="14">
        <v>160</v>
      </c>
      <c r="S1100" s="20">
        <f t="shared" si="214"/>
        <v>613280</v>
      </c>
      <c r="AG1100" s="22">
        <f t="shared" si="215"/>
        <v>0</v>
      </c>
      <c r="AJ1100" s="20">
        <f t="shared" si="216"/>
        <v>0</v>
      </c>
      <c r="AM1100" s="20">
        <f t="shared" si="217"/>
        <v>0</v>
      </c>
      <c r="AN1100" s="20">
        <f t="shared" si="218"/>
        <v>613280</v>
      </c>
      <c r="AP1100" s="20">
        <f t="shared" si="219"/>
        <v>613280</v>
      </c>
      <c r="AQ1100" s="12">
        <v>1E-4</v>
      </c>
      <c r="AR1100" s="24"/>
      <c r="AS1100" s="124"/>
    </row>
    <row r="1101" spans="1:45" ht="30" customHeight="1" x14ac:dyDescent="0.2">
      <c r="A1101" s="2">
        <v>913</v>
      </c>
      <c r="B1101" s="13">
        <v>5</v>
      </c>
      <c r="C1101" s="16" t="s">
        <v>65</v>
      </c>
      <c r="D1101" s="17">
        <v>2413</v>
      </c>
      <c r="E1101" s="17">
        <v>28</v>
      </c>
      <c r="H1101" s="17">
        <v>11</v>
      </c>
      <c r="I1101" s="17">
        <v>0</v>
      </c>
      <c r="J1101" s="17">
        <v>16</v>
      </c>
      <c r="K1101" s="10">
        <f>11*400+16</f>
        <v>4416</v>
      </c>
      <c r="P1101" s="17">
        <v>1</v>
      </c>
      <c r="Q1101" s="20">
        <f t="shared" si="213"/>
        <v>4416</v>
      </c>
      <c r="R1101" s="14">
        <v>160</v>
      </c>
      <c r="S1101" s="19">
        <f t="shared" si="214"/>
        <v>706560</v>
      </c>
      <c r="AG1101" s="22">
        <f t="shared" si="215"/>
        <v>0</v>
      </c>
      <c r="AJ1101" s="20">
        <f t="shared" si="216"/>
        <v>0</v>
      </c>
      <c r="AM1101" s="20">
        <f t="shared" si="217"/>
        <v>0</v>
      </c>
      <c r="AN1101" s="20">
        <f t="shared" si="218"/>
        <v>706560</v>
      </c>
      <c r="AP1101" s="20">
        <f t="shared" si="219"/>
        <v>706560</v>
      </c>
      <c r="AQ1101" s="12">
        <v>1E-4</v>
      </c>
      <c r="AR1101" s="24"/>
      <c r="AS1101" s="124"/>
    </row>
    <row r="1102" spans="1:45" ht="30" customHeight="1" x14ac:dyDescent="0.2">
      <c r="A1102" s="8">
        <v>914</v>
      </c>
      <c r="B1102" s="13">
        <v>6</v>
      </c>
      <c r="C1102" s="16" t="s">
        <v>65</v>
      </c>
      <c r="D1102" s="17">
        <v>2426</v>
      </c>
      <c r="E1102" s="17">
        <v>266</v>
      </c>
      <c r="H1102" s="17">
        <v>22</v>
      </c>
      <c r="I1102" s="17">
        <v>2</v>
      </c>
      <c r="J1102" s="17">
        <v>0</v>
      </c>
      <c r="K1102" s="10">
        <f>22*400+200</f>
        <v>9000</v>
      </c>
      <c r="P1102" s="17">
        <v>1</v>
      </c>
      <c r="Q1102" s="20">
        <f t="shared" si="213"/>
        <v>9000</v>
      </c>
      <c r="R1102" s="14">
        <v>200</v>
      </c>
      <c r="S1102" s="19">
        <f t="shared" si="214"/>
        <v>1800000</v>
      </c>
      <c r="AC1102" s="21"/>
      <c r="AD1102" s="21"/>
      <c r="AG1102" s="22">
        <f t="shared" si="215"/>
        <v>0</v>
      </c>
      <c r="AJ1102" s="20">
        <f t="shared" si="216"/>
        <v>0</v>
      </c>
      <c r="AM1102" s="20">
        <f t="shared" si="217"/>
        <v>0</v>
      </c>
      <c r="AN1102" s="20">
        <f t="shared" si="218"/>
        <v>1800000</v>
      </c>
      <c r="AP1102" s="20">
        <f t="shared" si="219"/>
        <v>1800000</v>
      </c>
      <c r="AQ1102" s="12">
        <v>1E-4</v>
      </c>
      <c r="AR1102" s="24"/>
      <c r="AS1102" s="124"/>
    </row>
    <row r="1103" spans="1:45" ht="30" customHeight="1" x14ac:dyDescent="0.2">
      <c r="A1103" s="2">
        <v>915</v>
      </c>
      <c r="B1103" s="13">
        <v>7</v>
      </c>
      <c r="C1103" s="16" t="s">
        <v>65</v>
      </c>
      <c r="D1103" s="17">
        <v>1062</v>
      </c>
      <c r="E1103" s="17">
        <v>94</v>
      </c>
      <c r="H1103" s="17">
        <v>13</v>
      </c>
      <c r="I1103" s="17">
        <v>0</v>
      </c>
      <c r="J1103" s="17">
        <v>0</v>
      </c>
      <c r="K1103" s="10">
        <f>13*400</f>
        <v>5200</v>
      </c>
      <c r="P1103" s="17">
        <v>1</v>
      </c>
      <c r="Q1103" s="20">
        <f t="shared" si="213"/>
        <v>5200</v>
      </c>
      <c r="R1103" s="14">
        <v>160</v>
      </c>
      <c r="S1103" s="20">
        <f t="shared" si="214"/>
        <v>832000</v>
      </c>
      <c r="AG1103" s="22">
        <f t="shared" si="215"/>
        <v>0</v>
      </c>
      <c r="AJ1103" s="20">
        <f t="shared" si="216"/>
        <v>0</v>
      </c>
      <c r="AM1103" s="20">
        <f t="shared" si="217"/>
        <v>0</v>
      </c>
      <c r="AN1103" s="20">
        <f t="shared" si="218"/>
        <v>832000</v>
      </c>
      <c r="AP1103" s="20">
        <f t="shared" si="219"/>
        <v>832000</v>
      </c>
      <c r="AQ1103" s="12">
        <v>1E-4</v>
      </c>
      <c r="AR1103" s="25"/>
      <c r="AS1103" s="125"/>
    </row>
    <row r="1104" spans="1:45" ht="30" customHeight="1" x14ac:dyDescent="0.2">
      <c r="A1104" s="8">
        <v>916</v>
      </c>
      <c r="B1104" s="13">
        <v>1</v>
      </c>
      <c r="C1104" s="16" t="s">
        <v>65</v>
      </c>
      <c r="D1104" s="17">
        <v>1371</v>
      </c>
      <c r="E1104" s="17">
        <v>59</v>
      </c>
      <c r="H1104" s="17">
        <v>11</v>
      </c>
      <c r="I1104" s="17">
        <v>2</v>
      </c>
      <c r="J1104" s="17">
        <v>62</v>
      </c>
      <c r="K1104" s="10">
        <f>11*400+262</f>
        <v>4662</v>
      </c>
      <c r="P1104" s="17">
        <v>1</v>
      </c>
      <c r="Q1104" s="20">
        <f t="shared" si="213"/>
        <v>4662</v>
      </c>
      <c r="R1104" s="14">
        <v>160</v>
      </c>
      <c r="S1104" s="19">
        <f t="shared" si="214"/>
        <v>745920</v>
      </c>
      <c r="AC1104" s="21"/>
      <c r="AD1104" s="21"/>
      <c r="AG1104" s="22">
        <f t="shared" si="215"/>
        <v>0</v>
      </c>
      <c r="AJ1104" s="20">
        <f t="shared" si="216"/>
        <v>0</v>
      </c>
      <c r="AM1104" s="20">
        <f t="shared" si="217"/>
        <v>0</v>
      </c>
      <c r="AN1104" s="20">
        <f t="shared" si="218"/>
        <v>745920</v>
      </c>
      <c r="AP1104" s="20">
        <f t="shared" si="219"/>
        <v>745920</v>
      </c>
      <c r="AQ1104" s="12">
        <v>1E-4</v>
      </c>
      <c r="AR1104" s="20"/>
    </row>
    <row r="1105" spans="1:45" ht="30" customHeight="1" x14ac:dyDescent="0.2">
      <c r="A1105" s="2">
        <v>917</v>
      </c>
      <c r="B1105" s="13">
        <v>2</v>
      </c>
      <c r="C1105" s="16" t="s">
        <v>65</v>
      </c>
      <c r="D1105" s="17">
        <v>1381</v>
      </c>
      <c r="E1105" s="17">
        <v>69</v>
      </c>
      <c r="H1105" s="17">
        <v>10</v>
      </c>
      <c r="I1105" s="17">
        <v>0</v>
      </c>
      <c r="J1105" s="17">
        <v>0</v>
      </c>
      <c r="K1105" s="10">
        <v>4000</v>
      </c>
      <c r="P1105" s="17">
        <v>1</v>
      </c>
      <c r="Q1105" s="20">
        <f t="shared" si="213"/>
        <v>4000</v>
      </c>
      <c r="R1105" s="14">
        <v>160</v>
      </c>
      <c r="S1105" s="19">
        <f t="shared" si="214"/>
        <v>640000</v>
      </c>
      <c r="AC1105" s="21"/>
      <c r="AD1105" s="21"/>
      <c r="AG1105" s="22">
        <f t="shared" si="215"/>
        <v>0</v>
      </c>
      <c r="AJ1105" s="20">
        <f t="shared" si="216"/>
        <v>0</v>
      </c>
      <c r="AM1105" s="20">
        <f t="shared" si="217"/>
        <v>0</v>
      </c>
      <c r="AN1105" s="20">
        <f t="shared" si="218"/>
        <v>640000</v>
      </c>
      <c r="AP1105" s="20">
        <f t="shared" si="219"/>
        <v>640000</v>
      </c>
      <c r="AQ1105" s="12">
        <v>1E-4</v>
      </c>
      <c r="AR1105" s="20"/>
    </row>
    <row r="1106" spans="1:45" ht="30" customHeight="1" x14ac:dyDescent="0.2">
      <c r="A1106" s="8">
        <v>918</v>
      </c>
      <c r="B1106" s="13">
        <v>3</v>
      </c>
      <c r="C1106" s="16" t="s">
        <v>65</v>
      </c>
      <c r="D1106" s="17">
        <v>1382</v>
      </c>
      <c r="E1106" s="17">
        <v>70</v>
      </c>
      <c r="H1106" s="17">
        <v>11</v>
      </c>
      <c r="I1106" s="17">
        <v>2</v>
      </c>
      <c r="J1106" s="17">
        <v>0</v>
      </c>
      <c r="K1106" s="10">
        <f>11*400+200</f>
        <v>4600</v>
      </c>
      <c r="P1106" s="17">
        <v>1</v>
      </c>
      <c r="Q1106" s="20">
        <f t="shared" si="213"/>
        <v>4600</v>
      </c>
      <c r="R1106" s="14">
        <v>160</v>
      </c>
      <c r="S1106" s="20">
        <f t="shared" si="214"/>
        <v>736000</v>
      </c>
      <c r="AC1106" s="21"/>
      <c r="AD1106" s="21"/>
      <c r="AG1106" s="22">
        <f t="shared" si="215"/>
        <v>0</v>
      </c>
      <c r="AJ1106" s="20">
        <f t="shared" si="216"/>
        <v>0</v>
      </c>
      <c r="AM1106" s="20">
        <f t="shared" si="217"/>
        <v>0</v>
      </c>
      <c r="AN1106" s="20">
        <f t="shared" si="218"/>
        <v>736000</v>
      </c>
      <c r="AP1106" s="20">
        <f t="shared" si="219"/>
        <v>736000</v>
      </c>
      <c r="AQ1106" s="12">
        <v>1E-4</v>
      </c>
      <c r="AR1106" s="20"/>
    </row>
    <row r="1107" spans="1:45" ht="30" customHeight="1" x14ac:dyDescent="0.2">
      <c r="A1107" s="8">
        <v>919</v>
      </c>
      <c r="B1107" s="13">
        <v>4</v>
      </c>
      <c r="C1107" s="16" t="s">
        <v>65</v>
      </c>
      <c r="D1107" s="17">
        <v>1383</v>
      </c>
      <c r="E1107" s="17">
        <v>71</v>
      </c>
      <c r="H1107" s="17">
        <v>23</v>
      </c>
      <c r="I1107" s="17">
        <v>2</v>
      </c>
      <c r="J1107" s="17">
        <v>0</v>
      </c>
      <c r="K1107" s="10">
        <f>23*400+200</f>
        <v>9400</v>
      </c>
      <c r="P1107" s="17">
        <v>1</v>
      </c>
      <c r="Q1107" s="20">
        <f t="shared" si="213"/>
        <v>9400</v>
      </c>
      <c r="R1107" s="14">
        <v>160</v>
      </c>
      <c r="S1107" s="19">
        <f t="shared" si="214"/>
        <v>1504000</v>
      </c>
      <c r="AC1107" s="21"/>
      <c r="AD1107" s="21"/>
      <c r="AG1107" s="22">
        <f t="shared" si="215"/>
        <v>0</v>
      </c>
      <c r="AJ1107" s="20">
        <f t="shared" si="216"/>
        <v>0</v>
      </c>
      <c r="AM1107" s="20">
        <f t="shared" si="217"/>
        <v>0</v>
      </c>
      <c r="AN1107" s="20">
        <f t="shared" si="218"/>
        <v>1504000</v>
      </c>
      <c r="AP1107" s="20">
        <f t="shared" si="219"/>
        <v>1504000</v>
      </c>
      <c r="AQ1107" s="12">
        <v>1E-4</v>
      </c>
      <c r="AR1107" s="20"/>
    </row>
    <row r="1108" spans="1:45" ht="30" customHeight="1" x14ac:dyDescent="0.2">
      <c r="A1108" s="2">
        <v>920</v>
      </c>
      <c r="B1108" s="13">
        <v>5</v>
      </c>
      <c r="C1108" s="16" t="s">
        <v>65</v>
      </c>
      <c r="D1108" s="17">
        <v>1388</v>
      </c>
      <c r="E1108" s="17">
        <v>76</v>
      </c>
      <c r="H1108" s="17">
        <v>13</v>
      </c>
      <c r="I1108" s="17">
        <v>1</v>
      </c>
      <c r="J1108" s="17">
        <v>0</v>
      </c>
      <c r="K1108" s="10">
        <f>13*400+100</f>
        <v>5300</v>
      </c>
      <c r="P1108" s="17">
        <v>1</v>
      </c>
      <c r="Q1108" s="20">
        <f t="shared" si="213"/>
        <v>5300</v>
      </c>
      <c r="R1108" s="14">
        <v>160</v>
      </c>
      <c r="S1108" s="19">
        <f t="shared" si="214"/>
        <v>848000</v>
      </c>
      <c r="AC1108" s="21"/>
      <c r="AD1108" s="21"/>
      <c r="AG1108" s="22">
        <f t="shared" si="215"/>
        <v>0</v>
      </c>
      <c r="AJ1108" s="20">
        <f t="shared" si="216"/>
        <v>0</v>
      </c>
      <c r="AM1108" s="20">
        <f t="shared" si="217"/>
        <v>0</v>
      </c>
      <c r="AN1108" s="20">
        <f t="shared" si="218"/>
        <v>848000</v>
      </c>
      <c r="AP1108" s="20">
        <f t="shared" si="219"/>
        <v>848000</v>
      </c>
      <c r="AQ1108" s="12">
        <v>1E-4</v>
      </c>
      <c r="AR1108" s="20"/>
    </row>
    <row r="1109" spans="1:45" ht="30" customHeight="1" x14ac:dyDescent="0.2">
      <c r="A1109" s="8">
        <v>921</v>
      </c>
      <c r="B1109" s="13">
        <v>6</v>
      </c>
      <c r="C1109" s="16" t="s">
        <v>65</v>
      </c>
      <c r="D1109" s="17">
        <v>1390</v>
      </c>
      <c r="E1109" s="17">
        <v>78</v>
      </c>
      <c r="H1109" s="17">
        <v>10</v>
      </c>
      <c r="I1109" s="17">
        <v>2</v>
      </c>
      <c r="J1109" s="17">
        <v>30</v>
      </c>
      <c r="K1109" s="10">
        <v>4230</v>
      </c>
      <c r="P1109" s="17">
        <v>1</v>
      </c>
      <c r="Q1109" s="20">
        <f t="shared" si="213"/>
        <v>4230</v>
      </c>
      <c r="R1109" s="14">
        <v>160</v>
      </c>
      <c r="S1109" s="20">
        <f t="shared" si="214"/>
        <v>676800</v>
      </c>
      <c r="AC1109" s="21"/>
      <c r="AD1109" s="21"/>
      <c r="AG1109" s="22">
        <f t="shared" si="215"/>
        <v>0</v>
      </c>
      <c r="AJ1109" s="20">
        <f t="shared" si="216"/>
        <v>0</v>
      </c>
      <c r="AM1109" s="20">
        <f t="shared" si="217"/>
        <v>0</v>
      </c>
      <c r="AN1109" s="20">
        <f t="shared" si="218"/>
        <v>676800</v>
      </c>
      <c r="AP1109" s="20">
        <f t="shared" si="219"/>
        <v>676800</v>
      </c>
      <c r="AQ1109" s="12">
        <v>1E-4</v>
      </c>
      <c r="AR1109" s="20"/>
    </row>
    <row r="1110" spans="1:45" ht="30" customHeight="1" x14ac:dyDescent="0.2">
      <c r="A1110" s="8">
        <v>922</v>
      </c>
      <c r="B1110" s="13">
        <v>7</v>
      </c>
      <c r="C1110" s="16" t="s">
        <v>65</v>
      </c>
      <c r="D1110" s="17">
        <v>1774</v>
      </c>
      <c r="E1110" s="17">
        <v>24</v>
      </c>
      <c r="H1110" s="17">
        <v>6</v>
      </c>
      <c r="I1110" s="17">
        <v>2</v>
      </c>
      <c r="J1110" s="17">
        <v>50</v>
      </c>
      <c r="K1110" s="10">
        <v>2650</v>
      </c>
      <c r="P1110" s="17">
        <v>1</v>
      </c>
      <c r="Q1110" s="20">
        <f t="shared" si="213"/>
        <v>2650</v>
      </c>
      <c r="R1110" s="14">
        <v>160</v>
      </c>
      <c r="S1110" s="19">
        <f t="shared" si="214"/>
        <v>424000</v>
      </c>
      <c r="AC1110" s="21"/>
      <c r="AD1110" s="21"/>
      <c r="AG1110" s="22">
        <f t="shared" si="215"/>
        <v>0</v>
      </c>
      <c r="AJ1110" s="20">
        <f t="shared" si="216"/>
        <v>0</v>
      </c>
      <c r="AM1110" s="20">
        <f t="shared" si="217"/>
        <v>0</v>
      </c>
      <c r="AN1110" s="20">
        <f t="shared" si="218"/>
        <v>424000</v>
      </c>
      <c r="AP1110" s="20">
        <f t="shared" si="219"/>
        <v>424000</v>
      </c>
      <c r="AQ1110" s="12">
        <v>1E-4</v>
      </c>
      <c r="AR1110" s="20"/>
    </row>
    <row r="1111" spans="1:45" ht="30" customHeight="1" x14ac:dyDescent="0.2">
      <c r="A1111" s="2">
        <v>923</v>
      </c>
      <c r="B1111" s="13">
        <v>8</v>
      </c>
      <c r="C1111" s="16" t="s">
        <v>65</v>
      </c>
      <c r="D1111" s="17">
        <v>1776</v>
      </c>
      <c r="E1111" s="17">
        <v>92</v>
      </c>
      <c r="H1111" s="17">
        <v>11</v>
      </c>
      <c r="I1111" s="17">
        <v>2</v>
      </c>
      <c r="J1111" s="17">
        <v>86</v>
      </c>
      <c r="K1111" s="10">
        <f>11*400+286</f>
        <v>4686</v>
      </c>
      <c r="P1111" s="17">
        <v>1</v>
      </c>
      <c r="Q1111" s="20">
        <f t="shared" si="213"/>
        <v>4686</v>
      </c>
      <c r="R1111" s="14">
        <v>160</v>
      </c>
      <c r="S1111" s="19">
        <f t="shared" si="214"/>
        <v>749760</v>
      </c>
      <c r="AC1111" s="21"/>
      <c r="AD1111" s="21"/>
      <c r="AG1111" s="22">
        <f t="shared" si="215"/>
        <v>0</v>
      </c>
      <c r="AJ1111" s="20">
        <f t="shared" si="216"/>
        <v>0</v>
      </c>
      <c r="AM1111" s="20">
        <f t="shared" si="217"/>
        <v>0</v>
      </c>
      <c r="AN1111" s="20">
        <f t="shared" si="218"/>
        <v>749760</v>
      </c>
      <c r="AP1111" s="20">
        <f t="shared" si="219"/>
        <v>749760</v>
      </c>
      <c r="AQ1111" s="12">
        <v>1E-4</v>
      </c>
      <c r="AR1111" s="20"/>
    </row>
    <row r="1112" spans="1:45" ht="30" customHeight="1" x14ac:dyDescent="0.2">
      <c r="A1112" s="8">
        <v>924</v>
      </c>
      <c r="B1112" s="13">
        <v>9</v>
      </c>
      <c r="C1112" s="16" t="s">
        <v>65</v>
      </c>
      <c r="D1112" s="17">
        <v>2409</v>
      </c>
      <c r="E1112" s="17">
        <v>167</v>
      </c>
      <c r="H1112" s="17">
        <v>20</v>
      </c>
      <c r="I1112" s="17">
        <v>1</v>
      </c>
      <c r="J1112" s="17">
        <v>70</v>
      </c>
      <c r="K1112" s="10">
        <f>20*400+170</f>
        <v>8170</v>
      </c>
      <c r="P1112" s="17">
        <v>1</v>
      </c>
      <c r="Q1112" s="20">
        <f t="shared" si="213"/>
        <v>8170</v>
      </c>
      <c r="R1112" s="14">
        <v>160</v>
      </c>
      <c r="S1112" s="20">
        <f t="shared" si="214"/>
        <v>1307200</v>
      </c>
      <c r="AC1112" s="21"/>
      <c r="AD1112" s="21"/>
      <c r="AG1112" s="22">
        <f t="shared" si="215"/>
        <v>0</v>
      </c>
      <c r="AJ1112" s="20">
        <f t="shared" si="216"/>
        <v>0</v>
      </c>
      <c r="AM1112" s="20">
        <f t="shared" si="217"/>
        <v>0</v>
      </c>
      <c r="AN1112" s="20">
        <f t="shared" si="218"/>
        <v>1307200</v>
      </c>
      <c r="AP1112" s="20">
        <f t="shared" si="219"/>
        <v>1307200</v>
      </c>
      <c r="AQ1112" s="12">
        <v>1E-4</v>
      </c>
      <c r="AR1112" s="20"/>
    </row>
    <row r="1113" spans="1:45" ht="30" customHeight="1" x14ac:dyDescent="0.2">
      <c r="A1113" s="8">
        <v>925</v>
      </c>
      <c r="B1113" s="13">
        <v>10</v>
      </c>
      <c r="C1113" s="16" t="s">
        <v>65</v>
      </c>
      <c r="D1113" s="17">
        <v>2410</v>
      </c>
      <c r="E1113" s="17">
        <v>27</v>
      </c>
      <c r="H1113" s="17">
        <v>23</v>
      </c>
      <c r="I1113" s="17">
        <v>1</v>
      </c>
      <c r="J1113" s="17">
        <v>83</v>
      </c>
      <c r="K1113" s="10">
        <f>23*400+183</f>
        <v>9383</v>
      </c>
      <c r="P1113" s="17">
        <v>1</v>
      </c>
      <c r="Q1113" s="20">
        <f t="shared" si="213"/>
        <v>9383</v>
      </c>
      <c r="R1113" s="14">
        <v>160</v>
      </c>
      <c r="S1113" s="19">
        <f t="shared" si="214"/>
        <v>1501280</v>
      </c>
      <c r="AC1113" s="21"/>
      <c r="AD1113" s="21"/>
      <c r="AG1113" s="22">
        <f t="shared" si="215"/>
        <v>0</v>
      </c>
      <c r="AJ1113" s="20">
        <f t="shared" si="216"/>
        <v>0</v>
      </c>
      <c r="AM1113" s="20">
        <f t="shared" si="217"/>
        <v>0</v>
      </c>
      <c r="AN1113" s="20">
        <f t="shared" si="218"/>
        <v>1501280</v>
      </c>
      <c r="AP1113" s="20">
        <f t="shared" si="219"/>
        <v>1501280</v>
      </c>
      <c r="AQ1113" s="12">
        <v>1E-4</v>
      </c>
      <c r="AR1113" s="20"/>
    </row>
    <row r="1114" spans="1:45" ht="30" customHeight="1" x14ac:dyDescent="0.2">
      <c r="A1114" s="2">
        <v>926</v>
      </c>
      <c r="B1114" s="13">
        <v>11</v>
      </c>
      <c r="C1114" s="16" t="s">
        <v>65</v>
      </c>
      <c r="D1114" s="17">
        <v>2418</v>
      </c>
      <c r="E1114" s="17">
        <v>169</v>
      </c>
      <c r="H1114" s="17">
        <v>27</v>
      </c>
      <c r="I1114" s="17">
        <v>0</v>
      </c>
      <c r="J1114" s="17">
        <v>96</v>
      </c>
      <c r="K1114" s="10">
        <f>27*400+96</f>
        <v>10896</v>
      </c>
      <c r="P1114" s="17">
        <v>1</v>
      </c>
      <c r="Q1114" s="20">
        <f t="shared" si="213"/>
        <v>10896</v>
      </c>
      <c r="R1114" s="14">
        <v>160</v>
      </c>
      <c r="S1114" s="19">
        <f t="shared" si="214"/>
        <v>1743360</v>
      </c>
      <c r="AG1114" s="22">
        <f t="shared" si="215"/>
        <v>0</v>
      </c>
      <c r="AJ1114" s="20">
        <f t="shared" si="216"/>
        <v>0</v>
      </c>
      <c r="AM1114" s="20">
        <f t="shared" si="217"/>
        <v>0</v>
      </c>
      <c r="AN1114" s="20">
        <f t="shared" si="218"/>
        <v>1743360</v>
      </c>
      <c r="AP1114" s="20">
        <f t="shared" si="219"/>
        <v>1743360</v>
      </c>
      <c r="AQ1114" s="12">
        <v>1E-4</v>
      </c>
      <c r="AR1114" s="20"/>
    </row>
    <row r="1115" spans="1:45" s="21" customFormat="1" ht="30" customHeight="1" x14ac:dyDescent="0.2">
      <c r="A1115" s="8">
        <v>927</v>
      </c>
      <c r="B1115" s="46">
        <v>1</v>
      </c>
      <c r="C1115" s="16" t="s">
        <v>52</v>
      </c>
      <c r="D1115" s="48">
        <v>2764</v>
      </c>
      <c r="E1115" s="47">
        <v>22</v>
      </c>
      <c r="F1115" s="48">
        <v>1954</v>
      </c>
      <c r="G1115" s="49">
        <v>1</v>
      </c>
      <c r="H1115" s="48">
        <v>8</v>
      </c>
      <c r="I1115" s="48">
        <v>1</v>
      </c>
      <c r="J1115" s="48">
        <v>13</v>
      </c>
      <c r="K1115" s="3">
        <f>8*400+100+13</f>
        <v>3313</v>
      </c>
      <c r="L1115" s="16"/>
      <c r="M1115" s="57"/>
      <c r="N1115" s="58"/>
      <c r="P1115" s="16">
        <v>1</v>
      </c>
      <c r="Q1115" s="20">
        <f t="shared" si="213"/>
        <v>3313</v>
      </c>
      <c r="R1115" s="14">
        <v>160</v>
      </c>
      <c r="S1115" s="20">
        <f t="shared" si="214"/>
        <v>530080</v>
      </c>
      <c r="T1115" s="16"/>
      <c r="U1115" s="17"/>
      <c r="V1115" s="17"/>
      <c r="W1115" s="4"/>
      <c r="X1115" s="16"/>
      <c r="Y1115" s="5"/>
      <c r="Z1115" s="16"/>
      <c r="AA1115" s="16"/>
      <c r="AB1115" s="16"/>
      <c r="AE1115" s="16"/>
      <c r="AG1115" s="22">
        <f t="shared" si="215"/>
        <v>0</v>
      </c>
      <c r="AH1115" s="6"/>
      <c r="AJ1115" s="20">
        <f t="shared" si="216"/>
        <v>0</v>
      </c>
      <c r="AK1115" s="50"/>
      <c r="AL1115" s="6"/>
      <c r="AM1115" s="20">
        <f t="shared" si="217"/>
        <v>0</v>
      </c>
      <c r="AN1115" s="20">
        <f t="shared" si="218"/>
        <v>530080</v>
      </c>
      <c r="AP1115" s="20">
        <f t="shared" si="219"/>
        <v>530080</v>
      </c>
      <c r="AQ1115" s="7"/>
      <c r="AR1115" s="60"/>
      <c r="AS1115" s="128">
        <v>135</v>
      </c>
    </row>
    <row r="1116" spans="1:45" s="21" customFormat="1" ht="30" customHeight="1" x14ac:dyDescent="0.2">
      <c r="A1116" s="8">
        <v>928</v>
      </c>
      <c r="B1116" s="46">
        <v>2</v>
      </c>
      <c r="C1116" s="16" t="s">
        <v>52</v>
      </c>
      <c r="D1116" s="48">
        <v>2763</v>
      </c>
      <c r="E1116" s="47">
        <v>13</v>
      </c>
      <c r="F1116" s="48">
        <v>1953</v>
      </c>
      <c r="G1116" s="49">
        <v>1</v>
      </c>
      <c r="H1116" s="48">
        <v>36</v>
      </c>
      <c r="I1116" s="48">
        <v>3</v>
      </c>
      <c r="J1116" s="48">
        <v>50</v>
      </c>
      <c r="K1116" s="3">
        <f>36*400+300+50</f>
        <v>14750</v>
      </c>
      <c r="L1116" s="16"/>
      <c r="M1116" s="57"/>
      <c r="N1116" s="58"/>
      <c r="P1116" s="16">
        <v>1</v>
      </c>
      <c r="Q1116" s="20">
        <f t="shared" si="213"/>
        <v>14750</v>
      </c>
      <c r="R1116" s="14">
        <v>160</v>
      </c>
      <c r="S1116" s="19">
        <f t="shared" si="214"/>
        <v>2360000</v>
      </c>
      <c r="T1116" s="16"/>
      <c r="U1116" s="16"/>
      <c r="V1116" s="16"/>
      <c r="W1116" s="5"/>
      <c r="X1116" s="16"/>
      <c r="Y1116" s="5"/>
      <c r="Z1116" s="16"/>
      <c r="AA1116" s="16"/>
      <c r="AB1116" s="16"/>
      <c r="AE1116" s="16"/>
      <c r="AG1116" s="22">
        <f t="shared" si="215"/>
        <v>0</v>
      </c>
      <c r="AH1116" s="6"/>
      <c r="AJ1116" s="20">
        <f t="shared" si="216"/>
        <v>0</v>
      </c>
      <c r="AK1116" s="50"/>
      <c r="AL1116" s="6"/>
      <c r="AM1116" s="20">
        <f t="shared" si="217"/>
        <v>0</v>
      </c>
      <c r="AN1116" s="20">
        <f t="shared" si="218"/>
        <v>2360000</v>
      </c>
      <c r="AP1116" s="20">
        <f t="shared" si="219"/>
        <v>2360000</v>
      </c>
      <c r="AQ1116" s="7"/>
      <c r="AR1116" s="25"/>
      <c r="AS1116" s="130"/>
    </row>
    <row r="1117" spans="1:45" s="21" customFormat="1" ht="30" customHeight="1" x14ac:dyDescent="0.2">
      <c r="A1117" s="2">
        <v>929</v>
      </c>
      <c r="B1117" s="46">
        <v>1</v>
      </c>
      <c r="C1117" s="16" t="s">
        <v>52</v>
      </c>
      <c r="D1117" s="48">
        <v>2903</v>
      </c>
      <c r="E1117" s="47">
        <v>21</v>
      </c>
      <c r="F1117" s="48">
        <v>1957</v>
      </c>
      <c r="G1117" s="49">
        <v>1</v>
      </c>
      <c r="H1117" s="48">
        <v>9</v>
      </c>
      <c r="I1117" s="48">
        <v>0</v>
      </c>
      <c r="J1117" s="48">
        <v>19</v>
      </c>
      <c r="K1117" s="3">
        <f>9*400+19</f>
        <v>3619</v>
      </c>
      <c r="L1117" s="16"/>
      <c r="M1117" s="57"/>
      <c r="N1117" s="58"/>
      <c r="P1117" s="16">
        <v>1</v>
      </c>
      <c r="Q1117" s="20">
        <f t="shared" si="213"/>
        <v>3619</v>
      </c>
      <c r="R1117" s="14">
        <v>160</v>
      </c>
      <c r="S1117" s="19">
        <f t="shared" si="214"/>
        <v>579040</v>
      </c>
      <c r="T1117" s="16"/>
      <c r="U1117" s="17"/>
      <c r="V1117" s="16"/>
      <c r="W1117" s="5"/>
      <c r="X1117" s="16"/>
      <c r="Y1117" s="5"/>
      <c r="Z1117" s="16"/>
      <c r="AA1117" s="16"/>
      <c r="AB1117" s="16"/>
      <c r="AE1117" s="16"/>
      <c r="AG1117" s="22">
        <f t="shared" si="215"/>
        <v>0</v>
      </c>
      <c r="AH1117" s="6"/>
      <c r="AJ1117" s="20">
        <f t="shared" si="216"/>
        <v>0</v>
      </c>
      <c r="AK1117" s="50"/>
      <c r="AL1117" s="6"/>
      <c r="AM1117" s="20">
        <f t="shared" si="217"/>
        <v>0</v>
      </c>
      <c r="AN1117" s="20">
        <f t="shared" si="218"/>
        <v>579040</v>
      </c>
      <c r="AP1117" s="20">
        <f t="shared" si="219"/>
        <v>579040</v>
      </c>
      <c r="AQ1117" s="7"/>
      <c r="AR1117" s="60"/>
      <c r="AS1117" s="128">
        <v>133</v>
      </c>
    </row>
    <row r="1118" spans="1:45" s="21" customFormat="1" ht="30" customHeight="1" x14ac:dyDescent="0.2">
      <c r="A1118" s="8">
        <v>930</v>
      </c>
      <c r="B1118" s="46">
        <v>2</v>
      </c>
      <c r="C1118" s="16" t="s">
        <v>52</v>
      </c>
      <c r="D1118" s="48">
        <v>2767</v>
      </c>
      <c r="E1118" s="47">
        <v>12</v>
      </c>
      <c r="F1118" s="48">
        <v>1958</v>
      </c>
      <c r="G1118" s="49">
        <v>1</v>
      </c>
      <c r="H1118" s="48">
        <v>35</v>
      </c>
      <c r="I1118" s="48">
        <v>1</v>
      </c>
      <c r="J1118" s="48">
        <v>52</v>
      </c>
      <c r="K1118" s="3">
        <f>35*400+100+52</f>
        <v>14152</v>
      </c>
      <c r="L1118" s="16"/>
      <c r="M1118" s="57"/>
      <c r="N1118" s="58"/>
      <c r="P1118" s="16">
        <v>1</v>
      </c>
      <c r="Q1118" s="20">
        <f t="shared" si="213"/>
        <v>14152</v>
      </c>
      <c r="R1118" s="14">
        <v>160</v>
      </c>
      <c r="S1118" s="20">
        <f t="shared" si="214"/>
        <v>2264320</v>
      </c>
      <c r="T1118" s="16"/>
      <c r="U1118" s="17"/>
      <c r="V1118" s="17"/>
      <c r="W1118" s="4"/>
      <c r="X1118" s="16"/>
      <c r="Y1118" s="5"/>
      <c r="Z1118" s="16"/>
      <c r="AA1118" s="16"/>
      <c r="AB1118" s="16"/>
      <c r="AC1118" s="14"/>
      <c r="AD1118" s="14"/>
      <c r="AE1118" s="16"/>
      <c r="AG1118" s="22">
        <f t="shared" si="215"/>
        <v>0</v>
      </c>
      <c r="AH1118" s="6"/>
      <c r="AJ1118" s="20">
        <f t="shared" si="216"/>
        <v>0</v>
      </c>
      <c r="AK1118" s="50"/>
      <c r="AL1118" s="6"/>
      <c r="AM1118" s="20">
        <f t="shared" si="217"/>
        <v>0</v>
      </c>
      <c r="AN1118" s="20">
        <f t="shared" si="218"/>
        <v>2264320</v>
      </c>
      <c r="AP1118" s="20">
        <f t="shared" si="219"/>
        <v>2264320</v>
      </c>
      <c r="AQ1118" s="7"/>
      <c r="AR1118" s="25"/>
      <c r="AS1118" s="130"/>
    </row>
    <row r="1119" spans="1:45" ht="30" customHeight="1" x14ac:dyDescent="0.2">
      <c r="A1119" s="8">
        <v>931</v>
      </c>
      <c r="B1119" s="13">
        <v>1</v>
      </c>
      <c r="C1119" s="16" t="s">
        <v>69</v>
      </c>
      <c r="E1119" s="17">
        <v>1495</v>
      </c>
      <c r="F1119" s="17">
        <v>4</v>
      </c>
      <c r="G1119" s="13">
        <v>6</v>
      </c>
      <c r="H1119" s="17">
        <v>32</v>
      </c>
      <c r="I1119" s="17">
        <v>1</v>
      </c>
      <c r="J1119" s="17">
        <v>92</v>
      </c>
      <c r="K1119" s="10">
        <v>12992</v>
      </c>
      <c r="P1119" s="17">
        <v>1</v>
      </c>
      <c r="Q1119" s="20">
        <f t="shared" si="213"/>
        <v>12992</v>
      </c>
      <c r="R1119" s="14">
        <v>160</v>
      </c>
      <c r="S1119" s="19">
        <f t="shared" si="214"/>
        <v>2078720</v>
      </c>
      <c r="AG1119" s="22">
        <f t="shared" si="215"/>
        <v>0</v>
      </c>
      <c r="AJ1119" s="20">
        <f t="shared" si="216"/>
        <v>0</v>
      </c>
      <c r="AM1119" s="20">
        <f t="shared" si="217"/>
        <v>0</v>
      </c>
      <c r="AN1119" s="20">
        <f t="shared" si="218"/>
        <v>2078720</v>
      </c>
      <c r="AP1119" s="20">
        <f t="shared" si="219"/>
        <v>2078720</v>
      </c>
      <c r="AQ1119" s="12">
        <v>1E-4</v>
      </c>
      <c r="AR1119" s="20"/>
    </row>
    <row r="1120" spans="1:45" s="21" customFormat="1" ht="30" customHeight="1" x14ac:dyDescent="0.2">
      <c r="A1120" s="2">
        <v>932</v>
      </c>
      <c r="B1120" s="46">
        <v>1</v>
      </c>
      <c r="C1120" s="16" t="s">
        <v>52</v>
      </c>
      <c r="D1120" s="48">
        <v>17644</v>
      </c>
      <c r="E1120" s="47">
        <v>74</v>
      </c>
      <c r="F1120" s="48">
        <v>3772</v>
      </c>
      <c r="G1120" s="49">
        <v>3</v>
      </c>
      <c r="H1120" s="48">
        <v>18</v>
      </c>
      <c r="I1120" s="48">
        <v>1</v>
      </c>
      <c r="J1120" s="48">
        <v>70</v>
      </c>
      <c r="K1120" s="3">
        <f>18*400+100+70</f>
        <v>7370</v>
      </c>
      <c r="L1120" s="16"/>
      <c r="M1120" s="57"/>
      <c r="N1120" s="58"/>
      <c r="P1120" s="16">
        <v>1</v>
      </c>
      <c r="Q1120" s="20">
        <f t="shared" si="213"/>
        <v>7370</v>
      </c>
      <c r="R1120" s="14">
        <v>160</v>
      </c>
      <c r="S1120" s="19">
        <f t="shared" si="214"/>
        <v>1179200</v>
      </c>
      <c r="T1120" s="16"/>
      <c r="U1120" s="17"/>
      <c r="V1120" s="17"/>
      <c r="W1120" s="4"/>
      <c r="X1120" s="16"/>
      <c r="Y1120" s="5"/>
      <c r="Z1120" s="16"/>
      <c r="AA1120" s="16"/>
      <c r="AB1120" s="16"/>
      <c r="AE1120" s="16"/>
      <c r="AG1120" s="22">
        <f t="shared" si="215"/>
        <v>0</v>
      </c>
      <c r="AH1120" s="6"/>
      <c r="AJ1120" s="20">
        <f t="shared" si="216"/>
        <v>0</v>
      </c>
      <c r="AK1120" s="50"/>
      <c r="AL1120" s="6"/>
      <c r="AM1120" s="20">
        <f t="shared" si="217"/>
        <v>0</v>
      </c>
      <c r="AN1120" s="20">
        <f t="shared" si="218"/>
        <v>1179200</v>
      </c>
      <c r="AP1120" s="20">
        <f t="shared" si="219"/>
        <v>1179200</v>
      </c>
      <c r="AQ1120" s="7"/>
      <c r="AR1120" s="60" t="e">
        <f>+#REF!+#REF!+#REF!+#REF!+#REF!+#REF!+#REF!</f>
        <v>#REF!</v>
      </c>
      <c r="AS1120" s="96">
        <f>101+236+222+6</f>
        <v>565</v>
      </c>
    </row>
    <row r="1121" spans="1:45" s="21" customFormat="1" ht="30" customHeight="1" x14ac:dyDescent="0.2">
      <c r="A1121" s="8">
        <v>933</v>
      </c>
      <c r="B1121" s="46">
        <v>2</v>
      </c>
      <c r="C1121" s="16" t="s">
        <v>52</v>
      </c>
      <c r="D1121" s="48">
        <v>1765</v>
      </c>
      <c r="E1121" s="47">
        <v>15</v>
      </c>
      <c r="F1121" s="48">
        <v>774</v>
      </c>
      <c r="G1121" s="49">
        <v>6</v>
      </c>
      <c r="H1121" s="48">
        <v>0</v>
      </c>
      <c r="I1121" s="48">
        <v>1</v>
      </c>
      <c r="J1121" s="48">
        <v>0</v>
      </c>
      <c r="K1121" s="3"/>
      <c r="L1121" s="16"/>
      <c r="M1121" s="57"/>
      <c r="N1121" s="58">
        <v>100</v>
      </c>
      <c r="P1121" s="16">
        <v>4</v>
      </c>
      <c r="Q1121" s="20">
        <f t="shared" si="213"/>
        <v>100</v>
      </c>
      <c r="R1121" s="14">
        <v>4500</v>
      </c>
      <c r="S1121" s="20">
        <f t="shared" si="214"/>
        <v>450000</v>
      </c>
      <c r="T1121" s="16"/>
      <c r="U1121" s="17"/>
      <c r="V1121" s="17"/>
      <c r="W1121" s="4"/>
      <c r="X1121" s="16"/>
      <c r="Y1121" s="5"/>
      <c r="Z1121" s="16"/>
      <c r="AA1121" s="16"/>
      <c r="AB1121" s="16"/>
      <c r="AC1121" s="14"/>
      <c r="AD1121" s="14"/>
      <c r="AE1121" s="16"/>
      <c r="AG1121" s="22">
        <f t="shared" si="215"/>
        <v>0</v>
      </c>
      <c r="AH1121" s="6"/>
      <c r="AJ1121" s="20">
        <f t="shared" si="216"/>
        <v>0</v>
      </c>
      <c r="AK1121" s="50"/>
      <c r="AL1121" s="6"/>
      <c r="AM1121" s="20">
        <f t="shared" si="217"/>
        <v>0</v>
      </c>
      <c r="AN1121" s="20">
        <f t="shared" ref="AN1121:AN1152" si="220">+S1121+AM1121</f>
        <v>450000</v>
      </c>
      <c r="AP1121" s="20">
        <f t="shared" si="219"/>
        <v>450000</v>
      </c>
      <c r="AQ1121" s="7">
        <v>3.0000000000000001E-3</v>
      </c>
      <c r="AR1121" s="24"/>
      <c r="AS1121" s="97"/>
    </row>
    <row r="1122" spans="1:45" s="21" customFormat="1" ht="30" customHeight="1" x14ac:dyDescent="0.2">
      <c r="A1122" s="8">
        <v>934</v>
      </c>
      <c r="B1122" s="46">
        <v>3</v>
      </c>
      <c r="C1122" s="16" t="s">
        <v>52</v>
      </c>
      <c r="D1122" s="48">
        <v>1633</v>
      </c>
      <c r="E1122" s="47">
        <v>38</v>
      </c>
      <c r="F1122" s="48">
        <v>1412</v>
      </c>
      <c r="G1122" s="49">
        <v>2</v>
      </c>
      <c r="H1122" s="48">
        <v>0</v>
      </c>
      <c r="I1122" s="48">
        <v>0</v>
      </c>
      <c r="J1122" s="48">
        <v>25</v>
      </c>
      <c r="K1122" s="3"/>
      <c r="L1122" s="16">
        <v>25</v>
      </c>
      <c r="M1122" s="57"/>
      <c r="N1122" s="58"/>
      <c r="P1122" s="16">
        <v>2</v>
      </c>
      <c r="Q1122" s="20">
        <f t="shared" si="213"/>
        <v>25</v>
      </c>
      <c r="R1122" s="14">
        <v>4500</v>
      </c>
      <c r="S1122" s="19">
        <f t="shared" si="214"/>
        <v>112500</v>
      </c>
      <c r="T1122" s="16"/>
      <c r="U1122" s="17" t="s">
        <v>57</v>
      </c>
      <c r="V1122" s="17" t="s">
        <v>56</v>
      </c>
      <c r="W1122" s="4"/>
      <c r="X1122" s="16"/>
      <c r="Y1122" s="5">
        <v>74.25</v>
      </c>
      <c r="Z1122" s="16"/>
      <c r="AA1122" s="16"/>
      <c r="AB1122" s="16"/>
      <c r="AC1122" s="14"/>
      <c r="AD1122" s="14"/>
      <c r="AE1122" s="16"/>
      <c r="AG1122" s="22">
        <f t="shared" si="215"/>
        <v>74.25</v>
      </c>
      <c r="AH1122" s="6"/>
      <c r="AJ1122" s="20">
        <f t="shared" si="216"/>
        <v>0</v>
      </c>
      <c r="AK1122" s="50"/>
      <c r="AL1122" s="6"/>
      <c r="AM1122" s="20">
        <f t="shared" si="217"/>
        <v>0</v>
      </c>
      <c r="AN1122" s="20">
        <f t="shared" si="220"/>
        <v>112500</v>
      </c>
      <c r="AP1122" s="20">
        <f t="shared" si="219"/>
        <v>112500</v>
      </c>
      <c r="AQ1122" s="7"/>
      <c r="AR1122" s="24"/>
      <c r="AS1122" s="97"/>
    </row>
    <row r="1123" spans="1:45" ht="30" customHeight="1" x14ac:dyDescent="0.2">
      <c r="A1123" s="8">
        <v>935</v>
      </c>
      <c r="B1123" s="46">
        <v>4</v>
      </c>
      <c r="C1123" s="16" t="s">
        <v>65</v>
      </c>
      <c r="D1123" s="17">
        <v>2051</v>
      </c>
      <c r="E1123" s="17">
        <v>12</v>
      </c>
      <c r="H1123" s="17">
        <v>2</v>
      </c>
      <c r="I1123" s="17">
        <v>2</v>
      </c>
      <c r="J1123" s="17">
        <v>0</v>
      </c>
      <c r="K1123" s="10">
        <v>1000</v>
      </c>
      <c r="P1123" s="17">
        <v>1</v>
      </c>
      <c r="Q1123" s="20">
        <f t="shared" si="213"/>
        <v>1000</v>
      </c>
      <c r="R1123" s="14">
        <v>3350</v>
      </c>
      <c r="S1123" s="20">
        <f t="shared" si="214"/>
        <v>3350000</v>
      </c>
      <c r="AC1123" s="21"/>
      <c r="AD1123" s="21"/>
      <c r="AG1123" s="22">
        <f t="shared" si="215"/>
        <v>0</v>
      </c>
      <c r="AJ1123" s="20">
        <f t="shared" si="216"/>
        <v>0</v>
      </c>
      <c r="AM1123" s="20">
        <f t="shared" si="217"/>
        <v>0</v>
      </c>
      <c r="AN1123" s="20">
        <f t="shared" si="220"/>
        <v>3350000</v>
      </c>
      <c r="AP1123" s="20">
        <f t="shared" si="219"/>
        <v>3350000</v>
      </c>
      <c r="AQ1123" s="12">
        <v>1E-4</v>
      </c>
      <c r="AR1123" s="24"/>
      <c r="AS1123" s="97"/>
    </row>
    <row r="1124" spans="1:45" ht="30" customHeight="1" x14ac:dyDescent="0.2">
      <c r="A1124" s="8">
        <v>936</v>
      </c>
      <c r="B1124" s="46">
        <v>5</v>
      </c>
      <c r="C1124" s="16" t="s">
        <v>65</v>
      </c>
      <c r="D1124" s="17">
        <v>2052</v>
      </c>
      <c r="E1124" s="17">
        <v>13</v>
      </c>
      <c r="H1124" s="17">
        <v>9</v>
      </c>
      <c r="I1124" s="17">
        <v>2</v>
      </c>
      <c r="J1124" s="17">
        <v>20</v>
      </c>
      <c r="K1124" s="10">
        <f>9*400+220</f>
        <v>3820</v>
      </c>
      <c r="P1124" s="17">
        <v>1</v>
      </c>
      <c r="Q1124" s="20">
        <f t="shared" si="213"/>
        <v>3820</v>
      </c>
      <c r="R1124" s="14">
        <v>250</v>
      </c>
      <c r="S1124" s="19">
        <f t="shared" si="214"/>
        <v>955000</v>
      </c>
      <c r="AG1124" s="22">
        <f t="shared" si="215"/>
        <v>0</v>
      </c>
      <c r="AJ1124" s="20">
        <f t="shared" si="216"/>
        <v>0</v>
      </c>
      <c r="AM1124" s="20">
        <f t="shared" si="217"/>
        <v>0</v>
      </c>
      <c r="AN1124" s="20">
        <f t="shared" si="220"/>
        <v>955000</v>
      </c>
      <c r="AP1124" s="20">
        <f t="shared" si="219"/>
        <v>955000</v>
      </c>
      <c r="AQ1124" s="12">
        <v>1E-4</v>
      </c>
      <c r="AR1124" s="24"/>
      <c r="AS1124" s="97"/>
    </row>
    <row r="1125" spans="1:45" ht="30" customHeight="1" x14ac:dyDescent="0.2">
      <c r="A1125" s="2">
        <v>937</v>
      </c>
      <c r="B1125" s="46">
        <v>6</v>
      </c>
      <c r="C1125" s="16" t="s">
        <v>65</v>
      </c>
      <c r="D1125" s="17">
        <v>2282</v>
      </c>
      <c r="E1125" s="17">
        <v>60</v>
      </c>
      <c r="H1125" s="17">
        <v>21</v>
      </c>
      <c r="I1125" s="17">
        <v>1</v>
      </c>
      <c r="J1125" s="17">
        <v>80</v>
      </c>
      <c r="K1125" s="10">
        <f>21*400+180</f>
        <v>8580</v>
      </c>
      <c r="P1125" s="17">
        <v>1</v>
      </c>
      <c r="Q1125" s="20">
        <f t="shared" si="213"/>
        <v>8580</v>
      </c>
      <c r="R1125" s="14">
        <v>750</v>
      </c>
      <c r="S1125" s="19">
        <f t="shared" si="214"/>
        <v>6435000</v>
      </c>
      <c r="AG1125" s="22">
        <f t="shared" si="215"/>
        <v>0</v>
      </c>
      <c r="AJ1125" s="20">
        <f t="shared" si="216"/>
        <v>0</v>
      </c>
      <c r="AM1125" s="20">
        <f t="shared" si="217"/>
        <v>0</v>
      </c>
      <c r="AN1125" s="20">
        <f t="shared" si="220"/>
        <v>6435000</v>
      </c>
      <c r="AP1125" s="20">
        <f t="shared" si="219"/>
        <v>6435000</v>
      </c>
      <c r="AQ1125" s="12">
        <v>1E-4</v>
      </c>
      <c r="AR1125" s="24"/>
      <c r="AS1125" s="97"/>
    </row>
    <row r="1126" spans="1:45" ht="30" customHeight="1" x14ac:dyDescent="0.2">
      <c r="A1126" s="8">
        <v>938</v>
      </c>
      <c r="B1126" s="46">
        <v>7</v>
      </c>
      <c r="C1126" s="16" t="s">
        <v>65</v>
      </c>
      <c r="D1126" s="17">
        <v>2384</v>
      </c>
      <c r="E1126" s="17">
        <v>20</v>
      </c>
      <c r="H1126" s="17">
        <v>11</v>
      </c>
      <c r="I1126" s="17">
        <v>1</v>
      </c>
      <c r="J1126" s="17">
        <v>50</v>
      </c>
      <c r="K1126" s="10">
        <f>11*400+150</f>
        <v>4550</v>
      </c>
      <c r="P1126" s="17">
        <v>1</v>
      </c>
      <c r="Q1126" s="20">
        <f t="shared" si="213"/>
        <v>4550</v>
      </c>
      <c r="R1126" s="14">
        <v>500</v>
      </c>
      <c r="S1126" s="20">
        <f t="shared" si="214"/>
        <v>2275000</v>
      </c>
      <c r="AG1126" s="22">
        <f t="shared" si="215"/>
        <v>0</v>
      </c>
      <c r="AJ1126" s="20">
        <f t="shared" si="216"/>
        <v>0</v>
      </c>
      <c r="AM1126" s="20">
        <f t="shared" si="217"/>
        <v>0</v>
      </c>
      <c r="AN1126" s="20">
        <f t="shared" si="220"/>
        <v>2275000</v>
      </c>
      <c r="AP1126" s="20">
        <f t="shared" si="219"/>
        <v>2275000</v>
      </c>
      <c r="AQ1126" s="12">
        <v>1E-4</v>
      </c>
      <c r="AR1126" s="24"/>
      <c r="AS1126" s="97"/>
    </row>
    <row r="1127" spans="1:45" ht="30" customHeight="1" x14ac:dyDescent="0.2">
      <c r="A1127" s="8">
        <v>939</v>
      </c>
      <c r="B1127" s="46">
        <v>8</v>
      </c>
      <c r="C1127" s="16" t="s">
        <v>65</v>
      </c>
      <c r="D1127" s="17">
        <v>2601</v>
      </c>
      <c r="E1127" s="17">
        <v>53</v>
      </c>
      <c r="H1127" s="17">
        <v>1</v>
      </c>
      <c r="I1127" s="17">
        <v>3</v>
      </c>
      <c r="J1127" s="17">
        <v>58</v>
      </c>
      <c r="K1127" s="10">
        <f>400+358</f>
        <v>758</v>
      </c>
      <c r="P1127" s="17">
        <v>1</v>
      </c>
      <c r="Q1127" s="20">
        <f t="shared" si="213"/>
        <v>758</v>
      </c>
      <c r="R1127" s="14">
        <v>160</v>
      </c>
      <c r="S1127" s="19">
        <f t="shared" si="214"/>
        <v>121280</v>
      </c>
      <c r="AG1127" s="22">
        <f t="shared" si="215"/>
        <v>0</v>
      </c>
      <c r="AJ1127" s="20">
        <f t="shared" si="216"/>
        <v>0</v>
      </c>
      <c r="AM1127" s="20">
        <f t="shared" si="217"/>
        <v>0</v>
      </c>
      <c r="AN1127" s="20">
        <f t="shared" si="220"/>
        <v>121280</v>
      </c>
      <c r="AP1127" s="20">
        <f t="shared" si="219"/>
        <v>121280</v>
      </c>
      <c r="AQ1127" s="12">
        <v>1E-4</v>
      </c>
      <c r="AR1127" s="24"/>
      <c r="AS1127" s="97"/>
    </row>
    <row r="1128" spans="1:45" ht="30" customHeight="1" x14ac:dyDescent="0.2">
      <c r="A1128" s="2">
        <v>940</v>
      </c>
      <c r="B1128" s="46">
        <v>9</v>
      </c>
      <c r="C1128" s="16" t="s">
        <v>65</v>
      </c>
      <c r="D1128" s="17">
        <v>2049</v>
      </c>
      <c r="E1128" s="17">
        <v>10</v>
      </c>
      <c r="H1128" s="17">
        <v>3</v>
      </c>
      <c r="I1128" s="17">
        <v>2</v>
      </c>
      <c r="J1128" s="17">
        <v>40</v>
      </c>
      <c r="K1128" s="10">
        <v>1440</v>
      </c>
      <c r="P1128" s="17">
        <v>1</v>
      </c>
      <c r="Q1128" s="20">
        <f t="shared" si="213"/>
        <v>1440</v>
      </c>
      <c r="R1128" s="14">
        <v>4500</v>
      </c>
      <c r="S1128" s="19">
        <f t="shared" si="214"/>
        <v>6480000</v>
      </c>
      <c r="AG1128" s="22">
        <f t="shared" si="215"/>
        <v>0</v>
      </c>
      <c r="AJ1128" s="20">
        <f t="shared" si="216"/>
        <v>0</v>
      </c>
      <c r="AM1128" s="20">
        <f t="shared" si="217"/>
        <v>0</v>
      </c>
      <c r="AN1128" s="20">
        <f t="shared" si="220"/>
        <v>6480000</v>
      </c>
      <c r="AP1128" s="20">
        <f t="shared" si="219"/>
        <v>6480000</v>
      </c>
      <c r="AQ1128" s="12">
        <v>1E-4</v>
      </c>
      <c r="AR1128" s="25"/>
      <c r="AS1128" s="98"/>
    </row>
    <row r="1129" spans="1:45" ht="30" customHeight="1" x14ac:dyDescent="0.2">
      <c r="B1129" s="46"/>
      <c r="C1129" s="16"/>
      <c r="Q1129" s="20"/>
      <c r="AG1129" s="22"/>
      <c r="AJ1129" s="20"/>
      <c r="AM1129" s="20"/>
      <c r="AN1129" s="20"/>
      <c r="AP1129" s="20"/>
      <c r="AR1129" s="24"/>
      <c r="AS1129" s="97"/>
    </row>
    <row r="1130" spans="1:45" s="21" customFormat="1" ht="30" customHeight="1" x14ac:dyDescent="0.2">
      <c r="A1130" s="8">
        <v>941</v>
      </c>
      <c r="B1130" s="46">
        <v>1</v>
      </c>
      <c r="C1130" s="16" t="s">
        <v>52</v>
      </c>
      <c r="D1130" s="48">
        <v>2790</v>
      </c>
      <c r="E1130" s="47">
        <v>2</v>
      </c>
      <c r="F1130" s="48">
        <v>1983</v>
      </c>
      <c r="G1130" s="49">
        <v>1</v>
      </c>
      <c r="H1130" s="48">
        <v>9</v>
      </c>
      <c r="I1130" s="48">
        <v>3</v>
      </c>
      <c r="J1130" s="48">
        <v>24</v>
      </c>
      <c r="K1130" s="3">
        <f>9*400+300+24</f>
        <v>3924</v>
      </c>
      <c r="L1130" s="16"/>
      <c r="M1130" s="57"/>
      <c r="N1130" s="58"/>
      <c r="P1130" s="16">
        <v>1</v>
      </c>
      <c r="Q1130" s="20">
        <f t="shared" si="213"/>
        <v>3924</v>
      </c>
      <c r="R1130" s="14">
        <v>160</v>
      </c>
      <c r="S1130" s="20">
        <f t="shared" si="214"/>
        <v>627840</v>
      </c>
      <c r="T1130" s="16"/>
      <c r="U1130" s="17"/>
      <c r="V1130" s="17"/>
      <c r="W1130" s="4"/>
      <c r="X1130" s="16"/>
      <c r="Y1130" s="5"/>
      <c r="Z1130" s="16"/>
      <c r="AA1130" s="16"/>
      <c r="AB1130" s="16"/>
      <c r="AC1130" s="14"/>
      <c r="AD1130" s="14"/>
      <c r="AE1130" s="16"/>
      <c r="AG1130" s="22">
        <f t="shared" si="215"/>
        <v>0</v>
      </c>
      <c r="AH1130" s="6"/>
      <c r="AJ1130" s="20">
        <f t="shared" si="216"/>
        <v>0</v>
      </c>
      <c r="AK1130" s="50"/>
      <c r="AL1130" s="6"/>
      <c r="AM1130" s="20">
        <f t="shared" si="217"/>
        <v>0</v>
      </c>
      <c r="AN1130" s="20">
        <f t="shared" si="220"/>
        <v>627840</v>
      </c>
      <c r="AP1130" s="20">
        <f t="shared" si="219"/>
        <v>627840</v>
      </c>
      <c r="AQ1130" s="7"/>
      <c r="AR1130" s="60"/>
      <c r="AS1130" s="128">
        <f>225+96</f>
        <v>321</v>
      </c>
    </row>
    <row r="1131" spans="1:45" s="21" customFormat="1" ht="30" customHeight="1" x14ac:dyDescent="0.2">
      <c r="A1131" s="2">
        <v>942</v>
      </c>
      <c r="B1131" s="46">
        <v>2</v>
      </c>
      <c r="C1131" s="16" t="s">
        <v>52</v>
      </c>
      <c r="D1131" s="48">
        <v>2791</v>
      </c>
      <c r="E1131" s="47">
        <v>1</v>
      </c>
      <c r="F1131" s="48">
        <v>1984</v>
      </c>
      <c r="G1131" s="49">
        <v>1</v>
      </c>
      <c r="H1131" s="48">
        <v>36</v>
      </c>
      <c r="I1131" s="48">
        <v>2</v>
      </c>
      <c r="J1131" s="48">
        <v>10</v>
      </c>
      <c r="K1131" s="3">
        <f>36*400+200+10</f>
        <v>14610</v>
      </c>
      <c r="L1131" s="16"/>
      <c r="M1131" s="57"/>
      <c r="N1131" s="58"/>
      <c r="P1131" s="16">
        <v>1</v>
      </c>
      <c r="Q1131" s="20">
        <f t="shared" si="213"/>
        <v>14610</v>
      </c>
      <c r="R1131" s="14">
        <v>160</v>
      </c>
      <c r="S1131" s="19">
        <f t="shared" si="214"/>
        <v>2337600</v>
      </c>
      <c r="T1131" s="16"/>
      <c r="U1131" s="16"/>
      <c r="V1131" s="16"/>
      <c r="W1131" s="5"/>
      <c r="X1131" s="16"/>
      <c r="Y1131" s="5"/>
      <c r="Z1131" s="16"/>
      <c r="AA1131" s="16"/>
      <c r="AB1131" s="16"/>
      <c r="AC1131" s="14"/>
      <c r="AD1131" s="14"/>
      <c r="AE1131" s="16"/>
      <c r="AG1131" s="22">
        <f t="shared" si="215"/>
        <v>0</v>
      </c>
      <c r="AH1131" s="6"/>
      <c r="AJ1131" s="20">
        <f t="shared" si="216"/>
        <v>0</v>
      </c>
      <c r="AK1131" s="50"/>
      <c r="AL1131" s="6"/>
      <c r="AM1131" s="20">
        <f t="shared" si="217"/>
        <v>0</v>
      </c>
      <c r="AN1131" s="20">
        <f t="shared" si="220"/>
        <v>2337600</v>
      </c>
      <c r="AP1131" s="20">
        <f t="shared" si="219"/>
        <v>2337600</v>
      </c>
      <c r="AQ1131" s="7"/>
      <c r="AR1131" s="24"/>
      <c r="AS1131" s="129"/>
    </row>
    <row r="1132" spans="1:45" s="21" customFormat="1" ht="30" customHeight="1" x14ac:dyDescent="0.2">
      <c r="A1132" s="8">
        <v>943</v>
      </c>
      <c r="B1132" s="46">
        <v>3</v>
      </c>
      <c r="C1132" s="16" t="s">
        <v>52</v>
      </c>
      <c r="D1132" s="48">
        <v>2794</v>
      </c>
      <c r="E1132" s="47">
        <v>8</v>
      </c>
      <c r="F1132" s="48">
        <v>1987</v>
      </c>
      <c r="G1132" s="49">
        <v>1</v>
      </c>
      <c r="H1132" s="48">
        <v>7</v>
      </c>
      <c r="I1132" s="48">
        <v>0</v>
      </c>
      <c r="J1132" s="48">
        <v>58</v>
      </c>
      <c r="K1132" s="3">
        <f>7*400+58</f>
        <v>2858</v>
      </c>
      <c r="L1132" s="16"/>
      <c r="M1132" s="57"/>
      <c r="N1132" s="58"/>
      <c r="P1132" s="16">
        <v>1</v>
      </c>
      <c r="Q1132" s="20">
        <f t="shared" si="213"/>
        <v>2858</v>
      </c>
      <c r="R1132" s="14">
        <v>160</v>
      </c>
      <c r="S1132" s="19">
        <f t="shared" si="214"/>
        <v>457280</v>
      </c>
      <c r="T1132" s="16"/>
      <c r="U1132" s="17"/>
      <c r="V1132" s="16"/>
      <c r="W1132" s="5"/>
      <c r="X1132" s="16"/>
      <c r="Y1132" s="5"/>
      <c r="Z1132" s="16"/>
      <c r="AA1132" s="16"/>
      <c r="AB1132" s="16"/>
      <c r="AC1132" s="14"/>
      <c r="AD1132" s="14"/>
      <c r="AE1132" s="16"/>
      <c r="AG1132" s="22">
        <f t="shared" si="215"/>
        <v>0</v>
      </c>
      <c r="AH1132" s="6"/>
      <c r="AJ1132" s="20">
        <f t="shared" si="216"/>
        <v>0</v>
      </c>
      <c r="AK1132" s="50"/>
      <c r="AL1132" s="6"/>
      <c r="AM1132" s="20">
        <f t="shared" si="217"/>
        <v>0</v>
      </c>
      <c r="AN1132" s="20">
        <f t="shared" si="220"/>
        <v>457280</v>
      </c>
      <c r="AP1132" s="20">
        <f t="shared" si="219"/>
        <v>457280</v>
      </c>
      <c r="AQ1132" s="7"/>
      <c r="AR1132" s="24"/>
      <c r="AS1132" s="129"/>
    </row>
    <row r="1133" spans="1:45" s="21" customFormat="1" ht="30" customHeight="1" x14ac:dyDescent="0.2">
      <c r="A1133" s="8">
        <v>944</v>
      </c>
      <c r="B1133" s="46">
        <v>4</v>
      </c>
      <c r="C1133" s="16" t="s">
        <v>52</v>
      </c>
      <c r="D1133" s="48">
        <v>2792</v>
      </c>
      <c r="E1133" s="47">
        <v>4</v>
      </c>
      <c r="F1133" s="48">
        <v>1985</v>
      </c>
      <c r="G1133" s="49">
        <v>1</v>
      </c>
      <c r="H1133" s="48">
        <v>15</v>
      </c>
      <c r="I1133" s="48">
        <v>3</v>
      </c>
      <c r="J1133" s="48">
        <v>60</v>
      </c>
      <c r="K1133" s="3">
        <f>15*400+300+60</f>
        <v>6360</v>
      </c>
      <c r="L1133" s="16"/>
      <c r="M1133" s="57"/>
      <c r="N1133" s="58"/>
      <c r="P1133" s="16">
        <v>1</v>
      </c>
      <c r="Q1133" s="20">
        <f t="shared" si="213"/>
        <v>6360</v>
      </c>
      <c r="R1133" s="14">
        <v>160</v>
      </c>
      <c r="S1133" s="19">
        <f t="shared" si="214"/>
        <v>1017600</v>
      </c>
      <c r="T1133" s="16"/>
      <c r="U1133" s="17"/>
      <c r="V1133" s="17"/>
      <c r="W1133" s="4"/>
      <c r="X1133" s="16"/>
      <c r="Y1133" s="5"/>
      <c r="Z1133" s="16"/>
      <c r="AA1133" s="16"/>
      <c r="AB1133" s="16"/>
      <c r="AE1133" s="16"/>
      <c r="AG1133" s="22">
        <f t="shared" si="215"/>
        <v>0</v>
      </c>
      <c r="AH1133" s="6"/>
      <c r="AJ1133" s="20">
        <f t="shared" si="216"/>
        <v>0</v>
      </c>
      <c r="AK1133" s="50"/>
      <c r="AL1133" s="6"/>
      <c r="AM1133" s="20">
        <f t="shared" si="217"/>
        <v>0</v>
      </c>
      <c r="AN1133" s="20">
        <f t="shared" si="220"/>
        <v>1017600</v>
      </c>
      <c r="AP1133" s="20">
        <f t="shared" si="219"/>
        <v>1017600</v>
      </c>
      <c r="AQ1133" s="7"/>
      <c r="AR1133" s="24"/>
      <c r="AS1133" s="129"/>
    </row>
    <row r="1134" spans="1:45" s="21" customFormat="1" ht="30" customHeight="1" x14ac:dyDescent="0.2">
      <c r="A1134" s="2">
        <v>945</v>
      </c>
      <c r="B1134" s="46">
        <v>5</v>
      </c>
      <c r="C1134" s="16" t="s">
        <v>52</v>
      </c>
      <c r="D1134" s="48">
        <v>2793</v>
      </c>
      <c r="E1134" s="47">
        <v>9</v>
      </c>
      <c r="F1134" s="48">
        <v>1986</v>
      </c>
      <c r="G1134" s="49">
        <v>1</v>
      </c>
      <c r="H1134" s="48">
        <v>5</v>
      </c>
      <c r="I1134" s="48">
        <v>2</v>
      </c>
      <c r="J1134" s="48">
        <v>86</v>
      </c>
      <c r="K1134" s="3">
        <f>5*400+200+86</f>
        <v>2286</v>
      </c>
      <c r="L1134" s="16"/>
      <c r="M1134" s="57"/>
      <c r="N1134" s="58"/>
      <c r="P1134" s="16">
        <v>1</v>
      </c>
      <c r="Q1134" s="20">
        <f t="shared" si="213"/>
        <v>2286</v>
      </c>
      <c r="R1134" s="14">
        <v>160</v>
      </c>
      <c r="S1134" s="19">
        <f t="shared" si="214"/>
        <v>365760</v>
      </c>
      <c r="T1134" s="16"/>
      <c r="U1134" s="17"/>
      <c r="V1134" s="17"/>
      <c r="W1134" s="4"/>
      <c r="X1134" s="16"/>
      <c r="Y1134" s="5"/>
      <c r="Z1134" s="16"/>
      <c r="AA1134" s="16"/>
      <c r="AB1134" s="16"/>
      <c r="AE1134" s="16"/>
      <c r="AG1134" s="22">
        <f t="shared" si="215"/>
        <v>0</v>
      </c>
      <c r="AH1134" s="6"/>
      <c r="AJ1134" s="20">
        <f t="shared" si="216"/>
        <v>0</v>
      </c>
      <c r="AK1134" s="50"/>
      <c r="AL1134" s="6"/>
      <c r="AM1134" s="20">
        <f t="shared" si="217"/>
        <v>0</v>
      </c>
      <c r="AN1134" s="20">
        <f t="shared" si="220"/>
        <v>365760</v>
      </c>
      <c r="AP1134" s="20">
        <f t="shared" si="219"/>
        <v>365760</v>
      </c>
      <c r="AQ1134" s="7"/>
      <c r="AR1134" s="24"/>
      <c r="AS1134" s="129"/>
    </row>
    <row r="1135" spans="1:45" s="21" customFormat="1" ht="30" customHeight="1" x14ac:dyDescent="0.2">
      <c r="A1135" s="2">
        <v>946</v>
      </c>
      <c r="B1135" s="46">
        <v>6</v>
      </c>
      <c r="C1135" s="16" t="s">
        <v>52</v>
      </c>
      <c r="D1135" s="48">
        <v>16699</v>
      </c>
      <c r="E1135" s="47">
        <v>75</v>
      </c>
      <c r="F1135" s="48">
        <v>3727</v>
      </c>
      <c r="G1135" s="49">
        <v>3</v>
      </c>
      <c r="H1135" s="48">
        <v>17</v>
      </c>
      <c r="I1135" s="48">
        <v>1</v>
      </c>
      <c r="J1135" s="48">
        <v>69</v>
      </c>
      <c r="K1135" s="3">
        <f>17*400+100+69</f>
        <v>6969</v>
      </c>
      <c r="L1135" s="16"/>
      <c r="M1135" s="57"/>
      <c r="N1135" s="58"/>
      <c r="P1135" s="16">
        <v>1</v>
      </c>
      <c r="Q1135" s="20">
        <f t="shared" si="213"/>
        <v>6969</v>
      </c>
      <c r="R1135" s="14">
        <v>160</v>
      </c>
      <c r="S1135" s="20">
        <f t="shared" si="214"/>
        <v>1115040</v>
      </c>
      <c r="T1135" s="16"/>
      <c r="U1135" s="17"/>
      <c r="V1135" s="17"/>
      <c r="W1135" s="4"/>
      <c r="X1135" s="16"/>
      <c r="Y1135" s="5"/>
      <c r="Z1135" s="16"/>
      <c r="AA1135" s="16"/>
      <c r="AB1135" s="16"/>
      <c r="AE1135" s="16"/>
      <c r="AG1135" s="22">
        <f t="shared" si="215"/>
        <v>0</v>
      </c>
      <c r="AH1135" s="6"/>
      <c r="AJ1135" s="20">
        <f t="shared" si="216"/>
        <v>0</v>
      </c>
      <c r="AK1135" s="50"/>
      <c r="AL1135" s="6"/>
      <c r="AM1135" s="20">
        <f t="shared" si="217"/>
        <v>0</v>
      </c>
      <c r="AN1135" s="20">
        <f t="shared" si="220"/>
        <v>1115040</v>
      </c>
      <c r="AP1135" s="20">
        <f t="shared" si="219"/>
        <v>1115040</v>
      </c>
      <c r="AQ1135" s="7"/>
      <c r="AR1135" s="24"/>
      <c r="AS1135" s="129"/>
    </row>
    <row r="1136" spans="1:45" ht="30" customHeight="1" x14ac:dyDescent="0.2">
      <c r="A1136" s="8">
        <v>947</v>
      </c>
      <c r="B1136" s="46">
        <v>7</v>
      </c>
      <c r="C1136" s="16" t="s">
        <v>65</v>
      </c>
      <c r="D1136" s="17">
        <v>2439</v>
      </c>
      <c r="E1136" s="17">
        <v>105</v>
      </c>
      <c r="H1136" s="17">
        <v>1</v>
      </c>
      <c r="I1136" s="17">
        <v>2</v>
      </c>
      <c r="J1136" s="17">
        <v>6</v>
      </c>
      <c r="K1136" s="10">
        <v>606</v>
      </c>
      <c r="P1136" s="17">
        <v>1</v>
      </c>
      <c r="Q1136" s="20">
        <f t="shared" si="213"/>
        <v>606</v>
      </c>
      <c r="R1136" s="14">
        <v>200</v>
      </c>
      <c r="S1136" s="20">
        <f t="shared" si="214"/>
        <v>121200</v>
      </c>
      <c r="AG1136" s="22">
        <f t="shared" si="215"/>
        <v>0</v>
      </c>
      <c r="AJ1136" s="20">
        <f t="shared" si="216"/>
        <v>0</v>
      </c>
      <c r="AM1136" s="20">
        <f t="shared" si="217"/>
        <v>0</v>
      </c>
      <c r="AN1136" s="20">
        <f t="shared" si="220"/>
        <v>121200</v>
      </c>
      <c r="AP1136" s="20">
        <f t="shared" si="219"/>
        <v>121200</v>
      </c>
      <c r="AQ1136" s="12">
        <v>1E-4</v>
      </c>
      <c r="AR1136" s="25"/>
      <c r="AS1136" s="130"/>
    </row>
    <row r="1137" spans="1:45" s="21" customFormat="1" ht="30" customHeight="1" x14ac:dyDescent="0.2">
      <c r="A1137" s="2">
        <v>948</v>
      </c>
      <c r="B1137" s="46">
        <v>1</v>
      </c>
      <c r="C1137" s="16" t="s">
        <v>52</v>
      </c>
      <c r="D1137" s="48">
        <v>2778</v>
      </c>
      <c r="E1137" s="47">
        <v>18</v>
      </c>
      <c r="F1137" s="48">
        <v>1971</v>
      </c>
      <c r="G1137" s="49">
        <v>1</v>
      </c>
      <c r="H1137" s="48">
        <v>8</v>
      </c>
      <c r="I1137" s="48">
        <v>3</v>
      </c>
      <c r="J1137" s="48">
        <v>16</v>
      </c>
      <c r="K1137" s="3">
        <f>8*400+300+16</f>
        <v>3516</v>
      </c>
      <c r="L1137" s="16"/>
      <c r="M1137" s="57"/>
      <c r="N1137" s="58"/>
      <c r="P1137" s="16">
        <v>1</v>
      </c>
      <c r="Q1137" s="20">
        <f t="shared" si="213"/>
        <v>3516</v>
      </c>
      <c r="R1137" s="14">
        <v>160</v>
      </c>
      <c r="S1137" s="19">
        <f t="shared" si="214"/>
        <v>562560</v>
      </c>
      <c r="T1137" s="16"/>
      <c r="U1137" s="17"/>
      <c r="V1137" s="17"/>
      <c r="W1137" s="4"/>
      <c r="X1137" s="16"/>
      <c r="Y1137" s="5"/>
      <c r="Z1137" s="16"/>
      <c r="AA1137" s="16"/>
      <c r="AB1137" s="16"/>
      <c r="AE1137" s="16"/>
      <c r="AG1137" s="22">
        <f t="shared" si="215"/>
        <v>0</v>
      </c>
      <c r="AH1137" s="6"/>
      <c r="AJ1137" s="20">
        <f t="shared" si="216"/>
        <v>0</v>
      </c>
      <c r="AK1137" s="50"/>
      <c r="AL1137" s="6"/>
      <c r="AM1137" s="20">
        <f t="shared" si="217"/>
        <v>0</v>
      </c>
      <c r="AN1137" s="20">
        <f t="shared" si="220"/>
        <v>562560</v>
      </c>
      <c r="AP1137" s="20">
        <f t="shared" si="219"/>
        <v>562560</v>
      </c>
      <c r="AQ1137" s="7"/>
      <c r="AR1137" s="60"/>
      <c r="AS1137" s="128">
        <v>133</v>
      </c>
    </row>
    <row r="1138" spans="1:45" s="21" customFormat="1" ht="30" customHeight="1" x14ac:dyDescent="0.2">
      <c r="A1138" s="8">
        <v>949</v>
      </c>
      <c r="B1138" s="46">
        <v>2</v>
      </c>
      <c r="C1138" s="16" t="s">
        <v>52</v>
      </c>
      <c r="D1138" s="48">
        <v>2779</v>
      </c>
      <c r="E1138" s="47">
        <v>19</v>
      </c>
      <c r="F1138" s="48">
        <v>1972</v>
      </c>
      <c r="G1138" s="49">
        <v>1</v>
      </c>
      <c r="H1138" s="48">
        <v>35</v>
      </c>
      <c r="I1138" s="48">
        <v>1</v>
      </c>
      <c r="J1138" s="48">
        <v>32</v>
      </c>
      <c r="K1138" s="3">
        <f>35*400+100+32</f>
        <v>14132</v>
      </c>
      <c r="L1138" s="16"/>
      <c r="M1138" s="57"/>
      <c r="N1138" s="58"/>
      <c r="P1138" s="16">
        <v>1</v>
      </c>
      <c r="Q1138" s="20">
        <f t="shared" si="213"/>
        <v>14132</v>
      </c>
      <c r="R1138" s="14">
        <v>160</v>
      </c>
      <c r="S1138" s="19">
        <f t="shared" si="214"/>
        <v>2261120</v>
      </c>
      <c r="T1138" s="16"/>
      <c r="U1138" s="17"/>
      <c r="V1138" s="17"/>
      <c r="W1138" s="4"/>
      <c r="X1138" s="16"/>
      <c r="Y1138" s="5"/>
      <c r="Z1138" s="16"/>
      <c r="AA1138" s="16"/>
      <c r="AB1138" s="16"/>
      <c r="AE1138" s="16"/>
      <c r="AG1138" s="22">
        <f t="shared" si="215"/>
        <v>0</v>
      </c>
      <c r="AH1138" s="6"/>
      <c r="AJ1138" s="20">
        <f t="shared" si="216"/>
        <v>0</v>
      </c>
      <c r="AK1138" s="50"/>
      <c r="AL1138" s="6"/>
      <c r="AM1138" s="20">
        <f t="shared" si="217"/>
        <v>0</v>
      </c>
      <c r="AN1138" s="20">
        <f t="shared" si="220"/>
        <v>2261120</v>
      </c>
      <c r="AP1138" s="20">
        <f t="shared" si="219"/>
        <v>2261120</v>
      </c>
      <c r="AQ1138" s="7"/>
      <c r="AR1138" s="24"/>
      <c r="AS1138" s="129"/>
    </row>
    <row r="1139" spans="1:45" s="21" customFormat="1" ht="30" customHeight="1" x14ac:dyDescent="0.2">
      <c r="A1139" s="2">
        <v>950</v>
      </c>
      <c r="B1139" s="46">
        <v>3</v>
      </c>
      <c r="C1139" s="16" t="s">
        <v>52</v>
      </c>
      <c r="D1139" s="48">
        <v>2782</v>
      </c>
      <c r="E1139" s="47">
        <v>11</v>
      </c>
      <c r="F1139" s="48">
        <v>1975</v>
      </c>
      <c r="G1139" s="49">
        <v>1</v>
      </c>
      <c r="H1139" s="48">
        <v>8</v>
      </c>
      <c r="I1139" s="48">
        <v>1</v>
      </c>
      <c r="J1139" s="48">
        <v>59</v>
      </c>
      <c r="K1139" s="3">
        <f>8*400+159</f>
        <v>3359</v>
      </c>
      <c r="L1139" s="16"/>
      <c r="M1139" s="57"/>
      <c r="N1139" s="58"/>
      <c r="P1139" s="16">
        <v>1</v>
      </c>
      <c r="Q1139" s="20">
        <f t="shared" si="213"/>
        <v>3359</v>
      </c>
      <c r="R1139" s="14">
        <v>160</v>
      </c>
      <c r="S1139" s="20">
        <f t="shared" si="214"/>
        <v>537440</v>
      </c>
      <c r="T1139" s="16"/>
      <c r="U1139" s="16"/>
      <c r="V1139" s="16"/>
      <c r="W1139" s="5"/>
      <c r="X1139" s="16"/>
      <c r="Y1139" s="5"/>
      <c r="Z1139" s="16"/>
      <c r="AA1139" s="16"/>
      <c r="AB1139" s="16"/>
      <c r="AE1139" s="16"/>
      <c r="AG1139" s="22">
        <f t="shared" si="215"/>
        <v>0</v>
      </c>
      <c r="AH1139" s="6"/>
      <c r="AJ1139" s="20">
        <f t="shared" si="216"/>
        <v>0</v>
      </c>
      <c r="AK1139" s="50"/>
      <c r="AL1139" s="6"/>
      <c r="AM1139" s="20">
        <f t="shared" si="217"/>
        <v>0</v>
      </c>
      <c r="AN1139" s="20">
        <f t="shared" si="220"/>
        <v>537440</v>
      </c>
      <c r="AP1139" s="20">
        <f t="shared" si="219"/>
        <v>537440</v>
      </c>
      <c r="AQ1139" s="7"/>
      <c r="AR1139" s="24"/>
      <c r="AS1139" s="129"/>
    </row>
    <row r="1140" spans="1:45" s="21" customFormat="1" ht="30" customHeight="1" x14ac:dyDescent="0.2">
      <c r="A1140" s="8">
        <v>951</v>
      </c>
      <c r="B1140" s="46">
        <v>4</v>
      </c>
      <c r="C1140" s="16" t="s">
        <v>52</v>
      </c>
      <c r="D1140" s="48">
        <v>2783</v>
      </c>
      <c r="E1140" s="47">
        <v>12</v>
      </c>
      <c r="F1140" s="48">
        <v>1976</v>
      </c>
      <c r="G1140" s="49">
        <v>1</v>
      </c>
      <c r="H1140" s="48">
        <v>36</v>
      </c>
      <c r="I1140" s="48">
        <v>0</v>
      </c>
      <c r="J1140" s="48">
        <v>0</v>
      </c>
      <c r="K1140" s="3">
        <f>36*400+0</f>
        <v>14400</v>
      </c>
      <c r="L1140" s="16"/>
      <c r="M1140" s="57"/>
      <c r="N1140" s="58"/>
      <c r="P1140" s="16">
        <v>1</v>
      </c>
      <c r="Q1140" s="20">
        <f t="shared" si="213"/>
        <v>14400</v>
      </c>
      <c r="R1140" s="14">
        <v>160</v>
      </c>
      <c r="S1140" s="19">
        <f t="shared" si="214"/>
        <v>2304000</v>
      </c>
      <c r="T1140" s="16"/>
      <c r="U1140" s="17"/>
      <c r="V1140" s="16"/>
      <c r="W1140" s="5"/>
      <c r="X1140" s="16"/>
      <c r="Y1140" s="5"/>
      <c r="Z1140" s="16"/>
      <c r="AA1140" s="16"/>
      <c r="AB1140" s="16"/>
      <c r="AE1140" s="16"/>
      <c r="AG1140" s="22">
        <f t="shared" si="215"/>
        <v>0</v>
      </c>
      <c r="AH1140" s="6"/>
      <c r="AJ1140" s="20">
        <f t="shared" si="216"/>
        <v>0</v>
      </c>
      <c r="AK1140" s="50"/>
      <c r="AL1140" s="6"/>
      <c r="AM1140" s="20">
        <f t="shared" si="217"/>
        <v>0</v>
      </c>
      <c r="AN1140" s="20">
        <f t="shared" si="220"/>
        <v>2304000</v>
      </c>
      <c r="AP1140" s="20">
        <f t="shared" si="219"/>
        <v>2304000</v>
      </c>
      <c r="AQ1140" s="7"/>
      <c r="AR1140" s="25"/>
      <c r="AS1140" s="130"/>
    </row>
    <row r="1141" spans="1:45" s="21" customFormat="1" ht="30" customHeight="1" x14ac:dyDescent="0.2">
      <c r="A1141" s="2">
        <v>952</v>
      </c>
      <c r="B1141" s="46">
        <v>1</v>
      </c>
      <c r="C1141" s="16" t="s">
        <v>52</v>
      </c>
      <c r="D1141" s="48">
        <v>2748</v>
      </c>
      <c r="E1141" s="47">
        <v>17</v>
      </c>
      <c r="F1141" s="48">
        <v>1937</v>
      </c>
      <c r="G1141" s="49">
        <v>1</v>
      </c>
      <c r="H1141" s="48">
        <v>35</v>
      </c>
      <c r="I1141" s="48">
        <v>3</v>
      </c>
      <c r="J1141" s="48">
        <v>5</v>
      </c>
      <c r="K1141" s="3">
        <f>35*400+305</f>
        <v>14305</v>
      </c>
      <c r="L1141" s="16"/>
      <c r="M1141" s="57"/>
      <c r="N1141" s="58"/>
      <c r="P1141" s="16">
        <v>1</v>
      </c>
      <c r="Q1141" s="20">
        <f t="shared" si="213"/>
        <v>14305</v>
      </c>
      <c r="R1141" s="14">
        <v>200</v>
      </c>
      <c r="S1141" s="19">
        <f t="shared" si="214"/>
        <v>2861000</v>
      </c>
      <c r="T1141" s="16"/>
      <c r="U1141" s="17"/>
      <c r="V1141" s="17"/>
      <c r="W1141" s="4"/>
      <c r="X1141" s="16"/>
      <c r="Y1141" s="5"/>
      <c r="Z1141" s="16"/>
      <c r="AA1141" s="16"/>
      <c r="AB1141" s="16"/>
      <c r="AE1141" s="16"/>
      <c r="AG1141" s="22">
        <f t="shared" si="215"/>
        <v>0</v>
      </c>
      <c r="AH1141" s="6"/>
      <c r="AJ1141" s="20">
        <f t="shared" si="216"/>
        <v>0</v>
      </c>
      <c r="AK1141" s="50"/>
      <c r="AL1141" s="6"/>
      <c r="AM1141" s="20">
        <f t="shared" si="217"/>
        <v>0</v>
      </c>
      <c r="AN1141" s="20">
        <f t="shared" si="220"/>
        <v>2861000</v>
      </c>
      <c r="AP1141" s="20">
        <f t="shared" si="219"/>
        <v>2861000</v>
      </c>
      <c r="AQ1141" s="7"/>
      <c r="AR1141" s="60"/>
      <c r="AS1141" s="128">
        <f>242+72</f>
        <v>314</v>
      </c>
    </row>
    <row r="1142" spans="1:45" s="21" customFormat="1" ht="30" customHeight="1" x14ac:dyDescent="0.2">
      <c r="A1142" s="8">
        <v>953</v>
      </c>
      <c r="B1142" s="46">
        <v>2</v>
      </c>
      <c r="C1142" s="16" t="s">
        <v>52</v>
      </c>
      <c r="D1142" s="48">
        <v>2749</v>
      </c>
      <c r="E1142" s="47">
        <v>16</v>
      </c>
      <c r="F1142" s="48">
        <v>1938</v>
      </c>
      <c r="G1142" s="49">
        <v>1</v>
      </c>
      <c r="H1142" s="48">
        <v>8</v>
      </c>
      <c r="I1142" s="48">
        <v>1</v>
      </c>
      <c r="J1142" s="48">
        <v>29</v>
      </c>
      <c r="K1142" s="3">
        <f>8*400+129</f>
        <v>3329</v>
      </c>
      <c r="L1142" s="16"/>
      <c r="M1142" s="57"/>
      <c r="N1142" s="58"/>
      <c r="P1142" s="16">
        <v>1</v>
      </c>
      <c r="Q1142" s="20">
        <f t="shared" si="213"/>
        <v>3329</v>
      </c>
      <c r="R1142" s="14">
        <v>200</v>
      </c>
      <c r="S1142" s="20">
        <f t="shared" si="214"/>
        <v>665800</v>
      </c>
      <c r="T1142" s="16"/>
      <c r="U1142" s="17"/>
      <c r="V1142" s="17"/>
      <c r="W1142" s="4"/>
      <c r="X1142" s="16"/>
      <c r="Y1142" s="5"/>
      <c r="Z1142" s="16"/>
      <c r="AA1142" s="16"/>
      <c r="AB1142" s="16"/>
      <c r="AE1142" s="16"/>
      <c r="AG1142" s="22">
        <f t="shared" si="215"/>
        <v>0</v>
      </c>
      <c r="AH1142" s="6"/>
      <c r="AJ1142" s="20">
        <f t="shared" si="216"/>
        <v>0</v>
      </c>
      <c r="AK1142" s="50"/>
      <c r="AL1142" s="6"/>
      <c r="AM1142" s="20">
        <f t="shared" si="217"/>
        <v>0</v>
      </c>
      <c r="AN1142" s="20">
        <f t="shared" si="220"/>
        <v>665800</v>
      </c>
      <c r="AP1142" s="20">
        <f t="shared" si="219"/>
        <v>665800</v>
      </c>
      <c r="AQ1142" s="7"/>
      <c r="AR1142" s="24"/>
      <c r="AS1142" s="129"/>
    </row>
    <row r="1143" spans="1:45" s="21" customFormat="1" ht="30" customHeight="1" x14ac:dyDescent="0.2">
      <c r="A1143" s="2">
        <v>954</v>
      </c>
      <c r="B1143" s="46">
        <v>3</v>
      </c>
      <c r="C1143" s="16" t="s">
        <v>52</v>
      </c>
      <c r="D1143" s="48">
        <v>5095</v>
      </c>
      <c r="E1143" s="47">
        <v>6</v>
      </c>
      <c r="F1143" s="48">
        <v>2860</v>
      </c>
      <c r="G1143" s="49">
        <v>7</v>
      </c>
      <c r="H1143" s="48">
        <v>24</v>
      </c>
      <c r="I1143" s="48">
        <v>0</v>
      </c>
      <c r="J1143" s="48">
        <v>61</v>
      </c>
      <c r="K1143" s="3">
        <f>24*400+61</f>
        <v>9661</v>
      </c>
      <c r="L1143" s="16"/>
      <c r="M1143" s="57"/>
      <c r="N1143" s="58"/>
      <c r="P1143" s="16">
        <v>1</v>
      </c>
      <c r="Q1143" s="20">
        <f t="shared" si="213"/>
        <v>9661</v>
      </c>
      <c r="R1143" s="14">
        <v>160</v>
      </c>
      <c r="S1143" s="19">
        <f t="shared" si="214"/>
        <v>1545760</v>
      </c>
      <c r="T1143" s="16"/>
      <c r="U1143" s="17"/>
      <c r="V1143" s="17"/>
      <c r="W1143" s="4"/>
      <c r="X1143" s="16"/>
      <c r="Y1143" s="5"/>
      <c r="Z1143" s="16"/>
      <c r="AA1143" s="16"/>
      <c r="AB1143" s="16"/>
      <c r="AE1143" s="16"/>
      <c r="AG1143" s="22">
        <f t="shared" si="215"/>
        <v>0</v>
      </c>
      <c r="AH1143" s="6"/>
      <c r="AJ1143" s="20">
        <f t="shared" si="216"/>
        <v>0</v>
      </c>
      <c r="AK1143" s="50"/>
      <c r="AL1143" s="6"/>
      <c r="AM1143" s="20">
        <f t="shared" si="217"/>
        <v>0</v>
      </c>
      <c r="AN1143" s="20">
        <f t="shared" si="220"/>
        <v>1545760</v>
      </c>
      <c r="AP1143" s="20">
        <f t="shared" si="219"/>
        <v>1545760</v>
      </c>
      <c r="AQ1143" s="7"/>
      <c r="AR1143" s="25"/>
      <c r="AS1143" s="130"/>
    </row>
    <row r="1144" spans="1:45" s="21" customFormat="1" ht="30" customHeight="1" x14ac:dyDescent="0.2">
      <c r="A1144" s="8">
        <v>955</v>
      </c>
      <c r="B1144" s="46">
        <v>1</v>
      </c>
      <c r="C1144" s="16" t="s">
        <v>52</v>
      </c>
      <c r="D1144" s="48">
        <v>5121</v>
      </c>
      <c r="E1144" s="47">
        <v>7</v>
      </c>
      <c r="F1144" s="48">
        <v>2861</v>
      </c>
      <c r="G1144" s="49">
        <v>7</v>
      </c>
      <c r="H1144" s="48">
        <v>26</v>
      </c>
      <c r="I1144" s="48">
        <v>1</v>
      </c>
      <c r="J1144" s="48">
        <v>79</v>
      </c>
      <c r="K1144" s="3">
        <f>26*400+179</f>
        <v>10579</v>
      </c>
      <c r="L1144" s="16"/>
      <c r="M1144" s="57"/>
      <c r="N1144" s="58"/>
      <c r="P1144" s="16">
        <v>1</v>
      </c>
      <c r="Q1144" s="20">
        <f t="shared" si="213"/>
        <v>10579</v>
      </c>
      <c r="R1144" s="14">
        <v>160</v>
      </c>
      <c r="S1144" s="19">
        <f t="shared" si="214"/>
        <v>1692640</v>
      </c>
      <c r="T1144" s="16"/>
      <c r="U1144" s="17"/>
      <c r="V1144" s="17"/>
      <c r="W1144" s="4"/>
      <c r="X1144" s="16"/>
      <c r="Y1144" s="5"/>
      <c r="Z1144" s="16"/>
      <c r="AA1144" s="16"/>
      <c r="AB1144" s="16"/>
      <c r="AE1144" s="16"/>
      <c r="AG1144" s="22">
        <f t="shared" si="215"/>
        <v>0</v>
      </c>
      <c r="AH1144" s="6"/>
      <c r="AJ1144" s="20">
        <f t="shared" si="216"/>
        <v>0</v>
      </c>
      <c r="AK1144" s="50"/>
      <c r="AL1144" s="6"/>
      <c r="AM1144" s="20">
        <f t="shared" si="217"/>
        <v>0</v>
      </c>
      <c r="AN1144" s="20">
        <f t="shared" si="220"/>
        <v>1692640</v>
      </c>
      <c r="AP1144" s="20">
        <f t="shared" si="219"/>
        <v>1692640</v>
      </c>
      <c r="AQ1144" s="7"/>
      <c r="AR1144" s="20"/>
      <c r="AS1144" s="51">
        <v>145</v>
      </c>
    </row>
    <row r="1145" spans="1:45" ht="30" customHeight="1" x14ac:dyDescent="0.2">
      <c r="A1145" s="2">
        <v>956</v>
      </c>
      <c r="B1145" s="13">
        <v>1</v>
      </c>
      <c r="C1145" s="16" t="s">
        <v>69</v>
      </c>
      <c r="E1145" s="17">
        <v>1495</v>
      </c>
      <c r="F1145" s="17">
        <v>1</v>
      </c>
      <c r="G1145" s="13">
        <v>6</v>
      </c>
      <c r="H1145" s="17">
        <v>81</v>
      </c>
      <c r="I1145" s="17">
        <v>2</v>
      </c>
      <c r="J1145" s="17">
        <v>44</v>
      </c>
      <c r="K1145" s="10">
        <v>32644</v>
      </c>
      <c r="P1145" s="17">
        <v>1</v>
      </c>
      <c r="Q1145" s="20">
        <f t="shared" si="213"/>
        <v>32644</v>
      </c>
      <c r="R1145" s="14">
        <v>160</v>
      </c>
      <c r="S1145" s="20">
        <f t="shared" si="214"/>
        <v>5223040</v>
      </c>
      <c r="AG1145" s="22">
        <f t="shared" si="215"/>
        <v>0</v>
      </c>
      <c r="AJ1145" s="20">
        <f t="shared" si="216"/>
        <v>0</v>
      </c>
      <c r="AM1145" s="20">
        <f t="shared" si="217"/>
        <v>0</v>
      </c>
      <c r="AN1145" s="20">
        <f t="shared" si="220"/>
        <v>5223040</v>
      </c>
      <c r="AP1145" s="20">
        <f t="shared" si="219"/>
        <v>5223040</v>
      </c>
      <c r="AQ1145" s="12">
        <v>1E-4</v>
      </c>
      <c r="AR1145" s="20"/>
    </row>
    <row r="1146" spans="1:45" ht="30" customHeight="1" x14ac:dyDescent="0.2">
      <c r="A1146" s="8"/>
      <c r="C1146" s="16"/>
      <c r="Q1146" s="20"/>
      <c r="AG1146" s="22"/>
      <c r="AJ1146" s="20"/>
      <c r="AM1146" s="20"/>
      <c r="AN1146" s="20"/>
      <c r="AP1146" s="20"/>
      <c r="AR1146" s="60"/>
      <c r="AS1146" s="123">
        <v>16</v>
      </c>
    </row>
    <row r="1147" spans="1:45" ht="30" customHeight="1" x14ac:dyDescent="0.2">
      <c r="A1147" s="2">
        <v>957</v>
      </c>
      <c r="B1147" s="13">
        <v>2</v>
      </c>
      <c r="C1147" s="16" t="s">
        <v>65</v>
      </c>
      <c r="D1147" s="17">
        <v>1092</v>
      </c>
      <c r="E1147" s="17">
        <v>48</v>
      </c>
      <c r="H1147" s="17">
        <v>15</v>
      </c>
      <c r="I1147" s="17">
        <v>1</v>
      </c>
      <c r="J1147" s="17">
        <v>60</v>
      </c>
      <c r="K1147" s="10">
        <f>15*400+160</f>
        <v>6160</v>
      </c>
      <c r="P1147" s="17">
        <v>1</v>
      </c>
      <c r="Q1147" s="20">
        <f t="shared" si="213"/>
        <v>6160</v>
      </c>
      <c r="R1147" s="14">
        <v>160</v>
      </c>
      <c r="S1147" s="19">
        <f t="shared" si="214"/>
        <v>985600</v>
      </c>
      <c r="AG1147" s="22">
        <f t="shared" si="215"/>
        <v>0</v>
      </c>
      <c r="AJ1147" s="20">
        <f t="shared" si="216"/>
        <v>0</v>
      </c>
      <c r="AM1147" s="20">
        <f t="shared" si="217"/>
        <v>0</v>
      </c>
      <c r="AN1147" s="20">
        <f t="shared" si="220"/>
        <v>985600</v>
      </c>
      <c r="AP1147" s="20">
        <f t="shared" si="219"/>
        <v>985600</v>
      </c>
      <c r="AQ1147" s="12">
        <v>1E-4</v>
      </c>
      <c r="AR1147" s="24"/>
      <c r="AS1147" s="124"/>
    </row>
    <row r="1148" spans="1:45" ht="30" customHeight="1" x14ac:dyDescent="0.2">
      <c r="A1148" s="8">
        <v>958</v>
      </c>
      <c r="B1148" s="13">
        <v>3</v>
      </c>
      <c r="C1148" s="16" t="s">
        <v>65</v>
      </c>
      <c r="D1148" s="17">
        <v>1093</v>
      </c>
      <c r="E1148" s="17">
        <v>49</v>
      </c>
      <c r="H1148" s="17">
        <v>7</v>
      </c>
      <c r="I1148" s="17">
        <v>2</v>
      </c>
      <c r="J1148" s="17">
        <v>70</v>
      </c>
      <c r="K1148" s="10">
        <f>7*400+270</f>
        <v>3070</v>
      </c>
      <c r="P1148" s="17">
        <v>1</v>
      </c>
      <c r="Q1148" s="20">
        <f t="shared" si="213"/>
        <v>3070</v>
      </c>
      <c r="R1148" s="14">
        <v>160</v>
      </c>
      <c r="S1148" s="20">
        <f t="shared" si="214"/>
        <v>491200</v>
      </c>
      <c r="AC1148" s="21"/>
      <c r="AD1148" s="21"/>
      <c r="AG1148" s="22">
        <f t="shared" si="215"/>
        <v>0</v>
      </c>
      <c r="AJ1148" s="20">
        <f t="shared" si="216"/>
        <v>0</v>
      </c>
      <c r="AM1148" s="20">
        <f t="shared" si="217"/>
        <v>0</v>
      </c>
      <c r="AN1148" s="20">
        <f t="shared" si="220"/>
        <v>491200</v>
      </c>
      <c r="AP1148" s="20">
        <f t="shared" si="219"/>
        <v>491200</v>
      </c>
      <c r="AQ1148" s="12">
        <v>1E-4</v>
      </c>
      <c r="AR1148" s="24"/>
      <c r="AS1148" s="124"/>
    </row>
    <row r="1149" spans="1:45" ht="30" customHeight="1" x14ac:dyDescent="0.2">
      <c r="A1149" s="2">
        <v>959</v>
      </c>
      <c r="B1149" s="13">
        <v>4</v>
      </c>
      <c r="C1149" s="16" t="s">
        <v>65</v>
      </c>
      <c r="D1149" s="17">
        <v>1373</v>
      </c>
      <c r="E1149" s="17">
        <v>61</v>
      </c>
      <c r="H1149" s="17">
        <v>15</v>
      </c>
      <c r="I1149" s="17">
        <v>3</v>
      </c>
      <c r="J1149" s="17">
        <v>65</v>
      </c>
      <c r="K1149" s="10">
        <f>15*400+365</f>
        <v>6365</v>
      </c>
      <c r="P1149" s="17">
        <v>1</v>
      </c>
      <c r="Q1149" s="20">
        <f t="shared" si="213"/>
        <v>6365</v>
      </c>
      <c r="R1149" s="14">
        <v>160</v>
      </c>
      <c r="S1149" s="19">
        <f t="shared" si="214"/>
        <v>1018400</v>
      </c>
      <c r="AC1149" s="21"/>
      <c r="AD1149" s="21"/>
      <c r="AG1149" s="22">
        <f t="shared" si="215"/>
        <v>0</v>
      </c>
      <c r="AJ1149" s="20">
        <f t="shared" si="216"/>
        <v>0</v>
      </c>
      <c r="AM1149" s="20">
        <f t="shared" si="217"/>
        <v>0</v>
      </c>
      <c r="AN1149" s="20">
        <f t="shared" si="220"/>
        <v>1018400</v>
      </c>
      <c r="AP1149" s="20">
        <f t="shared" si="219"/>
        <v>1018400</v>
      </c>
      <c r="AQ1149" s="12">
        <v>1E-4</v>
      </c>
      <c r="AR1149" s="24"/>
      <c r="AS1149" s="124"/>
    </row>
    <row r="1150" spans="1:45" ht="30" customHeight="1" x14ac:dyDescent="0.2">
      <c r="A1150" s="8">
        <v>960</v>
      </c>
      <c r="B1150" s="13">
        <v>5</v>
      </c>
      <c r="C1150" s="16" t="s">
        <v>65</v>
      </c>
      <c r="D1150" s="17">
        <v>1855</v>
      </c>
      <c r="E1150" s="17">
        <v>112</v>
      </c>
      <c r="H1150" s="17">
        <v>11</v>
      </c>
      <c r="I1150" s="17">
        <v>1</v>
      </c>
      <c r="J1150" s="17">
        <v>16</v>
      </c>
      <c r="K1150" s="10">
        <f>11*400+116</f>
        <v>4516</v>
      </c>
      <c r="P1150" s="17">
        <v>1</v>
      </c>
      <c r="Q1150" s="20">
        <f t="shared" si="213"/>
        <v>4516</v>
      </c>
      <c r="R1150" s="14">
        <v>160</v>
      </c>
      <c r="S1150" s="19">
        <f t="shared" si="214"/>
        <v>722560</v>
      </c>
      <c r="AC1150" s="21"/>
      <c r="AD1150" s="21"/>
      <c r="AG1150" s="22">
        <f t="shared" si="215"/>
        <v>0</v>
      </c>
      <c r="AJ1150" s="20">
        <f t="shared" si="216"/>
        <v>0</v>
      </c>
      <c r="AM1150" s="20">
        <f t="shared" si="217"/>
        <v>0</v>
      </c>
      <c r="AN1150" s="20">
        <f t="shared" si="220"/>
        <v>722560</v>
      </c>
      <c r="AP1150" s="20">
        <f t="shared" si="219"/>
        <v>722560</v>
      </c>
      <c r="AQ1150" s="12">
        <v>1E-4</v>
      </c>
      <c r="AR1150" s="24"/>
      <c r="AS1150" s="124"/>
    </row>
    <row r="1151" spans="1:45" ht="30" customHeight="1" x14ac:dyDescent="0.2">
      <c r="A1151" s="2">
        <v>961</v>
      </c>
      <c r="B1151" s="13">
        <v>1</v>
      </c>
      <c r="C1151" s="16" t="s">
        <v>65</v>
      </c>
      <c r="D1151" s="17">
        <v>2019</v>
      </c>
      <c r="E1151" s="17">
        <v>114</v>
      </c>
      <c r="H1151" s="17">
        <v>5</v>
      </c>
      <c r="I1151" s="17">
        <v>0</v>
      </c>
      <c r="J1151" s="17">
        <v>80</v>
      </c>
      <c r="K1151" s="10">
        <f>5*400+80</f>
        <v>2080</v>
      </c>
      <c r="P1151" s="17">
        <v>1</v>
      </c>
      <c r="Q1151" s="20">
        <f t="shared" si="213"/>
        <v>2080</v>
      </c>
      <c r="R1151" s="14">
        <v>160</v>
      </c>
      <c r="S1151" s="20">
        <f t="shared" si="214"/>
        <v>332800</v>
      </c>
      <c r="AC1151" s="21"/>
      <c r="AD1151" s="21"/>
      <c r="AG1151" s="22">
        <f t="shared" si="215"/>
        <v>0</v>
      </c>
      <c r="AJ1151" s="20">
        <f t="shared" si="216"/>
        <v>0</v>
      </c>
      <c r="AM1151" s="20">
        <f t="shared" si="217"/>
        <v>0</v>
      </c>
      <c r="AN1151" s="20">
        <f t="shared" si="220"/>
        <v>332800</v>
      </c>
      <c r="AP1151" s="20">
        <f t="shared" si="219"/>
        <v>332800</v>
      </c>
      <c r="AQ1151" s="12">
        <v>1E-4</v>
      </c>
      <c r="AR1151" s="24"/>
      <c r="AS1151" s="124"/>
    </row>
    <row r="1152" spans="1:45" ht="30" customHeight="1" x14ac:dyDescent="0.2">
      <c r="A1152" s="8">
        <v>962</v>
      </c>
      <c r="B1152" s="13">
        <v>2</v>
      </c>
      <c r="C1152" s="16" t="s">
        <v>69</v>
      </c>
      <c r="E1152" s="17">
        <v>1503</v>
      </c>
      <c r="F1152" s="17">
        <v>4</v>
      </c>
      <c r="G1152" s="13">
        <v>6</v>
      </c>
      <c r="H1152" s="17">
        <v>80</v>
      </c>
      <c r="I1152" s="17">
        <v>2</v>
      </c>
      <c r="J1152" s="17">
        <v>39</v>
      </c>
      <c r="K1152" s="10">
        <v>32239</v>
      </c>
      <c r="P1152" s="17">
        <v>1</v>
      </c>
      <c r="Q1152" s="20">
        <f t="shared" si="213"/>
        <v>32239</v>
      </c>
      <c r="R1152" s="14">
        <v>160</v>
      </c>
      <c r="S1152" s="19">
        <f t="shared" si="214"/>
        <v>5158240</v>
      </c>
      <c r="AG1152" s="22">
        <f t="shared" si="215"/>
        <v>0</v>
      </c>
      <c r="AJ1152" s="20">
        <f t="shared" si="216"/>
        <v>0</v>
      </c>
      <c r="AM1152" s="20">
        <f t="shared" si="217"/>
        <v>0</v>
      </c>
      <c r="AN1152" s="20">
        <f t="shared" si="220"/>
        <v>5158240</v>
      </c>
      <c r="AP1152" s="20">
        <f t="shared" si="219"/>
        <v>5158240</v>
      </c>
      <c r="AQ1152" s="12">
        <v>1E-4</v>
      </c>
      <c r="AR1152" s="25"/>
      <c r="AS1152" s="125"/>
    </row>
    <row r="1153" spans="1:45" ht="30" customHeight="1" x14ac:dyDescent="0.2">
      <c r="A1153" s="2">
        <v>963</v>
      </c>
      <c r="B1153" s="13">
        <v>1</v>
      </c>
      <c r="C1153" s="16" t="s">
        <v>65</v>
      </c>
      <c r="D1153" s="17">
        <v>1108</v>
      </c>
      <c r="E1153" s="17">
        <v>17</v>
      </c>
      <c r="H1153" s="17">
        <v>36</v>
      </c>
      <c r="I1153" s="17">
        <v>1</v>
      </c>
      <c r="J1153" s="17">
        <v>90</v>
      </c>
      <c r="K1153" s="10">
        <f>36*400+190</f>
        <v>14590</v>
      </c>
      <c r="P1153" s="17">
        <v>1</v>
      </c>
      <c r="Q1153" s="20">
        <f t="shared" ref="Q1153:Q1216" si="221">+(H1153*400)+(I1153*100)+J1153</f>
        <v>14590</v>
      </c>
      <c r="R1153" s="14">
        <v>250</v>
      </c>
      <c r="S1153" s="19">
        <f t="shared" ref="S1153:S1188" si="222">+Q1153*R1153</f>
        <v>3647500</v>
      </c>
      <c r="AC1153" s="21"/>
      <c r="AD1153" s="21"/>
      <c r="AG1153" s="22">
        <f t="shared" ref="AG1153:AG1182" si="223">Y1153</f>
        <v>0</v>
      </c>
      <c r="AJ1153" s="20">
        <f t="shared" ref="AJ1153:AJ1182" si="224">+AG1153*AH1153*AI1153</f>
        <v>0</v>
      </c>
      <c r="AM1153" s="20">
        <f t="shared" ref="AM1153:AM1182" si="225">+AJ1153-(AL1153*AJ1153)</f>
        <v>0</v>
      </c>
      <c r="AN1153" s="20">
        <f t="shared" ref="AN1153:AN1182" si="226">+S1153+AM1153</f>
        <v>3647500</v>
      </c>
      <c r="AP1153" s="20">
        <f t="shared" ref="AP1153:AP1182" si="227">AN1153</f>
        <v>3647500</v>
      </c>
      <c r="AQ1153" s="12">
        <v>1E-4</v>
      </c>
      <c r="AR1153" s="60"/>
      <c r="AS1153" s="123">
        <v>153</v>
      </c>
    </row>
    <row r="1154" spans="1:45" ht="30" customHeight="1" x14ac:dyDescent="0.2">
      <c r="A1154" s="8">
        <v>964</v>
      </c>
      <c r="B1154" s="13">
        <v>2</v>
      </c>
      <c r="C1154" s="16" t="s">
        <v>65</v>
      </c>
      <c r="D1154" s="17">
        <v>1109</v>
      </c>
      <c r="E1154" s="17">
        <v>18</v>
      </c>
      <c r="H1154" s="17">
        <v>14</v>
      </c>
      <c r="I1154" s="17">
        <v>1</v>
      </c>
      <c r="J1154" s="17">
        <v>70</v>
      </c>
      <c r="K1154" s="10">
        <f>14*400+170</f>
        <v>5770</v>
      </c>
      <c r="P1154" s="17">
        <v>1</v>
      </c>
      <c r="Q1154" s="20">
        <f t="shared" si="221"/>
        <v>5770</v>
      </c>
      <c r="R1154" s="14">
        <v>160</v>
      </c>
      <c r="S1154" s="20">
        <f t="shared" si="222"/>
        <v>923200</v>
      </c>
      <c r="AC1154" s="21"/>
      <c r="AD1154" s="21"/>
      <c r="AG1154" s="22">
        <f t="shared" si="223"/>
        <v>0</v>
      </c>
      <c r="AJ1154" s="20">
        <f t="shared" si="224"/>
        <v>0</v>
      </c>
      <c r="AM1154" s="20">
        <f t="shared" si="225"/>
        <v>0</v>
      </c>
      <c r="AN1154" s="20">
        <f t="shared" si="226"/>
        <v>923200</v>
      </c>
      <c r="AP1154" s="20">
        <f t="shared" si="227"/>
        <v>923200</v>
      </c>
      <c r="AQ1154" s="12">
        <v>1E-4</v>
      </c>
      <c r="AR1154" s="25"/>
      <c r="AS1154" s="125"/>
    </row>
    <row r="1155" spans="1:45" ht="30" customHeight="1" x14ac:dyDescent="0.2">
      <c r="A1155" s="2">
        <v>965</v>
      </c>
      <c r="B1155" s="13">
        <v>1</v>
      </c>
      <c r="C1155" s="16" t="s">
        <v>65</v>
      </c>
      <c r="D1155" s="17">
        <v>2055</v>
      </c>
      <c r="E1155" s="17">
        <v>3</v>
      </c>
      <c r="H1155" s="17">
        <v>11</v>
      </c>
      <c r="I1155" s="17">
        <v>2</v>
      </c>
      <c r="J1155" s="17">
        <v>10</v>
      </c>
      <c r="K1155" s="10">
        <f>11*400+210</f>
        <v>4610</v>
      </c>
      <c r="P1155" s="17">
        <v>1</v>
      </c>
      <c r="Q1155" s="20">
        <f t="shared" si="221"/>
        <v>4610</v>
      </c>
      <c r="R1155" s="14">
        <v>160</v>
      </c>
      <c r="S1155" s="19">
        <f t="shared" si="222"/>
        <v>737600</v>
      </c>
      <c r="AC1155" s="21"/>
      <c r="AD1155" s="21"/>
      <c r="AG1155" s="22">
        <f t="shared" si="223"/>
        <v>0</v>
      </c>
      <c r="AJ1155" s="20">
        <f t="shared" si="224"/>
        <v>0</v>
      </c>
      <c r="AM1155" s="20">
        <f t="shared" si="225"/>
        <v>0</v>
      </c>
      <c r="AN1155" s="20">
        <f t="shared" si="226"/>
        <v>737600</v>
      </c>
      <c r="AP1155" s="20">
        <f t="shared" si="227"/>
        <v>737600</v>
      </c>
      <c r="AQ1155" s="12">
        <v>1E-4</v>
      </c>
      <c r="AR1155" s="20"/>
    </row>
    <row r="1156" spans="1:45" ht="30" customHeight="1" x14ac:dyDescent="0.2">
      <c r="A1156" s="8">
        <v>966</v>
      </c>
      <c r="B1156" s="13">
        <v>1</v>
      </c>
      <c r="C1156" s="16" t="s">
        <v>65</v>
      </c>
      <c r="D1156" s="17">
        <v>1354</v>
      </c>
      <c r="E1156" s="17">
        <v>4</v>
      </c>
      <c r="H1156" s="17">
        <v>21</v>
      </c>
      <c r="I1156" s="17">
        <v>2</v>
      </c>
      <c r="J1156" s="17">
        <v>0</v>
      </c>
      <c r="K1156" s="10">
        <f>21*400+200</f>
        <v>8600</v>
      </c>
      <c r="P1156" s="17">
        <v>1</v>
      </c>
      <c r="Q1156" s="20">
        <f t="shared" si="221"/>
        <v>8600</v>
      </c>
      <c r="R1156" s="14">
        <v>160</v>
      </c>
      <c r="S1156" s="19">
        <f t="shared" si="222"/>
        <v>1376000</v>
      </c>
      <c r="AC1156" s="21"/>
      <c r="AD1156" s="21"/>
      <c r="AE1156" s="17" t="s">
        <v>95</v>
      </c>
      <c r="AG1156" s="22">
        <f t="shared" si="223"/>
        <v>0</v>
      </c>
      <c r="AJ1156" s="20">
        <f t="shared" si="224"/>
        <v>0</v>
      </c>
      <c r="AM1156" s="20">
        <f t="shared" si="225"/>
        <v>0</v>
      </c>
      <c r="AN1156" s="20">
        <f t="shared" si="226"/>
        <v>1376000</v>
      </c>
      <c r="AP1156" s="20">
        <f t="shared" si="227"/>
        <v>1376000</v>
      </c>
      <c r="AQ1156" s="12">
        <v>1E-4</v>
      </c>
      <c r="AR1156" s="20"/>
    </row>
    <row r="1157" spans="1:45" ht="30" customHeight="1" x14ac:dyDescent="0.2">
      <c r="A1157" s="2">
        <v>967</v>
      </c>
      <c r="B1157" s="13">
        <v>1</v>
      </c>
      <c r="C1157" s="16" t="s">
        <v>65</v>
      </c>
      <c r="D1157" s="17">
        <v>1355</v>
      </c>
      <c r="E1157" s="17">
        <v>41</v>
      </c>
      <c r="H1157" s="17">
        <v>49</v>
      </c>
      <c r="I1157" s="17">
        <v>2</v>
      </c>
      <c r="J1157" s="17">
        <v>60</v>
      </c>
      <c r="K1157" s="10">
        <f>49*400+260</f>
        <v>19860</v>
      </c>
      <c r="P1157" s="17">
        <v>1</v>
      </c>
      <c r="Q1157" s="20">
        <f t="shared" si="221"/>
        <v>19860</v>
      </c>
      <c r="R1157" s="14">
        <v>200</v>
      </c>
      <c r="S1157" s="20">
        <f t="shared" si="222"/>
        <v>3972000</v>
      </c>
      <c r="AC1157" s="21"/>
      <c r="AD1157" s="21"/>
      <c r="AG1157" s="22">
        <f t="shared" si="223"/>
        <v>0</v>
      </c>
      <c r="AJ1157" s="20">
        <f t="shared" si="224"/>
        <v>0</v>
      </c>
      <c r="AM1157" s="20">
        <f t="shared" si="225"/>
        <v>0</v>
      </c>
      <c r="AN1157" s="20">
        <f t="shared" si="226"/>
        <v>3972000</v>
      </c>
      <c r="AP1157" s="20">
        <f t="shared" si="227"/>
        <v>3972000</v>
      </c>
      <c r="AQ1157" s="12">
        <v>1E-4</v>
      </c>
      <c r="AR1157" s="20"/>
    </row>
    <row r="1158" spans="1:45" ht="30" customHeight="1" x14ac:dyDescent="0.2">
      <c r="A1158" s="8">
        <v>968</v>
      </c>
      <c r="B1158" s="13">
        <v>1</v>
      </c>
      <c r="C1158" s="16" t="s">
        <v>69</v>
      </c>
      <c r="E1158" s="17">
        <v>1502</v>
      </c>
      <c r="F1158" s="17">
        <v>1</v>
      </c>
      <c r="G1158" s="13">
        <v>6</v>
      </c>
      <c r="H1158" s="17">
        <v>50</v>
      </c>
      <c r="I1158" s="17">
        <v>0</v>
      </c>
      <c r="J1158" s="17">
        <v>0</v>
      </c>
      <c r="K1158" s="10">
        <v>20000</v>
      </c>
      <c r="P1158" s="17">
        <v>1</v>
      </c>
      <c r="Q1158" s="20">
        <f t="shared" si="221"/>
        <v>20000</v>
      </c>
      <c r="R1158" s="14">
        <v>200</v>
      </c>
      <c r="S1158" s="19">
        <f t="shared" si="222"/>
        <v>4000000</v>
      </c>
      <c r="AG1158" s="22">
        <f t="shared" si="223"/>
        <v>0</v>
      </c>
      <c r="AJ1158" s="20">
        <f t="shared" si="224"/>
        <v>0</v>
      </c>
      <c r="AM1158" s="20">
        <f t="shared" si="225"/>
        <v>0</v>
      </c>
      <c r="AN1158" s="20">
        <f t="shared" si="226"/>
        <v>4000000</v>
      </c>
      <c r="AP1158" s="20">
        <f t="shared" si="227"/>
        <v>4000000</v>
      </c>
      <c r="AR1158" s="20"/>
    </row>
    <row r="1159" spans="1:45" s="21" customFormat="1" ht="30" customHeight="1" x14ac:dyDescent="0.2">
      <c r="A1159" s="2">
        <v>969</v>
      </c>
      <c r="B1159" s="46">
        <v>1</v>
      </c>
      <c r="C1159" s="16" t="s">
        <v>52</v>
      </c>
      <c r="D1159" s="48">
        <v>1631</v>
      </c>
      <c r="E1159" s="47">
        <v>36</v>
      </c>
      <c r="F1159" s="48">
        <v>1410</v>
      </c>
      <c r="G1159" s="49">
        <v>2</v>
      </c>
      <c r="H1159" s="48">
        <v>0</v>
      </c>
      <c r="I1159" s="48">
        <v>0</v>
      </c>
      <c r="J1159" s="48">
        <v>26</v>
      </c>
      <c r="K1159" s="3"/>
      <c r="L1159" s="16">
        <v>26</v>
      </c>
      <c r="M1159" s="57"/>
      <c r="N1159" s="58"/>
      <c r="P1159" s="16">
        <v>2</v>
      </c>
      <c r="Q1159" s="20">
        <f t="shared" si="221"/>
        <v>26</v>
      </c>
      <c r="R1159" s="14">
        <v>4500</v>
      </c>
      <c r="S1159" s="19">
        <f t="shared" si="222"/>
        <v>117000</v>
      </c>
      <c r="T1159" s="16"/>
      <c r="U1159" s="17"/>
      <c r="V1159" s="17"/>
      <c r="W1159" s="4"/>
      <c r="X1159" s="16"/>
      <c r="Y1159" s="5"/>
      <c r="Z1159" s="16"/>
      <c r="AA1159" s="16"/>
      <c r="AB1159" s="16"/>
      <c r="AC1159" s="14"/>
      <c r="AD1159" s="14"/>
      <c r="AE1159" s="16"/>
      <c r="AG1159" s="22">
        <f t="shared" si="223"/>
        <v>0</v>
      </c>
      <c r="AH1159" s="6"/>
      <c r="AJ1159" s="20">
        <f t="shared" si="224"/>
        <v>0</v>
      </c>
      <c r="AK1159" s="50"/>
      <c r="AL1159" s="6"/>
      <c r="AM1159" s="20">
        <f t="shared" si="225"/>
        <v>0</v>
      </c>
      <c r="AN1159" s="20">
        <f t="shared" si="226"/>
        <v>117000</v>
      </c>
      <c r="AP1159" s="20">
        <f t="shared" si="227"/>
        <v>117000</v>
      </c>
      <c r="AQ1159" s="7"/>
      <c r="AR1159" s="20"/>
      <c r="AS1159" s="51">
        <v>132</v>
      </c>
    </row>
    <row r="1160" spans="1:45" s="21" customFormat="1" ht="30" customHeight="1" x14ac:dyDescent="0.2">
      <c r="A1160" s="8">
        <v>970</v>
      </c>
      <c r="B1160" s="46">
        <v>1</v>
      </c>
      <c r="C1160" s="16" t="s">
        <v>52</v>
      </c>
      <c r="D1160" s="48">
        <v>2785</v>
      </c>
      <c r="E1160" s="47">
        <v>8</v>
      </c>
      <c r="F1160" s="48">
        <v>1978</v>
      </c>
      <c r="G1160" s="49">
        <v>1</v>
      </c>
      <c r="H1160" s="48">
        <v>35</v>
      </c>
      <c r="I1160" s="48">
        <v>0</v>
      </c>
      <c r="J1160" s="48">
        <v>80</v>
      </c>
      <c r="K1160" s="3">
        <f>35*400+80</f>
        <v>14080</v>
      </c>
      <c r="L1160" s="16"/>
      <c r="M1160" s="57"/>
      <c r="N1160" s="58"/>
      <c r="P1160" s="16">
        <v>1</v>
      </c>
      <c r="Q1160" s="20">
        <f t="shared" si="221"/>
        <v>14080</v>
      </c>
      <c r="R1160" s="14">
        <v>160</v>
      </c>
      <c r="S1160" s="20">
        <f t="shared" si="222"/>
        <v>2252800</v>
      </c>
      <c r="T1160" s="16"/>
      <c r="U1160" s="16"/>
      <c r="V1160" s="16"/>
      <c r="W1160" s="5"/>
      <c r="X1160" s="16"/>
      <c r="Y1160" s="5"/>
      <c r="Z1160" s="16"/>
      <c r="AA1160" s="16"/>
      <c r="AB1160" s="16"/>
      <c r="AE1160" s="16"/>
      <c r="AG1160" s="22">
        <f t="shared" si="223"/>
        <v>0</v>
      </c>
      <c r="AH1160" s="6"/>
      <c r="AJ1160" s="20">
        <f t="shared" si="224"/>
        <v>0</v>
      </c>
      <c r="AK1160" s="50"/>
      <c r="AL1160" s="6"/>
      <c r="AM1160" s="20">
        <f t="shared" si="225"/>
        <v>0</v>
      </c>
      <c r="AN1160" s="20">
        <f t="shared" si="226"/>
        <v>2252800</v>
      </c>
      <c r="AP1160" s="20">
        <f t="shared" si="227"/>
        <v>2252800</v>
      </c>
      <c r="AQ1160" s="7"/>
      <c r="AR1160" s="20"/>
      <c r="AS1160" s="51"/>
    </row>
    <row r="1161" spans="1:45" s="21" customFormat="1" ht="30" customHeight="1" x14ac:dyDescent="0.2">
      <c r="A1161" s="2">
        <v>971</v>
      </c>
      <c r="B1161" s="46">
        <v>2</v>
      </c>
      <c r="C1161" s="16" t="s">
        <v>52</v>
      </c>
      <c r="D1161" s="48">
        <v>2774</v>
      </c>
      <c r="E1161" s="47">
        <v>1</v>
      </c>
      <c r="F1161" s="48">
        <v>1967</v>
      </c>
      <c r="G1161" s="49"/>
      <c r="H1161" s="48">
        <v>35</v>
      </c>
      <c r="I1161" s="48">
        <v>3</v>
      </c>
      <c r="J1161" s="48">
        <v>38</v>
      </c>
      <c r="K1161" s="3">
        <f>35*400+358</f>
        <v>14358</v>
      </c>
      <c r="L1161" s="16"/>
      <c r="M1161" s="57"/>
      <c r="N1161" s="58"/>
      <c r="P1161" s="16">
        <v>1</v>
      </c>
      <c r="Q1161" s="20">
        <f t="shared" si="221"/>
        <v>14338</v>
      </c>
      <c r="R1161" s="14">
        <v>160</v>
      </c>
      <c r="S1161" s="19">
        <f t="shared" si="222"/>
        <v>2294080</v>
      </c>
      <c r="T1161" s="16"/>
      <c r="U1161" s="17"/>
      <c r="V1161" s="16"/>
      <c r="W1161" s="5"/>
      <c r="X1161" s="16"/>
      <c r="Y1161" s="5"/>
      <c r="Z1161" s="16"/>
      <c r="AA1161" s="16"/>
      <c r="AB1161" s="16"/>
      <c r="AC1161" s="14"/>
      <c r="AD1161" s="14"/>
      <c r="AE1161" s="16"/>
      <c r="AG1161" s="22">
        <f t="shared" si="223"/>
        <v>0</v>
      </c>
      <c r="AH1161" s="6"/>
      <c r="AJ1161" s="20">
        <f t="shared" si="224"/>
        <v>0</v>
      </c>
      <c r="AK1161" s="50"/>
      <c r="AL1161" s="6"/>
      <c r="AM1161" s="20">
        <f t="shared" si="225"/>
        <v>0</v>
      </c>
      <c r="AN1161" s="20">
        <f t="shared" si="226"/>
        <v>2294080</v>
      </c>
      <c r="AP1161" s="20">
        <f t="shared" si="227"/>
        <v>2294080</v>
      </c>
      <c r="AQ1161" s="7"/>
      <c r="AR1161" s="20"/>
      <c r="AS1161" s="51"/>
    </row>
    <row r="1162" spans="1:45" ht="30" customHeight="1" x14ac:dyDescent="0.2">
      <c r="A1162" s="8">
        <v>972</v>
      </c>
      <c r="B1162" s="46">
        <v>3</v>
      </c>
      <c r="C1162" s="16" t="s">
        <v>65</v>
      </c>
      <c r="D1162" s="17">
        <v>1280</v>
      </c>
      <c r="E1162" s="17">
        <v>140</v>
      </c>
      <c r="H1162" s="17">
        <v>1</v>
      </c>
      <c r="I1162" s="17">
        <v>3</v>
      </c>
      <c r="J1162" s="17">
        <v>63</v>
      </c>
      <c r="K1162" s="10">
        <v>763</v>
      </c>
      <c r="P1162" s="17">
        <v>1</v>
      </c>
      <c r="Q1162" s="20">
        <f t="shared" si="221"/>
        <v>763</v>
      </c>
      <c r="R1162" s="14">
        <v>160</v>
      </c>
      <c r="S1162" s="19">
        <f t="shared" si="222"/>
        <v>122080</v>
      </c>
      <c r="AE1162" s="17" t="s">
        <v>143</v>
      </c>
      <c r="AG1162" s="22">
        <f t="shared" si="223"/>
        <v>0</v>
      </c>
      <c r="AJ1162" s="20">
        <f t="shared" si="224"/>
        <v>0</v>
      </c>
      <c r="AM1162" s="20">
        <f t="shared" si="225"/>
        <v>0</v>
      </c>
      <c r="AN1162" s="20">
        <f t="shared" si="226"/>
        <v>122080</v>
      </c>
      <c r="AP1162" s="20">
        <f t="shared" si="227"/>
        <v>122080</v>
      </c>
      <c r="AQ1162" s="12">
        <v>1E-4</v>
      </c>
      <c r="AR1162" s="20"/>
    </row>
    <row r="1163" spans="1:45" ht="30" customHeight="1" x14ac:dyDescent="0.2">
      <c r="A1163" s="2">
        <v>973</v>
      </c>
      <c r="B1163" s="46">
        <v>4</v>
      </c>
      <c r="C1163" s="16" t="s">
        <v>69</v>
      </c>
      <c r="E1163" s="17">
        <v>1494</v>
      </c>
      <c r="F1163" s="17">
        <v>4</v>
      </c>
      <c r="G1163" s="13">
        <v>6</v>
      </c>
      <c r="H1163" s="17">
        <v>23</v>
      </c>
      <c r="I1163" s="17">
        <v>3</v>
      </c>
      <c r="J1163" s="17">
        <v>75</v>
      </c>
      <c r="K1163" s="10">
        <v>9575</v>
      </c>
      <c r="P1163" s="17">
        <v>1</v>
      </c>
      <c r="Q1163" s="20">
        <f t="shared" si="221"/>
        <v>9575</v>
      </c>
      <c r="R1163" s="14">
        <v>160</v>
      </c>
      <c r="S1163" s="19">
        <f t="shared" si="222"/>
        <v>1532000</v>
      </c>
      <c r="AG1163" s="22">
        <f t="shared" si="223"/>
        <v>0</v>
      </c>
      <c r="AJ1163" s="20">
        <f t="shared" si="224"/>
        <v>0</v>
      </c>
      <c r="AM1163" s="20">
        <f t="shared" si="225"/>
        <v>0</v>
      </c>
      <c r="AN1163" s="20">
        <f t="shared" si="226"/>
        <v>1532000</v>
      </c>
      <c r="AP1163" s="20">
        <f t="shared" si="227"/>
        <v>1532000</v>
      </c>
      <c r="AQ1163" s="12">
        <v>1E-4</v>
      </c>
      <c r="AR1163" s="20"/>
    </row>
    <row r="1164" spans="1:45" ht="30" customHeight="1" x14ac:dyDescent="0.2">
      <c r="A1164" s="8">
        <v>974</v>
      </c>
      <c r="B1164" s="46">
        <v>3</v>
      </c>
      <c r="C1164" s="16" t="s">
        <v>65</v>
      </c>
      <c r="D1164" s="17">
        <v>198</v>
      </c>
      <c r="E1164" s="17">
        <v>95</v>
      </c>
      <c r="H1164" s="17">
        <v>3</v>
      </c>
      <c r="I1164" s="17">
        <v>3</v>
      </c>
      <c r="J1164" s="17">
        <v>29</v>
      </c>
      <c r="M1164" s="15">
        <v>1529</v>
      </c>
      <c r="P1164" s="17">
        <v>3</v>
      </c>
      <c r="Q1164" s="20">
        <f t="shared" si="221"/>
        <v>1529</v>
      </c>
      <c r="R1164" s="14">
        <v>4500</v>
      </c>
      <c r="S1164" s="19">
        <f t="shared" si="222"/>
        <v>6880500</v>
      </c>
      <c r="AC1164" s="21"/>
      <c r="AD1164" s="21"/>
      <c r="AE1164" s="17" t="s">
        <v>144</v>
      </c>
      <c r="AG1164" s="22">
        <f t="shared" si="223"/>
        <v>0</v>
      </c>
      <c r="AJ1164" s="20">
        <f t="shared" si="224"/>
        <v>0</v>
      </c>
      <c r="AM1164" s="20">
        <f t="shared" si="225"/>
        <v>0</v>
      </c>
      <c r="AN1164" s="20">
        <f t="shared" si="226"/>
        <v>6880500</v>
      </c>
      <c r="AP1164" s="20">
        <f t="shared" si="227"/>
        <v>6880500</v>
      </c>
      <c r="AQ1164" s="12">
        <v>3.0000000000000001E-3</v>
      </c>
      <c r="AR1164" s="20"/>
    </row>
    <row r="1165" spans="1:45" ht="30" customHeight="1" x14ac:dyDescent="0.2">
      <c r="A1165" s="2">
        <v>975</v>
      </c>
      <c r="B1165" s="46">
        <v>4</v>
      </c>
      <c r="C1165" s="16" t="s">
        <v>65</v>
      </c>
      <c r="D1165" s="17">
        <v>1279</v>
      </c>
      <c r="E1165" s="17">
        <v>139</v>
      </c>
      <c r="H1165" s="17">
        <v>7</v>
      </c>
      <c r="I1165" s="17">
        <v>0</v>
      </c>
      <c r="J1165" s="17">
        <v>76</v>
      </c>
      <c r="K1165" s="10">
        <f>7*400+76</f>
        <v>2876</v>
      </c>
      <c r="P1165" s="17">
        <v>1</v>
      </c>
      <c r="Q1165" s="20">
        <f t="shared" si="221"/>
        <v>2876</v>
      </c>
      <c r="R1165" s="14">
        <v>200</v>
      </c>
      <c r="S1165" s="20">
        <f t="shared" si="222"/>
        <v>575200</v>
      </c>
      <c r="AC1165" s="21"/>
      <c r="AD1165" s="21"/>
      <c r="AE1165" s="17" t="s">
        <v>145</v>
      </c>
      <c r="AG1165" s="22">
        <f t="shared" si="223"/>
        <v>0</v>
      </c>
      <c r="AJ1165" s="20">
        <f t="shared" si="224"/>
        <v>0</v>
      </c>
      <c r="AM1165" s="20">
        <f t="shared" si="225"/>
        <v>0</v>
      </c>
      <c r="AN1165" s="20">
        <f t="shared" si="226"/>
        <v>575200</v>
      </c>
      <c r="AP1165" s="20">
        <f t="shared" si="227"/>
        <v>575200</v>
      </c>
      <c r="AQ1165" s="12">
        <v>1E-4</v>
      </c>
      <c r="AR1165" s="20"/>
    </row>
    <row r="1166" spans="1:45" s="21" customFormat="1" ht="30" customHeight="1" x14ac:dyDescent="0.2">
      <c r="A1166" s="8">
        <v>976</v>
      </c>
      <c r="B1166" s="46">
        <v>1</v>
      </c>
      <c r="C1166" s="16" t="s">
        <v>52</v>
      </c>
      <c r="D1166" s="48">
        <v>2744</v>
      </c>
      <c r="E1166" s="47">
        <v>18</v>
      </c>
      <c r="F1166" s="48">
        <v>1933</v>
      </c>
      <c r="G1166" s="49">
        <v>1</v>
      </c>
      <c r="H1166" s="48">
        <v>35</v>
      </c>
      <c r="I1166" s="48">
        <v>2</v>
      </c>
      <c r="J1166" s="48">
        <v>70</v>
      </c>
      <c r="K1166" s="3">
        <f>35*400+270</f>
        <v>14270</v>
      </c>
      <c r="L1166" s="16"/>
      <c r="M1166" s="57"/>
      <c r="N1166" s="58"/>
      <c r="P1166" s="16">
        <v>1</v>
      </c>
      <c r="Q1166" s="20">
        <f t="shared" si="221"/>
        <v>14270</v>
      </c>
      <c r="R1166" s="14">
        <v>160</v>
      </c>
      <c r="S1166" s="20">
        <f t="shared" si="222"/>
        <v>2283200</v>
      </c>
      <c r="T1166" s="16"/>
      <c r="U1166" s="17"/>
      <c r="V1166" s="17"/>
      <c r="W1166" s="4"/>
      <c r="X1166" s="16"/>
      <c r="Y1166" s="5"/>
      <c r="Z1166" s="16"/>
      <c r="AA1166" s="16"/>
      <c r="AB1166" s="16"/>
      <c r="AC1166" s="14"/>
      <c r="AD1166" s="14"/>
      <c r="AE1166" s="16"/>
      <c r="AG1166" s="22">
        <f t="shared" si="223"/>
        <v>0</v>
      </c>
      <c r="AH1166" s="6"/>
      <c r="AJ1166" s="20">
        <f t="shared" si="224"/>
        <v>0</v>
      </c>
      <c r="AK1166" s="50"/>
      <c r="AL1166" s="6"/>
      <c r="AM1166" s="20">
        <f t="shared" si="225"/>
        <v>0</v>
      </c>
      <c r="AN1166" s="20">
        <f t="shared" si="226"/>
        <v>2283200</v>
      </c>
      <c r="AP1166" s="20">
        <f t="shared" si="227"/>
        <v>2283200</v>
      </c>
      <c r="AQ1166" s="7"/>
      <c r="AR1166" s="20"/>
      <c r="AS1166" s="51"/>
    </row>
    <row r="1167" spans="1:45" s="21" customFormat="1" ht="30" customHeight="1" x14ac:dyDescent="0.2">
      <c r="A1167" s="2">
        <v>977</v>
      </c>
      <c r="B1167" s="46">
        <v>1</v>
      </c>
      <c r="C1167" s="16" t="s">
        <v>52</v>
      </c>
      <c r="D1167" s="48">
        <v>2745</v>
      </c>
      <c r="E1167" s="47">
        <v>17</v>
      </c>
      <c r="F1167" s="48">
        <v>1934</v>
      </c>
      <c r="G1167" s="49">
        <v>1</v>
      </c>
      <c r="H1167" s="48">
        <v>8</v>
      </c>
      <c r="I1167" s="48">
        <v>2</v>
      </c>
      <c r="J1167" s="48">
        <v>25</v>
      </c>
      <c r="K1167" s="3">
        <f>8*400+225</f>
        <v>3425</v>
      </c>
      <c r="L1167" s="16"/>
      <c r="M1167" s="57"/>
      <c r="N1167" s="58"/>
      <c r="P1167" s="16">
        <v>1</v>
      </c>
      <c r="Q1167" s="20">
        <f t="shared" si="221"/>
        <v>3425</v>
      </c>
      <c r="R1167" s="14">
        <v>160</v>
      </c>
      <c r="S1167" s="19">
        <f t="shared" si="222"/>
        <v>548000</v>
      </c>
      <c r="T1167" s="16"/>
      <c r="U1167" s="17"/>
      <c r="V1167" s="17"/>
      <c r="W1167" s="4"/>
      <c r="X1167" s="16"/>
      <c r="Y1167" s="5"/>
      <c r="Z1167" s="16"/>
      <c r="AA1167" s="16"/>
      <c r="AB1167" s="16"/>
      <c r="AC1167" s="14"/>
      <c r="AD1167" s="14"/>
      <c r="AE1167" s="16"/>
      <c r="AG1167" s="22">
        <f t="shared" si="223"/>
        <v>0</v>
      </c>
      <c r="AH1167" s="6"/>
      <c r="AJ1167" s="20">
        <f t="shared" si="224"/>
        <v>0</v>
      </c>
      <c r="AK1167" s="50"/>
      <c r="AL1167" s="6"/>
      <c r="AM1167" s="20">
        <f t="shared" si="225"/>
        <v>0</v>
      </c>
      <c r="AN1167" s="20">
        <f t="shared" si="226"/>
        <v>548000</v>
      </c>
      <c r="AP1167" s="20">
        <f t="shared" si="227"/>
        <v>548000</v>
      </c>
      <c r="AQ1167" s="7"/>
      <c r="AR1167" s="20"/>
      <c r="AS1167" s="51"/>
    </row>
    <row r="1168" spans="1:45" s="21" customFormat="1" ht="30" customHeight="1" x14ac:dyDescent="0.2">
      <c r="A1168" s="8">
        <v>978</v>
      </c>
      <c r="B1168" s="46">
        <v>2</v>
      </c>
      <c r="C1168" s="16" t="s">
        <v>52</v>
      </c>
      <c r="D1168" s="48">
        <v>2775</v>
      </c>
      <c r="E1168" s="47">
        <v>9</v>
      </c>
      <c r="F1168" s="48">
        <v>1968</v>
      </c>
      <c r="G1168" s="49">
        <v>1</v>
      </c>
      <c r="H1168" s="48">
        <v>8</v>
      </c>
      <c r="I1168" s="48">
        <v>1</v>
      </c>
      <c r="J1168" s="48">
        <v>64</v>
      </c>
      <c r="K1168" s="3">
        <f>8*400+164</f>
        <v>3364</v>
      </c>
      <c r="L1168" s="16"/>
      <c r="M1168" s="57"/>
      <c r="N1168" s="58"/>
      <c r="P1168" s="16">
        <v>1</v>
      </c>
      <c r="Q1168" s="20">
        <f t="shared" si="221"/>
        <v>3364</v>
      </c>
      <c r="R1168" s="14">
        <v>160</v>
      </c>
      <c r="S1168" s="19">
        <f t="shared" si="222"/>
        <v>538240</v>
      </c>
      <c r="T1168" s="16"/>
      <c r="U1168" s="17"/>
      <c r="V1168" s="17"/>
      <c r="W1168" s="4"/>
      <c r="X1168" s="16"/>
      <c r="Y1168" s="5"/>
      <c r="Z1168" s="16"/>
      <c r="AA1168" s="16"/>
      <c r="AB1168" s="16"/>
      <c r="AC1168" s="14"/>
      <c r="AD1168" s="14"/>
      <c r="AE1168" s="16"/>
      <c r="AG1168" s="22">
        <f t="shared" si="223"/>
        <v>0</v>
      </c>
      <c r="AH1168" s="6"/>
      <c r="AJ1168" s="20">
        <f t="shared" si="224"/>
        <v>0</v>
      </c>
      <c r="AK1168" s="50"/>
      <c r="AL1168" s="6"/>
      <c r="AM1168" s="20">
        <f t="shared" si="225"/>
        <v>0</v>
      </c>
      <c r="AN1168" s="20">
        <f t="shared" si="226"/>
        <v>538240</v>
      </c>
      <c r="AP1168" s="20">
        <f t="shared" si="227"/>
        <v>538240</v>
      </c>
      <c r="AQ1168" s="7"/>
      <c r="AR1168" s="20"/>
      <c r="AS1168" s="51"/>
    </row>
    <row r="1169" spans="1:49" s="21" customFormat="1" ht="30" customHeight="1" x14ac:dyDescent="0.2">
      <c r="A1169" s="2">
        <v>979</v>
      </c>
      <c r="B1169" s="46">
        <v>3</v>
      </c>
      <c r="C1169" s="16" t="s">
        <v>52</v>
      </c>
      <c r="D1169" s="48">
        <v>2784</v>
      </c>
      <c r="E1169" s="47">
        <v>7</v>
      </c>
      <c r="F1169" s="48">
        <v>1977</v>
      </c>
      <c r="G1169" s="49">
        <v>1</v>
      </c>
      <c r="H1169" s="48">
        <v>8</v>
      </c>
      <c r="I1169" s="48">
        <v>2</v>
      </c>
      <c r="J1169" s="48">
        <v>78</v>
      </c>
      <c r="K1169" s="3">
        <f>8*400+278</f>
        <v>3478</v>
      </c>
      <c r="L1169" s="16"/>
      <c r="M1169" s="57"/>
      <c r="N1169" s="58"/>
      <c r="P1169" s="16">
        <v>1</v>
      </c>
      <c r="Q1169" s="20">
        <f t="shared" si="221"/>
        <v>3478</v>
      </c>
      <c r="R1169" s="14">
        <v>160</v>
      </c>
      <c r="S1169" s="20">
        <f t="shared" si="222"/>
        <v>556480</v>
      </c>
      <c r="T1169" s="16"/>
      <c r="U1169" s="17"/>
      <c r="V1169" s="17"/>
      <c r="W1169" s="4"/>
      <c r="X1169" s="16"/>
      <c r="Y1169" s="5"/>
      <c r="Z1169" s="16"/>
      <c r="AA1169" s="16"/>
      <c r="AB1169" s="16"/>
      <c r="AC1169" s="14"/>
      <c r="AD1169" s="14"/>
      <c r="AE1169" s="16"/>
      <c r="AG1169" s="22">
        <f t="shared" si="223"/>
        <v>0</v>
      </c>
      <c r="AH1169" s="6"/>
      <c r="AJ1169" s="20">
        <f t="shared" si="224"/>
        <v>0</v>
      </c>
      <c r="AK1169" s="50"/>
      <c r="AL1169" s="6"/>
      <c r="AM1169" s="20">
        <f t="shared" si="225"/>
        <v>0</v>
      </c>
      <c r="AN1169" s="20">
        <f t="shared" si="226"/>
        <v>556480</v>
      </c>
      <c r="AP1169" s="20">
        <f t="shared" si="227"/>
        <v>556480</v>
      </c>
      <c r="AQ1169" s="7"/>
      <c r="AR1169" s="20"/>
      <c r="AS1169" s="51"/>
    </row>
    <row r="1170" spans="1:49" ht="30" customHeight="1" x14ac:dyDescent="0.2">
      <c r="A1170" s="8">
        <v>980</v>
      </c>
      <c r="B1170" s="13">
        <v>1</v>
      </c>
      <c r="C1170" s="16" t="s">
        <v>65</v>
      </c>
      <c r="D1170" s="17">
        <v>1542</v>
      </c>
      <c r="E1170" s="17">
        <v>10</v>
      </c>
      <c r="H1170" s="17">
        <v>6</v>
      </c>
      <c r="I1170" s="17">
        <v>2</v>
      </c>
      <c r="J1170" s="17">
        <v>20</v>
      </c>
      <c r="K1170" s="10">
        <f>6*400+220</f>
        <v>2620</v>
      </c>
      <c r="P1170" s="17">
        <v>1</v>
      </c>
      <c r="Q1170" s="20">
        <f t="shared" si="221"/>
        <v>2620</v>
      </c>
      <c r="R1170" s="14">
        <v>160</v>
      </c>
      <c r="S1170" s="19">
        <f t="shared" si="222"/>
        <v>419200</v>
      </c>
      <c r="AC1170" s="21"/>
      <c r="AD1170" s="21"/>
      <c r="AE1170" s="17" t="s">
        <v>94</v>
      </c>
      <c r="AG1170" s="22">
        <f t="shared" si="223"/>
        <v>0</v>
      </c>
      <c r="AJ1170" s="20">
        <f t="shared" si="224"/>
        <v>0</v>
      </c>
      <c r="AM1170" s="20">
        <f t="shared" si="225"/>
        <v>0</v>
      </c>
      <c r="AN1170" s="20">
        <f t="shared" si="226"/>
        <v>419200</v>
      </c>
      <c r="AP1170" s="20">
        <f t="shared" si="227"/>
        <v>419200</v>
      </c>
      <c r="AQ1170" s="12">
        <v>1E-4</v>
      </c>
      <c r="AR1170" s="20"/>
      <c r="AS1170" s="26">
        <f>23+405</f>
        <v>428</v>
      </c>
    </row>
    <row r="1171" spans="1:49" s="21" customFormat="1" ht="30" customHeight="1" x14ac:dyDescent="0.2">
      <c r="A1171" s="8">
        <v>981</v>
      </c>
      <c r="B1171" s="46">
        <v>1</v>
      </c>
      <c r="C1171" s="16" t="s">
        <v>52</v>
      </c>
      <c r="D1171" s="48">
        <v>11833</v>
      </c>
      <c r="E1171" s="47">
        <v>114</v>
      </c>
      <c r="F1171" s="48">
        <v>3224</v>
      </c>
      <c r="G1171" s="49">
        <v>2</v>
      </c>
      <c r="H1171" s="48">
        <v>0</v>
      </c>
      <c r="I1171" s="48">
        <v>0</v>
      </c>
      <c r="J1171" s="48">
        <v>58.09</v>
      </c>
      <c r="K1171" s="3"/>
      <c r="L1171" s="16"/>
      <c r="M1171" s="57"/>
      <c r="N1171" s="58">
        <v>58.09</v>
      </c>
      <c r="P1171" s="16">
        <v>4</v>
      </c>
      <c r="Q1171" s="20">
        <f t="shared" si="221"/>
        <v>58.09</v>
      </c>
      <c r="R1171" s="14">
        <v>4500</v>
      </c>
      <c r="S1171" s="19">
        <f t="shared" si="222"/>
        <v>261405.00000000003</v>
      </c>
      <c r="T1171" s="16"/>
      <c r="U1171" s="17"/>
      <c r="V1171" s="17"/>
      <c r="W1171" s="4"/>
      <c r="X1171" s="16"/>
      <c r="Y1171" s="5"/>
      <c r="Z1171" s="16"/>
      <c r="AA1171" s="16"/>
      <c r="AB1171" s="16"/>
      <c r="AE1171" s="16"/>
      <c r="AG1171" s="22">
        <f t="shared" si="223"/>
        <v>0</v>
      </c>
      <c r="AH1171" s="6"/>
      <c r="AJ1171" s="20">
        <f t="shared" si="224"/>
        <v>0</v>
      </c>
      <c r="AK1171" s="50"/>
      <c r="AL1171" s="6"/>
      <c r="AM1171" s="20">
        <f t="shared" si="225"/>
        <v>0</v>
      </c>
      <c r="AN1171" s="20">
        <f t="shared" si="226"/>
        <v>261405.00000000003</v>
      </c>
      <c r="AP1171" s="20">
        <f t="shared" si="227"/>
        <v>261405.00000000003</v>
      </c>
      <c r="AQ1171" s="7">
        <v>3.0000000000000001E-3</v>
      </c>
      <c r="AR1171" s="20"/>
      <c r="AS1171" s="51">
        <v>20</v>
      </c>
    </row>
    <row r="1172" spans="1:49" s="21" customFormat="1" ht="30" customHeight="1" x14ac:dyDescent="0.2">
      <c r="A1172" s="2">
        <v>982</v>
      </c>
      <c r="B1172" s="46">
        <v>2</v>
      </c>
      <c r="C1172" s="16" t="s">
        <v>52</v>
      </c>
      <c r="D1172" s="48">
        <v>12322</v>
      </c>
      <c r="E1172" s="47">
        <v>115</v>
      </c>
      <c r="F1172" s="48">
        <v>3225</v>
      </c>
      <c r="G1172" s="49">
        <v>2</v>
      </c>
      <c r="H1172" s="48">
        <v>0</v>
      </c>
      <c r="I1172" s="48">
        <v>0</v>
      </c>
      <c r="J1172" s="48">
        <v>39.08</v>
      </c>
      <c r="K1172" s="3"/>
      <c r="L1172" s="16"/>
      <c r="M1172" s="57"/>
      <c r="N1172" s="58">
        <v>39.08</v>
      </c>
      <c r="P1172" s="16">
        <v>4</v>
      </c>
      <c r="Q1172" s="20">
        <f t="shared" si="221"/>
        <v>39.08</v>
      </c>
      <c r="R1172" s="14">
        <v>160</v>
      </c>
      <c r="S1172" s="20">
        <f t="shared" si="222"/>
        <v>6252.7999999999993</v>
      </c>
      <c r="T1172" s="16"/>
      <c r="U1172" s="16"/>
      <c r="V1172" s="16"/>
      <c r="W1172" s="5"/>
      <c r="X1172" s="16"/>
      <c r="Y1172" s="5"/>
      <c r="Z1172" s="16"/>
      <c r="AA1172" s="16"/>
      <c r="AB1172" s="16"/>
      <c r="AE1172" s="16"/>
      <c r="AG1172" s="22">
        <f t="shared" si="223"/>
        <v>0</v>
      </c>
      <c r="AH1172" s="6"/>
      <c r="AJ1172" s="20">
        <f t="shared" si="224"/>
        <v>0</v>
      </c>
      <c r="AK1172" s="50"/>
      <c r="AL1172" s="6"/>
      <c r="AM1172" s="20">
        <f t="shared" si="225"/>
        <v>0</v>
      </c>
      <c r="AN1172" s="20">
        <f t="shared" si="226"/>
        <v>6252.7999999999993</v>
      </c>
      <c r="AP1172" s="20">
        <f t="shared" si="227"/>
        <v>6252.7999999999993</v>
      </c>
      <c r="AQ1172" s="7">
        <v>3.0000000000000001E-3</v>
      </c>
      <c r="AR1172" s="20"/>
      <c r="AS1172" s="51"/>
    </row>
    <row r="1173" spans="1:49" s="21" customFormat="1" ht="30" customHeight="1" x14ac:dyDescent="0.2">
      <c r="A1173" s="8">
        <v>983</v>
      </c>
      <c r="B1173" s="46">
        <v>3</v>
      </c>
      <c r="C1173" s="16" t="s">
        <v>52</v>
      </c>
      <c r="D1173" s="48">
        <v>5152</v>
      </c>
      <c r="E1173" s="47">
        <v>4</v>
      </c>
      <c r="F1173" s="48">
        <v>2928</v>
      </c>
      <c r="G1173" s="49">
        <v>5</v>
      </c>
      <c r="H1173" s="48">
        <v>6</v>
      </c>
      <c r="I1173" s="48">
        <v>2</v>
      </c>
      <c r="J1173" s="48">
        <v>74</v>
      </c>
      <c r="K1173" s="3">
        <f>6*400+274</f>
        <v>2674</v>
      </c>
      <c r="L1173" s="16"/>
      <c r="M1173" s="57"/>
      <c r="N1173" s="58"/>
      <c r="P1173" s="16">
        <v>1</v>
      </c>
      <c r="Q1173" s="20">
        <f t="shared" si="221"/>
        <v>2674</v>
      </c>
      <c r="R1173" s="14">
        <v>160</v>
      </c>
      <c r="S1173" s="19">
        <f t="shared" si="222"/>
        <v>427840</v>
      </c>
      <c r="T1173" s="16"/>
      <c r="U1173" s="17"/>
      <c r="V1173" s="16"/>
      <c r="W1173" s="5"/>
      <c r="X1173" s="16"/>
      <c r="Y1173" s="5"/>
      <c r="Z1173" s="16"/>
      <c r="AA1173" s="16"/>
      <c r="AB1173" s="16"/>
      <c r="AE1173" s="16"/>
      <c r="AG1173" s="22">
        <f t="shared" si="223"/>
        <v>0</v>
      </c>
      <c r="AH1173" s="6"/>
      <c r="AJ1173" s="20">
        <f t="shared" si="224"/>
        <v>0</v>
      </c>
      <c r="AK1173" s="50"/>
      <c r="AL1173" s="6"/>
      <c r="AM1173" s="20">
        <f t="shared" si="225"/>
        <v>0</v>
      </c>
      <c r="AN1173" s="20">
        <f t="shared" si="226"/>
        <v>427840</v>
      </c>
      <c r="AP1173" s="20">
        <f t="shared" si="227"/>
        <v>427840</v>
      </c>
      <c r="AQ1173" s="7"/>
      <c r="AR1173" s="20"/>
      <c r="AS1173" s="51"/>
    </row>
    <row r="1174" spans="1:49" s="21" customFormat="1" ht="30" customHeight="1" x14ac:dyDescent="0.2">
      <c r="A1174" s="2">
        <v>984</v>
      </c>
      <c r="B1174" s="46">
        <v>4</v>
      </c>
      <c r="C1174" s="16" t="s">
        <v>52</v>
      </c>
      <c r="D1174" s="48">
        <v>18259</v>
      </c>
      <c r="E1174" s="47">
        <v>1</v>
      </c>
      <c r="F1174" s="48">
        <v>4181</v>
      </c>
      <c r="G1174" s="49">
        <v>5</v>
      </c>
      <c r="H1174" s="48">
        <v>7</v>
      </c>
      <c r="I1174" s="48">
        <v>2</v>
      </c>
      <c r="J1174" s="48">
        <v>31</v>
      </c>
      <c r="K1174" s="3">
        <f>7*400+231</f>
        <v>3031</v>
      </c>
      <c r="L1174" s="16"/>
      <c r="M1174" s="57"/>
      <c r="N1174" s="58"/>
      <c r="P1174" s="16">
        <v>1</v>
      </c>
      <c r="Q1174" s="20">
        <f t="shared" si="221"/>
        <v>3031</v>
      </c>
      <c r="R1174" s="14">
        <v>160</v>
      </c>
      <c r="S1174" s="19">
        <f t="shared" si="222"/>
        <v>484960</v>
      </c>
      <c r="T1174" s="16"/>
      <c r="U1174" s="17"/>
      <c r="V1174" s="17"/>
      <c r="W1174" s="4"/>
      <c r="X1174" s="16"/>
      <c r="Y1174" s="5"/>
      <c r="Z1174" s="16"/>
      <c r="AA1174" s="16"/>
      <c r="AB1174" s="16"/>
      <c r="AE1174" s="16"/>
      <c r="AG1174" s="22">
        <f t="shared" si="223"/>
        <v>0</v>
      </c>
      <c r="AH1174" s="6"/>
      <c r="AJ1174" s="20">
        <f t="shared" si="224"/>
        <v>0</v>
      </c>
      <c r="AK1174" s="50"/>
      <c r="AL1174" s="6"/>
      <c r="AM1174" s="20">
        <f t="shared" si="225"/>
        <v>0</v>
      </c>
      <c r="AN1174" s="20">
        <f t="shared" si="226"/>
        <v>484960</v>
      </c>
      <c r="AP1174" s="20">
        <f t="shared" si="227"/>
        <v>484960</v>
      </c>
      <c r="AQ1174" s="7"/>
      <c r="AR1174" s="20"/>
      <c r="AS1174" s="51"/>
    </row>
    <row r="1175" spans="1:49" s="21" customFormat="1" ht="30" customHeight="1" x14ac:dyDescent="0.2">
      <c r="A1175" s="8">
        <v>985</v>
      </c>
      <c r="B1175" s="46">
        <v>5</v>
      </c>
      <c r="C1175" s="16" t="s">
        <v>52</v>
      </c>
      <c r="D1175" s="48">
        <v>5140</v>
      </c>
      <c r="E1175" s="47">
        <v>11</v>
      </c>
      <c r="F1175" s="48">
        <v>2916</v>
      </c>
      <c r="G1175" s="49">
        <v>7</v>
      </c>
      <c r="H1175" s="48">
        <v>25</v>
      </c>
      <c r="I1175" s="48">
        <v>1</v>
      </c>
      <c r="J1175" s="48">
        <v>76</v>
      </c>
      <c r="K1175" s="3">
        <f>25*400+176</f>
        <v>10176</v>
      </c>
      <c r="L1175" s="16"/>
      <c r="M1175" s="57"/>
      <c r="N1175" s="58"/>
      <c r="P1175" s="16">
        <v>1</v>
      </c>
      <c r="Q1175" s="20">
        <f t="shared" si="221"/>
        <v>10176</v>
      </c>
      <c r="R1175" s="14">
        <v>160</v>
      </c>
      <c r="S1175" s="20">
        <f t="shared" si="222"/>
        <v>1628160</v>
      </c>
      <c r="T1175" s="16"/>
      <c r="U1175" s="17"/>
      <c r="V1175" s="17"/>
      <c r="W1175" s="4"/>
      <c r="X1175" s="16"/>
      <c r="Y1175" s="5"/>
      <c r="Z1175" s="16"/>
      <c r="AA1175" s="16"/>
      <c r="AB1175" s="16"/>
      <c r="AE1175" s="16"/>
      <c r="AG1175" s="22">
        <f t="shared" si="223"/>
        <v>0</v>
      </c>
      <c r="AH1175" s="6"/>
      <c r="AJ1175" s="20">
        <f t="shared" si="224"/>
        <v>0</v>
      </c>
      <c r="AK1175" s="50"/>
      <c r="AL1175" s="6"/>
      <c r="AM1175" s="20">
        <f t="shared" si="225"/>
        <v>0</v>
      </c>
      <c r="AN1175" s="20">
        <f t="shared" si="226"/>
        <v>1628160</v>
      </c>
      <c r="AP1175" s="20">
        <f t="shared" si="227"/>
        <v>1628160</v>
      </c>
      <c r="AQ1175" s="7"/>
      <c r="AR1175" s="20"/>
      <c r="AS1175" s="51"/>
    </row>
    <row r="1176" spans="1:49" s="21" customFormat="1" ht="30" customHeight="1" x14ac:dyDescent="0.2">
      <c r="A1176" s="2">
        <v>986</v>
      </c>
      <c r="B1176" s="46">
        <v>6</v>
      </c>
      <c r="C1176" s="16" t="s">
        <v>52</v>
      </c>
      <c r="D1176" s="48">
        <v>5143</v>
      </c>
      <c r="E1176" s="47">
        <v>8</v>
      </c>
      <c r="F1176" s="48">
        <v>2919</v>
      </c>
      <c r="G1176" s="49">
        <v>7</v>
      </c>
      <c r="H1176" s="48">
        <v>0</v>
      </c>
      <c r="I1176" s="48">
        <v>1</v>
      </c>
      <c r="J1176" s="48">
        <v>37</v>
      </c>
      <c r="K1176" s="3">
        <v>137</v>
      </c>
      <c r="L1176" s="16"/>
      <c r="M1176" s="57"/>
      <c r="N1176" s="58"/>
      <c r="P1176" s="16">
        <v>1</v>
      </c>
      <c r="Q1176" s="20">
        <f t="shared" si="221"/>
        <v>137</v>
      </c>
      <c r="R1176" s="14">
        <v>160</v>
      </c>
      <c r="S1176" s="19">
        <f t="shared" si="222"/>
        <v>21920</v>
      </c>
      <c r="T1176" s="16"/>
      <c r="U1176" s="17"/>
      <c r="V1176" s="17"/>
      <c r="W1176" s="4"/>
      <c r="X1176" s="16"/>
      <c r="Y1176" s="5"/>
      <c r="Z1176" s="16"/>
      <c r="AA1176" s="16"/>
      <c r="AB1176" s="16"/>
      <c r="AE1176" s="16"/>
      <c r="AG1176" s="22">
        <f t="shared" si="223"/>
        <v>0</v>
      </c>
      <c r="AH1176" s="6"/>
      <c r="AJ1176" s="20">
        <f t="shared" si="224"/>
        <v>0</v>
      </c>
      <c r="AK1176" s="50"/>
      <c r="AL1176" s="6"/>
      <c r="AM1176" s="20">
        <f t="shared" si="225"/>
        <v>0</v>
      </c>
      <c r="AN1176" s="20">
        <f t="shared" si="226"/>
        <v>21920</v>
      </c>
      <c r="AP1176" s="20">
        <f t="shared" si="227"/>
        <v>21920</v>
      </c>
      <c r="AQ1176" s="7"/>
      <c r="AR1176" s="20"/>
      <c r="AS1176" s="51"/>
    </row>
    <row r="1177" spans="1:49" s="21" customFormat="1" ht="30" customHeight="1" x14ac:dyDescent="0.2">
      <c r="A1177" s="8">
        <v>987</v>
      </c>
      <c r="B1177" s="46">
        <v>7</v>
      </c>
      <c r="C1177" s="16" t="s">
        <v>52</v>
      </c>
      <c r="D1177" s="48">
        <v>5145</v>
      </c>
      <c r="E1177" s="47">
        <v>106</v>
      </c>
      <c r="F1177" s="48">
        <v>2921</v>
      </c>
      <c r="G1177" s="49">
        <v>7</v>
      </c>
      <c r="H1177" s="48">
        <v>0</v>
      </c>
      <c r="I1177" s="48">
        <v>3</v>
      </c>
      <c r="J1177" s="48">
        <v>86</v>
      </c>
      <c r="K1177" s="3">
        <v>386</v>
      </c>
      <c r="L1177" s="16"/>
      <c r="M1177" s="57"/>
      <c r="N1177" s="58"/>
      <c r="P1177" s="16">
        <v>1</v>
      </c>
      <c r="Q1177" s="20">
        <f t="shared" si="221"/>
        <v>386</v>
      </c>
      <c r="R1177" s="14">
        <v>160</v>
      </c>
      <c r="S1177" s="19">
        <f t="shared" si="222"/>
        <v>61760</v>
      </c>
      <c r="T1177" s="16"/>
      <c r="U1177" s="17"/>
      <c r="V1177" s="17"/>
      <c r="W1177" s="4"/>
      <c r="X1177" s="16"/>
      <c r="Y1177" s="5"/>
      <c r="Z1177" s="16"/>
      <c r="AA1177" s="16"/>
      <c r="AB1177" s="16"/>
      <c r="AE1177" s="16"/>
      <c r="AG1177" s="22">
        <f t="shared" si="223"/>
        <v>0</v>
      </c>
      <c r="AH1177" s="6"/>
      <c r="AJ1177" s="20">
        <f t="shared" si="224"/>
        <v>0</v>
      </c>
      <c r="AK1177" s="50"/>
      <c r="AL1177" s="6"/>
      <c r="AM1177" s="20">
        <f t="shared" si="225"/>
        <v>0</v>
      </c>
      <c r="AN1177" s="20">
        <f t="shared" si="226"/>
        <v>61760</v>
      </c>
      <c r="AP1177" s="20">
        <f t="shared" si="227"/>
        <v>61760</v>
      </c>
      <c r="AQ1177" s="7"/>
      <c r="AR1177" s="20"/>
      <c r="AS1177" s="51"/>
    </row>
    <row r="1178" spans="1:49" s="21" customFormat="1" ht="30" customHeight="1" x14ac:dyDescent="0.2">
      <c r="A1178" s="2">
        <v>988</v>
      </c>
      <c r="B1178" s="46">
        <v>8</v>
      </c>
      <c r="C1178" s="16" t="s">
        <v>52</v>
      </c>
      <c r="D1178" s="48">
        <v>5151</v>
      </c>
      <c r="E1178" s="47">
        <v>112</v>
      </c>
      <c r="F1178" s="48">
        <v>2927</v>
      </c>
      <c r="G1178" s="49">
        <v>7</v>
      </c>
      <c r="H1178" s="48">
        <v>34</v>
      </c>
      <c r="I1178" s="48">
        <v>3</v>
      </c>
      <c r="J1178" s="48">
        <v>69</v>
      </c>
      <c r="K1178" s="3">
        <f>34*400+369</f>
        <v>13969</v>
      </c>
      <c r="L1178" s="16"/>
      <c r="M1178" s="57"/>
      <c r="N1178" s="58"/>
      <c r="P1178" s="16">
        <v>1</v>
      </c>
      <c r="Q1178" s="20">
        <f t="shared" si="221"/>
        <v>13969</v>
      </c>
      <c r="R1178" s="14">
        <v>160</v>
      </c>
      <c r="S1178" s="20">
        <f t="shared" si="222"/>
        <v>2235040</v>
      </c>
      <c r="T1178" s="16"/>
      <c r="U1178" s="17"/>
      <c r="V1178" s="17"/>
      <c r="W1178" s="4"/>
      <c r="X1178" s="16"/>
      <c r="Y1178" s="5"/>
      <c r="Z1178" s="16"/>
      <c r="AA1178" s="16"/>
      <c r="AB1178" s="16"/>
      <c r="AE1178" s="16"/>
      <c r="AG1178" s="22">
        <f t="shared" si="223"/>
        <v>0</v>
      </c>
      <c r="AH1178" s="6"/>
      <c r="AJ1178" s="20">
        <f t="shared" si="224"/>
        <v>0</v>
      </c>
      <c r="AK1178" s="50"/>
      <c r="AL1178" s="6"/>
      <c r="AM1178" s="20">
        <f t="shared" si="225"/>
        <v>0</v>
      </c>
      <c r="AN1178" s="20">
        <f t="shared" si="226"/>
        <v>2235040</v>
      </c>
      <c r="AP1178" s="20">
        <f t="shared" si="227"/>
        <v>2235040</v>
      </c>
      <c r="AQ1178" s="7"/>
      <c r="AR1178" s="20"/>
      <c r="AS1178" s="51"/>
    </row>
    <row r="1179" spans="1:49" s="21" customFormat="1" ht="30" customHeight="1" x14ac:dyDescent="0.2">
      <c r="A1179" s="8">
        <v>989</v>
      </c>
      <c r="B1179" s="46">
        <v>1</v>
      </c>
      <c r="C1179" s="16" t="s">
        <v>52</v>
      </c>
      <c r="D1179" s="48">
        <v>5156</v>
      </c>
      <c r="E1179" s="47">
        <v>5</v>
      </c>
      <c r="F1179" s="48">
        <v>2932</v>
      </c>
      <c r="G1179" s="49">
        <v>5</v>
      </c>
      <c r="H1179" s="48">
        <v>31</v>
      </c>
      <c r="I1179" s="48">
        <v>0</v>
      </c>
      <c r="J1179" s="48">
        <v>14</v>
      </c>
      <c r="K1179" s="3">
        <f>31*400+14</f>
        <v>12414</v>
      </c>
      <c r="L1179" s="16"/>
      <c r="M1179" s="57"/>
      <c r="N1179" s="58"/>
      <c r="P1179" s="16">
        <v>1</v>
      </c>
      <c r="Q1179" s="20">
        <f t="shared" si="221"/>
        <v>12414</v>
      </c>
      <c r="R1179" s="14">
        <v>200</v>
      </c>
      <c r="S1179" s="19">
        <f t="shared" si="222"/>
        <v>2482800</v>
      </c>
      <c r="T1179" s="16"/>
      <c r="U1179" s="16"/>
      <c r="V1179" s="16"/>
      <c r="W1179" s="5"/>
      <c r="X1179" s="16"/>
      <c r="Y1179" s="5"/>
      <c r="Z1179" s="16"/>
      <c r="AA1179" s="16"/>
      <c r="AB1179" s="16"/>
      <c r="AE1179" s="16"/>
      <c r="AG1179" s="22">
        <f t="shared" si="223"/>
        <v>0</v>
      </c>
      <c r="AH1179" s="6"/>
      <c r="AJ1179" s="20">
        <f t="shared" si="224"/>
        <v>0</v>
      </c>
      <c r="AK1179" s="50"/>
      <c r="AL1179" s="6"/>
      <c r="AM1179" s="20">
        <f t="shared" si="225"/>
        <v>0</v>
      </c>
      <c r="AN1179" s="20">
        <f t="shared" si="226"/>
        <v>2482800</v>
      </c>
      <c r="AP1179" s="20">
        <f t="shared" si="227"/>
        <v>2482800</v>
      </c>
      <c r="AQ1179" s="7"/>
      <c r="AR1179" s="20"/>
      <c r="AS1179" s="51">
        <v>171</v>
      </c>
    </row>
    <row r="1180" spans="1:49" s="21" customFormat="1" ht="30" customHeight="1" x14ac:dyDescent="0.2">
      <c r="A1180" s="2">
        <v>990</v>
      </c>
      <c r="B1180" s="46">
        <v>1</v>
      </c>
      <c r="C1180" s="16" t="s">
        <v>52</v>
      </c>
      <c r="D1180" s="48">
        <v>2739</v>
      </c>
      <c r="E1180" s="47">
        <v>23</v>
      </c>
      <c r="F1180" s="48">
        <v>1927</v>
      </c>
      <c r="G1180" s="49">
        <v>1</v>
      </c>
      <c r="H1180" s="48">
        <v>35</v>
      </c>
      <c r="I1180" s="48">
        <v>3</v>
      </c>
      <c r="J1180" s="48">
        <v>36</v>
      </c>
      <c r="K1180" s="3">
        <f>35*400+336</f>
        <v>14336</v>
      </c>
      <c r="L1180" s="16"/>
      <c r="M1180" s="57"/>
      <c r="N1180" s="58"/>
      <c r="P1180" s="16">
        <v>1</v>
      </c>
      <c r="Q1180" s="20">
        <f t="shared" si="221"/>
        <v>14336</v>
      </c>
      <c r="R1180" s="14">
        <v>200</v>
      </c>
      <c r="S1180" s="19">
        <f t="shared" si="222"/>
        <v>2867200</v>
      </c>
      <c r="T1180" s="16"/>
      <c r="U1180" s="17"/>
      <c r="V1180" s="16"/>
      <c r="W1180" s="5"/>
      <c r="X1180" s="16"/>
      <c r="Y1180" s="5"/>
      <c r="Z1180" s="16"/>
      <c r="AA1180" s="16"/>
      <c r="AB1180" s="16"/>
      <c r="AE1180" s="16"/>
      <c r="AG1180" s="22">
        <f t="shared" si="223"/>
        <v>0</v>
      </c>
      <c r="AH1180" s="6"/>
      <c r="AJ1180" s="20">
        <f t="shared" si="224"/>
        <v>0</v>
      </c>
      <c r="AK1180" s="50"/>
      <c r="AL1180" s="6"/>
      <c r="AM1180" s="20">
        <f t="shared" si="225"/>
        <v>0</v>
      </c>
      <c r="AN1180" s="20">
        <f t="shared" si="226"/>
        <v>2867200</v>
      </c>
      <c r="AP1180" s="20">
        <f t="shared" si="227"/>
        <v>2867200</v>
      </c>
      <c r="AQ1180" s="7"/>
      <c r="AR1180" s="60"/>
      <c r="AS1180" s="128">
        <f>244+250</f>
        <v>494</v>
      </c>
      <c r="AW1180" s="21" t="s">
        <v>102</v>
      </c>
    </row>
    <row r="1181" spans="1:49" s="21" customFormat="1" ht="30" customHeight="1" x14ac:dyDescent="0.2">
      <c r="A1181" s="8">
        <v>991</v>
      </c>
      <c r="B1181" s="46">
        <v>2</v>
      </c>
      <c r="C1181" s="16" t="s">
        <v>52</v>
      </c>
      <c r="D1181" s="48">
        <v>2740</v>
      </c>
      <c r="E1181" s="47">
        <v>24</v>
      </c>
      <c r="F1181" s="48">
        <v>1928</v>
      </c>
      <c r="G1181" s="49">
        <v>1</v>
      </c>
      <c r="H1181" s="48">
        <v>8</v>
      </c>
      <c r="I1181" s="48">
        <v>2</v>
      </c>
      <c r="J1181" s="48">
        <v>8</v>
      </c>
      <c r="K1181" s="3">
        <f>8*400+208</f>
        <v>3408</v>
      </c>
      <c r="L1181" s="16"/>
      <c r="M1181" s="57"/>
      <c r="N1181" s="58"/>
      <c r="P1181" s="16">
        <v>1</v>
      </c>
      <c r="Q1181" s="20">
        <f t="shared" si="221"/>
        <v>3408</v>
      </c>
      <c r="R1181" s="14">
        <v>160</v>
      </c>
      <c r="S1181" s="20">
        <f t="shared" si="222"/>
        <v>545280</v>
      </c>
      <c r="T1181" s="16"/>
      <c r="U1181" s="17"/>
      <c r="V1181" s="17"/>
      <c r="W1181" s="4"/>
      <c r="X1181" s="16"/>
      <c r="Y1181" s="5"/>
      <c r="Z1181" s="16"/>
      <c r="AA1181" s="16"/>
      <c r="AB1181" s="16"/>
      <c r="AE1181" s="16"/>
      <c r="AG1181" s="22">
        <f t="shared" si="223"/>
        <v>0</v>
      </c>
      <c r="AH1181" s="6"/>
      <c r="AJ1181" s="20">
        <f t="shared" si="224"/>
        <v>0</v>
      </c>
      <c r="AK1181" s="50"/>
      <c r="AL1181" s="6"/>
      <c r="AM1181" s="20">
        <f t="shared" si="225"/>
        <v>0</v>
      </c>
      <c r="AN1181" s="20">
        <f t="shared" si="226"/>
        <v>545280</v>
      </c>
      <c r="AP1181" s="20">
        <f t="shared" si="227"/>
        <v>545280</v>
      </c>
      <c r="AQ1181" s="7"/>
      <c r="AR1181" s="25"/>
      <c r="AS1181" s="130"/>
    </row>
    <row r="1182" spans="1:49" ht="30" customHeight="1" x14ac:dyDescent="0.2">
      <c r="A1182" s="2">
        <v>992</v>
      </c>
      <c r="B1182" s="13">
        <v>1</v>
      </c>
      <c r="C1182" s="16" t="s">
        <v>65</v>
      </c>
      <c r="D1182" s="17">
        <v>2617</v>
      </c>
      <c r="E1182" s="17">
        <v>316</v>
      </c>
      <c r="H1182" s="17">
        <v>0</v>
      </c>
      <c r="I1182" s="17">
        <v>3</v>
      </c>
      <c r="J1182" s="17">
        <v>13</v>
      </c>
      <c r="K1182" s="10">
        <v>313</v>
      </c>
      <c r="P1182" s="17">
        <v>1</v>
      </c>
      <c r="Q1182" s="20">
        <f t="shared" si="221"/>
        <v>313</v>
      </c>
      <c r="R1182" s="14">
        <v>160</v>
      </c>
      <c r="S1182" s="19">
        <f t="shared" si="222"/>
        <v>50080</v>
      </c>
      <c r="AE1182" s="17" t="s">
        <v>95</v>
      </c>
      <c r="AG1182" s="22">
        <f t="shared" si="223"/>
        <v>0</v>
      </c>
      <c r="AJ1182" s="20">
        <f t="shared" si="224"/>
        <v>0</v>
      </c>
      <c r="AM1182" s="20">
        <f t="shared" si="225"/>
        <v>0</v>
      </c>
      <c r="AN1182" s="20">
        <f t="shared" si="226"/>
        <v>50080</v>
      </c>
      <c r="AP1182" s="20">
        <f t="shared" si="227"/>
        <v>50080</v>
      </c>
      <c r="AQ1182" s="12">
        <v>1E-4</v>
      </c>
      <c r="AR1182" s="20"/>
    </row>
    <row r="1183" spans="1:49" ht="30" customHeight="1" x14ac:dyDescent="0.2">
      <c r="A1183" s="2">
        <v>993</v>
      </c>
      <c r="B1183" s="13">
        <v>1</v>
      </c>
      <c r="C1183" s="16" t="s">
        <v>52</v>
      </c>
      <c r="D1183" s="17">
        <v>16045</v>
      </c>
      <c r="E1183" s="17">
        <v>51</v>
      </c>
      <c r="F1183" s="17">
        <v>3523</v>
      </c>
      <c r="H1183" s="17">
        <v>8</v>
      </c>
      <c r="I1183" s="17">
        <v>2</v>
      </c>
      <c r="J1183" s="17">
        <v>73</v>
      </c>
      <c r="K1183" s="10">
        <v>3473</v>
      </c>
      <c r="P1183" s="17">
        <v>1</v>
      </c>
      <c r="Q1183" s="20">
        <f t="shared" si="221"/>
        <v>3473</v>
      </c>
      <c r="R1183" s="14">
        <v>200</v>
      </c>
      <c r="S1183" s="20">
        <f t="shared" si="222"/>
        <v>694600</v>
      </c>
      <c r="AG1183" s="22"/>
      <c r="AJ1183" s="20"/>
      <c r="AM1183" s="20"/>
      <c r="AN1183" s="20"/>
      <c r="AP1183" s="20"/>
      <c r="AR1183" s="60"/>
      <c r="AS1183" s="108"/>
    </row>
    <row r="1184" spans="1:49" ht="30" customHeight="1" x14ac:dyDescent="0.2">
      <c r="A1184" s="2">
        <v>994</v>
      </c>
      <c r="B1184" s="13">
        <v>2</v>
      </c>
      <c r="C1184" s="16" t="s">
        <v>52</v>
      </c>
      <c r="D1184" s="17">
        <v>16046</v>
      </c>
      <c r="E1184" s="17">
        <v>52</v>
      </c>
      <c r="F1184" s="17">
        <v>3524</v>
      </c>
      <c r="H1184" s="17">
        <v>11</v>
      </c>
      <c r="I1184" s="17">
        <v>1</v>
      </c>
      <c r="J1184" s="17">
        <v>22</v>
      </c>
      <c r="K1184" s="10">
        <v>4522</v>
      </c>
      <c r="P1184" s="17">
        <v>1</v>
      </c>
      <c r="Q1184" s="20">
        <f t="shared" si="221"/>
        <v>4522</v>
      </c>
      <c r="R1184" s="14">
        <v>200</v>
      </c>
      <c r="S1184" s="19">
        <f t="shared" si="222"/>
        <v>904400</v>
      </c>
      <c r="AG1184" s="22"/>
      <c r="AJ1184" s="20"/>
      <c r="AM1184" s="20"/>
      <c r="AN1184" s="20"/>
      <c r="AP1184" s="20"/>
      <c r="AR1184" s="60"/>
      <c r="AS1184" s="108"/>
    </row>
    <row r="1185" spans="1:45" ht="30" customHeight="1" x14ac:dyDescent="0.2">
      <c r="A1185" s="8"/>
      <c r="C1185" s="16"/>
      <c r="Q1185" s="20"/>
      <c r="AG1185" s="22"/>
      <c r="AJ1185" s="20"/>
      <c r="AM1185" s="20"/>
      <c r="AN1185" s="20"/>
      <c r="AP1185" s="20"/>
      <c r="AR1185" s="60"/>
      <c r="AS1185" s="123"/>
    </row>
    <row r="1186" spans="1:45" ht="30" customHeight="1" x14ac:dyDescent="0.2">
      <c r="C1186" s="16"/>
      <c r="Q1186" s="20"/>
      <c r="S1186" s="20"/>
      <c r="AG1186" s="22"/>
      <c r="AJ1186" s="20"/>
      <c r="AM1186" s="20"/>
      <c r="AN1186" s="20"/>
      <c r="AP1186" s="20"/>
      <c r="AR1186" s="25"/>
      <c r="AS1186" s="125"/>
    </row>
    <row r="1187" spans="1:45" ht="30" customHeight="1" x14ac:dyDescent="0.2">
      <c r="A1187" s="8">
        <v>995</v>
      </c>
      <c r="B1187" s="13">
        <v>1</v>
      </c>
      <c r="C1187" s="16" t="s">
        <v>65</v>
      </c>
      <c r="D1187" s="17">
        <v>934</v>
      </c>
      <c r="E1187" s="17">
        <v>238</v>
      </c>
      <c r="H1187" s="17">
        <v>0</v>
      </c>
      <c r="I1187" s="17">
        <v>1</v>
      </c>
      <c r="J1187" s="17">
        <v>3</v>
      </c>
      <c r="K1187" s="10">
        <v>103</v>
      </c>
      <c r="P1187" s="17">
        <v>1</v>
      </c>
      <c r="Q1187" s="20">
        <f t="shared" si="221"/>
        <v>103</v>
      </c>
      <c r="R1187" s="14">
        <v>2000</v>
      </c>
      <c r="S1187" s="19">
        <f t="shared" si="222"/>
        <v>206000</v>
      </c>
      <c r="AG1187" s="22">
        <f>Y1187</f>
        <v>0</v>
      </c>
      <c r="AJ1187" s="20">
        <f>+AG1187*AH1187*AI1187</f>
        <v>0</v>
      </c>
      <c r="AM1187" s="20">
        <f>+AJ1187-(AL1187*AJ1187)</f>
        <v>0</v>
      </c>
      <c r="AN1187" s="20">
        <f>+S1187+AM1187</f>
        <v>206000</v>
      </c>
      <c r="AP1187" s="20">
        <f>AN1187</f>
        <v>206000</v>
      </c>
      <c r="AQ1187" s="12">
        <v>1E-4</v>
      </c>
      <c r="AR1187" s="20"/>
    </row>
    <row r="1188" spans="1:45" ht="30" customHeight="1" x14ac:dyDescent="0.2">
      <c r="A1188" s="2">
        <v>996</v>
      </c>
      <c r="B1188" s="13">
        <v>1</v>
      </c>
      <c r="C1188" s="16" t="s">
        <v>65</v>
      </c>
      <c r="D1188" s="17">
        <v>2016</v>
      </c>
      <c r="E1188" s="17">
        <v>50</v>
      </c>
      <c r="H1188" s="17">
        <v>7</v>
      </c>
      <c r="I1188" s="17">
        <v>2</v>
      </c>
      <c r="J1188" s="17">
        <v>41</v>
      </c>
      <c r="K1188" s="10">
        <f>7*400+241</f>
        <v>3041</v>
      </c>
      <c r="P1188" s="17">
        <v>1</v>
      </c>
      <c r="Q1188" s="20">
        <f t="shared" si="221"/>
        <v>3041</v>
      </c>
      <c r="R1188" s="14">
        <v>160</v>
      </c>
      <c r="S1188" s="19">
        <f t="shared" si="222"/>
        <v>486560</v>
      </c>
      <c r="AG1188" s="22">
        <f>Y1188</f>
        <v>0</v>
      </c>
      <c r="AJ1188" s="20">
        <f>+AG1188*AH1188*AI1188</f>
        <v>0</v>
      </c>
      <c r="AM1188" s="20">
        <f>+AJ1188-(AL1188*AJ1188)</f>
        <v>0</v>
      </c>
      <c r="AN1188" s="20">
        <f>+S1188+AM1188</f>
        <v>486560</v>
      </c>
      <c r="AP1188" s="20">
        <f>AN1188</f>
        <v>486560</v>
      </c>
      <c r="AQ1188" s="12">
        <v>1E-4</v>
      </c>
      <c r="AR1188" s="20">
        <v>23</v>
      </c>
      <c r="AS1188" s="26">
        <f>23+540</f>
        <v>563</v>
      </c>
    </row>
    <row r="1189" spans="1:45" ht="30" customHeight="1" x14ac:dyDescent="0.2">
      <c r="C1189" s="16"/>
      <c r="Q1189" s="20">
        <f t="shared" si="221"/>
        <v>0</v>
      </c>
      <c r="R1189" s="14" t="e">
        <v>#N/A</v>
      </c>
      <c r="AG1189" s="22"/>
      <c r="AJ1189" s="20"/>
      <c r="AM1189" s="20"/>
      <c r="AN1189" s="20"/>
      <c r="AP1189" s="20"/>
      <c r="AR1189" s="20">
        <v>540</v>
      </c>
    </row>
    <row r="1190" spans="1:45" s="21" customFormat="1" ht="30" customHeight="1" x14ac:dyDescent="0.2">
      <c r="A1190" s="8">
        <v>997</v>
      </c>
      <c r="B1190" s="46">
        <v>1</v>
      </c>
      <c r="C1190" s="16" t="s">
        <v>52</v>
      </c>
      <c r="D1190" s="48">
        <v>30955</v>
      </c>
      <c r="E1190" s="47">
        <v>87</v>
      </c>
      <c r="F1190" s="48">
        <v>5907</v>
      </c>
      <c r="G1190" s="49">
        <v>2</v>
      </c>
      <c r="H1190" s="48">
        <v>4</v>
      </c>
      <c r="I1190" s="48">
        <v>0</v>
      </c>
      <c r="J1190" s="48">
        <v>51.09</v>
      </c>
      <c r="K1190" s="3">
        <f>4*400+51.09</f>
        <v>1651.09</v>
      </c>
      <c r="L1190" s="16"/>
      <c r="M1190" s="57"/>
      <c r="N1190" s="58"/>
      <c r="P1190" s="16">
        <v>1</v>
      </c>
      <c r="Q1190" s="20">
        <f t="shared" si="221"/>
        <v>1651.09</v>
      </c>
      <c r="R1190" s="14">
        <v>160</v>
      </c>
      <c r="S1190" s="20">
        <f t="shared" ref="S1190:S1197" si="228">+Q1190*R1190</f>
        <v>264174.39999999997</v>
      </c>
      <c r="T1190" s="16"/>
      <c r="U1190" s="17"/>
      <c r="V1190" s="17"/>
      <c r="W1190" s="4"/>
      <c r="X1190" s="16"/>
      <c r="Y1190" s="5"/>
      <c r="Z1190" s="16"/>
      <c r="AA1190" s="16"/>
      <c r="AB1190" s="16"/>
      <c r="AC1190" s="14"/>
      <c r="AD1190" s="14"/>
      <c r="AE1190" s="16"/>
      <c r="AG1190" s="22">
        <f t="shared" ref="AG1190:AG1197" si="229">Y1190</f>
        <v>0</v>
      </c>
      <c r="AH1190" s="6"/>
      <c r="AJ1190" s="20">
        <f t="shared" ref="AJ1190:AJ1197" si="230">+AG1190*AH1190*AI1190</f>
        <v>0</v>
      </c>
      <c r="AK1190" s="50"/>
      <c r="AL1190" s="6"/>
      <c r="AM1190" s="20">
        <f t="shared" ref="AM1190:AM1197" si="231">+AJ1190-(AL1190*AJ1190)</f>
        <v>0</v>
      </c>
      <c r="AN1190" s="20">
        <f t="shared" ref="AN1190:AN1197" si="232">+S1190+AM1190</f>
        <v>264174.39999999997</v>
      </c>
      <c r="AP1190" s="20">
        <f t="shared" ref="AP1190:AP1197" si="233">AN1190</f>
        <v>264174.39999999997</v>
      </c>
      <c r="AQ1190" s="7"/>
      <c r="AR1190" s="20"/>
      <c r="AS1190" s="51"/>
    </row>
    <row r="1191" spans="1:45" s="21" customFormat="1" ht="30" customHeight="1" x14ac:dyDescent="0.2">
      <c r="A1191" s="131">
        <v>1086</v>
      </c>
      <c r="B1191" s="46">
        <v>1</v>
      </c>
      <c r="C1191" s="16" t="s">
        <v>52</v>
      </c>
      <c r="D1191" s="48">
        <v>2321</v>
      </c>
      <c r="E1191" s="47">
        <v>101</v>
      </c>
      <c r="F1191" s="48">
        <v>1583</v>
      </c>
      <c r="G1191" s="49">
        <v>3</v>
      </c>
      <c r="H1191" s="48">
        <v>1</v>
      </c>
      <c r="I1191" s="48">
        <v>3</v>
      </c>
      <c r="J1191" s="48">
        <v>10</v>
      </c>
      <c r="K1191" s="3"/>
      <c r="L1191" s="16">
        <v>710</v>
      </c>
      <c r="M1191" s="57"/>
      <c r="N1191" s="58"/>
      <c r="P1191" s="16">
        <v>2</v>
      </c>
      <c r="Q1191" s="20">
        <f t="shared" si="221"/>
        <v>710</v>
      </c>
      <c r="R1191" s="14">
        <v>1500</v>
      </c>
      <c r="S1191" s="19">
        <f t="shared" si="228"/>
        <v>1065000</v>
      </c>
      <c r="T1191" s="16">
        <v>1</v>
      </c>
      <c r="U1191" s="17" t="s">
        <v>57</v>
      </c>
      <c r="V1191" s="17" t="s">
        <v>56</v>
      </c>
      <c r="W1191" s="4"/>
      <c r="X1191" s="16"/>
      <c r="Y1191" s="5">
        <v>288</v>
      </c>
      <c r="Z1191" s="16"/>
      <c r="AA1191" s="16"/>
      <c r="AB1191" s="16">
        <v>8</v>
      </c>
      <c r="AE1191" s="16"/>
      <c r="AG1191" s="22">
        <f t="shared" si="229"/>
        <v>288</v>
      </c>
      <c r="AH1191" s="6"/>
      <c r="AJ1191" s="20">
        <f t="shared" si="230"/>
        <v>0</v>
      </c>
      <c r="AK1191" s="50">
        <v>8</v>
      </c>
      <c r="AL1191" s="6"/>
      <c r="AM1191" s="20">
        <f t="shared" si="231"/>
        <v>0</v>
      </c>
      <c r="AN1191" s="20">
        <f t="shared" si="232"/>
        <v>1065000</v>
      </c>
      <c r="AP1191" s="20">
        <f t="shared" si="233"/>
        <v>1065000</v>
      </c>
      <c r="AQ1191" s="7"/>
      <c r="AR1191" s="20"/>
      <c r="AS1191" s="51"/>
    </row>
    <row r="1192" spans="1:45" s="21" customFormat="1" ht="30" customHeight="1" x14ac:dyDescent="0.2">
      <c r="A1192" s="131"/>
      <c r="B1192" s="46"/>
      <c r="C1192" s="16"/>
      <c r="D1192" s="48"/>
      <c r="E1192" s="47"/>
      <c r="F1192" s="48"/>
      <c r="G1192" s="49"/>
      <c r="H1192" s="48"/>
      <c r="I1192" s="48"/>
      <c r="J1192" s="48"/>
      <c r="K1192" s="3"/>
      <c r="L1192" s="16"/>
      <c r="M1192" s="57"/>
      <c r="N1192" s="58"/>
      <c r="P1192" s="16"/>
      <c r="Q1192" s="20">
        <f t="shared" si="221"/>
        <v>0</v>
      </c>
      <c r="R1192" s="14" t="e">
        <v>#N/A</v>
      </c>
      <c r="S1192" s="19" t="e">
        <f t="shared" si="228"/>
        <v>#N/A</v>
      </c>
      <c r="T1192" s="16">
        <v>2</v>
      </c>
      <c r="U1192" s="17" t="s">
        <v>57</v>
      </c>
      <c r="V1192" s="17" t="s">
        <v>56</v>
      </c>
      <c r="W1192" s="4"/>
      <c r="X1192" s="16"/>
      <c r="Y1192" s="5"/>
      <c r="Z1192" s="16">
        <v>216</v>
      </c>
      <c r="AA1192" s="16"/>
      <c r="AB1192" s="16">
        <v>8</v>
      </c>
      <c r="AE1192" s="16"/>
      <c r="AG1192" s="22">
        <f t="shared" si="229"/>
        <v>0</v>
      </c>
      <c r="AH1192" s="6"/>
      <c r="AJ1192" s="20">
        <f t="shared" si="230"/>
        <v>0</v>
      </c>
      <c r="AK1192" s="50">
        <v>8</v>
      </c>
      <c r="AL1192" s="6"/>
      <c r="AM1192" s="20">
        <f t="shared" si="231"/>
        <v>0</v>
      </c>
      <c r="AN1192" s="20" t="e">
        <f t="shared" si="232"/>
        <v>#N/A</v>
      </c>
      <c r="AP1192" s="20" t="e">
        <f t="shared" si="233"/>
        <v>#N/A</v>
      </c>
      <c r="AQ1192" s="7"/>
      <c r="AR1192" s="20"/>
      <c r="AS1192" s="51"/>
    </row>
    <row r="1193" spans="1:45" s="21" customFormat="1" ht="30" customHeight="1" x14ac:dyDescent="0.2">
      <c r="A1193" s="8">
        <v>998</v>
      </c>
      <c r="B1193" s="21">
        <v>1</v>
      </c>
      <c r="C1193" s="16" t="s">
        <v>52</v>
      </c>
      <c r="D1193" s="48">
        <v>20646</v>
      </c>
      <c r="E1193" s="47">
        <v>187</v>
      </c>
      <c r="F1193" s="48">
        <v>4632</v>
      </c>
      <c r="G1193" s="49">
        <v>1</v>
      </c>
      <c r="H1193" s="48">
        <v>0</v>
      </c>
      <c r="I1193" s="48">
        <v>2</v>
      </c>
      <c r="J1193" s="48">
        <v>5</v>
      </c>
      <c r="K1193" s="3">
        <v>205</v>
      </c>
      <c r="L1193" s="16"/>
      <c r="M1193" s="57"/>
      <c r="N1193" s="58"/>
      <c r="P1193" s="16">
        <v>1</v>
      </c>
      <c r="Q1193" s="20">
        <f t="shared" si="221"/>
        <v>205</v>
      </c>
      <c r="R1193" s="14">
        <v>200</v>
      </c>
      <c r="S1193" s="20">
        <f t="shared" si="228"/>
        <v>41000</v>
      </c>
      <c r="T1193" s="16"/>
      <c r="U1193" s="17"/>
      <c r="V1193" s="17"/>
      <c r="W1193" s="4"/>
      <c r="X1193" s="16"/>
      <c r="Y1193" s="5"/>
      <c r="Z1193" s="16"/>
      <c r="AA1193" s="16"/>
      <c r="AB1193" s="16"/>
      <c r="AC1193" s="14"/>
      <c r="AD1193" s="14"/>
      <c r="AE1193" s="16" t="s">
        <v>146</v>
      </c>
      <c r="AG1193" s="22">
        <f t="shared" si="229"/>
        <v>0</v>
      </c>
      <c r="AH1193" s="6"/>
      <c r="AJ1193" s="20">
        <f t="shared" si="230"/>
        <v>0</v>
      </c>
      <c r="AK1193" s="50"/>
      <c r="AL1193" s="6"/>
      <c r="AM1193" s="20">
        <f t="shared" si="231"/>
        <v>0</v>
      </c>
      <c r="AN1193" s="20">
        <f t="shared" si="232"/>
        <v>41000</v>
      </c>
      <c r="AP1193" s="20">
        <f t="shared" si="233"/>
        <v>41000</v>
      </c>
      <c r="AQ1193" s="7"/>
      <c r="AR1193" s="20"/>
      <c r="AS1193" s="51"/>
    </row>
    <row r="1194" spans="1:45" ht="30" customHeight="1" x14ac:dyDescent="0.2">
      <c r="A1194" s="2">
        <v>999</v>
      </c>
      <c r="B1194" s="46">
        <v>2</v>
      </c>
      <c r="C1194" s="16" t="s">
        <v>52</v>
      </c>
      <c r="D1194" s="48">
        <v>1094</v>
      </c>
      <c r="E1194" s="47">
        <v>25</v>
      </c>
      <c r="F1194" s="48">
        <v>983</v>
      </c>
      <c r="G1194" s="49">
        <v>1</v>
      </c>
      <c r="H1194" s="48">
        <v>4</v>
      </c>
      <c r="I1194" s="48">
        <v>1</v>
      </c>
      <c r="J1194" s="48">
        <v>21</v>
      </c>
      <c r="K1194" s="28">
        <v>1721</v>
      </c>
      <c r="M1194" s="103"/>
      <c r="P1194" s="17">
        <v>1</v>
      </c>
      <c r="Q1194" s="20">
        <f t="shared" si="221"/>
        <v>1721</v>
      </c>
      <c r="R1194" s="14">
        <v>160</v>
      </c>
      <c r="S1194" s="19">
        <f t="shared" si="228"/>
        <v>275360</v>
      </c>
      <c r="Y1194" s="67"/>
      <c r="AC1194" s="21"/>
      <c r="AD1194" s="21"/>
      <c r="AG1194" s="22">
        <f t="shared" si="229"/>
        <v>0</v>
      </c>
      <c r="AJ1194" s="20">
        <f t="shared" si="230"/>
        <v>0</v>
      </c>
      <c r="AM1194" s="20">
        <f t="shared" si="231"/>
        <v>0</v>
      </c>
      <c r="AN1194" s="20">
        <f t="shared" si="232"/>
        <v>275360</v>
      </c>
      <c r="AP1194" s="20">
        <f t="shared" si="233"/>
        <v>275360</v>
      </c>
      <c r="AR1194" s="20"/>
    </row>
    <row r="1195" spans="1:45" s="21" customFormat="1" ht="30" customHeight="1" x14ac:dyDescent="0.2">
      <c r="A1195" s="8">
        <v>1000</v>
      </c>
      <c r="B1195" s="46">
        <v>1</v>
      </c>
      <c r="C1195" s="16" t="s">
        <v>52</v>
      </c>
      <c r="D1195" s="48">
        <v>2136</v>
      </c>
      <c r="E1195" s="47">
        <v>4</v>
      </c>
      <c r="F1195" s="48">
        <v>1573</v>
      </c>
      <c r="G1195" s="49">
        <v>3</v>
      </c>
      <c r="H1195" s="48">
        <v>3</v>
      </c>
      <c r="I1195" s="48">
        <v>3</v>
      </c>
      <c r="J1195" s="48">
        <v>28</v>
      </c>
      <c r="K1195" s="3">
        <f>3*400+328</f>
        <v>1528</v>
      </c>
      <c r="L1195" s="16"/>
      <c r="M1195" s="57"/>
      <c r="N1195" s="58"/>
      <c r="P1195" s="16">
        <v>1</v>
      </c>
      <c r="Q1195" s="20">
        <f t="shared" si="221"/>
        <v>1528</v>
      </c>
      <c r="R1195" s="14">
        <v>200</v>
      </c>
      <c r="S1195" s="19">
        <f t="shared" si="228"/>
        <v>305600</v>
      </c>
      <c r="T1195" s="16"/>
      <c r="U1195" s="17"/>
      <c r="V1195" s="17"/>
      <c r="W1195" s="4"/>
      <c r="X1195" s="16"/>
      <c r="Y1195" s="5"/>
      <c r="Z1195" s="16"/>
      <c r="AA1195" s="16"/>
      <c r="AB1195" s="16"/>
      <c r="AC1195" s="14"/>
      <c r="AD1195" s="14"/>
      <c r="AE1195" s="16"/>
      <c r="AG1195" s="22">
        <f t="shared" si="229"/>
        <v>0</v>
      </c>
      <c r="AH1195" s="6"/>
      <c r="AJ1195" s="20">
        <f t="shared" si="230"/>
        <v>0</v>
      </c>
      <c r="AK1195" s="50"/>
      <c r="AL1195" s="6"/>
      <c r="AM1195" s="20">
        <f t="shared" si="231"/>
        <v>0</v>
      </c>
      <c r="AN1195" s="20">
        <f t="shared" si="232"/>
        <v>305600</v>
      </c>
      <c r="AP1195" s="20">
        <f t="shared" si="233"/>
        <v>305600</v>
      </c>
      <c r="AQ1195" s="7"/>
      <c r="AR1195" s="60"/>
      <c r="AS1195" s="128">
        <v>53</v>
      </c>
    </row>
    <row r="1196" spans="1:45" s="21" customFormat="1" ht="30" customHeight="1" x14ac:dyDescent="0.2">
      <c r="A1196" s="8">
        <v>1001</v>
      </c>
      <c r="B1196" s="46">
        <v>2</v>
      </c>
      <c r="C1196" s="16" t="s">
        <v>52</v>
      </c>
      <c r="D1196" s="48">
        <v>17643</v>
      </c>
      <c r="E1196" s="47">
        <v>13</v>
      </c>
      <c r="F1196" s="48">
        <v>3771</v>
      </c>
      <c r="G1196" s="49">
        <v>3</v>
      </c>
      <c r="H1196" s="48">
        <v>3</v>
      </c>
      <c r="I1196" s="48">
        <v>3</v>
      </c>
      <c r="J1196" s="48">
        <v>12.06</v>
      </c>
      <c r="K1196" s="3">
        <f>1200+300+12.06</f>
        <v>1512.06</v>
      </c>
      <c r="L1196" s="16"/>
      <c r="M1196" s="57"/>
      <c r="N1196" s="58"/>
      <c r="P1196" s="16">
        <v>1</v>
      </c>
      <c r="Q1196" s="20">
        <f t="shared" si="221"/>
        <v>1512.06</v>
      </c>
      <c r="R1196" s="14">
        <v>160</v>
      </c>
      <c r="S1196" s="20">
        <f t="shared" si="228"/>
        <v>241929.59999999998</v>
      </c>
      <c r="T1196" s="16"/>
      <c r="U1196" s="16"/>
      <c r="V1196" s="16"/>
      <c r="W1196" s="5"/>
      <c r="X1196" s="16"/>
      <c r="Y1196" s="5"/>
      <c r="Z1196" s="16"/>
      <c r="AA1196" s="16"/>
      <c r="AB1196" s="16"/>
      <c r="AC1196" s="14"/>
      <c r="AD1196" s="14"/>
      <c r="AE1196" s="16"/>
      <c r="AG1196" s="22">
        <f t="shared" si="229"/>
        <v>0</v>
      </c>
      <c r="AH1196" s="6"/>
      <c r="AJ1196" s="20">
        <f t="shared" si="230"/>
        <v>0</v>
      </c>
      <c r="AK1196" s="50"/>
      <c r="AL1196" s="6"/>
      <c r="AM1196" s="20">
        <f t="shared" si="231"/>
        <v>0</v>
      </c>
      <c r="AN1196" s="20">
        <f t="shared" si="232"/>
        <v>241929.59999999998</v>
      </c>
      <c r="AP1196" s="20">
        <f t="shared" si="233"/>
        <v>241929.59999999998</v>
      </c>
      <c r="AQ1196" s="7"/>
      <c r="AR1196" s="24"/>
      <c r="AS1196" s="129"/>
    </row>
    <row r="1197" spans="1:45" s="21" customFormat="1" ht="30" customHeight="1" x14ac:dyDescent="0.2">
      <c r="A1197" s="8">
        <v>1002</v>
      </c>
      <c r="B1197" s="46">
        <v>3</v>
      </c>
      <c r="C1197" s="16" t="s">
        <v>52</v>
      </c>
      <c r="D1197" s="48">
        <v>2023</v>
      </c>
      <c r="E1197" s="47">
        <v>91</v>
      </c>
      <c r="F1197" s="48">
        <v>1089</v>
      </c>
      <c r="G1197" s="49">
        <v>3</v>
      </c>
      <c r="H1197" s="48">
        <v>0</v>
      </c>
      <c r="I1197" s="48">
        <v>2</v>
      </c>
      <c r="J1197" s="48">
        <v>81</v>
      </c>
      <c r="K1197" s="3"/>
      <c r="L1197" s="16"/>
      <c r="M1197" s="57"/>
      <c r="N1197" s="58">
        <v>281</v>
      </c>
      <c r="P1197" s="16">
        <v>4</v>
      </c>
      <c r="Q1197" s="20">
        <f t="shared" si="221"/>
        <v>281</v>
      </c>
      <c r="R1197" s="14">
        <v>1000</v>
      </c>
      <c r="S1197" s="19">
        <f t="shared" si="228"/>
        <v>281000</v>
      </c>
      <c r="T1197" s="16"/>
      <c r="U1197" s="17"/>
      <c r="V1197" s="16"/>
      <c r="W1197" s="5"/>
      <c r="X1197" s="16"/>
      <c r="Y1197" s="5"/>
      <c r="Z1197" s="16"/>
      <c r="AA1197" s="16"/>
      <c r="AB1197" s="16"/>
      <c r="AC1197" s="14"/>
      <c r="AD1197" s="14"/>
      <c r="AE1197" s="16"/>
      <c r="AG1197" s="22">
        <f t="shared" si="229"/>
        <v>0</v>
      </c>
      <c r="AH1197" s="6"/>
      <c r="AJ1197" s="20">
        <f t="shared" si="230"/>
        <v>0</v>
      </c>
      <c r="AK1197" s="50"/>
      <c r="AL1197" s="6"/>
      <c r="AM1197" s="20">
        <f t="shared" si="231"/>
        <v>0</v>
      </c>
      <c r="AN1197" s="20">
        <f t="shared" si="232"/>
        <v>281000</v>
      </c>
      <c r="AP1197" s="20">
        <f t="shared" si="233"/>
        <v>281000</v>
      </c>
      <c r="AQ1197" s="7">
        <v>3.0000000000000001E-3</v>
      </c>
      <c r="AR1197" s="24"/>
      <c r="AS1197" s="129"/>
    </row>
    <row r="1198" spans="1:45" s="21" customFormat="1" ht="30" customHeight="1" x14ac:dyDescent="0.2">
      <c r="A1198" s="8"/>
      <c r="B1198" s="46"/>
      <c r="C1198" s="16"/>
      <c r="D1198" s="48"/>
      <c r="E1198" s="47"/>
      <c r="F1198" s="48"/>
      <c r="G1198" s="49"/>
      <c r="H1198" s="48"/>
      <c r="I1198" s="48"/>
      <c r="J1198" s="48"/>
      <c r="K1198" s="3"/>
      <c r="L1198" s="16"/>
      <c r="M1198" s="57"/>
      <c r="N1198" s="58"/>
      <c r="P1198" s="16"/>
      <c r="Q1198" s="20"/>
      <c r="R1198" s="14"/>
      <c r="S1198" s="19"/>
      <c r="T1198" s="16"/>
      <c r="U1198" s="17"/>
      <c r="V1198" s="16"/>
      <c r="W1198" s="5"/>
      <c r="X1198" s="16"/>
      <c r="Y1198" s="5"/>
      <c r="Z1198" s="16"/>
      <c r="AA1198" s="16"/>
      <c r="AB1198" s="16"/>
      <c r="AC1198" s="14"/>
      <c r="AD1198" s="14"/>
      <c r="AE1198" s="16"/>
      <c r="AG1198" s="22"/>
      <c r="AH1198" s="6"/>
      <c r="AJ1198" s="20"/>
      <c r="AK1198" s="50"/>
      <c r="AL1198" s="6"/>
      <c r="AM1198" s="20"/>
      <c r="AN1198" s="20"/>
      <c r="AP1198" s="20"/>
      <c r="AQ1198" s="7"/>
      <c r="AR1198" s="25"/>
      <c r="AS1198" s="130"/>
    </row>
    <row r="1199" spans="1:45" s="21" customFormat="1" ht="30" customHeight="1" x14ac:dyDescent="0.2">
      <c r="A1199" s="8">
        <v>1003</v>
      </c>
      <c r="B1199" s="46">
        <v>1</v>
      </c>
      <c r="C1199" s="16" t="s">
        <v>52</v>
      </c>
      <c r="D1199" s="48">
        <v>1714</v>
      </c>
      <c r="E1199" s="47">
        <v>39</v>
      </c>
      <c r="F1199" s="48">
        <v>1413</v>
      </c>
      <c r="G1199" s="49">
        <v>2</v>
      </c>
      <c r="H1199" s="48">
        <v>0</v>
      </c>
      <c r="I1199" s="48">
        <v>0</v>
      </c>
      <c r="J1199" s="48">
        <v>35</v>
      </c>
      <c r="K1199" s="3"/>
      <c r="L1199" s="16">
        <v>35</v>
      </c>
      <c r="M1199" s="57"/>
      <c r="N1199" s="58"/>
      <c r="P1199" s="16">
        <v>2</v>
      </c>
      <c r="Q1199" s="20">
        <f t="shared" si="221"/>
        <v>35</v>
      </c>
      <c r="R1199" s="14">
        <v>4500</v>
      </c>
      <c r="S1199" s="19">
        <f t="shared" ref="S1199:S1206" si="234">+Q1199*R1199</f>
        <v>157500</v>
      </c>
      <c r="T1199" s="16"/>
      <c r="U1199" s="17"/>
      <c r="V1199" s="17"/>
      <c r="W1199" s="4"/>
      <c r="X1199" s="16"/>
      <c r="Y1199" s="5"/>
      <c r="Z1199" s="16"/>
      <c r="AA1199" s="16"/>
      <c r="AB1199" s="16"/>
      <c r="AC1199" s="14"/>
      <c r="AD1199" s="14"/>
      <c r="AE1199" s="16"/>
      <c r="AG1199" s="22">
        <f t="shared" ref="AG1199:AG1205" si="235">Y1199</f>
        <v>0</v>
      </c>
      <c r="AH1199" s="6"/>
      <c r="AJ1199" s="20">
        <f t="shared" ref="AJ1199:AJ1206" si="236">+AG1199*AH1199*AI1199</f>
        <v>0</v>
      </c>
      <c r="AK1199" s="50"/>
      <c r="AL1199" s="6"/>
      <c r="AM1199" s="20">
        <f t="shared" ref="AM1199:AM1206" si="237">+AJ1199-(AL1199*AJ1199)</f>
        <v>0</v>
      </c>
      <c r="AN1199" s="20">
        <f t="shared" ref="AN1199:AN1206" si="238">+S1199+AM1199</f>
        <v>157500</v>
      </c>
      <c r="AP1199" s="20">
        <f t="shared" ref="AP1199:AP1206" si="239">AN1199</f>
        <v>157500</v>
      </c>
      <c r="AQ1199" s="7"/>
      <c r="AR1199" s="20"/>
      <c r="AS1199" s="51"/>
    </row>
    <row r="1200" spans="1:45" ht="30" customHeight="1" x14ac:dyDescent="0.2">
      <c r="A1200" s="8">
        <v>1004</v>
      </c>
      <c r="B1200" s="13">
        <v>2</v>
      </c>
      <c r="C1200" s="16" t="s">
        <v>65</v>
      </c>
      <c r="D1200" s="17">
        <v>1278</v>
      </c>
      <c r="E1200" s="17">
        <v>138</v>
      </c>
      <c r="H1200" s="17">
        <v>25</v>
      </c>
      <c r="I1200" s="17">
        <v>0</v>
      </c>
      <c r="J1200" s="17">
        <v>50</v>
      </c>
      <c r="K1200" s="10">
        <f>25*400+50</f>
        <v>10050</v>
      </c>
      <c r="P1200" s="17">
        <v>1</v>
      </c>
      <c r="Q1200" s="20">
        <f t="shared" si="221"/>
        <v>10050</v>
      </c>
      <c r="R1200" s="14">
        <v>200</v>
      </c>
      <c r="S1200" s="19">
        <f t="shared" si="234"/>
        <v>2010000</v>
      </c>
      <c r="AC1200" s="21"/>
      <c r="AD1200" s="21"/>
      <c r="AG1200" s="22">
        <f t="shared" si="235"/>
        <v>0</v>
      </c>
      <c r="AJ1200" s="20">
        <f t="shared" si="236"/>
        <v>0</v>
      </c>
      <c r="AM1200" s="20">
        <f t="shared" si="237"/>
        <v>0</v>
      </c>
      <c r="AN1200" s="20">
        <f t="shared" si="238"/>
        <v>2010000</v>
      </c>
      <c r="AP1200" s="20">
        <f t="shared" si="239"/>
        <v>2010000</v>
      </c>
      <c r="AQ1200" s="12">
        <v>1E-4</v>
      </c>
      <c r="AR1200" s="20"/>
    </row>
    <row r="1201" spans="1:45" ht="30" customHeight="1" x14ac:dyDescent="0.2">
      <c r="A1201" s="8">
        <v>1005</v>
      </c>
      <c r="B1201" s="13">
        <v>3</v>
      </c>
      <c r="C1201" s="16" t="s">
        <v>65</v>
      </c>
      <c r="D1201" s="17">
        <v>1945</v>
      </c>
      <c r="E1201" s="17">
        <v>31</v>
      </c>
      <c r="H1201" s="17">
        <v>9</v>
      </c>
      <c r="I1201" s="17">
        <v>1</v>
      </c>
      <c r="J1201" s="17">
        <v>6</v>
      </c>
      <c r="K1201" s="10">
        <f>9*400+106</f>
        <v>3706</v>
      </c>
      <c r="P1201" s="17">
        <v>1</v>
      </c>
      <c r="Q1201" s="20">
        <f t="shared" si="221"/>
        <v>3706</v>
      </c>
      <c r="R1201" s="14">
        <v>160</v>
      </c>
      <c r="S1201" s="20">
        <f t="shared" si="234"/>
        <v>592960</v>
      </c>
      <c r="AC1201" s="21"/>
      <c r="AD1201" s="21"/>
      <c r="AG1201" s="22">
        <f t="shared" si="235"/>
        <v>0</v>
      </c>
      <c r="AJ1201" s="20">
        <f t="shared" si="236"/>
        <v>0</v>
      </c>
      <c r="AM1201" s="20">
        <f t="shared" si="237"/>
        <v>0</v>
      </c>
      <c r="AN1201" s="20">
        <f t="shared" si="238"/>
        <v>592960</v>
      </c>
      <c r="AP1201" s="20">
        <f t="shared" si="239"/>
        <v>592960</v>
      </c>
      <c r="AQ1201" s="12">
        <v>1E-4</v>
      </c>
      <c r="AR1201" s="20"/>
    </row>
    <row r="1202" spans="1:45" ht="30" customHeight="1" x14ac:dyDescent="0.2">
      <c r="A1202" s="8">
        <v>1006</v>
      </c>
      <c r="B1202" s="13">
        <v>4</v>
      </c>
      <c r="C1202" s="16" t="s">
        <v>65</v>
      </c>
      <c r="D1202" s="17">
        <v>2149</v>
      </c>
      <c r="E1202" s="17">
        <v>1</v>
      </c>
      <c r="H1202" s="17">
        <v>13</v>
      </c>
      <c r="I1202" s="17">
        <v>1</v>
      </c>
      <c r="J1202" s="17">
        <v>20</v>
      </c>
      <c r="K1202" s="10">
        <f>13*400+120</f>
        <v>5320</v>
      </c>
      <c r="P1202" s="17">
        <v>1</v>
      </c>
      <c r="Q1202" s="20">
        <f t="shared" si="221"/>
        <v>5320</v>
      </c>
      <c r="R1202" s="14">
        <v>410</v>
      </c>
      <c r="S1202" s="19">
        <f t="shared" si="234"/>
        <v>2181200</v>
      </c>
      <c r="AC1202" s="21"/>
      <c r="AD1202" s="21"/>
      <c r="AG1202" s="22">
        <f t="shared" si="235"/>
        <v>0</v>
      </c>
      <c r="AJ1202" s="20">
        <f t="shared" si="236"/>
        <v>0</v>
      </c>
      <c r="AM1202" s="20">
        <f t="shared" si="237"/>
        <v>0</v>
      </c>
      <c r="AN1202" s="20">
        <f t="shared" si="238"/>
        <v>2181200</v>
      </c>
      <c r="AP1202" s="20">
        <f t="shared" si="239"/>
        <v>2181200</v>
      </c>
      <c r="AQ1202" s="12">
        <v>1E-4</v>
      </c>
      <c r="AR1202" s="20"/>
    </row>
    <row r="1203" spans="1:45" s="21" customFormat="1" ht="30" customHeight="1" x14ac:dyDescent="0.2">
      <c r="A1203" s="8">
        <v>1007</v>
      </c>
      <c r="B1203" s="46">
        <v>1</v>
      </c>
      <c r="C1203" s="16" t="s">
        <v>52</v>
      </c>
      <c r="D1203" s="48">
        <v>2282</v>
      </c>
      <c r="E1203" s="47">
        <v>72</v>
      </c>
      <c r="F1203" s="48">
        <v>1765</v>
      </c>
      <c r="G1203" s="49">
        <v>2</v>
      </c>
      <c r="H1203" s="48">
        <v>0</v>
      </c>
      <c r="I1203" s="48">
        <v>0</v>
      </c>
      <c r="J1203" s="48">
        <v>75</v>
      </c>
      <c r="K1203" s="3"/>
      <c r="L1203" s="16">
        <v>75</v>
      </c>
      <c r="M1203" s="57"/>
      <c r="N1203" s="58"/>
      <c r="P1203" s="16">
        <v>2</v>
      </c>
      <c r="Q1203" s="20">
        <f t="shared" si="221"/>
        <v>75</v>
      </c>
      <c r="R1203" s="14">
        <v>2000</v>
      </c>
      <c r="S1203" s="19">
        <f t="shared" si="234"/>
        <v>150000</v>
      </c>
      <c r="T1203" s="16"/>
      <c r="U1203" s="17" t="s">
        <v>147</v>
      </c>
      <c r="V1203" s="17" t="s">
        <v>56</v>
      </c>
      <c r="W1203" s="4">
        <f>4.5*25</f>
        <v>112.5</v>
      </c>
      <c r="X1203" s="16"/>
      <c r="Y1203" s="5">
        <v>112.5</v>
      </c>
      <c r="Z1203" s="16"/>
      <c r="AA1203" s="16"/>
      <c r="AB1203" s="16">
        <v>30</v>
      </c>
      <c r="AE1203" s="16"/>
      <c r="AF1203" s="21">
        <v>2</v>
      </c>
      <c r="AG1203" s="22">
        <f t="shared" si="235"/>
        <v>112.5</v>
      </c>
      <c r="AH1203" s="6"/>
      <c r="AJ1203" s="20">
        <f t="shared" si="236"/>
        <v>0</v>
      </c>
      <c r="AK1203" s="50"/>
      <c r="AL1203" s="6"/>
      <c r="AM1203" s="20">
        <f t="shared" si="237"/>
        <v>0</v>
      </c>
      <c r="AN1203" s="20">
        <f t="shared" si="238"/>
        <v>150000</v>
      </c>
      <c r="AP1203" s="20">
        <f t="shared" si="239"/>
        <v>150000</v>
      </c>
      <c r="AQ1203" s="7"/>
      <c r="AR1203" s="20"/>
      <c r="AS1203" s="51"/>
    </row>
    <row r="1204" spans="1:45" s="21" customFormat="1" ht="30" customHeight="1" x14ac:dyDescent="0.2">
      <c r="A1204" s="8">
        <v>1008</v>
      </c>
      <c r="B1204" s="46">
        <v>1</v>
      </c>
      <c r="C1204" s="16" t="s">
        <v>52</v>
      </c>
      <c r="D1204" s="48">
        <v>15986</v>
      </c>
      <c r="E1204" s="47">
        <v>140</v>
      </c>
      <c r="F1204" s="48">
        <v>3495</v>
      </c>
      <c r="G1204" s="49"/>
      <c r="H1204" s="48">
        <v>0</v>
      </c>
      <c r="I1204" s="48">
        <v>0</v>
      </c>
      <c r="J1204" s="48">
        <v>97</v>
      </c>
      <c r="K1204" s="3"/>
      <c r="L1204" s="16"/>
      <c r="M1204" s="57"/>
      <c r="N1204" s="58">
        <v>97</v>
      </c>
      <c r="P1204" s="16">
        <v>4</v>
      </c>
      <c r="Q1204" s="20">
        <f t="shared" si="221"/>
        <v>97</v>
      </c>
      <c r="R1204" s="14">
        <v>200</v>
      </c>
      <c r="S1204" s="20">
        <f t="shared" si="234"/>
        <v>19400</v>
      </c>
      <c r="T1204" s="16"/>
      <c r="U1204" s="17"/>
      <c r="V1204" s="17"/>
      <c r="W1204" s="4"/>
      <c r="X1204" s="16"/>
      <c r="Y1204" s="5"/>
      <c r="Z1204" s="16"/>
      <c r="AA1204" s="16"/>
      <c r="AB1204" s="16"/>
      <c r="AE1204" s="16"/>
      <c r="AG1204" s="22">
        <f t="shared" si="235"/>
        <v>0</v>
      </c>
      <c r="AH1204" s="6"/>
      <c r="AJ1204" s="20">
        <f t="shared" si="236"/>
        <v>0</v>
      </c>
      <c r="AK1204" s="50"/>
      <c r="AL1204" s="6"/>
      <c r="AM1204" s="20">
        <f t="shared" si="237"/>
        <v>0</v>
      </c>
      <c r="AN1204" s="20">
        <f t="shared" si="238"/>
        <v>19400</v>
      </c>
      <c r="AP1204" s="20">
        <f t="shared" si="239"/>
        <v>19400</v>
      </c>
      <c r="AQ1204" s="7">
        <v>3.0000000000000001E-3</v>
      </c>
      <c r="AR1204" s="20"/>
      <c r="AS1204" s="101" t="e">
        <f>+#REF!+#REF!</f>
        <v>#REF!</v>
      </c>
    </row>
    <row r="1205" spans="1:45" ht="30" customHeight="1" x14ac:dyDescent="0.2">
      <c r="A1205" s="8">
        <v>1009</v>
      </c>
      <c r="B1205" s="13">
        <v>2</v>
      </c>
      <c r="C1205" s="16" t="s">
        <v>97</v>
      </c>
      <c r="D1205" s="17">
        <v>44</v>
      </c>
      <c r="G1205" s="13">
        <v>3</v>
      </c>
      <c r="H1205" s="17">
        <v>3</v>
      </c>
      <c r="I1205" s="17">
        <v>0</v>
      </c>
      <c r="J1205" s="17">
        <v>0</v>
      </c>
      <c r="K1205" s="10">
        <v>1200</v>
      </c>
      <c r="P1205" s="17">
        <v>1</v>
      </c>
      <c r="Q1205" s="20">
        <f t="shared" si="221"/>
        <v>1200</v>
      </c>
      <c r="R1205" s="14">
        <v>160</v>
      </c>
      <c r="S1205" s="19">
        <f t="shared" si="234"/>
        <v>192000</v>
      </c>
      <c r="AG1205" s="22">
        <f t="shared" si="235"/>
        <v>0</v>
      </c>
      <c r="AJ1205" s="20">
        <f t="shared" si="236"/>
        <v>0</v>
      </c>
      <c r="AM1205" s="20">
        <f t="shared" si="237"/>
        <v>0</v>
      </c>
      <c r="AN1205" s="20">
        <f t="shared" si="238"/>
        <v>192000</v>
      </c>
      <c r="AP1205" s="20">
        <f t="shared" si="239"/>
        <v>192000</v>
      </c>
      <c r="AQ1205" s="12">
        <v>1E-4</v>
      </c>
      <c r="AR1205" s="20"/>
    </row>
    <row r="1206" spans="1:45" s="21" customFormat="1" ht="30" customHeight="1" x14ac:dyDescent="0.2">
      <c r="A1206" s="8">
        <v>1010</v>
      </c>
      <c r="B1206" s="46">
        <v>1</v>
      </c>
      <c r="C1206" s="16" t="s">
        <v>52</v>
      </c>
      <c r="D1206" s="48">
        <v>410</v>
      </c>
      <c r="E1206" s="47">
        <v>508</v>
      </c>
      <c r="F1206" s="48">
        <v>23</v>
      </c>
      <c r="G1206" s="49">
        <v>2</v>
      </c>
      <c r="H1206" s="48">
        <v>0</v>
      </c>
      <c r="I1206" s="48">
        <v>0</v>
      </c>
      <c r="J1206" s="48">
        <v>50.03</v>
      </c>
      <c r="K1206" s="3"/>
      <c r="L1206" s="16"/>
      <c r="M1206" s="57">
        <v>53.03</v>
      </c>
      <c r="N1206" s="58"/>
      <c r="P1206" s="16">
        <v>3</v>
      </c>
      <c r="Q1206" s="20">
        <f t="shared" si="221"/>
        <v>50.03</v>
      </c>
      <c r="R1206" s="14">
        <v>4500</v>
      </c>
      <c r="S1206" s="19">
        <f t="shared" si="234"/>
        <v>225135</v>
      </c>
      <c r="T1206" s="16"/>
      <c r="U1206" s="17" t="s">
        <v>87</v>
      </c>
      <c r="V1206" s="17" t="s">
        <v>84</v>
      </c>
      <c r="W1206" s="4">
        <f>9*18</f>
        <v>162</v>
      </c>
      <c r="X1206" s="16"/>
      <c r="Y1206" s="5"/>
      <c r="Z1206" s="16">
        <v>162</v>
      </c>
      <c r="AA1206" s="16"/>
      <c r="AB1206" s="16">
        <v>32</v>
      </c>
      <c r="AC1206" s="21" t="s">
        <v>81</v>
      </c>
      <c r="AE1206" s="16" t="s">
        <v>148</v>
      </c>
      <c r="AF1206" s="21">
        <v>3</v>
      </c>
      <c r="AG1206" s="22">
        <v>164</v>
      </c>
      <c r="AH1206" s="6">
        <v>1</v>
      </c>
      <c r="AI1206" s="21">
        <v>7200</v>
      </c>
      <c r="AJ1206" s="20">
        <f t="shared" si="236"/>
        <v>1180800</v>
      </c>
      <c r="AK1206" s="50">
        <v>32</v>
      </c>
      <c r="AL1206" s="6">
        <v>0.85</v>
      </c>
      <c r="AM1206" s="20">
        <f t="shared" si="237"/>
        <v>177120</v>
      </c>
      <c r="AN1206" s="20">
        <f t="shared" si="238"/>
        <v>402255</v>
      </c>
      <c r="AP1206" s="20">
        <f t="shared" si="239"/>
        <v>402255</v>
      </c>
      <c r="AQ1206" s="7">
        <v>3.0000000000000001E-3</v>
      </c>
      <c r="AR1206" s="20"/>
      <c r="AS1206" s="51">
        <v>4500</v>
      </c>
    </row>
    <row r="1207" spans="1:45" s="21" customFormat="1" ht="30" customHeight="1" x14ac:dyDescent="0.2">
      <c r="A1207" s="8"/>
      <c r="B1207" s="46"/>
      <c r="C1207" s="16"/>
      <c r="D1207" s="48"/>
      <c r="E1207" s="47"/>
      <c r="F1207" s="48"/>
      <c r="G1207" s="49"/>
      <c r="H1207" s="48"/>
      <c r="I1207" s="48"/>
      <c r="J1207" s="48"/>
      <c r="K1207" s="3"/>
      <c r="L1207" s="16"/>
      <c r="M1207" s="57"/>
      <c r="N1207" s="58"/>
      <c r="P1207" s="16"/>
      <c r="Q1207" s="20">
        <f t="shared" si="221"/>
        <v>0</v>
      </c>
      <c r="R1207" s="14" t="e">
        <v>#N/A</v>
      </c>
      <c r="S1207" s="19"/>
      <c r="T1207" s="16"/>
      <c r="U1207" s="17"/>
      <c r="V1207" s="17"/>
      <c r="W1207" s="4"/>
      <c r="X1207" s="16"/>
      <c r="Y1207" s="5"/>
      <c r="Z1207" s="16"/>
      <c r="AA1207" s="16"/>
      <c r="AB1207" s="16"/>
      <c r="AE1207" s="16"/>
      <c r="AG1207" s="22"/>
      <c r="AH1207" s="6"/>
      <c r="AJ1207" s="20"/>
      <c r="AK1207" s="50"/>
      <c r="AL1207" s="6"/>
      <c r="AM1207" s="20"/>
      <c r="AN1207" s="20"/>
      <c r="AP1207" s="20"/>
      <c r="AQ1207" s="7"/>
      <c r="AR1207" s="20">
        <v>4500</v>
      </c>
      <c r="AS1207" s="51"/>
    </row>
    <row r="1208" spans="1:45" s="21" customFormat="1" ht="30" customHeight="1" x14ac:dyDescent="0.2">
      <c r="A1208" s="8">
        <v>1011</v>
      </c>
      <c r="B1208" s="46">
        <v>1</v>
      </c>
      <c r="C1208" s="16" t="s">
        <v>52</v>
      </c>
      <c r="D1208" s="48">
        <v>1885</v>
      </c>
      <c r="E1208" s="47">
        <v>38</v>
      </c>
      <c r="F1208" s="48">
        <v>1275</v>
      </c>
      <c r="G1208" s="49">
        <v>2</v>
      </c>
      <c r="H1208" s="48">
        <v>12</v>
      </c>
      <c r="I1208" s="48">
        <v>2</v>
      </c>
      <c r="J1208" s="48">
        <v>9</v>
      </c>
      <c r="K1208" s="3">
        <f>12*400+209</f>
        <v>5009</v>
      </c>
      <c r="L1208" s="16"/>
      <c r="M1208" s="57"/>
      <c r="N1208" s="58"/>
      <c r="P1208" s="16">
        <v>1</v>
      </c>
      <c r="Q1208" s="20">
        <f t="shared" si="221"/>
        <v>5009</v>
      </c>
      <c r="R1208" s="14">
        <v>160</v>
      </c>
      <c r="S1208" s="20">
        <f t="shared" ref="S1208:S1232" si="240">+Q1208*R1208</f>
        <v>801440</v>
      </c>
      <c r="T1208" s="16"/>
      <c r="U1208" s="17"/>
      <c r="V1208" s="17"/>
      <c r="W1208" s="4"/>
      <c r="X1208" s="16"/>
      <c r="Y1208" s="5"/>
      <c r="Z1208" s="16"/>
      <c r="AA1208" s="16"/>
      <c r="AB1208" s="16"/>
      <c r="AE1208" s="16"/>
      <c r="AG1208" s="22">
        <f t="shared" ref="AG1208:AG1226" si="241">Y1208</f>
        <v>0</v>
      </c>
      <c r="AH1208" s="6"/>
      <c r="AJ1208" s="20">
        <f t="shared" ref="AJ1208:AJ1266" si="242">+AG1208*AH1208*AI1208</f>
        <v>0</v>
      </c>
      <c r="AK1208" s="50"/>
      <c r="AL1208" s="6"/>
      <c r="AM1208" s="20">
        <f t="shared" ref="AM1208:AM1271" si="243">+AJ1208-(AL1208*AJ1208)</f>
        <v>0</v>
      </c>
      <c r="AN1208" s="20">
        <f t="shared" ref="AN1208:AN1220" si="244">+S1208+AM1208</f>
        <v>801440</v>
      </c>
      <c r="AP1208" s="20">
        <f>AN1208</f>
        <v>801440</v>
      </c>
      <c r="AQ1208" s="7"/>
      <c r="AR1208" s="20"/>
      <c r="AS1208" s="51"/>
    </row>
    <row r="1209" spans="1:45" ht="30" customHeight="1" x14ac:dyDescent="0.2">
      <c r="A1209" s="8"/>
      <c r="C1209" s="16"/>
      <c r="Q1209" s="20"/>
      <c r="AC1209" s="21"/>
      <c r="AD1209" s="21"/>
      <c r="AG1209" s="22"/>
      <c r="AJ1209" s="20"/>
      <c r="AM1209" s="20"/>
      <c r="AN1209" s="20"/>
      <c r="AP1209" s="20"/>
      <c r="AR1209" s="20"/>
    </row>
    <row r="1210" spans="1:45" ht="30" customHeight="1" x14ac:dyDescent="0.2">
      <c r="A1210" s="8">
        <v>1012</v>
      </c>
      <c r="B1210" s="13">
        <v>1</v>
      </c>
      <c r="C1210" s="16" t="s">
        <v>65</v>
      </c>
      <c r="D1210" s="17">
        <v>2186</v>
      </c>
      <c r="E1210" s="17">
        <v>9</v>
      </c>
      <c r="H1210" s="17">
        <v>21</v>
      </c>
      <c r="I1210" s="17">
        <v>1</v>
      </c>
      <c r="J1210" s="17">
        <v>40</v>
      </c>
      <c r="K1210" s="10">
        <f>21*400+140</f>
        <v>8540</v>
      </c>
      <c r="P1210" s="17">
        <v>1</v>
      </c>
      <c r="Q1210" s="20">
        <f t="shared" si="221"/>
        <v>8540</v>
      </c>
      <c r="R1210" s="14">
        <v>160</v>
      </c>
      <c r="S1210" s="19">
        <f t="shared" si="240"/>
        <v>1366400</v>
      </c>
      <c r="AC1210" s="21"/>
      <c r="AD1210" s="21"/>
      <c r="AG1210" s="22">
        <f t="shared" si="241"/>
        <v>0</v>
      </c>
      <c r="AJ1210" s="20">
        <f t="shared" si="242"/>
        <v>0</v>
      </c>
      <c r="AM1210" s="20">
        <f t="shared" si="243"/>
        <v>0</v>
      </c>
      <c r="AN1210" s="20">
        <f t="shared" si="244"/>
        <v>1366400</v>
      </c>
      <c r="AP1210" s="20">
        <f>AN1210</f>
        <v>1366400</v>
      </c>
      <c r="AQ1210" s="12">
        <v>1E-4</v>
      </c>
      <c r="AR1210" s="60"/>
      <c r="AS1210" s="123">
        <v>240</v>
      </c>
    </row>
    <row r="1211" spans="1:45" ht="30" customHeight="1" x14ac:dyDescent="0.2">
      <c r="A1211" s="8">
        <v>1013</v>
      </c>
      <c r="B1211" s="13">
        <v>2</v>
      </c>
      <c r="C1211" s="16" t="s">
        <v>65</v>
      </c>
      <c r="D1211" s="17">
        <v>2209</v>
      </c>
      <c r="E1211" s="17">
        <v>52</v>
      </c>
      <c r="H1211" s="17">
        <v>12</v>
      </c>
      <c r="I1211" s="17">
        <v>0</v>
      </c>
      <c r="J1211" s="17">
        <v>40</v>
      </c>
      <c r="K1211" s="10">
        <f>12*400+40</f>
        <v>4840</v>
      </c>
      <c r="P1211" s="17">
        <v>1</v>
      </c>
      <c r="Q1211" s="20">
        <f t="shared" si="221"/>
        <v>4840</v>
      </c>
      <c r="R1211" s="14">
        <v>160</v>
      </c>
      <c r="S1211" s="20">
        <f t="shared" si="240"/>
        <v>774400</v>
      </c>
      <c r="AC1211" s="21"/>
      <c r="AD1211" s="21"/>
      <c r="AG1211" s="22">
        <f t="shared" si="241"/>
        <v>0</v>
      </c>
      <c r="AJ1211" s="20">
        <f t="shared" si="242"/>
        <v>0</v>
      </c>
      <c r="AM1211" s="20">
        <f t="shared" si="243"/>
        <v>0</v>
      </c>
      <c r="AN1211" s="20">
        <f t="shared" si="244"/>
        <v>774400</v>
      </c>
      <c r="AP1211" s="20">
        <f>AN1211</f>
        <v>774400</v>
      </c>
      <c r="AQ1211" s="12">
        <v>1E-4</v>
      </c>
      <c r="AR1211" s="24"/>
      <c r="AS1211" s="124"/>
    </row>
    <row r="1212" spans="1:45" ht="30" customHeight="1" x14ac:dyDescent="0.2">
      <c r="A1212" s="8">
        <v>1014</v>
      </c>
      <c r="B1212" s="13">
        <v>3</v>
      </c>
      <c r="C1212" s="16" t="s">
        <v>65</v>
      </c>
      <c r="D1212" s="17">
        <v>2283</v>
      </c>
      <c r="E1212" s="17">
        <v>61</v>
      </c>
      <c r="H1212" s="17">
        <v>5</v>
      </c>
      <c r="I1212" s="17">
        <v>3</v>
      </c>
      <c r="J1212" s="17">
        <v>20</v>
      </c>
      <c r="K1212" s="10">
        <f>5*400+320</f>
        <v>2320</v>
      </c>
      <c r="P1212" s="17">
        <v>1</v>
      </c>
      <c r="Q1212" s="20">
        <f t="shared" si="221"/>
        <v>2320</v>
      </c>
      <c r="R1212" s="14">
        <v>1100</v>
      </c>
      <c r="S1212" s="19">
        <f t="shared" si="240"/>
        <v>2552000</v>
      </c>
      <c r="AC1212" s="21"/>
      <c r="AD1212" s="21"/>
      <c r="AG1212" s="22">
        <f t="shared" si="241"/>
        <v>0</v>
      </c>
      <c r="AJ1212" s="20">
        <f t="shared" si="242"/>
        <v>0</v>
      </c>
      <c r="AM1212" s="20">
        <f t="shared" si="243"/>
        <v>0</v>
      </c>
      <c r="AN1212" s="20">
        <f t="shared" si="244"/>
        <v>2552000</v>
      </c>
      <c r="AP1212" s="20">
        <f>AN1212</f>
        <v>2552000</v>
      </c>
      <c r="AQ1212" s="12">
        <v>1E-4</v>
      </c>
      <c r="AR1212" s="24"/>
      <c r="AS1212" s="124"/>
    </row>
    <row r="1213" spans="1:45" ht="30" customHeight="1" x14ac:dyDescent="0.2">
      <c r="A1213" s="8">
        <v>1015</v>
      </c>
      <c r="B1213" s="13">
        <v>4</v>
      </c>
      <c r="C1213" s="16" t="s">
        <v>65</v>
      </c>
      <c r="D1213" s="17">
        <v>2284</v>
      </c>
      <c r="E1213" s="17">
        <v>62</v>
      </c>
      <c r="H1213" s="17">
        <v>8</v>
      </c>
      <c r="I1213" s="17">
        <v>3</v>
      </c>
      <c r="J1213" s="17">
        <v>31</v>
      </c>
      <c r="K1213" s="10">
        <f>3200+331</f>
        <v>3531</v>
      </c>
      <c r="P1213" s="17">
        <v>1</v>
      </c>
      <c r="Q1213" s="20">
        <f t="shared" si="221"/>
        <v>3531</v>
      </c>
      <c r="R1213" s="14">
        <v>1100</v>
      </c>
      <c r="S1213" s="19">
        <f t="shared" si="240"/>
        <v>3884100</v>
      </c>
      <c r="AC1213" s="21"/>
      <c r="AD1213" s="21"/>
      <c r="AG1213" s="22">
        <f t="shared" si="241"/>
        <v>0</v>
      </c>
      <c r="AJ1213" s="20">
        <f t="shared" si="242"/>
        <v>0</v>
      </c>
      <c r="AM1213" s="20">
        <f t="shared" si="243"/>
        <v>0</v>
      </c>
      <c r="AN1213" s="20">
        <f t="shared" si="244"/>
        <v>3884100</v>
      </c>
      <c r="AP1213" s="20">
        <f t="shared" ref="AP1213:AP1276" si="245">AN1213</f>
        <v>3884100</v>
      </c>
      <c r="AQ1213" s="12">
        <v>1E-4</v>
      </c>
      <c r="AR1213" s="24"/>
      <c r="AS1213" s="124"/>
    </row>
    <row r="1214" spans="1:45" ht="30" customHeight="1" x14ac:dyDescent="0.2">
      <c r="A1214" s="8">
        <v>1016</v>
      </c>
      <c r="B1214" s="13">
        <v>5</v>
      </c>
      <c r="C1214" s="16" t="s">
        <v>65</v>
      </c>
      <c r="D1214" s="17">
        <v>2208</v>
      </c>
      <c r="E1214" s="17">
        <v>51</v>
      </c>
      <c r="H1214" s="17">
        <v>12</v>
      </c>
      <c r="I1214" s="17">
        <v>2</v>
      </c>
      <c r="J1214" s="17">
        <v>20</v>
      </c>
      <c r="K1214" s="10">
        <f>12*400+220</f>
        <v>5020</v>
      </c>
      <c r="P1214" s="17">
        <v>1</v>
      </c>
      <c r="Q1214" s="20">
        <f t="shared" si="221"/>
        <v>5020</v>
      </c>
      <c r="R1214" s="14">
        <v>160</v>
      </c>
      <c r="S1214" s="20">
        <f t="shared" si="240"/>
        <v>803200</v>
      </c>
      <c r="AC1214" s="21"/>
      <c r="AD1214" s="21"/>
      <c r="AG1214" s="22">
        <f t="shared" si="241"/>
        <v>0</v>
      </c>
      <c r="AJ1214" s="20">
        <f t="shared" si="242"/>
        <v>0</v>
      </c>
      <c r="AM1214" s="20">
        <f t="shared" si="243"/>
        <v>0</v>
      </c>
      <c r="AN1214" s="20">
        <f t="shared" si="244"/>
        <v>803200</v>
      </c>
      <c r="AP1214" s="20">
        <f t="shared" si="245"/>
        <v>803200</v>
      </c>
      <c r="AQ1214" s="12">
        <v>1E-4</v>
      </c>
      <c r="AR1214" s="25"/>
      <c r="AS1214" s="125"/>
    </row>
    <row r="1215" spans="1:45" ht="30" customHeight="1" x14ac:dyDescent="0.2">
      <c r="A1215" s="8">
        <v>1017</v>
      </c>
      <c r="B1215" s="13">
        <v>1</v>
      </c>
      <c r="C1215" s="16" t="s">
        <v>65</v>
      </c>
      <c r="D1215" s="17">
        <v>978</v>
      </c>
      <c r="E1215" s="17">
        <v>33</v>
      </c>
      <c r="H1215" s="17">
        <v>6</v>
      </c>
      <c r="I1215" s="17">
        <v>3</v>
      </c>
      <c r="J1215" s="17">
        <v>73</v>
      </c>
      <c r="K1215" s="10">
        <f>2400+373</f>
        <v>2773</v>
      </c>
      <c r="P1215" s="17">
        <v>1</v>
      </c>
      <c r="Q1215" s="20">
        <f t="shared" si="221"/>
        <v>2773</v>
      </c>
      <c r="R1215" s="14">
        <v>1500</v>
      </c>
      <c r="S1215" s="19">
        <f t="shared" si="240"/>
        <v>4159500</v>
      </c>
      <c r="AG1215" s="22">
        <f t="shared" si="241"/>
        <v>0</v>
      </c>
      <c r="AJ1215" s="20">
        <f t="shared" si="242"/>
        <v>0</v>
      </c>
      <c r="AM1215" s="20">
        <f t="shared" si="243"/>
        <v>0</v>
      </c>
      <c r="AN1215" s="20">
        <f t="shared" si="244"/>
        <v>4159500</v>
      </c>
      <c r="AP1215" s="20">
        <f t="shared" si="245"/>
        <v>4159500</v>
      </c>
      <c r="AQ1215" s="12">
        <v>1E-4</v>
      </c>
      <c r="AR1215" s="20"/>
    </row>
    <row r="1216" spans="1:45" ht="30" customHeight="1" x14ac:dyDescent="0.2">
      <c r="A1216" s="8">
        <v>1018</v>
      </c>
      <c r="B1216" s="13">
        <v>2</v>
      </c>
      <c r="C1216" s="16" t="s">
        <v>65</v>
      </c>
      <c r="D1216" s="17">
        <v>1780</v>
      </c>
      <c r="E1216" s="17">
        <v>117</v>
      </c>
      <c r="H1216" s="17">
        <v>21</v>
      </c>
      <c r="I1216" s="17">
        <v>1</v>
      </c>
      <c r="J1216" s="17">
        <v>13</v>
      </c>
      <c r="K1216" s="10">
        <f>21*400+113</f>
        <v>8513</v>
      </c>
      <c r="P1216" s="17">
        <v>1</v>
      </c>
      <c r="Q1216" s="20">
        <f t="shared" si="221"/>
        <v>8513</v>
      </c>
      <c r="R1216" s="14">
        <v>200</v>
      </c>
      <c r="S1216" s="19">
        <f t="shared" si="240"/>
        <v>1702600</v>
      </c>
      <c r="AC1216" s="21"/>
      <c r="AD1216" s="21"/>
      <c r="AG1216" s="22">
        <f t="shared" si="241"/>
        <v>0</v>
      </c>
      <c r="AJ1216" s="20">
        <f t="shared" si="242"/>
        <v>0</v>
      </c>
      <c r="AM1216" s="20">
        <f t="shared" si="243"/>
        <v>0</v>
      </c>
      <c r="AN1216" s="20">
        <f t="shared" si="244"/>
        <v>1702600</v>
      </c>
      <c r="AP1216" s="20">
        <f t="shared" si="245"/>
        <v>1702600</v>
      </c>
      <c r="AQ1216" s="12">
        <v>1E-4</v>
      </c>
      <c r="AR1216" s="20"/>
    </row>
    <row r="1217" spans="1:48" ht="30" customHeight="1" x14ac:dyDescent="0.2">
      <c r="A1217" s="8">
        <v>1019</v>
      </c>
      <c r="B1217" s="13">
        <v>3</v>
      </c>
      <c r="C1217" s="16" t="s">
        <v>65</v>
      </c>
      <c r="D1217" s="17">
        <v>1781</v>
      </c>
      <c r="E1217" s="17">
        <v>119</v>
      </c>
      <c r="H1217" s="17">
        <v>8</v>
      </c>
      <c r="I1217" s="17">
        <v>2</v>
      </c>
      <c r="J1217" s="17">
        <v>0</v>
      </c>
      <c r="K1217" s="10">
        <f>8*400+200</f>
        <v>3400</v>
      </c>
      <c r="P1217" s="17">
        <v>1</v>
      </c>
      <c r="Q1217" s="20">
        <f t="shared" ref="Q1217:Q1232" si="246">+(H1217*400)+(I1217*100)+J1217</f>
        <v>3400</v>
      </c>
      <c r="R1217" s="14">
        <v>160</v>
      </c>
      <c r="S1217" s="20">
        <f t="shared" si="240"/>
        <v>544000</v>
      </c>
      <c r="AG1217" s="22">
        <f t="shared" si="241"/>
        <v>0</v>
      </c>
      <c r="AJ1217" s="20">
        <f t="shared" si="242"/>
        <v>0</v>
      </c>
      <c r="AM1217" s="20">
        <f t="shared" si="243"/>
        <v>0</v>
      </c>
      <c r="AN1217" s="20">
        <f t="shared" si="244"/>
        <v>544000</v>
      </c>
      <c r="AP1217" s="20">
        <f t="shared" si="245"/>
        <v>544000</v>
      </c>
      <c r="AQ1217" s="12">
        <v>1E-4</v>
      </c>
      <c r="AR1217" s="20"/>
    </row>
    <row r="1218" spans="1:48" ht="30" customHeight="1" x14ac:dyDescent="0.2">
      <c r="A1218" s="8">
        <v>1020</v>
      </c>
      <c r="B1218" s="13">
        <v>4</v>
      </c>
      <c r="C1218" s="16" t="s">
        <v>65</v>
      </c>
      <c r="D1218" s="17">
        <v>2416</v>
      </c>
      <c r="E1218" s="17">
        <v>168</v>
      </c>
      <c r="H1218" s="17">
        <v>19</v>
      </c>
      <c r="I1218" s="17">
        <v>3</v>
      </c>
      <c r="J1218" s="17">
        <v>0</v>
      </c>
      <c r="K1218" s="10">
        <f>19*400+300</f>
        <v>7900</v>
      </c>
      <c r="P1218" s="17">
        <v>1</v>
      </c>
      <c r="Q1218" s="20">
        <f t="shared" si="246"/>
        <v>7900</v>
      </c>
      <c r="R1218" s="14">
        <v>200</v>
      </c>
      <c r="S1218" s="19">
        <f t="shared" si="240"/>
        <v>1580000</v>
      </c>
      <c r="AG1218" s="22">
        <f t="shared" si="241"/>
        <v>0</v>
      </c>
      <c r="AJ1218" s="20">
        <f t="shared" si="242"/>
        <v>0</v>
      </c>
      <c r="AM1218" s="20">
        <f t="shared" si="243"/>
        <v>0</v>
      </c>
      <c r="AN1218" s="20">
        <f t="shared" si="244"/>
        <v>1580000</v>
      </c>
      <c r="AP1218" s="20">
        <f t="shared" si="245"/>
        <v>1580000</v>
      </c>
      <c r="AQ1218" s="12">
        <v>1E-4</v>
      </c>
      <c r="AR1218" s="20"/>
    </row>
    <row r="1219" spans="1:48" ht="30" customHeight="1" x14ac:dyDescent="0.2">
      <c r="A1219" s="8"/>
      <c r="C1219" s="16"/>
      <c r="Q1219" s="20"/>
      <c r="AG1219" s="22"/>
      <c r="AJ1219" s="20"/>
      <c r="AM1219" s="20"/>
      <c r="AN1219" s="20"/>
      <c r="AP1219" s="20"/>
      <c r="AR1219" s="20"/>
    </row>
    <row r="1220" spans="1:48" s="21" customFormat="1" ht="30" customHeight="1" x14ac:dyDescent="0.2">
      <c r="A1220" s="8">
        <v>1021</v>
      </c>
      <c r="B1220" s="46">
        <v>1</v>
      </c>
      <c r="C1220" s="16" t="s">
        <v>52</v>
      </c>
      <c r="D1220" s="48">
        <v>1490</v>
      </c>
      <c r="E1220" s="47">
        <v>19</v>
      </c>
      <c r="F1220" s="48">
        <v>1302</v>
      </c>
      <c r="G1220" s="49">
        <v>2</v>
      </c>
      <c r="H1220" s="48">
        <v>7</v>
      </c>
      <c r="I1220" s="48">
        <v>3</v>
      </c>
      <c r="J1220" s="48">
        <v>94</v>
      </c>
      <c r="K1220" s="3">
        <f>7*400+394</f>
        <v>3194</v>
      </c>
      <c r="L1220" s="16"/>
      <c r="M1220" s="57"/>
      <c r="N1220" s="58"/>
      <c r="P1220" s="16">
        <v>1</v>
      </c>
      <c r="Q1220" s="20">
        <f t="shared" si="246"/>
        <v>3194</v>
      </c>
      <c r="R1220" s="14">
        <v>160</v>
      </c>
      <c r="S1220" s="20">
        <f t="shared" si="240"/>
        <v>511040</v>
      </c>
      <c r="T1220" s="16"/>
      <c r="U1220" s="16"/>
      <c r="V1220" s="16"/>
      <c r="W1220" s="5"/>
      <c r="X1220" s="16"/>
      <c r="Y1220" s="5"/>
      <c r="Z1220" s="16"/>
      <c r="AA1220" s="16"/>
      <c r="AB1220" s="16"/>
      <c r="AE1220" s="16"/>
      <c r="AG1220" s="22">
        <f t="shared" si="241"/>
        <v>0</v>
      </c>
      <c r="AH1220" s="6"/>
      <c r="AJ1220" s="20">
        <f t="shared" si="242"/>
        <v>0</v>
      </c>
      <c r="AK1220" s="50"/>
      <c r="AL1220" s="6"/>
      <c r="AM1220" s="20">
        <f t="shared" si="243"/>
        <v>0</v>
      </c>
      <c r="AN1220" s="20">
        <f t="shared" si="244"/>
        <v>511040</v>
      </c>
      <c r="AP1220" s="20">
        <f t="shared" si="245"/>
        <v>511040</v>
      </c>
      <c r="AQ1220" s="7"/>
      <c r="AR1220" s="60"/>
      <c r="AS1220" s="128">
        <f>25+6</f>
        <v>31</v>
      </c>
    </row>
    <row r="1221" spans="1:48" s="21" customFormat="1" ht="30" customHeight="1" x14ac:dyDescent="0.2">
      <c r="A1221" s="8">
        <v>1022</v>
      </c>
      <c r="B1221" s="46">
        <v>2</v>
      </c>
      <c r="C1221" s="16" t="s">
        <v>52</v>
      </c>
      <c r="D1221" s="48">
        <v>2528</v>
      </c>
      <c r="E1221" s="47">
        <v>516</v>
      </c>
      <c r="F1221" s="48">
        <v>118</v>
      </c>
      <c r="G1221" s="49">
        <v>2</v>
      </c>
      <c r="H1221" s="48">
        <v>0</v>
      </c>
      <c r="I1221" s="48">
        <v>0</v>
      </c>
      <c r="J1221" s="48">
        <v>59.02</v>
      </c>
      <c r="K1221" s="3"/>
      <c r="L1221" s="16"/>
      <c r="M1221" s="57">
        <v>59.02</v>
      </c>
      <c r="N1221" s="58"/>
      <c r="P1221" s="16">
        <v>5</v>
      </c>
      <c r="Q1221" s="20">
        <f t="shared" si="246"/>
        <v>59.02</v>
      </c>
      <c r="R1221" s="14">
        <v>2000</v>
      </c>
      <c r="S1221" s="19">
        <f t="shared" si="240"/>
        <v>118040</v>
      </c>
      <c r="T1221" s="16">
        <v>1</v>
      </c>
      <c r="U1221" s="17" t="s">
        <v>63</v>
      </c>
      <c r="V1221" s="16" t="s">
        <v>56</v>
      </c>
      <c r="W1221" s="5">
        <v>96.75</v>
      </c>
      <c r="X1221" s="16"/>
      <c r="Y1221" s="5"/>
      <c r="Z1221" s="16">
        <v>96.75</v>
      </c>
      <c r="AA1221" s="16"/>
      <c r="AB1221" s="16">
        <v>8</v>
      </c>
      <c r="AE1221" s="16" t="s">
        <v>149</v>
      </c>
      <c r="AF1221" s="21">
        <v>2</v>
      </c>
      <c r="AG1221" s="22">
        <v>96.75</v>
      </c>
      <c r="AH1221" s="6">
        <v>1</v>
      </c>
      <c r="AI1221" s="21">
        <v>8100</v>
      </c>
      <c r="AJ1221" s="20">
        <f t="shared" si="242"/>
        <v>783675</v>
      </c>
      <c r="AK1221" s="50">
        <v>9</v>
      </c>
      <c r="AL1221" s="6">
        <v>0.09</v>
      </c>
      <c r="AM1221" s="20">
        <f>+AJ1221-(AL1221*AJ1221)</f>
        <v>713144.25</v>
      </c>
      <c r="AN1221" s="20">
        <f>+(S1221*0.5)+AM1221</f>
        <v>772164.25</v>
      </c>
      <c r="AP1221" s="20">
        <f t="shared" si="245"/>
        <v>772164.25</v>
      </c>
      <c r="AQ1221" s="7">
        <v>2.0000000000000001E-4</v>
      </c>
      <c r="AR1221" s="24"/>
      <c r="AS1221" s="129"/>
    </row>
    <row r="1222" spans="1:48" s="21" customFormat="1" ht="30" customHeight="1" x14ac:dyDescent="0.2">
      <c r="A1222" s="8"/>
      <c r="B1222" s="46"/>
      <c r="C1222" s="16"/>
      <c r="D1222" s="48"/>
      <c r="E1222" s="47"/>
      <c r="F1222" s="48"/>
      <c r="G1222" s="49"/>
      <c r="H1222" s="48"/>
      <c r="I1222" s="48"/>
      <c r="J1222" s="48"/>
      <c r="K1222" s="3"/>
      <c r="L1222" s="16"/>
      <c r="M1222" s="57"/>
      <c r="N1222" s="58"/>
      <c r="P1222" s="16"/>
      <c r="Q1222" s="20"/>
      <c r="R1222" s="14" t="e">
        <v>#N/A</v>
      </c>
      <c r="S1222" s="19"/>
      <c r="T1222" s="16">
        <v>2</v>
      </c>
      <c r="U1222" s="17"/>
      <c r="V1222" s="16"/>
      <c r="W1222" s="5">
        <v>96.75</v>
      </c>
      <c r="X1222" s="16"/>
      <c r="Y1222" s="5"/>
      <c r="Z1222" s="16"/>
      <c r="AA1222" s="16"/>
      <c r="AB1222" s="16"/>
      <c r="AE1222" s="16" t="s">
        <v>150</v>
      </c>
      <c r="AF1222" s="21">
        <v>2</v>
      </c>
      <c r="AG1222" s="22">
        <v>96.75</v>
      </c>
      <c r="AH1222" s="6">
        <v>0.81</v>
      </c>
      <c r="AI1222" s="21">
        <v>8100</v>
      </c>
      <c r="AJ1222" s="20">
        <f t="shared" si="242"/>
        <v>634776.75</v>
      </c>
      <c r="AK1222" s="50">
        <v>9</v>
      </c>
      <c r="AL1222" s="6">
        <v>0.09</v>
      </c>
      <c r="AM1222" s="20">
        <f>+AJ1222-(AL1222*AJ1222)</f>
        <v>577646.84250000003</v>
      </c>
      <c r="AN1222" s="20">
        <f>+(59020*0.81)+AM1222</f>
        <v>625453.04249999998</v>
      </c>
      <c r="AP1222" s="20">
        <f t="shared" si="245"/>
        <v>625453.04249999998</v>
      </c>
      <c r="AQ1222" s="7">
        <v>2.0000000000000001E-4</v>
      </c>
      <c r="AR1222" s="24"/>
      <c r="AS1222" s="129"/>
    </row>
    <row r="1223" spans="1:48" s="21" customFormat="1" ht="30" customHeight="1" x14ac:dyDescent="0.2">
      <c r="A1223" s="8"/>
      <c r="B1223" s="46"/>
      <c r="C1223" s="16"/>
      <c r="D1223" s="48"/>
      <c r="E1223" s="47"/>
      <c r="F1223" s="48"/>
      <c r="G1223" s="49"/>
      <c r="H1223" s="48"/>
      <c r="I1223" s="48"/>
      <c r="J1223" s="48"/>
      <c r="K1223" s="3"/>
      <c r="L1223" s="16"/>
      <c r="M1223" s="57"/>
      <c r="N1223" s="58"/>
      <c r="P1223" s="16"/>
      <c r="Q1223" s="20"/>
      <c r="R1223" s="14" t="e">
        <v>#N/A</v>
      </c>
      <c r="S1223" s="19"/>
      <c r="T1223" s="16"/>
      <c r="U1223" s="17"/>
      <c r="V1223" s="16"/>
      <c r="W1223" s="5">
        <v>96.75</v>
      </c>
      <c r="X1223" s="16"/>
      <c r="Y1223" s="5"/>
      <c r="Z1223" s="16"/>
      <c r="AA1223" s="16"/>
      <c r="AB1223" s="16"/>
      <c r="AE1223" s="16">
        <v>19</v>
      </c>
      <c r="AF1223" s="21">
        <v>3</v>
      </c>
      <c r="AG1223" s="22">
        <v>96.75</v>
      </c>
      <c r="AH1223" s="6">
        <v>0.19</v>
      </c>
      <c r="AI1223" s="21">
        <v>8100</v>
      </c>
      <c r="AJ1223" s="20">
        <f t="shared" si="242"/>
        <v>148898.25</v>
      </c>
      <c r="AK1223" s="50">
        <v>9</v>
      </c>
      <c r="AL1223" s="6">
        <v>0.09</v>
      </c>
      <c r="AM1223" s="20">
        <f>+AJ1223-(AL1223*AJ1223)</f>
        <v>135497.4075</v>
      </c>
      <c r="AN1223" s="20">
        <f>+(59020*0.19)+AM1223</f>
        <v>146711.20749999999</v>
      </c>
      <c r="AP1223" s="20">
        <f t="shared" si="245"/>
        <v>146711.20749999999</v>
      </c>
      <c r="AQ1223" s="7">
        <v>3.0000000000000001E-3</v>
      </c>
      <c r="AR1223" s="24"/>
      <c r="AS1223" s="129"/>
    </row>
    <row r="1224" spans="1:48" s="21" customFormat="1" ht="30" customHeight="1" x14ac:dyDescent="0.2">
      <c r="A1224" s="8">
        <v>1023</v>
      </c>
      <c r="B1224" s="46">
        <v>3</v>
      </c>
      <c r="C1224" s="16" t="s">
        <v>52</v>
      </c>
      <c r="D1224" s="48">
        <v>14109</v>
      </c>
      <c r="E1224" s="47">
        <v>529</v>
      </c>
      <c r="F1224" s="48">
        <v>3298</v>
      </c>
      <c r="G1224" s="49">
        <v>2</v>
      </c>
      <c r="H1224" s="48">
        <v>0</v>
      </c>
      <c r="I1224" s="48">
        <v>0</v>
      </c>
      <c r="J1224" s="48">
        <v>50.09</v>
      </c>
      <c r="K1224" s="3"/>
      <c r="L1224" s="16"/>
      <c r="M1224" s="57"/>
      <c r="N1224" s="58">
        <v>50.09</v>
      </c>
      <c r="P1224" s="16">
        <v>4</v>
      </c>
      <c r="Q1224" s="20">
        <f t="shared" si="246"/>
        <v>50.09</v>
      </c>
      <c r="R1224" s="14">
        <v>250</v>
      </c>
      <c r="S1224" s="19">
        <f t="shared" si="240"/>
        <v>12522.5</v>
      </c>
      <c r="T1224" s="16"/>
      <c r="U1224" s="17"/>
      <c r="V1224" s="17"/>
      <c r="W1224" s="4"/>
      <c r="X1224" s="16"/>
      <c r="Y1224" s="5"/>
      <c r="Z1224" s="16"/>
      <c r="AA1224" s="16"/>
      <c r="AB1224" s="16"/>
      <c r="AE1224" s="16"/>
      <c r="AG1224" s="22">
        <f t="shared" si="241"/>
        <v>0</v>
      </c>
      <c r="AH1224" s="6"/>
      <c r="AJ1224" s="20">
        <f t="shared" si="242"/>
        <v>0</v>
      </c>
      <c r="AK1224" s="50"/>
      <c r="AL1224" s="6"/>
      <c r="AM1224" s="20">
        <f t="shared" si="243"/>
        <v>0</v>
      </c>
      <c r="AN1224" s="20">
        <f t="shared" ref="AN1224:AN1231" si="247">+S1224+AM1224</f>
        <v>12522.5</v>
      </c>
      <c r="AP1224" s="20">
        <f t="shared" si="245"/>
        <v>12522.5</v>
      </c>
      <c r="AQ1224" s="7">
        <v>3.0000000000000001E-3</v>
      </c>
      <c r="AR1224" s="24"/>
      <c r="AS1224" s="129"/>
    </row>
    <row r="1225" spans="1:48" s="21" customFormat="1" ht="30" customHeight="1" x14ac:dyDescent="0.2">
      <c r="A1225" s="8">
        <v>1024</v>
      </c>
      <c r="B1225" s="46">
        <v>4</v>
      </c>
      <c r="C1225" s="16" t="s">
        <v>52</v>
      </c>
      <c r="D1225" s="48">
        <v>2191</v>
      </c>
      <c r="E1225" s="47">
        <v>42</v>
      </c>
      <c r="F1225" s="48">
        <v>1818</v>
      </c>
      <c r="G1225" s="49">
        <v>3</v>
      </c>
      <c r="H1225" s="48">
        <v>0</v>
      </c>
      <c r="I1225" s="48">
        <v>1</v>
      </c>
      <c r="J1225" s="48">
        <v>67</v>
      </c>
      <c r="K1225" s="3">
        <v>167</v>
      </c>
      <c r="L1225" s="16"/>
      <c r="M1225" s="57"/>
      <c r="N1225" s="58"/>
      <c r="P1225" s="16">
        <v>1</v>
      </c>
      <c r="Q1225" s="20">
        <f t="shared" si="246"/>
        <v>167</v>
      </c>
      <c r="R1225" s="14">
        <v>1500</v>
      </c>
      <c r="S1225" s="20">
        <f t="shared" si="240"/>
        <v>250500</v>
      </c>
      <c r="T1225" s="16"/>
      <c r="U1225" s="17"/>
      <c r="V1225" s="17"/>
      <c r="W1225" s="4"/>
      <c r="X1225" s="16"/>
      <c r="Y1225" s="5"/>
      <c r="Z1225" s="16"/>
      <c r="AA1225" s="16"/>
      <c r="AB1225" s="16"/>
      <c r="AE1225" s="16"/>
      <c r="AG1225" s="22">
        <f t="shared" si="241"/>
        <v>0</v>
      </c>
      <c r="AH1225" s="6"/>
      <c r="AJ1225" s="20">
        <f t="shared" si="242"/>
        <v>0</v>
      </c>
      <c r="AK1225" s="50"/>
      <c r="AL1225" s="6"/>
      <c r="AM1225" s="20">
        <f t="shared" si="243"/>
        <v>0</v>
      </c>
      <c r="AN1225" s="20">
        <f t="shared" si="247"/>
        <v>250500</v>
      </c>
      <c r="AP1225" s="20">
        <f t="shared" si="245"/>
        <v>250500</v>
      </c>
      <c r="AQ1225" s="7"/>
      <c r="AR1225" s="24"/>
      <c r="AS1225" s="129"/>
    </row>
    <row r="1226" spans="1:48" s="21" customFormat="1" ht="30" customHeight="1" x14ac:dyDescent="0.2">
      <c r="A1226" s="8">
        <v>1025</v>
      </c>
      <c r="B1226" s="46">
        <v>5</v>
      </c>
      <c r="C1226" s="16" t="s">
        <v>52</v>
      </c>
      <c r="D1226" s="48">
        <v>2329</v>
      </c>
      <c r="E1226" s="47">
        <v>43</v>
      </c>
      <c r="F1226" s="48">
        <v>1604</v>
      </c>
      <c r="G1226" s="49">
        <v>3</v>
      </c>
      <c r="H1226" s="48">
        <v>0</v>
      </c>
      <c r="I1226" s="48">
        <v>1</v>
      </c>
      <c r="J1226" s="48">
        <v>49</v>
      </c>
      <c r="K1226" s="3">
        <v>149</v>
      </c>
      <c r="L1226" s="16"/>
      <c r="M1226" s="57"/>
      <c r="N1226" s="58"/>
      <c r="P1226" s="16">
        <v>1</v>
      </c>
      <c r="Q1226" s="20">
        <f t="shared" si="246"/>
        <v>149</v>
      </c>
      <c r="R1226" s="14">
        <v>1500</v>
      </c>
      <c r="S1226" s="19">
        <f t="shared" si="240"/>
        <v>223500</v>
      </c>
      <c r="T1226" s="16"/>
      <c r="U1226" s="17"/>
      <c r="V1226" s="17"/>
      <c r="W1226" s="4"/>
      <c r="X1226" s="16"/>
      <c r="Y1226" s="5"/>
      <c r="Z1226" s="16"/>
      <c r="AA1226" s="16"/>
      <c r="AB1226" s="16"/>
      <c r="AE1226" s="16"/>
      <c r="AG1226" s="22">
        <f t="shared" si="241"/>
        <v>0</v>
      </c>
      <c r="AH1226" s="6"/>
      <c r="AJ1226" s="20">
        <f t="shared" si="242"/>
        <v>0</v>
      </c>
      <c r="AK1226" s="50"/>
      <c r="AL1226" s="6"/>
      <c r="AM1226" s="20">
        <f t="shared" si="243"/>
        <v>0</v>
      </c>
      <c r="AN1226" s="20">
        <f t="shared" si="247"/>
        <v>223500</v>
      </c>
      <c r="AP1226" s="20">
        <f t="shared" si="245"/>
        <v>223500</v>
      </c>
      <c r="AQ1226" s="7"/>
      <c r="AR1226" s="24"/>
      <c r="AS1226" s="129"/>
    </row>
    <row r="1227" spans="1:48" s="29" customFormat="1" ht="30" customHeight="1" x14ac:dyDescent="0.2">
      <c r="A1227" s="86">
        <v>1026</v>
      </c>
      <c r="B1227" s="46">
        <v>6</v>
      </c>
      <c r="C1227" s="16" t="s">
        <v>52</v>
      </c>
      <c r="D1227" s="48">
        <v>3420</v>
      </c>
      <c r="E1227" s="47">
        <v>17</v>
      </c>
      <c r="F1227" s="48">
        <v>2194</v>
      </c>
      <c r="G1227" s="53">
        <v>2</v>
      </c>
      <c r="H1227" s="48">
        <v>0</v>
      </c>
      <c r="I1227" s="48">
        <v>2</v>
      </c>
      <c r="J1227" s="48">
        <v>78</v>
      </c>
      <c r="K1227" s="63">
        <v>278</v>
      </c>
      <c r="L1227" s="63"/>
      <c r="M1227" s="103"/>
      <c r="N1227" s="63"/>
      <c r="O1227" s="63"/>
      <c r="P1227" s="21">
        <v>1</v>
      </c>
      <c r="Q1227" s="20">
        <f t="shared" si="246"/>
        <v>278</v>
      </c>
      <c r="R1227" s="14">
        <v>200</v>
      </c>
      <c r="S1227" s="19">
        <f t="shared" si="240"/>
        <v>55600</v>
      </c>
      <c r="T1227" s="63"/>
      <c r="U1227" s="87"/>
      <c r="V1227" s="87"/>
      <c r="W1227" s="28"/>
      <c r="X1227" s="63"/>
      <c r="Y1227" s="67"/>
      <c r="Z1227" s="63"/>
      <c r="AA1227" s="63"/>
      <c r="AB1227" s="63"/>
      <c r="AC1227" s="21"/>
      <c r="AF1227" s="21"/>
      <c r="AG1227" s="22"/>
      <c r="AH1227" s="21"/>
      <c r="AI1227" s="21"/>
      <c r="AJ1227" s="20">
        <f t="shared" si="242"/>
        <v>0</v>
      </c>
      <c r="AK1227" s="50">
        <f>AB1227</f>
        <v>0</v>
      </c>
      <c r="AL1227" s="6"/>
      <c r="AM1227" s="20">
        <f t="shared" si="243"/>
        <v>0</v>
      </c>
      <c r="AN1227" s="20">
        <f t="shared" si="247"/>
        <v>55600</v>
      </c>
      <c r="AO1227" s="21"/>
      <c r="AP1227" s="20">
        <f t="shared" si="245"/>
        <v>55600</v>
      </c>
      <c r="AQ1227" s="7"/>
      <c r="AR1227" s="24"/>
      <c r="AS1227" s="129"/>
      <c r="AT1227" s="21"/>
      <c r="AU1227" s="21"/>
      <c r="AV1227" s="21"/>
    </row>
    <row r="1228" spans="1:48" s="29" customFormat="1" ht="30" customHeight="1" x14ac:dyDescent="0.2">
      <c r="A1228" s="86">
        <v>1027</v>
      </c>
      <c r="B1228" s="46">
        <v>7</v>
      </c>
      <c r="C1228" s="16" t="s">
        <v>52</v>
      </c>
      <c r="D1228" s="48">
        <v>3422</v>
      </c>
      <c r="E1228" s="47">
        <v>13</v>
      </c>
      <c r="F1228" s="48">
        <v>2196</v>
      </c>
      <c r="G1228" s="53">
        <v>2</v>
      </c>
      <c r="H1228" s="48">
        <v>6</v>
      </c>
      <c r="I1228" s="48">
        <v>1</v>
      </c>
      <c r="J1228" s="48">
        <v>13</v>
      </c>
      <c r="K1228" s="63">
        <v>2513</v>
      </c>
      <c r="L1228" s="63"/>
      <c r="M1228" s="103"/>
      <c r="N1228" s="63"/>
      <c r="O1228" s="63"/>
      <c r="P1228" s="21">
        <v>1</v>
      </c>
      <c r="Q1228" s="20">
        <f t="shared" si="246"/>
        <v>2513</v>
      </c>
      <c r="R1228" s="14">
        <v>160</v>
      </c>
      <c r="S1228" s="19">
        <f t="shared" si="240"/>
        <v>402080</v>
      </c>
      <c r="T1228" s="63"/>
      <c r="U1228" s="87"/>
      <c r="V1228" s="87"/>
      <c r="W1228" s="28"/>
      <c r="X1228" s="63"/>
      <c r="Y1228" s="67"/>
      <c r="Z1228" s="63"/>
      <c r="AA1228" s="63"/>
      <c r="AB1228" s="63"/>
      <c r="AC1228" s="21"/>
      <c r="AF1228" s="21"/>
      <c r="AG1228" s="22"/>
      <c r="AH1228" s="21"/>
      <c r="AI1228" s="21"/>
      <c r="AJ1228" s="20">
        <f t="shared" si="242"/>
        <v>0</v>
      </c>
      <c r="AK1228" s="50">
        <f>AB1228</f>
        <v>0</v>
      </c>
      <c r="AL1228" s="6"/>
      <c r="AM1228" s="20">
        <f t="shared" si="243"/>
        <v>0</v>
      </c>
      <c r="AN1228" s="20">
        <f t="shared" si="247"/>
        <v>402080</v>
      </c>
      <c r="AO1228" s="21"/>
      <c r="AP1228" s="20">
        <f t="shared" si="245"/>
        <v>402080</v>
      </c>
      <c r="AQ1228" s="7"/>
      <c r="AR1228" s="25"/>
      <c r="AS1228" s="130"/>
      <c r="AT1228" s="21"/>
      <c r="AU1228" s="21"/>
      <c r="AV1228" s="21"/>
    </row>
    <row r="1229" spans="1:48" s="21" customFormat="1" ht="30" customHeight="1" x14ac:dyDescent="0.2">
      <c r="A1229" s="8">
        <v>1028</v>
      </c>
      <c r="B1229" s="46">
        <v>1</v>
      </c>
      <c r="C1229" s="16" t="s">
        <v>52</v>
      </c>
      <c r="D1229" s="48">
        <v>3615</v>
      </c>
      <c r="E1229" s="47">
        <v>98</v>
      </c>
      <c r="F1229" s="48">
        <v>2246</v>
      </c>
      <c r="G1229" s="49">
        <v>2</v>
      </c>
      <c r="H1229" s="48">
        <v>16</v>
      </c>
      <c r="I1229" s="48">
        <v>0</v>
      </c>
      <c r="J1229" s="48">
        <v>53</v>
      </c>
      <c r="K1229" s="3">
        <f>16*400+53</f>
        <v>6453</v>
      </c>
      <c r="L1229" s="16"/>
      <c r="M1229" s="57"/>
      <c r="N1229" s="58"/>
      <c r="P1229" s="16">
        <v>1</v>
      </c>
      <c r="Q1229" s="20">
        <f t="shared" si="246"/>
        <v>6453</v>
      </c>
      <c r="R1229" s="14">
        <v>160</v>
      </c>
      <c r="S1229" s="19">
        <f t="shared" si="240"/>
        <v>1032480</v>
      </c>
      <c r="T1229" s="16"/>
      <c r="U1229" s="17"/>
      <c r="V1229" s="17"/>
      <c r="W1229" s="4"/>
      <c r="X1229" s="16"/>
      <c r="Y1229" s="5"/>
      <c r="Z1229" s="16"/>
      <c r="AA1229" s="16"/>
      <c r="AB1229" s="16"/>
      <c r="AE1229" s="16"/>
      <c r="AG1229" s="22">
        <f>Y1229</f>
        <v>0</v>
      </c>
      <c r="AH1229" s="6"/>
      <c r="AJ1229" s="20">
        <f t="shared" si="242"/>
        <v>0</v>
      </c>
      <c r="AK1229" s="50"/>
      <c r="AL1229" s="6"/>
      <c r="AM1229" s="20">
        <f t="shared" si="243"/>
        <v>0</v>
      </c>
      <c r="AN1229" s="20">
        <f t="shared" si="247"/>
        <v>1032480</v>
      </c>
      <c r="AP1229" s="20">
        <f t="shared" si="245"/>
        <v>1032480</v>
      </c>
      <c r="AQ1229" s="7"/>
      <c r="AR1229" s="96">
        <v>48</v>
      </c>
      <c r="AS1229" s="96">
        <f>+AR1229+AR1230</f>
        <v>15048</v>
      </c>
    </row>
    <row r="1230" spans="1:48" s="21" customFormat="1" ht="30" customHeight="1" x14ac:dyDescent="0.2">
      <c r="A1230" s="8">
        <v>1029</v>
      </c>
      <c r="B1230" s="46">
        <v>2</v>
      </c>
      <c r="C1230" s="16" t="s">
        <v>52</v>
      </c>
      <c r="D1230" s="48">
        <v>14082</v>
      </c>
      <c r="E1230" s="47">
        <v>132</v>
      </c>
      <c r="F1230" s="48">
        <v>3323</v>
      </c>
      <c r="G1230" s="49">
        <v>2</v>
      </c>
      <c r="H1230" s="48">
        <v>0</v>
      </c>
      <c r="I1230" s="48">
        <v>0</v>
      </c>
      <c r="J1230" s="48">
        <v>77</v>
      </c>
      <c r="K1230" s="3">
        <v>77</v>
      </c>
      <c r="L1230" s="16"/>
      <c r="M1230" s="57"/>
      <c r="N1230" s="58"/>
      <c r="P1230" s="16">
        <v>1</v>
      </c>
      <c r="Q1230" s="20">
        <f t="shared" si="246"/>
        <v>77</v>
      </c>
      <c r="R1230" s="14">
        <v>160</v>
      </c>
      <c r="S1230" s="20">
        <f t="shared" si="240"/>
        <v>12320</v>
      </c>
      <c r="T1230" s="16"/>
      <c r="U1230" s="17"/>
      <c r="V1230" s="17"/>
      <c r="W1230" s="4"/>
      <c r="X1230" s="16"/>
      <c r="Y1230" s="5"/>
      <c r="Z1230" s="16"/>
      <c r="AA1230" s="16"/>
      <c r="AB1230" s="16"/>
      <c r="AE1230" s="16"/>
      <c r="AG1230" s="22">
        <f>Y1230</f>
        <v>0</v>
      </c>
      <c r="AH1230" s="6"/>
      <c r="AJ1230" s="20">
        <f t="shared" si="242"/>
        <v>0</v>
      </c>
      <c r="AK1230" s="50"/>
      <c r="AL1230" s="6"/>
      <c r="AM1230" s="20">
        <f t="shared" si="243"/>
        <v>0</v>
      </c>
      <c r="AN1230" s="20">
        <f t="shared" si="247"/>
        <v>12320</v>
      </c>
      <c r="AP1230" s="20">
        <f t="shared" si="245"/>
        <v>12320</v>
      </c>
      <c r="AQ1230" s="7"/>
      <c r="AR1230" s="97">
        <v>15000</v>
      </c>
      <c r="AS1230" s="97"/>
    </row>
    <row r="1231" spans="1:48" s="21" customFormat="1" ht="30" customHeight="1" x14ac:dyDescent="0.2">
      <c r="A1231" s="8">
        <v>1030</v>
      </c>
      <c r="B1231" s="46">
        <v>3</v>
      </c>
      <c r="C1231" s="16" t="s">
        <v>52</v>
      </c>
      <c r="D1231" s="48">
        <v>14083</v>
      </c>
      <c r="E1231" s="47">
        <v>133</v>
      </c>
      <c r="F1231" s="48">
        <v>3324</v>
      </c>
      <c r="G1231" s="49">
        <v>2</v>
      </c>
      <c r="H1231" s="48">
        <v>0</v>
      </c>
      <c r="I1231" s="48">
        <v>2</v>
      </c>
      <c r="J1231" s="48">
        <v>99</v>
      </c>
      <c r="K1231" s="3">
        <v>299</v>
      </c>
      <c r="L1231" s="16"/>
      <c r="M1231" s="57"/>
      <c r="N1231" s="58"/>
      <c r="P1231" s="16">
        <v>1</v>
      </c>
      <c r="Q1231" s="20">
        <f t="shared" si="246"/>
        <v>299</v>
      </c>
      <c r="R1231" s="14">
        <v>160</v>
      </c>
      <c r="S1231" s="19">
        <f t="shared" si="240"/>
        <v>47840</v>
      </c>
      <c r="T1231" s="16"/>
      <c r="U1231" s="17"/>
      <c r="V1231" s="17"/>
      <c r="W1231" s="4"/>
      <c r="X1231" s="16"/>
      <c r="Y1231" s="5"/>
      <c r="Z1231" s="16"/>
      <c r="AA1231" s="16"/>
      <c r="AB1231" s="16"/>
      <c r="AE1231" s="16"/>
      <c r="AG1231" s="22">
        <f>Y1231</f>
        <v>0</v>
      </c>
      <c r="AH1231" s="6"/>
      <c r="AJ1231" s="20">
        <f t="shared" si="242"/>
        <v>0</v>
      </c>
      <c r="AK1231" s="50"/>
      <c r="AL1231" s="6"/>
      <c r="AM1231" s="20">
        <f t="shared" si="243"/>
        <v>0</v>
      </c>
      <c r="AN1231" s="20">
        <f t="shared" si="247"/>
        <v>47840</v>
      </c>
      <c r="AP1231" s="20">
        <f t="shared" si="245"/>
        <v>47840</v>
      </c>
      <c r="AQ1231" s="7"/>
      <c r="AR1231" s="25"/>
      <c r="AS1231" s="98"/>
    </row>
    <row r="1232" spans="1:48" s="21" customFormat="1" ht="30" customHeight="1" x14ac:dyDescent="0.2">
      <c r="A1232" s="8">
        <v>1031</v>
      </c>
      <c r="B1232" s="46">
        <v>1</v>
      </c>
      <c r="C1232" s="16" t="s">
        <v>52</v>
      </c>
      <c r="D1232" s="48">
        <v>2502</v>
      </c>
      <c r="E1232" s="47">
        <v>56</v>
      </c>
      <c r="F1232" s="48">
        <v>1507</v>
      </c>
      <c r="G1232" s="49">
        <v>2</v>
      </c>
      <c r="H1232" s="48">
        <v>0</v>
      </c>
      <c r="I1232" s="48">
        <v>2</v>
      </c>
      <c r="J1232" s="48">
        <v>41</v>
      </c>
      <c r="K1232" s="3"/>
      <c r="L1232" s="16"/>
      <c r="M1232" s="57"/>
      <c r="N1232" s="58"/>
      <c r="O1232" s="21">
        <v>241</v>
      </c>
      <c r="P1232" s="16">
        <v>5</v>
      </c>
      <c r="Q1232" s="20">
        <f t="shared" si="246"/>
        <v>241</v>
      </c>
      <c r="R1232" s="14">
        <v>3350</v>
      </c>
      <c r="S1232" s="19">
        <f t="shared" si="240"/>
        <v>807350</v>
      </c>
      <c r="T1232" s="16">
        <v>1</v>
      </c>
      <c r="U1232" s="16" t="s">
        <v>63</v>
      </c>
      <c r="V1232" s="16" t="s">
        <v>56</v>
      </c>
      <c r="W1232" s="5"/>
      <c r="X1232" s="16">
        <f>4*20</f>
        <v>80</v>
      </c>
      <c r="Y1232" s="5"/>
      <c r="Z1232" s="16">
        <v>80</v>
      </c>
      <c r="AA1232" s="16"/>
      <c r="AB1232" s="16"/>
      <c r="AC1232" s="14"/>
      <c r="AD1232" s="14"/>
      <c r="AE1232" s="16" t="s">
        <v>151</v>
      </c>
      <c r="AF1232" s="21">
        <v>3</v>
      </c>
      <c r="AG1232" s="22">
        <v>80</v>
      </c>
      <c r="AH1232" s="6">
        <v>1</v>
      </c>
      <c r="AI1232" s="21">
        <v>8100</v>
      </c>
      <c r="AJ1232" s="20">
        <f t="shared" si="242"/>
        <v>648000</v>
      </c>
      <c r="AK1232" s="50">
        <v>6</v>
      </c>
      <c r="AL1232" s="6">
        <v>0.06</v>
      </c>
      <c r="AM1232" s="20">
        <f t="shared" si="243"/>
        <v>609120</v>
      </c>
      <c r="AN1232" s="20">
        <f>+(S1232*0.5)+AM1232</f>
        <v>1012795</v>
      </c>
      <c r="AP1232" s="20">
        <f t="shared" si="245"/>
        <v>1012795</v>
      </c>
      <c r="AQ1232" s="7">
        <v>3.0000000000000001E-3</v>
      </c>
      <c r="AR1232" s="60"/>
      <c r="AS1232" s="128">
        <v>135</v>
      </c>
    </row>
    <row r="1233" spans="1:45" s="21" customFormat="1" ht="30" customHeight="1" x14ac:dyDescent="0.2">
      <c r="A1233" s="8"/>
      <c r="B1233" s="46"/>
      <c r="C1233" s="16"/>
      <c r="D1233" s="48"/>
      <c r="E1233" s="47"/>
      <c r="F1233" s="48"/>
      <c r="G1233" s="49"/>
      <c r="H1233" s="48"/>
      <c r="I1233" s="48"/>
      <c r="J1233" s="48"/>
      <c r="K1233" s="3"/>
      <c r="L1233" s="16"/>
      <c r="M1233" s="57"/>
      <c r="N1233" s="58"/>
      <c r="P1233" s="16"/>
      <c r="Q1233" s="20"/>
      <c r="R1233" s="14" t="e">
        <v>#N/A</v>
      </c>
      <c r="S1233" s="19"/>
      <c r="T1233" s="16">
        <v>2</v>
      </c>
      <c r="U1233" s="16" t="s">
        <v>63</v>
      </c>
      <c r="V1233" s="16" t="s">
        <v>56</v>
      </c>
      <c r="W1233" s="5"/>
      <c r="X1233" s="16">
        <v>80</v>
      </c>
      <c r="Y1233" s="5">
        <v>80</v>
      </c>
      <c r="Z1233" s="16"/>
      <c r="AA1233" s="16"/>
      <c r="AB1233" s="16"/>
      <c r="AC1233" s="14"/>
      <c r="AD1233" s="14"/>
      <c r="AE1233" s="16"/>
      <c r="AF1233" s="21">
        <v>2</v>
      </c>
      <c r="AG1233" s="22">
        <v>80</v>
      </c>
      <c r="AH1233" s="6">
        <v>1</v>
      </c>
      <c r="AI1233" s="21">
        <v>8100</v>
      </c>
      <c r="AJ1233" s="20">
        <f t="shared" si="242"/>
        <v>648000</v>
      </c>
      <c r="AK1233" s="50">
        <v>6</v>
      </c>
      <c r="AL1233" s="6">
        <v>0.06</v>
      </c>
      <c r="AM1233" s="20">
        <f t="shared" si="243"/>
        <v>609120</v>
      </c>
      <c r="AN1233" s="20">
        <f>+AM1233+(S1232*0.5)</f>
        <v>1012795</v>
      </c>
      <c r="AP1233" s="20">
        <f t="shared" si="245"/>
        <v>1012795</v>
      </c>
      <c r="AQ1233" s="7">
        <v>2.0000000000000001E-4</v>
      </c>
      <c r="AR1233" s="24"/>
      <c r="AS1233" s="129"/>
    </row>
    <row r="1234" spans="1:45" s="21" customFormat="1" ht="30" customHeight="1" x14ac:dyDescent="0.2">
      <c r="A1234" s="8">
        <v>1032</v>
      </c>
      <c r="B1234" s="46">
        <v>2</v>
      </c>
      <c r="C1234" s="16" t="s">
        <v>52</v>
      </c>
      <c r="D1234" s="48">
        <v>2959</v>
      </c>
      <c r="E1234" s="47">
        <v>28</v>
      </c>
      <c r="F1234" s="48">
        <v>2023</v>
      </c>
      <c r="G1234" s="49">
        <v>2</v>
      </c>
      <c r="H1234" s="48">
        <v>3</v>
      </c>
      <c r="I1234" s="48">
        <v>2</v>
      </c>
      <c r="J1234" s="48">
        <v>65</v>
      </c>
      <c r="K1234" s="3">
        <f>1200+265</f>
        <v>1465</v>
      </c>
      <c r="L1234" s="16"/>
      <c r="M1234" s="57"/>
      <c r="N1234" s="58"/>
      <c r="P1234" s="16">
        <v>1</v>
      </c>
      <c r="Q1234" s="20">
        <f t="shared" ref="Q1234:Q1300" si="248">+(H1234*400)+(I1234*100)+J1234</f>
        <v>1465</v>
      </c>
      <c r="R1234" s="14">
        <v>160</v>
      </c>
      <c r="S1234" s="20">
        <f t="shared" ref="S1234:S1267" si="249">+Q1234*R1234</f>
        <v>234400</v>
      </c>
      <c r="T1234" s="16"/>
      <c r="U1234" s="17"/>
      <c r="V1234" s="16"/>
      <c r="W1234" s="5"/>
      <c r="X1234" s="16"/>
      <c r="Y1234" s="5"/>
      <c r="Z1234" s="16"/>
      <c r="AA1234" s="16"/>
      <c r="AB1234" s="16"/>
      <c r="AE1234" s="16"/>
      <c r="AG1234" s="22"/>
      <c r="AH1234" s="6"/>
      <c r="AJ1234" s="20">
        <f t="shared" si="242"/>
        <v>0</v>
      </c>
      <c r="AK1234" s="50"/>
      <c r="AL1234" s="6"/>
      <c r="AM1234" s="20">
        <f t="shared" si="243"/>
        <v>0</v>
      </c>
      <c r="AN1234" s="20">
        <f t="shared" ref="AN1234:AN1241" si="250">+S1234+AM1234</f>
        <v>234400</v>
      </c>
      <c r="AP1234" s="20">
        <f t="shared" si="245"/>
        <v>234400</v>
      </c>
      <c r="AQ1234" s="7"/>
      <c r="AR1234" s="24"/>
      <c r="AS1234" s="129"/>
    </row>
    <row r="1235" spans="1:45" s="21" customFormat="1" ht="30" customHeight="1" x14ac:dyDescent="0.2">
      <c r="A1235" s="8">
        <v>1033</v>
      </c>
      <c r="B1235" s="46">
        <v>3</v>
      </c>
      <c r="C1235" s="16" t="s">
        <v>52</v>
      </c>
      <c r="D1235" s="48">
        <v>3011</v>
      </c>
      <c r="E1235" s="47">
        <v>58</v>
      </c>
      <c r="F1235" s="48">
        <v>2079</v>
      </c>
      <c r="G1235" s="49">
        <v>2</v>
      </c>
      <c r="H1235" s="48">
        <v>0</v>
      </c>
      <c r="I1235" s="48">
        <v>1</v>
      </c>
      <c r="J1235" s="48">
        <v>71</v>
      </c>
      <c r="K1235" s="3"/>
      <c r="L1235" s="16">
        <v>171</v>
      </c>
      <c r="M1235" s="57"/>
      <c r="N1235" s="58"/>
      <c r="P1235" s="16">
        <v>2</v>
      </c>
      <c r="Q1235" s="20">
        <f t="shared" si="248"/>
        <v>171</v>
      </c>
      <c r="R1235" s="14">
        <v>200</v>
      </c>
      <c r="S1235" s="19">
        <f t="shared" si="249"/>
        <v>34200</v>
      </c>
      <c r="T1235" s="16"/>
      <c r="U1235" s="17" t="s">
        <v>57</v>
      </c>
      <c r="V1235" s="17" t="s">
        <v>56</v>
      </c>
      <c r="W1235" s="4"/>
      <c r="X1235" s="16"/>
      <c r="Y1235" s="5">
        <v>80</v>
      </c>
      <c r="Z1235" s="16"/>
      <c r="AA1235" s="16"/>
      <c r="AB1235" s="16">
        <v>11</v>
      </c>
      <c r="AC1235" s="14"/>
      <c r="AD1235" s="14"/>
      <c r="AE1235" s="16" t="s">
        <v>152</v>
      </c>
      <c r="AG1235" s="22">
        <f t="shared" ref="AG1235:AG1265" si="251">Y1235</f>
        <v>80</v>
      </c>
      <c r="AH1235" s="6"/>
      <c r="AJ1235" s="20">
        <f t="shared" si="242"/>
        <v>0</v>
      </c>
      <c r="AK1235" s="50">
        <v>11</v>
      </c>
      <c r="AL1235" s="6"/>
      <c r="AM1235" s="20">
        <f t="shared" si="243"/>
        <v>0</v>
      </c>
      <c r="AN1235" s="20">
        <f t="shared" si="250"/>
        <v>34200</v>
      </c>
      <c r="AP1235" s="20">
        <f t="shared" si="245"/>
        <v>34200</v>
      </c>
      <c r="AQ1235" s="7">
        <v>2.0000000000000001E-4</v>
      </c>
      <c r="AR1235" s="24"/>
      <c r="AS1235" s="129"/>
    </row>
    <row r="1236" spans="1:45" s="21" customFormat="1" ht="30" customHeight="1" x14ac:dyDescent="0.2">
      <c r="A1236" s="8">
        <v>1034</v>
      </c>
      <c r="B1236" s="46">
        <v>4</v>
      </c>
      <c r="C1236" s="16" t="s">
        <v>52</v>
      </c>
      <c r="D1236" s="48">
        <v>3162</v>
      </c>
      <c r="E1236" s="47">
        <v>29</v>
      </c>
      <c r="F1236" s="48">
        <v>2030</v>
      </c>
      <c r="G1236" s="49">
        <v>2</v>
      </c>
      <c r="H1236" s="48">
        <v>0</v>
      </c>
      <c r="I1236" s="48">
        <v>1</v>
      </c>
      <c r="J1236" s="48">
        <v>56</v>
      </c>
      <c r="K1236" s="3">
        <v>156</v>
      </c>
      <c r="L1236" s="16"/>
      <c r="M1236" s="57"/>
      <c r="N1236" s="58"/>
      <c r="P1236" s="16">
        <v>1</v>
      </c>
      <c r="Q1236" s="20">
        <f t="shared" si="248"/>
        <v>156</v>
      </c>
      <c r="R1236" s="14">
        <v>250</v>
      </c>
      <c r="S1236" s="19">
        <f t="shared" si="249"/>
        <v>39000</v>
      </c>
      <c r="T1236" s="16"/>
      <c r="U1236" s="17"/>
      <c r="V1236" s="17"/>
      <c r="W1236" s="4"/>
      <c r="X1236" s="16"/>
      <c r="Y1236" s="5"/>
      <c r="Z1236" s="16"/>
      <c r="AA1236" s="16"/>
      <c r="AB1236" s="16"/>
      <c r="AC1236" s="14"/>
      <c r="AD1236" s="14"/>
      <c r="AE1236" s="16"/>
      <c r="AG1236" s="22">
        <f t="shared" si="251"/>
        <v>0</v>
      </c>
      <c r="AH1236" s="6"/>
      <c r="AJ1236" s="20">
        <f t="shared" si="242"/>
        <v>0</v>
      </c>
      <c r="AK1236" s="50"/>
      <c r="AL1236" s="6"/>
      <c r="AM1236" s="20">
        <f t="shared" si="243"/>
        <v>0</v>
      </c>
      <c r="AN1236" s="20">
        <f t="shared" si="250"/>
        <v>39000</v>
      </c>
      <c r="AP1236" s="20">
        <f t="shared" si="245"/>
        <v>39000</v>
      </c>
      <c r="AQ1236" s="7"/>
      <c r="AR1236" s="24"/>
      <c r="AS1236" s="129"/>
    </row>
    <row r="1237" spans="1:45" s="21" customFormat="1" ht="30" customHeight="1" x14ac:dyDescent="0.2">
      <c r="A1237" s="8">
        <v>1035</v>
      </c>
      <c r="B1237" s="46">
        <v>5</v>
      </c>
      <c r="C1237" s="16" t="s">
        <v>52</v>
      </c>
      <c r="D1237" s="48">
        <v>3376</v>
      </c>
      <c r="E1237" s="47">
        <v>73</v>
      </c>
      <c r="F1237" s="48">
        <v>2162</v>
      </c>
      <c r="G1237" s="49">
        <v>2</v>
      </c>
      <c r="H1237" s="48">
        <v>17</v>
      </c>
      <c r="I1237" s="48">
        <v>1</v>
      </c>
      <c r="J1237" s="48">
        <v>73</v>
      </c>
      <c r="K1237" s="3">
        <f>17*400+173</f>
        <v>6973</v>
      </c>
      <c r="L1237" s="16"/>
      <c r="M1237" s="57"/>
      <c r="N1237" s="58"/>
      <c r="P1237" s="16">
        <v>1</v>
      </c>
      <c r="Q1237" s="20">
        <f t="shared" si="248"/>
        <v>6973</v>
      </c>
      <c r="R1237" s="14">
        <v>200</v>
      </c>
      <c r="S1237" s="20">
        <f t="shared" si="249"/>
        <v>1394600</v>
      </c>
      <c r="T1237" s="16"/>
      <c r="U1237" s="17"/>
      <c r="V1237" s="17"/>
      <c r="W1237" s="4"/>
      <c r="X1237" s="16"/>
      <c r="Y1237" s="5"/>
      <c r="Z1237" s="16"/>
      <c r="AA1237" s="16"/>
      <c r="AB1237" s="16"/>
      <c r="AC1237" s="14"/>
      <c r="AD1237" s="14"/>
      <c r="AE1237" s="16"/>
      <c r="AG1237" s="22">
        <f t="shared" si="251"/>
        <v>0</v>
      </c>
      <c r="AH1237" s="6"/>
      <c r="AJ1237" s="20">
        <f t="shared" si="242"/>
        <v>0</v>
      </c>
      <c r="AK1237" s="50"/>
      <c r="AL1237" s="6"/>
      <c r="AM1237" s="20">
        <f t="shared" si="243"/>
        <v>0</v>
      </c>
      <c r="AN1237" s="20">
        <f t="shared" si="250"/>
        <v>1394600</v>
      </c>
      <c r="AP1237" s="20">
        <f t="shared" si="245"/>
        <v>1394600</v>
      </c>
      <c r="AQ1237" s="7"/>
      <c r="AR1237" s="24"/>
      <c r="AS1237" s="129"/>
    </row>
    <row r="1238" spans="1:45" s="21" customFormat="1" ht="30" customHeight="1" x14ac:dyDescent="0.2">
      <c r="A1238" s="8">
        <v>1036</v>
      </c>
      <c r="B1238" s="46">
        <v>6</v>
      </c>
      <c r="C1238" s="16" t="s">
        <v>52</v>
      </c>
      <c r="D1238" s="48">
        <v>3377</v>
      </c>
      <c r="E1238" s="47">
        <v>72</v>
      </c>
      <c r="F1238" s="48">
        <v>2163</v>
      </c>
      <c r="G1238" s="49">
        <v>2</v>
      </c>
      <c r="H1238" s="48">
        <v>2</v>
      </c>
      <c r="I1238" s="48">
        <v>1</v>
      </c>
      <c r="J1238" s="48">
        <v>63</v>
      </c>
      <c r="K1238" s="3">
        <f>800+163</f>
        <v>963</v>
      </c>
      <c r="L1238" s="16"/>
      <c r="M1238" s="57"/>
      <c r="N1238" s="58"/>
      <c r="P1238" s="16">
        <v>1</v>
      </c>
      <c r="Q1238" s="20">
        <f t="shared" si="248"/>
        <v>963</v>
      </c>
      <c r="R1238" s="14">
        <v>160</v>
      </c>
      <c r="S1238" s="19">
        <f t="shared" si="249"/>
        <v>154080</v>
      </c>
      <c r="T1238" s="16"/>
      <c r="U1238" s="17"/>
      <c r="V1238" s="17"/>
      <c r="W1238" s="4"/>
      <c r="X1238" s="16"/>
      <c r="Y1238" s="5"/>
      <c r="Z1238" s="16"/>
      <c r="AA1238" s="16"/>
      <c r="AB1238" s="16"/>
      <c r="AC1238" s="14"/>
      <c r="AD1238" s="14"/>
      <c r="AE1238" s="16"/>
      <c r="AG1238" s="22">
        <f t="shared" si="251"/>
        <v>0</v>
      </c>
      <c r="AH1238" s="6"/>
      <c r="AJ1238" s="20">
        <f t="shared" si="242"/>
        <v>0</v>
      </c>
      <c r="AK1238" s="50"/>
      <c r="AL1238" s="6"/>
      <c r="AM1238" s="20">
        <f t="shared" si="243"/>
        <v>0</v>
      </c>
      <c r="AN1238" s="20">
        <f t="shared" si="250"/>
        <v>154080</v>
      </c>
      <c r="AP1238" s="20">
        <f t="shared" si="245"/>
        <v>154080</v>
      </c>
      <c r="AQ1238" s="7"/>
      <c r="AR1238" s="24"/>
      <c r="AS1238" s="129"/>
    </row>
    <row r="1239" spans="1:45" s="21" customFormat="1" ht="30" customHeight="1" x14ac:dyDescent="0.2">
      <c r="A1239" s="8">
        <v>1037</v>
      </c>
      <c r="B1239" s="46">
        <v>7</v>
      </c>
      <c r="C1239" s="16" t="s">
        <v>52</v>
      </c>
      <c r="D1239" s="48">
        <v>3378</v>
      </c>
      <c r="E1239" s="47">
        <v>74</v>
      </c>
      <c r="F1239" s="48">
        <v>2164</v>
      </c>
      <c r="G1239" s="49">
        <v>2</v>
      </c>
      <c r="H1239" s="48">
        <v>5</v>
      </c>
      <c r="I1239" s="48">
        <v>0</v>
      </c>
      <c r="J1239" s="48">
        <v>61</v>
      </c>
      <c r="K1239" s="3">
        <f>5*400+61</f>
        <v>2061</v>
      </c>
      <c r="L1239" s="16"/>
      <c r="M1239" s="57"/>
      <c r="N1239" s="58"/>
      <c r="P1239" s="16">
        <v>1</v>
      </c>
      <c r="Q1239" s="20">
        <f t="shared" si="248"/>
        <v>2061</v>
      </c>
      <c r="R1239" s="14">
        <v>160</v>
      </c>
      <c r="S1239" s="19">
        <f t="shared" si="249"/>
        <v>329760</v>
      </c>
      <c r="T1239" s="16"/>
      <c r="U1239" s="17"/>
      <c r="V1239" s="17"/>
      <c r="W1239" s="4"/>
      <c r="X1239" s="16"/>
      <c r="Y1239" s="5"/>
      <c r="Z1239" s="16"/>
      <c r="AA1239" s="16"/>
      <c r="AB1239" s="16"/>
      <c r="AC1239" s="14"/>
      <c r="AD1239" s="14"/>
      <c r="AE1239" s="16"/>
      <c r="AG1239" s="22">
        <f t="shared" si="251"/>
        <v>0</v>
      </c>
      <c r="AH1239" s="6"/>
      <c r="AJ1239" s="20">
        <f t="shared" si="242"/>
        <v>0</v>
      </c>
      <c r="AK1239" s="50"/>
      <c r="AL1239" s="6"/>
      <c r="AM1239" s="20">
        <f t="shared" si="243"/>
        <v>0</v>
      </c>
      <c r="AN1239" s="20">
        <f t="shared" si="250"/>
        <v>329760</v>
      </c>
      <c r="AP1239" s="20">
        <f t="shared" si="245"/>
        <v>329760</v>
      </c>
      <c r="AQ1239" s="7"/>
      <c r="AR1239" s="24"/>
      <c r="AS1239" s="129"/>
    </row>
    <row r="1240" spans="1:45" s="21" customFormat="1" ht="30" customHeight="1" x14ac:dyDescent="0.2">
      <c r="A1240" s="8">
        <v>1038</v>
      </c>
      <c r="B1240" s="46">
        <v>8</v>
      </c>
      <c r="C1240" s="16" t="s">
        <v>52</v>
      </c>
      <c r="D1240" s="48">
        <v>3379</v>
      </c>
      <c r="E1240" s="47">
        <v>75</v>
      </c>
      <c r="F1240" s="48">
        <v>2165</v>
      </c>
      <c r="G1240" s="49">
        <v>2</v>
      </c>
      <c r="H1240" s="48">
        <v>2</v>
      </c>
      <c r="I1240" s="48">
        <v>2</v>
      </c>
      <c r="J1240" s="48">
        <v>73</v>
      </c>
      <c r="K1240" s="3">
        <v>1073</v>
      </c>
      <c r="L1240" s="16"/>
      <c r="M1240" s="57"/>
      <c r="N1240" s="58"/>
      <c r="P1240" s="16">
        <v>1</v>
      </c>
      <c r="Q1240" s="20">
        <f t="shared" si="248"/>
        <v>1073</v>
      </c>
      <c r="R1240" s="14">
        <v>160</v>
      </c>
      <c r="S1240" s="20">
        <f t="shared" si="249"/>
        <v>171680</v>
      </c>
      <c r="T1240" s="16"/>
      <c r="U1240" s="16"/>
      <c r="V1240" s="16"/>
      <c r="W1240" s="5"/>
      <c r="X1240" s="16"/>
      <c r="Y1240" s="5"/>
      <c r="Z1240" s="16"/>
      <c r="AA1240" s="16"/>
      <c r="AB1240" s="16"/>
      <c r="AE1240" s="16"/>
      <c r="AG1240" s="22">
        <f t="shared" si="251"/>
        <v>0</v>
      </c>
      <c r="AH1240" s="6"/>
      <c r="AJ1240" s="20">
        <f t="shared" si="242"/>
        <v>0</v>
      </c>
      <c r="AK1240" s="50"/>
      <c r="AL1240" s="6"/>
      <c r="AM1240" s="20">
        <f t="shared" si="243"/>
        <v>0</v>
      </c>
      <c r="AN1240" s="20">
        <f t="shared" si="250"/>
        <v>171680</v>
      </c>
      <c r="AP1240" s="20">
        <f t="shared" si="245"/>
        <v>171680</v>
      </c>
      <c r="AQ1240" s="7"/>
      <c r="AR1240" s="24"/>
      <c r="AS1240" s="129"/>
    </row>
    <row r="1241" spans="1:45" s="21" customFormat="1" ht="30" customHeight="1" x14ac:dyDescent="0.2">
      <c r="A1241" s="8">
        <v>1039</v>
      </c>
      <c r="B1241" s="46">
        <v>9</v>
      </c>
      <c r="C1241" s="16" t="s">
        <v>52</v>
      </c>
      <c r="D1241" s="48">
        <v>3382</v>
      </c>
      <c r="E1241" s="47">
        <v>69</v>
      </c>
      <c r="F1241" s="48">
        <v>2168</v>
      </c>
      <c r="G1241" s="49">
        <v>2</v>
      </c>
      <c r="H1241" s="48">
        <v>3</v>
      </c>
      <c r="I1241" s="48">
        <v>0</v>
      </c>
      <c r="J1241" s="48">
        <v>27</v>
      </c>
      <c r="K1241" s="3">
        <v>1227</v>
      </c>
      <c r="L1241" s="16"/>
      <c r="M1241" s="57"/>
      <c r="N1241" s="58"/>
      <c r="P1241" s="16">
        <v>1</v>
      </c>
      <c r="Q1241" s="20">
        <f t="shared" si="248"/>
        <v>1227</v>
      </c>
      <c r="R1241" s="14">
        <v>200</v>
      </c>
      <c r="S1241" s="19">
        <f t="shared" si="249"/>
        <v>245400</v>
      </c>
      <c r="T1241" s="16"/>
      <c r="U1241" s="17"/>
      <c r="V1241" s="16"/>
      <c r="W1241" s="5"/>
      <c r="X1241" s="16"/>
      <c r="Y1241" s="5"/>
      <c r="Z1241" s="16"/>
      <c r="AA1241" s="16"/>
      <c r="AB1241" s="16"/>
      <c r="AE1241" s="16"/>
      <c r="AG1241" s="22">
        <f t="shared" si="251"/>
        <v>0</v>
      </c>
      <c r="AH1241" s="6"/>
      <c r="AJ1241" s="20">
        <f t="shared" si="242"/>
        <v>0</v>
      </c>
      <c r="AK1241" s="50"/>
      <c r="AL1241" s="6"/>
      <c r="AM1241" s="20">
        <f t="shared" si="243"/>
        <v>0</v>
      </c>
      <c r="AN1241" s="20">
        <f t="shared" si="250"/>
        <v>245400</v>
      </c>
      <c r="AP1241" s="20">
        <f t="shared" si="245"/>
        <v>245400</v>
      </c>
      <c r="AQ1241" s="7"/>
      <c r="AR1241" s="24"/>
      <c r="AS1241" s="129"/>
    </row>
    <row r="1242" spans="1:45" s="21" customFormat="1" ht="30" customHeight="1" x14ac:dyDescent="0.2">
      <c r="A1242" s="8">
        <v>1040</v>
      </c>
      <c r="B1242" s="46">
        <v>10</v>
      </c>
      <c r="C1242" s="16" t="s">
        <v>52</v>
      </c>
      <c r="D1242" s="48">
        <v>4162</v>
      </c>
      <c r="E1242" s="47">
        <v>78</v>
      </c>
      <c r="F1242" s="48">
        <v>2251</v>
      </c>
      <c r="G1242" s="49">
        <v>2</v>
      </c>
      <c r="H1242" s="48">
        <v>8</v>
      </c>
      <c r="I1242" s="48">
        <v>2</v>
      </c>
      <c r="J1242" s="48">
        <v>29</v>
      </c>
      <c r="K1242" s="3"/>
      <c r="L1242" s="16"/>
      <c r="M1242" s="57"/>
      <c r="N1242" s="58">
        <v>3429</v>
      </c>
      <c r="P1242" s="16">
        <v>4</v>
      </c>
      <c r="Q1242" s="20">
        <f t="shared" si="248"/>
        <v>3429</v>
      </c>
      <c r="R1242" s="14">
        <v>200</v>
      </c>
      <c r="S1242" s="19">
        <f t="shared" si="249"/>
        <v>685800</v>
      </c>
      <c r="T1242" s="16"/>
      <c r="U1242" s="17"/>
      <c r="V1242" s="17"/>
      <c r="W1242" s="4"/>
      <c r="X1242" s="16"/>
      <c r="Y1242" s="5"/>
      <c r="Z1242" s="16"/>
      <c r="AA1242" s="16"/>
      <c r="AB1242" s="16"/>
      <c r="AE1242" s="16" t="s">
        <v>128</v>
      </c>
      <c r="AG1242" s="22">
        <f t="shared" si="251"/>
        <v>0</v>
      </c>
      <c r="AH1242" s="6"/>
      <c r="AJ1242" s="20">
        <f t="shared" si="242"/>
        <v>0</v>
      </c>
      <c r="AK1242" s="50"/>
      <c r="AL1242" s="6"/>
      <c r="AM1242" s="20">
        <f t="shared" si="243"/>
        <v>0</v>
      </c>
      <c r="AN1242" s="20">
        <f>+(S1242*0.25)+AM1242</f>
        <v>171450</v>
      </c>
      <c r="AP1242" s="20">
        <f t="shared" si="245"/>
        <v>171450</v>
      </c>
      <c r="AQ1242" s="7">
        <v>3.0000000000000001E-3</v>
      </c>
      <c r="AR1242" s="24"/>
      <c r="AS1242" s="129"/>
    </row>
    <row r="1243" spans="1:45" s="21" customFormat="1" ht="30" customHeight="1" x14ac:dyDescent="0.2">
      <c r="A1243" s="8">
        <v>1041</v>
      </c>
      <c r="B1243" s="46">
        <v>11</v>
      </c>
      <c r="C1243" s="16" t="s">
        <v>52</v>
      </c>
      <c r="D1243" s="48">
        <v>13487</v>
      </c>
      <c r="E1243" s="47">
        <v>96</v>
      </c>
      <c r="F1243" s="48">
        <v>3286</v>
      </c>
      <c r="G1243" s="49">
        <v>2</v>
      </c>
      <c r="H1243" s="48">
        <v>1</v>
      </c>
      <c r="I1243" s="48">
        <v>1</v>
      </c>
      <c r="J1243" s="48">
        <v>48</v>
      </c>
      <c r="K1243" s="3">
        <v>548</v>
      </c>
      <c r="L1243" s="16"/>
      <c r="M1243" s="57"/>
      <c r="N1243" s="58"/>
      <c r="P1243" s="16">
        <v>1</v>
      </c>
      <c r="Q1243" s="20">
        <f t="shared" si="248"/>
        <v>548</v>
      </c>
      <c r="R1243" s="14">
        <v>160</v>
      </c>
      <c r="S1243" s="20">
        <f t="shared" si="249"/>
        <v>87680</v>
      </c>
      <c r="T1243" s="16"/>
      <c r="U1243" s="17"/>
      <c r="V1243" s="17"/>
      <c r="W1243" s="4"/>
      <c r="X1243" s="16"/>
      <c r="Y1243" s="5"/>
      <c r="Z1243" s="16"/>
      <c r="AA1243" s="16"/>
      <c r="AB1243" s="16"/>
      <c r="AE1243" s="16"/>
      <c r="AG1243" s="22">
        <f t="shared" si="251"/>
        <v>0</v>
      </c>
      <c r="AH1243" s="6"/>
      <c r="AJ1243" s="20">
        <f t="shared" si="242"/>
        <v>0</v>
      </c>
      <c r="AK1243" s="50"/>
      <c r="AL1243" s="6"/>
      <c r="AM1243" s="20">
        <f t="shared" si="243"/>
        <v>0</v>
      </c>
      <c r="AN1243" s="20">
        <f t="shared" ref="AN1243:AN1266" si="252">+S1243+AM1243</f>
        <v>87680</v>
      </c>
      <c r="AP1243" s="20">
        <f t="shared" si="245"/>
        <v>87680</v>
      </c>
      <c r="AQ1243" s="7"/>
      <c r="AR1243" s="24"/>
      <c r="AS1243" s="129"/>
    </row>
    <row r="1244" spans="1:45" s="21" customFormat="1" ht="30" customHeight="1" x14ac:dyDescent="0.2">
      <c r="A1244" s="8">
        <v>1042</v>
      </c>
      <c r="B1244" s="46">
        <v>12</v>
      </c>
      <c r="C1244" s="16" t="s">
        <v>52</v>
      </c>
      <c r="D1244" s="48">
        <v>33310</v>
      </c>
      <c r="E1244" s="47">
        <v>190</v>
      </c>
      <c r="F1244" s="48">
        <v>6691</v>
      </c>
      <c r="G1244" s="49">
        <v>2</v>
      </c>
      <c r="H1244" s="48">
        <v>0</v>
      </c>
      <c r="I1244" s="48">
        <v>0</v>
      </c>
      <c r="J1244" s="48">
        <v>38</v>
      </c>
      <c r="K1244" s="3"/>
      <c r="L1244" s="16"/>
      <c r="M1244" s="57"/>
      <c r="N1244" s="58">
        <v>38</v>
      </c>
      <c r="P1244" s="16">
        <v>4</v>
      </c>
      <c r="Q1244" s="20">
        <f t="shared" si="248"/>
        <v>38</v>
      </c>
      <c r="R1244" s="14">
        <v>250</v>
      </c>
      <c r="S1244" s="19">
        <f t="shared" si="249"/>
        <v>9500</v>
      </c>
      <c r="T1244" s="16"/>
      <c r="U1244" s="17"/>
      <c r="V1244" s="17"/>
      <c r="W1244" s="4"/>
      <c r="X1244" s="16"/>
      <c r="Y1244" s="5"/>
      <c r="Z1244" s="16"/>
      <c r="AA1244" s="16"/>
      <c r="AB1244" s="16"/>
      <c r="AE1244" s="16"/>
      <c r="AG1244" s="22">
        <f t="shared" si="251"/>
        <v>0</v>
      </c>
      <c r="AH1244" s="6"/>
      <c r="AJ1244" s="20">
        <f t="shared" si="242"/>
        <v>0</v>
      </c>
      <c r="AK1244" s="50"/>
      <c r="AL1244" s="6"/>
      <c r="AM1244" s="20">
        <f t="shared" si="243"/>
        <v>0</v>
      </c>
      <c r="AN1244" s="20">
        <f t="shared" si="252"/>
        <v>9500</v>
      </c>
      <c r="AP1244" s="20">
        <f t="shared" si="245"/>
        <v>9500</v>
      </c>
      <c r="AQ1244" s="7">
        <v>3.0000000000000001E-3</v>
      </c>
      <c r="AR1244" s="24"/>
      <c r="AS1244" s="129"/>
    </row>
    <row r="1245" spans="1:45" ht="30" customHeight="1" x14ac:dyDescent="0.2">
      <c r="A1245" s="8"/>
      <c r="B1245" s="46"/>
      <c r="C1245" s="16"/>
      <c r="Q1245" s="20"/>
      <c r="AG1245" s="22"/>
      <c r="AJ1245" s="20"/>
      <c r="AM1245" s="20"/>
      <c r="AN1245" s="20"/>
      <c r="AP1245" s="20"/>
      <c r="AR1245" s="25"/>
      <c r="AS1245" s="130"/>
    </row>
    <row r="1246" spans="1:45" s="21" customFormat="1" ht="30" customHeight="1" x14ac:dyDescent="0.2">
      <c r="A1246" s="8">
        <v>1043</v>
      </c>
      <c r="B1246" s="46">
        <v>1</v>
      </c>
      <c r="C1246" s="16" t="s">
        <v>52</v>
      </c>
      <c r="D1246" s="48">
        <v>1808</v>
      </c>
      <c r="E1246" s="47">
        <v>125</v>
      </c>
      <c r="F1246" s="48">
        <v>1192</v>
      </c>
      <c r="G1246" s="49">
        <v>2</v>
      </c>
      <c r="H1246" s="48">
        <v>0</v>
      </c>
      <c r="I1246" s="48">
        <v>0</v>
      </c>
      <c r="J1246" s="48">
        <v>38.06</v>
      </c>
      <c r="K1246" s="3"/>
      <c r="L1246" s="16">
        <v>38.06</v>
      </c>
      <c r="M1246" s="57"/>
      <c r="N1246" s="58"/>
      <c r="P1246" s="16">
        <v>2</v>
      </c>
      <c r="Q1246" s="20">
        <f t="shared" si="248"/>
        <v>38.06</v>
      </c>
      <c r="R1246" s="14">
        <v>2000</v>
      </c>
      <c r="S1246" s="20">
        <f t="shared" si="249"/>
        <v>76120</v>
      </c>
      <c r="T1246" s="16"/>
      <c r="U1246" s="17" t="s">
        <v>63</v>
      </c>
      <c r="V1246" s="17" t="s">
        <v>56</v>
      </c>
      <c r="W1246" s="4"/>
      <c r="X1246" s="16"/>
      <c r="Y1246" s="5">
        <v>160</v>
      </c>
      <c r="Z1246" s="16"/>
      <c r="AA1246" s="16"/>
      <c r="AB1246" s="16">
        <v>19</v>
      </c>
      <c r="AE1246" s="16"/>
      <c r="AG1246" s="22">
        <f t="shared" si="251"/>
        <v>160</v>
      </c>
      <c r="AH1246" s="6"/>
      <c r="AJ1246" s="20">
        <f t="shared" si="242"/>
        <v>0</v>
      </c>
      <c r="AK1246" s="50">
        <v>19</v>
      </c>
      <c r="AL1246" s="6"/>
      <c r="AM1246" s="20">
        <f t="shared" si="243"/>
        <v>0</v>
      </c>
      <c r="AN1246" s="20">
        <f t="shared" si="252"/>
        <v>76120</v>
      </c>
      <c r="AP1246" s="20">
        <f t="shared" si="245"/>
        <v>76120</v>
      </c>
      <c r="AQ1246" s="7"/>
      <c r="AR1246" s="60"/>
      <c r="AS1246" s="128">
        <v>106</v>
      </c>
    </row>
    <row r="1247" spans="1:45" s="21" customFormat="1" ht="30" customHeight="1" x14ac:dyDescent="0.2">
      <c r="A1247" s="8">
        <v>1044</v>
      </c>
      <c r="B1247" s="46">
        <v>2</v>
      </c>
      <c r="C1247" s="16" t="s">
        <v>52</v>
      </c>
      <c r="D1247" s="48">
        <v>3614</v>
      </c>
      <c r="E1247" s="47">
        <v>97</v>
      </c>
      <c r="F1247" s="48">
        <v>2245</v>
      </c>
      <c r="G1247" s="49">
        <v>2</v>
      </c>
      <c r="H1247" s="48">
        <v>12</v>
      </c>
      <c r="I1247" s="48">
        <v>2</v>
      </c>
      <c r="J1247" s="48">
        <v>79</v>
      </c>
      <c r="K1247" s="3">
        <f>12*400+279</f>
        <v>5079</v>
      </c>
      <c r="L1247" s="16"/>
      <c r="M1247" s="57"/>
      <c r="N1247" s="58"/>
      <c r="P1247" s="16">
        <v>1</v>
      </c>
      <c r="Q1247" s="20">
        <f t="shared" si="248"/>
        <v>5079</v>
      </c>
      <c r="R1247" s="14">
        <v>160</v>
      </c>
      <c r="S1247" s="19">
        <f t="shared" si="249"/>
        <v>812640</v>
      </c>
      <c r="T1247" s="16"/>
      <c r="U1247" s="16"/>
      <c r="V1247" s="16"/>
      <c r="W1247" s="5"/>
      <c r="X1247" s="16"/>
      <c r="Y1247" s="5"/>
      <c r="Z1247" s="16"/>
      <c r="AA1247" s="16"/>
      <c r="AB1247" s="16"/>
      <c r="AE1247" s="16"/>
      <c r="AG1247" s="22">
        <f t="shared" si="251"/>
        <v>0</v>
      </c>
      <c r="AH1247" s="6"/>
      <c r="AJ1247" s="20">
        <f t="shared" si="242"/>
        <v>0</v>
      </c>
      <c r="AK1247" s="50"/>
      <c r="AL1247" s="6"/>
      <c r="AM1247" s="20">
        <f t="shared" si="243"/>
        <v>0</v>
      </c>
      <c r="AN1247" s="20">
        <f t="shared" si="252"/>
        <v>812640</v>
      </c>
      <c r="AP1247" s="20">
        <f t="shared" si="245"/>
        <v>812640</v>
      </c>
      <c r="AQ1247" s="7"/>
      <c r="AR1247" s="24"/>
      <c r="AS1247" s="129"/>
    </row>
    <row r="1248" spans="1:45" ht="30" customHeight="1" x14ac:dyDescent="0.2">
      <c r="A1248" s="8">
        <v>1045</v>
      </c>
      <c r="B1248" s="13">
        <v>3</v>
      </c>
      <c r="C1248" s="16" t="s">
        <v>69</v>
      </c>
      <c r="E1248" s="17">
        <v>152</v>
      </c>
      <c r="F1248" s="17">
        <v>21</v>
      </c>
      <c r="G1248" s="13">
        <v>2</v>
      </c>
      <c r="H1248" s="17">
        <v>11</v>
      </c>
      <c r="I1248" s="17">
        <v>2</v>
      </c>
      <c r="J1248" s="17">
        <v>33</v>
      </c>
      <c r="K1248" s="10">
        <v>4633</v>
      </c>
      <c r="P1248" s="17">
        <v>1</v>
      </c>
      <c r="Q1248" s="20">
        <f t="shared" si="248"/>
        <v>4633</v>
      </c>
      <c r="R1248" s="14">
        <v>160</v>
      </c>
      <c r="S1248" s="19">
        <f t="shared" si="249"/>
        <v>741280</v>
      </c>
      <c r="AG1248" s="22">
        <f t="shared" si="251"/>
        <v>0</v>
      </c>
      <c r="AJ1248" s="20">
        <f t="shared" si="242"/>
        <v>0</v>
      </c>
      <c r="AM1248" s="20">
        <f t="shared" si="243"/>
        <v>0</v>
      </c>
      <c r="AN1248" s="20">
        <f t="shared" si="252"/>
        <v>741280</v>
      </c>
      <c r="AP1248" s="20">
        <f t="shared" si="245"/>
        <v>741280</v>
      </c>
      <c r="AQ1248" s="12">
        <v>1E-4</v>
      </c>
      <c r="AR1248" s="25"/>
      <c r="AS1248" s="130"/>
    </row>
    <row r="1249" spans="1:45" s="21" customFormat="1" ht="30" customHeight="1" x14ac:dyDescent="0.2">
      <c r="A1249" s="8">
        <v>1046</v>
      </c>
      <c r="B1249" s="46">
        <v>1</v>
      </c>
      <c r="C1249" s="16" t="s">
        <v>52</v>
      </c>
      <c r="D1249" s="48">
        <v>4942</v>
      </c>
      <c r="E1249" s="47">
        <v>79</v>
      </c>
      <c r="F1249" s="48">
        <v>2324</v>
      </c>
      <c r="G1249" s="49">
        <v>2</v>
      </c>
      <c r="H1249" s="48">
        <v>1</v>
      </c>
      <c r="I1249" s="48">
        <v>2</v>
      </c>
      <c r="J1249" s="48">
        <v>55</v>
      </c>
      <c r="K1249" s="3">
        <v>655</v>
      </c>
      <c r="L1249" s="16"/>
      <c r="M1249" s="57"/>
      <c r="N1249" s="58"/>
      <c r="P1249" s="16">
        <v>1</v>
      </c>
      <c r="Q1249" s="20">
        <f t="shared" si="248"/>
        <v>655</v>
      </c>
      <c r="R1249" s="14">
        <v>160</v>
      </c>
      <c r="S1249" s="20">
        <f t="shared" si="249"/>
        <v>104800</v>
      </c>
      <c r="T1249" s="16"/>
      <c r="U1249" s="17"/>
      <c r="V1249" s="16"/>
      <c r="W1249" s="5"/>
      <c r="X1249" s="16"/>
      <c r="Y1249" s="5"/>
      <c r="Z1249" s="16"/>
      <c r="AA1249" s="16"/>
      <c r="AB1249" s="16"/>
      <c r="AE1249" s="16"/>
      <c r="AG1249" s="22">
        <f t="shared" si="251"/>
        <v>0</v>
      </c>
      <c r="AH1249" s="6"/>
      <c r="AJ1249" s="20">
        <f t="shared" si="242"/>
        <v>0</v>
      </c>
      <c r="AK1249" s="50"/>
      <c r="AL1249" s="6"/>
      <c r="AM1249" s="20">
        <f t="shared" si="243"/>
        <v>0</v>
      </c>
      <c r="AN1249" s="20">
        <f t="shared" si="252"/>
        <v>104800</v>
      </c>
      <c r="AP1249" s="20">
        <f t="shared" si="245"/>
        <v>104800</v>
      </c>
      <c r="AQ1249" s="7"/>
      <c r="AR1249" s="20"/>
      <c r="AS1249" s="51"/>
    </row>
    <row r="1250" spans="1:45" s="21" customFormat="1" ht="30" customHeight="1" x14ac:dyDescent="0.2">
      <c r="A1250" s="8">
        <v>1047</v>
      </c>
      <c r="B1250" s="46">
        <v>2</v>
      </c>
      <c r="C1250" s="16" t="s">
        <v>52</v>
      </c>
      <c r="D1250" s="48">
        <v>19708</v>
      </c>
      <c r="E1250" s="47">
        <v>129</v>
      </c>
      <c r="F1250" s="48">
        <v>4396</v>
      </c>
      <c r="G1250" s="49">
        <v>2</v>
      </c>
      <c r="H1250" s="48">
        <v>0</v>
      </c>
      <c r="I1250" s="48">
        <v>2</v>
      </c>
      <c r="J1250" s="48">
        <v>64</v>
      </c>
      <c r="K1250" s="3">
        <v>264</v>
      </c>
      <c r="L1250" s="16"/>
      <c r="M1250" s="57"/>
      <c r="N1250" s="58"/>
      <c r="P1250" s="16">
        <v>1</v>
      </c>
      <c r="Q1250" s="20">
        <f t="shared" si="248"/>
        <v>264</v>
      </c>
      <c r="R1250" s="14">
        <v>160</v>
      </c>
      <c r="S1250" s="19">
        <f t="shared" si="249"/>
        <v>42240</v>
      </c>
      <c r="T1250" s="16"/>
      <c r="U1250" s="17"/>
      <c r="V1250" s="17"/>
      <c r="W1250" s="4"/>
      <c r="X1250" s="16"/>
      <c r="Y1250" s="5"/>
      <c r="Z1250" s="16"/>
      <c r="AA1250" s="16"/>
      <c r="AB1250" s="16"/>
      <c r="AE1250" s="16"/>
      <c r="AG1250" s="22">
        <f t="shared" si="251"/>
        <v>0</v>
      </c>
      <c r="AH1250" s="6"/>
      <c r="AJ1250" s="20">
        <f t="shared" si="242"/>
        <v>0</v>
      </c>
      <c r="AK1250" s="50"/>
      <c r="AL1250" s="6"/>
      <c r="AM1250" s="20">
        <f t="shared" si="243"/>
        <v>0</v>
      </c>
      <c r="AN1250" s="20">
        <f t="shared" si="252"/>
        <v>42240</v>
      </c>
      <c r="AP1250" s="20">
        <f t="shared" si="245"/>
        <v>42240</v>
      </c>
      <c r="AQ1250" s="7"/>
      <c r="AR1250" s="20"/>
      <c r="AS1250" s="51"/>
    </row>
    <row r="1251" spans="1:45" s="21" customFormat="1" ht="30" customHeight="1" x14ac:dyDescent="0.2">
      <c r="A1251" s="8">
        <v>1048</v>
      </c>
      <c r="B1251" s="46">
        <v>1</v>
      </c>
      <c r="C1251" s="16" t="s">
        <v>52</v>
      </c>
      <c r="D1251" s="48">
        <v>2053</v>
      </c>
      <c r="E1251" s="47">
        <v>54</v>
      </c>
      <c r="F1251" s="48">
        <v>1510</v>
      </c>
      <c r="G1251" s="49">
        <v>2</v>
      </c>
      <c r="H1251" s="48">
        <v>0</v>
      </c>
      <c r="I1251" s="48">
        <v>1</v>
      </c>
      <c r="J1251" s="48">
        <v>2</v>
      </c>
      <c r="K1251" s="3">
        <v>102</v>
      </c>
      <c r="L1251" s="16"/>
      <c r="M1251" s="57"/>
      <c r="N1251" s="58"/>
      <c r="P1251" s="16">
        <v>1</v>
      </c>
      <c r="Q1251" s="20">
        <f t="shared" si="248"/>
        <v>102</v>
      </c>
      <c r="R1251" s="14">
        <v>200</v>
      </c>
      <c r="S1251" s="19">
        <f t="shared" si="249"/>
        <v>20400</v>
      </c>
      <c r="T1251" s="16"/>
      <c r="U1251" s="17"/>
      <c r="V1251" s="17"/>
      <c r="W1251" s="4"/>
      <c r="X1251" s="16"/>
      <c r="Y1251" s="5"/>
      <c r="Z1251" s="16"/>
      <c r="AA1251" s="16"/>
      <c r="AB1251" s="16"/>
      <c r="AE1251" s="16"/>
      <c r="AG1251" s="22">
        <f t="shared" si="251"/>
        <v>0</v>
      </c>
      <c r="AH1251" s="6"/>
      <c r="AJ1251" s="20">
        <f t="shared" si="242"/>
        <v>0</v>
      </c>
      <c r="AK1251" s="50"/>
      <c r="AL1251" s="6"/>
      <c r="AM1251" s="20">
        <f t="shared" si="243"/>
        <v>0</v>
      </c>
      <c r="AN1251" s="20">
        <f t="shared" si="252"/>
        <v>20400</v>
      </c>
      <c r="AP1251" s="20">
        <f t="shared" si="245"/>
        <v>20400</v>
      </c>
      <c r="AQ1251" s="7"/>
      <c r="AR1251" s="60"/>
      <c r="AS1251" s="128">
        <v>5</v>
      </c>
    </row>
    <row r="1252" spans="1:45" s="21" customFormat="1" ht="30" customHeight="1" x14ac:dyDescent="0.2">
      <c r="A1252" s="8">
        <v>1049</v>
      </c>
      <c r="B1252" s="46">
        <v>2</v>
      </c>
      <c r="C1252" s="16" t="s">
        <v>52</v>
      </c>
      <c r="D1252" s="48">
        <v>36148</v>
      </c>
      <c r="E1252" s="47">
        <v>301</v>
      </c>
      <c r="F1252" s="48">
        <v>3658</v>
      </c>
      <c r="G1252" s="49">
        <v>2</v>
      </c>
      <c r="H1252" s="48">
        <v>1</v>
      </c>
      <c r="I1252" s="48">
        <v>2</v>
      </c>
      <c r="J1252" s="48">
        <v>17</v>
      </c>
      <c r="K1252" s="3">
        <v>617</v>
      </c>
      <c r="L1252" s="16"/>
      <c r="M1252" s="57"/>
      <c r="N1252" s="58"/>
      <c r="P1252" s="16">
        <v>1</v>
      </c>
      <c r="Q1252" s="20">
        <f t="shared" si="248"/>
        <v>617</v>
      </c>
      <c r="R1252" s="14">
        <v>160</v>
      </c>
      <c r="S1252" s="20">
        <f t="shared" si="249"/>
        <v>98720</v>
      </c>
      <c r="T1252" s="16"/>
      <c r="U1252" s="17"/>
      <c r="V1252" s="17"/>
      <c r="W1252" s="4"/>
      <c r="X1252" s="16"/>
      <c r="Y1252" s="5"/>
      <c r="Z1252" s="16"/>
      <c r="AA1252" s="16"/>
      <c r="AB1252" s="16"/>
      <c r="AC1252" s="14"/>
      <c r="AD1252" s="14"/>
      <c r="AE1252" s="16"/>
      <c r="AG1252" s="22">
        <f t="shared" si="251"/>
        <v>0</v>
      </c>
      <c r="AH1252" s="6"/>
      <c r="AJ1252" s="20">
        <f t="shared" si="242"/>
        <v>0</v>
      </c>
      <c r="AK1252" s="50"/>
      <c r="AL1252" s="6"/>
      <c r="AM1252" s="20">
        <f t="shared" si="243"/>
        <v>0</v>
      </c>
      <c r="AN1252" s="20">
        <f t="shared" si="252"/>
        <v>98720</v>
      </c>
      <c r="AP1252" s="20">
        <f t="shared" si="245"/>
        <v>98720</v>
      </c>
      <c r="AQ1252" s="7"/>
      <c r="AR1252" s="25"/>
      <c r="AS1252" s="130"/>
    </row>
    <row r="1253" spans="1:45" ht="30" customHeight="1" x14ac:dyDescent="0.2">
      <c r="A1253" s="8">
        <v>1050</v>
      </c>
      <c r="B1253" s="13">
        <v>1</v>
      </c>
      <c r="C1253" s="16" t="s">
        <v>69</v>
      </c>
      <c r="E1253" s="17">
        <v>152</v>
      </c>
      <c r="F1253" s="17">
        <v>8</v>
      </c>
      <c r="G1253" s="13">
        <v>2</v>
      </c>
      <c r="H1253" s="17">
        <v>24</v>
      </c>
      <c r="I1253" s="17">
        <v>2</v>
      </c>
      <c r="J1253" s="17">
        <v>19</v>
      </c>
      <c r="K1253" s="10">
        <v>9819</v>
      </c>
      <c r="P1253" s="17">
        <v>1</v>
      </c>
      <c r="Q1253" s="20">
        <f t="shared" si="248"/>
        <v>9819</v>
      </c>
      <c r="R1253" s="14">
        <v>200</v>
      </c>
      <c r="S1253" s="19">
        <f t="shared" si="249"/>
        <v>1963800</v>
      </c>
      <c r="AG1253" s="22">
        <f t="shared" si="251"/>
        <v>0</v>
      </c>
      <c r="AJ1253" s="20">
        <f t="shared" si="242"/>
        <v>0</v>
      </c>
      <c r="AM1253" s="20">
        <f t="shared" si="243"/>
        <v>0</v>
      </c>
      <c r="AN1253" s="20">
        <f t="shared" si="252"/>
        <v>1963800</v>
      </c>
      <c r="AP1253" s="20">
        <f t="shared" si="245"/>
        <v>1963800</v>
      </c>
      <c r="AQ1253" s="12">
        <v>1E-4</v>
      </c>
      <c r="AR1253" s="20"/>
    </row>
    <row r="1254" spans="1:45" s="21" customFormat="1" ht="30" customHeight="1" x14ac:dyDescent="0.2">
      <c r="A1254" s="8">
        <v>1051</v>
      </c>
      <c r="B1254" s="46">
        <v>1</v>
      </c>
      <c r="C1254" s="16" t="s">
        <v>52</v>
      </c>
      <c r="D1254" s="48">
        <v>2473</v>
      </c>
      <c r="E1254" s="47">
        <v>2</v>
      </c>
      <c r="F1254" s="48">
        <v>1472</v>
      </c>
      <c r="G1254" s="49">
        <v>2</v>
      </c>
      <c r="H1254" s="48">
        <v>1</v>
      </c>
      <c r="I1254" s="48">
        <v>0</v>
      </c>
      <c r="J1254" s="48">
        <v>97</v>
      </c>
      <c r="K1254" s="3">
        <v>497</v>
      </c>
      <c r="L1254" s="16"/>
      <c r="M1254" s="57"/>
      <c r="N1254" s="58"/>
      <c r="P1254" s="16">
        <v>1</v>
      </c>
      <c r="Q1254" s="20">
        <f t="shared" si="248"/>
        <v>497</v>
      </c>
      <c r="R1254" s="14">
        <v>200</v>
      </c>
      <c r="S1254" s="19">
        <f t="shared" si="249"/>
        <v>99400</v>
      </c>
      <c r="T1254" s="16"/>
      <c r="U1254" s="17"/>
      <c r="V1254" s="17"/>
      <c r="W1254" s="4"/>
      <c r="X1254" s="16"/>
      <c r="Y1254" s="5"/>
      <c r="Z1254" s="16"/>
      <c r="AA1254" s="16"/>
      <c r="AB1254" s="16"/>
      <c r="AE1254" s="16"/>
      <c r="AG1254" s="22">
        <f t="shared" si="251"/>
        <v>0</v>
      </c>
      <c r="AH1254" s="6"/>
      <c r="AJ1254" s="20">
        <f t="shared" si="242"/>
        <v>0</v>
      </c>
      <c r="AK1254" s="50"/>
      <c r="AL1254" s="6"/>
      <c r="AM1254" s="20">
        <f t="shared" si="243"/>
        <v>0</v>
      </c>
      <c r="AN1254" s="20">
        <f t="shared" si="252"/>
        <v>99400</v>
      </c>
      <c r="AP1254" s="20">
        <f t="shared" si="245"/>
        <v>99400</v>
      </c>
      <c r="AQ1254" s="7"/>
      <c r="AR1254" s="60">
        <v>28</v>
      </c>
      <c r="AS1254" s="96">
        <f>28+4500</f>
        <v>4528</v>
      </c>
    </row>
    <row r="1255" spans="1:45" ht="30" customHeight="1" x14ac:dyDescent="0.2">
      <c r="A1255" s="8">
        <v>1052</v>
      </c>
      <c r="B1255" s="13">
        <v>2</v>
      </c>
      <c r="C1255" s="16" t="s">
        <v>69</v>
      </c>
      <c r="E1255" s="17">
        <v>151</v>
      </c>
      <c r="F1255" s="17">
        <v>9</v>
      </c>
      <c r="G1255" s="13">
        <v>2</v>
      </c>
      <c r="H1255" s="17">
        <v>24</v>
      </c>
      <c r="I1255" s="17">
        <v>0</v>
      </c>
      <c r="J1255" s="17">
        <v>13</v>
      </c>
      <c r="K1255" s="10">
        <v>9613</v>
      </c>
      <c r="P1255" s="17">
        <v>1</v>
      </c>
      <c r="Q1255" s="20">
        <f t="shared" si="248"/>
        <v>9613</v>
      </c>
      <c r="R1255" s="14">
        <v>160</v>
      </c>
      <c r="S1255" s="20">
        <f t="shared" si="249"/>
        <v>1538080</v>
      </c>
      <c r="AG1255" s="22">
        <f t="shared" si="251"/>
        <v>0</v>
      </c>
      <c r="AJ1255" s="20">
        <f t="shared" si="242"/>
        <v>0</v>
      </c>
      <c r="AM1255" s="20">
        <f t="shared" si="243"/>
        <v>0</v>
      </c>
      <c r="AN1255" s="20">
        <f t="shared" si="252"/>
        <v>1538080</v>
      </c>
      <c r="AP1255" s="20">
        <f t="shared" si="245"/>
        <v>1538080</v>
      </c>
      <c r="AQ1255" s="12">
        <v>1E-4</v>
      </c>
      <c r="AR1255" s="25">
        <v>4500</v>
      </c>
      <c r="AS1255" s="98"/>
    </row>
    <row r="1256" spans="1:45" s="21" customFormat="1" ht="30" customHeight="1" x14ac:dyDescent="0.2">
      <c r="A1256" s="8">
        <v>1053</v>
      </c>
      <c r="B1256" s="46">
        <v>1</v>
      </c>
      <c r="C1256" s="16" t="s">
        <v>52</v>
      </c>
      <c r="D1256" s="48">
        <v>33740</v>
      </c>
      <c r="E1256" s="47">
        <v>103</v>
      </c>
      <c r="F1256" s="48">
        <v>6381</v>
      </c>
      <c r="G1256" s="49">
        <v>1</v>
      </c>
      <c r="H1256" s="48">
        <v>10</v>
      </c>
      <c r="I1256" s="48">
        <v>2</v>
      </c>
      <c r="J1256" s="48">
        <v>58</v>
      </c>
      <c r="K1256" s="3">
        <f>10*400+258</f>
        <v>4258</v>
      </c>
      <c r="L1256" s="16"/>
      <c r="M1256" s="57"/>
      <c r="N1256" s="58"/>
      <c r="P1256" s="16">
        <v>1</v>
      </c>
      <c r="Q1256" s="20">
        <f t="shared" si="248"/>
        <v>4258</v>
      </c>
      <c r="R1256" s="14">
        <v>160</v>
      </c>
      <c r="S1256" s="19">
        <f t="shared" si="249"/>
        <v>681280</v>
      </c>
      <c r="T1256" s="16"/>
      <c r="U1256" s="17"/>
      <c r="V1256" s="17"/>
      <c r="W1256" s="4"/>
      <c r="X1256" s="16"/>
      <c r="Y1256" s="5"/>
      <c r="Z1256" s="16"/>
      <c r="AA1256" s="16"/>
      <c r="AB1256" s="16"/>
      <c r="AC1256" s="14"/>
      <c r="AD1256" s="14"/>
      <c r="AE1256" s="16"/>
      <c r="AG1256" s="22">
        <f t="shared" si="251"/>
        <v>0</v>
      </c>
      <c r="AH1256" s="6"/>
      <c r="AJ1256" s="20">
        <f t="shared" si="242"/>
        <v>0</v>
      </c>
      <c r="AK1256" s="50"/>
      <c r="AL1256" s="6"/>
      <c r="AM1256" s="20">
        <f t="shared" si="243"/>
        <v>0</v>
      </c>
      <c r="AN1256" s="20">
        <f t="shared" si="252"/>
        <v>681280</v>
      </c>
      <c r="AP1256" s="20">
        <f t="shared" si="245"/>
        <v>681280</v>
      </c>
      <c r="AQ1256" s="7"/>
      <c r="AR1256" s="60"/>
      <c r="AS1256" s="128">
        <v>36</v>
      </c>
    </row>
    <row r="1257" spans="1:45" s="21" customFormat="1" ht="30" customHeight="1" x14ac:dyDescent="0.2">
      <c r="A1257" s="8">
        <v>1054</v>
      </c>
      <c r="B1257" s="46">
        <v>2</v>
      </c>
      <c r="C1257" s="16" t="s">
        <v>52</v>
      </c>
      <c r="D1257" s="48">
        <v>1795</v>
      </c>
      <c r="E1257" s="47">
        <v>5</v>
      </c>
      <c r="F1257" s="48">
        <v>1179</v>
      </c>
      <c r="G1257" s="49">
        <v>2</v>
      </c>
      <c r="H1257" s="48">
        <v>12</v>
      </c>
      <c r="I1257" s="48">
        <v>0</v>
      </c>
      <c r="J1257" s="48">
        <v>4</v>
      </c>
      <c r="K1257" s="3">
        <f>12*400+4</f>
        <v>4804</v>
      </c>
      <c r="L1257" s="16"/>
      <c r="M1257" s="57"/>
      <c r="N1257" s="58"/>
      <c r="P1257" s="16">
        <v>1</v>
      </c>
      <c r="Q1257" s="20">
        <f t="shared" si="248"/>
        <v>4804</v>
      </c>
      <c r="R1257" s="14">
        <v>160</v>
      </c>
      <c r="S1257" s="19">
        <f t="shared" si="249"/>
        <v>768640</v>
      </c>
      <c r="T1257" s="16"/>
      <c r="U1257" s="16"/>
      <c r="V1257" s="16"/>
      <c r="W1257" s="5"/>
      <c r="X1257" s="16"/>
      <c r="Y1257" s="5"/>
      <c r="Z1257" s="16"/>
      <c r="AA1257" s="16"/>
      <c r="AB1257" s="16"/>
      <c r="AC1257" s="14"/>
      <c r="AD1257" s="14"/>
      <c r="AE1257" s="16"/>
      <c r="AG1257" s="22">
        <f t="shared" si="251"/>
        <v>0</v>
      </c>
      <c r="AH1257" s="6"/>
      <c r="AJ1257" s="20">
        <f t="shared" si="242"/>
        <v>0</v>
      </c>
      <c r="AK1257" s="50"/>
      <c r="AL1257" s="6"/>
      <c r="AM1257" s="20">
        <f t="shared" si="243"/>
        <v>0</v>
      </c>
      <c r="AN1257" s="20">
        <f t="shared" si="252"/>
        <v>768640</v>
      </c>
      <c r="AP1257" s="20">
        <f t="shared" si="245"/>
        <v>768640</v>
      </c>
      <c r="AQ1257" s="7"/>
      <c r="AR1257" s="24"/>
      <c r="AS1257" s="129"/>
    </row>
    <row r="1258" spans="1:45" s="21" customFormat="1" ht="30" customHeight="1" x14ac:dyDescent="0.2">
      <c r="A1258" s="8">
        <v>1055</v>
      </c>
      <c r="B1258" s="46">
        <v>3</v>
      </c>
      <c r="C1258" s="16" t="s">
        <v>52</v>
      </c>
      <c r="D1258" s="48">
        <v>2474</v>
      </c>
      <c r="E1258" s="47">
        <v>3</v>
      </c>
      <c r="F1258" s="48">
        <v>1473</v>
      </c>
      <c r="G1258" s="49">
        <v>2</v>
      </c>
      <c r="H1258" s="48">
        <v>5</v>
      </c>
      <c r="I1258" s="48">
        <v>0</v>
      </c>
      <c r="J1258" s="48">
        <v>60</v>
      </c>
      <c r="K1258" s="3">
        <v>2060</v>
      </c>
      <c r="L1258" s="16"/>
      <c r="M1258" s="57"/>
      <c r="N1258" s="58"/>
      <c r="P1258" s="16">
        <v>1</v>
      </c>
      <c r="Q1258" s="20">
        <f t="shared" si="248"/>
        <v>2060</v>
      </c>
      <c r="R1258" s="14">
        <v>200</v>
      </c>
      <c r="S1258" s="20">
        <f t="shared" si="249"/>
        <v>412000</v>
      </c>
      <c r="T1258" s="16"/>
      <c r="U1258" s="17"/>
      <c r="V1258" s="16"/>
      <c r="W1258" s="5"/>
      <c r="X1258" s="16"/>
      <c r="Y1258" s="5"/>
      <c r="Z1258" s="16"/>
      <c r="AA1258" s="16"/>
      <c r="AB1258" s="16"/>
      <c r="AC1258" s="14"/>
      <c r="AD1258" s="14"/>
      <c r="AE1258" s="16"/>
      <c r="AG1258" s="22">
        <f t="shared" si="251"/>
        <v>0</v>
      </c>
      <c r="AH1258" s="6"/>
      <c r="AJ1258" s="20">
        <f t="shared" si="242"/>
        <v>0</v>
      </c>
      <c r="AK1258" s="50"/>
      <c r="AL1258" s="6"/>
      <c r="AM1258" s="20">
        <f t="shared" si="243"/>
        <v>0</v>
      </c>
      <c r="AN1258" s="20">
        <f t="shared" si="252"/>
        <v>412000</v>
      </c>
      <c r="AP1258" s="20">
        <f t="shared" si="245"/>
        <v>412000</v>
      </c>
      <c r="AQ1258" s="7"/>
      <c r="AR1258" s="25"/>
      <c r="AS1258" s="130"/>
    </row>
    <row r="1259" spans="1:45" ht="30" customHeight="1" x14ac:dyDescent="0.2">
      <c r="A1259" s="8">
        <v>1056</v>
      </c>
      <c r="B1259" s="13">
        <v>1</v>
      </c>
      <c r="C1259" s="16" t="s">
        <v>69</v>
      </c>
      <c r="E1259" s="17">
        <v>152</v>
      </c>
      <c r="F1259" s="17">
        <v>15</v>
      </c>
      <c r="G1259" s="13">
        <v>2</v>
      </c>
      <c r="H1259" s="17">
        <v>50</v>
      </c>
      <c r="I1259" s="17">
        <v>0</v>
      </c>
      <c r="J1259" s="17">
        <v>0</v>
      </c>
      <c r="K1259" s="10">
        <v>20000</v>
      </c>
      <c r="P1259" s="17">
        <v>1</v>
      </c>
      <c r="Q1259" s="20">
        <f t="shared" si="248"/>
        <v>20000</v>
      </c>
      <c r="R1259" s="14">
        <v>200</v>
      </c>
      <c r="S1259" s="19">
        <f t="shared" si="249"/>
        <v>4000000</v>
      </c>
      <c r="AG1259" s="22">
        <f t="shared" si="251"/>
        <v>0</v>
      </c>
      <c r="AJ1259" s="20">
        <f t="shared" si="242"/>
        <v>0</v>
      </c>
      <c r="AM1259" s="20">
        <f t="shared" si="243"/>
        <v>0</v>
      </c>
      <c r="AN1259" s="20">
        <f t="shared" si="252"/>
        <v>4000000</v>
      </c>
      <c r="AP1259" s="20">
        <f t="shared" si="245"/>
        <v>4000000</v>
      </c>
      <c r="AQ1259" s="12">
        <v>1E-4</v>
      </c>
      <c r="AR1259" s="20"/>
    </row>
    <row r="1260" spans="1:45" ht="30" customHeight="1" x14ac:dyDescent="0.2">
      <c r="A1260" s="8"/>
      <c r="C1260" s="16"/>
      <c r="Q1260" s="20"/>
      <c r="AG1260" s="22"/>
      <c r="AJ1260" s="20"/>
      <c r="AM1260" s="20"/>
      <c r="AN1260" s="20"/>
      <c r="AP1260" s="20"/>
      <c r="AR1260" s="20"/>
    </row>
    <row r="1261" spans="1:45" ht="30" customHeight="1" x14ac:dyDescent="0.2">
      <c r="A1261" s="8"/>
      <c r="C1261" s="16"/>
      <c r="Q1261" s="20"/>
      <c r="S1261" s="20"/>
      <c r="AG1261" s="22"/>
      <c r="AJ1261" s="20"/>
      <c r="AM1261" s="20"/>
      <c r="AN1261" s="20"/>
      <c r="AP1261" s="20"/>
      <c r="AR1261" s="20"/>
    </row>
    <row r="1262" spans="1:45" s="21" customFormat="1" ht="30" customHeight="1" x14ac:dyDescent="0.2">
      <c r="A1262" s="8">
        <v>1057</v>
      </c>
      <c r="B1262" s="46">
        <v>1</v>
      </c>
      <c r="C1262" s="16" t="s">
        <v>52</v>
      </c>
      <c r="D1262" s="48">
        <v>29208</v>
      </c>
      <c r="E1262" s="47">
        <v>231</v>
      </c>
      <c r="F1262" s="48">
        <v>5403</v>
      </c>
      <c r="G1262" s="49">
        <v>1</v>
      </c>
      <c r="H1262" s="48">
        <v>0</v>
      </c>
      <c r="I1262" s="48">
        <v>1</v>
      </c>
      <c r="J1262" s="48">
        <v>29</v>
      </c>
      <c r="K1262" s="3">
        <v>129</v>
      </c>
      <c r="L1262" s="16"/>
      <c r="M1262" s="57"/>
      <c r="N1262" s="58"/>
      <c r="P1262" s="16">
        <v>1</v>
      </c>
      <c r="Q1262" s="20">
        <f t="shared" si="248"/>
        <v>129</v>
      </c>
      <c r="R1262" s="14">
        <v>3000</v>
      </c>
      <c r="S1262" s="19">
        <f t="shared" si="249"/>
        <v>387000</v>
      </c>
      <c r="T1262" s="16"/>
      <c r="U1262" s="17"/>
      <c r="V1262" s="17"/>
      <c r="W1262" s="4"/>
      <c r="X1262" s="16"/>
      <c r="Y1262" s="5"/>
      <c r="Z1262" s="16"/>
      <c r="AA1262" s="16"/>
      <c r="AB1262" s="16"/>
      <c r="AC1262" s="14"/>
      <c r="AD1262" s="14"/>
      <c r="AE1262" s="16"/>
      <c r="AG1262" s="22">
        <f t="shared" si="251"/>
        <v>0</v>
      </c>
      <c r="AH1262" s="6"/>
      <c r="AJ1262" s="20">
        <f t="shared" si="242"/>
        <v>0</v>
      </c>
      <c r="AK1262" s="50"/>
      <c r="AL1262" s="6"/>
      <c r="AM1262" s="20">
        <f t="shared" si="243"/>
        <v>0</v>
      </c>
      <c r="AN1262" s="20">
        <f t="shared" si="252"/>
        <v>387000</v>
      </c>
      <c r="AP1262" s="20">
        <f t="shared" si="245"/>
        <v>387000</v>
      </c>
      <c r="AQ1262" s="7"/>
      <c r="AR1262" s="20"/>
      <c r="AS1262" s="51"/>
    </row>
    <row r="1263" spans="1:45" ht="30" customHeight="1" x14ac:dyDescent="0.2">
      <c r="A1263" s="8">
        <v>1058</v>
      </c>
      <c r="B1263" s="13">
        <v>2</v>
      </c>
      <c r="C1263" s="16" t="s">
        <v>65</v>
      </c>
      <c r="D1263" s="17">
        <v>251</v>
      </c>
      <c r="E1263" s="17">
        <v>78</v>
      </c>
      <c r="H1263" s="17">
        <v>3</v>
      </c>
      <c r="I1263" s="17">
        <v>2</v>
      </c>
      <c r="J1263" s="17">
        <v>93</v>
      </c>
      <c r="K1263" s="10">
        <v>1493</v>
      </c>
      <c r="P1263" s="17">
        <v>1</v>
      </c>
      <c r="Q1263" s="20">
        <f t="shared" si="248"/>
        <v>1493</v>
      </c>
      <c r="R1263" s="14">
        <v>160</v>
      </c>
      <c r="S1263" s="19">
        <f t="shared" si="249"/>
        <v>238880</v>
      </c>
      <c r="AC1263" s="21"/>
      <c r="AD1263" s="21"/>
      <c r="AG1263" s="22">
        <f t="shared" si="251"/>
        <v>0</v>
      </c>
      <c r="AJ1263" s="20">
        <f t="shared" si="242"/>
        <v>0</v>
      </c>
      <c r="AM1263" s="20">
        <f t="shared" si="243"/>
        <v>0</v>
      </c>
      <c r="AN1263" s="20">
        <f t="shared" si="252"/>
        <v>238880</v>
      </c>
      <c r="AP1263" s="20">
        <f t="shared" si="245"/>
        <v>238880</v>
      </c>
      <c r="AQ1263" s="12">
        <v>1E-4</v>
      </c>
      <c r="AR1263" s="20"/>
    </row>
    <row r="1264" spans="1:45" ht="30" customHeight="1" x14ac:dyDescent="0.2">
      <c r="A1264" s="8">
        <v>1059</v>
      </c>
      <c r="B1264" s="13">
        <v>3</v>
      </c>
      <c r="C1264" s="16" t="s">
        <v>65</v>
      </c>
      <c r="D1264" s="17">
        <v>1643</v>
      </c>
      <c r="E1264" s="17">
        <v>126</v>
      </c>
      <c r="H1264" s="17">
        <v>3</v>
      </c>
      <c r="I1264" s="17">
        <v>1</v>
      </c>
      <c r="J1264" s="17">
        <v>36</v>
      </c>
      <c r="K1264" s="10">
        <v>1336</v>
      </c>
      <c r="P1264" s="17">
        <v>1</v>
      </c>
      <c r="Q1264" s="20">
        <f t="shared" si="248"/>
        <v>1336</v>
      </c>
      <c r="R1264" s="14">
        <v>160</v>
      </c>
      <c r="S1264" s="20">
        <f t="shared" si="249"/>
        <v>213760</v>
      </c>
      <c r="AC1264" s="21"/>
      <c r="AD1264" s="21"/>
      <c r="AE1264" s="17" t="s">
        <v>95</v>
      </c>
      <c r="AG1264" s="22">
        <f t="shared" si="251"/>
        <v>0</v>
      </c>
      <c r="AJ1264" s="20">
        <f t="shared" si="242"/>
        <v>0</v>
      </c>
      <c r="AM1264" s="20">
        <f t="shared" si="243"/>
        <v>0</v>
      </c>
      <c r="AN1264" s="20">
        <f t="shared" si="252"/>
        <v>213760</v>
      </c>
      <c r="AP1264" s="20">
        <f t="shared" si="245"/>
        <v>213760</v>
      </c>
      <c r="AQ1264" s="12">
        <v>1E-4</v>
      </c>
      <c r="AR1264" s="20"/>
    </row>
    <row r="1265" spans="1:48" s="21" customFormat="1" ht="30" customHeight="1" x14ac:dyDescent="0.2">
      <c r="A1265" s="8">
        <v>1060</v>
      </c>
      <c r="B1265" s="46">
        <v>1</v>
      </c>
      <c r="C1265" s="16" t="s">
        <v>52</v>
      </c>
      <c r="D1265" s="48">
        <v>29799</v>
      </c>
      <c r="E1265" s="47">
        <v>101</v>
      </c>
      <c r="F1265" s="48">
        <v>5535</v>
      </c>
      <c r="G1265" s="49">
        <v>1</v>
      </c>
      <c r="H1265" s="48">
        <v>0</v>
      </c>
      <c r="I1265" s="48">
        <v>0</v>
      </c>
      <c r="J1265" s="48">
        <v>48</v>
      </c>
      <c r="K1265" s="3"/>
      <c r="L1265" s="16"/>
      <c r="M1265" s="57"/>
      <c r="N1265" s="58">
        <v>48</v>
      </c>
      <c r="P1265" s="16">
        <v>4</v>
      </c>
      <c r="Q1265" s="20">
        <f t="shared" si="248"/>
        <v>48</v>
      </c>
      <c r="R1265" s="14">
        <v>160</v>
      </c>
      <c r="S1265" s="19">
        <f t="shared" si="249"/>
        <v>7680</v>
      </c>
      <c r="T1265" s="16"/>
      <c r="U1265" s="17"/>
      <c r="V1265" s="17"/>
      <c r="W1265" s="4"/>
      <c r="X1265" s="16"/>
      <c r="Y1265" s="5"/>
      <c r="Z1265" s="16"/>
      <c r="AA1265" s="16"/>
      <c r="AB1265" s="16"/>
      <c r="AC1265" s="14"/>
      <c r="AD1265" s="14"/>
      <c r="AE1265" s="16"/>
      <c r="AG1265" s="22">
        <f t="shared" si="251"/>
        <v>0</v>
      </c>
      <c r="AH1265" s="6"/>
      <c r="AJ1265" s="20">
        <f t="shared" si="242"/>
        <v>0</v>
      </c>
      <c r="AK1265" s="50"/>
      <c r="AL1265" s="6"/>
      <c r="AM1265" s="20">
        <f t="shared" si="243"/>
        <v>0</v>
      </c>
      <c r="AN1265" s="20">
        <f t="shared" si="252"/>
        <v>7680</v>
      </c>
      <c r="AP1265" s="20">
        <f t="shared" si="245"/>
        <v>7680</v>
      </c>
      <c r="AQ1265" s="7">
        <v>3.0000000000000001E-3</v>
      </c>
      <c r="AR1265" s="20"/>
      <c r="AS1265" s="51">
        <v>2700</v>
      </c>
    </row>
    <row r="1266" spans="1:48" ht="25.5" customHeight="1" x14ac:dyDescent="0.2">
      <c r="A1266" s="2">
        <v>1061</v>
      </c>
      <c r="B1266" s="46">
        <v>2</v>
      </c>
      <c r="C1266" s="16" t="s">
        <v>52</v>
      </c>
      <c r="D1266" s="48">
        <v>1323</v>
      </c>
      <c r="E1266" s="47">
        <v>4</v>
      </c>
      <c r="F1266" s="48">
        <v>579</v>
      </c>
      <c r="G1266" s="49">
        <v>1</v>
      </c>
      <c r="H1266" s="48">
        <v>0</v>
      </c>
      <c r="I1266" s="48">
        <v>0</v>
      </c>
      <c r="J1266" s="48">
        <v>71</v>
      </c>
      <c r="K1266" s="28"/>
      <c r="M1266" s="63" t="s">
        <v>153</v>
      </c>
      <c r="P1266" s="21"/>
      <c r="Q1266" s="19">
        <f t="shared" si="248"/>
        <v>71</v>
      </c>
      <c r="R1266" s="14">
        <v>3000</v>
      </c>
      <c r="S1266" s="19">
        <f t="shared" si="249"/>
        <v>213000</v>
      </c>
      <c r="T1266" s="17">
        <v>1</v>
      </c>
      <c r="Y1266" s="28"/>
      <c r="AC1266" s="21" t="s">
        <v>154</v>
      </c>
      <c r="AD1266" s="17"/>
      <c r="AE1266" s="14"/>
      <c r="AF1266" s="21">
        <v>2</v>
      </c>
      <c r="AG1266" s="21"/>
      <c r="AH1266" s="6"/>
      <c r="AI1266" s="21"/>
      <c r="AJ1266" s="20">
        <f t="shared" si="242"/>
        <v>0</v>
      </c>
      <c r="AK1266" s="20">
        <f>AB1266</f>
        <v>0</v>
      </c>
      <c r="AL1266" s="6"/>
      <c r="AM1266" s="20">
        <f t="shared" si="243"/>
        <v>0</v>
      </c>
      <c r="AN1266" s="55">
        <f t="shared" si="252"/>
        <v>213000</v>
      </c>
      <c r="AO1266" s="21"/>
      <c r="AP1266" s="55">
        <f t="shared" si="245"/>
        <v>213000</v>
      </c>
      <c r="AQ1266" s="7"/>
      <c r="AR1266" s="20"/>
      <c r="AS1266" s="51"/>
      <c r="AT1266" s="21"/>
      <c r="AU1266" s="21"/>
      <c r="AV1266" s="21"/>
    </row>
    <row r="1267" spans="1:48" ht="25.5" customHeight="1" x14ac:dyDescent="0.2">
      <c r="B1267" s="46"/>
      <c r="C1267" s="16"/>
      <c r="D1267" s="48"/>
      <c r="E1267" s="47"/>
      <c r="F1267" s="48"/>
      <c r="G1267" s="49"/>
      <c r="H1267" s="48"/>
      <c r="I1267" s="48"/>
      <c r="J1267" s="48"/>
      <c r="K1267" s="28"/>
      <c r="M1267" s="63"/>
      <c r="P1267" s="21">
        <v>3</v>
      </c>
      <c r="Q1267" s="19">
        <v>30</v>
      </c>
      <c r="R1267" s="14">
        <v>3000</v>
      </c>
      <c r="S1267" s="19">
        <f t="shared" si="249"/>
        <v>90000</v>
      </c>
      <c r="Y1267" s="28"/>
      <c r="AC1267" s="21"/>
      <c r="AD1267" s="17"/>
      <c r="AE1267" s="14"/>
      <c r="AF1267" s="21"/>
      <c r="AG1267" s="21"/>
      <c r="AH1267" s="6"/>
      <c r="AI1267" s="21"/>
      <c r="AJ1267" s="20"/>
      <c r="AK1267" s="20"/>
      <c r="AL1267" s="6"/>
      <c r="AM1267" s="20">
        <f t="shared" si="243"/>
        <v>0</v>
      </c>
      <c r="AN1267" s="55">
        <f>(30*3000)+AM1267</f>
        <v>90000</v>
      </c>
      <c r="AO1267" s="21"/>
      <c r="AP1267" s="55">
        <f t="shared" si="245"/>
        <v>90000</v>
      </c>
      <c r="AQ1267" s="7"/>
      <c r="AR1267" s="20"/>
      <c r="AS1267" s="51"/>
      <c r="AT1267" s="21"/>
      <c r="AU1267" s="21"/>
      <c r="AV1267" s="21"/>
    </row>
    <row r="1268" spans="1:48" ht="25.5" customHeight="1" x14ac:dyDescent="0.2">
      <c r="B1268" s="46"/>
      <c r="C1268" s="16"/>
      <c r="D1268" s="48"/>
      <c r="E1268" s="47"/>
      <c r="F1268" s="48"/>
      <c r="G1268" s="49"/>
      <c r="H1268" s="48"/>
      <c r="I1268" s="48"/>
      <c r="J1268" s="48"/>
      <c r="K1268" s="28"/>
      <c r="M1268" s="63"/>
      <c r="P1268" s="21"/>
      <c r="T1268" s="17">
        <v>2</v>
      </c>
      <c r="U1268" s="17" t="s">
        <v>155</v>
      </c>
      <c r="V1268" s="17" t="s">
        <v>56</v>
      </c>
      <c r="W1268" s="4">
        <v>84</v>
      </c>
      <c r="Y1268" s="28"/>
      <c r="Z1268" s="17">
        <v>84</v>
      </c>
      <c r="AB1268" s="17">
        <v>13</v>
      </c>
      <c r="AC1268" s="21"/>
      <c r="AD1268" s="17"/>
      <c r="AE1268" s="14">
        <f>7*12</f>
        <v>84</v>
      </c>
      <c r="AF1268" s="21">
        <v>3</v>
      </c>
      <c r="AG1268" s="21">
        <v>84</v>
      </c>
      <c r="AH1268" s="6">
        <v>1</v>
      </c>
      <c r="AI1268" s="21">
        <v>5800</v>
      </c>
      <c r="AJ1268" s="20">
        <f t="shared" ref="AJ1268:AJ1331" si="253">+AG1268*AH1268*AI1268</f>
        <v>487200</v>
      </c>
      <c r="AK1268" s="20">
        <f>AB1268</f>
        <v>13</v>
      </c>
      <c r="AL1268" s="6">
        <v>0.16</v>
      </c>
      <c r="AM1268" s="20">
        <f t="shared" si="243"/>
        <v>409248</v>
      </c>
      <c r="AN1268" s="55">
        <f>+AM1268</f>
        <v>409248</v>
      </c>
      <c r="AO1268" s="21"/>
      <c r="AP1268" s="55">
        <f t="shared" si="245"/>
        <v>409248</v>
      </c>
      <c r="AQ1268" s="7">
        <v>3.0000000000000001E-3</v>
      </c>
      <c r="AR1268" s="20"/>
      <c r="AS1268" s="51"/>
      <c r="AT1268" s="21"/>
      <c r="AU1268" s="21"/>
      <c r="AV1268" s="21"/>
    </row>
    <row r="1269" spans="1:48" s="21" customFormat="1" ht="30" customHeight="1" x14ac:dyDescent="0.2">
      <c r="A1269" s="8">
        <v>1062</v>
      </c>
      <c r="B1269" s="46">
        <v>1</v>
      </c>
      <c r="C1269" s="16" t="s">
        <v>52</v>
      </c>
      <c r="D1269" s="48">
        <v>30443</v>
      </c>
      <c r="E1269" s="47">
        <v>47</v>
      </c>
      <c r="F1269" s="48">
        <v>5849</v>
      </c>
      <c r="G1269" s="49">
        <v>7</v>
      </c>
      <c r="H1269" s="48">
        <v>0</v>
      </c>
      <c r="I1269" s="48">
        <v>0</v>
      </c>
      <c r="J1269" s="48">
        <v>36</v>
      </c>
      <c r="K1269" s="3"/>
      <c r="L1269" s="16"/>
      <c r="M1269" s="57"/>
      <c r="N1269" s="58">
        <v>36</v>
      </c>
      <c r="P1269" s="16">
        <v>4</v>
      </c>
      <c r="Q1269" s="20">
        <f t="shared" si="248"/>
        <v>36</v>
      </c>
      <c r="R1269" s="14">
        <v>1000</v>
      </c>
      <c r="S1269" s="19">
        <f t="shared" ref="S1269:S1333" si="254">+Q1269*R1269</f>
        <v>36000</v>
      </c>
      <c r="T1269" s="16"/>
      <c r="U1269" s="17"/>
      <c r="V1269" s="17"/>
      <c r="W1269" s="4"/>
      <c r="X1269" s="16"/>
      <c r="Y1269" s="5"/>
      <c r="Z1269" s="16"/>
      <c r="AA1269" s="16"/>
      <c r="AB1269" s="16"/>
      <c r="AE1269" s="16"/>
      <c r="AG1269" s="22">
        <f t="shared" ref="AG1269:AG1279" si="255">Y1269</f>
        <v>0</v>
      </c>
      <c r="AH1269" s="6"/>
      <c r="AJ1269" s="20">
        <f t="shared" si="253"/>
        <v>0</v>
      </c>
      <c r="AK1269" s="50"/>
      <c r="AL1269" s="6"/>
      <c r="AM1269" s="20">
        <f t="shared" si="243"/>
        <v>0</v>
      </c>
      <c r="AN1269" s="20">
        <f>+S1269+AM1269</f>
        <v>36000</v>
      </c>
      <c r="AP1269" s="20">
        <f t="shared" si="245"/>
        <v>36000</v>
      </c>
      <c r="AQ1269" s="7">
        <v>3.0000000000000001E-3</v>
      </c>
      <c r="AR1269" s="20"/>
      <c r="AS1269" s="51"/>
    </row>
    <row r="1270" spans="1:48" s="21" customFormat="1" ht="30" customHeight="1" x14ac:dyDescent="0.2">
      <c r="A1270" s="8">
        <v>1063</v>
      </c>
      <c r="B1270" s="46">
        <v>1</v>
      </c>
      <c r="C1270" s="16" t="s">
        <v>52</v>
      </c>
      <c r="D1270" s="48">
        <v>30330</v>
      </c>
      <c r="E1270" s="47">
        <v>32</v>
      </c>
      <c r="F1270" s="48">
        <v>5268</v>
      </c>
      <c r="G1270" s="49">
        <v>3</v>
      </c>
      <c r="H1270" s="48">
        <v>0</v>
      </c>
      <c r="I1270" s="48">
        <v>0</v>
      </c>
      <c r="J1270" s="48">
        <v>23</v>
      </c>
      <c r="K1270" s="3">
        <v>23</v>
      </c>
      <c r="L1270" s="16"/>
      <c r="M1270" s="57"/>
      <c r="N1270" s="58"/>
      <c r="P1270" s="16">
        <v>1</v>
      </c>
      <c r="Q1270" s="20">
        <f t="shared" si="248"/>
        <v>23</v>
      </c>
      <c r="R1270" s="14">
        <v>250</v>
      </c>
      <c r="S1270" s="20">
        <f t="shared" si="254"/>
        <v>5750</v>
      </c>
      <c r="T1270" s="16"/>
      <c r="U1270" s="17"/>
      <c r="V1270" s="17"/>
      <c r="W1270" s="4"/>
      <c r="X1270" s="16"/>
      <c r="Y1270" s="5"/>
      <c r="Z1270" s="16"/>
      <c r="AA1270" s="16"/>
      <c r="AB1270" s="16"/>
      <c r="AE1270" s="16"/>
      <c r="AG1270" s="22">
        <f t="shared" si="255"/>
        <v>0</v>
      </c>
      <c r="AH1270" s="6"/>
      <c r="AJ1270" s="20">
        <f t="shared" si="253"/>
        <v>0</v>
      </c>
      <c r="AK1270" s="50"/>
      <c r="AL1270" s="6"/>
      <c r="AM1270" s="20">
        <f t="shared" si="243"/>
        <v>0</v>
      </c>
      <c r="AN1270" s="20">
        <f>+S1270+AM1270</f>
        <v>5750</v>
      </c>
      <c r="AP1270" s="20">
        <f t="shared" si="245"/>
        <v>5750</v>
      </c>
      <c r="AQ1270" s="7"/>
      <c r="AR1270" s="20"/>
      <c r="AS1270" s="51"/>
    </row>
    <row r="1271" spans="1:48" ht="30" customHeight="1" x14ac:dyDescent="0.2">
      <c r="A1271" s="8">
        <v>1064</v>
      </c>
      <c r="B1271" s="13">
        <v>1</v>
      </c>
      <c r="C1271" s="16" t="s">
        <v>69</v>
      </c>
      <c r="E1271" s="17">
        <v>162</v>
      </c>
      <c r="F1271" s="17">
        <v>15</v>
      </c>
      <c r="G1271" s="13">
        <v>1</v>
      </c>
      <c r="H1271" s="17">
        <v>3</v>
      </c>
      <c r="I1271" s="17">
        <v>1</v>
      </c>
      <c r="J1271" s="17">
        <v>39</v>
      </c>
      <c r="K1271" s="10">
        <v>1339</v>
      </c>
      <c r="P1271" s="17">
        <v>1</v>
      </c>
      <c r="Q1271" s="20">
        <f t="shared" si="248"/>
        <v>1339</v>
      </c>
      <c r="R1271" s="14">
        <v>160</v>
      </c>
      <c r="S1271" s="19">
        <f t="shared" si="254"/>
        <v>214240</v>
      </c>
      <c r="AG1271" s="22">
        <f t="shared" si="255"/>
        <v>0</v>
      </c>
      <c r="AJ1271" s="20">
        <f t="shared" si="253"/>
        <v>0</v>
      </c>
      <c r="AM1271" s="20">
        <f t="shared" si="243"/>
        <v>0</v>
      </c>
      <c r="AN1271" s="20">
        <f>+S1271+AM1271</f>
        <v>214240</v>
      </c>
      <c r="AP1271" s="20">
        <f t="shared" si="245"/>
        <v>214240</v>
      </c>
      <c r="AQ1271" s="12">
        <v>1E-4</v>
      </c>
      <c r="AR1271" s="20"/>
    </row>
    <row r="1272" spans="1:48" ht="30" customHeight="1" x14ac:dyDescent="0.2">
      <c r="A1272" s="8">
        <v>1065</v>
      </c>
      <c r="B1272" s="13">
        <v>2</v>
      </c>
      <c r="C1272" s="16" t="s">
        <v>69</v>
      </c>
      <c r="E1272" s="17">
        <v>162</v>
      </c>
      <c r="F1272" s="17">
        <v>16</v>
      </c>
      <c r="G1272" s="13">
        <v>1</v>
      </c>
      <c r="H1272" s="17">
        <v>5</v>
      </c>
      <c r="I1272" s="17">
        <v>2</v>
      </c>
      <c r="J1272" s="17">
        <v>35</v>
      </c>
      <c r="K1272" s="10">
        <v>2235</v>
      </c>
      <c r="P1272" s="17">
        <v>1</v>
      </c>
      <c r="Q1272" s="20">
        <f t="shared" si="248"/>
        <v>2235</v>
      </c>
      <c r="R1272" s="14">
        <v>160</v>
      </c>
      <c r="S1272" s="19">
        <f t="shared" si="254"/>
        <v>357600</v>
      </c>
      <c r="AG1272" s="22">
        <f t="shared" si="255"/>
        <v>0</v>
      </c>
      <c r="AJ1272" s="20">
        <f t="shared" si="253"/>
        <v>0</v>
      </c>
      <c r="AM1272" s="20">
        <f t="shared" ref="AM1272:AM1336" si="256">+AJ1272-(AL1272*AJ1272)</f>
        <v>0</v>
      </c>
      <c r="AN1272" s="20">
        <f>+S1272+AM1272</f>
        <v>357600</v>
      </c>
      <c r="AP1272" s="20">
        <f t="shared" si="245"/>
        <v>357600</v>
      </c>
      <c r="AQ1272" s="12">
        <v>1E-4</v>
      </c>
      <c r="AR1272" s="20"/>
    </row>
    <row r="1273" spans="1:48" s="21" customFormat="1" ht="30" customHeight="1" x14ac:dyDescent="0.2">
      <c r="A1273" s="8">
        <v>1066</v>
      </c>
      <c r="B1273" s="46">
        <v>1</v>
      </c>
      <c r="C1273" s="16" t="s">
        <v>52</v>
      </c>
      <c r="D1273" s="48">
        <v>1017</v>
      </c>
      <c r="E1273" s="47">
        <v>5</v>
      </c>
      <c r="F1273" s="48">
        <v>186</v>
      </c>
      <c r="G1273" s="49">
        <v>1</v>
      </c>
      <c r="H1273" s="48">
        <v>0</v>
      </c>
      <c r="I1273" s="48">
        <v>0</v>
      </c>
      <c r="J1273" s="48">
        <v>30</v>
      </c>
      <c r="K1273" s="3">
        <v>30</v>
      </c>
      <c r="L1273" s="16"/>
      <c r="M1273" s="57"/>
      <c r="N1273" s="58"/>
      <c r="P1273" s="16">
        <v>1</v>
      </c>
      <c r="Q1273" s="20">
        <f t="shared" si="248"/>
        <v>30</v>
      </c>
      <c r="R1273" s="14">
        <v>200</v>
      </c>
      <c r="S1273" s="20">
        <f t="shared" si="254"/>
        <v>6000</v>
      </c>
      <c r="T1273" s="16"/>
      <c r="U1273" s="17"/>
      <c r="V1273" s="17"/>
      <c r="W1273" s="4"/>
      <c r="X1273" s="16"/>
      <c r="Y1273" s="5"/>
      <c r="Z1273" s="16"/>
      <c r="AA1273" s="16"/>
      <c r="AB1273" s="16"/>
      <c r="AE1273" s="16"/>
      <c r="AG1273" s="22">
        <f t="shared" si="255"/>
        <v>0</v>
      </c>
      <c r="AH1273" s="6"/>
      <c r="AJ1273" s="20">
        <f t="shared" si="253"/>
        <v>0</v>
      </c>
      <c r="AK1273" s="50"/>
      <c r="AL1273" s="6"/>
      <c r="AM1273" s="20">
        <f t="shared" si="256"/>
        <v>0</v>
      </c>
      <c r="AN1273" s="20">
        <f>+S1273+AM1273</f>
        <v>6000</v>
      </c>
      <c r="AP1273" s="20">
        <f t="shared" si="245"/>
        <v>6000</v>
      </c>
      <c r="AQ1273" s="7"/>
      <c r="AR1273" s="20"/>
      <c r="AS1273" s="51"/>
    </row>
    <row r="1274" spans="1:48" s="21" customFormat="1" ht="30" customHeight="1" x14ac:dyDescent="0.2">
      <c r="A1274" s="8">
        <v>1067</v>
      </c>
      <c r="B1274" s="46">
        <v>2</v>
      </c>
      <c r="C1274" s="16" t="s">
        <v>52</v>
      </c>
      <c r="D1274" s="48">
        <v>31629</v>
      </c>
      <c r="E1274" s="47">
        <v>133</v>
      </c>
      <c r="F1274" s="48">
        <v>6229</v>
      </c>
      <c r="G1274" s="49">
        <v>1</v>
      </c>
      <c r="H1274" s="48">
        <v>0</v>
      </c>
      <c r="I1274" s="48">
        <v>1</v>
      </c>
      <c r="J1274" s="48">
        <v>36</v>
      </c>
      <c r="K1274" s="3"/>
      <c r="L1274" s="16">
        <v>136</v>
      </c>
      <c r="M1274" s="57"/>
      <c r="N1274" s="58"/>
      <c r="P1274" s="16">
        <v>2</v>
      </c>
      <c r="Q1274" s="20">
        <f t="shared" si="248"/>
        <v>136</v>
      </c>
      <c r="R1274" s="14">
        <v>250</v>
      </c>
      <c r="S1274" s="19">
        <f t="shared" si="254"/>
        <v>34000</v>
      </c>
      <c r="T1274" s="16">
        <v>1</v>
      </c>
      <c r="U1274" s="16" t="s">
        <v>57</v>
      </c>
      <c r="V1274" s="16" t="s">
        <v>56</v>
      </c>
      <c r="W1274" s="5">
        <v>159.5</v>
      </c>
      <c r="X1274" s="16"/>
      <c r="Y1274" s="5">
        <f>159.5-Z1274</f>
        <v>159.5</v>
      </c>
      <c r="Z1274" s="16"/>
      <c r="AA1274" s="16"/>
      <c r="AB1274" s="16">
        <v>3</v>
      </c>
      <c r="AE1274" s="16">
        <f>10/159.5</f>
        <v>6.2695924764890276E-2</v>
      </c>
      <c r="AF1274" s="21">
        <v>2</v>
      </c>
      <c r="AG1274" s="22">
        <f t="shared" si="255"/>
        <v>159.5</v>
      </c>
      <c r="AH1274" s="6">
        <v>0.94</v>
      </c>
      <c r="AI1274" s="21">
        <v>7250</v>
      </c>
      <c r="AJ1274" s="20">
        <f t="shared" si="253"/>
        <v>1086992.4999999998</v>
      </c>
      <c r="AK1274" s="50">
        <v>3</v>
      </c>
      <c r="AL1274" s="6">
        <v>0.03</v>
      </c>
      <c r="AM1274" s="20">
        <f t="shared" si="256"/>
        <v>1054382.7249999999</v>
      </c>
      <c r="AN1274" s="20">
        <f>+(S1274*0.94)+AM1274</f>
        <v>1086342.7249999999</v>
      </c>
      <c r="AP1274" s="20">
        <f t="shared" si="245"/>
        <v>1086342.7249999999</v>
      </c>
      <c r="AQ1274" s="7"/>
      <c r="AR1274" s="20"/>
      <c r="AS1274" s="51"/>
    </row>
    <row r="1275" spans="1:48" s="21" customFormat="1" ht="30" customHeight="1" x14ac:dyDescent="0.2">
      <c r="A1275" s="8"/>
      <c r="B1275" s="46"/>
      <c r="C1275" s="16"/>
      <c r="D1275" s="48"/>
      <c r="E1275" s="47"/>
      <c r="F1275" s="48"/>
      <c r="G1275" s="49"/>
      <c r="H1275" s="48"/>
      <c r="I1275" s="48"/>
      <c r="J1275" s="48"/>
      <c r="K1275" s="3"/>
      <c r="L1275" s="16"/>
      <c r="M1275" s="57"/>
      <c r="N1275" s="58"/>
      <c r="P1275" s="16"/>
      <c r="Q1275" s="20"/>
      <c r="R1275" s="14" t="e">
        <v>#N/A</v>
      </c>
      <c r="S1275" s="19"/>
      <c r="T1275" s="16">
        <v>2</v>
      </c>
      <c r="U1275" s="16"/>
      <c r="V1275" s="16"/>
      <c r="W1275" s="5"/>
      <c r="X1275" s="16"/>
      <c r="Y1275" s="5"/>
      <c r="Z1275" s="16">
        <v>10</v>
      </c>
      <c r="AA1275" s="16"/>
      <c r="AB1275" s="16"/>
      <c r="AE1275" s="16"/>
      <c r="AF1275" s="21">
        <v>3</v>
      </c>
      <c r="AG1275" s="22">
        <v>159.5</v>
      </c>
      <c r="AH1275" s="6">
        <v>0.06</v>
      </c>
      <c r="AI1275" s="21">
        <v>7250</v>
      </c>
      <c r="AJ1275" s="20">
        <f t="shared" si="253"/>
        <v>69382.5</v>
      </c>
      <c r="AK1275" s="50">
        <v>3</v>
      </c>
      <c r="AL1275" s="6">
        <v>0.03</v>
      </c>
      <c r="AM1275" s="20">
        <f t="shared" si="256"/>
        <v>67301.024999999994</v>
      </c>
      <c r="AN1275" s="20">
        <f>+(S1274*0.06)+AM1275</f>
        <v>69341.024999999994</v>
      </c>
      <c r="AP1275" s="20">
        <f t="shared" si="245"/>
        <v>69341.024999999994</v>
      </c>
      <c r="AQ1275" s="7">
        <v>3.0000000000000001E-3</v>
      </c>
      <c r="AR1275" s="20"/>
      <c r="AS1275" s="51"/>
    </row>
    <row r="1276" spans="1:48" s="21" customFormat="1" ht="30" customHeight="1" x14ac:dyDescent="0.2">
      <c r="A1276" s="8">
        <v>1068</v>
      </c>
      <c r="B1276" s="46">
        <v>1</v>
      </c>
      <c r="C1276" s="16" t="s">
        <v>52</v>
      </c>
      <c r="D1276" s="48">
        <v>30544</v>
      </c>
      <c r="E1276" s="47">
        <v>61</v>
      </c>
      <c r="F1276" s="48">
        <v>5871</v>
      </c>
      <c r="G1276" s="49">
        <v>7</v>
      </c>
      <c r="H1276" s="48">
        <v>0</v>
      </c>
      <c r="I1276" s="48">
        <v>0</v>
      </c>
      <c r="J1276" s="48">
        <v>37</v>
      </c>
      <c r="K1276" s="3"/>
      <c r="L1276" s="16"/>
      <c r="M1276" s="57"/>
      <c r="N1276" s="58">
        <v>37</v>
      </c>
      <c r="P1276" s="16">
        <v>4</v>
      </c>
      <c r="Q1276" s="20">
        <f t="shared" si="248"/>
        <v>37</v>
      </c>
      <c r="R1276" s="14">
        <v>1000</v>
      </c>
      <c r="S1276" s="19">
        <f t="shared" si="254"/>
        <v>37000</v>
      </c>
      <c r="T1276" s="16"/>
      <c r="U1276" s="17"/>
      <c r="V1276" s="16"/>
      <c r="W1276" s="5"/>
      <c r="X1276" s="16"/>
      <c r="Y1276" s="5"/>
      <c r="Z1276" s="16"/>
      <c r="AA1276" s="16"/>
      <c r="AB1276" s="16"/>
      <c r="AE1276" s="16"/>
      <c r="AG1276" s="22">
        <f t="shared" si="255"/>
        <v>0</v>
      </c>
      <c r="AH1276" s="6"/>
      <c r="AJ1276" s="20">
        <f t="shared" si="253"/>
        <v>0</v>
      </c>
      <c r="AK1276" s="50"/>
      <c r="AL1276" s="6"/>
      <c r="AM1276" s="20">
        <f t="shared" si="256"/>
        <v>0</v>
      </c>
      <c r="AN1276" s="20">
        <f t="shared" ref="AN1276:AN1339" si="257">+S1276+AM1276</f>
        <v>37000</v>
      </c>
      <c r="AP1276" s="20">
        <f t="shared" si="245"/>
        <v>37000</v>
      </c>
      <c r="AQ1276" s="7">
        <v>3.0000000000000001E-3</v>
      </c>
      <c r="AR1276" s="20"/>
      <c r="AS1276" s="51"/>
    </row>
    <row r="1277" spans="1:48" s="21" customFormat="1" ht="30" customHeight="1" x14ac:dyDescent="0.2">
      <c r="A1277" s="8">
        <v>1069</v>
      </c>
      <c r="B1277" s="46">
        <v>1</v>
      </c>
      <c r="C1277" s="16" t="s">
        <v>52</v>
      </c>
      <c r="D1277" s="48">
        <v>30545</v>
      </c>
      <c r="E1277" s="47">
        <v>62</v>
      </c>
      <c r="F1277" s="48">
        <v>5872</v>
      </c>
      <c r="G1277" s="49">
        <v>7</v>
      </c>
      <c r="H1277" s="48">
        <v>0</v>
      </c>
      <c r="I1277" s="48">
        <v>1</v>
      </c>
      <c r="J1277" s="48">
        <v>13</v>
      </c>
      <c r="K1277" s="3"/>
      <c r="L1277" s="16"/>
      <c r="M1277" s="57"/>
      <c r="N1277" s="58">
        <v>113</v>
      </c>
      <c r="P1277" s="16">
        <v>4</v>
      </c>
      <c r="Q1277" s="20">
        <f t="shared" si="248"/>
        <v>113</v>
      </c>
      <c r="R1277" s="14">
        <v>1000</v>
      </c>
      <c r="S1277" s="20">
        <f t="shared" si="254"/>
        <v>113000</v>
      </c>
      <c r="T1277" s="16"/>
      <c r="U1277" s="17"/>
      <c r="V1277" s="17"/>
      <c r="W1277" s="4"/>
      <c r="X1277" s="16"/>
      <c r="Y1277" s="5"/>
      <c r="Z1277" s="16"/>
      <c r="AA1277" s="16"/>
      <c r="AB1277" s="16"/>
      <c r="AE1277" s="16"/>
      <c r="AG1277" s="22">
        <f t="shared" si="255"/>
        <v>0</v>
      </c>
      <c r="AH1277" s="6"/>
      <c r="AJ1277" s="20">
        <f t="shared" si="253"/>
        <v>0</v>
      </c>
      <c r="AK1277" s="50"/>
      <c r="AL1277" s="6"/>
      <c r="AM1277" s="20">
        <f t="shared" si="256"/>
        <v>0</v>
      </c>
      <c r="AN1277" s="20">
        <f t="shared" si="257"/>
        <v>113000</v>
      </c>
      <c r="AP1277" s="20">
        <f t="shared" ref="AP1277:AP1341" si="258">AN1277</f>
        <v>113000</v>
      </c>
      <c r="AQ1277" s="7">
        <v>3.0000000000000001E-3</v>
      </c>
      <c r="AR1277" s="20"/>
      <c r="AS1277" s="51"/>
    </row>
    <row r="1278" spans="1:48" s="21" customFormat="1" ht="30" customHeight="1" x14ac:dyDescent="0.2">
      <c r="A1278" s="8">
        <v>1070</v>
      </c>
      <c r="B1278" s="46">
        <v>1</v>
      </c>
      <c r="C1278" s="16" t="s">
        <v>52</v>
      </c>
      <c r="D1278" s="48">
        <v>1949</v>
      </c>
      <c r="E1278" s="47">
        <v>42</v>
      </c>
      <c r="F1278" s="48">
        <v>1306</v>
      </c>
      <c r="G1278" s="49">
        <v>2</v>
      </c>
      <c r="H1278" s="48">
        <v>6</v>
      </c>
      <c r="I1278" s="48">
        <v>0</v>
      </c>
      <c r="J1278" s="48">
        <v>98</v>
      </c>
      <c r="K1278" s="3">
        <f>6*400+98</f>
        <v>2498</v>
      </c>
      <c r="L1278" s="16"/>
      <c r="M1278" s="57"/>
      <c r="N1278" s="58"/>
      <c r="P1278" s="16">
        <v>1</v>
      </c>
      <c r="Q1278" s="20">
        <f t="shared" si="248"/>
        <v>2498</v>
      </c>
      <c r="R1278" s="14">
        <v>160</v>
      </c>
      <c r="S1278" s="19">
        <f t="shared" si="254"/>
        <v>399680</v>
      </c>
      <c r="T1278" s="16"/>
      <c r="U1278" s="17"/>
      <c r="V1278" s="17"/>
      <c r="W1278" s="4"/>
      <c r="X1278" s="16"/>
      <c r="Y1278" s="5"/>
      <c r="Z1278" s="16"/>
      <c r="AA1278" s="16"/>
      <c r="AB1278" s="16"/>
      <c r="AE1278" s="16"/>
      <c r="AG1278" s="22">
        <f t="shared" si="255"/>
        <v>0</v>
      </c>
      <c r="AH1278" s="6"/>
      <c r="AJ1278" s="20">
        <f t="shared" si="253"/>
        <v>0</v>
      </c>
      <c r="AK1278" s="50"/>
      <c r="AL1278" s="6"/>
      <c r="AM1278" s="20">
        <f t="shared" si="256"/>
        <v>0</v>
      </c>
      <c r="AN1278" s="20">
        <f t="shared" si="257"/>
        <v>399680</v>
      </c>
      <c r="AP1278" s="20">
        <f t="shared" si="258"/>
        <v>399680</v>
      </c>
      <c r="AQ1278" s="7"/>
      <c r="AR1278" s="20"/>
      <c r="AS1278" s="51"/>
    </row>
    <row r="1279" spans="1:48" s="21" customFormat="1" ht="30" customHeight="1" x14ac:dyDescent="0.2">
      <c r="A1279" s="8">
        <v>1071</v>
      </c>
      <c r="B1279" s="46">
        <v>2</v>
      </c>
      <c r="C1279" s="16" t="s">
        <v>52</v>
      </c>
      <c r="D1279" s="48">
        <v>24551</v>
      </c>
      <c r="E1279" s="47">
        <v>165</v>
      </c>
      <c r="F1279" s="48">
        <v>4899</v>
      </c>
      <c r="G1279" s="49"/>
      <c r="H1279" s="48">
        <v>0</v>
      </c>
      <c r="I1279" s="48">
        <v>0</v>
      </c>
      <c r="J1279" s="48">
        <v>63</v>
      </c>
      <c r="K1279" s="3"/>
      <c r="L1279" s="16"/>
      <c r="M1279" s="57"/>
      <c r="N1279" s="58">
        <v>63</v>
      </c>
      <c r="P1279" s="16">
        <v>4</v>
      </c>
      <c r="Q1279" s="20">
        <f t="shared" si="248"/>
        <v>63</v>
      </c>
      <c r="R1279" s="14">
        <v>2000</v>
      </c>
      <c r="S1279" s="19">
        <f t="shared" si="254"/>
        <v>126000</v>
      </c>
      <c r="T1279" s="16"/>
      <c r="U1279" s="17"/>
      <c r="V1279" s="17"/>
      <c r="W1279" s="4"/>
      <c r="X1279" s="16"/>
      <c r="Y1279" s="5"/>
      <c r="Z1279" s="16"/>
      <c r="AA1279" s="16"/>
      <c r="AB1279" s="16"/>
      <c r="AE1279" s="16"/>
      <c r="AG1279" s="22">
        <f t="shared" si="255"/>
        <v>0</v>
      </c>
      <c r="AH1279" s="6"/>
      <c r="AJ1279" s="20">
        <f t="shared" si="253"/>
        <v>0</v>
      </c>
      <c r="AK1279" s="50"/>
      <c r="AL1279" s="6"/>
      <c r="AM1279" s="20">
        <f t="shared" si="256"/>
        <v>0</v>
      </c>
      <c r="AN1279" s="20">
        <f t="shared" si="257"/>
        <v>126000</v>
      </c>
      <c r="AP1279" s="20">
        <f t="shared" si="258"/>
        <v>126000</v>
      </c>
      <c r="AQ1279" s="7">
        <v>3.0000000000000001E-3</v>
      </c>
      <c r="AR1279" s="20"/>
      <c r="AS1279" s="51"/>
    </row>
    <row r="1280" spans="1:48" ht="30" customHeight="1" x14ac:dyDescent="0.2">
      <c r="A1280" s="2">
        <v>1071</v>
      </c>
      <c r="B1280" s="46">
        <v>3</v>
      </c>
      <c r="C1280" s="16" t="s">
        <v>52</v>
      </c>
      <c r="D1280" s="48">
        <v>1473</v>
      </c>
      <c r="E1280" s="47">
        <v>16</v>
      </c>
      <c r="F1280" s="48">
        <v>1349</v>
      </c>
      <c r="G1280" s="49">
        <v>2</v>
      </c>
      <c r="H1280" s="48">
        <v>0</v>
      </c>
      <c r="I1280" s="48">
        <v>0</v>
      </c>
      <c r="J1280" s="48">
        <v>92</v>
      </c>
      <c r="K1280" s="28"/>
      <c r="L1280" s="17">
        <v>92</v>
      </c>
      <c r="M1280" s="103"/>
      <c r="P1280" s="21">
        <v>2</v>
      </c>
      <c r="Q1280" s="20">
        <f t="shared" si="248"/>
        <v>92</v>
      </c>
      <c r="R1280" s="14">
        <v>2250</v>
      </c>
      <c r="S1280" s="19">
        <f t="shared" si="254"/>
        <v>207000</v>
      </c>
      <c r="U1280" s="17" t="s">
        <v>57</v>
      </c>
      <c r="V1280" s="17" t="s">
        <v>56</v>
      </c>
      <c r="W1280" s="4">
        <f>6*15</f>
        <v>90</v>
      </c>
      <c r="Y1280" s="67" t="s">
        <v>156</v>
      </c>
      <c r="AB1280" s="17">
        <v>15</v>
      </c>
      <c r="AC1280" s="21"/>
      <c r="AD1280" s="17"/>
      <c r="AE1280" s="14"/>
      <c r="AF1280" s="21"/>
      <c r="AG1280" s="22"/>
      <c r="AH1280" s="21"/>
      <c r="AI1280" s="21"/>
      <c r="AJ1280" s="20">
        <f t="shared" si="253"/>
        <v>0</v>
      </c>
      <c r="AK1280" s="50">
        <f>AB1280</f>
        <v>15</v>
      </c>
      <c r="AL1280" s="6"/>
      <c r="AM1280" s="20">
        <f t="shared" si="256"/>
        <v>0</v>
      </c>
      <c r="AN1280" s="20">
        <f t="shared" si="257"/>
        <v>207000</v>
      </c>
      <c r="AO1280" s="21"/>
      <c r="AP1280" s="20">
        <f t="shared" si="258"/>
        <v>207000</v>
      </c>
      <c r="AQ1280" s="7"/>
      <c r="AR1280" s="20"/>
      <c r="AS1280" s="51"/>
      <c r="AT1280" s="21"/>
      <c r="AU1280" s="21"/>
      <c r="AV1280" s="21"/>
    </row>
    <row r="1281" spans="1:45" ht="30" customHeight="1" x14ac:dyDescent="0.2">
      <c r="A1281" s="8">
        <v>1072</v>
      </c>
      <c r="B1281" s="13">
        <v>1</v>
      </c>
      <c r="C1281" s="16" t="s">
        <v>65</v>
      </c>
      <c r="D1281" s="17">
        <v>1821</v>
      </c>
      <c r="E1281" s="17">
        <v>21</v>
      </c>
      <c r="H1281" s="17">
        <v>7</v>
      </c>
      <c r="I1281" s="17">
        <v>2</v>
      </c>
      <c r="J1281" s="17">
        <v>66</v>
      </c>
      <c r="K1281" s="10">
        <v>3066</v>
      </c>
      <c r="Q1281" s="20">
        <f t="shared" si="248"/>
        <v>3066</v>
      </c>
      <c r="R1281" s="14">
        <v>160</v>
      </c>
      <c r="S1281" s="20">
        <f t="shared" si="254"/>
        <v>490560</v>
      </c>
      <c r="AC1281" s="21"/>
      <c r="AD1281" s="21"/>
      <c r="AE1281" s="17" t="s">
        <v>94</v>
      </c>
      <c r="AG1281" s="22">
        <f t="shared" ref="AG1281:AG1344" si="259">Y1281</f>
        <v>0</v>
      </c>
      <c r="AJ1281" s="20">
        <f t="shared" si="253"/>
        <v>0</v>
      </c>
      <c r="AM1281" s="20">
        <f t="shared" si="256"/>
        <v>0</v>
      </c>
      <c r="AN1281" s="20">
        <f t="shared" si="257"/>
        <v>490560</v>
      </c>
      <c r="AP1281" s="20">
        <f t="shared" si="258"/>
        <v>490560</v>
      </c>
      <c r="AQ1281" s="12">
        <v>1E-4</v>
      </c>
      <c r="AR1281" s="20"/>
    </row>
    <row r="1282" spans="1:45" ht="30" customHeight="1" x14ac:dyDescent="0.2">
      <c r="A1282" s="8"/>
      <c r="C1282" s="16"/>
      <c r="Q1282" s="20"/>
      <c r="AC1282" s="21"/>
      <c r="AD1282" s="21"/>
      <c r="AG1282" s="22"/>
      <c r="AJ1282" s="20"/>
      <c r="AM1282" s="20"/>
      <c r="AN1282" s="20"/>
      <c r="AP1282" s="20"/>
      <c r="AR1282" s="20"/>
    </row>
    <row r="1283" spans="1:45" s="21" customFormat="1" ht="30" customHeight="1" x14ac:dyDescent="0.2">
      <c r="A1283" s="8">
        <v>1073</v>
      </c>
      <c r="B1283" s="46">
        <v>1</v>
      </c>
      <c r="C1283" s="16" t="s">
        <v>52</v>
      </c>
      <c r="D1283" s="48">
        <v>30278</v>
      </c>
      <c r="E1283" s="47">
        <v>75</v>
      </c>
      <c r="F1283" s="48">
        <v>5812</v>
      </c>
      <c r="G1283" s="49">
        <v>6</v>
      </c>
      <c r="H1283" s="48">
        <v>0</v>
      </c>
      <c r="I1283" s="48">
        <v>2</v>
      </c>
      <c r="J1283" s="48">
        <v>3</v>
      </c>
      <c r="K1283" s="3">
        <v>203</v>
      </c>
      <c r="L1283" s="16"/>
      <c r="M1283" s="57"/>
      <c r="N1283" s="58"/>
      <c r="P1283" s="16">
        <v>1</v>
      </c>
      <c r="Q1283" s="20">
        <f t="shared" si="248"/>
        <v>203</v>
      </c>
      <c r="R1283" s="14">
        <v>1100</v>
      </c>
      <c r="S1283" s="19">
        <f t="shared" si="254"/>
        <v>223300</v>
      </c>
      <c r="T1283" s="16"/>
      <c r="U1283" s="17"/>
      <c r="V1283" s="17"/>
      <c r="W1283" s="4"/>
      <c r="X1283" s="16"/>
      <c r="Y1283" s="5"/>
      <c r="Z1283" s="16"/>
      <c r="AA1283" s="16"/>
      <c r="AB1283" s="16"/>
      <c r="AE1283" s="16"/>
      <c r="AG1283" s="22">
        <f t="shared" si="259"/>
        <v>0</v>
      </c>
      <c r="AH1283" s="6"/>
      <c r="AJ1283" s="20">
        <f t="shared" si="253"/>
        <v>0</v>
      </c>
      <c r="AK1283" s="50"/>
      <c r="AL1283" s="6"/>
      <c r="AM1283" s="20">
        <f t="shared" si="256"/>
        <v>0</v>
      </c>
      <c r="AN1283" s="20">
        <f t="shared" si="257"/>
        <v>223300</v>
      </c>
      <c r="AP1283" s="20">
        <f t="shared" si="258"/>
        <v>223300</v>
      </c>
      <c r="AQ1283" s="7"/>
      <c r="AR1283" s="20"/>
      <c r="AS1283" s="51"/>
    </row>
    <row r="1284" spans="1:45" s="21" customFormat="1" ht="30" customHeight="1" x14ac:dyDescent="0.2">
      <c r="A1284" s="8">
        <v>1074</v>
      </c>
      <c r="B1284" s="46">
        <v>2</v>
      </c>
      <c r="C1284" s="16" t="s">
        <v>52</v>
      </c>
      <c r="D1284" s="48">
        <v>30279</v>
      </c>
      <c r="E1284" s="47">
        <v>76</v>
      </c>
      <c r="F1284" s="48">
        <v>5813</v>
      </c>
      <c r="G1284" s="49">
        <v>6</v>
      </c>
      <c r="H1284" s="48">
        <v>0</v>
      </c>
      <c r="I1284" s="48">
        <v>2</v>
      </c>
      <c r="J1284" s="48">
        <v>4</v>
      </c>
      <c r="K1284" s="3">
        <v>204</v>
      </c>
      <c r="L1284" s="16"/>
      <c r="M1284" s="57"/>
      <c r="N1284" s="58"/>
      <c r="P1284" s="16">
        <v>1</v>
      </c>
      <c r="Q1284" s="20">
        <f t="shared" si="248"/>
        <v>204</v>
      </c>
      <c r="R1284" s="14">
        <v>1100</v>
      </c>
      <c r="S1284" s="20">
        <f t="shared" si="254"/>
        <v>224400</v>
      </c>
      <c r="T1284" s="16"/>
      <c r="U1284" s="17"/>
      <c r="V1284" s="17"/>
      <c r="W1284" s="4"/>
      <c r="X1284" s="16"/>
      <c r="Y1284" s="5"/>
      <c r="Z1284" s="16"/>
      <c r="AA1284" s="16"/>
      <c r="AB1284" s="16"/>
      <c r="AE1284" s="16"/>
      <c r="AG1284" s="22">
        <f t="shared" si="259"/>
        <v>0</v>
      </c>
      <c r="AH1284" s="6"/>
      <c r="AJ1284" s="20">
        <f t="shared" si="253"/>
        <v>0</v>
      </c>
      <c r="AK1284" s="50"/>
      <c r="AL1284" s="6"/>
      <c r="AM1284" s="20">
        <f t="shared" si="256"/>
        <v>0</v>
      </c>
      <c r="AN1284" s="20">
        <f t="shared" si="257"/>
        <v>224400</v>
      </c>
      <c r="AP1284" s="20">
        <f t="shared" si="258"/>
        <v>224400</v>
      </c>
      <c r="AQ1284" s="7"/>
      <c r="AR1284" s="20"/>
      <c r="AS1284" s="51"/>
    </row>
    <row r="1285" spans="1:45" ht="30" customHeight="1" x14ac:dyDescent="0.2">
      <c r="A1285" s="8">
        <v>1075</v>
      </c>
      <c r="B1285" s="13">
        <v>3</v>
      </c>
      <c r="C1285" s="16" t="s">
        <v>65</v>
      </c>
      <c r="D1285" s="17">
        <v>1724</v>
      </c>
      <c r="E1285" s="17">
        <v>45</v>
      </c>
      <c r="H1285" s="17">
        <v>3</v>
      </c>
      <c r="I1285" s="17">
        <v>1</v>
      </c>
      <c r="J1285" s="17">
        <v>33</v>
      </c>
      <c r="K1285" s="10">
        <v>1333</v>
      </c>
      <c r="Q1285" s="20">
        <f t="shared" si="248"/>
        <v>1333</v>
      </c>
      <c r="R1285" s="14">
        <v>2000</v>
      </c>
      <c r="S1285" s="19">
        <f t="shared" si="254"/>
        <v>2666000</v>
      </c>
      <c r="AC1285" s="21"/>
      <c r="AD1285" s="21"/>
      <c r="AG1285" s="22">
        <f t="shared" si="259"/>
        <v>0</v>
      </c>
      <c r="AJ1285" s="20">
        <f t="shared" si="253"/>
        <v>0</v>
      </c>
      <c r="AM1285" s="20">
        <f t="shared" si="256"/>
        <v>0</v>
      </c>
      <c r="AN1285" s="20">
        <f t="shared" si="257"/>
        <v>2666000</v>
      </c>
      <c r="AP1285" s="20">
        <f t="shared" si="258"/>
        <v>2666000</v>
      </c>
      <c r="AQ1285" s="12">
        <v>1E-4</v>
      </c>
      <c r="AR1285" s="20"/>
    </row>
    <row r="1286" spans="1:45" ht="30" customHeight="1" x14ac:dyDescent="0.2">
      <c r="A1286" s="8">
        <v>1076</v>
      </c>
      <c r="B1286" s="13">
        <v>1</v>
      </c>
      <c r="C1286" s="16" t="s">
        <v>69</v>
      </c>
      <c r="E1286" s="17">
        <v>162</v>
      </c>
      <c r="F1286" s="17">
        <v>7</v>
      </c>
      <c r="G1286" s="13">
        <v>1</v>
      </c>
      <c r="H1286" s="17">
        <v>12</v>
      </c>
      <c r="I1286" s="17">
        <v>3</v>
      </c>
      <c r="J1286" s="17">
        <v>88</v>
      </c>
      <c r="K1286" s="10">
        <v>5188</v>
      </c>
      <c r="P1286" s="17">
        <v>1</v>
      </c>
      <c r="Q1286" s="20">
        <f t="shared" si="248"/>
        <v>5188</v>
      </c>
      <c r="R1286" s="14">
        <v>160</v>
      </c>
      <c r="S1286" s="19">
        <f t="shared" si="254"/>
        <v>830080</v>
      </c>
      <c r="AG1286" s="22">
        <f t="shared" si="259"/>
        <v>0</v>
      </c>
      <c r="AJ1286" s="20">
        <f t="shared" si="253"/>
        <v>0</v>
      </c>
      <c r="AM1286" s="20">
        <f t="shared" si="256"/>
        <v>0</v>
      </c>
      <c r="AN1286" s="20">
        <f t="shared" si="257"/>
        <v>830080</v>
      </c>
      <c r="AP1286" s="20">
        <f t="shared" si="258"/>
        <v>830080</v>
      </c>
      <c r="AQ1286" s="12">
        <v>1E-4</v>
      </c>
      <c r="AR1286" s="20"/>
    </row>
    <row r="1287" spans="1:45" s="21" customFormat="1" ht="30" customHeight="1" x14ac:dyDescent="0.2">
      <c r="A1287" s="8">
        <v>1077</v>
      </c>
      <c r="B1287" s="46">
        <v>1</v>
      </c>
      <c r="C1287" s="16" t="s">
        <v>52</v>
      </c>
      <c r="D1287" s="48">
        <v>25098</v>
      </c>
      <c r="E1287" s="47">
        <v>66</v>
      </c>
      <c r="F1287" s="48">
        <v>4935</v>
      </c>
      <c r="G1287" s="49">
        <v>4</v>
      </c>
      <c r="H1287" s="48">
        <v>0</v>
      </c>
      <c r="I1287" s="48">
        <v>0</v>
      </c>
      <c r="J1287" s="48">
        <v>25</v>
      </c>
      <c r="K1287" s="3"/>
      <c r="L1287" s="16">
        <v>25</v>
      </c>
      <c r="M1287" s="57"/>
      <c r="N1287" s="58"/>
      <c r="P1287" s="16">
        <v>2</v>
      </c>
      <c r="Q1287" s="20">
        <f t="shared" si="248"/>
        <v>25</v>
      </c>
      <c r="R1287" s="14">
        <v>250</v>
      </c>
      <c r="S1287" s="20">
        <f t="shared" si="254"/>
        <v>6250</v>
      </c>
      <c r="T1287" s="16"/>
      <c r="U1287" s="16" t="s">
        <v>57</v>
      </c>
      <c r="V1287" s="16" t="s">
        <v>56</v>
      </c>
      <c r="W1287" s="5">
        <f>4*20</f>
        <v>80</v>
      </c>
      <c r="X1287" s="16"/>
      <c r="Y1287" s="5"/>
      <c r="Z1287" s="16"/>
      <c r="AA1287" s="16"/>
      <c r="AB1287" s="16"/>
      <c r="AE1287" s="16"/>
      <c r="AG1287" s="22">
        <f t="shared" si="259"/>
        <v>0</v>
      </c>
      <c r="AH1287" s="6"/>
      <c r="AJ1287" s="20">
        <f t="shared" si="253"/>
        <v>0</v>
      </c>
      <c r="AK1287" s="50"/>
      <c r="AL1287" s="6"/>
      <c r="AM1287" s="20">
        <f t="shared" si="256"/>
        <v>0</v>
      </c>
      <c r="AN1287" s="20">
        <f t="shared" si="257"/>
        <v>6250</v>
      </c>
      <c r="AP1287" s="20">
        <f t="shared" si="258"/>
        <v>6250</v>
      </c>
      <c r="AQ1287" s="7"/>
      <c r="AR1287" s="20"/>
      <c r="AS1287" s="51"/>
    </row>
    <row r="1288" spans="1:45" s="21" customFormat="1" ht="30" customHeight="1" x14ac:dyDescent="0.2">
      <c r="A1288" s="8">
        <v>1078</v>
      </c>
      <c r="B1288" s="46">
        <v>1</v>
      </c>
      <c r="C1288" s="16" t="s">
        <v>52</v>
      </c>
      <c r="D1288" s="48">
        <v>3169</v>
      </c>
      <c r="E1288" s="47">
        <v>83</v>
      </c>
      <c r="F1288" s="48">
        <v>2098</v>
      </c>
      <c r="G1288" s="49">
        <v>2</v>
      </c>
      <c r="H1288" s="48">
        <v>0</v>
      </c>
      <c r="I1288" s="48">
        <v>1</v>
      </c>
      <c r="J1288" s="48">
        <v>15</v>
      </c>
      <c r="K1288" s="3"/>
      <c r="L1288" s="16">
        <v>115</v>
      </c>
      <c r="M1288" s="57"/>
      <c r="N1288" s="58"/>
      <c r="P1288" s="16">
        <v>2</v>
      </c>
      <c r="Q1288" s="20">
        <f t="shared" si="248"/>
        <v>115</v>
      </c>
      <c r="R1288" s="14">
        <v>250</v>
      </c>
      <c r="S1288" s="19">
        <f t="shared" si="254"/>
        <v>28750</v>
      </c>
      <c r="T1288" s="16"/>
      <c r="U1288" s="17" t="s">
        <v>57</v>
      </c>
      <c r="V1288" s="16" t="s">
        <v>56</v>
      </c>
      <c r="W1288" s="5"/>
      <c r="X1288" s="16"/>
      <c r="Y1288" s="5">
        <v>92.25</v>
      </c>
      <c r="Z1288" s="16"/>
      <c r="AA1288" s="16"/>
      <c r="AB1288" s="16">
        <v>6</v>
      </c>
      <c r="AC1288" s="14"/>
      <c r="AD1288" s="14"/>
      <c r="AE1288" s="16"/>
      <c r="AG1288" s="22">
        <f t="shared" si="259"/>
        <v>92.25</v>
      </c>
      <c r="AH1288" s="6"/>
      <c r="AJ1288" s="20">
        <f t="shared" si="253"/>
        <v>0</v>
      </c>
      <c r="AK1288" s="50">
        <v>6</v>
      </c>
      <c r="AL1288" s="6"/>
      <c r="AM1288" s="20">
        <f t="shared" si="256"/>
        <v>0</v>
      </c>
      <c r="AN1288" s="20">
        <f t="shared" si="257"/>
        <v>28750</v>
      </c>
      <c r="AP1288" s="20">
        <f t="shared" si="258"/>
        <v>28750</v>
      </c>
      <c r="AQ1288" s="7"/>
      <c r="AR1288" s="20"/>
      <c r="AS1288" s="51"/>
    </row>
    <row r="1289" spans="1:45" ht="30" customHeight="1" x14ac:dyDescent="0.2">
      <c r="A1289" s="8">
        <v>1079</v>
      </c>
      <c r="B1289" s="13">
        <v>1</v>
      </c>
      <c r="C1289" s="16" t="s">
        <v>69</v>
      </c>
      <c r="E1289" s="17">
        <v>168</v>
      </c>
      <c r="F1289" s="17">
        <v>5</v>
      </c>
      <c r="G1289" s="13">
        <v>1</v>
      </c>
      <c r="H1289" s="17">
        <v>24</v>
      </c>
      <c r="I1289" s="17">
        <v>3</v>
      </c>
      <c r="J1289" s="17">
        <v>98</v>
      </c>
      <c r="K1289" s="10">
        <v>9998</v>
      </c>
      <c r="P1289" s="17">
        <v>1</v>
      </c>
      <c r="Q1289" s="20">
        <f t="shared" si="248"/>
        <v>9998</v>
      </c>
      <c r="R1289" s="14">
        <v>200</v>
      </c>
      <c r="S1289" s="19">
        <f t="shared" si="254"/>
        <v>1999600</v>
      </c>
      <c r="AG1289" s="22">
        <f t="shared" si="259"/>
        <v>0</v>
      </c>
      <c r="AJ1289" s="20">
        <f t="shared" si="253"/>
        <v>0</v>
      </c>
      <c r="AM1289" s="20">
        <f t="shared" si="256"/>
        <v>0</v>
      </c>
      <c r="AN1289" s="20">
        <f t="shared" si="257"/>
        <v>1999600</v>
      </c>
      <c r="AP1289" s="20">
        <f t="shared" si="258"/>
        <v>1999600</v>
      </c>
      <c r="AQ1289" s="12">
        <v>1E-4</v>
      </c>
      <c r="AR1289" s="20"/>
    </row>
    <row r="1290" spans="1:45" s="21" customFormat="1" ht="30" customHeight="1" x14ac:dyDescent="0.2">
      <c r="A1290" s="8">
        <v>1080</v>
      </c>
      <c r="B1290" s="46">
        <v>1</v>
      </c>
      <c r="C1290" s="16" t="s">
        <v>52</v>
      </c>
      <c r="D1290" s="48">
        <v>3841</v>
      </c>
      <c r="E1290" s="47">
        <v>84</v>
      </c>
      <c r="F1290" s="48">
        <v>2335</v>
      </c>
      <c r="G1290" s="49">
        <v>2</v>
      </c>
      <c r="H1290" s="48">
        <v>0</v>
      </c>
      <c r="I1290" s="48">
        <v>1</v>
      </c>
      <c r="J1290" s="48">
        <v>63</v>
      </c>
      <c r="K1290" s="3"/>
      <c r="L1290" s="16"/>
      <c r="M1290" s="57"/>
      <c r="N1290" s="58">
        <v>163</v>
      </c>
      <c r="P1290" s="16">
        <v>4</v>
      </c>
      <c r="Q1290" s="20">
        <f t="shared" si="248"/>
        <v>163</v>
      </c>
      <c r="R1290" s="14">
        <v>1200</v>
      </c>
      <c r="S1290" s="20">
        <f t="shared" si="254"/>
        <v>195600</v>
      </c>
      <c r="T1290" s="16"/>
      <c r="U1290" s="17"/>
      <c r="V1290" s="17"/>
      <c r="W1290" s="4"/>
      <c r="X1290" s="16"/>
      <c r="Y1290" s="5"/>
      <c r="Z1290" s="16"/>
      <c r="AA1290" s="16"/>
      <c r="AB1290" s="16"/>
      <c r="AE1290" s="16"/>
      <c r="AG1290" s="22">
        <f t="shared" si="259"/>
        <v>0</v>
      </c>
      <c r="AH1290" s="6"/>
      <c r="AJ1290" s="20">
        <f t="shared" si="253"/>
        <v>0</v>
      </c>
      <c r="AK1290" s="50"/>
      <c r="AL1290" s="6"/>
      <c r="AM1290" s="20">
        <f t="shared" si="256"/>
        <v>0</v>
      </c>
      <c r="AN1290" s="20">
        <f t="shared" si="257"/>
        <v>195600</v>
      </c>
      <c r="AP1290" s="20">
        <f t="shared" si="258"/>
        <v>195600</v>
      </c>
      <c r="AQ1290" s="7">
        <v>3.0000000000000001E-3</v>
      </c>
      <c r="AR1290" s="60"/>
      <c r="AS1290" s="128">
        <v>30</v>
      </c>
    </row>
    <row r="1291" spans="1:45" s="21" customFormat="1" ht="30" customHeight="1" x14ac:dyDescent="0.2">
      <c r="A1291" s="8">
        <v>1081</v>
      </c>
      <c r="B1291" s="46">
        <v>2</v>
      </c>
      <c r="C1291" s="16" t="s">
        <v>52</v>
      </c>
      <c r="D1291" s="48">
        <v>27017</v>
      </c>
      <c r="E1291" s="47">
        <v>42</v>
      </c>
      <c r="F1291" s="48">
        <v>5043</v>
      </c>
      <c r="G1291" s="49">
        <v>2</v>
      </c>
      <c r="H1291" s="48">
        <v>9</v>
      </c>
      <c r="I1291" s="48">
        <v>1</v>
      </c>
      <c r="J1291" s="48">
        <v>65</v>
      </c>
      <c r="K1291" s="3">
        <f>9*400+165</f>
        <v>3765</v>
      </c>
      <c r="L1291" s="16"/>
      <c r="M1291" s="57"/>
      <c r="N1291" s="58"/>
      <c r="P1291" s="16">
        <v>1</v>
      </c>
      <c r="Q1291" s="20">
        <f t="shared" si="248"/>
        <v>3765</v>
      </c>
      <c r="R1291" s="14">
        <v>160</v>
      </c>
      <c r="S1291" s="19">
        <f t="shared" si="254"/>
        <v>602400</v>
      </c>
      <c r="T1291" s="16"/>
      <c r="U1291" s="17"/>
      <c r="V1291" s="17"/>
      <c r="W1291" s="4"/>
      <c r="X1291" s="16"/>
      <c r="Y1291" s="5"/>
      <c r="Z1291" s="16"/>
      <c r="AA1291" s="16"/>
      <c r="AB1291" s="16"/>
      <c r="AC1291" s="14"/>
      <c r="AD1291" s="14"/>
      <c r="AE1291" s="16"/>
      <c r="AG1291" s="22">
        <f t="shared" si="259"/>
        <v>0</v>
      </c>
      <c r="AH1291" s="6"/>
      <c r="AJ1291" s="20">
        <f t="shared" si="253"/>
        <v>0</v>
      </c>
      <c r="AK1291" s="50"/>
      <c r="AL1291" s="6"/>
      <c r="AM1291" s="20">
        <f t="shared" si="256"/>
        <v>0</v>
      </c>
      <c r="AN1291" s="20">
        <f t="shared" si="257"/>
        <v>602400</v>
      </c>
      <c r="AP1291" s="20">
        <f t="shared" si="258"/>
        <v>602400</v>
      </c>
      <c r="AQ1291" s="7"/>
      <c r="AR1291" s="25"/>
      <c r="AS1291" s="130"/>
    </row>
    <row r="1292" spans="1:45" s="21" customFormat="1" ht="30" customHeight="1" x14ac:dyDescent="0.2">
      <c r="A1292" s="8">
        <v>1082</v>
      </c>
      <c r="B1292" s="46">
        <v>1</v>
      </c>
      <c r="C1292" s="16" t="s">
        <v>52</v>
      </c>
      <c r="D1292" s="48">
        <v>889</v>
      </c>
      <c r="E1292" s="47">
        <v>8</v>
      </c>
      <c r="F1292" s="48">
        <v>183</v>
      </c>
      <c r="G1292" s="49">
        <v>1</v>
      </c>
      <c r="H1292" s="48">
        <v>4</v>
      </c>
      <c r="I1292" s="48">
        <v>1</v>
      </c>
      <c r="J1292" s="48">
        <v>48</v>
      </c>
      <c r="K1292" s="3">
        <v>1748</v>
      </c>
      <c r="L1292" s="16"/>
      <c r="M1292" s="57"/>
      <c r="N1292" s="58"/>
      <c r="P1292" s="16">
        <v>1</v>
      </c>
      <c r="Q1292" s="20">
        <f t="shared" si="248"/>
        <v>1748</v>
      </c>
      <c r="R1292" s="14">
        <v>200</v>
      </c>
      <c r="S1292" s="19">
        <f t="shared" si="254"/>
        <v>349600</v>
      </c>
      <c r="T1292" s="16"/>
      <c r="U1292" s="17"/>
      <c r="V1292" s="17"/>
      <c r="W1292" s="4"/>
      <c r="X1292" s="16"/>
      <c r="Y1292" s="5"/>
      <c r="Z1292" s="16"/>
      <c r="AA1292" s="16"/>
      <c r="AB1292" s="16"/>
      <c r="AC1292" s="14"/>
      <c r="AD1292" s="14"/>
      <c r="AE1292" s="16"/>
      <c r="AG1292" s="22">
        <f t="shared" si="259"/>
        <v>0</v>
      </c>
      <c r="AH1292" s="6"/>
      <c r="AJ1292" s="20">
        <f t="shared" si="253"/>
        <v>0</v>
      </c>
      <c r="AK1292" s="50"/>
      <c r="AL1292" s="6"/>
      <c r="AM1292" s="20">
        <f t="shared" si="256"/>
        <v>0</v>
      </c>
      <c r="AN1292" s="20">
        <f t="shared" si="257"/>
        <v>349600</v>
      </c>
      <c r="AP1292" s="20">
        <f t="shared" si="258"/>
        <v>349600</v>
      </c>
      <c r="AQ1292" s="7"/>
      <c r="AR1292" s="60"/>
      <c r="AS1292" s="128">
        <v>173</v>
      </c>
    </row>
    <row r="1293" spans="1:45" s="21" customFormat="1" ht="30" customHeight="1" x14ac:dyDescent="0.2">
      <c r="A1293" s="8">
        <v>1083</v>
      </c>
      <c r="B1293" s="46">
        <v>2</v>
      </c>
      <c r="C1293" s="16" t="s">
        <v>52</v>
      </c>
      <c r="D1293" s="48">
        <v>988</v>
      </c>
      <c r="E1293" s="47">
        <v>43</v>
      </c>
      <c r="F1293" s="48">
        <v>235</v>
      </c>
      <c r="G1293" s="49">
        <v>1</v>
      </c>
      <c r="H1293" s="48">
        <v>27</v>
      </c>
      <c r="I1293" s="48">
        <v>0</v>
      </c>
      <c r="J1293" s="48">
        <v>38</v>
      </c>
      <c r="K1293" s="3">
        <f>27*400+38</f>
        <v>10838</v>
      </c>
      <c r="L1293" s="16"/>
      <c r="M1293" s="57"/>
      <c r="N1293" s="58"/>
      <c r="P1293" s="16">
        <v>1</v>
      </c>
      <c r="Q1293" s="20">
        <f t="shared" si="248"/>
        <v>10838</v>
      </c>
      <c r="R1293" s="14">
        <v>200</v>
      </c>
      <c r="S1293" s="20">
        <f t="shared" si="254"/>
        <v>2167600</v>
      </c>
      <c r="T1293" s="16"/>
      <c r="U1293" s="17"/>
      <c r="V1293" s="17"/>
      <c r="W1293" s="4"/>
      <c r="X1293" s="16"/>
      <c r="Y1293" s="5"/>
      <c r="Z1293" s="16"/>
      <c r="AA1293" s="16"/>
      <c r="AB1293" s="16"/>
      <c r="AC1293" s="14"/>
      <c r="AD1293" s="14"/>
      <c r="AE1293" s="16"/>
      <c r="AG1293" s="22">
        <f t="shared" si="259"/>
        <v>0</v>
      </c>
      <c r="AH1293" s="6"/>
      <c r="AJ1293" s="20">
        <f t="shared" si="253"/>
        <v>0</v>
      </c>
      <c r="AK1293" s="50"/>
      <c r="AL1293" s="6"/>
      <c r="AM1293" s="20">
        <f t="shared" si="256"/>
        <v>0</v>
      </c>
      <c r="AN1293" s="20">
        <f t="shared" si="257"/>
        <v>2167600</v>
      </c>
      <c r="AP1293" s="20">
        <f t="shared" si="258"/>
        <v>2167600</v>
      </c>
      <c r="AQ1293" s="7"/>
      <c r="AR1293" s="24"/>
      <c r="AS1293" s="129"/>
    </row>
    <row r="1294" spans="1:45" s="21" customFormat="1" ht="30" customHeight="1" x14ac:dyDescent="0.2">
      <c r="A1294" s="8">
        <v>1084</v>
      </c>
      <c r="B1294" s="46">
        <v>3</v>
      </c>
      <c r="C1294" s="16" t="s">
        <v>52</v>
      </c>
      <c r="D1294" s="48">
        <v>21137</v>
      </c>
      <c r="E1294" s="47">
        <v>71</v>
      </c>
      <c r="F1294" s="48">
        <v>4697</v>
      </c>
      <c r="G1294" s="49">
        <v>2</v>
      </c>
      <c r="H1294" s="48">
        <v>0</v>
      </c>
      <c r="I1294" s="48">
        <v>1</v>
      </c>
      <c r="J1294" s="48">
        <v>19</v>
      </c>
      <c r="K1294" s="3">
        <v>119</v>
      </c>
      <c r="L1294" s="16"/>
      <c r="M1294" s="57"/>
      <c r="N1294" s="58"/>
      <c r="P1294" s="16">
        <v>1</v>
      </c>
      <c r="Q1294" s="20">
        <f t="shared" si="248"/>
        <v>119</v>
      </c>
      <c r="R1294" s="14">
        <v>160</v>
      </c>
      <c r="S1294" s="19">
        <f t="shared" si="254"/>
        <v>19040</v>
      </c>
      <c r="T1294" s="16"/>
      <c r="U1294" s="17"/>
      <c r="V1294" s="17"/>
      <c r="W1294" s="4"/>
      <c r="X1294" s="16"/>
      <c r="Y1294" s="5"/>
      <c r="Z1294" s="16"/>
      <c r="AA1294" s="16"/>
      <c r="AB1294" s="16"/>
      <c r="AC1294" s="14"/>
      <c r="AD1294" s="14"/>
      <c r="AE1294" s="16"/>
      <c r="AG1294" s="22">
        <f t="shared" si="259"/>
        <v>0</v>
      </c>
      <c r="AH1294" s="6"/>
      <c r="AJ1294" s="20">
        <f t="shared" si="253"/>
        <v>0</v>
      </c>
      <c r="AK1294" s="50"/>
      <c r="AL1294" s="6"/>
      <c r="AM1294" s="20">
        <f t="shared" si="256"/>
        <v>0</v>
      </c>
      <c r="AN1294" s="20">
        <f t="shared" si="257"/>
        <v>19040</v>
      </c>
      <c r="AP1294" s="20">
        <f t="shared" si="258"/>
        <v>19040</v>
      </c>
      <c r="AQ1294" s="7"/>
      <c r="AR1294" s="25"/>
      <c r="AS1294" s="130"/>
    </row>
    <row r="1295" spans="1:45" s="21" customFormat="1" ht="30" customHeight="1" x14ac:dyDescent="0.2">
      <c r="A1295" s="8">
        <v>1085</v>
      </c>
      <c r="B1295" s="46">
        <v>1</v>
      </c>
      <c r="C1295" s="16" t="s">
        <v>52</v>
      </c>
      <c r="D1295" s="48">
        <v>1257</v>
      </c>
      <c r="E1295" s="47">
        <v>7</v>
      </c>
      <c r="F1295" s="48">
        <v>310</v>
      </c>
      <c r="G1295" s="49">
        <v>6</v>
      </c>
      <c r="H1295" s="48">
        <v>0</v>
      </c>
      <c r="I1295" s="48">
        <v>3</v>
      </c>
      <c r="J1295" s="48">
        <v>15.03</v>
      </c>
      <c r="K1295" s="3"/>
      <c r="L1295" s="16">
        <v>315.02999999999997</v>
      </c>
      <c r="M1295" s="57"/>
      <c r="N1295" s="58"/>
      <c r="P1295" s="16">
        <v>2</v>
      </c>
      <c r="Q1295" s="20">
        <f t="shared" si="248"/>
        <v>315.02999999999997</v>
      </c>
      <c r="R1295" s="14">
        <v>750</v>
      </c>
      <c r="S1295" s="19">
        <f t="shared" si="254"/>
        <v>236272.49999999997</v>
      </c>
      <c r="T1295" s="16"/>
      <c r="U1295" s="16" t="s">
        <v>57</v>
      </c>
      <c r="V1295" s="16" t="s">
        <v>56</v>
      </c>
      <c r="W1295" s="5"/>
      <c r="X1295" s="16"/>
      <c r="Y1295" s="5">
        <v>84</v>
      </c>
      <c r="Z1295" s="16"/>
      <c r="AA1295" s="16"/>
      <c r="AB1295" s="16">
        <v>26</v>
      </c>
      <c r="AC1295" s="14"/>
      <c r="AD1295" s="14"/>
      <c r="AE1295" s="16"/>
      <c r="AG1295" s="22">
        <f t="shared" si="259"/>
        <v>84</v>
      </c>
      <c r="AH1295" s="6"/>
      <c r="AJ1295" s="20">
        <f t="shared" si="253"/>
        <v>0</v>
      </c>
      <c r="AK1295" s="50">
        <v>26</v>
      </c>
      <c r="AL1295" s="6"/>
      <c r="AM1295" s="20">
        <f t="shared" si="256"/>
        <v>0</v>
      </c>
      <c r="AN1295" s="20">
        <f t="shared" si="257"/>
        <v>236272.49999999997</v>
      </c>
      <c r="AP1295" s="20">
        <f t="shared" si="258"/>
        <v>236272.49999999997</v>
      </c>
      <c r="AQ1295" s="7"/>
      <c r="AR1295" s="20"/>
      <c r="AS1295" s="51"/>
    </row>
    <row r="1296" spans="1:45" s="21" customFormat="1" ht="30" customHeight="1" x14ac:dyDescent="0.2">
      <c r="A1296" s="8">
        <v>1086</v>
      </c>
      <c r="B1296" s="46">
        <v>2</v>
      </c>
      <c r="C1296" s="16" t="s">
        <v>52</v>
      </c>
      <c r="D1296" s="48">
        <v>35217</v>
      </c>
      <c r="E1296" s="47">
        <v>45</v>
      </c>
      <c r="F1296" s="48">
        <v>7018</v>
      </c>
      <c r="G1296" s="49">
        <v>6</v>
      </c>
      <c r="H1296" s="48">
        <v>1</v>
      </c>
      <c r="I1296" s="48">
        <v>2</v>
      </c>
      <c r="J1296" s="48">
        <v>32.04</v>
      </c>
      <c r="K1296" s="3">
        <v>632.04</v>
      </c>
      <c r="L1296" s="16"/>
      <c r="M1296" s="57"/>
      <c r="N1296" s="58"/>
      <c r="P1296" s="16">
        <v>1</v>
      </c>
      <c r="Q1296" s="20">
        <f t="shared" si="248"/>
        <v>632.04</v>
      </c>
      <c r="R1296" s="14">
        <v>750</v>
      </c>
      <c r="S1296" s="20">
        <f t="shared" si="254"/>
        <v>474030</v>
      </c>
      <c r="T1296" s="16"/>
      <c r="U1296" s="17"/>
      <c r="V1296" s="16"/>
      <c r="W1296" s="5"/>
      <c r="X1296" s="16"/>
      <c r="Y1296" s="5"/>
      <c r="Z1296" s="16"/>
      <c r="AA1296" s="16"/>
      <c r="AB1296" s="16"/>
      <c r="AE1296" s="16"/>
      <c r="AG1296" s="22">
        <f t="shared" si="259"/>
        <v>0</v>
      </c>
      <c r="AH1296" s="6"/>
      <c r="AJ1296" s="20">
        <f t="shared" si="253"/>
        <v>0</v>
      </c>
      <c r="AK1296" s="50"/>
      <c r="AL1296" s="6"/>
      <c r="AM1296" s="20">
        <f t="shared" si="256"/>
        <v>0</v>
      </c>
      <c r="AN1296" s="20">
        <f t="shared" si="257"/>
        <v>474030</v>
      </c>
      <c r="AP1296" s="20">
        <f t="shared" si="258"/>
        <v>474030</v>
      </c>
      <c r="AQ1296" s="7"/>
      <c r="AR1296" s="20"/>
      <c r="AS1296" s="51"/>
    </row>
    <row r="1297" spans="1:45" s="21" customFormat="1" ht="30" customHeight="1" x14ac:dyDescent="0.2">
      <c r="A1297" s="8">
        <v>1087</v>
      </c>
      <c r="B1297" s="46">
        <v>1</v>
      </c>
      <c r="C1297" s="16" t="s">
        <v>52</v>
      </c>
      <c r="D1297" s="48">
        <v>29941</v>
      </c>
      <c r="E1297" s="47">
        <v>163</v>
      </c>
      <c r="F1297" s="48">
        <v>5769</v>
      </c>
      <c r="G1297" s="49">
        <v>1</v>
      </c>
      <c r="H1297" s="48">
        <v>0</v>
      </c>
      <c r="I1297" s="48">
        <v>0</v>
      </c>
      <c r="J1297" s="48">
        <v>49</v>
      </c>
      <c r="K1297" s="3"/>
      <c r="L1297" s="16"/>
      <c r="M1297" s="57"/>
      <c r="N1297" s="58">
        <v>49</v>
      </c>
      <c r="P1297" s="16">
        <v>4</v>
      </c>
      <c r="Q1297" s="20">
        <f t="shared" si="248"/>
        <v>49</v>
      </c>
      <c r="R1297" s="14">
        <v>250</v>
      </c>
      <c r="S1297" s="19">
        <f t="shared" si="254"/>
        <v>12250</v>
      </c>
      <c r="T1297" s="16"/>
      <c r="U1297" s="17"/>
      <c r="V1297" s="17"/>
      <c r="W1297" s="4"/>
      <c r="X1297" s="16"/>
      <c r="Y1297" s="5"/>
      <c r="Z1297" s="16"/>
      <c r="AA1297" s="16"/>
      <c r="AB1297" s="16"/>
      <c r="AE1297" s="16"/>
      <c r="AG1297" s="22">
        <f t="shared" si="259"/>
        <v>0</v>
      </c>
      <c r="AH1297" s="6"/>
      <c r="AJ1297" s="20">
        <f t="shared" si="253"/>
        <v>0</v>
      </c>
      <c r="AK1297" s="50"/>
      <c r="AL1297" s="6"/>
      <c r="AM1297" s="20">
        <f t="shared" si="256"/>
        <v>0</v>
      </c>
      <c r="AN1297" s="20">
        <f t="shared" si="257"/>
        <v>12250</v>
      </c>
      <c r="AP1297" s="20">
        <f t="shared" si="258"/>
        <v>12250</v>
      </c>
      <c r="AQ1297" s="7">
        <v>3.0000000000000001E-3</v>
      </c>
      <c r="AR1297" s="20"/>
      <c r="AS1297" s="51"/>
    </row>
    <row r="1298" spans="1:45" s="21" customFormat="1" ht="30" customHeight="1" x14ac:dyDescent="0.2">
      <c r="A1298" s="8">
        <v>1088</v>
      </c>
      <c r="B1298" s="46">
        <v>1</v>
      </c>
      <c r="C1298" s="16" t="s">
        <v>52</v>
      </c>
      <c r="D1298" s="48">
        <v>1152</v>
      </c>
      <c r="E1298" s="47">
        <v>36</v>
      </c>
      <c r="F1298" s="48">
        <v>967</v>
      </c>
      <c r="G1298" s="49">
        <v>1</v>
      </c>
      <c r="H1298" s="48">
        <v>9</v>
      </c>
      <c r="I1298" s="48">
        <v>1</v>
      </c>
      <c r="J1298" s="48">
        <v>66</v>
      </c>
      <c r="K1298" s="3">
        <f>9*400+166</f>
        <v>3766</v>
      </c>
      <c r="L1298" s="16"/>
      <c r="M1298" s="57"/>
      <c r="N1298" s="58"/>
      <c r="P1298" s="16">
        <v>1</v>
      </c>
      <c r="Q1298" s="20">
        <f t="shared" si="248"/>
        <v>3766</v>
      </c>
      <c r="R1298" s="14">
        <v>160</v>
      </c>
      <c r="S1298" s="19">
        <f t="shared" si="254"/>
        <v>602560</v>
      </c>
      <c r="T1298" s="16"/>
      <c r="U1298" s="17"/>
      <c r="V1298" s="17"/>
      <c r="W1298" s="4"/>
      <c r="X1298" s="16"/>
      <c r="Y1298" s="5"/>
      <c r="Z1298" s="16"/>
      <c r="AA1298" s="16"/>
      <c r="AB1298" s="16"/>
      <c r="AE1298" s="16"/>
      <c r="AG1298" s="22">
        <f t="shared" si="259"/>
        <v>0</v>
      </c>
      <c r="AH1298" s="6"/>
      <c r="AJ1298" s="20">
        <f t="shared" si="253"/>
        <v>0</v>
      </c>
      <c r="AK1298" s="50"/>
      <c r="AL1298" s="6"/>
      <c r="AM1298" s="20">
        <f t="shared" si="256"/>
        <v>0</v>
      </c>
      <c r="AN1298" s="20">
        <f t="shared" si="257"/>
        <v>602560</v>
      </c>
      <c r="AP1298" s="20">
        <f t="shared" si="258"/>
        <v>602560</v>
      </c>
      <c r="AQ1298" s="7"/>
      <c r="AR1298" s="60"/>
      <c r="AS1298" s="128">
        <f>239+366+5</f>
        <v>610</v>
      </c>
    </row>
    <row r="1299" spans="1:45" s="21" customFormat="1" ht="30" customHeight="1" x14ac:dyDescent="0.2">
      <c r="A1299" s="8">
        <v>1089</v>
      </c>
      <c r="B1299" s="46">
        <v>2</v>
      </c>
      <c r="C1299" s="16" t="s">
        <v>52</v>
      </c>
      <c r="D1299" s="48">
        <v>1366</v>
      </c>
      <c r="E1299" s="47">
        <v>61</v>
      </c>
      <c r="F1299" s="48">
        <v>656</v>
      </c>
      <c r="G1299" s="49">
        <v>1</v>
      </c>
      <c r="H1299" s="48">
        <v>10</v>
      </c>
      <c r="I1299" s="48">
        <v>1</v>
      </c>
      <c r="J1299" s="48">
        <v>56</v>
      </c>
      <c r="K1299" s="3">
        <v>4156</v>
      </c>
      <c r="L1299" s="16"/>
      <c r="M1299" s="57"/>
      <c r="N1299" s="58"/>
      <c r="P1299" s="16">
        <v>1</v>
      </c>
      <c r="Q1299" s="20">
        <f t="shared" si="248"/>
        <v>4156</v>
      </c>
      <c r="R1299" s="14">
        <v>750</v>
      </c>
      <c r="S1299" s="20">
        <f t="shared" si="254"/>
        <v>3117000</v>
      </c>
      <c r="T1299" s="16"/>
      <c r="U1299" s="17"/>
      <c r="V1299" s="17"/>
      <c r="W1299" s="4"/>
      <c r="X1299" s="16"/>
      <c r="Y1299" s="5"/>
      <c r="Z1299" s="16"/>
      <c r="AA1299" s="16"/>
      <c r="AB1299" s="16"/>
      <c r="AE1299" s="16"/>
      <c r="AG1299" s="22">
        <f t="shared" si="259"/>
        <v>0</v>
      </c>
      <c r="AH1299" s="6"/>
      <c r="AJ1299" s="20">
        <f t="shared" si="253"/>
        <v>0</v>
      </c>
      <c r="AK1299" s="50"/>
      <c r="AL1299" s="6"/>
      <c r="AM1299" s="20">
        <f t="shared" si="256"/>
        <v>0</v>
      </c>
      <c r="AN1299" s="20">
        <f t="shared" si="257"/>
        <v>3117000</v>
      </c>
      <c r="AP1299" s="20">
        <f t="shared" si="258"/>
        <v>3117000</v>
      </c>
      <c r="AQ1299" s="7"/>
      <c r="AR1299" s="24"/>
      <c r="AS1299" s="129"/>
    </row>
    <row r="1300" spans="1:45" s="21" customFormat="1" ht="30" customHeight="1" x14ac:dyDescent="0.2">
      <c r="A1300" s="8">
        <v>1090</v>
      </c>
      <c r="B1300" s="46">
        <v>3</v>
      </c>
      <c r="C1300" s="16" t="s">
        <v>52</v>
      </c>
      <c r="D1300" s="48">
        <v>1367</v>
      </c>
      <c r="E1300" s="47">
        <v>60</v>
      </c>
      <c r="F1300" s="48">
        <v>657</v>
      </c>
      <c r="G1300" s="49">
        <v>1</v>
      </c>
      <c r="H1300" s="48">
        <v>9</v>
      </c>
      <c r="I1300" s="48">
        <v>3</v>
      </c>
      <c r="J1300" s="48">
        <v>74</v>
      </c>
      <c r="K1300" s="3">
        <f>9*400+374</f>
        <v>3974</v>
      </c>
      <c r="L1300" s="16"/>
      <c r="M1300" s="57"/>
      <c r="N1300" s="58"/>
      <c r="P1300" s="16">
        <v>1</v>
      </c>
      <c r="Q1300" s="20">
        <f t="shared" si="248"/>
        <v>3974</v>
      </c>
      <c r="R1300" s="14">
        <v>160</v>
      </c>
      <c r="S1300" s="19">
        <f t="shared" si="254"/>
        <v>635840</v>
      </c>
      <c r="T1300" s="16"/>
      <c r="U1300" s="17"/>
      <c r="V1300" s="17"/>
      <c r="W1300" s="4"/>
      <c r="X1300" s="16"/>
      <c r="Y1300" s="5"/>
      <c r="Z1300" s="16"/>
      <c r="AA1300" s="16"/>
      <c r="AB1300" s="16"/>
      <c r="AE1300" s="16"/>
      <c r="AG1300" s="22">
        <f t="shared" si="259"/>
        <v>0</v>
      </c>
      <c r="AH1300" s="6"/>
      <c r="AJ1300" s="20">
        <f t="shared" si="253"/>
        <v>0</v>
      </c>
      <c r="AK1300" s="50"/>
      <c r="AL1300" s="6"/>
      <c r="AM1300" s="20">
        <f t="shared" si="256"/>
        <v>0</v>
      </c>
      <c r="AN1300" s="20">
        <f t="shared" si="257"/>
        <v>635840</v>
      </c>
      <c r="AP1300" s="20">
        <f t="shared" si="258"/>
        <v>635840</v>
      </c>
      <c r="AQ1300" s="7"/>
      <c r="AR1300" s="24"/>
      <c r="AS1300" s="129"/>
    </row>
    <row r="1301" spans="1:45" s="21" customFormat="1" ht="30" customHeight="1" x14ac:dyDescent="0.2">
      <c r="A1301" s="8">
        <v>1091</v>
      </c>
      <c r="B1301" s="46">
        <v>4</v>
      </c>
      <c r="C1301" s="16" t="s">
        <v>52</v>
      </c>
      <c r="D1301" s="48">
        <v>1375</v>
      </c>
      <c r="E1301" s="47">
        <v>34</v>
      </c>
      <c r="F1301" s="48">
        <v>968</v>
      </c>
      <c r="G1301" s="49">
        <v>1</v>
      </c>
      <c r="H1301" s="48">
        <v>3</v>
      </c>
      <c r="I1301" s="48">
        <v>2</v>
      </c>
      <c r="J1301" s="48">
        <v>23</v>
      </c>
      <c r="K1301" s="3">
        <v>1423</v>
      </c>
      <c r="L1301" s="16"/>
      <c r="M1301" s="57"/>
      <c r="N1301" s="58"/>
      <c r="P1301" s="16">
        <v>1</v>
      </c>
      <c r="Q1301" s="20">
        <f t="shared" ref="Q1301:Q1363" si="260">+(H1301*400)+(I1301*100)+J1301</f>
        <v>1423</v>
      </c>
      <c r="R1301" s="14">
        <v>160</v>
      </c>
      <c r="S1301" s="19">
        <f t="shared" si="254"/>
        <v>227680</v>
      </c>
      <c r="T1301" s="16"/>
      <c r="U1301" s="17"/>
      <c r="V1301" s="17"/>
      <c r="W1301" s="4"/>
      <c r="X1301" s="16"/>
      <c r="Y1301" s="5"/>
      <c r="Z1301" s="16"/>
      <c r="AA1301" s="16"/>
      <c r="AB1301" s="16"/>
      <c r="AE1301" s="16"/>
      <c r="AG1301" s="22">
        <f t="shared" si="259"/>
        <v>0</v>
      </c>
      <c r="AH1301" s="6"/>
      <c r="AJ1301" s="20">
        <f t="shared" si="253"/>
        <v>0</v>
      </c>
      <c r="AK1301" s="50"/>
      <c r="AL1301" s="6"/>
      <c r="AM1301" s="20">
        <f t="shared" si="256"/>
        <v>0</v>
      </c>
      <c r="AN1301" s="20">
        <f t="shared" si="257"/>
        <v>227680</v>
      </c>
      <c r="AP1301" s="20">
        <f t="shared" si="258"/>
        <v>227680</v>
      </c>
      <c r="AQ1301" s="7"/>
      <c r="AR1301" s="24"/>
      <c r="AS1301" s="129"/>
    </row>
    <row r="1302" spans="1:45" s="21" customFormat="1" ht="30" customHeight="1" x14ac:dyDescent="0.2">
      <c r="A1302" s="8">
        <v>1092</v>
      </c>
      <c r="B1302" s="46">
        <v>5</v>
      </c>
      <c r="C1302" s="16" t="s">
        <v>52</v>
      </c>
      <c r="D1302" s="48">
        <v>1376</v>
      </c>
      <c r="E1302" s="47">
        <v>35</v>
      </c>
      <c r="F1302" s="48">
        <v>969</v>
      </c>
      <c r="G1302" s="49">
        <v>1</v>
      </c>
      <c r="H1302" s="48">
        <v>6</v>
      </c>
      <c r="I1302" s="48">
        <v>1</v>
      </c>
      <c r="J1302" s="48">
        <v>32</v>
      </c>
      <c r="K1302" s="3">
        <v>2532</v>
      </c>
      <c r="L1302" s="16"/>
      <c r="M1302" s="57"/>
      <c r="N1302" s="58"/>
      <c r="P1302" s="16">
        <v>1</v>
      </c>
      <c r="Q1302" s="20">
        <f t="shared" si="260"/>
        <v>2532</v>
      </c>
      <c r="R1302" s="14">
        <v>1500</v>
      </c>
      <c r="S1302" s="20">
        <f t="shared" si="254"/>
        <v>3798000</v>
      </c>
      <c r="T1302" s="16"/>
      <c r="U1302" s="16"/>
      <c r="V1302" s="16"/>
      <c r="W1302" s="5"/>
      <c r="X1302" s="16"/>
      <c r="Y1302" s="5"/>
      <c r="Z1302" s="16"/>
      <c r="AA1302" s="16"/>
      <c r="AB1302" s="16"/>
      <c r="AE1302" s="16"/>
      <c r="AG1302" s="22">
        <f t="shared" si="259"/>
        <v>0</v>
      </c>
      <c r="AH1302" s="6"/>
      <c r="AJ1302" s="20">
        <f t="shared" si="253"/>
        <v>0</v>
      </c>
      <c r="AK1302" s="50"/>
      <c r="AL1302" s="6"/>
      <c r="AM1302" s="20">
        <f t="shared" si="256"/>
        <v>0</v>
      </c>
      <c r="AN1302" s="20">
        <f t="shared" si="257"/>
        <v>3798000</v>
      </c>
      <c r="AP1302" s="20">
        <f t="shared" si="258"/>
        <v>3798000</v>
      </c>
      <c r="AQ1302" s="7"/>
      <c r="AR1302" s="24"/>
      <c r="AS1302" s="129"/>
    </row>
    <row r="1303" spans="1:45" s="21" customFormat="1" ht="30" customHeight="1" x14ac:dyDescent="0.2">
      <c r="A1303" s="8">
        <v>1093</v>
      </c>
      <c r="B1303" s="46">
        <v>6</v>
      </c>
      <c r="C1303" s="16" t="s">
        <v>52</v>
      </c>
      <c r="D1303" s="48">
        <v>2509</v>
      </c>
      <c r="E1303" s="47">
        <v>130</v>
      </c>
      <c r="F1303" s="48">
        <v>1515</v>
      </c>
      <c r="G1303" s="49">
        <v>2</v>
      </c>
      <c r="H1303" s="48">
        <v>1</v>
      </c>
      <c r="I1303" s="48">
        <v>0</v>
      </c>
      <c r="J1303" s="48">
        <v>2</v>
      </c>
      <c r="K1303" s="3">
        <v>402</v>
      </c>
      <c r="L1303" s="16"/>
      <c r="M1303" s="57"/>
      <c r="N1303" s="58"/>
      <c r="P1303" s="16">
        <v>1</v>
      </c>
      <c r="Q1303" s="20">
        <f t="shared" si="260"/>
        <v>402</v>
      </c>
      <c r="R1303" s="14">
        <v>2000</v>
      </c>
      <c r="S1303" s="19">
        <f t="shared" si="254"/>
        <v>804000</v>
      </c>
      <c r="T1303" s="16"/>
      <c r="U1303" s="17"/>
      <c r="V1303" s="16"/>
      <c r="W1303" s="5"/>
      <c r="X1303" s="16"/>
      <c r="Y1303" s="5"/>
      <c r="Z1303" s="16"/>
      <c r="AA1303" s="16"/>
      <c r="AB1303" s="16"/>
      <c r="AE1303" s="16"/>
      <c r="AG1303" s="22">
        <f t="shared" si="259"/>
        <v>0</v>
      </c>
      <c r="AH1303" s="6"/>
      <c r="AJ1303" s="20">
        <f t="shared" si="253"/>
        <v>0</v>
      </c>
      <c r="AK1303" s="50"/>
      <c r="AL1303" s="6"/>
      <c r="AM1303" s="20">
        <f t="shared" si="256"/>
        <v>0</v>
      </c>
      <c r="AN1303" s="20">
        <f t="shared" si="257"/>
        <v>804000</v>
      </c>
      <c r="AP1303" s="20">
        <f t="shared" si="258"/>
        <v>804000</v>
      </c>
      <c r="AQ1303" s="7"/>
      <c r="AR1303" s="24"/>
      <c r="AS1303" s="129"/>
    </row>
    <row r="1304" spans="1:45" s="21" customFormat="1" ht="30" customHeight="1" x14ac:dyDescent="0.2">
      <c r="A1304" s="8">
        <v>1094</v>
      </c>
      <c r="B1304" s="46">
        <v>7</v>
      </c>
      <c r="C1304" s="16" t="s">
        <v>52</v>
      </c>
      <c r="D1304" s="48">
        <v>2070</v>
      </c>
      <c r="E1304" s="47">
        <v>9</v>
      </c>
      <c r="F1304" s="48">
        <v>1815</v>
      </c>
      <c r="G1304" s="49">
        <v>3</v>
      </c>
      <c r="H1304" s="48">
        <v>1</v>
      </c>
      <c r="I1304" s="48">
        <v>2</v>
      </c>
      <c r="J1304" s="48">
        <v>13</v>
      </c>
      <c r="K1304" s="3">
        <v>613</v>
      </c>
      <c r="L1304" s="16"/>
      <c r="M1304" s="57"/>
      <c r="N1304" s="58"/>
      <c r="P1304" s="16">
        <v>1</v>
      </c>
      <c r="Q1304" s="20">
        <f t="shared" si="260"/>
        <v>613</v>
      </c>
      <c r="R1304" s="14">
        <v>200</v>
      </c>
      <c r="S1304" s="19">
        <f t="shared" si="254"/>
        <v>122600</v>
      </c>
      <c r="T1304" s="16"/>
      <c r="U1304" s="17"/>
      <c r="V1304" s="17"/>
      <c r="W1304" s="4"/>
      <c r="X1304" s="16"/>
      <c r="Y1304" s="5"/>
      <c r="Z1304" s="16"/>
      <c r="AA1304" s="16"/>
      <c r="AB1304" s="16"/>
      <c r="AE1304" s="16"/>
      <c r="AG1304" s="22">
        <f t="shared" si="259"/>
        <v>0</v>
      </c>
      <c r="AH1304" s="6"/>
      <c r="AJ1304" s="20">
        <f t="shared" si="253"/>
        <v>0</v>
      </c>
      <c r="AK1304" s="50"/>
      <c r="AL1304" s="6"/>
      <c r="AM1304" s="20">
        <f t="shared" si="256"/>
        <v>0</v>
      </c>
      <c r="AN1304" s="20">
        <f t="shared" si="257"/>
        <v>122600</v>
      </c>
      <c r="AP1304" s="20">
        <f t="shared" si="258"/>
        <v>122600</v>
      </c>
      <c r="AQ1304" s="7"/>
      <c r="AR1304" s="24"/>
      <c r="AS1304" s="129"/>
    </row>
    <row r="1305" spans="1:45" s="21" customFormat="1" ht="30" customHeight="1" x14ac:dyDescent="0.2">
      <c r="A1305" s="8">
        <v>1095</v>
      </c>
      <c r="B1305" s="46">
        <v>8</v>
      </c>
      <c r="C1305" s="16" t="s">
        <v>52</v>
      </c>
      <c r="D1305" s="48">
        <v>2272</v>
      </c>
      <c r="E1305" s="47">
        <v>10</v>
      </c>
      <c r="F1305" s="48">
        <v>1816</v>
      </c>
      <c r="G1305" s="49">
        <v>3</v>
      </c>
      <c r="H1305" s="48">
        <v>3</v>
      </c>
      <c r="I1305" s="48">
        <v>0</v>
      </c>
      <c r="J1305" s="48">
        <v>93</v>
      </c>
      <c r="K1305" s="3">
        <v>1293</v>
      </c>
      <c r="L1305" s="16"/>
      <c r="M1305" s="57"/>
      <c r="N1305" s="58"/>
      <c r="P1305" s="16">
        <v>1</v>
      </c>
      <c r="Q1305" s="20">
        <f t="shared" si="260"/>
        <v>1293</v>
      </c>
      <c r="R1305" s="14">
        <v>200</v>
      </c>
      <c r="S1305" s="20">
        <f t="shared" si="254"/>
        <v>258600</v>
      </c>
      <c r="T1305" s="16"/>
      <c r="U1305" s="17"/>
      <c r="V1305" s="17"/>
      <c r="W1305" s="4"/>
      <c r="X1305" s="16"/>
      <c r="Y1305" s="5"/>
      <c r="Z1305" s="16"/>
      <c r="AA1305" s="16"/>
      <c r="AB1305" s="16"/>
      <c r="AE1305" s="16"/>
      <c r="AG1305" s="22">
        <f t="shared" si="259"/>
        <v>0</v>
      </c>
      <c r="AH1305" s="6"/>
      <c r="AJ1305" s="20">
        <f t="shared" si="253"/>
        <v>0</v>
      </c>
      <c r="AK1305" s="50"/>
      <c r="AL1305" s="6"/>
      <c r="AM1305" s="20">
        <f t="shared" si="256"/>
        <v>0</v>
      </c>
      <c r="AN1305" s="20">
        <f t="shared" si="257"/>
        <v>258600</v>
      </c>
      <c r="AP1305" s="20">
        <f t="shared" si="258"/>
        <v>258600</v>
      </c>
      <c r="AQ1305" s="7"/>
      <c r="AR1305" s="24"/>
      <c r="AS1305" s="129"/>
    </row>
    <row r="1306" spans="1:45" s="21" customFormat="1" ht="30" customHeight="1" x14ac:dyDescent="0.2">
      <c r="A1306" s="8">
        <v>1096</v>
      </c>
      <c r="B1306" s="46">
        <v>9</v>
      </c>
      <c r="C1306" s="16" t="s">
        <v>52</v>
      </c>
      <c r="D1306" s="48">
        <v>17705</v>
      </c>
      <c r="E1306" s="47">
        <v>53</v>
      </c>
      <c r="F1306" s="48">
        <v>3833</v>
      </c>
      <c r="G1306" s="49">
        <v>3</v>
      </c>
      <c r="H1306" s="48">
        <v>4</v>
      </c>
      <c r="I1306" s="48">
        <v>1</v>
      </c>
      <c r="J1306" s="48">
        <v>57</v>
      </c>
      <c r="K1306" s="3">
        <v>1357</v>
      </c>
      <c r="L1306" s="16"/>
      <c r="M1306" s="57"/>
      <c r="N1306" s="58"/>
      <c r="P1306" s="16">
        <v>1</v>
      </c>
      <c r="Q1306" s="20">
        <f t="shared" si="260"/>
        <v>1757</v>
      </c>
      <c r="R1306" s="14">
        <v>1500</v>
      </c>
      <c r="S1306" s="19">
        <f t="shared" si="254"/>
        <v>2635500</v>
      </c>
      <c r="T1306" s="16"/>
      <c r="U1306" s="17"/>
      <c r="V1306" s="17"/>
      <c r="W1306" s="4"/>
      <c r="X1306" s="16"/>
      <c r="Y1306" s="5"/>
      <c r="Z1306" s="16"/>
      <c r="AA1306" s="16"/>
      <c r="AB1306" s="16"/>
      <c r="AE1306" s="16"/>
      <c r="AG1306" s="22">
        <f t="shared" si="259"/>
        <v>0</v>
      </c>
      <c r="AH1306" s="6"/>
      <c r="AJ1306" s="20">
        <f t="shared" si="253"/>
        <v>0</v>
      </c>
      <c r="AK1306" s="50"/>
      <c r="AL1306" s="6"/>
      <c r="AM1306" s="20">
        <f t="shared" si="256"/>
        <v>0</v>
      </c>
      <c r="AN1306" s="20">
        <f t="shared" si="257"/>
        <v>2635500</v>
      </c>
      <c r="AP1306" s="20">
        <f t="shared" si="258"/>
        <v>2635500</v>
      </c>
      <c r="AQ1306" s="7"/>
      <c r="AR1306" s="24"/>
      <c r="AS1306" s="129"/>
    </row>
    <row r="1307" spans="1:45" s="21" customFormat="1" ht="30" customHeight="1" x14ac:dyDescent="0.2">
      <c r="A1307" s="8">
        <v>1097</v>
      </c>
      <c r="B1307" s="46">
        <v>10</v>
      </c>
      <c r="C1307" s="16" t="s">
        <v>52</v>
      </c>
      <c r="D1307" s="48">
        <v>17706</v>
      </c>
      <c r="E1307" s="47">
        <v>52</v>
      </c>
      <c r="F1307" s="48">
        <v>3834</v>
      </c>
      <c r="G1307" s="49">
        <v>3</v>
      </c>
      <c r="H1307" s="48">
        <v>25</v>
      </c>
      <c r="I1307" s="48">
        <v>1</v>
      </c>
      <c r="J1307" s="48">
        <v>10</v>
      </c>
      <c r="K1307" s="3">
        <f>25*400+110</f>
        <v>10110</v>
      </c>
      <c r="L1307" s="16"/>
      <c r="M1307" s="57"/>
      <c r="N1307" s="58"/>
      <c r="P1307" s="16">
        <v>1</v>
      </c>
      <c r="Q1307" s="20">
        <f t="shared" si="260"/>
        <v>10110</v>
      </c>
      <c r="R1307" s="14">
        <v>160</v>
      </c>
      <c r="S1307" s="19">
        <f t="shared" si="254"/>
        <v>1617600</v>
      </c>
      <c r="T1307" s="16"/>
      <c r="U1307" s="17"/>
      <c r="V1307" s="17"/>
      <c r="W1307" s="4"/>
      <c r="X1307" s="16"/>
      <c r="Y1307" s="5"/>
      <c r="Z1307" s="16"/>
      <c r="AA1307" s="16"/>
      <c r="AB1307" s="16"/>
      <c r="AC1307" s="14"/>
      <c r="AD1307" s="14"/>
      <c r="AE1307" s="16"/>
      <c r="AG1307" s="22">
        <f t="shared" si="259"/>
        <v>0</v>
      </c>
      <c r="AH1307" s="6"/>
      <c r="AJ1307" s="20">
        <f t="shared" si="253"/>
        <v>0</v>
      </c>
      <c r="AK1307" s="50"/>
      <c r="AL1307" s="6"/>
      <c r="AM1307" s="20">
        <f t="shared" si="256"/>
        <v>0</v>
      </c>
      <c r="AN1307" s="20">
        <f t="shared" si="257"/>
        <v>1617600</v>
      </c>
      <c r="AP1307" s="20">
        <f t="shared" si="258"/>
        <v>1617600</v>
      </c>
      <c r="AQ1307" s="7"/>
      <c r="AR1307" s="24"/>
      <c r="AS1307" s="129"/>
    </row>
    <row r="1308" spans="1:45" s="21" customFormat="1" ht="30" customHeight="1" x14ac:dyDescent="0.2">
      <c r="A1308" s="8">
        <v>1098</v>
      </c>
      <c r="B1308" s="46">
        <v>11</v>
      </c>
      <c r="C1308" s="16" t="s">
        <v>52</v>
      </c>
      <c r="D1308" s="48">
        <v>2344</v>
      </c>
      <c r="E1308" s="47">
        <v>27</v>
      </c>
      <c r="F1308" s="48">
        <v>1746</v>
      </c>
      <c r="G1308" s="49">
        <v>4</v>
      </c>
      <c r="H1308" s="48">
        <v>0</v>
      </c>
      <c r="I1308" s="48">
        <v>0</v>
      </c>
      <c r="J1308" s="48">
        <v>53</v>
      </c>
      <c r="K1308" s="3"/>
      <c r="L1308" s="16"/>
      <c r="M1308" s="57"/>
      <c r="N1308" s="58">
        <v>53</v>
      </c>
      <c r="P1308" s="16">
        <v>4</v>
      </c>
      <c r="Q1308" s="20">
        <f t="shared" si="260"/>
        <v>53</v>
      </c>
      <c r="R1308" s="14">
        <v>250</v>
      </c>
      <c r="S1308" s="20">
        <f t="shared" si="254"/>
        <v>13250</v>
      </c>
      <c r="T1308" s="16"/>
      <c r="U1308" s="17"/>
      <c r="V1308" s="17"/>
      <c r="W1308" s="4"/>
      <c r="X1308" s="16"/>
      <c r="Y1308" s="5"/>
      <c r="Z1308" s="16"/>
      <c r="AA1308" s="16"/>
      <c r="AB1308" s="16"/>
      <c r="AE1308" s="16"/>
      <c r="AG1308" s="22">
        <f t="shared" si="259"/>
        <v>0</v>
      </c>
      <c r="AH1308" s="6"/>
      <c r="AJ1308" s="20">
        <f t="shared" si="253"/>
        <v>0</v>
      </c>
      <c r="AK1308" s="50"/>
      <c r="AL1308" s="6"/>
      <c r="AM1308" s="20">
        <f t="shared" si="256"/>
        <v>0</v>
      </c>
      <c r="AN1308" s="20">
        <f t="shared" si="257"/>
        <v>13250</v>
      </c>
      <c r="AP1308" s="20">
        <f t="shared" si="258"/>
        <v>13250</v>
      </c>
      <c r="AQ1308" s="7">
        <v>3.0000000000000001E-3</v>
      </c>
      <c r="AR1308" s="24"/>
      <c r="AS1308" s="129"/>
    </row>
    <row r="1309" spans="1:45" s="21" customFormat="1" ht="30" customHeight="1" x14ac:dyDescent="0.2">
      <c r="A1309" s="8">
        <v>1099</v>
      </c>
      <c r="B1309" s="46">
        <v>12</v>
      </c>
      <c r="C1309" s="16" t="s">
        <v>52</v>
      </c>
      <c r="D1309" s="48">
        <v>2345</v>
      </c>
      <c r="E1309" s="47">
        <v>45</v>
      </c>
      <c r="F1309" s="48">
        <v>1748</v>
      </c>
      <c r="G1309" s="49">
        <v>4</v>
      </c>
      <c r="H1309" s="48">
        <v>0</v>
      </c>
      <c r="I1309" s="48">
        <v>0</v>
      </c>
      <c r="J1309" s="48">
        <v>27</v>
      </c>
      <c r="K1309" s="3"/>
      <c r="L1309" s="16"/>
      <c r="M1309" s="57"/>
      <c r="N1309" s="58">
        <v>27</v>
      </c>
      <c r="P1309" s="16">
        <v>4</v>
      </c>
      <c r="Q1309" s="20">
        <f t="shared" si="260"/>
        <v>27</v>
      </c>
      <c r="R1309" s="14">
        <v>250</v>
      </c>
      <c r="S1309" s="19">
        <f t="shared" si="254"/>
        <v>6750</v>
      </c>
      <c r="T1309" s="16"/>
      <c r="U1309" s="16"/>
      <c r="V1309" s="16"/>
      <c r="W1309" s="5"/>
      <c r="X1309" s="16"/>
      <c r="Y1309" s="5"/>
      <c r="Z1309" s="16"/>
      <c r="AA1309" s="16"/>
      <c r="AB1309" s="16"/>
      <c r="AC1309" s="14"/>
      <c r="AD1309" s="14"/>
      <c r="AE1309" s="16"/>
      <c r="AG1309" s="22">
        <f t="shared" si="259"/>
        <v>0</v>
      </c>
      <c r="AH1309" s="6"/>
      <c r="AJ1309" s="20">
        <f t="shared" si="253"/>
        <v>0</v>
      </c>
      <c r="AK1309" s="50"/>
      <c r="AL1309" s="6"/>
      <c r="AM1309" s="20">
        <f t="shared" si="256"/>
        <v>0</v>
      </c>
      <c r="AN1309" s="20">
        <f t="shared" si="257"/>
        <v>6750</v>
      </c>
      <c r="AP1309" s="20">
        <f t="shared" si="258"/>
        <v>6750</v>
      </c>
      <c r="AQ1309" s="7">
        <v>3.0000000000000001E-3</v>
      </c>
      <c r="AR1309" s="24"/>
      <c r="AS1309" s="129"/>
    </row>
    <row r="1310" spans="1:45" s="21" customFormat="1" ht="30" customHeight="1" x14ac:dyDescent="0.2">
      <c r="A1310" s="8">
        <v>1100</v>
      </c>
      <c r="B1310" s="46">
        <v>13</v>
      </c>
      <c r="C1310" s="16" t="s">
        <v>52</v>
      </c>
      <c r="D1310" s="48">
        <v>2381</v>
      </c>
      <c r="E1310" s="47">
        <v>8</v>
      </c>
      <c r="F1310" s="48">
        <v>1714</v>
      </c>
      <c r="G1310" s="49">
        <v>4</v>
      </c>
      <c r="H1310" s="48">
        <v>0</v>
      </c>
      <c r="I1310" s="48">
        <v>0</v>
      </c>
      <c r="J1310" s="48">
        <v>37.049999999999997</v>
      </c>
      <c r="K1310" s="3"/>
      <c r="L1310" s="16"/>
      <c r="M1310" s="57"/>
      <c r="N1310" s="58">
        <v>37.049999999999997</v>
      </c>
      <c r="P1310" s="16">
        <v>4</v>
      </c>
      <c r="Q1310" s="20">
        <f t="shared" si="260"/>
        <v>37.049999999999997</v>
      </c>
      <c r="R1310" s="14">
        <v>250</v>
      </c>
      <c r="S1310" s="19">
        <f t="shared" si="254"/>
        <v>9262.5</v>
      </c>
      <c r="T1310" s="16"/>
      <c r="U1310" s="17"/>
      <c r="V1310" s="16"/>
      <c r="W1310" s="5"/>
      <c r="X1310" s="16"/>
      <c r="Y1310" s="5"/>
      <c r="Z1310" s="16"/>
      <c r="AA1310" s="16"/>
      <c r="AB1310" s="16"/>
      <c r="AC1310" s="14"/>
      <c r="AD1310" s="14"/>
      <c r="AE1310" s="16"/>
      <c r="AG1310" s="22">
        <f t="shared" si="259"/>
        <v>0</v>
      </c>
      <c r="AH1310" s="6"/>
      <c r="AJ1310" s="20">
        <f t="shared" si="253"/>
        <v>0</v>
      </c>
      <c r="AK1310" s="50"/>
      <c r="AL1310" s="6"/>
      <c r="AM1310" s="20">
        <f t="shared" si="256"/>
        <v>0</v>
      </c>
      <c r="AN1310" s="20">
        <f t="shared" si="257"/>
        <v>9262.5</v>
      </c>
      <c r="AP1310" s="20">
        <f t="shared" si="258"/>
        <v>9262.5</v>
      </c>
      <c r="AQ1310" s="7">
        <v>3.0000000000000001E-3</v>
      </c>
      <c r="AR1310" s="24"/>
      <c r="AS1310" s="129"/>
    </row>
    <row r="1311" spans="1:45" s="21" customFormat="1" ht="30" customHeight="1" x14ac:dyDescent="0.2">
      <c r="A1311" s="8">
        <v>1101</v>
      </c>
      <c r="B1311" s="46">
        <v>14</v>
      </c>
      <c r="C1311" s="16" t="s">
        <v>52</v>
      </c>
      <c r="D1311" s="48">
        <v>2383</v>
      </c>
      <c r="E1311" s="47">
        <v>9</v>
      </c>
      <c r="F1311" s="48">
        <v>1715</v>
      </c>
      <c r="G1311" s="49">
        <v>4</v>
      </c>
      <c r="H1311" s="48">
        <v>0</v>
      </c>
      <c r="I1311" s="48">
        <v>0</v>
      </c>
      <c r="J1311" s="48">
        <v>74.069999999999993</v>
      </c>
      <c r="K1311" s="3"/>
      <c r="L1311" s="16"/>
      <c r="M1311" s="57"/>
      <c r="N1311" s="58">
        <v>74.069999999999993</v>
      </c>
      <c r="P1311" s="16">
        <v>4</v>
      </c>
      <c r="Q1311" s="20">
        <f t="shared" si="260"/>
        <v>74.069999999999993</v>
      </c>
      <c r="R1311" s="14">
        <v>250</v>
      </c>
      <c r="S1311" s="20">
        <f t="shared" si="254"/>
        <v>18517.5</v>
      </c>
      <c r="T1311" s="16"/>
      <c r="U1311" s="17"/>
      <c r="V1311" s="17"/>
      <c r="W1311" s="4"/>
      <c r="X1311" s="16"/>
      <c r="Y1311" s="5"/>
      <c r="Z1311" s="16"/>
      <c r="AA1311" s="16"/>
      <c r="AB1311" s="16"/>
      <c r="AC1311" s="14"/>
      <c r="AD1311" s="14"/>
      <c r="AE1311" s="16"/>
      <c r="AG1311" s="22">
        <f t="shared" si="259"/>
        <v>0</v>
      </c>
      <c r="AH1311" s="6"/>
      <c r="AJ1311" s="20">
        <f t="shared" si="253"/>
        <v>0</v>
      </c>
      <c r="AK1311" s="50"/>
      <c r="AL1311" s="6"/>
      <c r="AM1311" s="20">
        <f t="shared" si="256"/>
        <v>0</v>
      </c>
      <c r="AN1311" s="20">
        <f t="shared" si="257"/>
        <v>18517.5</v>
      </c>
      <c r="AP1311" s="20">
        <f t="shared" si="258"/>
        <v>18517.5</v>
      </c>
      <c r="AQ1311" s="7">
        <v>3.0000000000000001E-3</v>
      </c>
      <c r="AR1311" s="24"/>
      <c r="AS1311" s="129"/>
    </row>
    <row r="1312" spans="1:45" ht="30" customHeight="1" x14ac:dyDescent="0.2">
      <c r="A1312" s="8">
        <v>1102</v>
      </c>
      <c r="B1312" s="46">
        <v>15</v>
      </c>
      <c r="C1312" s="16" t="s">
        <v>52</v>
      </c>
      <c r="D1312" s="17">
        <v>15975</v>
      </c>
      <c r="E1312" s="17">
        <v>120</v>
      </c>
      <c r="F1312" s="17">
        <v>3484</v>
      </c>
      <c r="G1312" s="13">
        <v>3</v>
      </c>
      <c r="H1312" s="17">
        <v>5</v>
      </c>
      <c r="I1312" s="17">
        <v>2</v>
      </c>
      <c r="J1312" s="17">
        <v>47</v>
      </c>
      <c r="K1312" s="10">
        <v>2247</v>
      </c>
      <c r="P1312" s="17">
        <v>1</v>
      </c>
      <c r="Q1312" s="20">
        <f t="shared" si="260"/>
        <v>2247</v>
      </c>
      <c r="R1312" s="14">
        <v>200</v>
      </c>
      <c r="S1312" s="19">
        <f t="shared" si="254"/>
        <v>449400</v>
      </c>
      <c r="AC1312" s="21"/>
      <c r="AD1312" s="21"/>
      <c r="AE1312" s="17" t="s">
        <v>157</v>
      </c>
      <c r="AG1312" s="22">
        <f t="shared" si="259"/>
        <v>0</v>
      </c>
      <c r="AJ1312" s="20">
        <f t="shared" si="253"/>
        <v>0</v>
      </c>
      <c r="AM1312" s="20">
        <f t="shared" si="256"/>
        <v>0</v>
      </c>
      <c r="AN1312" s="20">
        <f t="shared" si="257"/>
        <v>449400</v>
      </c>
      <c r="AP1312" s="20">
        <f t="shared" si="258"/>
        <v>449400</v>
      </c>
      <c r="AR1312" s="24"/>
      <c r="AS1312" s="129"/>
    </row>
    <row r="1313" spans="1:45" ht="30" customHeight="1" x14ac:dyDescent="0.2">
      <c r="A1313" s="8">
        <v>1103</v>
      </c>
      <c r="B1313" s="46">
        <v>16</v>
      </c>
      <c r="C1313" s="16" t="s">
        <v>65</v>
      </c>
      <c r="D1313" s="17">
        <v>962</v>
      </c>
      <c r="E1313" s="17">
        <v>16</v>
      </c>
      <c r="H1313" s="17">
        <v>37</v>
      </c>
      <c r="I1313" s="17">
        <v>3</v>
      </c>
      <c r="J1313" s="17">
        <v>90</v>
      </c>
      <c r="K1313" s="10">
        <f>37*400+390</f>
        <v>15190</v>
      </c>
      <c r="P1313" s="17">
        <v>1</v>
      </c>
      <c r="Q1313" s="20">
        <f t="shared" si="260"/>
        <v>15190</v>
      </c>
      <c r="R1313" s="14">
        <v>500</v>
      </c>
      <c r="S1313" s="19">
        <f t="shared" si="254"/>
        <v>7595000</v>
      </c>
      <c r="AC1313" s="21"/>
      <c r="AD1313" s="21"/>
      <c r="AG1313" s="22">
        <f t="shared" si="259"/>
        <v>0</v>
      </c>
      <c r="AJ1313" s="20">
        <f t="shared" si="253"/>
        <v>0</v>
      </c>
      <c r="AM1313" s="20">
        <f t="shared" si="256"/>
        <v>0</v>
      </c>
      <c r="AN1313" s="20">
        <f t="shared" si="257"/>
        <v>7595000</v>
      </c>
      <c r="AP1313" s="20">
        <f t="shared" si="258"/>
        <v>7595000</v>
      </c>
      <c r="AQ1313" s="12">
        <v>1E-4</v>
      </c>
      <c r="AR1313" s="25"/>
      <c r="AS1313" s="130"/>
    </row>
    <row r="1314" spans="1:45" s="21" customFormat="1" ht="30" customHeight="1" x14ac:dyDescent="0.2">
      <c r="A1314" s="8">
        <v>1104</v>
      </c>
      <c r="B1314" s="46">
        <v>1</v>
      </c>
      <c r="C1314" s="16" t="s">
        <v>52</v>
      </c>
      <c r="D1314" s="48">
        <v>38045</v>
      </c>
      <c r="E1314" s="47">
        <v>206</v>
      </c>
      <c r="F1314" s="48">
        <v>7667</v>
      </c>
      <c r="G1314" s="49">
        <v>2</v>
      </c>
      <c r="H1314" s="48">
        <v>0</v>
      </c>
      <c r="I1314" s="48">
        <v>0</v>
      </c>
      <c r="J1314" s="48">
        <v>88</v>
      </c>
      <c r="K1314" s="3"/>
      <c r="L1314" s="16">
        <v>88</v>
      </c>
      <c r="M1314" s="57"/>
      <c r="N1314" s="58"/>
      <c r="P1314" s="16">
        <v>2</v>
      </c>
      <c r="Q1314" s="20">
        <f t="shared" si="260"/>
        <v>88</v>
      </c>
      <c r="R1314" s="14">
        <v>250</v>
      </c>
      <c r="S1314" s="20">
        <f t="shared" si="254"/>
        <v>22000</v>
      </c>
      <c r="T1314" s="16"/>
      <c r="U1314" s="17" t="s">
        <v>57</v>
      </c>
      <c r="V1314" s="17" t="s">
        <v>56</v>
      </c>
      <c r="W1314" s="4"/>
      <c r="X1314" s="16"/>
      <c r="Y1314" s="5">
        <v>91</v>
      </c>
      <c r="Z1314" s="16"/>
      <c r="AA1314" s="16"/>
      <c r="AB1314" s="16">
        <v>7</v>
      </c>
      <c r="AC1314" s="14"/>
      <c r="AD1314" s="14"/>
      <c r="AE1314" s="16"/>
      <c r="AG1314" s="22">
        <f t="shared" si="259"/>
        <v>91</v>
      </c>
      <c r="AH1314" s="6"/>
      <c r="AJ1314" s="20">
        <f t="shared" si="253"/>
        <v>0</v>
      </c>
      <c r="AK1314" s="50">
        <v>7</v>
      </c>
      <c r="AL1314" s="6"/>
      <c r="AM1314" s="20">
        <f t="shared" si="256"/>
        <v>0</v>
      </c>
      <c r="AN1314" s="20">
        <f t="shared" si="257"/>
        <v>22000</v>
      </c>
      <c r="AP1314" s="20">
        <f t="shared" si="258"/>
        <v>22000</v>
      </c>
      <c r="AQ1314" s="7"/>
      <c r="AR1314" s="20"/>
      <c r="AS1314" s="51"/>
    </row>
    <row r="1315" spans="1:45" s="21" customFormat="1" ht="30" customHeight="1" x14ac:dyDescent="0.2">
      <c r="A1315" s="8">
        <v>1105</v>
      </c>
      <c r="B1315" s="46">
        <v>1</v>
      </c>
      <c r="C1315" s="16" t="s">
        <v>52</v>
      </c>
      <c r="D1315" s="48">
        <v>29440</v>
      </c>
      <c r="E1315" s="47">
        <v>157</v>
      </c>
      <c r="F1315" s="48">
        <v>5561</v>
      </c>
      <c r="G1315" s="49">
        <v>1</v>
      </c>
      <c r="H1315" s="48">
        <v>0</v>
      </c>
      <c r="I1315" s="48">
        <v>0</v>
      </c>
      <c r="J1315" s="48">
        <v>34</v>
      </c>
      <c r="K1315" s="3"/>
      <c r="L1315" s="16"/>
      <c r="M1315" s="57"/>
      <c r="N1315" s="58">
        <v>34</v>
      </c>
      <c r="P1315" s="16">
        <v>4</v>
      </c>
      <c r="Q1315" s="20">
        <f t="shared" si="260"/>
        <v>34</v>
      </c>
      <c r="R1315" s="14">
        <v>250</v>
      </c>
      <c r="S1315" s="19">
        <f t="shared" si="254"/>
        <v>8500</v>
      </c>
      <c r="T1315" s="16"/>
      <c r="U1315" s="17"/>
      <c r="V1315" s="17"/>
      <c r="W1315" s="4"/>
      <c r="X1315" s="16"/>
      <c r="Y1315" s="5"/>
      <c r="Z1315" s="16"/>
      <c r="AA1315" s="16"/>
      <c r="AB1315" s="16"/>
      <c r="AC1315" s="14"/>
      <c r="AD1315" s="14"/>
      <c r="AE1315" s="16"/>
      <c r="AG1315" s="22">
        <f t="shared" si="259"/>
        <v>0</v>
      </c>
      <c r="AH1315" s="6"/>
      <c r="AJ1315" s="20">
        <f t="shared" si="253"/>
        <v>0</v>
      </c>
      <c r="AK1315" s="50"/>
      <c r="AL1315" s="6"/>
      <c r="AM1315" s="20">
        <f t="shared" si="256"/>
        <v>0</v>
      </c>
      <c r="AN1315" s="20">
        <f t="shared" si="257"/>
        <v>8500</v>
      </c>
      <c r="AP1315" s="20">
        <f t="shared" si="258"/>
        <v>8500</v>
      </c>
      <c r="AQ1315" s="7">
        <v>3.0000000000000001E-3</v>
      </c>
      <c r="AR1315" s="20"/>
      <c r="AS1315" s="51" t="s">
        <v>158</v>
      </c>
    </row>
    <row r="1316" spans="1:45" s="21" customFormat="1" ht="30" customHeight="1" x14ac:dyDescent="0.2">
      <c r="A1316" s="8">
        <v>1106</v>
      </c>
      <c r="B1316" s="46">
        <v>2</v>
      </c>
      <c r="C1316" s="16" t="s">
        <v>52</v>
      </c>
      <c r="D1316" s="48">
        <v>29441</v>
      </c>
      <c r="E1316" s="47">
        <v>158</v>
      </c>
      <c r="F1316" s="48">
        <v>5562</v>
      </c>
      <c r="G1316" s="49">
        <v>1</v>
      </c>
      <c r="H1316" s="48">
        <v>0</v>
      </c>
      <c r="I1316" s="48">
        <v>0</v>
      </c>
      <c r="J1316" s="48">
        <v>31</v>
      </c>
      <c r="K1316" s="3"/>
      <c r="L1316" s="16"/>
      <c r="M1316" s="57"/>
      <c r="N1316" s="58">
        <v>31</v>
      </c>
      <c r="P1316" s="16">
        <v>4</v>
      </c>
      <c r="Q1316" s="20">
        <f t="shared" si="260"/>
        <v>31</v>
      </c>
      <c r="R1316" s="14">
        <v>250</v>
      </c>
      <c r="S1316" s="19">
        <f t="shared" si="254"/>
        <v>7750</v>
      </c>
      <c r="T1316" s="16"/>
      <c r="U1316" s="17"/>
      <c r="V1316" s="17"/>
      <c r="W1316" s="4"/>
      <c r="X1316" s="16"/>
      <c r="Y1316" s="5"/>
      <c r="Z1316" s="16"/>
      <c r="AA1316" s="16"/>
      <c r="AB1316" s="16"/>
      <c r="AE1316" s="16"/>
      <c r="AG1316" s="22">
        <f t="shared" si="259"/>
        <v>0</v>
      </c>
      <c r="AH1316" s="6"/>
      <c r="AJ1316" s="20">
        <f t="shared" si="253"/>
        <v>0</v>
      </c>
      <c r="AK1316" s="50"/>
      <c r="AL1316" s="6"/>
      <c r="AM1316" s="20">
        <f t="shared" si="256"/>
        <v>0</v>
      </c>
      <c r="AN1316" s="20">
        <f t="shared" si="257"/>
        <v>7750</v>
      </c>
      <c r="AP1316" s="20">
        <f t="shared" si="258"/>
        <v>7750</v>
      </c>
      <c r="AQ1316" s="7">
        <v>3.0000000000000001E-3</v>
      </c>
      <c r="AR1316" s="20"/>
      <c r="AS1316" s="51"/>
    </row>
    <row r="1317" spans="1:45" s="21" customFormat="1" ht="30" customHeight="1" x14ac:dyDescent="0.2">
      <c r="A1317" s="8">
        <v>1107</v>
      </c>
      <c r="B1317" s="46">
        <v>3</v>
      </c>
      <c r="C1317" s="16" t="s">
        <v>52</v>
      </c>
      <c r="D1317" s="48">
        <v>29442</v>
      </c>
      <c r="E1317" s="47">
        <v>159</v>
      </c>
      <c r="F1317" s="48">
        <v>5563</v>
      </c>
      <c r="G1317" s="49">
        <v>1</v>
      </c>
      <c r="H1317" s="48">
        <v>0</v>
      </c>
      <c r="I1317" s="48">
        <v>0</v>
      </c>
      <c r="J1317" s="48">
        <v>28</v>
      </c>
      <c r="K1317" s="3"/>
      <c r="L1317" s="16"/>
      <c r="M1317" s="57"/>
      <c r="N1317" s="58">
        <v>28</v>
      </c>
      <c r="P1317" s="16">
        <v>4</v>
      </c>
      <c r="Q1317" s="20">
        <f t="shared" si="260"/>
        <v>28</v>
      </c>
      <c r="R1317" s="14">
        <v>3000</v>
      </c>
      <c r="S1317" s="20">
        <f t="shared" si="254"/>
        <v>84000</v>
      </c>
      <c r="T1317" s="16"/>
      <c r="U1317" s="17"/>
      <c r="V1317" s="17"/>
      <c r="W1317" s="4"/>
      <c r="X1317" s="16"/>
      <c r="Y1317" s="5"/>
      <c r="Z1317" s="16"/>
      <c r="AA1317" s="16"/>
      <c r="AB1317" s="16"/>
      <c r="AE1317" s="16"/>
      <c r="AG1317" s="22">
        <f t="shared" si="259"/>
        <v>0</v>
      </c>
      <c r="AH1317" s="6"/>
      <c r="AJ1317" s="20">
        <f t="shared" si="253"/>
        <v>0</v>
      </c>
      <c r="AK1317" s="50"/>
      <c r="AL1317" s="6"/>
      <c r="AM1317" s="20">
        <f t="shared" si="256"/>
        <v>0</v>
      </c>
      <c r="AN1317" s="20">
        <f t="shared" si="257"/>
        <v>84000</v>
      </c>
      <c r="AP1317" s="20">
        <f t="shared" si="258"/>
        <v>84000</v>
      </c>
      <c r="AQ1317" s="7">
        <v>3.0000000000000001E-3</v>
      </c>
      <c r="AR1317" s="20"/>
      <c r="AS1317" s="51"/>
    </row>
    <row r="1318" spans="1:45" ht="30" customHeight="1" x14ac:dyDescent="0.2">
      <c r="A1318" s="8"/>
      <c r="C1318" s="16"/>
      <c r="Q1318" s="20"/>
      <c r="AC1318" s="21"/>
      <c r="AD1318" s="21"/>
      <c r="AG1318" s="22"/>
      <c r="AJ1318" s="20"/>
      <c r="AM1318" s="20"/>
      <c r="AN1318" s="20"/>
      <c r="AP1318" s="20"/>
      <c r="AR1318" s="20"/>
    </row>
    <row r="1319" spans="1:45" ht="30" customHeight="1" x14ac:dyDescent="0.2">
      <c r="A1319" s="8">
        <v>1108</v>
      </c>
      <c r="B1319" s="13">
        <v>1</v>
      </c>
      <c r="C1319" s="16" t="s">
        <v>65</v>
      </c>
      <c r="D1319" s="17">
        <v>2926</v>
      </c>
      <c r="E1319" s="17">
        <v>198</v>
      </c>
      <c r="H1319" s="17">
        <v>0</v>
      </c>
      <c r="I1319" s="17">
        <v>0</v>
      </c>
      <c r="J1319" s="17">
        <v>47</v>
      </c>
      <c r="P1319" s="17">
        <v>2</v>
      </c>
      <c r="Q1319" s="20">
        <f t="shared" si="260"/>
        <v>47</v>
      </c>
      <c r="R1319" s="14">
        <v>2000</v>
      </c>
      <c r="S1319" s="19">
        <f t="shared" si="254"/>
        <v>94000</v>
      </c>
      <c r="U1319" s="17" t="s">
        <v>57</v>
      </c>
      <c r="V1319" s="17" t="s">
        <v>88</v>
      </c>
      <c r="Y1319" s="4">
        <v>95</v>
      </c>
      <c r="AB1319" s="17">
        <f>62-32</f>
        <v>30</v>
      </c>
      <c r="AC1319" s="21"/>
      <c r="AD1319" s="21"/>
      <c r="AG1319" s="22">
        <f t="shared" si="259"/>
        <v>95</v>
      </c>
      <c r="AJ1319" s="20">
        <f t="shared" si="253"/>
        <v>0</v>
      </c>
      <c r="AK1319" s="23">
        <v>30</v>
      </c>
      <c r="AM1319" s="20">
        <f t="shared" si="256"/>
        <v>0</v>
      </c>
      <c r="AN1319" s="20">
        <f t="shared" si="257"/>
        <v>94000</v>
      </c>
      <c r="AP1319" s="20">
        <f t="shared" si="258"/>
        <v>94000</v>
      </c>
      <c r="AQ1319" s="12">
        <v>1E-4</v>
      </c>
      <c r="AR1319" s="20"/>
    </row>
    <row r="1320" spans="1:45" s="21" customFormat="1" ht="30" customHeight="1" x14ac:dyDescent="0.2">
      <c r="A1320" s="8">
        <v>1109</v>
      </c>
      <c r="B1320" s="46">
        <v>1</v>
      </c>
      <c r="C1320" s="16" t="s">
        <v>52</v>
      </c>
      <c r="D1320" s="48">
        <v>806</v>
      </c>
      <c r="E1320" s="47">
        <v>8</v>
      </c>
      <c r="F1320" s="48">
        <v>278</v>
      </c>
      <c r="G1320" s="49">
        <v>6</v>
      </c>
      <c r="H1320" s="48">
        <v>7</v>
      </c>
      <c r="I1320" s="48">
        <v>0</v>
      </c>
      <c r="J1320" s="48">
        <v>27</v>
      </c>
      <c r="K1320" s="3">
        <f>2827-L1320</f>
        <v>2798</v>
      </c>
      <c r="L1320" s="16">
        <v>29</v>
      </c>
      <c r="M1320" s="57"/>
      <c r="N1320" s="58"/>
      <c r="P1320" s="16">
        <v>5</v>
      </c>
      <c r="Q1320" s="20">
        <f t="shared" si="260"/>
        <v>2827</v>
      </c>
      <c r="R1320" s="14">
        <v>160</v>
      </c>
      <c r="S1320" s="19">
        <f t="shared" si="254"/>
        <v>452320</v>
      </c>
      <c r="T1320" s="16"/>
      <c r="U1320" s="17" t="s">
        <v>57</v>
      </c>
      <c r="V1320" s="16" t="s">
        <v>56</v>
      </c>
      <c r="W1320" s="5">
        <v>126</v>
      </c>
      <c r="X1320" s="16"/>
      <c r="Y1320" s="5">
        <v>116</v>
      </c>
      <c r="Z1320" s="16">
        <v>10</v>
      </c>
      <c r="AA1320" s="16"/>
      <c r="AB1320" s="16">
        <v>29</v>
      </c>
      <c r="AE1320" s="16"/>
      <c r="AG1320" s="22">
        <f t="shared" si="259"/>
        <v>116</v>
      </c>
      <c r="AH1320" s="6"/>
      <c r="AJ1320" s="20">
        <f t="shared" si="253"/>
        <v>0</v>
      </c>
      <c r="AK1320" s="50">
        <v>29</v>
      </c>
      <c r="AL1320" s="6"/>
      <c r="AM1320" s="20">
        <f t="shared" si="256"/>
        <v>0</v>
      </c>
      <c r="AN1320" s="20">
        <f t="shared" si="257"/>
        <v>452320</v>
      </c>
      <c r="AP1320" s="20">
        <f t="shared" si="258"/>
        <v>452320</v>
      </c>
      <c r="AQ1320" s="7"/>
      <c r="AR1320" s="20"/>
      <c r="AS1320" s="51"/>
    </row>
    <row r="1321" spans="1:45" s="21" customFormat="1" ht="30" customHeight="1" x14ac:dyDescent="0.2">
      <c r="A1321" s="8">
        <v>1110</v>
      </c>
      <c r="B1321" s="46">
        <v>1</v>
      </c>
      <c r="C1321" s="16" t="s">
        <v>52</v>
      </c>
      <c r="D1321" s="48">
        <v>35310</v>
      </c>
      <c r="E1321" s="47">
        <v>97</v>
      </c>
      <c r="F1321" s="48">
        <v>6997</v>
      </c>
      <c r="G1321" s="49">
        <v>4</v>
      </c>
      <c r="H1321" s="48">
        <v>0</v>
      </c>
      <c r="I1321" s="48">
        <v>0</v>
      </c>
      <c r="J1321" s="48">
        <v>41</v>
      </c>
      <c r="K1321" s="3"/>
      <c r="L1321" s="16"/>
      <c r="M1321" s="57"/>
      <c r="N1321" s="58">
        <v>41</v>
      </c>
      <c r="P1321" s="16">
        <v>4</v>
      </c>
      <c r="Q1321" s="20">
        <f t="shared" si="260"/>
        <v>41</v>
      </c>
      <c r="R1321" s="14">
        <v>250</v>
      </c>
      <c r="S1321" s="19">
        <f t="shared" si="254"/>
        <v>10250</v>
      </c>
      <c r="T1321" s="16"/>
      <c r="U1321" s="17"/>
      <c r="V1321" s="17"/>
      <c r="W1321" s="4"/>
      <c r="X1321" s="16"/>
      <c r="Y1321" s="5"/>
      <c r="Z1321" s="16"/>
      <c r="AA1321" s="16"/>
      <c r="AB1321" s="16"/>
      <c r="AE1321" s="16"/>
      <c r="AG1321" s="22">
        <f t="shared" si="259"/>
        <v>0</v>
      </c>
      <c r="AH1321" s="6"/>
      <c r="AJ1321" s="20">
        <f t="shared" si="253"/>
        <v>0</v>
      </c>
      <c r="AK1321" s="50"/>
      <c r="AL1321" s="6"/>
      <c r="AM1321" s="20">
        <f t="shared" si="256"/>
        <v>0</v>
      </c>
      <c r="AN1321" s="20">
        <f t="shared" si="257"/>
        <v>10250</v>
      </c>
      <c r="AP1321" s="20">
        <f t="shared" si="258"/>
        <v>10250</v>
      </c>
      <c r="AQ1321" s="7">
        <v>3.0000000000000001E-3</v>
      </c>
      <c r="AR1321" s="20"/>
      <c r="AS1321" s="51"/>
    </row>
    <row r="1322" spans="1:45" s="21" customFormat="1" ht="30" customHeight="1" x14ac:dyDescent="0.2">
      <c r="A1322" s="8">
        <v>1111</v>
      </c>
      <c r="B1322" s="46">
        <v>2</v>
      </c>
      <c r="C1322" s="16" t="s">
        <v>52</v>
      </c>
      <c r="D1322" s="48">
        <v>36877</v>
      </c>
      <c r="E1322" s="47">
        <v>122</v>
      </c>
      <c r="F1322" s="48">
        <v>7658</v>
      </c>
      <c r="G1322" s="49">
        <v>4</v>
      </c>
      <c r="H1322" s="48">
        <v>0</v>
      </c>
      <c r="I1322" s="48">
        <v>2</v>
      </c>
      <c r="J1322" s="48">
        <v>34</v>
      </c>
      <c r="K1322" s="3">
        <v>234</v>
      </c>
      <c r="L1322" s="16"/>
      <c r="M1322" s="57"/>
      <c r="N1322" s="58"/>
      <c r="P1322" s="16">
        <v>1</v>
      </c>
      <c r="Q1322" s="20">
        <f t="shared" si="260"/>
        <v>234</v>
      </c>
      <c r="R1322" s="14">
        <v>2000</v>
      </c>
      <c r="S1322" s="20">
        <f t="shared" si="254"/>
        <v>468000</v>
      </c>
      <c r="T1322" s="16"/>
      <c r="U1322" s="17"/>
      <c r="V1322" s="17"/>
      <c r="W1322" s="4"/>
      <c r="X1322" s="16"/>
      <c r="Y1322" s="5"/>
      <c r="Z1322" s="16"/>
      <c r="AA1322" s="16"/>
      <c r="AB1322" s="16"/>
      <c r="AE1322" s="16"/>
      <c r="AG1322" s="22">
        <f t="shared" si="259"/>
        <v>0</v>
      </c>
      <c r="AH1322" s="6"/>
      <c r="AJ1322" s="20">
        <f t="shared" si="253"/>
        <v>0</v>
      </c>
      <c r="AK1322" s="50"/>
      <c r="AL1322" s="6"/>
      <c r="AM1322" s="20">
        <f t="shared" si="256"/>
        <v>0</v>
      </c>
      <c r="AN1322" s="20">
        <f t="shared" si="257"/>
        <v>468000</v>
      </c>
      <c r="AP1322" s="20">
        <f t="shared" si="258"/>
        <v>468000</v>
      </c>
      <c r="AQ1322" s="7"/>
      <c r="AR1322" s="20"/>
      <c r="AS1322" s="51"/>
    </row>
    <row r="1323" spans="1:45" ht="30" customHeight="1" x14ac:dyDescent="0.2">
      <c r="A1323" s="8">
        <v>1112</v>
      </c>
      <c r="B1323" s="13">
        <v>3</v>
      </c>
      <c r="C1323" s="16" t="s">
        <v>65</v>
      </c>
      <c r="D1323" s="17">
        <v>1782</v>
      </c>
      <c r="E1323" s="17">
        <v>121</v>
      </c>
      <c r="H1323" s="17">
        <v>1</v>
      </c>
      <c r="I1323" s="17">
        <v>3</v>
      </c>
      <c r="J1323" s="17">
        <v>20</v>
      </c>
      <c r="P1323" s="17">
        <v>2</v>
      </c>
      <c r="Q1323" s="20">
        <f t="shared" si="260"/>
        <v>720</v>
      </c>
      <c r="R1323" s="14">
        <v>200</v>
      </c>
      <c r="S1323" s="19">
        <f t="shared" si="254"/>
        <v>144000</v>
      </c>
      <c r="U1323" s="17" t="s">
        <v>57</v>
      </c>
      <c r="V1323" s="17" t="s">
        <v>56</v>
      </c>
      <c r="Y1323" s="4">
        <v>171</v>
      </c>
      <c r="AB1323" s="17">
        <f>62-46</f>
        <v>16</v>
      </c>
      <c r="AC1323" s="21"/>
      <c r="AD1323" s="21"/>
      <c r="AG1323" s="22">
        <f t="shared" si="259"/>
        <v>171</v>
      </c>
      <c r="AJ1323" s="20">
        <f t="shared" si="253"/>
        <v>0</v>
      </c>
      <c r="AK1323" s="23">
        <v>16</v>
      </c>
      <c r="AM1323" s="20">
        <f t="shared" si="256"/>
        <v>0</v>
      </c>
      <c r="AN1323" s="20">
        <f t="shared" si="257"/>
        <v>144000</v>
      </c>
      <c r="AP1323" s="20">
        <f t="shared" si="258"/>
        <v>144000</v>
      </c>
      <c r="AQ1323" s="12">
        <v>1E-4</v>
      </c>
      <c r="AR1323" s="20"/>
    </row>
    <row r="1324" spans="1:45" ht="30" customHeight="1" x14ac:dyDescent="0.2">
      <c r="A1324" s="8">
        <v>1113</v>
      </c>
      <c r="B1324" s="13">
        <v>1</v>
      </c>
      <c r="C1324" s="16" t="s">
        <v>69</v>
      </c>
      <c r="E1324" s="17">
        <v>168</v>
      </c>
      <c r="F1324" s="17">
        <v>6</v>
      </c>
      <c r="G1324" s="13">
        <v>1</v>
      </c>
      <c r="H1324" s="17">
        <v>8</v>
      </c>
      <c r="I1324" s="17">
        <v>0</v>
      </c>
      <c r="J1324" s="17">
        <v>29</v>
      </c>
      <c r="K1324" s="10">
        <v>3229</v>
      </c>
      <c r="P1324" s="17">
        <v>1</v>
      </c>
      <c r="Q1324" s="20">
        <f t="shared" si="260"/>
        <v>3229</v>
      </c>
      <c r="R1324" s="14">
        <v>200</v>
      </c>
      <c r="S1324" s="19">
        <f t="shared" si="254"/>
        <v>645800</v>
      </c>
      <c r="AG1324" s="22">
        <f t="shared" si="259"/>
        <v>0</v>
      </c>
      <c r="AJ1324" s="20">
        <f t="shared" si="253"/>
        <v>0</v>
      </c>
      <c r="AM1324" s="20">
        <f t="shared" si="256"/>
        <v>0</v>
      </c>
      <c r="AN1324" s="20">
        <f t="shared" si="257"/>
        <v>645800</v>
      </c>
      <c r="AP1324" s="20">
        <f t="shared" si="258"/>
        <v>645800</v>
      </c>
      <c r="AQ1324" s="12">
        <v>1E-4</v>
      </c>
      <c r="AR1324" s="20"/>
    </row>
    <row r="1325" spans="1:45" s="21" customFormat="1" ht="30" customHeight="1" x14ac:dyDescent="0.2">
      <c r="A1325" s="8">
        <v>1114</v>
      </c>
      <c r="B1325" s="46">
        <v>1</v>
      </c>
      <c r="C1325" s="16" t="s">
        <v>52</v>
      </c>
      <c r="D1325" s="48">
        <v>2948</v>
      </c>
      <c r="E1325" s="47">
        <v>51</v>
      </c>
      <c r="F1325" s="48">
        <v>2010</v>
      </c>
      <c r="G1325" s="49">
        <v>2</v>
      </c>
      <c r="H1325" s="48">
        <v>2</v>
      </c>
      <c r="I1325" s="48">
        <v>3</v>
      </c>
      <c r="J1325" s="48">
        <v>35</v>
      </c>
      <c r="K1325" s="3">
        <f>800+300+35</f>
        <v>1135</v>
      </c>
      <c r="L1325" s="16"/>
      <c r="M1325" s="57"/>
      <c r="N1325" s="58"/>
      <c r="P1325" s="16">
        <v>1</v>
      </c>
      <c r="Q1325" s="20">
        <f t="shared" si="260"/>
        <v>1135</v>
      </c>
      <c r="R1325" s="14">
        <v>200</v>
      </c>
      <c r="S1325" s="20">
        <f t="shared" si="254"/>
        <v>227000</v>
      </c>
      <c r="T1325" s="16"/>
      <c r="U1325" s="17"/>
      <c r="V1325" s="17"/>
      <c r="W1325" s="4"/>
      <c r="X1325" s="16"/>
      <c r="Y1325" s="5"/>
      <c r="Z1325" s="16"/>
      <c r="AA1325" s="16"/>
      <c r="AB1325" s="16"/>
      <c r="AE1325" s="16"/>
      <c r="AG1325" s="22">
        <f t="shared" si="259"/>
        <v>0</v>
      </c>
      <c r="AH1325" s="6"/>
      <c r="AJ1325" s="20">
        <f t="shared" si="253"/>
        <v>0</v>
      </c>
      <c r="AK1325" s="50"/>
      <c r="AL1325" s="6"/>
      <c r="AM1325" s="20">
        <f t="shared" si="256"/>
        <v>0</v>
      </c>
      <c r="AN1325" s="20">
        <f t="shared" si="257"/>
        <v>227000</v>
      </c>
      <c r="AP1325" s="20">
        <f t="shared" si="258"/>
        <v>227000</v>
      </c>
      <c r="AQ1325" s="7"/>
      <c r="AR1325" s="20"/>
      <c r="AS1325" s="51"/>
    </row>
    <row r="1326" spans="1:45" s="21" customFormat="1" ht="30" customHeight="1" x14ac:dyDescent="0.2">
      <c r="A1326" s="8">
        <v>1115</v>
      </c>
      <c r="B1326" s="46">
        <v>2</v>
      </c>
      <c r="C1326" s="16" t="s">
        <v>52</v>
      </c>
      <c r="D1326" s="48">
        <v>3415</v>
      </c>
      <c r="E1326" s="47">
        <v>12</v>
      </c>
      <c r="F1326" s="48">
        <v>2189</v>
      </c>
      <c r="G1326" s="49">
        <v>2</v>
      </c>
      <c r="H1326" s="48">
        <v>3</v>
      </c>
      <c r="I1326" s="48">
        <v>2</v>
      </c>
      <c r="J1326" s="48">
        <v>62.04</v>
      </c>
      <c r="K1326" s="3">
        <f>1200+200+62.04</f>
        <v>1462.04</v>
      </c>
      <c r="L1326" s="16"/>
      <c r="M1326" s="57"/>
      <c r="N1326" s="58"/>
      <c r="P1326" s="16">
        <v>1</v>
      </c>
      <c r="Q1326" s="20">
        <f t="shared" si="260"/>
        <v>1462.04</v>
      </c>
      <c r="R1326" s="14">
        <v>200</v>
      </c>
      <c r="S1326" s="19">
        <f t="shared" si="254"/>
        <v>292408</v>
      </c>
      <c r="T1326" s="16"/>
      <c r="U1326" s="17"/>
      <c r="V1326" s="17"/>
      <c r="W1326" s="4"/>
      <c r="X1326" s="16"/>
      <c r="Y1326" s="5"/>
      <c r="Z1326" s="16"/>
      <c r="AA1326" s="16"/>
      <c r="AB1326" s="16"/>
      <c r="AE1326" s="16"/>
      <c r="AG1326" s="22">
        <f t="shared" si="259"/>
        <v>0</v>
      </c>
      <c r="AH1326" s="6"/>
      <c r="AJ1326" s="20">
        <f t="shared" si="253"/>
        <v>0</v>
      </c>
      <c r="AK1326" s="50"/>
      <c r="AL1326" s="6"/>
      <c r="AM1326" s="20">
        <f t="shared" si="256"/>
        <v>0</v>
      </c>
      <c r="AN1326" s="20">
        <f t="shared" si="257"/>
        <v>292408</v>
      </c>
      <c r="AP1326" s="20">
        <f t="shared" si="258"/>
        <v>292408</v>
      </c>
      <c r="AQ1326" s="7"/>
      <c r="AR1326" s="20"/>
      <c r="AS1326" s="51"/>
    </row>
    <row r="1327" spans="1:45" s="21" customFormat="1" ht="30" customHeight="1" x14ac:dyDescent="0.2">
      <c r="A1327" s="8">
        <v>1116</v>
      </c>
      <c r="B1327" s="46">
        <v>3</v>
      </c>
      <c r="C1327" s="16" t="s">
        <v>52</v>
      </c>
      <c r="D1327" s="48">
        <v>35018</v>
      </c>
      <c r="E1327" s="47">
        <v>194</v>
      </c>
      <c r="F1327" s="48">
        <v>6815</v>
      </c>
      <c r="G1327" s="49">
        <v>2</v>
      </c>
      <c r="H1327" s="48">
        <v>0</v>
      </c>
      <c r="I1327" s="48">
        <v>1</v>
      </c>
      <c r="J1327" s="48">
        <v>78.06</v>
      </c>
      <c r="K1327" s="3">
        <v>178.06</v>
      </c>
      <c r="L1327" s="16"/>
      <c r="M1327" s="57"/>
      <c r="N1327" s="58"/>
      <c r="P1327" s="16">
        <v>1</v>
      </c>
      <c r="Q1327" s="20">
        <f t="shared" si="260"/>
        <v>178.06</v>
      </c>
      <c r="R1327" s="14">
        <v>200</v>
      </c>
      <c r="S1327" s="19">
        <f t="shared" si="254"/>
        <v>35612</v>
      </c>
      <c r="T1327" s="16"/>
      <c r="U1327" s="17"/>
      <c r="V1327" s="17"/>
      <c r="W1327" s="4"/>
      <c r="X1327" s="16"/>
      <c r="Y1327" s="5"/>
      <c r="Z1327" s="16"/>
      <c r="AA1327" s="16"/>
      <c r="AB1327" s="16"/>
      <c r="AE1327" s="16"/>
      <c r="AG1327" s="22">
        <f t="shared" si="259"/>
        <v>0</v>
      </c>
      <c r="AH1327" s="6"/>
      <c r="AJ1327" s="20">
        <f t="shared" si="253"/>
        <v>0</v>
      </c>
      <c r="AK1327" s="50"/>
      <c r="AL1327" s="6"/>
      <c r="AM1327" s="20">
        <f t="shared" si="256"/>
        <v>0</v>
      </c>
      <c r="AN1327" s="20">
        <f t="shared" si="257"/>
        <v>35612</v>
      </c>
      <c r="AP1327" s="20">
        <f t="shared" si="258"/>
        <v>35612</v>
      </c>
      <c r="AQ1327" s="7"/>
      <c r="AR1327" s="20"/>
      <c r="AS1327" s="51"/>
    </row>
    <row r="1328" spans="1:45" s="21" customFormat="1" ht="30" customHeight="1" x14ac:dyDescent="0.2">
      <c r="A1328" s="8">
        <v>1117</v>
      </c>
      <c r="B1328" s="46">
        <v>4</v>
      </c>
      <c r="C1328" s="16" t="s">
        <v>52</v>
      </c>
      <c r="D1328" s="48">
        <v>35019</v>
      </c>
      <c r="E1328" s="47">
        <v>195</v>
      </c>
      <c r="F1328" s="48">
        <v>6816</v>
      </c>
      <c r="G1328" s="49">
        <v>2</v>
      </c>
      <c r="H1328" s="48">
        <v>0</v>
      </c>
      <c r="I1328" s="48">
        <v>1</v>
      </c>
      <c r="J1328" s="48">
        <v>71.069999999999993</v>
      </c>
      <c r="K1328" s="3">
        <v>171.07</v>
      </c>
      <c r="L1328" s="16"/>
      <c r="M1328" s="57"/>
      <c r="N1328" s="58"/>
      <c r="P1328" s="16">
        <v>1</v>
      </c>
      <c r="Q1328" s="20">
        <f t="shared" si="260"/>
        <v>171.07</v>
      </c>
      <c r="R1328" s="14">
        <v>200</v>
      </c>
      <c r="S1328" s="20">
        <f t="shared" si="254"/>
        <v>34214</v>
      </c>
      <c r="T1328" s="16"/>
      <c r="U1328" s="16"/>
      <c r="V1328" s="16"/>
      <c r="W1328" s="5"/>
      <c r="X1328" s="16"/>
      <c r="Y1328" s="5"/>
      <c r="Z1328" s="16"/>
      <c r="AA1328" s="16"/>
      <c r="AB1328" s="16"/>
      <c r="AE1328" s="16"/>
      <c r="AG1328" s="22">
        <f t="shared" si="259"/>
        <v>0</v>
      </c>
      <c r="AH1328" s="6"/>
      <c r="AJ1328" s="20">
        <f t="shared" si="253"/>
        <v>0</v>
      </c>
      <c r="AK1328" s="50"/>
      <c r="AL1328" s="6"/>
      <c r="AM1328" s="20">
        <f t="shared" si="256"/>
        <v>0</v>
      </c>
      <c r="AN1328" s="20">
        <f t="shared" si="257"/>
        <v>34214</v>
      </c>
      <c r="AP1328" s="20">
        <f t="shared" si="258"/>
        <v>34214</v>
      </c>
      <c r="AQ1328" s="7"/>
      <c r="AR1328" s="20"/>
      <c r="AS1328" s="51"/>
    </row>
    <row r="1329" spans="1:45" s="21" customFormat="1" ht="30" customHeight="1" x14ac:dyDescent="0.2">
      <c r="A1329" s="8">
        <v>1118</v>
      </c>
      <c r="B1329" s="46">
        <v>5</v>
      </c>
      <c r="C1329" s="16" t="s">
        <v>52</v>
      </c>
      <c r="D1329" s="48">
        <v>35020</v>
      </c>
      <c r="E1329" s="47">
        <v>196</v>
      </c>
      <c r="F1329" s="48">
        <v>6817</v>
      </c>
      <c r="G1329" s="49">
        <v>2</v>
      </c>
      <c r="H1329" s="48">
        <v>0</v>
      </c>
      <c r="I1329" s="48">
        <v>2</v>
      </c>
      <c r="J1329" s="48">
        <v>14.02</v>
      </c>
      <c r="K1329" s="3">
        <v>214.02</v>
      </c>
      <c r="L1329" s="16"/>
      <c r="M1329" s="57"/>
      <c r="N1329" s="58"/>
      <c r="P1329" s="16">
        <v>1</v>
      </c>
      <c r="Q1329" s="20">
        <f t="shared" si="260"/>
        <v>214.02</v>
      </c>
      <c r="R1329" s="14">
        <v>200</v>
      </c>
      <c r="S1329" s="19">
        <f t="shared" si="254"/>
        <v>42804</v>
      </c>
      <c r="T1329" s="16"/>
      <c r="U1329" s="17"/>
      <c r="V1329" s="16"/>
      <c r="W1329" s="5"/>
      <c r="X1329" s="16"/>
      <c r="Y1329" s="5"/>
      <c r="Z1329" s="16"/>
      <c r="AA1329" s="16"/>
      <c r="AB1329" s="16"/>
      <c r="AE1329" s="16"/>
      <c r="AG1329" s="22">
        <f t="shared" si="259"/>
        <v>0</v>
      </c>
      <c r="AH1329" s="6"/>
      <c r="AJ1329" s="20">
        <f t="shared" si="253"/>
        <v>0</v>
      </c>
      <c r="AK1329" s="50"/>
      <c r="AL1329" s="6"/>
      <c r="AM1329" s="20">
        <f t="shared" si="256"/>
        <v>0</v>
      </c>
      <c r="AN1329" s="20">
        <f t="shared" si="257"/>
        <v>42804</v>
      </c>
      <c r="AP1329" s="20">
        <f t="shared" si="258"/>
        <v>42804</v>
      </c>
      <c r="AQ1329" s="7"/>
      <c r="AR1329" s="20"/>
      <c r="AS1329" s="51"/>
    </row>
    <row r="1330" spans="1:45" s="21" customFormat="1" ht="30" customHeight="1" x14ac:dyDescent="0.2">
      <c r="A1330" s="8">
        <v>1119</v>
      </c>
      <c r="B1330" s="46">
        <v>1</v>
      </c>
      <c r="C1330" s="16" t="s">
        <v>52</v>
      </c>
      <c r="D1330" s="48">
        <v>30946</v>
      </c>
      <c r="E1330" s="47">
        <v>116</v>
      </c>
      <c r="F1330" s="48">
        <v>5898</v>
      </c>
      <c r="G1330" s="49">
        <v>2</v>
      </c>
      <c r="H1330" s="48">
        <v>0</v>
      </c>
      <c r="I1330" s="48">
        <v>0</v>
      </c>
      <c r="J1330" s="48">
        <v>72.040000000000006</v>
      </c>
      <c r="K1330" s="3"/>
      <c r="L1330" s="16">
        <v>72.040000000000006</v>
      </c>
      <c r="M1330" s="57"/>
      <c r="N1330" s="58"/>
      <c r="P1330" s="16">
        <v>1</v>
      </c>
      <c r="Q1330" s="20">
        <f t="shared" si="260"/>
        <v>72.040000000000006</v>
      </c>
      <c r="R1330" s="14">
        <v>160</v>
      </c>
      <c r="S1330" s="19">
        <f t="shared" si="254"/>
        <v>11526.400000000001</v>
      </c>
      <c r="T1330" s="16"/>
      <c r="U1330" s="17" t="s">
        <v>57</v>
      </c>
      <c r="V1330" s="17" t="s">
        <v>56</v>
      </c>
      <c r="W1330" s="4"/>
      <c r="X1330" s="16"/>
      <c r="Y1330" s="5">
        <v>161.5</v>
      </c>
      <c r="Z1330" s="16"/>
      <c r="AA1330" s="16"/>
      <c r="AB1330" s="16">
        <v>21</v>
      </c>
      <c r="AC1330" s="14"/>
      <c r="AD1330" s="14"/>
      <c r="AE1330" s="16"/>
      <c r="AG1330" s="22">
        <f t="shared" si="259"/>
        <v>161.5</v>
      </c>
      <c r="AH1330" s="6"/>
      <c r="AJ1330" s="20">
        <f t="shared" si="253"/>
        <v>0</v>
      </c>
      <c r="AK1330" s="50">
        <v>21</v>
      </c>
      <c r="AL1330" s="6"/>
      <c r="AM1330" s="20">
        <f t="shared" si="256"/>
        <v>0</v>
      </c>
      <c r="AN1330" s="20">
        <f t="shared" si="257"/>
        <v>11526.400000000001</v>
      </c>
      <c r="AP1330" s="20">
        <f t="shared" si="258"/>
        <v>11526.400000000001</v>
      </c>
      <c r="AQ1330" s="7"/>
      <c r="AR1330" s="20"/>
      <c r="AS1330" s="51"/>
    </row>
    <row r="1331" spans="1:45" s="21" customFormat="1" ht="30" customHeight="1" x14ac:dyDescent="0.2">
      <c r="A1331" s="8">
        <v>1120</v>
      </c>
      <c r="B1331" s="46">
        <v>1</v>
      </c>
      <c r="C1331" s="16" t="s">
        <v>52</v>
      </c>
      <c r="D1331" s="48">
        <v>959</v>
      </c>
      <c r="E1331" s="47">
        <v>107</v>
      </c>
      <c r="F1331" s="48">
        <v>366</v>
      </c>
      <c r="G1331" s="49">
        <v>1</v>
      </c>
      <c r="H1331" s="48">
        <v>11</v>
      </c>
      <c r="I1331" s="48">
        <v>2</v>
      </c>
      <c r="J1331" s="48">
        <v>97</v>
      </c>
      <c r="K1331" s="3">
        <f>400*11+200+97</f>
        <v>4697</v>
      </c>
      <c r="L1331" s="16"/>
      <c r="M1331" s="57"/>
      <c r="N1331" s="58"/>
      <c r="P1331" s="16">
        <v>1</v>
      </c>
      <c r="Q1331" s="20">
        <f t="shared" si="260"/>
        <v>4697</v>
      </c>
      <c r="R1331" s="14">
        <v>200</v>
      </c>
      <c r="S1331" s="20">
        <f t="shared" si="254"/>
        <v>939400</v>
      </c>
      <c r="T1331" s="16"/>
      <c r="U1331" s="17"/>
      <c r="V1331" s="17"/>
      <c r="W1331" s="4"/>
      <c r="X1331" s="16"/>
      <c r="Y1331" s="5"/>
      <c r="Z1331" s="16"/>
      <c r="AA1331" s="16"/>
      <c r="AB1331" s="16"/>
      <c r="AE1331" s="16"/>
      <c r="AG1331" s="22">
        <f t="shared" si="259"/>
        <v>0</v>
      </c>
      <c r="AH1331" s="6"/>
      <c r="AJ1331" s="20">
        <f t="shared" si="253"/>
        <v>0</v>
      </c>
      <c r="AK1331" s="50"/>
      <c r="AL1331" s="6"/>
      <c r="AM1331" s="20">
        <f t="shared" si="256"/>
        <v>0</v>
      </c>
      <c r="AN1331" s="20">
        <f t="shared" si="257"/>
        <v>939400</v>
      </c>
      <c r="AP1331" s="20">
        <f t="shared" si="258"/>
        <v>939400</v>
      </c>
      <c r="AQ1331" s="7"/>
      <c r="AR1331" s="20"/>
      <c r="AS1331" s="51"/>
    </row>
    <row r="1332" spans="1:45" s="21" customFormat="1" ht="30" customHeight="1" x14ac:dyDescent="0.2">
      <c r="A1332" s="8">
        <v>1121</v>
      </c>
      <c r="B1332" s="46">
        <v>1</v>
      </c>
      <c r="C1332" s="16" t="s">
        <v>52</v>
      </c>
      <c r="D1332" s="48">
        <v>18706</v>
      </c>
      <c r="E1332" s="47">
        <v>21</v>
      </c>
      <c r="F1332" s="48">
        <v>3632</v>
      </c>
      <c r="G1332" s="49">
        <v>6</v>
      </c>
      <c r="H1332" s="48">
        <v>0</v>
      </c>
      <c r="I1332" s="48">
        <v>2</v>
      </c>
      <c r="J1332" s="48">
        <v>90.08</v>
      </c>
      <c r="K1332" s="3"/>
      <c r="L1332" s="16">
        <v>290.08</v>
      </c>
      <c r="M1332" s="57"/>
      <c r="N1332" s="58"/>
      <c r="P1332" s="16">
        <v>2</v>
      </c>
      <c r="Q1332" s="20">
        <f t="shared" si="260"/>
        <v>290.08</v>
      </c>
      <c r="R1332" s="14">
        <v>750</v>
      </c>
      <c r="S1332" s="19">
        <f t="shared" si="254"/>
        <v>217560</v>
      </c>
      <c r="T1332" s="16"/>
      <c r="U1332" s="17"/>
      <c r="V1332" s="17"/>
      <c r="W1332" s="4"/>
      <c r="X1332" s="16"/>
      <c r="Y1332" s="5"/>
      <c r="Z1332" s="16"/>
      <c r="AA1332" s="16"/>
      <c r="AB1332" s="16"/>
      <c r="AC1332" s="14"/>
      <c r="AD1332" s="14"/>
      <c r="AE1332" s="16"/>
      <c r="AG1332" s="22">
        <f t="shared" si="259"/>
        <v>0</v>
      </c>
      <c r="AH1332" s="6"/>
      <c r="AJ1332" s="20">
        <f t="shared" ref="AJ1332:AJ1396" si="261">+AG1332*AH1332*AI1332</f>
        <v>0</v>
      </c>
      <c r="AK1332" s="50"/>
      <c r="AL1332" s="6"/>
      <c r="AM1332" s="20">
        <f t="shared" si="256"/>
        <v>0</v>
      </c>
      <c r="AN1332" s="20">
        <f t="shared" si="257"/>
        <v>217560</v>
      </c>
      <c r="AP1332" s="20">
        <f t="shared" si="258"/>
        <v>217560</v>
      </c>
      <c r="AQ1332" s="7"/>
      <c r="AR1332" s="20"/>
      <c r="AS1332" s="51"/>
    </row>
    <row r="1333" spans="1:45" s="21" customFormat="1" ht="30" customHeight="1" x14ac:dyDescent="0.2">
      <c r="A1333" s="8">
        <v>1122</v>
      </c>
      <c r="B1333" s="46">
        <v>1</v>
      </c>
      <c r="C1333" s="16" t="s">
        <v>52</v>
      </c>
      <c r="D1333" s="48">
        <v>28204</v>
      </c>
      <c r="E1333" s="47">
        <v>76</v>
      </c>
      <c r="F1333" s="48">
        <v>5290</v>
      </c>
      <c r="G1333" s="49">
        <v>2</v>
      </c>
      <c r="H1333" s="48">
        <v>1</v>
      </c>
      <c r="I1333" s="48">
        <v>2</v>
      </c>
      <c r="J1333" s="48">
        <v>70</v>
      </c>
      <c r="K1333" s="3">
        <v>670</v>
      </c>
      <c r="L1333" s="16"/>
      <c r="M1333" s="57"/>
      <c r="N1333" s="58"/>
      <c r="P1333" s="16">
        <v>1</v>
      </c>
      <c r="Q1333" s="20">
        <f t="shared" si="260"/>
        <v>670</v>
      </c>
      <c r="R1333" s="14">
        <v>200</v>
      </c>
      <c r="S1333" s="19">
        <f t="shared" si="254"/>
        <v>134000</v>
      </c>
      <c r="T1333" s="16"/>
      <c r="U1333" s="17"/>
      <c r="V1333" s="17"/>
      <c r="W1333" s="4"/>
      <c r="X1333" s="16"/>
      <c r="Y1333" s="5"/>
      <c r="Z1333" s="16"/>
      <c r="AA1333" s="16"/>
      <c r="AB1333" s="16"/>
      <c r="AC1333" s="14"/>
      <c r="AD1333" s="14"/>
      <c r="AE1333" s="16"/>
      <c r="AG1333" s="22">
        <f t="shared" si="259"/>
        <v>0</v>
      </c>
      <c r="AH1333" s="6"/>
      <c r="AJ1333" s="20">
        <f t="shared" si="261"/>
        <v>0</v>
      </c>
      <c r="AK1333" s="50"/>
      <c r="AL1333" s="6"/>
      <c r="AM1333" s="20">
        <f t="shared" si="256"/>
        <v>0</v>
      </c>
      <c r="AN1333" s="20">
        <f t="shared" si="257"/>
        <v>134000</v>
      </c>
      <c r="AP1333" s="20">
        <f t="shared" si="258"/>
        <v>134000</v>
      </c>
      <c r="AQ1333" s="7"/>
      <c r="AR1333" s="20"/>
      <c r="AS1333" s="51"/>
    </row>
    <row r="1334" spans="1:45" s="21" customFormat="1" ht="30" customHeight="1" x14ac:dyDescent="0.2">
      <c r="A1334" s="8">
        <v>1123</v>
      </c>
      <c r="B1334" s="46">
        <v>1</v>
      </c>
      <c r="C1334" s="16" t="s">
        <v>52</v>
      </c>
      <c r="D1334" s="48">
        <v>34569</v>
      </c>
      <c r="E1334" s="47">
        <v>233</v>
      </c>
      <c r="F1334" s="48">
        <v>6911</v>
      </c>
      <c r="G1334" s="49">
        <v>2</v>
      </c>
      <c r="H1334" s="48">
        <v>0</v>
      </c>
      <c r="I1334" s="48">
        <v>0</v>
      </c>
      <c r="J1334" s="48">
        <v>32.020000000000003</v>
      </c>
      <c r="K1334" s="3"/>
      <c r="L1334" s="16">
        <v>32.020000000000003</v>
      </c>
      <c r="M1334" s="57"/>
      <c r="N1334" s="58"/>
      <c r="P1334" s="16">
        <v>2</v>
      </c>
      <c r="Q1334" s="20">
        <f t="shared" si="260"/>
        <v>32.020000000000003</v>
      </c>
      <c r="R1334" s="14">
        <v>4500</v>
      </c>
      <c r="S1334" s="20">
        <f t="shared" ref="S1334:S1397" si="262">+Q1334*R1334</f>
        <v>144090</v>
      </c>
      <c r="T1334" s="16"/>
      <c r="U1334" s="17"/>
      <c r="V1334" s="17"/>
      <c r="W1334" s="4"/>
      <c r="X1334" s="16"/>
      <c r="Y1334" s="5"/>
      <c r="Z1334" s="16"/>
      <c r="AA1334" s="16"/>
      <c r="AB1334" s="16"/>
      <c r="AC1334" s="14"/>
      <c r="AD1334" s="14"/>
      <c r="AE1334" s="16"/>
      <c r="AG1334" s="22">
        <f t="shared" si="259"/>
        <v>0</v>
      </c>
      <c r="AH1334" s="6"/>
      <c r="AJ1334" s="20">
        <f t="shared" si="261"/>
        <v>0</v>
      </c>
      <c r="AK1334" s="50"/>
      <c r="AL1334" s="6"/>
      <c r="AM1334" s="20">
        <f t="shared" si="256"/>
        <v>0</v>
      </c>
      <c r="AN1334" s="20">
        <f t="shared" si="257"/>
        <v>144090</v>
      </c>
      <c r="AP1334" s="20">
        <f t="shared" si="258"/>
        <v>144090</v>
      </c>
      <c r="AQ1334" s="7"/>
      <c r="AR1334" s="20"/>
      <c r="AS1334" s="51"/>
    </row>
    <row r="1335" spans="1:45" s="21" customFormat="1" ht="30" customHeight="1" x14ac:dyDescent="0.2">
      <c r="A1335" s="8">
        <v>1124</v>
      </c>
      <c r="B1335" s="46">
        <v>2</v>
      </c>
      <c r="C1335" s="16" t="s">
        <v>52</v>
      </c>
      <c r="D1335" s="48">
        <v>34570</v>
      </c>
      <c r="E1335" s="47">
        <v>234</v>
      </c>
      <c r="F1335" s="48">
        <v>6912</v>
      </c>
      <c r="G1335" s="49">
        <v>2</v>
      </c>
      <c r="H1335" s="48">
        <v>0</v>
      </c>
      <c r="I1335" s="48">
        <v>0</v>
      </c>
      <c r="J1335" s="48">
        <v>29.06</v>
      </c>
      <c r="K1335" s="3"/>
      <c r="L1335" s="16">
        <v>29.06</v>
      </c>
      <c r="M1335" s="57"/>
      <c r="N1335" s="58"/>
      <c r="P1335" s="16">
        <v>2</v>
      </c>
      <c r="Q1335" s="20">
        <f t="shared" si="260"/>
        <v>29.06</v>
      </c>
      <c r="R1335" s="14">
        <v>160</v>
      </c>
      <c r="S1335" s="19">
        <f t="shared" si="262"/>
        <v>4649.5999999999995</v>
      </c>
      <c r="T1335" s="16"/>
      <c r="U1335" s="16"/>
      <c r="V1335" s="16"/>
      <c r="W1335" s="5"/>
      <c r="X1335" s="16"/>
      <c r="Y1335" s="5"/>
      <c r="Z1335" s="16"/>
      <c r="AA1335" s="16"/>
      <c r="AB1335" s="16"/>
      <c r="AC1335" s="14"/>
      <c r="AD1335" s="14"/>
      <c r="AE1335" s="16"/>
      <c r="AG1335" s="22">
        <f t="shared" si="259"/>
        <v>0</v>
      </c>
      <c r="AH1335" s="6"/>
      <c r="AJ1335" s="20">
        <f t="shared" si="261"/>
        <v>0</v>
      </c>
      <c r="AK1335" s="50"/>
      <c r="AL1335" s="6"/>
      <c r="AM1335" s="20">
        <f t="shared" si="256"/>
        <v>0</v>
      </c>
      <c r="AN1335" s="20">
        <f t="shared" si="257"/>
        <v>4649.5999999999995</v>
      </c>
      <c r="AP1335" s="20">
        <f t="shared" si="258"/>
        <v>4649.5999999999995</v>
      </c>
      <c r="AQ1335" s="7"/>
      <c r="AR1335" s="20"/>
      <c r="AS1335" s="51"/>
    </row>
    <row r="1336" spans="1:45" s="21" customFormat="1" ht="30" customHeight="1" x14ac:dyDescent="0.2">
      <c r="A1336" s="8">
        <v>1125</v>
      </c>
      <c r="B1336" s="46">
        <v>3</v>
      </c>
      <c r="C1336" s="16" t="s">
        <v>52</v>
      </c>
      <c r="D1336" s="48">
        <v>34571</v>
      </c>
      <c r="E1336" s="47">
        <v>235</v>
      </c>
      <c r="F1336" s="48">
        <v>6913</v>
      </c>
      <c r="G1336" s="49">
        <v>2</v>
      </c>
      <c r="H1336" s="48">
        <v>0</v>
      </c>
      <c r="I1336" s="48">
        <v>0</v>
      </c>
      <c r="J1336" s="48">
        <v>33.049999999999997</v>
      </c>
      <c r="K1336" s="3"/>
      <c r="L1336" s="16">
        <v>33.049999999999997</v>
      </c>
      <c r="M1336" s="57"/>
      <c r="N1336" s="58"/>
      <c r="P1336" s="16">
        <v>2</v>
      </c>
      <c r="Q1336" s="20">
        <f t="shared" si="260"/>
        <v>33.049999999999997</v>
      </c>
      <c r="R1336" s="14">
        <v>160</v>
      </c>
      <c r="S1336" s="19">
        <f t="shared" si="262"/>
        <v>5288</v>
      </c>
      <c r="T1336" s="16"/>
      <c r="U1336" s="17"/>
      <c r="V1336" s="16"/>
      <c r="W1336" s="5"/>
      <c r="X1336" s="16"/>
      <c r="Y1336" s="5"/>
      <c r="Z1336" s="16"/>
      <c r="AA1336" s="16"/>
      <c r="AB1336" s="16"/>
      <c r="AC1336" s="14"/>
      <c r="AD1336" s="14"/>
      <c r="AE1336" s="16"/>
      <c r="AG1336" s="22">
        <f t="shared" si="259"/>
        <v>0</v>
      </c>
      <c r="AH1336" s="6"/>
      <c r="AJ1336" s="20">
        <f t="shared" si="261"/>
        <v>0</v>
      </c>
      <c r="AK1336" s="50"/>
      <c r="AL1336" s="6"/>
      <c r="AM1336" s="20">
        <f t="shared" si="256"/>
        <v>0</v>
      </c>
      <c r="AN1336" s="20">
        <f t="shared" si="257"/>
        <v>5288</v>
      </c>
      <c r="AP1336" s="20">
        <f t="shared" si="258"/>
        <v>5288</v>
      </c>
      <c r="AQ1336" s="7"/>
      <c r="AR1336" s="20"/>
      <c r="AS1336" s="51"/>
    </row>
    <row r="1337" spans="1:45" s="21" customFormat="1" ht="30" customHeight="1" x14ac:dyDescent="0.2">
      <c r="A1337" s="8">
        <v>1126</v>
      </c>
      <c r="B1337" s="46">
        <v>4</v>
      </c>
      <c r="C1337" s="16" t="s">
        <v>52</v>
      </c>
      <c r="D1337" s="48">
        <v>34572</v>
      </c>
      <c r="E1337" s="47">
        <v>236</v>
      </c>
      <c r="F1337" s="48">
        <v>6914</v>
      </c>
      <c r="G1337" s="49">
        <v>2</v>
      </c>
      <c r="H1337" s="48">
        <v>0</v>
      </c>
      <c r="I1337" s="48">
        <v>0</v>
      </c>
      <c r="J1337" s="48">
        <v>33.08</v>
      </c>
      <c r="K1337" s="3"/>
      <c r="L1337" s="16">
        <v>33.08</v>
      </c>
      <c r="M1337" s="57"/>
      <c r="N1337" s="58"/>
      <c r="P1337" s="16">
        <v>2</v>
      </c>
      <c r="Q1337" s="20">
        <f t="shared" si="260"/>
        <v>33.08</v>
      </c>
      <c r="R1337" s="14">
        <v>160</v>
      </c>
      <c r="S1337" s="20">
        <f t="shared" si="262"/>
        <v>5292.7999999999993</v>
      </c>
      <c r="T1337" s="16"/>
      <c r="U1337" s="17"/>
      <c r="V1337" s="17"/>
      <c r="W1337" s="4"/>
      <c r="X1337" s="16"/>
      <c r="Y1337" s="5"/>
      <c r="Z1337" s="16"/>
      <c r="AA1337" s="16"/>
      <c r="AB1337" s="16"/>
      <c r="AE1337" s="16"/>
      <c r="AG1337" s="22">
        <f t="shared" si="259"/>
        <v>0</v>
      </c>
      <c r="AH1337" s="6"/>
      <c r="AJ1337" s="20">
        <f t="shared" si="261"/>
        <v>0</v>
      </c>
      <c r="AK1337" s="50"/>
      <c r="AL1337" s="6"/>
      <c r="AM1337" s="20">
        <f t="shared" ref="AM1337:AM1400" si="263">+AJ1337-(AL1337*AJ1337)</f>
        <v>0</v>
      </c>
      <c r="AN1337" s="20">
        <f t="shared" si="257"/>
        <v>5292.7999999999993</v>
      </c>
      <c r="AP1337" s="20">
        <f t="shared" si="258"/>
        <v>5292.7999999999993</v>
      </c>
      <c r="AQ1337" s="7"/>
      <c r="AR1337" s="20"/>
      <c r="AS1337" s="51"/>
    </row>
    <row r="1338" spans="1:45" s="21" customFormat="1" ht="30" customHeight="1" x14ac:dyDescent="0.2">
      <c r="A1338" s="8">
        <v>1127</v>
      </c>
      <c r="B1338" s="46">
        <v>5</v>
      </c>
      <c r="C1338" s="16" t="s">
        <v>52</v>
      </c>
      <c r="D1338" s="48">
        <v>34573</v>
      </c>
      <c r="E1338" s="47">
        <v>237</v>
      </c>
      <c r="F1338" s="48">
        <v>6915</v>
      </c>
      <c r="G1338" s="49">
        <v>2</v>
      </c>
      <c r="H1338" s="48">
        <v>0</v>
      </c>
      <c r="I1338" s="48">
        <v>0</v>
      </c>
      <c r="J1338" s="48">
        <v>33.04</v>
      </c>
      <c r="K1338" s="3">
        <v>33.04</v>
      </c>
      <c r="L1338" s="16"/>
      <c r="M1338" s="57"/>
      <c r="N1338" s="58"/>
      <c r="P1338" s="16">
        <v>1</v>
      </c>
      <c r="Q1338" s="20">
        <f t="shared" si="260"/>
        <v>33.04</v>
      </c>
      <c r="R1338" s="14">
        <v>160</v>
      </c>
      <c r="S1338" s="19">
        <f t="shared" si="262"/>
        <v>5286.4</v>
      </c>
      <c r="T1338" s="16"/>
      <c r="U1338" s="17"/>
      <c r="V1338" s="17"/>
      <c r="W1338" s="4"/>
      <c r="X1338" s="16"/>
      <c r="Y1338" s="5"/>
      <c r="Z1338" s="16"/>
      <c r="AA1338" s="16"/>
      <c r="AB1338" s="16"/>
      <c r="AE1338" s="16"/>
      <c r="AG1338" s="22">
        <f t="shared" si="259"/>
        <v>0</v>
      </c>
      <c r="AH1338" s="6"/>
      <c r="AJ1338" s="20">
        <f t="shared" si="261"/>
        <v>0</v>
      </c>
      <c r="AK1338" s="50"/>
      <c r="AL1338" s="6"/>
      <c r="AM1338" s="20">
        <f t="shared" si="263"/>
        <v>0</v>
      </c>
      <c r="AN1338" s="20">
        <f t="shared" si="257"/>
        <v>5286.4</v>
      </c>
      <c r="AP1338" s="20">
        <f t="shared" si="258"/>
        <v>5286.4</v>
      </c>
      <c r="AQ1338" s="7"/>
      <c r="AR1338" s="20"/>
      <c r="AS1338" s="51"/>
    </row>
    <row r="1339" spans="1:45" s="21" customFormat="1" ht="30" customHeight="1" x14ac:dyDescent="0.2">
      <c r="A1339" s="8">
        <v>1128</v>
      </c>
      <c r="B1339" s="46">
        <v>6</v>
      </c>
      <c r="C1339" s="16" t="s">
        <v>52</v>
      </c>
      <c r="D1339" s="48">
        <v>34574</v>
      </c>
      <c r="E1339" s="47">
        <v>238</v>
      </c>
      <c r="F1339" s="48">
        <v>6916</v>
      </c>
      <c r="G1339" s="49">
        <v>2</v>
      </c>
      <c r="H1339" s="48">
        <v>0</v>
      </c>
      <c r="I1339" s="48">
        <v>0</v>
      </c>
      <c r="J1339" s="48">
        <v>33.04</v>
      </c>
      <c r="K1339" s="3">
        <v>33.04</v>
      </c>
      <c r="L1339" s="16"/>
      <c r="M1339" s="57"/>
      <c r="N1339" s="58"/>
      <c r="P1339" s="16">
        <v>1</v>
      </c>
      <c r="Q1339" s="20">
        <f t="shared" si="260"/>
        <v>33.04</v>
      </c>
      <c r="R1339" s="14">
        <v>160</v>
      </c>
      <c r="S1339" s="19">
        <f t="shared" si="262"/>
        <v>5286.4</v>
      </c>
      <c r="T1339" s="16"/>
      <c r="U1339" s="17"/>
      <c r="V1339" s="17"/>
      <c r="W1339" s="4"/>
      <c r="X1339" s="16"/>
      <c r="Y1339" s="5"/>
      <c r="Z1339" s="16"/>
      <c r="AA1339" s="16"/>
      <c r="AB1339" s="16"/>
      <c r="AE1339" s="16"/>
      <c r="AG1339" s="22">
        <f t="shared" si="259"/>
        <v>0</v>
      </c>
      <c r="AH1339" s="6"/>
      <c r="AJ1339" s="20">
        <f t="shared" si="261"/>
        <v>0</v>
      </c>
      <c r="AK1339" s="50"/>
      <c r="AL1339" s="6"/>
      <c r="AM1339" s="20">
        <f t="shared" si="263"/>
        <v>0</v>
      </c>
      <c r="AN1339" s="20">
        <f t="shared" si="257"/>
        <v>5286.4</v>
      </c>
      <c r="AP1339" s="20">
        <f t="shared" si="258"/>
        <v>5286.4</v>
      </c>
      <c r="AQ1339" s="7"/>
      <c r="AR1339" s="20"/>
      <c r="AS1339" s="51"/>
    </row>
    <row r="1340" spans="1:45" s="21" customFormat="1" ht="30" customHeight="1" x14ac:dyDescent="0.2">
      <c r="A1340" s="8">
        <v>1129</v>
      </c>
      <c r="B1340" s="46">
        <v>7</v>
      </c>
      <c r="C1340" s="16" t="s">
        <v>52</v>
      </c>
      <c r="D1340" s="48">
        <v>34575</v>
      </c>
      <c r="E1340" s="47">
        <v>239</v>
      </c>
      <c r="F1340" s="48">
        <v>6917</v>
      </c>
      <c r="G1340" s="49">
        <v>2</v>
      </c>
      <c r="H1340" s="48">
        <v>0</v>
      </c>
      <c r="I1340" s="48">
        <v>0</v>
      </c>
      <c r="J1340" s="48">
        <v>33.049999999999997</v>
      </c>
      <c r="K1340" s="3">
        <v>33.049999999999997</v>
      </c>
      <c r="L1340" s="16"/>
      <c r="M1340" s="57"/>
      <c r="N1340" s="58"/>
      <c r="P1340" s="16">
        <v>1</v>
      </c>
      <c r="Q1340" s="20">
        <f t="shared" si="260"/>
        <v>33.049999999999997</v>
      </c>
      <c r="R1340" s="14">
        <v>160</v>
      </c>
      <c r="S1340" s="20">
        <f t="shared" si="262"/>
        <v>5288</v>
      </c>
      <c r="T1340" s="16"/>
      <c r="U1340" s="17"/>
      <c r="V1340" s="17"/>
      <c r="W1340" s="4"/>
      <c r="X1340" s="16"/>
      <c r="Y1340" s="5"/>
      <c r="Z1340" s="16"/>
      <c r="AA1340" s="16"/>
      <c r="AB1340" s="16"/>
      <c r="AE1340" s="16"/>
      <c r="AG1340" s="22">
        <f t="shared" si="259"/>
        <v>0</v>
      </c>
      <c r="AH1340" s="6"/>
      <c r="AJ1340" s="20">
        <f t="shared" si="261"/>
        <v>0</v>
      </c>
      <c r="AK1340" s="50"/>
      <c r="AL1340" s="6"/>
      <c r="AM1340" s="20">
        <f t="shared" si="263"/>
        <v>0</v>
      </c>
      <c r="AN1340" s="20">
        <f t="shared" ref="AN1340:AN1403" si="264">+S1340+AM1340</f>
        <v>5288</v>
      </c>
      <c r="AP1340" s="20">
        <f t="shared" si="258"/>
        <v>5288</v>
      </c>
      <c r="AQ1340" s="7"/>
      <c r="AR1340" s="20"/>
      <c r="AS1340" s="51"/>
    </row>
    <row r="1341" spans="1:45" s="21" customFormat="1" ht="30" customHeight="1" x14ac:dyDescent="0.2">
      <c r="A1341" s="8">
        <v>1130</v>
      </c>
      <c r="B1341" s="46">
        <v>8</v>
      </c>
      <c r="C1341" s="16" t="s">
        <v>52</v>
      </c>
      <c r="D1341" s="48">
        <v>31214</v>
      </c>
      <c r="E1341" s="47">
        <v>72</v>
      </c>
      <c r="F1341" s="48">
        <v>6191</v>
      </c>
      <c r="G1341" s="49">
        <v>7</v>
      </c>
      <c r="H1341" s="48">
        <v>0</v>
      </c>
      <c r="I1341" s="48">
        <v>0</v>
      </c>
      <c r="J1341" s="48">
        <v>75</v>
      </c>
      <c r="K1341" s="3"/>
      <c r="L1341" s="16"/>
      <c r="M1341" s="57"/>
      <c r="N1341" s="58">
        <v>75</v>
      </c>
      <c r="P1341" s="16">
        <v>4</v>
      </c>
      <c r="Q1341" s="20">
        <f t="shared" si="260"/>
        <v>75</v>
      </c>
      <c r="R1341" s="14">
        <v>1000</v>
      </c>
      <c r="S1341" s="19">
        <f t="shared" si="262"/>
        <v>75000</v>
      </c>
      <c r="T1341" s="16"/>
      <c r="U1341" s="17"/>
      <c r="V1341" s="17"/>
      <c r="W1341" s="4"/>
      <c r="X1341" s="16"/>
      <c r="Y1341" s="5"/>
      <c r="Z1341" s="16"/>
      <c r="AA1341" s="16"/>
      <c r="AB1341" s="16"/>
      <c r="AE1341" s="16"/>
      <c r="AG1341" s="22">
        <f t="shared" si="259"/>
        <v>0</v>
      </c>
      <c r="AH1341" s="6"/>
      <c r="AJ1341" s="20">
        <f t="shared" si="261"/>
        <v>0</v>
      </c>
      <c r="AK1341" s="50"/>
      <c r="AL1341" s="6"/>
      <c r="AM1341" s="20">
        <f t="shared" si="263"/>
        <v>0</v>
      </c>
      <c r="AN1341" s="20">
        <f t="shared" si="264"/>
        <v>75000</v>
      </c>
      <c r="AP1341" s="20">
        <f t="shared" si="258"/>
        <v>75000</v>
      </c>
      <c r="AQ1341" s="7">
        <v>3.0000000000000001E-3</v>
      </c>
      <c r="AR1341" s="20"/>
      <c r="AS1341" s="51"/>
    </row>
    <row r="1342" spans="1:45" s="21" customFormat="1" ht="30" customHeight="1" x14ac:dyDescent="0.2">
      <c r="A1342" s="8">
        <v>1131</v>
      </c>
      <c r="B1342" s="46">
        <v>9</v>
      </c>
      <c r="C1342" s="16" t="s">
        <v>52</v>
      </c>
      <c r="D1342" s="48">
        <v>31215</v>
      </c>
      <c r="E1342" s="47">
        <v>73</v>
      </c>
      <c r="F1342" s="48">
        <v>6192</v>
      </c>
      <c r="G1342" s="49">
        <v>7</v>
      </c>
      <c r="H1342" s="48">
        <v>0</v>
      </c>
      <c r="I1342" s="48">
        <v>0</v>
      </c>
      <c r="J1342" s="48">
        <v>75</v>
      </c>
      <c r="K1342" s="3"/>
      <c r="L1342" s="16"/>
      <c r="M1342" s="57"/>
      <c r="N1342" s="58">
        <v>75</v>
      </c>
      <c r="P1342" s="16">
        <v>4</v>
      </c>
      <c r="Q1342" s="20">
        <f t="shared" si="260"/>
        <v>75</v>
      </c>
      <c r="R1342" s="14">
        <v>1000</v>
      </c>
      <c r="S1342" s="19">
        <f t="shared" si="262"/>
        <v>75000</v>
      </c>
      <c r="T1342" s="16"/>
      <c r="U1342" s="16"/>
      <c r="V1342" s="16"/>
      <c r="W1342" s="5"/>
      <c r="X1342" s="16"/>
      <c r="Y1342" s="5"/>
      <c r="Z1342" s="16"/>
      <c r="AA1342" s="16"/>
      <c r="AB1342" s="16"/>
      <c r="AE1342" s="16"/>
      <c r="AG1342" s="22">
        <f t="shared" si="259"/>
        <v>0</v>
      </c>
      <c r="AH1342" s="6"/>
      <c r="AJ1342" s="20">
        <f t="shared" si="261"/>
        <v>0</v>
      </c>
      <c r="AK1342" s="50"/>
      <c r="AL1342" s="6"/>
      <c r="AM1342" s="20">
        <f t="shared" si="263"/>
        <v>0</v>
      </c>
      <c r="AN1342" s="20">
        <f t="shared" si="264"/>
        <v>75000</v>
      </c>
      <c r="AP1342" s="20">
        <f t="shared" ref="AP1342:AP1405" si="265">AN1342</f>
        <v>75000</v>
      </c>
      <c r="AQ1342" s="7">
        <v>3.0000000000000001E-3</v>
      </c>
      <c r="AR1342" s="20"/>
      <c r="AS1342" s="51"/>
    </row>
    <row r="1343" spans="1:45" s="21" customFormat="1" ht="30" customHeight="1" x14ac:dyDescent="0.2">
      <c r="A1343" s="8">
        <v>1132</v>
      </c>
      <c r="B1343" s="46">
        <v>1</v>
      </c>
      <c r="C1343" s="16" t="s">
        <v>52</v>
      </c>
      <c r="D1343" s="48">
        <v>14108</v>
      </c>
      <c r="E1343" s="47">
        <v>528</v>
      </c>
      <c r="F1343" s="48">
        <v>3297</v>
      </c>
      <c r="G1343" s="49">
        <v>2</v>
      </c>
      <c r="H1343" s="48">
        <v>0</v>
      </c>
      <c r="I1343" s="48">
        <v>0</v>
      </c>
      <c r="J1343" s="48">
        <v>50.09</v>
      </c>
      <c r="K1343" s="3"/>
      <c r="L1343" s="16"/>
      <c r="M1343" s="57"/>
      <c r="N1343" s="58">
        <v>50.09</v>
      </c>
      <c r="P1343" s="16">
        <v>4</v>
      </c>
      <c r="Q1343" s="20">
        <f t="shared" si="260"/>
        <v>50.09</v>
      </c>
      <c r="R1343" s="14">
        <v>250</v>
      </c>
      <c r="S1343" s="20">
        <f t="shared" si="262"/>
        <v>12522.5</v>
      </c>
      <c r="T1343" s="16"/>
      <c r="U1343" s="17"/>
      <c r="V1343" s="16"/>
      <c r="W1343" s="5"/>
      <c r="X1343" s="16"/>
      <c r="Y1343" s="5"/>
      <c r="Z1343" s="16"/>
      <c r="AA1343" s="16"/>
      <c r="AB1343" s="16"/>
      <c r="AE1343" s="16"/>
      <c r="AG1343" s="22">
        <f t="shared" si="259"/>
        <v>0</v>
      </c>
      <c r="AH1343" s="6"/>
      <c r="AJ1343" s="20">
        <f t="shared" si="261"/>
        <v>0</v>
      </c>
      <c r="AK1343" s="50"/>
      <c r="AL1343" s="6"/>
      <c r="AM1343" s="20">
        <f t="shared" si="263"/>
        <v>0</v>
      </c>
      <c r="AN1343" s="20">
        <f t="shared" si="264"/>
        <v>12522.5</v>
      </c>
      <c r="AP1343" s="20">
        <f t="shared" si="265"/>
        <v>12522.5</v>
      </c>
      <c r="AQ1343" s="7">
        <v>3.0000000000000001E-3</v>
      </c>
      <c r="AR1343" s="20"/>
      <c r="AS1343" s="51"/>
    </row>
    <row r="1344" spans="1:45" s="21" customFormat="1" ht="30" customHeight="1" x14ac:dyDescent="0.2">
      <c r="A1344" s="131">
        <v>1133</v>
      </c>
      <c r="B1344" s="46">
        <v>2</v>
      </c>
      <c r="C1344" s="16" t="s">
        <v>52</v>
      </c>
      <c r="D1344" s="48">
        <v>20456</v>
      </c>
      <c r="E1344" s="47">
        <v>68</v>
      </c>
      <c r="F1344" s="48">
        <v>4622</v>
      </c>
      <c r="G1344" s="49">
        <v>6</v>
      </c>
      <c r="H1344" s="48">
        <v>0</v>
      </c>
      <c r="I1344" s="48">
        <v>3</v>
      </c>
      <c r="J1344" s="48">
        <v>17.03</v>
      </c>
      <c r="K1344" s="3"/>
      <c r="L1344" s="16">
        <v>317.02999999999997</v>
      </c>
      <c r="M1344" s="57"/>
      <c r="N1344" s="58"/>
      <c r="P1344" s="16">
        <v>2</v>
      </c>
      <c r="Q1344" s="20">
        <f t="shared" si="260"/>
        <v>317.02999999999997</v>
      </c>
      <c r="R1344" s="14">
        <v>160</v>
      </c>
      <c r="S1344" s="19">
        <f t="shared" si="262"/>
        <v>50724.799999999996</v>
      </c>
      <c r="T1344" s="16">
        <v>1</v>
      </c>
      <c r="U1344" s="17" t="s">
        <v>57</v>
      </c>
      <c r="V1344" s="17" t="s">
        <v>56</v>
      </c>
      <c r="W1344" s="4"/>
      <c r="X1344" s="16"/>
      <c r="Y1344" s="5">
        <v>273</v>
      </c>
      <c r="Z1344" s="16"/>
      <c r="AA1344" s="16"/>
      <c r="AB1344" s="16">
        <v>11</v>
      </c>
      <c r="AE1344" s="16"/>
      <c r="AG1344" s="22">
        <f t="shared" si="259"/>
        <v>273</v>
      </c>
      <c r="AH1344" s="6"/>
      <c r="AJ1344" s="20">
        <f t="shared" si="261"/>
        <v>0</v>
      </c>
      <c r="AK1344" s="50">
        <v>11</v>
      </c>
      <c r="AL1344" s="6"/>
      <c r="AM1344" s="20">
        <f t="shared" si="263"/>
        <v>0</v>
      </c>
      <c r="AN1344" s="20">
        <f t="shared" si="264"/>
        <v>50724.799999999996</v>
      </c>
      <c r="AP1344" s="20">
        <f t="shared" si="265"/>
        <v>50724.799999999996</v>
      </c>
      <c r="AQ1344" s="7"/>
      <c r="AR1344" s="20"/>
      <c r="AS1344" s="51"/>
    </row>
    <row r="1345" spans="1:45" s="21" customFormat="1" ht="30" customHeight="1" x14ac:dyDescent="0.2">
      <c r="A1345" s="131"/>
      <c r="B1345" s="46"/>
      <c r="C1345" s="16"/>
      <c r="D1345" s="48"/>
      <c r="E1345" s="47"/>
      <c r="F1345" s="48"/>
      <c r="G1345" s="49"/>
      <c r="H1345" s="48"/>
      <c r="I1345" s="48"/>
      <c r="J1345" s="48"/>
      <c r="K1345" s="3"/>
      <c r="L1345" s="16"/>
      <c r="M1345" s="57"/>
      <c r="N1345" s="58"/>
      <c r="P1345" s="16"/>
      <c r="Q1345" s="20">
        <f t="shared" si="260"/>
        <v>0</v>
      </c>
      <c r="R1345" s="14" t="e">
        <v>#N/A</v>
      </c>
      <c r="S1345" s="19" t="e">
        <f t="shared" si="262"/>
        <v>#N/A</v>
      </c>
      <c r="T1345" s="16">
        <v>2</v>
      </c>
      <c r="U1345" s="17" t="s">
        <v>57</v>
      </c>
      <c r="V1345" s="17" t="s">
        <v>56</v>
      </c>
      <c r="W1345" s="4"/>
      <c r="X1345" s="16"/>
      <c r="Y1345" s="5">
        <v>90</v>
      </c>
      <c r="Z1345" s="16"/>
      <c r="AA1345" s="16"/>
      <c r="AB1345" s="16">
        <v>21</v>
      </c>
      <c r="AE1345" s="16"/>
      <c r="AG1345" s="22">
        <f t="shared" ref="AG1345:AG1409" si="266">Y1345</f>
        <v>90</v>
      </c>
      <c r="AH1345" s="6"/>
      <c r="AJ1345" s="20">
        <f t="shared" si="261"/>
        <v>0</v>
      </c>
      <c r="AK1345" s="50">
        <v>21</v>
      </c>
      <c r="AL1345" s="6"/>
      <c r="AM1345" s="20">
        <f t="shared" si="263"/>
        <v>0</v>
      </c>
      <c r="AN1345" s="20" t="e">
        <f t="shared" si="264"/>
        <v>#N/A</v>
      </c>
      <c r="AP1345" s="20" t="e">
        <f t="shared" si="265"/>
        <v>#N/A</v>
      </c>
      <c r="AQ1345" s="7"/>
      <c r="AR1345" s="20"/>
      <c r="AS1345" s="51"/>
    </row>
    <row r="1346" spans="1:45" s="21" customFormat="1" ht="30" customHeight="1" x14ac:dyDescent="0.2">
      <c r="A1346" s="8">
        <v>1134</v>
      </c>
      <c r="B1346" s="46">
        <v>1</v>
      </c>
      <c r="C1346" s="16" t="s">
        <v>52</v>
      </c>
      <c r="D1346" s="48">
        <v>28803</v>
      </c>
      <c r="E1346" s="47">
        <v>109</v>
      </c>
      <c r="F1346" s="48">
        <v>5456</v>
      </c>
      <c r="G1346" s="49">
        <v>2</v>
      </c>
      <c r="H1346" s="48">
        <v>0</v>
      </c>
      <c r="I1346" s="48">
        <v>0</v>
      </c>
      <c r="J1346" s="48">
        <v>31</v>
      </c>
      <c r="K1346" s="3">
        <v>31</v>
      </c>
      <c r="L1346" s="16"/>
      <c r="M1346" s="57"/>
      <c r="N1346" s="58"/>
      <c r="P1346" s="16">
        <v>1</v>
      </c>
      <c r="Q1346" s="20">
        <f t="shared" si="260"/>
        <v>31</v>
      </c>
      <c r="R1346" s="14">
        <v>250</v>
      </c>
      <c r="S1346" s="20">
        <f t="shared" si="262"/>
        <v>7750</v>
      </c>
      <c r="T1346" s="16"/>
      <c r="U1346" s="17"/>
      <c r="V1346" s="17"/>
      <c r="W1346" s="4"/>
      <c r="X1346" s="16"/>
      <c r="Y1346" s="5"/>
      <c r="Z1346" s="16"/>
      <c r="AA1346" s="16"/>
      <c r="AB1346" s="16"/>
      <c r="AE1346" s="16"/>
      <c r="AG1346" s="22">
        <f t="shared" si="266"/>
        <v>0</v>
      </c>
      <c r="AH1346" s="6"/>
      <c r="AJ1346" s="20">
        <f t="shared" si="261"/>
        <v>0</v>
      </c>
      <c r="AK1346" s="50"/>
      <c r="AL1346" s="6"/>
      <c r="AM1346" s="20">
        <f t="shared" si="263"/>
        <v>0</v>
      </c>
      <c r="AN1346" s="20">
        <f t="shared" si="264"/>
        <v>7750</v>
      </c>
      <c r="AP1346" s="20">
        <f t="shared" si="265"/>
        <v>7750</v>
      </c>
      <c r="AQ1346" s="7"/>
      <c r="AR1346" s="20"/>
      <c r="AS1346" s="51"/>
    </row>
    <row r="1347" spans="1:45" s="21" customFormat="1" ht="30" customHeight="1" x14ac:dyDescent="0.2">
      <c r="A1347" s="8">
        <v>1135</v>
      </c>
      <c r="B1347" s="46">
        <v>1</v>
      </c>
      <c r="C1347" s="16" t="s">
        <v>52</v>
      </c>
      <c r="D1347" s="48">
        <v>1550</v>
      </c>
      <c r="E1347" s="47">
        <v>55</v>
      </c>
      <c r="F1347" s="48">
        <v>468</v>
      </c>
      <c r="G1347" s="49">
        <v>2</v>
      </c>
      <c r="H1347" s="48">
        <v>1</v>
      </c>
      <c r="I1347" s="48">
        <v>2</v>
      </c>
      <c r="J1347" s="48">
        <v>7</v>
      </c>
      <c r="K1347" s="3"/>
      <c r="L1347" s="16"/>
      <c r="M1347" s="57"/>
      <c r="N1347" s="58"/>
      <c r="P1347" s="16">
        <v>2</v>
      </c>
      <c r="Q1347" s="20">
        <f t="shared" si="260"/>
        <v>607</v>
      </c>
      <c r="R1347" s="14">
        <v>200</v>
      </c>
      <c r="S1347" s="19">
        <f t="shared" si="262"/>
        <v>121400</v>
      </c>
      <c r="T1347" s="16"/>
      <c r="U1347" s="17" t="s">
        <v>57</v>
      </c>
      <c r="V1347" s="17" t="s">
        <v>56</v>
      </c>
      <c r="W1347" s="4"/>
      <c r="X1347" s="16"/>
      <c r="Y1347" s="5">
        <v>169</v>
      </c>
      <c r="Z1347" s="16"/>
      <c r="AA1347" s="16"/>
      <c r="AB1347" s="16">
        <v>29</v>
      </c>
      <c r="AE1347" s="16"/>
      <c r="AG1347" s="22">
        <f t="shared" si="266"/>
        <v>169</v>
      </c>
      <c r="AH1347" s="6"/>
      <c r="AJ1347" s="20">
        <f t="shared" si="261"/>
        <v>0</v>
      </c>
      <c r="AK1347" s="50">
        <v>29</v>
      </c>
      <c r="AL1347" s="6"/>
      <c r="AM1347" s="20">
        <f t="shared" si="263"/>
        <v>0</v>
      </c>
      <c r="AN1347" s="20">
        <f t="shared" si="264"/>
        <v>121400</v>
      </c>
      <c r="AP1347" s="20">
        <f t="shared" si="265"/>
        <v>121400</v>
      </c>
      <c r="AQ1347" s="7"/>
      <c r="AR1347" s="20"/>
      <c r="AS1347" s="51"/>
    </row>
    <row r="1348" spans="1:45" s="21" customFormat="1" ht="30" customHeight="1" x14ac:dyDescent="0.2">
      <c r="A1348" s="8">
        <v>1136</v>
      </c>
      <c r="B1348" s="46">
        <v>1</v>
      </c>
      <c r="C1348" s="16" t="s">
        <v>52</v>
      </c>
      <c r="D1348" s="48">
        <v>20246</v>
      </c>
      <c r="E1348" s="47">
        <v>153</v>
      </c>
      <c r="F1348" s="48">
        <v>4562</v>
      </c>
      <c r="G1348" s="49">
        <v>2</v>
      </c>
      <c r="H1348" s="48">
        <v>1</v>
      </c>
      <c r="I1348" s="48">
        <v>0</v>
      </c>
      <c r="J1348" s="48">
        <v>49</v>
      </c>
      <c r="K1348" s="3">
        <v>449</v>
      </c>
      <c r="L1348" s="16"/>
      <c r="M1348" s="57"/>
      <c r="N1348" s="58"/>
      <c r="P1348" s="16">
        <v>1</v>
      </c>
      <c r="Q1348" s="20">
        <f t="shared" si="260"/>
        <v>449</v>
      </c>
      <c r="R1348" s="14">
        <v>160</v>
      </c>
      <c r="S1348" s="19">
        <f t="shared" si="262"/>
        <v>71840</v>
      </c>
      <c r="T1348" s="16"/>
      <c r="U1348" s="17"/>
      <c r="V1348" s="17"/>
      <c r="W1348" s="4"/>
      <c r="X1348" s="16"/>
      <c r="Y1348" s="5"/>
      <c r="Z1348" s="16"/>
      <c r="AA1348" s="16"/>
      <c r="AB1348" s="16"/>
      <c r="AE1348" s="16"/>
      <c r="AG1348" s="22">
        <f t="shared" si="266"/>
        <v>0</v>
      </c>
      <c r="AH1348" s="6"/>
      <c r="AJ1348" s="20">
        <f t="shared" si="261"/>
        <v>0</v>
      </c>
      <c r="AK1348" s="50"/>
      <c r="AL1348" s="6"/>
      <c r="AM1348" s="20">
        <f t="shared" si="263"/>
        <v>0</v>
      </c>
      <c r="AN1348" s="20">
        <f t="shared" si="264"/>
        <v>71840</v>
      </c>
      <c r="AP1348" s="20">
        <f t="shared" si="265"/>
        <v>71840</v>
      </c>
      <c r="AQ1348" s="7"/>
      <c r="AR1348" s="20"/>
      <c r="AS1348" s="51"/>
    </row>
    <row r="1349" spans="1:45" s="21" customFormat="1" ht="30" customHeight="1" x14ac:dyDescent="0.2">
      <c r="A1349" s="8">
        <v>1137</v>
      </c>
      <c r="B1349" s="46">
        <v>1</v>
      </c>
      <c r="C1349" s="16" t="s">
        <v>52</v>
      </c>
      <c r="D1349" s="48">
        <v>29935</v>
      </c>
      <c r="E1349" s="47">
        <v>167</v>
      </c>
      <c r="F1349" s="48">
        <v>5773</v>
      </c>
      <c r="G1349" s="49">
        <v>1</v>
      </c>
      <c r="H1349" s="48">
        <v>0</v>
      </c>
      <c r="I1349" s="48">
        <v>0</v>
      </c>
      <c r="J1349" s="48">
        <v>46</v>
      </c>
      <c r="K1349" s="3"/>
      <c r="L1349" s="16"/>
      <c r="M1349" s="57"/>
      <c r="N1349" s="58">
        <v>46</v>
      </c>
      <c r="P1349" s="16">
        <v>4</v>
      </c>
      <c r="Q1349" s="20">
        <f t="shared" si="260"/>
        <v>46</v>
      </c>
      <c r="R1349" s="14">
        <v>250</v>
      </c>
      <c r="S1349" s="20">
        <f t="shared" si="262"/>
        <v>11500</v>
      </c>
      <c r="T1349" s="16"/>
      <c r="U1349" s="17"/>
      <c r="V1349" s="17"/>
      <c r="W1349" s="4"/>
      <c r="X1349" s="16"/>
      <c r="Y1349" s="5"/>
      <c r="Z1349" s="16"/>
      <c r="AA1349" s="16"/>
      <c r="AB1349" s="16"/>
      <c r="AC1349" s="14"/>
      <c r="AD1349" s="14"/>
      <c r="AE1349" s="16"/>
      <c r="AG1349" s="22">
        <f t="shared" si="266"/>
        <v>0</v>
      </c>
      <c r="AH1349" s="6"/>
      <c r="AJ1349" s="20">
        <f t="shared" si="261"/>
        <v>0</v>
      </c>
      <c r="AK1349" s="50"/>
      <c r="AL1349" s="6"/>
      <c r="AM1349" s="20">
        <f t="shared" si="263"/>
        <v>0</v>
      </c>
      <c r="AN1349" s="20">
        <f t="shared" si="264"/>
        <v>11500</v>
      </c>
      <c r="AP1349" s="20">
        <f t="shared" si="265"/>
        <v>11500</v>
      </c>
      <c r="AQ1349" s="7">
        <v>0</v>
      </c>
      <c r="AR1349" s="60"/>
      <c r="AS1349" s="128">
        <v>2</v>
      </c>
    </row>
    <row r="1350" spans="1:45" s="21" customFormat="1" ht="30" customHeight="1" x14ac:dyDescent="0.2">
      <c r="A1350" s="8">
        <v>1138</v>
      </c>
      <c r="B1350" s="46">
        <v>2</v>
      </c>
      <c r="C1350" s="16" t="s">
        <v>52</v>
      </c>
      <c r="D1350" s="48">
        <v>29936</v>
      </c>
      <c r="E1350" s="47">
        <v>168</v>
      </c>
      <c r="F1350" s="48">
        <v>5774</v>
      </c>
      <c r="G1350" s="49">
        <v>1</v>
      </c>
      <c r="H1350" s="48">
        <v>0</v>
      </c>
      <c r="I1350" s="48">
        <v>0</v>
      </c>
      <c r="J1350" s="48">
        <v>46</v>
      </c>
      <c r="K1350" s="3"/>
      <c r="L1350" s="16"/>
      <c r="M1350" s="57"/>
      <c r="N1350" s="58">
        <v>46</v>
      </c>
      <c r="P1350" s="16">
        <v>4</v>
      </c>
      <c r="Q1350" s="20">
        <f t="shared" si="260"/>
        <v>46</v>
      </c>
      <c r="R1350" s="14">
        <v>250</v>
      </c>
      <c r="S1350" s="19">
        <f t="shared" si="262"/>
        <v>11500</v>
      </c>
      <c r="T1350" s="16"/>
      <c r="U1350" s="16"/>
      <c r="V1350" s="16"/>
      <c r="W1350" s="5"/>
      <c r="X1350" s="16"/>
      <c r="Y1350" s="5"/>
      <c r="Z1350" s="16"/>
      <c r="AA1350" s="16"/>
      <c r="AB1350" s="16"/>
      <c r="AE1350" s="16"/>
      <c r="AG1350" s="22">
        <f t="shared" si="266"/>
        <v>0</v>
      </c>
      <c r="AH1350" s="6"/>
      <c r="AJ1350" s="20">
        <f t="shared" si="261"/>
        <v>0</v>
      </c>
      <c r="AK1350" s="50"/>
      <c r="AL1350" s="6"/>
      <c r="AM1350" s="20">
        <f t="shared" si="263"/>
        <v>0</v>
      </c>
      <c r="AN1350" s="20">
        <f t="shared" si="264"/>
        <v>11500</v>
      </c>
      <c r="AP1350" s="20">
        <f t="shared" si="265"/>
        <v>11500</v>
      </c>
      <c r="AQ1350" s="7">
        <v>3.0000000000000001E-3</v>
      </c>
      <c r="AR1350" s="24"/>
      <c r="AS1350" s="129"/>
    </row>
    <row r="1351" spans="1:45" s="21" customFormat="1" ht="30" customHeight="1" x14ac:dyDescent="0.2">
      <c r="A1351" s="8">
        <v>1139</v>
      </c>
      <c r="B1351" s="46">
        <v>3</v>
      </c>
      <c r="C1351" s="16" t="s">
        <v>52</v>
      </c>
      <c r="D1351" s="48">
        <v>29937</v>
      </c>
      <c r="E1351" s="47">
        <v>169</v>
      </c>
      <c r="F1351" s="48">
        <v>5775</v>
      </c>
      <c r="G1351" s="49">
        <v>1</v>
      </c>
      <c r="H1351" s="48">
        <v>0</v>
      </c>
      <c r="I1351" s="48">
        <v>0</v>
      </c>
      <c r="J1351" s="48">
        <v>46</v>
      </c>
      <c r="K1351" s="3"/>
      <c r="L1351" s="16"/>
      <c r="M1351" s="57"/>
      <c r="N1351" s="58">
        <v>46</v>
      </c>
      <c r="P1351" s="16">
        <v>4</v>
      </c>
      <c r="Q1351" s="20">
        <f t="shared" si="260"/>
        <v>46</v>
      </c>
      <c r="R1351" s="14">
        <v>250</v>
      </c>
      <c r="S1351" s="19">
        <f t="shared" si="262"/>
        <v>11500</v>
      </c>
      <c r="T1351" s="16"/>
      <c r="U1351" s="17"/>
      <c r="V1351" s="16"/>
      <c r="W1351" s="5"/>
      <c r="X1351" s="16"/>
      <c r="Y1351" s="5"/>
      <c r="Z1351" s="16"/>
      <c r="AA1351" s="16"/>
      <c r="AB1351" s="16"/>
      <c r="AC1351" s="14"/>
      <c r="AD1351" s="14"/>
      <c r="AE1351" s="16"/>
      <c r="AG1351" s="22">
        <f t="shared" si="266"/>
        <v>0</v>
      </c>
      <c r="AH1351" s="6"/>
      <c r="AJ1351" s="20">
        <f t="shared" si="261"/>
        <v>0</v>
      </c>
      <c r="AK1351" s="50"/>
      <c r="AL1351" s="6"/>
      <c r="AM1351" s="20">
        <f t="shared" si="263"/>
        <v>0</v>
      </c>
      <c r="AN1351" s="20">
        <f t="shared" si="264"/>
        <v>11500</v>
      </c>
      <c r="AP1351" s="20">
        <f t="shared" si="265"/>
        <v>11500</v>
      </c>
      <c r="AQ1351" s="7">
        <v>3.0000000000000001E-3</v>
      </c>
      <c r="AR1351" s="25"/>
      <c r="AS1351" s="130"/>
    </row>
    <row r="1352" spans="1:45" s="21" customFormat="1" ht="30" customHeight="1" x14ac:dyDescent="0.2">
      <c r="A1352" s="8">
        <v>1140</v>
      </c>
      <c r="B1352" s="46">
        <v>1</v>
      </c>
      <c r="C1352" s="16" t="s">
        <v>52</v>
      </c>
      <c r="D1352" s="48">
        <v>31152</v>
      </c>
      <c r="E1352" s="47">
        <v>223</v>
      </c>
      <c r="F1352" s="48">
        <v>6097</v>
      </c>
      <c r="G1352" s="49">
        <v>2</v>
      </c>
      <c r="H1352" s="48">
        <v>0</v>
      </c>
      <c r="I1352" s="48">
        <v>1</v>
      </c>
      <c r="J1352" s="48">
        <v>82.01</v>
      </c>
      <c r="K1352" s="3">
        <v>182.01</v>
      </c>
      <c r="L1352" s="16"/>
      <c r="M1352" s="57"/>
      <c r="N1352" s="58"/>
      <c r="P1352" s="16">
        <v>1</v>
      </c>
      <c r="Q1352" s="20">
        <f t="shared" si="260"/>
        <v>182.01</v>
      </c>
      <c r="R1352" s="14">
        <v>250</v>
      </c>
      <c r="S1352" s="20">
        <f t="shared" si="262"/>
        <v>45502.5</v>
      </c>
      <c r="T1352" s="16"/>
      <c r="U1352" s="17"/>
      <c r="V1352" s="17"/>
      <c r="W1352" s="4"/>
      <c r="X1352" s="16"/>
      <c r="Y1352" s="5"/>
      <c r="Z1352" s="16"/>
      <c r="AA1352" s="16"/>
      <c r="AB1352" s="16"/>
      <c r="AC1352" s="14"/>
      <c r="AD1352" s="14"/>
      <c r="AE1352" s="16"/>
      <c r="AG1352" s="22">
        <f t="shared" si="266"/>
        <v>0</v>
      </c>
      <c r="AH1352" s="6"/>
      <c r="AJ1352" s="20">
        <f t="shared" si="261"/>
        <v>0</v>
      </c>
      <c r="AK1352" s="50"/>
      <c r="AL1352" s="6"/>
      <c r="AM1352" s="20">
        <f t="shared" si="263"/>
        <v>0</v>
      </c>
      <c r="AN1352" s="20">
        <f t="shared" si="264"/>
        <v>45502.5</v>
      </c>
      <c r="AP1352" s="20">
        <f t="shared" si="265"/>
        <v>45502.5</v>
      </c>
      <c r="AQ1352" s="7"/>
      <c r="AR1352" s="60">
        <v>15</v>
      </c>
      <c r="AS1352" s="96">
        <f>15+1242</f>
        <v>1257</v>
      </c>
    </row>
    <row r="1353" spans="1:45" s="21" customFormat="1" ht="30" customHeight="1" x14ac:dyDescent="0.2">
      <c r="A1353" s="8">
        <v>1141</v>
      </c>
      <c r="B1353" s="46">
        <v>2</v>
      </c>
      <c r="C1353" s="16" t="s">
        <v>52</v>
      </c>
      <c r="D1353" s="48">
        <v>31153</v>
      </c>
      <c r="E1353" s="47">
        <v>224</v>
      </c>
      <c r="F1353" s="48">
        <v>6098</v>
      </c>
      <c r="G1353" s="49">
        <v>2</v>
      </c>
      <c r="H1353" s="48">
        <v>0</v>
      </c>
      <c r="I1353" s="48">
        <v>2</v>
      </c>
      <c r="J1353" s="48">
        <v>3.01</v>
      </c>
      <c r="K1353" s="3">
        <v>203.01</v>
      </c>
      <c r="L1353" s="16"/>
      <c r="M1353" s="57"/>
      <c r="N1353" s="58"/>
      <c r="P1353" s="16">
        <v>1</v>
      </c>
      <c r="Q1353" s="20">
        <f t="shared" si="260"/>
        <v>203.01</v>
      </c>
      <c r="R1353" s="14">
        <v>250</v>
      </c>
      <c r="S1353" s="19">
        <f t="shared" si="262"/>
        <v>50752.5</v>
      </c>
      <c r="T1353" s="16"/>
      <c r="U1353" s="17"/>
      <c r="V1353" s="17"/>
      <c r="W1353" s="4"/>
      <c r="X1353" s="16"/>
      <c r="Y1353" s="5"/>
      <c r="Z1353" s="16"/>
      <c r="AA1353" s="16"/>
      <c r="AB1353" s="16"/>
      <c r="AC1353" s="14"/>
      <c r="AD1353" s="14"/>
      <c r="AE1353" s="16"/>
      <c r="AG1353" s="22">
        <f t="shared" si="266"/>
        <v>0</v>
      </c>
      <c r="AH1353" s="6"/>
      <c r="AJ1353" s="20">
        <f t="shared" si="261"/>
        <v>0</v>
      </c>
      <c r="AK1353" s="50"/>
      <c r="AL1353" s="6"/>
      <c r="AM1353" s="20">
        <f t="shared" si="263"/>
        <v>0</v>
      </c>
      <c r="AN1353" s="20">
        <f t="shared" si="264"/>
        <v>50752.5</v>
      </c>
      <c r="AP1353" s="20">
        <f t="shared" si="265"/>
        <v>50752.5</v>
      </c>
      <c r="AQ1353" s="7"/>
      <c r="AR1353" s="24">
        <v>1242</v>
      </c>
      <c r="AS1353" s="97"/>
    </row>
    <row r="1354" spans="1:45" s="21" customFormat="1" ht="30" customHeight="1" x14ac:dyDescent="0.2">
      <c r="A1354" s="8">
        <v>1142</v>
      </c>
      <c r="B1354" s="46">
        <v>3</v>
      </c>
      <c r="C1354" s="16" t="s">
        <v>52</v>
      </c>
      <c r="D1354" s="48">
        <v>31154</v>
      </c>
      <c r="E1354" s="47">
        <v>225</v>
      </c>
      <c r="F1354" s="48">
        <v>6099</v>
      </c>
      <c r="G1354" s="49">
        <v>2</v>
      </c>
      <c r="H1354" s="48">
        <v>0</v>
      </c>
      <c r="I1354" s="48">
        <v>2</v>
      </c>
      <c r="J1354" s="48">
        <v>15.04</v>
      </c>
      <c r="K1354" s="3">
        <v>215.04</v>
      </c>
      <c r="L1354" s="16"/>
      <c r="M1354" s="57"/>
      <c r="N1354" s="58"/>
      <c r="P1354" s="16">
        <v>1</v>
      </c>
      <c r="Q1354" s="20">
        <f t="shared" si="260"/>
        <v>215.04</v>
      </c>
      <c r="R1354" s="14">
        <v>250</v>
      </c>
      <c r="S1354" s="19">
        <f t="shared" si="262"/>
        <v>53760</v>
      </c>
      <c r="T1354" s="16"/>
      <c r="U1354" s="17"/>
      <c r="V1354" s="17"/>
      <c r="W1354" s="4"/>
      <c r="X1354" s="16"/>
      <c r="Y1354" s="5"/>
      <c r="Z1354" s="16"/>
      <c r="AA1354" s="16"/>
      <c r="AB1354" s="16"/>
      <c r="AC1354" s="14"/>
      <c r="AD1354" s="14"/>
      <c r="AE1354" s="16"/>
      <c r="AG1354" s="22">
        <f t="shared" si="266"/>
        <v>0</v>
      </c>
      <c r="AH1354" s="6"/>
      <c r="AJ1354" s="20">
        <f t="shared" si="261"/>
        <v>0</v>
      </c>
      <c r="AK1354" s="50"/>
      <c r="AL1354" s="6"/>
      <c r="AM1354" s="20">
        <f t="shared" si="263"/>
        <v>0</v>
      </c>
      <c r="AN1354" s="20">
        <f t="shared" si="264"/>
        <v>53760</v>
      </c>
      <c r="AP1354" s="20">
        <f t="shared" si="265"/>
        <v>53760</v>
      </c>
      <c r="AQ1354" s="7"/>
      <c r="AR1354" s="24"/>
      <c r="AS1354" s="97"/>
    </row>
    <row r="1355" spans="1:45" ht="30" customHeight="1" x14ac:dyDescent="0.2">
      <c r="A1355" s="8">
        <v>1143</v>
      </c>
      <c r="B1355" s="46">
        <v>4</v>
      </c>
      <c r="C1355" s="16" t="s">
        <v>52</v>
      </c>
      <c r="D1355" s="48">
        <v>31155</v>
      </c>
      <c r="E1355" s="47">
        <v>226</v>
      </c>
      <c r="F1355" s="48">
        <v>6100</v>
      </c>
      <c r="G1355" s="53">
        <v>2</v>
      </c>
      <c r="H1355" s="48">
        <v>0</v>
      </c>
      <c r="I1355" s="48">
        <v>2</v>
      </c>
      <c r="J1355" s="48">
        <v>65.040000000000006</v>
      </c>
      <c r="K1355" s="17">
        <v>265.04000000000002</v>
      </c>
      <c r="N1355" s="17"/>
      <c r="P1355" s="17">
        <v>1</v>
      </c>
      <c r="Q1355" s="20">
        <f t="shared" si="260"/>
        <v>265.04000000000002</v>
      </c>
      <c r="R1355" s="14">
        <v>250</v>
      </c>
      <c r="S1355" s="20">
        <f t="shared" si="262"/>
        <v>66260</v>
      </c>
      <c r="U1355" s="13"/>
      <c r="V1355" s="13"/>
      <c r="AC1355" s="21"/>
      <c r="AD1355" s="21"/>
      <c r="AE1355" s="14"/>
      <c r="AG1355" s="22">
        <f t="shared" si="266"/>
        <v>0</v>
      </c>
      <c r="AJ1355" s="20">
        <f t="shared" si="261"/>
        <v>0</v>
      </c>
      <c r="AM1355" s="20">
        <f t="shared" si="263"/>
        <v>0</v>
      </c>
      <c r="AN1355" s="20">
        <f t="shared" si="264"/>
        <v>66260</v>
      </c>
      <c r="AP1355" s="20">
        <f t="shared" si="265"/>
        <v>66260</v>
      </c>
      <c r="AR1355" s="24"/>
      <c r="AS1355" s="97"/>
    </row>
    <row r="1356" spans="1:45" ht="30" customHeight="1" x14ac:dyDescent="0.2">
      <c r="A1356" s="8">
        <v>1144</v>
      </c>
      <c r="B1356" s="13">
        <v>5</v>
      </c>
      <c r="C1356" s="16" t="s">
        <v>69</v>
      </c>
      <c r="E1356" s="17">
        <v>162</v>
      </c>
      <c r="F1356" s="17">
        <v>8</v>
      </c>
      <c r="G1356" s="13">
        <v>1</v>
      </c>
      <c r="H1356" s="17">
        <v>9</v>
      </c>
      <c r="I1356" s="17">
        <v>1</v>
      </c>
      <c r="J1356" s="17">
        <v>89</v>
      </c>
      <c r="K1356" s="10">
        <v>3789</v>
      </c>
      <c r="P1356" s="17">
        <v>1</v>
      </c>
      <c r="Q1356" s="20">
        <f t="shared" si="260"/>
        <v>3789</v>
      </c>
      <c r="R1356" s="14">
        <v>160</v>
      </c>
      <c r="S1356" s="19">
        <f t="shared" si="262"/>
        <v>606240</v>
      </c>
      <c r="AG1356" s="22">
        <f t="shared" si="266"/>
        <v>0</v>
      </c>
      <c r="AJ1356" s="20">
        <f t="shared" si="261"/>
        <v>0</v>
      </c>
      <c r="AM1356" s="20">
        <f t="shared" si="263"/>
        <v>0</v>
      </c>
      <c r="AN1356" s="20">
        <f t="shared" si="264"/>
        <v>606240</v>
      </c>
      <c r="AP1356" s="20">
        <f t="shared" si="265"/>
        <v>606240</v>
      </c>
      <c r="AQ1356" s="12">
        <v>1E-4</v>
      </c>
      <c r="AR1356" s="25"/>
      <c r="AS1356" s="98"/>
    </row>
    <row r="1357" spans="1:45" s="21" customFormat="1" ht="30" customHeight="1" x14ac:dyDescent="0.2">
      <c r="A1357" s="8">
        <v>1145</v>
      </c>
      <c r="B1357" s="46">
        <v>1</v>
      </c>
      <c r="C1357" s="16" t="s">
        <v>52</v>
      </c>
      <c r="D1357" s="48">
        <v>31222</v>
      </c>
      <c r="E1357" s="47">
        <v>80</v>
      </c>
      <c r="F1357" s="48">
        <v>6199</v>
      </c>
      <c r="G1357" s="49">
        <v>7</v>
      </c>
      <c r="H1357" s="48">
        <v>0</v>
      </c>
      <c r="I1357" s="48">
        <v>0</v>
      </c>
      <c r="J1357" s="48">
        <v>75</v>
      </c>
      <c r="K1357" s="3"/>
      <c r="L1357" s="16"/>
      <c r="M1357" s="57"/>
      <c r="N1357" s="58">
        <v>75</v>
      </c>
      <c r="P1357" s="16">
        <v>4</v>
      </c>
      <c r="Q1357" s="20">
        <f t="shared" si="260"/>
        <v>75</v>
      </c>
      <c r="R1357" s="14">
        <v>1000</v>
      </c>
      <c r="S1357" s="19">
        <f t="shared" si="262"/>
        <v>75000</v>
      </c>
      <c r="T1357" s="16"/>
      <c r="U1357" s="17"/>
      <c r="V1357" s="17"/>
      <c r="W1357" s="4"/>
      <c r="X1357" s="16"/>
      <c r="Y1357" s="5"/>
      <c r="Z1357" s="16"/>
      <c r="AA1357" s="16"/>
      <c r="AB1357" s="16"/>
      <c r="AC1357" s="14"/>
      <c r="AD1357" s="14"/>
      <c r="AE1357" s="16"/>
      <c r="AG1357" s="22">
        <f t="shared" si="266"/>
        <v>0</v>
      </c>
      <c r="AH1357" s="6"/>
      <c r="AJ1357" s="20">
        <f t="shared" si="261"/>
        <v>0</v>
      </c>
      <c r="AK1357" s="50"/>
      <c r="AL1357" s="6"/>
      <c r="AM1357" s="20">
        <f t="shared" si="263"/>
        <v>0</v>
      </c>
      <c r="AN1357" s="20">
        <f t="shared" si="264"/>
        <v>75000</v>
      </c>
      <c r="AP1357" s="20">
        <f t="shared" si="265"/>
        <v>75000</v>
      </c>
      <c r="AQ1357" s="7">
        <v>3.0000000000000001E-3</v>
      </c>
      <c r="AR1357" s="20"/>
      <c r="AS1357" s="51"/>
    </row>
    <row r="1358" spans="1:45" s="21" customFormat="1" ht="30" customHeight="1" x14ac:dyDescent="0.2">
      <c r="A1358" s="8">
        <v>1146</v>
      </c>
      <c r="B1358" s="46">
        <v>2</v>
      </c>
      <c r="C1358" s="16" t="s">
        <v>52</v>
      </c>
      <c r="D1358" s="48">
        <v>31223</v>
      </c>
      <c r="E1358" s="47">
        <v>81</v>
      </c>
      <c r="F1358" s="48">
        <v>6200</v>
      </c>
      <c r="G1358" s="49">
        <v>7</v>
      </c>
      <c r="H1358" s="48">
        <v>0</v>
      </c>
      <c r="I1358" s="48">
        <v>0</v>
      </c>
      <c r="J1358" s="48">
        <v>75</v>
      </c>
      <c r="K1358" s="3"/>
      <c r="L1358" s="16"/>
      <c r="M1358" s="57"/>
      <c r="N1358" s="58">
        <v>75</v>
      </c>
      <c r="P1358" s="16">
        <v>4</v>
      </c>
      <c r="Q1358" s="20">
        <f t="shared" si="260"/>
        <v>75</v>
      </c>
      <c r="R1358" s="14">
        <v>1000</v>
      </c>
      <c r="S1358" s="20">
        <f t="shared" si="262"/>
        <v>75000</v>
      </c>
      <c r="T1358" s="16"/>
      <c r="U1358" s="17"/>
      <c r="V1358" s="17"/>
      <c r="W1358" s="4"/>
      <c r="X1358" s="16"/>
      <c r="Y1358" s="5"/>
      <c r="Z1358" s="16"/>
      <c r="AA1358" s="16"/>
      <c r="AB1358" s="16"/>
      <c r="AE1358" s="16"/>
      <c r="AG1358" s="22">
        <f t="shared" si="266"/>
        <v>0</v>
      </c>
      <c r="AH1358" s="6"/>
      <c r="AJ1358" s="20">
        <f t="shared" si="261"/>
        <v>0</v>
      </c>
      <c r="AK1358" s="50"/>
      <c r="AL1358" s="6"/>
      <c r="AM1358" s="20">
        <f t="shared" si="263"/>
        <v>0</v>
      </c>
      <c r="AN1358" s="20">
        <f t="shared" si="264"/>
        <v>75000</v>
      </c>
      <c r="AP1358" s="20">
        <f t="shared" si="265"/>
        <v>75000</v>
      </c>
      <c r="AQ1358" s="7">
        <v>3.0000000000000001E-3</v>
      </c>
      <c r="AR1358" s="20"/>
      <c r="AS1358" s="51"/>
    </row>
    <row r="1359" spans="1:45" s="21" customFormat="1" ht="30" customHeight="1" x14ac:dyDescent="0.2">
      <c r="A1359" s="8">
        <v>1147</v>
      </c>
      <c r="B1359" s="46">
        <v>1</v>
      </c>
      <c r="C1359" s="16" t="s">
        <v>52</v>
      </c>
      <c r="D1359" s="48">
        <v>26025</v>
      </c>
      <c r="E1359" s="47">
        <v>46</v>
      </c>
      <c r="F1359" s="48">
        <v>1054</v>
      </c>
      <c r="G1359" s="49">
        <v>3</v>
      </c>
      <c r="H1359" s="48">
        <v>3</v>
      </c>
      <c r="I1359" s="48">
        <v>0</v>
      </c>
      <c r="J1359" s="48">
        <v>39</v>
      </c>
      <c r="K1359" s="3">
        <v>1239</v>
      </c>
      <c r="L1359" s="16"/>
      <c r="M1359" s="57"/>
      <c r="N1359" s="58"/>
      <c r="P1359" s="16">
        <v>1</v>
      </c>
      <c r="Q1359" s="20">
        <f t="shared" si="260"/>
        <v>1239</v>
      </c>
      <c r="R1359" s="14">
        <v>160</v>
      </c>
      <c r="S1359" s="19">
        <f t="shared" si="262"/>
        <v>198240</v>
      </c>
      <c r="T1359" s="16"/>
      <c r="U1359" s="16"/>
      <c r="V1359" s="16"/>
      <c r="W1359" s="5"/>
      <c r="X1359" s="16"/>
      <c r="Y1359" s="5"/>
      <c r="Z1359" s="16"/>
      <c r="AA1359" s="16"/>
      <c r="AB1359" s="16"/>
      <c r="AE1359" s="16"/>
      <c r="AG1359" s="22">
        <f t="shared" si="266"/>
        <v>0</v>
      </c>
      <c r="AH1359" s="6"/>
      <c r="AJ1359" s="20">
        <f t="shared" si="261"/>
        <v>0</v>
      </c>
      <c r="AK1359" s="50"/>
      <c r="AL1359" s="6"/>
      <c r="AM1359" s="20">
        <f t="shared" si="263"/>
        <v>0</v>
      </c>
      <c r="AN1359" s="20">
        <f t="shared" si="264"/>
        <v>198240</v>
      </c>
      <c r="AP1359" s="20">
        <f t="shared" si="265"/>
        <v>198240</v>
      </c>
      <c r="AQ1359" s="7"/>
      <c r="AR1359" s="20"/>
      <c r="AS1359" s="51"/>
    </row>
    <row r="1360" spans="1:45" s="21" customFormat="1" ht="30" customHeight="1" x14ac:dyDescent="0.2">
      <c r="A1360" s="8">
        <v>1148</v>
      </c>
      <c r="B1360" s="46">
        <v>1</v>
      </c>
      <c r="C1360" s="16" t="s">
        <v>52</v>
      </c>
      <c r="D1360" s="48">
        <v>29714</v>
      </c>
      <c r="E1360" s="47">
        <v>183</v>
      </c>
      <c r="F1360" s="48">
        <v>5514</v>
      </c>
      <c r="G1360" s="49">
        <v>2</v>
      </c>
      <c r="H1360" s="48">
        <v>0</v>
      </c>
      <c r="I1360" s="48">
        <v>0</v>
      </c>
      <c r="J1360" s="48">
        <v>27</v>
      </c>
      <c r="K1360" s="3"/>
      <c r="L1360" s="16"/>
      <c r="M1360" s="57"/>
      <c r="N1360" s="58">
        <v>27</v>
      </c>
      <c r="P1360" s="16">
        <v>4</v>
      </c>
      <c r="Q1360" s="20">
        <f t="shared" si="260"/>
        <v>27</v>
      </c>
      <c r="R1360" s="14">
        <v>160</v>
      </c>
      <c r="S1360" s="19">
        <f t="shared" si="262"/>
        <v>4320</v>
      </c>
      <c r="T1360" s="16"/>
      <c r="U1360" s="17"/>
      <c r="V1360" s="16"/>
      <c r="W1360" s="5"/>
      <c r="X1360" s="16"/>
      <c r="Y1360" s="5"/>
      <c r="Z1360" s="16"/>
      <c r="AA1360" s="16"/>
      <c r="AB1360" s="16"/>
      <c r="AE1360" s="16"/>
      <c r="AG1360" s="22">
        <f t="shared" si="266"/>
        <v>0</v>
      </c>
      <c r="AH1360" s="6"/>
      <c r="AJ1360" s="20">
        <f t="shared" si="261"/>
        <v>0</v>
      </c>
      <c r="AK1360" s="50"/>
      <c r="AL1360" s="6"/>
      <c r="AM1360" s="20">
        <f t="shared" si="263"/>
        <v>0</v>
      </c>
      <c r="AN1360" s="20">
        <f t="shared" si="264"/>
        <v>4320</v>
      </c>
      <c r="AP1360" s="20">
        <f t="shared" si="265"/>
        <v>4320</v>
      </c>
      <c r="AQ1360" s="7">
        <v>3.0000000000000001E-3</v>
      </c>
      <c r="AR1360" s="20"/>
      <c r="AS1360" s="51"/>
    </row>
    <row r="1361" spans="1:45" s="21" customFormat="1" ht="30" customHeight="1" x14ac:dyDescent="0.2">
      <c r="A1361" s="8">
        <v>1149</v>
      </c>
      <c r="B1361" s="46">
        <v>2</v>
      </c>
      <c r="C1361" s="16" t="s">
        <v>52</v>
      </c>
      <c r="D1361" s="48">
        <v>29719</v>
      </c>
      <c r="E1361" s="47">
        <v>188</v>
      </c>
      <c r="F1361" s="48">
        <v>5519</v>
      </c>
      <c r="G1361" s="49">
        <v>2</v>
      </c>
      <c r="H1361" s="48">
        <v>0</v>
      </c>
      <c r="I1361" s="48">
        <v>0</v>
      </c>
      <c r="J1361" s="48">
        <v>25</v>
      </c>
      <c r="K1361" s="3"/>
      <c r="L1361" s="16"/>
      <c r="M1361" s="57"/>
      <c r="N1361" s="58">
        <v>25</v>
      </c>
      <c r="P1361" s="16">
        <v>4</v>
      </c>
      <c r="Q1361" s="20">
        <f t="shared" si="260"/>
        <v>25</v>
      </c>
      <c r="R1361" s="14">
        <v>160</v>
      </c>
      <c r="S1361" s="20">
        <f t="shared" si="262"/>
        <v>4000</v>
      </c>
      <c r="T1361" s="16"/>
      <c r="U1361" s="17"/>
      <c r="V1361" s="17"/>
      <c r="W1361" s="4"/>
      <c r="X1361" s="16"/>
      <c r="Y1361" s="5"/>
      <c r="Z1361" s="16"/>
      <c r="AA1361" s="16"/>
      <c r="AB1361" s="16"/>
      <c r="AE1361" s="16"/>
      <c r="AG1361" s="22">
        <f t="shared" si="266"/>
        <v>0</v>
      </c>
      <c r="AH1361" s="6"/>
      <c r="AJ1361" s="20">
        <f t="shared" si="261"/>
        <v>0</v>
      </c>
      <c r="AK1361" s="50"/>
      <c r="AL1361" s="6"/>
      <c r="AM1361" s="20">
        <f t="shared" si="263"/>
        <v>0</v>
      </c>
      <c r="AN1361" s="20">
        <f t="shared" si="264"/>
        <v>4000</v>
      </c>
      <c r="AP1361" s="20">
        <f t="shared" si="265"/>
        <v>4000</v>
      </c>
      <c r="AQ1361" s="7">
        <v>3.0000000000000001E-3</v>
      </c>
      <c r="AR1361" s="20"/>
      <c r="AS1361" s="51"/>
    </row>
    <row r="1362" spans="1:45" s="21" customFormat="1" ht="30" customHeight="1" x14ac:dyDescent="0.2">
      <c r="A1362" s="8">
        <v>1150</v>
      </c>
      <c r="B1362" s="46">
        <v>3</v>
      </c>
      <c r="C1362" s="16" t="s">
        <v>52</v>
      </c>
      <c r="D1362" s="48">
        <v>29904</v>
      </c>
      <c r="E1362" s="47">
        <v>196</v>
      </c>
      <c r="F1362" s="48">
        <v>5744</v>
      </c>
      <c r="G1362" s="49">
        <v>2</v>
      </c>
      <c r="H1362" s="48">
        <v>0</v>
      </c>
      <c r="I1362" s="48">
        <v>0</v>
      </c>
      <c r="J1362" s="48">
        <v>25</v>
      </c>
      <c r="K1362" s="3"/>
      <c r="L1362" s="16"/>
      <c r="M1362" s="57"/>
      <c r="N1362" s="58">
        <v>25</v>
      </c>
      <c r="P1362" s="16">
        <v>4</v>
      </c>
      <c r="Q1362" s="20">
        <f t="shared" si="260"/>
        <v>25</v>
      </c>
      <c r="R1362" s="14">
        <v>1500</v>
      </c>
      <c r="S1362" s="19">
        <f t="shared" si="262"/>
        <v>37500</v>
      </c>
      <c r="T1362" s="16"/>
      <c r="U1362" s="17"/>
      <c r="V1362" s="17"/>
      <c r="W1362" s="4"/>
      <c r="X1362" s="16"/>
      <c r="Y1362" s="5"/>
      <c r="Z1362" s="16"/>
      <c r="AA1362" s="16"/>
      <c r="AB1362" s="16"/>
      <c r="AE1362" s="16"/>
      <c r="AG1362" s="22">
        <f t="shared" si="266"/>
        <v>0</v>
      </c>
      <c r="AH1362" s="6"/>
      <c r="AJ1362" s="20">
        <f t="shared" si="261"/>
        <v>0</v>
      </c>
      <c r="AK1362" s="50"/>
      <c r="AL1362" s="6"/>
      <c r="AM1362" s="20">
        <f t="shared" si="263"/>
        <v>0</v>
      </c>
      <c r="AN1362" s="20">
        <f t="shared" si="264"/>
        <v>37500</v>
      </c>
      <c r="AP1362" s="20">
        <f t="shared" si="265"/>
        <v>37500</v>
      </c>
      <c r="AQ1362" s="7">
        <v>3.0000000000000001E-3</v>
      </c>
      <c r="AR1362" s="20"/>
      <c r="AS1362" s="51"/>
    </row>
    <row r="1363" spans="1:45" s="21" customFormat="1" ht="30" customHeight="1" x14ac:dyDescent="0.2">
      <c r="A1363" s="8">
        <v>1151</v>
      </c>
      <c r="B1363" s="46">
        <v>4</v>
      </c>
      <c r="C1363" s="16" t="s">
        <v>52</v>
      </c>
      <c r="D1363" s="48">
        <v>22593</v>
      </c>
      <c r="E1363" s="47">
        <v>30</v>
      </c>
      <c r="F1363" s="48">
        <v>4810</v>
      </c>
      <c r="G1363" s="49">
        <v>6</v>
      </c>
      <c r="H1363" s="48">
        <v>0</v>
      </c>
      <c r="I1363" s="48">
        <v>0</v>
      </c>
      <c r="J1363" s="48">
        <v>42</v>
      </c>
      <c r="K1363" s="3"/>
      <c r="L1363" s="16"/>
      <c r="M1363" s="57"/>
      <c r="N1363" s="58">
        <v>42</v>
      </c>
      <c r="P1363" s="16">
        <v>4</v>
      </c>
      <c r="Q1363" s="20">
        <f t="shared" si="260"/>
        <v>42</v>
      </c>
      <c r="R1363" s="14">
        <v>160</v>
      </c>
      <c r="S1363" s="19">
        <f t="shared" si="262"/>
        <v>6720</v>
      </c>
      <c r="T1363" s="16"/>
      <c r="U1363" s="17"/>
      <c r="V1363" s="17"/>
      <c r="W1363" s="4"/>
      <c r="X1363" s="16"/>
      <c r="Y1363" s="5"/>
      <c r="Z1363" s="16"/>
      <c r="AA1363" s="16"/>
      <c r="AB1363" s="16"/>
      <c r="AE1363" s="16"/>
      <c r="AG1363" s="22">
        <f t="shared" si="266"/>
        <v>0</v>
      </c>
      <c r="AH1363" s="6"/>
      <c r="AJ1363" s="20">
        <f t="shared" si="261"/>
        <v>0</v>
      </c>
      <c r="AK1363" s="50"/>
      <c r="AL1363" s="6"/>
      <c r="AM1363" s="20">
        <f t="shared" si="263"/>
        <v>0</v>
      </c>
      <c r="AN1363" s="20">
        <f t="shared" si="264"/>
        <v>6720</v>
      </c>
      <c r="AP1363" s="20">
        <f t="shared" si="265"/>
        <v>6720</v>
      </c>
      <c r="AQ1363" s="7">
        <v>3.0000000000000001E-3</v>
      </c>
      <c r="AR1363" s="20"/>
      <c r="AS1363" s="51"/>
    </row>
    <row r="1364" spans="1:45" ht="30" customHeight="1" x14ac:dyDescent="0.2">
      <c r="A1364" s="8"/>
      <c r="C1364" s="16"/>
      <c r="Q1364" s="20"/>
      <c r="S1364" s="20"/>
      <c r="AC1364" s="21"/>
      <c r="AD1364" s="21"/>
      <c r="AG1364" s="22"/>
      <c r="AJ1364" s="20"/>
      <c r="AM1364" s="20"/>
      <c r="AN1364" s="20"/>
      <c r="AP1364" s="20"/>
      <c r="AR1364" s="20"/>
    </row>
    <row r="1365" spans="1:45" s="21" customFormat="1" ht="30" customHeight="1" x14ac:dyDescent="0.2">
      <c r="A1365" s="8">
        <v>1152</v>
      </c>
      <c r="B1365" s="46">
        <v>1</v>
      </c>
      <c r="C1365" s="16" t="s">
        <v>52</v>
      </c>
      <c r="D1365" s="48">
        <v>2489</v>
      </c>
      <c r="E1365" s="47">
        <v>41</v>
      </c>
      <c r="F1365" s="48">
        <v>1493</v>
      </c>
      <c r="G1365" s="49">
        <v>2</v>
      </c>
      <c r="H1365" s="48">
        <v>0</v>
      </c>
      <c r="I1365" s="48">
        <v>0</v>
      </c>
      <c r="J1365" s="48">
        <v>41</v>
      </c>
      <c r="K1365" s="3"/>
      <c r="L1365" s="16">
        <v>41</v>
      </c>
      <c r="M1365" s="57"/>
      <c r="N1365" s="58"/>
      <c r="P1365" s="16">
        <v>2</v>
      </c>
      <c r="Q1365" s="20">
        <f t="shared" ref="Q1365:Q1429" si="267">+(H1365*400)+(I1365*100)+J1365</f>
        <v>41</v>
      </c>
      <c r="R1365" s="14">
        <v>4500</v>
      </c>
      <c r="S1365" s="19">
        <f t="shared" si="262"/>
        <v>184500</v>
      </c>
      <c r="T1365" s="16"/>
      <c r="U1365" s="17" t="s">
        <v>57</v>
      </c>
      <c r="V1365" s="17" t="s">
        <v>56</v>
      </c>
      <c r="W1365" s="4"/>
      <c r="X1365" s="16"/>
      <c r="Y1365" s="5">
        <v>105</v>
      </c>
      <c r="Z1365" s="16"/>
      <c r="AA1365" s="16"/>
      <c r="AB1365" s="16">
        <v>11</v>
      </c>
      <c r="AE1365" s="16"/>
      <c r="AG1365" s="22">
        <f t="shared" si="266"/>
        <v>105</v>
      </c>
      <c r="AH1365" s="6"/>
      <c r="AJ1365" s="20">
        <f t="shared" si="261"/>
        <v>0</v>
      </c>
      <c r="AK1365" s="50">
        <v>11</v>
      </c>
      <c r="AL1365" s="6"/>
      <c r="AM1365" s="20">
        <f t="shared" si="263"/>
        <v>0</v>
      </c>
      <c r="AN1365" s="20">
        <f t="shared" si="264"/>
        <v>184500</v>
      </c>
      <c r="AP1365" s="20">
        <f t="shared" si="265"/>
        <v>184500</v>
      </c>
      <c r="AQ1365" s="7"/>
      <c r="AR1365" s="20"/>
      <c r="AS1365" s="51"/>
    </row>
    <row r="1366" spans="1:45" s="21" customFormat="1" ht="30" customHeight="1" x14ac:dyDescent="0.2">
      <c r="A1366" s="8">
        <v>1153</v>
      </c>
      <c r="B1366" s="46">
        <v>2</v>
      </c>
      <c r="C1366" s="16" t="s">
        <v>52</v>
      </c>
      <c r="D1366" s="48">
        <v>2490</v>
      </c>
      <c r="E1366" s="47">
        <v>42</v>
      </c>
      <c r="F1366" s="48">
        <v>1494</v>
      </c>
      <c r="G1366" s="49">
        <v>2</v>
      </c>
      <c r="H1366" s="48">
        <v>0</v>
      </c>
      <c r="I1366" s="48">
        <v>0</v>
      </c>
      <c r="J1366" s="48">
        <v>15</v>
      </c>
      <c r="K1366" s="3"/>
      <c r="L1366" s="16">
        <v>15</v>
      </c>
      <c r="M1366" s="57"/>
      <c r="N1366" s="58"/>
      <c r="P1366" s="16">
        <v>2</v>
      </c>
      <c r="Q1366" s="20">
        <f t="shared" si="267"/>
        <v>15</v>
      </c>
      <c r="R1366" s="14">
        <v>160</v>
      </c>
      <c r="S1366" s="19">
        <f t="shared" si="262"/>
        <v>2400</v>
      </c>
      <c r="T1366" s="16"/>
      <c r="U1366" s="17"/>
      <c r="V1366" s="17"/>
      <c r="W1366" s="4"/>
      <c r="X1366" s="16"/>
      <c r="Y1366" s="5"/>
      <c r="Z1366" s="16"/>
      <c r="AA1366" s="16"/>
      <c r="AB1366" s="16"/>
      <c r="AE1366" s="16"/>
      <c r="AG1366" s="22">
        <f t="shared" si="266"/>
        <v>0</v>
      </c>
      <c r="AH1366" s="6"/>
      <c r="AJ1366" s="20">
        <f t="shared" si="261"/>
        <v>0</v>
      </c>
      <c r="AK1366" s="50"/>
      <c r="AL1366" s="6"/>
      <c r="AM1366" s="20">
        <f t="shared" si="263"/>
        <v>0</v>
      </c>
      <c r="AN1366" s="20">
        <f t="shared" si="264"/>
        <v>2400</v>
      </c>
      <c r="AP1366" s="20">
        <f t="shared" si="265"/>
        <v>2400</v>
      </c>
      <c r="AQ1366" s="7"/>
      <c r="AR1366" s="20"/>
      <c r="AS1366" s="51"/>
    </row>
    <row r="1367" spans="1:45" s="21" customFormat="1" ht="30" customHeight="1" x14ac:dyDescent="0.2">
      <c r="A1367" s="8">
        <v>1154</v>
      </c>
      <c r="B1367" s="46">
        <v>3</v>
      </c>
      <c r="C1367" s="16" t="s">
        <v>52</v>
      </c>
      <c r="D1367" s="48">
        <v>14048</v>
      </c>
      <c r="E1367" s="47">
        <v>272</v>
      </c>
      <c r="F1367" s="48">
        <v>3315</v>
      </c>
      <c r="G1367" s="49">
        <v>2</v>
      </c>
      <c r="H1367" s="48">
        <v>0</v>
      </c>
      <c r="I1367" s="48">
        <v>0</v>
      </c>
      <c r="J1367" s="48">
        <v>39</v>
      </c>
      <c r="K1367" s="3"/>
      <c r="L1367" s="16">
        <v>39</v>
      </c>
      <c r="M1367" s="57"/>
      <c r="N1367" s="58"/>
      <c r="P1367" s="16">
        <v>2</v>
      </c>
      <c r="Q1367" s="20">
        <f t="shared" si="267"/>
        <v>39</v>
      </c>
      <c r="R1367" s="14">
        <v>4500</v>
      </c>
      <c r="S1367" s="20">
        <f t="shared" si="262"/>
        <v>175500</v>
      </c>
      <c r="T1367" s="16"/>
      <c r="U1367" s="16" t="s">
        <v>57</v>
      </c>
      <c r="V1367" s="16" t="s">
        <v>56</v>
      </c>
      <c r="W1367" s="5"/>
      <c r="X1367" s="16"/>
      <c r="Y1367" s="5">
        <v>120</v>
      </c>
      <c r="Z1367" s="16"/>
      <c r="AA1367" s="16"/>
      <c r="AB1367" s="16">
        <v>16</v>
      </c>
      <c r="AE1367" s="16"/>
      <c r="AG1367" s="22">
        <f t="shared" si="266"/>
        <v>120</v>
      </c>
      <c r="AH1367" s="6"/>
      <c r="AJ1367" s="20">
        <f t="shared" si="261"/>
        <v>0</v>
      </c>
      <c r="AK1367" s="50">
        <v>16</v>
      </c>
      <c r="AL1367" s="6"/>
      <c r="AM1367" s="20">
        <f t="shared" si="263"/>
        <v>0</v>
      </c>
      <c r="AN1367" s="20">
        <f t="shared" si="264"/>
        <v>175500</v>
      </c>
      <c r="AP1367" s="20">
        <f t="shared" si="265"/>
        <v>175500</v>
      </c>
      <c r="AQ1367" s="7"/>
      <c r="AR1367" s="20"/>
      <c r="AS1367" s="51"/>
    </row>
    <row r="1368" spans="1:45" s="21" customFormat="1" ht="30" customHeight="1" x14ac:dyDescent="0.2">
      <c r="A1368" s="8">
        <v>1155</v>
      </c>
      <c r="B1368" s="46">
        <v>1</v>
      </c>
      <c r="C1368" s="16" t="s">
        <v>52</v>
      </c>
      <c r="D1368" s="48">
        <v>3835</v>
      </c>
      <c r="E1368" s="47">
        <v>73</v>
      </c>
      <c r="F1368" s="48">
        <v>2327</v>
      </c>
      <c r="G1368" s="49">
        <v>2</v>
      </c>
      <c r="H1368" s="48">
        <v>0</v>
      </c>
      <c r="I1368" s="48">
        <v>0</v>
      </c>
      <c r="J1368" s="48">
        <v>75</v>
      </c>
      <c r="K1368" s="3"/>
      <c r="L1368" s="16">
        <v>75</v>
      </c>
      <c r="M1368" s="57"/>
      <c r="N1368" s="58"/>
      <c r="P1368" s="16">
        <v>2</v>
      </c>
      <c r="Q1368" s="20">
        <f t="shared" si="267"/>
        <v>75</v>
      </c>
      <c r="R1368" s="14">
        <v>1200</v>
      </c>
      <c r="S1368" s="19">
        <f t="shared" si="262"/>
        <v>90000</v>
      </c>
      <c r="T1368" s="16"/>
      <c r="U1368" s="17"/>
      <c r="V1368" s="16"/>
      <c r="W1368" s="5"/>
      <c r="X1368" s="16"/>
      <c r="Y1368" s="5"/>
      <c r="Z1368" s="16"/>
      <c r="AA1368" s="16"/>
      <c r="AB1368" s="16"/>
      <c r="AE1368" s="16"/>
      <c r="AG1368" s="22">
        <f t="shared" si="266"/>
        <v>0</v>
      </c>
      <c r="AH1368" s="6"/>
      <c r="AJ1368" s="20">
        <f t="shared" si="261"/>
        <v>0</v>
      </c>
      <c r="AK1368" s="50"/>
      <c r="AL1368" s="6"/>
      <c r="AM1368" s="20">
        <f t="shared" si="263"/>
        <v>0</v>
      </c>
      <c r="AN1368" s="20">
        <f t="shared" si="264"/>
        <v>90000</v>
      </c>
      <c r="AP1368" s="20">
        <f t="shared" si="265"/>
        <v>90000</v>
      </c>
      <c r="AQ1368" s="7"/>
      <c r="AR1368" s="20"/>
      <c r="AS1368" s="51"/>
    </row>
    <row r="1369" spans="1:45" s="21" customFormat="1" ht="30" customHeight="1" x14ac:dyDescent="0.2">
      <c r="A1369" s="8">
        <v>1156</v>
      </c>
      <c r="B1369" s="46">
        <v>2</v>
      </c>
      <c r="C1369" s="16" t="s">
        <v>52</v>
      </c>
      <c r="D1369" s="48">
        <v>14474</v>
      </c>
      <c r="E1369" s="47">
        <v>124</v>
      </c>
      <c r="F1369" s="48">
        <v>3371</v>
      </c>
      <c r="G1369" s="49">
        <v>2</v>
      </c>
      <c r="H1369" s="48">
        <v>0</v>
      </c>
      <c r="I1369" s="48">
        <v>2</v>
      </c>
      <c r="J1369" s="48">
        <v>22.04</v>
      </c>
      <c r="K1369" s="3"/>
      <c r="L1369" s="16"/>
      <c r="M1369" s="57"/>
      <c r="N1369" s="58">
        <v>222.04</v>
      </c>
      <c r="P1369" s="16">
        <v>4</v>
      </c>
      <c r="Q1369" s="20">
        <f t="shared" si="267"/>
        <v>222.04</v>
      </c>
      <c r="R1369" s="14">
        <v>250</v>
      </c>
      <c r="S1369" s="19">
        <f t="shared" si="262"/>
        <v>55510</v>
      </c>
      <c r="T1369" s="16"/>
      <c r="U1369" s="17"/>
      <c r="V1369" s="17"/>
      <c r="W1369" s="4"/>
      <c r="X1369" s="16"/>
      <c r="Y1369" s="5"/>
      <c r="Z1369" s="16"/>
      <c r="AA1369" s="16"/>
      <c r="AB1369" s="16"/>
      <c r="AE1369" s="16"/>
      <c r="AG1369" s="22">
        <f t="shared" si="266"/>
        <v>0</v>
      </c>
      <c r="AH1369" s="6"/>
      <c r="AJ1369" s="20">
        <f t="shared" si="261"/>
        <v>0</v>
      </c>
      <c r="AK1369" s="50"/>
      <c r="AL1369" s="6"/>
      <c r="AM1369" s="20">
        <f t="shared" si="263"/>
        <v>0</v>
      </c>
      <c r="AN1369" s="20">
        <f t="shared" si="264"/>
        <v>55510</v>
      </c>
      <c r="AP1369" s="20">
        <f t="shared" si="265"/>
        <v>55510</v>
      </c>
      <c r="AQ1369" s="7">
        <v>3.0000000000000001E-3</v>
      </c>
      <c r="AR1369" s="20"/>
      <c r="AS1369" s="51"/>
    </row>
    <row r="1370" spans="1:45" s="21" customFormat="1" ht="30" customHeight="1" x14ac:dyDescent="0.2">
      <c r="A1370" s="8">
        <v>1157</v>
      </c>
      <c r="B1370" s="46">
        <v>1</v>
      </c>
      <c r="C1370" s="16" t="s">
        <v>52</v>
      </c>
      <c r="D1370" s="48">
        <v>3209</v>
      </c>
      <c r="E1370" s="47">
        <v>49</v>
      </c>
      <c r="F1370" s="48">
        <v>2142</v>
      </c>
      <c r="G1370" s="49">
        <v>2</v>
      </c>
      <c r="H1370" s="48">
        <v>0</v>
      </c>
      <c r="I1370" s="48">
        <v>0</v>
      </c>
      <c r="J1370" s="48">
        <v>84.09</v>
      </c>
      <c r="K1370" s="3"/>
      <c r="L1370" s="16"/>
      <c r="M1370" s="57"/>
      <c r="N1370" s="58">
        <v>84.09</v>
      </c>
      <c r="P1370" s="16">
        <v>4</v>
      </c>
      <c r="Q1370" s="20">
        <f t="shared" si="267"/>
        <v>84.09</v>
      </c>
      <c r="R1370" s="14">
        <v>200</v>
      </c>
      <c r="S1370" s="20">
        <f t="shared" si="262"/>
        <v>16818</v>
      </c>
      <c r="T1370" s="16"/>
      <c r="U1370" s="17"/>
      <c r="V1370" s="17"/>
      <c r="W1370" s="4"/>
      <c r="X1370" s="16"/>
      <c r="Y1370" s="5"/>
      <c r="Z1370" s="16"/>
      <c r="AA1370" s="16"/>
      <c r="AB1370" s="16"/>
      <c r="AC1370" s="14"/>
      <c r="AD1370" s="14"/>
      <c r="AE1370" s="16"/>
      <c r="AG1370" s="22">
        <f t="shared" si="266"/>
        <v>0</v>
      </c>
      <c r="AH1370" s="6"/>
      <c r="AJ1370" s="20">
        <f t="shared" si="261"/>
        <v>0</v>
      </c>
      <c r="AK1370" s="50"/>
      <c r="AL1370" s="6"/>
      <c r="AM1370" s="20">
        <f t="shared" si="263"/>
        <v>0</v>
      </c>
      <c r="AN1370" s="20">
        <f t="shared" si="264"/>
        <v>16818</v>
      </c>
      <c r="AP1370" s="20">
        <f t="shared" si="265"/>
        <v>16818</v>
      </c>
      <c r="AQ1370" s="7">
        <v>3.0000000000000001E-3</v>
      </c>
      <c r="AR1370" s="20"/>
      <c r="AS1370" s="51"/>
    </row>
    <row r="1371" spans="1:45" s="21" customFormat="1" ht="30" customHeight="1" x14ac:dyDescent="0.2">
      <c r="A1371" s="8">
        <v>1158</v>
      </c>
      <c r="B1371" s="46">
        <v>1</v>
      </c>
      <c r="C1371" s="16" t="s">
        <v>52</v>
      </c>
      <c r="D1371" s="48">
        <v>3210</v>
      </c>
      <c r="E1371" s="47">
        <v>51</v>
      </c>
      <c r="F1371" s="48">
        <v>2143</v>
      </c>
      <c r="G1371" s="49">
        <v>2</v>
      </c>
      <c r="H1371" s="48">
        <v>0</v>
      </c>
      <c r="I1371" s="48">
        <v>0</v>
      </c>
      <c r="J1371" s="48">
        <v>90</v>
      </c>
      <c r="K1371" s="3"/>
      <c r="L1371" s="16">
        <v>90</v>
      </c>
      <c r="M1371" s="57"/>
      <c r="N1371" s="58"/>
      <c r="P1371" s="16">
        <v>2</v>
      </c>
      <c r="Q1371" s="20">
        <f t="shared" si="267"/>
        <v>90</v>
      </c>
      <c r="R1371" s="14">
        <v>200</v>
      </c>
      <c r="S1371" s="19">
        <f t="shared" si="262"/>
        <v>18000</v>
      </c>
      <c r="T1371" s="16"/>
      <c r="U1371" s="17"/>
      <c r="V1371" s="17"/>
      <c r="W1371" s="4"/>
      <c r="X1371" s="16"/>
      <c r="Y1371" s="5"/>
      <c r="Z1371" s="16"/>
      <c r="AA1371" s="16"/>
      <c r="AB1371" s="16"/>
      <c r="AE1371" s="16"/>
      <c r="AG1371" s="22">
        <f t="shared" si="266"/>
        <v>0</v>
      </c>
      <c r="AH1371" s="6"/>
      <c r="AJ1371" s="20">
        <f t="shared" si="261"/>
        <v>0</v>
      </c>
      <c r="AK1371" s="50"/>
      <c r="AL1371" s="6"/>
      <c r="AM1371" s="20">
        <f t="shared" si="263"/>
        <v>0</v>
      </c>
      <c r="AN1371" s="20">
        <f t="shared" si="264"/>
        <v>18000</v>
      </c>
      <c r="AP1371" s="20">
        <f t="shared" si="265"/>
        <v>18000</v>
      </c>
      <c r="AQ1371" s="7"/>
      <c r="AR1371" s="20"/>
      <c r="AS1371" s="51"/>
    </row>
    <row r="1372" spans="1:45" s="21" customFormat="1" ht="30" customHeight="1" x14ac:dyDescent="0.2">
      <c r="A1372" s="8">
        <v>1159</v>
      </c>
      <c r="B1372" s="46">
        <v>2</v>
      </c>
      <c r="C1372" s="16" t="s">
        <v>52</v>
      </c>
      <c r="D1372" s="48">
        <v>3770</v>
      </c>
      <c r="E1372" s="47">
        <v>100</v>
      </c>
      <c r="F1372" s="48">
        <v>2295</v>
      </c>
      <c r="G1372" s="49">
        <v>2</v>
      </c>
      <c r="H1372" s="48">
        <v>1</v>
      </c>
      <c r="I1372" s="48">
        <v>3</v>
      </c>
      <c r="J1372" s="48">
        <v>95</v>
      </c>
      <c r="K1372" s="3">
        <v>795</v>
      </c>
      <c r="L1372" s="16"/>
      <c r="M1372" s="57"/>
      <c r="N1372" s="58"/>
      <c r="P1372" s="16">
        <v>1</v>
      </c>
      <c r="Q1372" s="20">
        <f t="shared" si="267"/>
        <v>795</v>
      </c>
      <c r="R1372" s="14">
        <v>160</v>
      </c>
      <c r="S1372" s="19">
        <f t="shared" si="262"/>
        <v>127200</v>
      </c>
      <c r="T1372" s="16"/>
      <c r="U1372" s="17"/>
      <c r="V1372" s="17"/>
      <c r="W1372" s="4"/>
      <c r="X1372" s="16"/>
      <c r="Y1372" s="5"/>
      <c r="Z1372" s="16"/>
      <c r="AA1372" s="16"/>
      <c r="AB1372" s="16"/>
      <c r="AC1372" s="14"/>
      <c r="AD1372" s="14"/>
      <c r="AE1372" s="16"/>
      <c r="AG1372" s="22">
        <f t="shared" si="266"/>
        <v>0</v>
      </c>
      <c r="AH1372" s="6"/>
      <c r="AJ1372" s="20">
        <f t="shared" si="261"/>
        <v>0</v>
      </c>
      <c r="AK1372" s="50"/>
      <c r="AL1372" s="6"/>
      <c r="AM1372" s="20">
        <f t="shared" si="263"/>
        <v>0</v>
      </c>
      <c r="AN1372" s="20">
        <f t="shared" si="264"/>
        <v>127200</v>
      </c>
      <c r="AP1372" s="20">
        <f t="shared" si="265"/>
        <v>127200</v>
      </c>
      <c r="AQ1372" s="7"/>
      <c r="AR1372" s="20"/>
      <c r="AS1372" s="51"/>
    </row>
    <row r="1373" spans="1:45" s="21" customFormat="1" ht="30" customHeight="1" x14ac:dyDescent="0.2">
      <c r="A1373" s="8">
        <v>1160</v>
      </c>
      <c r="B1373" s="46">
        <v>3</v>
      </c>
      <c r="C1373" s="16" t="s">
        <v>52</v>
      </c>
      <c r="D1373" s="48">
        <v>22246</v>
      </c>
      <c r="E1373" s="47">
        <v>143</v>
      </c>
      <c r="F1373" s="48">
        <v>4757</v>
      </c>
      <c r="G1373" s="49">
        <v>2</v>
      </c>
      <c r="H1373" s="48">
        <v>4</v>
      </c>
      <c r="I1373" s="48">
        <v>2</v>
      </c>
      <c r="J1373" s="48">
        <v>46</v>
      </c>
      <c r="K1373" s="3">
        <v>1846</v>
      </c>
      <c r="L1373" s="16"/>
      <c r="M1373" s="57"/>
      <c r="N1373" s="58"/>
      <c r="P1373" s="16">
        <v>1</v>
      </c>
      <c r="Q1373" s="20">
        <f t="shared" si="267"/>
        <v>1846</v>
      </c>
      <c r="R1373" s="14">
        <v>160</v>
      </c>
      <c r="S1373" s="20">
        <f t="shared" si="262"/>
        <v>295360</v>
      </c>
      <c r="T1373" s="16"/>
      <c r="U1373" s="17"/>
      <c r="V1373" s="17"/>
      <c r="W1373" s="4"/>
      <c r="X1373" s="16"/>
      <c r="Y1373" s="5"/>
      <c r="Z1373" s="16"/>
      <c r="AA1373" s="16"/>
      <c r="AB1373" s="16"/>
      <c r="AC1373" s="14"/>
      <c r="AD1373" s="14"/>
      <c r="AE1373" s="16"/>
      <c r="AG1373" s="22">
        <f t="shared" si="266"/>
        <v>0</v>
      </c>
      <c r="AH1373" s="6"/>
      <c r="AJ1373" s="20">
        <f t="shared" si="261"/>
        <v>0</v>
      </c>
      <c r="AK1373" s="50"/>
      <c r="AL1373" s="6"/>
      <c r="AM1373" s="20">
        <f t="shared" si="263"/>
        <v>0</v>
      </c>
      <c r="AN1373" s="20">
        <f t="shared" si="264"/>
        <v>295360</v>
      </c>
      <c r="AP1373" s="20">
        <f t="shared" si="265"/>
        <v>295360</v>
      </c>
      <c r="AQ1373" s="7"/>
      <c r="AR1373" s="20"/>
      <c r="AS1373" s="51"/>
    </row>
    <row r="1374" spans="1:45" ht="30" customHeight="1" x14ac:dyDescent="0.2">
      <c r="A1374" s="8">
        <v>1161</v>
      </c>
      <c r="B1374" s="13">
        <v>4</v>
      </c>
      <c r="C1374" s="16" t="s">
        <v>69</v>
      </c>
      <c r="E1374" s="17">
        <v>1686</v>
      </c>
      <c r="F1374" s="17">
        <v>4</v>
      </c>
      <c r="G1374" s="13">
        <v>2</v>
      </c>
      <c r="H1374" s="17">
        <v>48</v>
      </c>
      <c r="I1374" s="17">
        <v>1</v>
      </c>
      <c r="J1374" s="17">
        <v>66</v>
      </c>
      <c r="K1374" s="10">
        <v>19366</v>
      </c>
      <c r="P1374" s="17">
        <v>1</v>
      </c>
      <c r="Q1374" s="20">
        <f t="shared" si="267"/>
        <v>19366</v>
      </c>
      <c r="R1374" s="14">
        <v>160</v>
      </c>
      <c r="S1374" s="19">
        <f t="shared" si="262"/>
        <v>3098560</v>
      </c>
      <c r="AG1374" s="22">
        <f t="shared" si="266"/>
        <v>0</v>
      </c>
      <c r="AJ1374" s="20">
        <f t="shared" si="261"/>
        <v>0</v>
      </c>
      <c r="AM1374" s="20">
        <f t="shared" si="263"/>
        <v>0</v>
      </c>
      <c r="AN1374" s="20">
        <f t="shared" si="264"/>
        <v>3098560</v>
      </c>
      <c r="AP1374" s="20">
        <f t="shared" si="265"/>
        <v>3098560</v>
      </c>
      <c r="AQ1374" s="12">
        <v>1E-4</v>
      </c>
      <c r="AR1374" s="20"/>
    </row>
    <row r="1375" spans="1:45" s="21" customFormat="1" ht="30" customHeight="1" x14ac:dyDescent="0.2">
      <c r="A1375" s="8">
        <v>1162</v>
      </c>
      <c r="B1375" s="46">
        <v>1</v>
      </c>
      <c r="C1375" s="16" t="s">
        <v>52</v>
      </c>
      <c r="D1375" s="48">
        <v>3771</v>
      </c>
      <c r="E1375" s="47">
        <v>99</v>
      </c>
      <c r="F1375" s="48">
        <v>2296</v>
      </c>
      <c r="G1375" s="49">
        <v>2</v>
      </c>
      <c r="H1375" s="48">
        <v>4</v>
      </c>
      <c r="I1375" s="48">
        <v>2</v>
      </c>
      <c r="J1375" s="48">
        <v>36</v>
      </c>
      <c r="K1375" s="3">
        <v>1836</v>
      </c>
      <c r="L1375" s="16"/>
      <c r="M1375" s="57"/>
      <c r="N1375" s="58"/>
      <c r="P1375" s="16">
        <v>1</v>
      </c>
      <c r="Q1375" s="20">
        <f t="shared" si="267"/>
        <v>1836</v>
      </c>
      <c r="R1375" s="14">
        <v>160</v>
      </c>
      <c r="S1375" s="19">
        <f t="shared" si="262"/>
        <v>293760</v>
      </c>
      <c r="T1375" s="16"/>
      <c r="U1375" s="16"/>
      <c r="V1375" s="16"/>
      <c r="W1375" s="5"/>
      <c r="X1375" s="16"/>
      <c r="Y1375" s="5"/>
      <c r="Z1375" s="16"/>
      <c r="AA1375" s="16"/>
      <c r="AB1375" s="16"/>
      <c r="AC1375" s="14"/>
      <c r="AD1375" s="14"/>
      <c r="AE1375" s="16"/>
      <c r="AG1375" s="22">
        <f t="shared" si="266"/>
        <v>0</v>
      </c>
      <c r="AH1375" s="6"/>
      <c r="AJ1375" s="20">
        <f t="shared" si="261"/>
        <v>0</v>
      </c>
      <c r="AK1375" s="50"/>
      <c r="AL1375" s="6"/>
      <c r="AM1375" s="20">
        <f t="shared" si="263"/>
        <v>0</v>
      </c>
      <c r="AN1375" s="20">
        <f t="shared" si="264"/>
        <v>293760</v>
      </c>
      <c r="AP1375" s="20">
        <f t="shared" si="265"/>
        <v>293760</v>
      </c>
      <c r="AQ1375" s="7"/>
      <c r="AR1375" s="20"/>
      <c r="AS1375" s="51"/>
    </row>
    <row r="1376" spans="1:45" s="21" customFormat="1" ht="30" customHeight="1" x14ac:dyDescent="0.2">
      <c r="A1376" s="8">
        <v>1163</v>
      </c>
      <c r="B1376" s="46">
        <v>1</v>
      </c>
      <c r="C1376" s="16" t="s">
        <v>52</v>
      </c>
      <c r="D1376" s="48">
        <v>35391</v>
      </c>
      <c r="E1376" s="47">
        <v>81</v>
      </c>
      <c r="F1376" s="48">
        <v>6839</v>
      </c>
      <c r="G1376" s="49">
        <v>6</v>
      </c>
      <c r="H1376" s="48">
        <v>0</v>
      </c>
      <c r="I1376" s="48">
        <v>2</v>
      </c>
      <c r="J1376" s="48">
        <v>10</v>
      </c>
      <c r="K1376" s="3">
        <v>210</v>
      </c>
      <c r="L1376" s="16"/>
      <c r="M1376" s="57"/>
      <c r="N1376" s="58"/>
      <c r="P1376" s="16">
        <v>1</v>
      </c>
      <c r="Q1376" s="20">
        <f t="shared" si="267"/>
        <v>210</v>
      </c>
      <c r="R1376" s="14">
        <v>160</v>
      </c>
      <c r="S1376" s="20">
        <f t="shared" si="262"/>
        <v>33600</v>
      </c>
      <c r="T1376" s="16"/>
      <c r="U1376" s="17"/>
      <c r="V1376" s="16"/>
      <c r="W1376" s="5"/>
      <c r="X1376" s="16"/>
      <c r="Y1376" s="5"/>
      <c r="Z1376" s="16"/>
      <c r="AA1376" s="16"/>
      <c r="AB1376" s="16"/>
      <c r="AC1376" s="14"/>
      <c r="AD1376" s="14"/>
      <c r="AE1376" s="16"/>
      <c r="AG1376" s="22">
        <f t="shared" si="266"/>
        <v>0</v>
      </c>
      <c r="AH1376" s="6"/>
      <c r="AJ1376" s="20">
        <f t="shared" si="261"/>
        <v>0</v>
      </c>
      <c r="AK1376" s="50"/>
      <c r="AL1376" s="6"/>
      <c r="AM1376" s="20">
        <f t="shared" si="263"/>
        <v>0</v>
      </c>
      <c r="AN1376" s="20">
        <f t="shared" si="264"/>
        <v>33600</v>
      </c>
      <c r="AP1376" s="20">
        <f t="shared" si="265"/>
        <v>33600</v>
      </c>
      <c r="AQ1376" s="7"/>
      <c r="AR1376" s="20"/>
      <c r="AS1376" s="51"/>
    </row>
    <row r="1377" spans="1:45" s="21" customFormat="1" ht="30" customHeight="1" x14ac:dyDescent="0.2">
      <c r="A1377" s="8">
        <v>1164</v>
      </c>
      <c r="B1377" s="46">
        <v>2</v>
      </c>
      <c r="C1377" s="16" t="s">
        <v>52</v>
      </c>
      <c r="D1377" s="48">
        <v>35393</v>
      </c>
      <c r="E1377" s="47">
        <v>83</v>
      </c>
      <c r="F1377" s="48">
        <v>6841</v>
      </c>
      <c r="G1377" s="49">
        <v>6</v>
      </c>
      <c r="H1377" s="48">
        <v>0</v>
      </c>
      <c r="I1377" s="48">
        <v>0</v>
      </c>
      <c r="J1377" s="48">
        <v>59</v>
      </c>
      <c r="K1377" s="3">
        <v>59</v>
      </c>
      <c r="L1377" s="16"/>
      <c r="M1377" s="57"/>
      <c r="N1377" s="58"/>
      <c r="P1377" s="16">
        <v>1</v>
      </c>
      <c r="Q1377" s="20">
        <f t="shared" si="267"/>
        <v>59</v>
      </c>
      <c r="R1377" s="14">
        <v>160</v>
      </c>
      <c r="S1377" s="19">
        <f t="shared" si="262"/>
        <v>9440</v>
      </c>
      <c r="T1377" s="16"/>
      <c r="U1377" s="17"/>
      <c r="V1377" s="17"/>
      <c r="W1377" s="4"/>
      <c r="X1377" s="16"/>
      <c r="Y1377" s="5"/>
      <c r="Z1377" s="16"/>
      <c r="AA1377" s="16"/>
      <c r="AB1377" s="16"/>
      <c r="AC1377" s="14"/>
      <c r="AD1377" s="14"/>
      <c r="AE1377" s="16"/>
      <c r="AG1377" s="22">
        <f t="shared" si="266"/>
        <v>0</v>
      </c>
      <c r="AH1377" s="6"/>
      <c r="AJ1377" s="20">
        <f t="shared" si="261"/>
        <v>0</v>
      </c>
      <c r="AK1377" s="50"/>
      <c r="AL1377" s="6"/>
      <c r="AM1377" s="20">
        <f t="shared" si="263"/>
        <v>0</v>
      </c>
      <c r="AN1377" s="20">
        <f t="shared" si="264"/>
        <v>9440</v>
      </c>
      <c r="AP1377" s="20">
        <f t="shared" si="265"/>
        <v>9440</v>
      </c>
      <c r="AQ1377" s="7"/>
      <c r="AR1377" s="20"/>
      <c r="AS1377" s="51"/>
    </row>
    <row r="1378" spans="1:45" s="21" customFormat="1" ht="30" customHeight="1" x14ac:dyDescent="0.2">
      <c r="A1378" s="8">
        <v>1165</v>
      </c>
      <c r="B1378" s="46">
        <v>1</v>
      </c>
      <c r="C1378" s="16" t="s">
        <v>52</v>
      </c>
      <c r="D1378" s="48">
        <v>1839</v>
      </c>
      <c r="E1378" s="47">
        <v>88</v>
      </c>
      <c r="F1378" s="48">
        <v>1229</v>
      </c>
      <c r="G1378" s="49"/>
      <c r="H1378" s="48">
        <v>0</v>
      </c>
      <c r="I1378" s="48">
        <v>0</v>
      </c>
      <c r="J1378" s="48">
        <v>80</v>
      </c>
      <c r="K1378" s="3"/>
      <c r="L1378" s="16"/>
      <c r="M1378" s="57"/>
      <c r="N1378" s="58">
        <v>80</v>
      </c>
      <c r="P1378" s="16">
        <v>4</v>
      </c>
      <c r="Q1378" s="20">
        <f t="shared" si="267"/>
        <v>80</v>
      </c>
      <c r="R1378" s="14">
        <v>2000</v>
      </c>
      <c r="S1378" s="19">
        <f t="shared" si="262"/>
        <v>160000</v>
      </c>
      <c r="T1378" s="16"/>
      <c r="U1378" s="17"/>
      <c r="V1378" s="17"/>
      <c r="W1378" s="4"/>
      <c r="X1378" s="16"/>
      <c r="Y1378" s="5"/>
      <c r="Z1378" s="16"/>
      <c r="AA1378" s="16"/>
      <c r="AB1378" s="16"/>
      <c r="AE1378" s="16"/>
      <c r="AG1378" s="22">
        <f t="shared" si="266"/>
        <v>0</v>
      </c>
      <c r="AH1378" s="6"/>
      <c r="AJ1378" s="20">
        <f t="shared" si="261"/>
        <v>0</v>
      </c>
      <c r="AK1378" s="50"/>
      <c r="AL1378" s="6"/>
      <c r="AM1378" s="20">
        <f t="shared" si="263"/>
        <v>0</v>
      </c>
      <c r="AN1378" s="20">
        <f t="shared" si="264"/>
        <v>160000</v>
      </c>
      <c r="AP1378" s="20">
        <f t="shared" si="265"/>
        <v>160000</v>
      </c>
      <c r="AQ1378" s="7">
        <v>3.0000000000000001E-3</v>
      </c>
      <c r="AR1378" s="20"/>
      <c r="AS1378" s="51">
        <v>1</v>
      </c>
    </row>
    <row r="1379" spans="1:45" ht="30" customHeight="1" x14ac:dyDescent="0.2">
      <c r="A1379" s="8">
        <v>1166</v>
      </c>
      <c r="B1379" s="13">
        <v>1</v>
      </c>
      <c r="C1379" s="16" t="s">
        <v>65</v>
      </c>
      <c r="D1379" s="17">
        <v>1122</v>
      </c>
      <c r="E1379" s="17">
        <v>31</v>
      </c>
      <c r="H1379" s="17">
        <v>9</v>
      </c>
      <c r="I1379" s="17">
        <v>1</v>
      </c>
      <c r="J1379" s="17">
        <v>10</v>
      </c>
      <c r="K1379" s="10">
        <f>9*400+110</f>
        <v>3710</v>
      </c>
      <c r="P1379" s="17">
        <v>1</v>
      </c>
      <c r="Q1379" s="20">
        <f t="shared" si="267"/>
        <v>3710</v>
      </c>
      <c r="R1379" s="14">
        <v>160</v>
      </c>
      <c r="S1379" s="20">
        <f t="shared" si="262"/>
        <v>593600</v>
      </c>
      <c r="AG1379" s="22">
        <f t="shared" si="266"/>
        <v>0</v>
      </c>
      <c r="AJ1379" s="20">
        <f t="shared" si="261"/>
        <v>0</v>
      </c>
      <c r="AM1379" s="20">
        <f t="shared" si="263"/>
        <v>0</v>
      </c>
      <c r="AN1379" s="20">
        <f t="shared" si="264"/>
        <v>593600</v>
      </c>
      <c r="AP1379" s="20">
        <f t="shared" si="265"/>
        <v>593600</v>
      </c>
      <c r="AQ1379" s="12">
        <v>1E-4</v>
      </c>
      <c r="AR1379" s="20"/>
      <c r="AS1379" s="26">
        <v>28</v>
      </c>
    </row>
    <row r="1380" spans="1:45" s="21" customFormat="1" ht="30" customHeight="1" x14ac:dyDescent="0.2">
      <c r="A1380" s="8">
        <v>1167</v>
      </c>
      <c r="B1380" s="46">
        <v>1</v>
      </c>
      <c r="C1380" s="16" t="s">
        <v>52</v>
      </c>
      <c r="D1380" s="48">
        <v>2750</v>
      </c>
      <c r="E1380" s="47">
        <v>15</v>
      </c>
      <c r="F1380" s="48">
        <v>1939</v>
      </c>
      <c r="G1380" s="49">
        <v>1</v>
      </c>
      <c r="H1380" s="48">
        <v>26</v>
      </c>
      <c r="I1380" s="48">
        <v>1</v>
      </c>
      <c r="J1380" s="48">
        <v>90</v>
      </c>
      <c r="K1380" s="3">
        <f>26*400+190</f>
        <v>10590</v>
      </c>
      <c r="L1380" s="16"/>
      <c r="M1380" s="57"/>
      <c r="N1380" s="58"/>
      <c r="P1380" s="16">
        <v>1</v>
      </c>
      <c r="Q1380" s="20">
        <f t="shared" si="267"/>
        <v>10590</v>
      </c>
      <c r="R1380" s="14">
        <v>200</v>
      </c>
      <c r="S1380" s="19">
        <f t="shared" si="262"/>
        <v>2118000</v>
      </c>
      <c r="T1380" s="16"/>
      <c r="U1380" s="17"/>
      <c r="V1380" s="17"/>
      <c r="W1380" s="4"/>
      <c r="X1380" s="16"/>
      <c r="Y1380" s="5"/>
      <c r="Z1380" s="16"/>
      <c r="AA1380" s="16"/>
      <c r="AB1380" s="16"/>
      <c r="AE1380" s="16"/>
      <c r="AG1380" s="22">
        <f t="shared" si="266"/>
        <v>0</v>
      </c>
      <c r="AH1380" s="6"/>
      <c r="AJ1380" s="20">
        <f t="shared" si="261"/>
        <v>0</v>
      </c>
      <c r="AK1380" s="50"/>
      <c r="AL1380" s="6"/>
      <c r="AM1380" s="20">
        <f t="shared" si="263"/>
        <v>0</v>
      </c>
      <c r="AN1380" s="20">
        <f t="shared" si="264"/>
        <v>2118000</v>
      </c>
      <c r="AP1380" s="20">
        <f t="shared" si="265"/>
        <v>2118000</v>
      </c>
      <c r="AQ1380" s="7"/>
      <c r="AR1380" s="20"/>
      <c r="AS1380" s="51"/>
    </row>
    <row r="1381" spans="1:45" s="21" customFormat="1" ht="30" customHeight="1" x14ac:dyDescent="0.2">
      <c r="A1381" s="8">
        <v>1168</v>
      </c>
      <c r="B1381" s="46">
        <v>2</v>
      </c>
      <c r="C1381" s="16" t="s">
        <v>52</v>
      </c>
      <c r="D1381" s="48">
        <v>2751</v>
      </c>
      <c r="E1381" s="47">
        <v>14</v>
      </c>
      <c r="F1381" s="48">
        <v>1940</v>
      </c>
      <c r="G1381" s="49">
        <v>1</v>
      </c>
      <c r="H1381" s="48">
        <v>6</v>
      </c>
      <c r="I1381" s="48">
        <v>2</v>
      </c>
      <c r="J1381" s="48">
        <v>68</v>
      </c>
      <c r="K1381" s="3">
        <f>6*400+268</f>
        <v>2668</v>
      </c>
      <c r="L1381" s="16"/>
      <c r="M1381" s="57"/>
      <c r="N1381" s="58"/>
      <c r="P1381" s="16">
        <v>1</v>
      </c>
      <c r="Q1381" s="20">
        <f t="shared" si="267"/>
        <v>2668</v>
      </c>
      <c r="R1381" s="14">
        <v>160</v>
      </c>
      <c r="S1381" s="19">
        <f t="shared" si="262"/>
        <v>426880</v>
      </c>
      <c r="T1381" s="16"/>
      <c r="U1381" s="17"/>
      <c r="V1381" s="17"/>
      <c r="W1381" s="4"/>
      <c r="X1381" s="16"/>
      <c r="Y1381" s="5"/>
      <c r="Z1381" s="16"/>
      <c r="AA1381" s="16"/>
      <c r="AB1381" s="16"/>
      <c r="AE1381" s="16"/>
      <c r="AG1381" s="22">
        <f t="shared" si="266"/>
        <v>0</v>
      </c>
      <c r="AH1381" s="6"/>
      <c r="AJ1381" s="20">
        <f t="shared" si="261"/>
        <v>0</v>
      </c>
      <c r="AK1381" s="50"/>
      <c r="AL1381" s="6"/>
      <c r="AM1381" s="20">
        <f t="shared" si="263"/>
        <v>0</v>
      </c>
      <c r="AN1381" s="20">
        <f t="shared" si="264"/>
        <v>426880</v>
      </c>
      <c r="AP1381" s="20">
        <f t="shared" si="265"/>
        <v>426880</v>
      </c>
      <c r="AQ1381" s="7"/>
      <c r="AR1381" s="20"/>
      <c r="AS1381" s="51"/>
    </row>
    <row r="1382" spans="1:45" ht="30" customHeight="1" x14ac:dyDescent="0.2">
      <c r="A1382" s="8"/>
      <c r="C1382" s="16"/>
      <c r="Q1382" s="20"/>
      <c r="S1382" s="20"/>
      <c r="AC1382" s="21"/>
      <c r="AD1382" s="21"/>
      <c r="AG1382" s="22"/>
      <c r="AJ1382" s="20"/>
      <c r="AM1382" s="20"/>
      <c r="AN1382" s="20"/>
      <c r="AP1382" s="20"/>
      <c r="AR1382" s="20"/>
    </row>
    <row r="1383" spans="1:45" s="21" customFormat="1" ht="30" customHeight="1" x14ac:dyDescent="0.2">
      <c r="A1383" s="8">
        <v>1169</v>
      </c>
      <c r="B1383" s="46">
        <v>1</v>
      </c>
      <c r="C1383" s="16" t="s">
        <v>52</v>
      </c>
      <c r="D1383" s="48">
        <v>2294</v>
      </c>
      <c r="E1383" s="47">
        <v>42</v>
      </c>
      <c r="F1383" s="48">
        <v>1740</v>
      </c>
      <c r="G1383" s="49">
        <v>3</v>
      </c>
      <c r="H1383" s="48">
        <v>12</v>
      </c>
      <c r="I1383" s="48">
        <v>3</v>
      </c>
      <c r="J1383" s="48">
        <v>33</v>
      </c>
      <c r="K1383" s="3">
        <f>12*400+333</f>
        <v>5133</v>
      </c>
      <c r="L1383" s="16"/>
      <c r="M1383" s="57"/>
      <c r="N1383" s="58"/>
      <c r="P1383" s="16">
        <v>1</v>
      </c>
      <c r="Q1383" s="20">
        <f t="shared" si="267"/>
        <v>5133</v>
      </c>
      <c r="R1383" s="14">
        <v>160</v>
      </c>
      <c r="S1383" s="19">
        <f t="shared" si="262"/>
        <v>821280</v>
      </c>
      <c r="T1383" s="16"/>
      <c r="U1383" s="17"/>
      <c r="V1383" s="17"/>
      <c r="W1383" s="4"/>
      <c r="X1383" s="16"/>
      <c r="Y1383" s="5"/>
      <c r="Z1383" s="16"/>
      <c r="AA1383" s="16"/>
      <c r="AB1383" s="16"/>
      <c r="AE1383" s="16"/>
      <c r="AG1383" s="22">
        <f t="shared" si="266"/>
        <v>0</v>
      </c>
      <c r="AH1383" s="6"/>
      <c r="AJ1383" s="20">
        <f t="shared" si="261"/>
        <v>0</v>
      </c>
      <c r="AK1383" s="50"/>
      <c r="AL1383" s="6"/>
      <c r="AM1383" s="20">
        <f t="shared" si="263"/>
        <v>0</v>
      </c>
      <c r="AN1383" s="20">
        <f t="shared" si="264"/>
        <v>821280</v>
      </c>
      <c r="AP1383" s="20">
        <f t="shared" si="265"/>
        <v>821280</v>
      </c>
      <c r="AQ1383" s="7"/>
      <c r="AR1383" s="20"/>
      <c r="AS1383" s="51"/>
    </row>
    <row r="1384" spans="1:45" s="21" customFormat="1" ht="30" customHeight="1" x14ac:dyDescent="0.2">
      <c r="A1384" s="8">
        <v>1170</v>
      </c>
      <c r="B1384" s="46">
        <v>1</v>
      </c>
      <c r="C1384" s="16" t="s">
        <v>52</v>
      </c>
      <c r="D1384" s="48">
        <v>23861</v>
      </c>
      <c r="E1384" s="47">
        <v>28</v>
      </c>
      <c r="F1384" s="48">
        <v>4818</v>
      </c>
      <c r="G1384" s="49">
        <v>3</v>
      </c>
      <c r="H1384" s="48">
        <v>0</v>
      </c>
      <c r="I1384" s="48">
        <v>1</v>
      </c>
      <c r="J1384" s="48">
        <v>14</v>
      </c>
      <c r="K1384" s="3"/>
      <c r="L1384" s="16"/>
      <c r="M1384" s="57"/>
      <c r="N1384" s="58">
        <v>114</v>
      </c>
      <c r="P1384" s="16">
        <v>4</v>
      </c>
      <c r="Q1384" s="20">
        <f t="shared" si="267"/>
        <v>114</v>
      </c>
      <c r="R1384" s="14">
        <v>200</v>
      </c>
      <c r="S1384" s="19">
        <f t="shared" si="262"/>
        <v>22800</v>
      </c>
      <c r="T1384" s="16"/>
      <c r="U1384" s="16"/>
      <c r="V1384" s="16"/>
      <c r="W1384" s="5"/>
      <c r="X1384" s="16"/>
      <c r="Y1384" s="5"/>
      <c r="Z1384" s="16"/>
      <c r="AA1384" s="16"/>
      <c r="AB1384" s="16"/>
      <c r="AE1384" s="16"/>
      <c r="AG1384" s="22">
        <f t="shared" si="266"/>
        <v>0</v>
      </c>
      <c r="AH1384" s="6"/>
      <c r="AJ1384" s="20">
        <f t="shared" si="261"/>
        <v>0</v>
      </c>
      <c r="AK1384" s="50"/>
      <c r="AL1384" s="6"/>
      <c r="AM1384" s="20">
        <f t="shared" si="263"/>
        <v>0</v>
      </c>
      <c r="AN1384" s="20">
        <f t="shared" si="264"/>
        <v>22800</v>
      </c>
      <c r="AP1384" s="20">
        <f t="shared" si="265"/>
        <v>22800</v>
      </c>
      <c r="AQ1384" s="7">
        <v>3.0000000000000001E-3</v>
      </c>
      <c r="AR1384" s="20"/>
      <c r="AS1384" s="51"/>
    </row>
    <row r="1385" spans="1:45" s="21" customFormat="1" ht="30" customHeight="1" x14ac:dyDescent="0.2">
      <c r="A1385" s="8">
        <v>1171</v>
      </c>
      <c r="B1385" s="46">
        <v>1</v>
      </c>
      <c r="C1385" s="16" t="s">
        <v>52</v>
      </c>
      <c r="D1385" s="48">
        <v>1792</v>
      </c>
      <c r="E1385" s="47">
        <v>41</v>
      </c>
      <c r="F1385" s="48">
        <v>1176</v>
      </c>
      <c r="G1385" s="49">
        <v>2</v>
      </c>
      <c r="H1385" s="48">
        <v>8</v>
      </c>
      <c r="I1385" s="48">
        <v>0</v>
      </c>
      <c r="J1385" s="48">
        <v>99</v>
      </c>
      <c r="K1385" s="3">
        <f>8*400+99</f>
        <v>3299</v>
      </c>
      <c r="L1385" s="16"/>
      <c r="M1385" s="57"/>
      <c r="N1385" s="58"/>
      <c r="P1385" s="16">
        <v>1</v>
      </c>
      <c r="Q1385" s="20">
        <f t="shared" si="267"/>
        <v>3299</v>
      </c>
      <c r="R1385" s="14">
        <v>160</v>
      </c>
      <c r="S1385" s="20">
        <f t="shared" si="262"/>
        <v>527840</v>
      </c>
      <c r="T1385" s="16"/>
      <c r="U1385" s="17"/>
      <c r="V1385" s="16"/>
      <c r="W1385" s="5"/>
      <c r="X1385" s="16"/>
      <c r="Y1385" s="5"/>
      <c r="Z1385" s="16"/>
      <c r="AA1385" s="16"/>
      <c r="AB1385" s="16"/>
      <c r="AE1385" s="16"/>
      <c r="AG1385" s="22">
        <f t="shared" si="266"/>
        <v>0</v>
      </c>
      <c r="AH1385" s="6"/>
      <c r="AJ1385" s="20">
        <f t="shared" si="261"/>
        <v>0</v>
      </c>
      <c r="AK1385" s="50"/>
      <c r="AL1385" s="6"/>
      <c r="AM1385" s="20">
        <f t="shared" si="263"/>
        <v>0</v>
      </c>
      <c r="AN1385" s="20">
        <f t="shared" si="264"/>
        <v>527840</v>
      </c>
      <c r="AP1385" s="20">
        <f t="shared" si="265"/>
        <v>527840</v>
      </c>
      <c r="AQ1385" s="7"/>
      <c r="AR1385" s="20"/>
      <c r="AS1385" s="51"/>
    </row>
    <row r="1386" spans="1:45" s="21" customFormat="1" ht="30" customHeight="1" x14ac:dyDescent="0.2">
      <c r="A1386" s="8">
        <v>1172</v>
      </c>
      <c r="B1386" s="46">
        <v>1</v>
      </c>
      <c r="C1386" s="16" t="s">
        <v>52</v>
      </c>
      <c r="D1386" s="48">
        <v>2151</v>
      </c>
      <c r="E1386" s="47">
        <v>29</v>
      </c>
      <c r="F1386" s="48">
        <v>1612</v>
      </c>
      <c r="G1386" s="49">
        <v>3</v>
      </c>
      <c r="H1386" s="48">
        <v>17</v>
      </c>
      <c r="I1386" s="48">
        <v>0</v>
      </c>
      <c r="J1386" s="48">
        <v>31</v>
      </c>
      <c r="K1386" s="3">
        <f>17*400+31</f>
        <v>6831</v>
      </c>
      <c r="L1386" s="16"/>
      <c r="M1386" s="57"/>
      <c r="N1386" s="58"/>
      <c r="P1386" s="16">
        <v>1</v>
      </c>
      <c r="Q1386" s="20">
        <f t="shared" si="267"/>
        <v>6831</v>
      </c>
      <c r="R1386" s="14">
        <v>160</v>
      </c>
      <c r="S1386" s="19">
        <f t="shared" si="262"/>
        <v>1092960</v>
      </c>
      <c r="T1386" s="16"/>
      <c r="U1386" s="17"/>
      <c r="V1386" s="17"/>
      <c r="W1386" s="4"/>
      <c r="X1386" s="16"/>
      <c r="Y1386" s="5"/>
      <c r="Z1386" s="16"/>
      <c r="AA1386" s="16"/>
      <c r="AB1386" s="16"/>
      <c r="AE1386" s="16"/>
      <c r="AG1386" s="22">
        <f t="shared" si="266"/>
        <v>0</v>
      </c>
      <c r="AH1386" s="6"/>
      <c r="AJ1386" s="20">
        <f t="shared" si="261"/>
        <v>0</v>
      </c>
      <c r="AK1386" s="50"/>
      <c r="AL1386" s="6"/>
      <c r="AM1386" s="20">
        <f t="shared" si="263"/>
        <v>0</v>
      </c>
      <c r="AN1386" s="20">
        <f t="shared" si="264"/>
        <v>1092960</v>
      </c>
      <c r="AP1386" s="20">
        <f t="shared" si="265"/>
        <v>1092960</v>
      </c>
      <c r="AQ1386" s="7"/>
      <c r="AR1386" s="20"/>
      <c r="AS1386" s="51"/>
    </row>
    <row r="1387" spans="1:45" s="21" customFormat="1" ht="30" customHeight="1" x14ac:dyDescent="0.2">
      <c r="A1387" s="8">
        <v>1173</v>
      </c>
      <c r="B1387" s="46">
        <v>2</v>
      </c>
      <c r="C1387" s="16" t="s">
        <v>52</v>
      </c>
      <c r="D1387" s="48">
        <v>2207</v>
      </c>
      <c r="E1387" s="47">
        <v>12</v>
      </c>
      <c r="F1387" s="48">
        <v>1655</v>
      </c>
      <c r="G1387" s="49">
        <v>3</v>
      </c>
      <c r="H1387" s="48">
        <v>26</v>
      </c>
      <c r="I1387" s="48">
        <v>2</v>
      </c>
      <c r="J1387" s="48">
        <v>26</v>
      </c>
      <c r="K1387" s="3">
        <f>26*400+226</f>
        <v>10626</v>
      </c>
      <c r="L1387" s="16"/>
      <c r="M1387" s="57"/>
      <c r="N1387" s="58"/>
      <c r="P1387" s="16">
        <v>1</v>
      </c>
      <c r="Q1387" s="20">
        <f t="shared" si="267"/>
        <v>10626</v>
      </c>
      <c r="R1387" s="14">
        <v>160</v>
      </c>
      <c r="S1387" s="19">
        <f t="shared" si="262"/>
        <v>1700160</v>
      </c>
      <c r="T1387" s="16"/>
      <c r="U1387" s="17"/>
      <c r="V1387" s="17"/>
      <c r="W1387" s="4"/>
      <c r="X1387" s="16"/>
      <c r="Y1387" s="5"/>
      <c r="Z1387" s="16"/>
      <c r="AA1387" s="16"/>
      <c r="AB1387" s="16"/>
      <c r="AE1387" s="16"/>
      <c r="AG1387" s="22">
        <f t="shared" si="266"/>
        <v>0</v>
      </c>
      <c r="AH1387" s="6"/>
      <c r="AJ1387" s="20">
        <f t="shared" si="261"/>
        <v>0</v>
      </c>
      <c r="AK1387" s="50"/>
      <c r="AL1387" s="6"/>
      <c r="AM1387" s="20">
        <f t="shared" si="263"/>
        <v>0</v>
      </c>
      <c r="AN1387" s="20">
        <f t="shared" si="264"/>
        <v>1700160</v>
      </c>
      <c r="AP1387" s="20">
        <f t="shared" si="265"/>
        <v>1700160</v>
      </c>
      <c r="AQ1387" s="7"/>
      <c r="AR1387" s="20"/>
      <c r="AS1387" s="51"/>
    </row>
    <row r="1388" spans="1:45" s="21" customFormat="1" ht="30" customHeight="1" x14ac:dyDescent="0.2">
      <c r="A1388" s="8">
        <v>1174</v>
      </c>
      <c r="B1388" s="46">
        <v>3</v>
      </c>
      <c r="C1388" s="16" t="s">
        <v>52</v>
      </c>
      <c r="D1388" s="48">
        <v>2208</v>
      </c>
      <c r="E1388" s="47">
        <v>13</v>
      </c>
      <c r="F1388" s="48">
        <v>1656</v>
      </c>
      <c r="G1388" s="49">
        <v>3</v>
      </c>
      <c r="H1388" s="48">
        <v>19</v>
      </c>
      <c r="I1388" s="48">
        <v>2</v>
      </c>
      <c r="J1388" s="48">
        <v>24</v>
      </c>
      <c r="K1388" s="3">
        <f>19*400+224</f>
        <v>7824</v>
      </c>
      <c r="L1388" s="16"/>
      <c r="M1388" s="57"/>
      <c r="N1388" s="58"/>
      <c r="P1388" s="16">
        <v>1</v>
      </c>
      <c r="Q1388" s="20">
        <f t="shared" si="267"/>
        <v>7824</v>
      </c>
      <c r="R1388" s="14">
        <v>160</v>
      </c>
      <c r="S1388" s="20">
        <f t="shared" si="262"/>
        <v>1251840</v>
      </c>
      <c r="T1388" s="16"/>
      <c r="U1388" s="17"/>
      <c r="V1388" s="17"/>
      <c r="W1388" s="4"/>
      <c r="X1388" s="16"/>
      <c r="Y1388" s="5"/>
      <c r="Z1388" s="16"/>
      <c r="AA1388" s="16"/>
      <c r="AB1388" s="16"/>
      <c r="AE1388" s="16"/>
      <c r="AG1388" s="22">
        <f t="shared" si="266"/>
        <v>0</v>
      </c>
      <c r="AH1388" s="6"/>
      <c r="AJ1388" s="20">
        <f t="shared" si="261"/>
        <v>0</v>
      </c>
      <c r="AK1388" s="50"/>
      <c r="AL1388" s="6"/>
      <c r="AM1388" s="20">
        <f t="shared" si="263"/>
        <v>0</v>
      </c>
      <c r="AN1388" s="20">
        <f t="shared" si="264"/>
        <v>1251840</v>
      </c>
      <c r="AP1388" s="20">
        <f t="shared" si="265"/>
        <v>1251840</v>
      </c>
      <c r="AQ1388" s="7"/>
      <c r="AR1388" s="20"/>
      <c r="AS1388" s="51"/>
    </row>
    <row r="1389" spans="1:45" s="21" customFormat="1" ht="30" customHeight="1" x14ac:dyDescent="0.2">
      <c r="A1389" s="8">
        <v>1175</v>
      </c>
      <c r="B1389" s="46">
        <v>4</v>
      </c>
      <c r="C1389" s="16" t="s">
        <v>52</v>
      </c>
      <c r="D1389" s="48">
        <v>2332</v>
      </c>
      <c r="E1389" s="47">
        <v>36</v>
      </c>
      <c r="F1389" s="48">
        <v>1614</v>
      </c>
      <c r="G1389" s="49">
        <v>3</v>
      </c>
      <c r="H1389" s="48">
        <v>4</v>
      </c>
      <c r="I1389" s="48">
        <v>2</v>
      </c>
      <c r="J1389" s="48">
        <v>84</v>
      </c>
      <c r="K1389" s="3">
        <f>4*400+284</f>
        <v>1884</v>
      </c>
      <c r="L1389" s="16"/>
      <c r="M1389" s="57"/>
      <c r="N1389" s="58"/>
      <c r="P1389" s="16">
        <v>1</v>
      </c>
      <c r="Q1389" s="20">
        <f t="shared" si="267"/>
        <v>1884</v>
      </c>
      <c r="R1389" s="14">
        <v>500</v>
      </c>
      <c r="S1389" s="19">
        <f t="shared" si="262"/>
        <v>942000</v>
      </c>
      <c r="T1389" s="16"/>
      <c r="U1389" s="17"/>
      <c r="V1389" s="17"/>
      <c r="W1389" s="4"/>
      <c r="X1389" s="16"/>
      <c r="Y1389" s="5"/>
      <c r="Z1389" s="16"/>
      <c r="AA1389" s="16"/>
      <c r="AB1389" s="16"/>
      <c r="AE1389" s="16"/>
      <c r="AG1389" s="22">
        <f t="shared" si="266"/>
        <v>0</v>
      </c>
      <c r="AH1389" s="6"/>
      <c r="AJ1389" s="20">
        <f t="shared" si="261"/>
        <v>0</v>
      </c>
      <c r="AK1389" s="50"/>
      <c r="AL1389" s="6"/>
      <c r="AM1389" s="20">
        <f t="shared" si="263"/>
        <v>0</v>
      </c>
      <c r="AN1389" s="20">
        <f t="shared" si="264"/>
        <v>942000</v>
      </c>
      <c r="AP1389" s="20">
        <f t="shared" si="265"/>
        <v>942000</v>
      </c>
      <c r="AQ1389" s="7"/>
      <c r="AR1389" s="20"/>
      <c r="AS1389" s="51"/>
    </row>
    <row r="1390" spans="1:45" s="21" customFormat="1" ht="30" customHeight="1" x14ac:dyDescent="0.2">
      <c r="A1390" s="8">
        <v>1176</v>
      </c>
      <c r="B1390" s="46">
        <v>5</v>
      </c>
      <c r="C1390" s="16" t="s">
        <v>52</v>
      </c>
      <c r="D1390" s="48">
        <v>2333</v>
      </c>
      <c r="E1390" s="47">
        <v>28</v>
      </c>
      <c r="F1390" s="48">
        <v>1615</v>
      </c>
      <c r="G1390" s="49">
        <v>3</v>
      </c>
      <c r="H1390" s="48">
        <v>4</v>
      </c>
      <c r="I1390" s="48">
        <v>0</v>
      </c>
      <c r="J1390" s="48">
        <v>97</v>
      </c>
      <c r="K1390" s="3">
        <f>4*400+97</f>
        <v>1697</v>
      </c>
      <c r="L1390" s="16"/>
      <c r="M1390" s="57"/>
      <c r="N1390" s="58"/>
      <c r="P1390" s="16">
        <v>1</v>
      </c>
      <c r="Q1390" s="20">
        <f t="shared" si="267"/>
        <v>1697</v>
      </c>
      <c r="R1390" s="14">
        <v>500</v>
      </c>
      <c r="S1390" s="19">
        <f t="shared" si="262"/>
        <v>848500</v>
      </c>
      <c r="T1390" s="16"/>
      <c r="U1390" s="17"/>
      <c r="V1390" s="17"/>
      <c r="W1390" s="4"/>
      <c r="X1390" s="16"/>
      <c r="Y1390" s="5"/>
      <c r="Z1390" s="16"/>
      <c r="AA1390" s="16"/>
      <c r="AB1390" s="16"/>
      <c r="AE1390" s="16"/>
      <c r="AG1390" s="22">
        <f t="shared" si="266"/>
        <v>0</v>
      </c>
      <c r="AH1390" s="6"/>
      <c r="AJ1390" s="20">
        <f t="shared" si="261"/>
        <v>0</v>
      </c>
      <c r="AK1390" s="50"/>
      <c r="AL1390" s="6"/>
      <c r="AM1390" s="20">
        <f t="shared" si="263"/>
        <v>0</v>
      </c>
      <c r="AN1390" s="20">
        <f t="shared" si="264"/>
        <v>848500</v>
      </c>
      <c r="AP1390" s="20">
        <f t="shared" si="265"/>
        <v>848500</v>
      </c>
      <c r="AQ1390" s="7"/>
      <c r="AR1390" s="20"/>
      <c r="AS1390" s="51"/>
    </row>
    <row r="1391" spans="1:45" s="21" customFormat="1" ht="30" customHeight="1" x14ac:dyDescent="0.2">
      <c r="A1391" s="8">
        <v>1177</v>
      </c>
      <c r="B1391" s="46">
        <v>6</v>
      </c>
      <c r="C1391" s="16" t="s">
        <v>52</v>
      </c>
      <c r="D1391" s="48">
        <v>35783</v>
      </c>
      <c r="E1391" s="47">
        <v>155</v>
      </c>
      <c r="F1391" s="48">
        <v>7084</v>
      </c>
      <c r="G1391" s="49">
        <v>3</v>
      </c>
      <c r="H1391" s="48">
        <v>6</v>
      </c>
      <c r="I1391" s="48">
        <v>0</v>
      </c>
      <c r="J1391" s="48">
        <v>0</v>
      </c>
      <c r="K1391" s="3">
        <v>2400</v>
      </c>
      <c r="L1391" s="16"/>
      <c r="M1391" s="57"/>
      <c r="N1391" s="58"/>
      <c r="P1391" s="16">
        <v>1</v>
      </c>
      <c r="Q1391" s="20">
        <f t="shared" si="267"/>
        <v>2400</v>
      </c>
      <c r="R1391" s="14">
        <v>160</v>
      </c>
      <c r="S1391" s="20">
        <f t="shared" si="262"/>
        <v>384000</v>
      </c>
      <c r="T1391" s="16"/>
      <c r="U1391" s="16"/>
      <c r="V1391" s="16"/>
      <c r="W1391" s="5"/>
      <c r="X1391" s="16"/>
      <c r="Y1391" s="5"/>
      <c r="Z1391" s="16"/>
      <c r="AA1391" s="16"/>
      <c r="AB1391" s="16"/>
      <c r="AC1391" s="14"/>
      <c r="AD1391" s="14"/>
      <c r="AE1391" s="16"/>
      <c r="AG1391" s="22">
        <f t="shared" si="266"/>
        <v>0</v>
      </c>
      <c r="AH1391" s="6"/>
      <c r="AJ1391" s="20">
        <f t="shared" si="261"/>
        <v>0</v>
      </c>
      <c r="AK1391" s="50"/>
      <c r="AL1391" s="6"/>
      <c r="AM1391" s="20">
        <f t="shared" si="263"/>
        <v>0</v>
      </c>
      <c r="AN1391" s="20">
        <f t="shared" si="264"/>
        <v>384000</v>
      </c>
      <c r="AP1391" s="20">
        <f t="shared" si="265"/>
        <v>384000</v>
      </c>
      <c r="AQ1391" s="7"/>
      <c r="AR1391" s="20"/>
      <c r="AS1391" s="51"/>
    </row>
    <row r="1392" spans="1:45" s="21" customFormat="1" ht="30" customHeight="1" x14ac:dyDescent="0.2">
      <c r="A1392" s="8">
        <v>1178</v>
      </c>
      <c r="B1392" s="46">
        <v>1</v>
      </c>
      <c r="C1392" s="16" t="s">
        <v>52</v>
      </c>
      <c r="D1392" s="48">
        <v>2722</v>
      </c>
      <c r="E1392" s="47">
        <v>11</v>
      </c>
      <c r="F1392" s="48">
        <v>1891</v>
      </c>
      <c r="G1392" s="49">
        <v>1</v>
      </c>
      <c r="H1392" s="48">
        <v>7</v>
      </c>
      <c r="I1392" s="48">
        <v>3</v>
      </c>
      <c r="J1392" s="48">
        <v>22</v>
      </c>
      <c r="K1392" s="3">
        <f>7*400+322</f>
        <v>3122</v>
      </c>
      <c r="L1392" s="16"/>
      <c r="M1392" s="57"/>
      <c r="N1392" s="58"/>
      <c r="P1392" s="16">
        <v>1</v>
      </c>
      <c r="Q1392" s="20">
        <f t="shared" si="267"/>
        <v>3122</v>
      </c>
      <c r="R1392" s="14">
        <v>160</v>
      </c>
      <c r="S1392" s="19">
        <f t="shared" si="262"/>
        <v>499520</v>
      </c>
      <c r="T1392" s="16"/>
      <c r="U1392" s="17"/>
      <c r="V1392" s="16"/>
      <c r="W1392" s="5"/>
      <c r="X1392" s="16"/>
      <c r="Y1392" s="5"/>
      <c r="Z1392" s="16"/>
      <c r="AA1392" s="16"/>
      <c r="AB1392" s="16"/>
      <c r="AE1392" s="16"/>
      <c r="AG1392" s="22">
        <f t="shared" si="266"/>
        <v>0</v>
      </c>
      <c r="AH1392" s="6"/>
      <c r="AJ1392" s="20">
        <f t="shared" si="261"/>
        <v>0</v>
      </c>
      <c r="AK1392" s="50"/>
      <c r="AL1392" s="6"/>
      <c r="AM1392" s="20">
        <f t="shared" si="263"/>
        <v>0</v>
      </c>
      <c r="AN1392" s="20">
        <f t="shared" si="264"/>
        <v>499520</v>
      </c>
      <c r="AP1392" s="20">
        <f t="shared" si="265"/>
        <v>499520</v>
      </c>
      <c r="AQ1392" s="7"/>
      <c r="AR1392" s="20"/>
      <c r="AS1392" s="51" t="s">
        <v>159</v>
      </c>
    </row>
    <row r="1393" spans="1:45" s="21" customFormat="1" ht="30" customHeight="1" x14ac:dyDescent="0.2">
      <c r="A1393" s="8">
        <v>1179</v>
      </c>
      <c r="B1393" s="46">
        <v>1</v>
      </c>
      <c r="C1393" s="16" t="s">
        <v>52</v>
      </c>
      <c r="D1393" s="48">
        <v>31931</v>
      </c>
      <c r="E1393" s="47">
        <v>190</v>
      </c>
      <c r="F1393" s="48">
        <v>6158</v>
      </c>
      <c r="G1393" s="49">
        <v>2</v>
      </c>
      <c r="H1393" s="48">
        <v>0</v>
      </c>
      <c r="I1393" s="48">
        <v>0</v>
      </c>
      <c r="J1393" s="48">
        <v>28</v>
      </c>
      <c r="K1393" s="3"/>
      <c r="L1393" s="16">
        <v>28</v>
      </c>
      <c r="M1393" s="57"/>
      <c r="N1393" s="58"/>
      <c r="P1393" s="16">
        <v>2</v>
      </c>
      <c r="Q1393" s="20">
        <f t="shared" si="267"/>
        <v>28</v>
      </c>
      <c r="R1393" s="14">
        <v>4500</v>
      </c>
      <c r="S1393" s="19">
        <f t="shared" si="262"/>
        <v>126000</v>
      </c>
      <c r="T1393" s="16"/>
      <c r="U1393" s="17" t="s">
        <v>57</v>
      </c>
      <c r="V1393" s="17" t="s">
        <v>56</v>
      </c>
      <c r="W1393" s="4"/>
      <c r="X1393" s="16"/>
      <c r="Y1393" s="5">
        <v>80</v>
      </c>
      <c r="Z1393" s="16"/>
      <c r="AA1393" s="16"/>
      <c r="AB1393" s="16">
        <v>13</v>
      </c>
      <c r="AC1393" s="14"/>
      <c r="AD1393" s="14"/>
      <c r="AE1393" s="16"/>
      <c r="AG1393" s="22">
        <f t="shared" si="266"/>
        <v>80</v>
      </c>
      <c r="AH1393" s="6"/>
      <c r="AJ1393" s="20">
        <f t="shared" si="261"/>
        <v>0</v>
      </c>
      <c r="AK1393" s="50">
        <v>13</v>
      </c>
      <c r="AL1393" s="6"/>
      <c r="AM1393" s="20">
        <f t="shared" si="263"/>
        <v>0</v>
      </c>
      <c r="AN1393" s="20">
        <f t="shared" si="264"/>
        <v>126000</v>
      </c>
      <c r="AP1393" s="20">
        <f t="shared" si="265"/>
        <v>126000</v>
      </c>
      <c r="AQ1393" s="7"/>
      <c r="AR1393" s="20"/>
      <c r="AS1393" s="51"/>
    </row>
    <row r="1394" spans="1:45" s="21" customFormat="1" ht="30" customHeight="1" x14ac:dyDescent="0.2">
      <c r="A1394" s="8">
        <v>1180</v>
      </c>
      <c r="B1394" s="46">
        <v>2</v>
      </c>
      <c r="C1394" s="16" t="s">
        <v>52</v>
      </c>
      <c r="D1394" s="48">
        <v>1974</v>
      </c>
      <c r="E1394" s="47">
        <v>29</v>
      </c>
      <c r="F1394" s="48">
        <v>806</v>
      </c>
      <c r="G1394" s="49">
        <v>4</v>
      </c>
      <c r="H1394" s="48">
        <v>0</v>
      </c>
      <c r="I1394" s="48">
        <v>0</v>
      </c>
      <c r="J1394" s="48">
        <v>36</v>
      </c>
      <c r="K1394" s="3">
        <v>36</v>
      </c>
      <c r="L1394" s="16"/>
      <c r="M1394" s="57"/>
      <c r="N1394" s="58"/>
      <c r="P1394" s="16">
        <v>1</v>
      </c>
      <c r="Q1394" s="20">
        <f t="shared" si="267"/>
        <v>36</v>
      </c>
      <c r="R1394" s="14">
        <v>2000</v>
      </c>
      <c r="S1394" s="20">
        <f t="shared" si="262"/>
        <v>72000</v>
      </c>
      <c r="T1394" s="16"/>
      <c r="U1394" s="17"/>
      <c r="V1394" s="17"/>
      <c r="W1394" s="4"/>
      <c r="X1394" s="16"/>
      <c r="Y1394" s="5"/>
      <c r="Z1394" s="16"/>
      <c r="AA1394" s="16"/>
      <c r="AB1394" s="16"/>
      <c r="AC1394" s="14"/>
      <c r="AD1394" s="14"/>
      <c r="AE1394" s="16"/>
      <c r="AG1394" s="22">
        <f t="shared" si="266"/>
        <v>0</v>
      </c>
      <c r="AH1394" s="6"/>
      <c r="AJ1394" s="20">
        <f t="shared" si="261"/>
        <v>0</v>
      </c>
      <c r="AK1394" s="50"/>
      <c r="AL1394" s="6"/>
      <c r="AM1394" s="20">
        <f t="shared" si="263"/>
        <v>0</v>
      </c>
      <c r="AN1394" s="20">
        <f t="shared" si="264"/>
        <v>72000</v>
      </c>
      <c r="AP1394" s="20">
        <f t="shared" si="265"/>
        <v>72000</v>
      </c>
      <c r="AQ1394" s="7"/>
      <c r="AR1394" s="20"/>
      <c r="AS1394" s="51"/>
    </row>
    <row r="1395" spans="1:45" s="21" customFormat="1" ht="30" customHeight="1" x14ac:dyDescent="0.2">
      <c r="A1395" s="8">
        <v>1181</v>
      </c>
      <c r="B1395" s="46">
        <v>3</v>
      </c>
      <c r="C1395" s="16" t="s">
        <v>52</v>
      </c>
      <c r="D1395" s="48">
        <v>34211</v>
      </c>
      <c r="E1395" s="47">
        <v>93</v>
      </c>
      <c r="F1395" s="48">
        <v>6812</v>
      </c>
      <c r="G1395" s="49">
        <v>4</v>
      </c>
      <c r="H1395" s="48">
        <v>0</v>
      </c>
      <c r="I1395" s="48">
        <v>0</v>
      </c>
      <c r="J1395" s="48">
        <v>32</v>
      </c>
      <c r="K1395" s="3">
        <v>32</v>
      </c>
      <c r="L1395" s="16"/>
      <c r="M1395" s="57"/>
      <c r="N1395" s="58"/>
      <c r="P1395" s="16">
        <v>1</v>
      </c>
      <c r="Q1395" s="20">
        <f t="shared" si="267"/>
        <v>32</v>
      </c>
      <c r="R1395" s="14">
        <v>2000</v>
      </c>
      <c r="S1395" s="19">
        <f t="shared" si="262"/>
        <v>64000</v>
      </c>
      <c r="T1395" s="16"/>
      <c r="U1395" s="17"/>
      <c r="V1395" s="17"/>
      <c r="W1395" s="4"/>
      <c r="X1395" s="16"/>
      <c r="Y1395" s="5"/>
      <c r="Z1395" s="16"/>
      <c r="AA1395" s="16"/>
      <c r="AB1395" s="16"/>
      <c r="AC1395" s="14"/>
      <c r="AD1395" s="14"/>
      <c r="AE1395" s="16"/>
      <c r="AG1395" s="22">
        <f t="shared" si="266"/>
        <v>0</v>
      </c>
      <c r="AH1395" s="6"/>
      <c r="AJ1395" s="20">
        <f t="shared" si="261"/>
        <v>0</v>
      </c>
      <c r="AK1395" s="50"/>
      <c r="AL1395" s="6"/>
      <c r="AM1395" s="20">
        <f t="shared" si="263"/>
        <v>0</v>
      </c>
      <c r="AN1395" s="20">
        <f t="shared" si="264"/>
        <v>64000</v>
      </c>
      <c r="AP1395" s="20">
        <f t="shared" si="265"/>
        <v>64000</v>
      </c>
      <c r="AQ1395" s="7"/>
      <c r="AR1395" s="20"/>
      <c r="AS1395" s="51"/>
    </row>
    <row r="1396" spans="1:45" s="21" customFormat="1" ht="30" customHeight="1" x14ac:dyDescent="0.2">
      <c r="A1396" s="8">
        <v>1182</v>
      </c>
      <c r="B1396" s="46">
        <v>1</v>
      </c>
      <c r="C1396" s="16" t="s">
        <v>52</v>
      </c>
      <c r="D1396" s="48">
        <v>4670</v>
      </c>
      <c r="E1396" s="47">
        <v>84</v>
      </c>
      <c r="F1396" s="48">
        <v>2499</v>
      </c>
      <c r="G1396" s="49">
        <v>1</v>
      </c>
      <c r="H1396" s="48">
        <v>5</v>
      </c>
      <c r="I1396" s="48">
        <v>3</v>
      </c>
      <c r="J1396" s="48">
        <v>30</v>
      </c>
      <c r="K1396" s="3">
        <f>5*400+330</f>
        <v>2330</v>
      </c>
      <c r="L1396" s="16"/>
      <c r="M1396" s="57"/>
      <c r="N1396" s="58"/>
      <c r="P1396" s="16">
        <v>1</v>
      </c>
      <c r="Q1396" s="20">
        <f t="shared" si="267"/>
        <v>2330</v>
      </c>
      <c r="R1396" s="14">
        <v>200</v>
      </c>
      <c r="S1396" s="19">
        <f t="shared" si="262"/>
        <v>466000</v>
      </c>
      <c r="T1396" s="16"/>
      <c r="U1396" s="17"/>
      <c r="V1396" s="17"/>
      <c r="W1396" s="4"/>
      <c r="X1396" s="16"/>
      <c r="Y1396" s="5"/>
      <c r="Z1396" s="16"/>
      <c r="AA1396" s="16"/>
      <c r="AB1396" s="16"/>
      <c r="AC1396" s="14"/>
      <c r="AD1396" s="14"/>
      <c r="AE1396" s="16"/>
      <c r="AG1396" s="22">
        <f t="shared" si="266"/>
        <v>0</v>
      </c>
      <c r="AH1396" s="6"/>
      <c r="AJ1396" s="20">
        <f t="shared" si="261"/>
        <v>0</v>
      </c>
      <c r="AK1396" s="50"/>
      <c r="AL1396" s="6"/>
      <c r="AM1396" s="20">
        <f t="shared" si="263"/>
        <v>0</v>
      </c>
      <c r="AN1396" s="20">
        <f t="shared" si="264"/>
        <v>466000</v>
      </c>
      <c r="AP1396" s="20">
        <f t="shared" si="265"/>
        <v>466000</v>
      </c>
      <c r="AQ1396" s="7"/>
      <c r="AR1396" s="20"/>
      <c r="AS1396" s="51"/>
    </row>
    <row r="1397" spans="1:45" s="21" customFormat="1" ht="30" customHeight="1" x14ac:dyDescent="0.2">
      <c r="A1397" s="8">
        <v>1183</v>
      </c>
      <c r="B1397" s="46">
        <v>2</v>
      </c>
      <c r="C1397" s="16" t="s">
        <v>52</v>
      </c>
      <c r="D1397" s="48">
        <v>3793</v>
      </c>
      <c r="E1397" s="47">
        <v>92</v>
      </c>
      <c r="F1397" s="48">
        <v>2349</v>
      </c>
      <c r="G1397" s="49">
        <v>2</v>
      </c>
      <c r="H1397" s="48">
        <v>0</v>
      </c>
      <c r="I1397" s="48">
        <v>1</v>
      </c>
      <c r="J1397" s="48">
        <v>90.08</v>
      </c>
      <c r="K1397" s="3"/>
      <c r="L1397" s="16">
        <v>190.08</v>
      </c>
      <c r="M1397" s="57"/>
      <c r="N1397" s="58"/>
      <c r="P1397" s="16">
        <v>2</v>
      </c>
      <c r="Q1397" s="20">
        <f t="shared" si="267"/>
        <v>190.07999999999998</v>
      </c>
      <c r="R1397" s="14">
        <v>160</v>
      </c>
      <c r="S1397" s="20">
        <f t="shared" si="262"/>
        <v>30412.799999999996</v>
      </c>
      <c r="T1397" s="16"/>
      <c r="U1397" s="17" t="s">
        <v>57</v>
      </c>
      <c r="V1397" s="17" t="s">
        <v>56</v>
      </c>
      <c r="W1397" s="4"/>
      <c r="X1397" s="16"/>
      <c r="Y1397" s="5">
        <v>44</v>
      </c>
      <c r="Z1397" s="16"/>
      <c r="AA1397" s="16"/>
      <c r="AB1397" s="16">
        <v>27</v>
      </c>
      <c r="AC1397" s="14"/>
      <c r="AD1397" s="14"/>
      <c r="AE1397" s="16"/>
      <c r="AG1397" s="22">
        <f t="shared" si="266"/>
        <v>44</v>
      </c>
      <c r="AH1397" s="6"/>
      <c r="AJ1397" s="20">
        <f t="shared" ref="AJ1397:AJ1461" si="268">+AG1397*AH1397*AI1397</f>
        <v>0</v>
      </c>
      <c r="AK1397" s="50">
        <v>27</v>
      </c>
      <c r="AL1397" s="6"/>
      <c r="AM1397" s="20">
        <f t="shared" si="263"/>
        <v>0</v>
      </c>
      <c r="AN1397" s="20">
        <f t="shared" si="264"/>
        <v>30412.799999999996</v>
      </c>
      <c r="AP1397" s="20">
        <f t="shared" si="265"/>
        <v>30412.799999999996</v>
      </c>
      <c r="AQ1397" s="7"/>
      <c r="AR1397" s="20"/>
      <c r="AS1397" s="51"/>
    </row>
    <row r="1398" spans="1:45" s="21" customFormat="1" ht="30" customHeight="1" x14ac:dyDescent="0.2">
      <c r="A1398" s="8">
        <v>1184</v>
      </c>
      <c r="B1398" s="46">
        <v>3</v>
      </c>
      <c r="C1398" s="16" t="s">
        <v>52</v>
      </c>
      <c r="D1398" s="48">
        <v>3833</v>
      </c>
      <c r="E1398" s="47">
        <v>70</v>
      </c>
      <c r="F1398" s="48">
        <v>2322</v>
      </c>
      <c r="G1398" s="49">
        <v>2</v>
      </c>
      <c r="H1398" s="48">
        <v>0</v>
      </c>
      <c r="I1398" s="48">
        <v>0</v>
      </c>
      <c r="J1398" s="48">
        <v>50</v>
      </c>
      <c r="K1398" s="3"/>
      <c r="L1398" s="16">
        <v>50</v>
      </c>
      <c r="M1398" s="57"/>
      <c r="N1398" s="58"/>
      <c r="P1398" s="16">
        <v>2</v>
      </c>
      <c r="Q1398" s="20">
        <f t="shared" si="267"/>
        <v>50</v>
      </c>
      <c r="R1398" s="14">
        <v>1200</v>
      </c>
      <c r="S1398" s="19">
        <f t="shared" ref="S1398:S1463" si="269">+Q1398*R1398</f>
        <v>60000</v>
      </c>
      <c r="T1398" s="16"/>
      <c r="U1398" s="16" t="s">
        <v>57</v>
      </c>
      <c r="V1398" s="16" t="s">
        <v>56</v>
      </c>
      <c r="W1398" s="5"/>
      <c r="X1398" s="16"/>
      <c r="Y1398" s="5">
        <v>63</v>
      </c>
      <c r="Z1398" s="16"/>
      <c r="AA1398" s="16"/>
      <c r="AB1398" s="16">
        <v>22</v>
      </c>
      <c r="AE1398" s="16"/>
      <c r="AG1398" s="22">
        <f t="shared" si="266"/>
        <v>63</v>
      </c>
      <c r="AH1398" s="6"/>
      <c r="AJ1398" s="20">
        <f t="shared" si="268"/>
        <v>0</v>
      </c>
      <c r="AK1398" s="50">
        <v>22</v>
      </c>
      <c r="AL1398" s="6"/>
      <c r="AM1398" s="20">
        <f t="shared" si="263"/>
        <v>0</v>
      </c>
      <c r="AN1398" s="20">
        <f t="shared" si="264"/>
        <v>60000</v>
      </c>
      <c r="AP1398" s="20">
        <f t="shared" si="265"/>
        <v>60000</v>
      </c>
      <c r="AQ1398" s="7"/>
      <c r="AR1398" s="20"/>
      <c r="AS1398" s="51"/>
    </row>
    <row r="1399" spans="1:45" s="21" customFormat="1" ht="30" customHeight="1" x14ac:dyDescent="0.2">
      <c r="A1399" s="8">
        <v>1185</v>
      </c>
      <c r="B1399" s="46">
        <v>1</v>
      </c>
      <c r="C1399" s="16" t="s">
        <v>52</v>
      </c>
      <c r="D1399" s="48">
        <v>12621</v>
      </c>
      <c r="E1399" s="47">
        <v>93</v>
      </c>
      <c r="F1399" s="48">
        <v>3268</v>
      </c>
      <c r="G1399" s="49">
        <v>2</v>
      </c>
      <c r="H1399" s="48">
        <v>0</v>
      </c>
      <c r="I1399" s="48">
        <v>0</v>
      </c>
      <c r="J1399" s="48">
        <v>49</v>
      </c>
      <c r="K1399" s="3"/>
      <c r="L1399" s="16"/>
      <c r="M1399" s="57"/>
      <c r="N1399" s="58">
        <v>49</v>
      </c>
      <c r="P1399" s="16">
        <v>4</v>
      </c>
      <c r="Q1399" s="20">
        <f t="shared" si="267"/>
        <v>49</v>
      </c>
      <c r="R1399" s="14">
        <v>250</v>
      </c>
      <c r="S1399" s="19">
        <f t="shared" si="269"/>
        <v>12250</v>
      </c>
      <c r="T1399" s="16"/>
      <c r="U1399" s="17"/>
      <c r="V1399" s="16"/>
      <c r="W1399" s="5"/>
      <c r="X1399" s="16"/>
      <c r="Y1399" s="5"/>
      <c r="Z1399" s="16"/>
      <c r="AA1399" s="16"/>
      <c r="AB1399" s="16"/>
      <c r="AE1399" s="16"/>
      <c r="AG1399" s="22">
        <f t="shared" si="266"/>
        <v>0</v>
      </c>
      <c r="AH1399" s="6"/>
      <c r="AJ1399" s="20">
        <f t="shared" si="268"/>
        <v>0</v>
      </c>
      <c r="AK1399" s="50"/>
      <c r="AL1399" s="6"/>
      <c r="AM1399" s="20">
        <f t="shared" si="263"/>
        <v>0</v>
      </c>
      <c r="AN1399" s="20">
        <f t="shared" si="264"/>
        <v>12250</v>
      </c>
      <c r="AP1399" s="20">
        <f t="shared" si="265"/>
        <v>12250</v>
      </c>
      <c r="AQ1399" s="7">
        <v>3.0000000000000001E-3</v>
      </c>
      <c r="AR1399" s="20"/>
      <c r="AS1399" s="51"/>
    </row>
    <row r="1400" spans="1:45" s="21" customFormat="1" ht="30" customHeight="1" x14ac:dyDescent="0.2">
      <c r="A1400" s="8">
        <v>1186</v>
      </c>
      <c r="B1400" s="46">
        <v>1</v>
      </c>
      <c r="C1400" s="16" t="s">
        <v>52</v>
      </c>
      <c r="D1400" s="48">
        <v>2047</v>
      </c>
      <c r="E1400" s="47">
        <v>18</v>
      </c>
      <c r="F1400" s="48">
        <v>1157</v>
      </c>
      <c r="G1400" s="49">
        <v>4</v>
      </c>
      <c r="H1400" s="48">
        <v>0</v>
      </c>
      <c r="I1400" s="48">
        <v>0</v>
      </c>
      <c r="J1400" s="48">
        <v>89</v>
      </c>
      <c r="K1400" s="3"/>
      <c r="L1400" s="16">
        <v>89</v>
      </c>
      <c r="M1400" s="57"/>
      <c r="N1400" s="58"/>
      <c r="P1400" s="16">
        <v>2</v>
      </c>
      <c r="Q1400" s="20">
        <f t="shared" si="267"/>
        <v>89</v>
      </c>
      <c r="R1400" s="14">
        <v>2000</v>
      </c>
      <c r="S1400" s="20">
        <f t="shared" si="269"/>
        <v>178000</v>
      </c>
      <c r="T1400" s="16"/>
      <c r="U1400" s="17" t="s">
        <v>57</v>
      </c>
      <c r="V1400" s="17" t="s">
        <v>56</v>
      </c>
      <c r="W1400" s="4"/>
      <c r="X1400" s="16"/>
      <c r="Y1400" s="5">
        <v>119</v>
      </c>
      <c r="Z1400" s="16"/>
      <c r="AA1400" s="16"/>
      <c r="AB1400" s="16">
        <v>29</v>
      </c>
      <c r="AE1400" s="16"/>
      <c r="AG1400" s="22">
        <f t="shared" si="266"/>
        <v>119</v>
      </c>
      <c r="AH1400" s="6"/>
      <c r="AJ1400" s="20">
        <f t="shared" si="268"/>
        <v>0</v>
      </c>
      <c r="AK1400" s="50">
        <v>29</v>
      </c>
      <c r="AL1400" s="6"/>
      <c r="AM1400" s="20">
        <f t="shared" si="263"/>
        <v>0</v>
      </c>
      <c r="AN1400" s="20">
        <f t="shared" si="264"/>
        <v>178000</v>
      </c>
      <c r="AP1400" s="20">
        <f t="shared" si="265"/>
        <v>178000</v>
      </c>
      <c r="AQ1400" s="7"/>
      <c r="AR1400" s="20"/>
      <c r="AS1400" s="51"/>
    </row>
    <row r="1401" spans="1:45" s="21" customFormat="1" ht="30" customHeight="1" x14ac:dyDescent="0.2">
      <c r="A1401" s="8">
        <v>1187</v>
      </c>
      <c r="B1401" s="46">
        <v>2</v>
      </c>
      <c r="C1401" s="16" t="s">
        <v>52</v>
      </c>
      <c r="D1401" s="48">
        <v>2451</v>
      </c>
      <c r="E1401" s="47">
        <v>2</v>
      </c>
      <c r="F1401" s="48">
        <v>851</v>
      </c>
      <c r="G1401" s="49">
        <v>4</v>
      </c>
      <c r="H1401" s="48">
        <v>5</v>
      </c>
      <c r="I1401" s="48">
        <v>1</v>
      </c>
      <c r="J1401" s="48">
        <v>95</v>
      </c>
      <c r="K1401" s="3">
        <f>2000+195</f>
        <v>2195</v>
      </c>
      <c r="L1401" s="16"/>
      <c r="M1401" s="57"/>
      <c r="N1401" s="58"/>
      <c r="P1401" s="16">
        <v>1</v>
      </c>
      <c r="Q1401" s="20">
        <f t="shared" si="267"/>
        <v>2195</v>
      </c>
      <c r="R1401" s="14">
        <v>200</v>
      </c>
      <c r="S1401" s="19">
        <f t="shared" si="269"/>
        <v>439000</v>
      </c>
      <c r="T1401" s="16"/>
      <c r="U1401" s="17"/>
      <c r="V1401" s="17"/>
      <c r="W1401" s="4"/>
      <c r="X1401" s="16"/>
      <c r="Y1401" s="5"/>
      <c r="Z1401" s="16"/>
      <c r="AA1401" s="16"/>
      <c r="AB1401" s="16"/>
      <c r="AE1401" s="16"/>
      <c r="AG1401" s="22">
        <f t="shared" si="266"/>
        <v>0</v>
      </c>
      <c r="AH1401" s="6"/>
      <c r="AJ1401" s="20">
        <f t="shared" si="268"/>
        <v>0</v>
      </c>
      <c r="AK1401" s="50"/>
      <c r="AL1401" s="6"/>
      <c r="AM1401" s="20">
        <f t="shared" ref="AM1401:AM1466" si="270">+AJ1401-(AL1401*AJ1401)</f>
        <v>0</v>
      </c>
      <c r="AN1401" s="20">
        <f t="shared" si="264"/>
        <v>439000</v>
      </c>
      <c r="AP1401" s="20">
        <f t="shared" si="265"/>
        <v>439000</v>
      </c>
      <c r="AQ1401" s="7"/>
      <c r="AR1401" s="20"/>
      <c r="AS1401" s="51"/>
    </row>
    <row r="1402" spans="1:45" ht="30" customHeight="1" x14ac:dyDescent="0.2">
      <c r="A1402" s="8">
        <v>1188</v>
      </c>
      <c r="B1402" s="13">
        <v>1</v>
      </c>
      <c r="C1402" s="16" t="s">
        <v>69</v>
      </c>
      <c r="E1402" s="17">
        <v>161</v>
      </c>
      <c r="F1402" s="17">
        <v>2</v>
      </c>
      <c r="G1402" s="13">
        <v>2</v>
      </c>
      <c r="H1402" s="17">
        <v>7</v>
      </c>
      <c r="I1402" s="17">
        <v>2</v>
      </c>
      <c r="J1402" s="17">
        <v>53</v>
      </c>
      <c r="K1402" s="10">
        <v>3053</v>
      </c>
      <c r="P1402" s="17">
        <v>1</v>
      </c>
      <c r="Q1402" s="20">
        <f t="shared" si="267"/>
        <v>3053</v>
      </c>
      <c r="R1402" s="14">
        <v>160</v>
      </c>
      <c r="S1402" s="19">
        <f t="shared" si="269"/>
        <v>488480</v>
      </c>
      <c r="AG1402" s="22">
        <f t="shared" si="266"/>
        <v>0</v>
      </c>
      <c r="AJ1402" s="20">
        <f t="shared" si="268"/>
        <v>0</v>
      </c>
      <c r="AM1402" s="20">
        <f t="shared" si="270"/>
        <v>0</v>
      </c>
      <c r="AN1402" s="20">
        <f t="shared" si="264"/>
        <v>488480</v>
      </c>
      <c r="AP1402" s="20">
        <f t="shared" si="265"/>
        <v>488480</v>
      </c>
      <c r="AQ1402" s="12">
        <v>1E-4</v>
      </c>
      <c r="AR1402" s="20"/>
    </row>
    <row r="1403" spans="1:45" ht="30" customHeight="1" x14ac:dyDescent="0.2">
      <c r="A1403" s="8">
        <v>1189</v>
      </c>
      <c r="B1403" s="13">
        <v>1</v>
      </c>
      <c r="C1403" s="16" t="s">
        <v>69</v>
      </c>
      <c r="E1403" s="17">
        <v>151</v>
      </c>
      <c r="F1403" s="17">
        <v>6</v>
      </c>
      <c r="G1403" s="13">
        <v>2</v>
      </c>
      <c r="H1403" s="17">
        <v>21</v>
      </c>
      <c r="I1403" s="17">
        <v>0</v>
      </c>
      <c r="J1403" s="17">
        <v>86</v>
      </c>
      <c r="K1403" s="10">
        <v>8486</v>
      </c>
      <c r="P1403" s="17">
        <v>1</v>
      </c>
      <c r="Q1403" s="20">
        <f t="shared" si="267"/>
        <v>8486</v>
      </c>
      <c r="R1403" s="14">
        <v>160</v>
      </c>
      <c r="S1403" s="20">
        <f t="shared" si="269"/>
        <v>1357760</v>
      </c>
      <c r="AG1403" s="22">
        <f t="shared" si="266"/>
        <v>0</v>
      </c>
      <c r="AJ1403" s="20">
        <f t="shared" si="268"/>
        <v>0</v>
      </c>
      <c r="AM1403" s="20">
        <f t="shared" si="270"/>
        <v>0</v>
      </c>
      <c r="AN1403" s="20">
        <f t="shared" si="264"/>
        <v>1357760</v>
      </c>
      <c r="AP1403" s="20">
        <f t="shared" si="265"/>
        <v>1357760</v>
      </c>
      <c r="AQ1403" s="12">
        <v>1E-4</v>
      </c>
      <c r="AR1403" s="20"/>
    </row>
    <row r="1404" spans="1:45" ht="30" customHeight="1" x14ac:dyDescent="0.2">
      <c r="A1404" s="8">
        <v>1190</v>
      </c>
      <c r="B1404" s="13">
        <v>1</v>
      </c>
      <c r="C1404" s="16" t="s">
        <v>65</v>
      </c>
      <c r="D1404" s="17">
        <v>857</v>
      </c>
      <c r="E1404" s="17">
        <v>124</v>
      </c>
      <c r="H1404" s="17">
        <v>5</v>
      </c>
      <c r="I1404" s="17">
        <v>3</v>
      </c>
      <c r="J1404" s="17">
        <v>73</v>
      </c>
      <c r="K1404" s="10">
        <v>2373</v>
      </c>
      <c r="P1404" s="17">
        <v>1</v>
      </c>
      <c r="Q1404" s="20">
        <f t="shared" si="267"/>
        <v>2373</v>
      </c>
      <c r="R1404" s="14">
        <v>200</v>
      </c>
      <c r="S1404" s="19">
        <f t="shared" si="269"/>
        <v>474600</v>
      </c>
      <c r="AG1404" s="22">
        <f t="shared" si="266"/>
        <v>0</v>
      </c>
      <c r="AJ1404" s="20">
        <f t="shared" si="268"/>
        <v>0</v>
      </c>
      <c r="AM1404" s="20">
        <f t="shared" si="270"/>
        <v>0</v>
      </c>
      <c r="AN1404" s="20">
        <f t="shared" ref="AN1404:AN1467" si="271">+S1404+AM1404</f>
        <v>474600</v>
      </c>
      <c r="AP1404" s="20">
        <f t="shared" si="265"/>
        <v>474600</v>
      </c>
      <c r="AQ1404" s="12">
        <v>1E-4</v>
      </c>
      <c r="AR1404" s="20"/>
      <c r="AS1404" s="26">
        <v>33</v>
      </c>
    </row>
    <row r="1405" spans="1:45" s="21" customFormat="1" ht="30" customHeight="1" x14ac:dyDescent="0.2">
      <c r="A1405" s="8">
        <v>1191</v>
      </c>
      <c r="B1405" s="46">
        <v>1</v>
      </c>
      <c r="C1405" s="16" t="s">
        <v>52</v>
      </c>
      <c r="D1405" s="48">
        <v>1206</v>
      </c>
      <c r="E1405" s="47">
        <v>8</v>
      </c>
      <c r="F1405" s="48">
        <v>938</v>
      </c>
      <c r="G1405" s="49">
        <v>2</v>
      </c>
      <c r="H1405" s="48">
        <v>0</v>
      </c>
      <c r="I1405" s="48">
        <v>1</v>
      </c>
      <c r="J1405" s="48">
        <v>34</v>
      </c>
      <c r="K1405" s="3"/>
      <c r="L1405" s="16"/>
      <c r="M1405" s="57">
        <v>75</v>
      </c>
      <c r="N1405" s="58"/>
      <c r="P1405" s="16">
        <v>3</v>
      </c>
      <c r="Q1405" s="20">
        <f t="shared" si="267"/>
        <v>134</v>
      </c>
      <c r="R1405" s="14">
        <v>3350</v>
      </c>
      <c r="S1405" s="19">
        <f t="shared" si="269"/>
        <v>448900</v>
      </c>
      <c r="T1405" s="16"/>
      <c r="U1405" s="17" t="s">
        <v>57</v>
      </c>
      <c r="V1405" s="17" t="s">
        <v>56</v>
      </c>
      <c r="W1405" s="4"/>
      <c r="X1405" s="16"/>
      <c r="Y1405" s="5"/>
      <c r="Z1405" s="16">
        <v>75</v>
      </c>
      <c r="AA1405" s="16"/>
      <c r="AB1405" s="16">
        <v>2</v>
      </c>
      <c r="AE1405" s="16"/>
      <c r="AF1405" s="21">
        <v>2</v>
      </c>
      <c r="AG1405" s="22">
        <v>75</v>
      </c>
      <c r="AH1405" s="6">
        <v>0.73</v>
      </c>
      <c r="AI1405" s="21">
        <v>7250</v>
      </c>
      <c r="AJ1405" s="20">
        <f t="shared" si="268"/>
        <v>396937.5</v>
      </c>
      <c r="AK1405" s="50">
        <v>2</v>
      </c>
      <c r="AL1405" s="6">
        <v>0.02</v>
      </c>
      <c r="AM1405" s="20">
        <f t="shared" si="270"/>
        <v>388998.75</v>
      </c>
      <c r="AN1405" s="20">
        <f t="shared" si="271"/>
        <v>837898.75</v>
      </c>
      <c r="AP1405" s="20">
        <f t="shared" si="265"/>
        <v>837898.75</v>
      </c>
      <c r="AQ1405" s="7">
        <v>2.0000000000000001E-4</v>
      </c>
      <c r="AR1405" s="20"/>
      <c r="AS1405" s="51"/>
    </row>
    <row r="1406" spans="1:45" s="21" customFormat="1" ht="30" customHeight="1" x14ac:dyDescent="0.2">
      <c r="A1406" s="8"/>
      <c r="B1406" s="46"/>
      <c r="C1406" s="16"/>
      <c r="D1406" s="48"/>
      <c r="E1406" s="47"/>
      <c r="F1406" s="48"/>
      <c r="G1406" s="49"/>
      <c r="H1406" s="48"/>
      <c r="I1406" s="48"/>
      <c r="J1406" s="48"/>
      <c r="K1406" s="3"/>
      <c r="L1406" s="16"/>
      <c r="M1406" s="57"/>
      <c r="N1406" s="58"/>
      <c r="P1406" s="16"/>
      <c r="Q1406" s="20"/>
      <c r="R1406" s="14"/>
      <c r="S1406" s="19"/>
      <c r="T1406" s="16"/>
      <c r="U1406" s="17"/>
      <c r="V1406" s="17"/>
      <c r="W1406" s="4"/>
      <c r="X1406" s="16"/>
      <c r="Y1406" s="5"/>
      <c r="Z1406" s="16"/>
      <c r="AA1406" s="16"/>
      <c r="AB1406" s="16"/>
      <c r="AE1406" s="16">
        <f>63-31</f>
        <v>32</v>
      </c>
      <c r="AF1406" s="21">
        <v>3</v>
      </c>
      <c r="AG1406" s="22">
        <v>75</v>
      </c>
      <c r="AH1406" s="6">
        <v>0.27</v>
      </c>
      <c r="AI1406" s="21">
        <v>7250</v>
      </c>
      <c r="AJ1406" s="20">
        <f t="shared" si="268"/>
        <v>146812.5</v>
      </c>
      <c r="AK1406" s="50">
        <v>2</v>
      </c>
      <c r="AL1406" s="6">
        <v>0.02</v>
      </c>
      <c r="AM1406" s="20">
        <f t="shared" si="270"/>
        <v>143876.25</v>
      </c>
      <c r="AN1406" s="20">
        <f t="shared" si="271"/>
        <v>143876.25</v>
      </c>
      <c r="AP1406" s="20">
        <f t="shared" ref="AP1406:AP1469" si="272">AN1406</f>
        <v>143876.25</v>
      </c>
      <c r="AQ1406" s="7">
        <v>3.0000000000000001E-3</v>
      </c>
      <c r="AR1406" s="20"/>
      <c r="AS1406" s="51"/>
    </row>
    <row r="1407" spans="1:45" s="21" customFormat="1" ht="30" customHeight="1" x14ac:dyDescent="0.2">
      <c r="A1407" s="8">
        <v>1192</v>
      </c>
      <c r="B1407" s="46">
        <v>2</v>
      </c>
      <c r="C1407" s="16" t="s">
        <v>52</v>
      </c>
      <c r="D1407" s="48">
        <v>31900</v>
      </c>
      <c r="E1407" s="47">
        <v>225</v>
      </c>
      <c r="F1407" s="48">
        <v>6127</v>
      </c>
      <c r="G1407" s="49">
        <v>2</v>
      </c>
      <c r="H1407" s="48">
        <v>1</v>
      </c>
      <c r="I1407" s="48">
        <v>0</v>
      </c>
      <c r="J1407" s="48">
        <v>56.08</v>
      </c>
      <c r="K1407" s="3">
        <v>456.08</v>
      </c>
      <c r="L1407" s="16"/>
      <c r="M1407" s="57"/>
      <c r="N1407" s="58"/>
      <c r="P1407" s="16">
        <v>1</v>
      </c>
      <c r="Q1407" s="20">
        <f t="shared" si="267"/>
        <v>456.08</v>
      </c>
      <c r="R1407" s="14">
        <v>160</v>
      </c>
      <c r="S1407" s="20">
        <f t="shared" si="269"/>
        <v>72972.800000000003</v>
      </c>
      <c r="T1407" s="16"/>
      <c r="U1407" s="17"/>
      <c r="V1407" s="17"/>
      <c r="W1407" s="4"/>
      <c r="X1407" s="16"/>
      <c r="Y1407" s="5"/>
      <c r="Z1407" s="16"/>
      <c r="AA1407" s="16"/>
      <c r="AB1407" s="16"/>
      <c r="AE1407" s="16"/>
      <c r="AG1407" s="22">
        <f t="shared" si="266"/>
        <v>0</v>
      </c>
      <c r="AH1407" s="6"/>
      <c r="AJ1407" s="20">
        <f t="shared" si="268"/>
        <v>0</v>
      </c>
      <c r="AK1407" s="50"/>
      <c r="AL1407" s="6"/>
      <c r="AM1407" s="20">
        <f t="shared" si="270"/>
        <v>0</v>
      </c>
      <c r="AN1407" s="20">
        <f t="shared" si="271"/>
        <v>72972.800000000003</v>
      </c>
      <c r="AP1407" s="20">
        <f t="shared" si="272"/>
        <v>72972.800000000003</v>
      </c>
      <c r="AQ1407" s="7"/>
      <c r="AR1407" s="20"/>
      <c r="AS1407" s="51"/>
    </row>
    <row r="1408" spans="1:45" ht="30" customHeight="1" x14ac:dyDescent="0.2">
      <c r="A1408" s="8">
        <v>1193</v>
      </c>
      <c r="B1408" s="13">
        <v>3</v>
      </c>
      <c r="C1408" s="16" t="s">
        <v>65</v>
      </c>
      <c r="D1408" s="17">
        <v>2011</v>
      </c>
      <c r="E1408" s="17">
        <v>45</v>
      </c>
      <c r="H1408" s="17">
        <v>23</v>
      </c>
      <c r="I1408" s="17">
        <v>2</v>
      </c>
      <c r="J1408" s="17">
        <v>93</v>
      </c>
      <c r="K1408" s="10">
        <f>23*400+293</f>
        <v>9493</v>
      </c>
      <c r="P1408" s="17">
        <v>1</v>
      </c>
      <c r="Q1408" s="20">
        <f t="shared" si="267"/>
        <v>9493</v>
      </c>
      <c r="R1408" s="14">
        <v>160</v>
      </c>
      <c r="S1408" s="19">
        <f t="shared" si="269"/>
        <v>1518880</v>
      </c>
      <c r="AG1408" s="22">
        <f t="shared" si="266"/>
        <v>0</v>
      </c>
      <c r="AJ1408" s="20">
        <f t="shared" si="268"/>
        <v>0</v>
      </c>
      <c r="AM1408" s="20">
        <f t="shared" si="270"/>
        <v>0</v>
      </c>
      <c r="AN1408" s="20">
        <f t="shared" si="271"/>
        <v>1518880</v>
      </c>
      <c r="AP1408" s="20">
        <f t="shared" si="272"/>
        <v>1518880</v>
      </c>
      <c r="AQ1408" s="12">
        <v>1E-4</v>
      </c>
      <c r="AR1408" s="20"/>
    </row>
    <row r="1409" spans="1:45" ht="30" customHeight="1" x14ac:dyDescent="0.2">
      <c r="A1409" s="8">
        <v>1194</v>
      </c>
      <c r="B1409" s="13">
        <v>4</v>
      </c>
      <c r="C1409" s="16" t="s">
        <v>65</v>
      </c>
      <c r="D1409" s="17">
        <v>2948</v>
      </c>
      <c r="E1409" s="17">
        <v>392</v>
      </c>
      <c r="H1409" s="17">
        <v>1</v>
      </c>
      <c r="I1409" s="17">
        <v>0</v>
      </c>
      <c r="J1409" s="17">
        <v>68</v>
      </c>
      <c r="K1409" s="10">
        <v>468</v>
      </c>
      <c r="P1409" s="17">
        <v>1</v>
      </c>
      <c r="Q1409" s="20">
        <f t="shared" si="267"/>
        <v>468</v>
      </c>
      <c r="R1409" s="14">
        <v>200</v>
      </c>
      <c r="S1409" s="19">
        <f t="shared" si="269"/>
        <v>93600</v>
      </c>
      <c r="AE1409" s="17" t="s">
        <v>95</v>
      </c>
      <c r="AG1409" s="22">
        <f t="shared" si="266"/>
        <v>0</v>
      </c>
      <c r="AJ1409" s="20">
        <f t="shared" si="268"/>
        <v>0</v>
      </c>
      <c r="AM1409" s="20">
        <f t="shared" si="270"/>
        <v>0</v>
      </c>
      <c r="AN1409" s="20">
        <f t="shared" si="271"/>
        <v>93600</v>
      </c>
      <c r="AP1409" s="20">
        <f t="shared" si="272"/>
        <v>93600</v>
      </c>
      <c r="AQ1409" s="12">
        <v>1E-4</v>
      </c>
      <c r="AR1409" s="20"/>
    </row>
    <row r="1410" spans="1:45" ht="30" customHeight="1" x14ac:dyDescent="0.2">
      <c r="A1410" s="8"/>
      <c r="C1410" s="16"/>
      <c r="Q1410" s="20"/>
      <c r="S1410" s="20"/>
      <c r="AG1410" s="22"/>
      <c r="AJ1410" s="20"/>
      <c r="AM1410" s="20"/>
      <c r="AN1410" s="20"/>
      <c r="AP1410" s="20"/>
      <c r="AR1410" s="20"/>
    </row>
    <row r="1411" spans="1:45" s="21" customFormat="1" ht="30" customHeight="1" x14ac:dyDescent="0.2">
      <c r="A1411" s="8">
        <v>1195</v>
      </c>
      <c r="B1411" s="46">
        <v>1</v>
      </c>
      <c r="C1411" s="16" t="s">
        <v>52</v>
      </c>
      <c r="D1411" s="48">
        <v>1467</v>
      </c>
      <c r="E1411" s="47">
        <v>37</v>
      </c>
      <c r="F1411" s="48">
        <v>544</v>
      </c>
      <c r="G1411" s="49">
        <v>2</v>
      </c>
      <c r="H1411" s="48">
        <v>3</v>
      </c>
      <c r="I1411" s="48">
        <v>0</v>
      </c>
      <c r="J1411" s="48">
        <v>51</v>
      </c>
      <c r="K1411" s="3">
        <v>1251</v>
      </c>
      <c r="L1411" s="16"/>
      <c r="M1411" s="57"/>
      <c r="N1411" s="58"/>
      <c r="P1411" s="16">
        <v>1</v>
      </c>
      <c r="Q1411" s="20">
        <f t="shared" si="267"/>
        <v>1251</v>
      </c>
      <c r="R1411" s="14">
        <v>200</v>
      </c>
      <c r="S1411" s="19">
        <f t="shared" si="269"/>
        <v>250200</v>
      </c>
      <c r="T1411" s="16"/>
      <c r="U1411" s="17"/>
      <c r="V1411" s="17"/>
      <c r="W1411" s="4"/>
      <c r="X1411" s="16"/>
      <c r="Y1411" s="5"/>
      <c r="Z1411" s="16"/>
      <c r="AA1411" s="16"/>
      <c r="AB1411" s="16"/>
      <c r="AE1411" s="16"/>
      <c r="AG1411" s="22">
        <f t="shared" ref="AG1411:AG1474" si="273">Y1411</f>
        <v>0</v>
      </c>
      <c r="AH1411" s="6"/>
      <c r="AJ1411" s="20">
        <f t="shared" si="268"/>
        <v>0</v>
      </c>
      <c r="AK1411" s="50"/>
      <c r="AL1411" s="6"/>
      <c r="AM1411" s="20">
        <f t="shared" si="270"/>
        <v>0</v>
      </c>
      <c r="AN1411" s="20">
        <f t="shared" si="271"/>
        <v>250200</v>
      </c>
      <c r="AP1411" s="20">
        <f t="shared" si="272"/>
        <v>250200</v>
      </c>
      <c r="AQ1411" s="7"/>
      <c r="AR1411" s="20"/>
      <c r="AS1411" s="51"/>
    </row>
    <row r="1412" spans="1:45" s="21" customFormat="1" ht="30" customHeight="1" x14ac:dyDescent="0.2">
      <c r="A1412" s="8">
        <v>1196</v>
      </c>
      <c r="B1412" s="46">
        <v>2</v>
      </c>
      <c r="C1412" s="16" t="s">
        <v>52</v>
      </c>
      <c r="D1412" s="48">
        <v>1525</v>
      </c>
      <c r="E1412" s="47">
        <v>69</v>
      </c>
      <c r="F1412" s="48">
        <v>422</v>
      </c>
      <c r="G1412" s="49">
        <v>2</v>
      </c>
      <c r="H1412" s="48">
        <v>0</v>
      </c>
      <c r="I1412" s="48">
        <v>2</v>
      </c>
      <c r="J1412" s="48">
        <v>30</v>
      </c>
      <c r="K1412" s="3"/>
      <c r="L1412" s="16"/>
      <c r="M1412" s="57"/>
      <c r="N1412" s="58">
        <v>230</v>
      </c>
      <c r="P1412" s="16">
        <v>4</v>
      </c>
      <c r="Q1412" s="20">
        <f t="shared" si="267"/>
        <v>230</v>
      </c>
      <c r="R1412" s="14">
        <v>4500</v>
      </c>
      <c r="S1412" s="19">
        <f t="shared" si="269"/>
        <v>1035000</v>
      </c>
      <c r="T1412" s="16"/>
      <c r="U1412" s="16"/>
      <c r="V1412" s="16"/>
      <c r="W1412" s="5"/>
      <c r="X1412" s="16"/>
      <c r="Y1412" s="5"/>
      <c r="Z1412" s="16"/>
      <c r="AA1412" s="16"/>
      <c r="AB1412" s="16"/>
      <c r="AE1412" s="16"/>
      <c r="AG1412" s="22">
        <f t="shared" si="273"/>
        <v>0</v>
      </c>
      <c r="AH1412" s="6"/>
      <c r="AJ1412" s="20">
        <f t="shared" si="268"/>
        <v>0</v>
      </c>
      <c r="AK1412" s="50"/>
      <c r="AL1412" s="6"/>
      <c r="AM1412" s="20">
        <f t="shared" si="270"/>
        <v>0</v>
      </c>
      <c r="AN1412" s="20">
        <f t="shared" si="271"/>
        <v>1035000</v>
      </c>
      <c r="AP1412" s="20">
        <f t="shared" si="272"/>
        <v>1035000</v>
      </c>
      <c r="AQ1412" s="7">
        <v>3.0000000000000001E-3</v>
      </c>
      <c r="AR1412" s="20"/>
      <c r="AS1412" s="51"/>
    </row>
    <row r="1413" spans="1:45" s="21" customFormat="1" ht="30" customHeight="1" x14ac:dyDescent="0.2">
      <c r="A1413" s="8">
        <v>1197</v>
      </c>
      <c r="B1413" s="46">
        <v>3</v>
      </c>
      <c r="C1413" s="16" t="s">
        <v>52</v>
      </c>
      <c r="D1413" s="48">
        <v>1591</v>
      </c>
      <c r="E1413" s="47">
        <v>29</v>
      </c>
      <c r="F1413" s="48">
        <v>528</v>
      </c>
      <c r="G1413" s="49">
        <v>2</v>
      </c>
      <c r="H1413" s="48">
        <v>5</v>
      </c>
      <c r="I1413" s="48">
        <v>2</v>
      </c>
      <c r="J1413" s="48">
        <v>46</v>
      </c>
      <c r="K1413" s="3">
        <v>2246</v>
      </c>
      <c r="L1413" s="16"/>
      <c r="M1413" s="57"/>
      <c r="N1413" s="58"/>
      <c r="P1413" s="16">
        <v>1</v>
      </c>
      <c r="Q1413" s="20">
        <f t="shared" si="267"/>
        <v>2246</v>
      </c>
      <c r="R1413" s="14">
        <v>200</v>
      </c>
      <c r="S1413" s="20">
        <f t="shared" si="269"/>
        <v>449200</v>
      </c>
      <c r="T1413" s="16"/>
      <c r="U1413" s="17"/>
      <c r="V1413" s="16"/>
      <c r="W1413" s="5"/>
      <c r="X1413" s="16"/>
      <c r="Y1413" s="5"/>
      <c r="Z1413" s="16"/>
      <c r="AA1413" s="16"/>
      <c r="AB1413" s="16"/>
      <c r="AE1413" s="16"/>
      <c r="AG1413" s="22">
        <f t="shared" si="273"/>
        <v>0</v>
      </c>
      <c r="AH1413" s="6"/>
      <c r="AJ1413" s="20">
        <f t="shared" si="268"/>
        <v>0</v>
      </c>
      <c r="AK1413" s="50"/>
      <c r="AL1413" s="6"/>
      <c r="AM1413" s="20">
        <f t="shared" si="270"/>
        <v>0</v>
      </c>
      <c r="AN1413" s="20">
        <f t="shared" si="271"/>
        <v>449200</v>
      </c>
      <c r="AP1413" s="20">
        <f t="shared" si="272"/>
        <v>449200</v>
      </c>
      <c r="AQ1413" s="7"/>
      <c r="AR1413" s="20"/>
      <c r="AS1413" s="51"/>
    </row>
    <row r="1414" spans="1:45" s="21" customFormat="1" ht="30" customHeight="1" x14ac:dyDescent="0.2">
      <c r="A1414" s="8">
        <v>1198</v>
      </c>
      <c r="B1414" s="46">
        <v>4</v>
      </c>
      <c r="C1414" s="16" t="s">
        <v>52</v>
      </c>
      <c r="D1414" s="48">
        <v>1799</v>
      </c>
      <c r="E1414" s="47">
        <v>9</v>
      </c>
      <c r="F1414" s="48">
        <v>1183</v>
      </c>
      <c r="G1414" s="49">
        <v>2</v>
      </c>
      <c r="H1414" s="48">
        <v>4</v>
      </c>
      <c r="I1414" s="48">
        <v>0</v>
      </c>
      <c r="J1414" s="48">
        <v>86</v>
      </c>
      <c r="K1414" s="3">
        <v>1686</v>
      </c>
      <c r="L1414" s="16"/>
      <c r="M1414" s="57"/>
      <c r="N1414" s="58"/>
      <c r="P1414" s="16">
        <v>1</v>
      </c>
      <c r="Q1414" s="20">
        <f t="shared" si="267"/>
        <v>1686</v>
      </c>
      <c r="R1414" s="14">
        <v>160</v>
      </c>
      <c r="S1414" s="19">
        <f t="shared" si="269"/>
        <v>269760</v>
      </c>
      <c r="T1414" s="16"/>
      <c r="U1414" s="17"/>
      <c r="V1414" s="17"/>
      <c r="W1414" s="4"/>
      <c r="X1414" s="16"/>
      <c r="Y1414" s="5"/>
      <c r="Z1414" s="16"/>
      <c r="AA1414" s="16"/>
      <c r="AB1414" s="16"/>
      <c r="AE1414" s="16"/>
      <c r="AG1414" s="22">
        <f t="shared" si="273"/>
        <v>0</v>
      </c>
      <c r="AH1414" s="6"/>
      <c r="AJ1414" s="20">
        <f t="shared" si="268"/>
        <v>0</v>
      </c>
      <c r="AK1414" s="50"/>
      <c r="AL1414" s="6"/>
      <c r="AM1414" s="20">
        <f t="shared" si="270"/>
        <v>0</v>
      </c>
      <c r="AN1414" s="20">
        <f t="shared" si="271"/>
        <v>269760</v>
      </c>
      <c r="AP1414" s="20">
        <f t="shared" si="272"/>
        <v>269760</v>
      </c>
      <c r="AQ1414" s="7"/>
      <c r="AR1414" s="20"/>
      <c r="AS1414" s="51"/>
    </row>
    <row r="1415" spans="1:45" s="21" customFormat="1" ht="30" customHeight="1" x14ac:dyDescent="0.2">
      <c r="A1415" s="8">
        <v>1199</v>
      </c>
      <c r="B1415" s="46">
        <v>5</v>
      </c>
      <c r="C1415" s="16" t="s">
        <v>52</v>
      </c>
      <c r="D1415" s="48">
        <v>18450</v>
      </c>
      <c r="E1415" s="47">
        <v>293</v>
      </c>
      <c r="F1415" s="48">
        <v>3646</v>
      </c>
      <c r="G1415" s="49">
        <v>2</v>
      </c>
      <c r="H1415" s="48">
        <v>0</v>
      </c>
      <c r="I1415" s="48">
        <v>0</v>
      </c>
      <c r="J1415" s="48">
        <v>55</v>
      </c>
      <c r="K1415" s="3"/>
      <c r="L1415" s="16">
        <v>55</v>
      </c>
      <c r="M1415" s="57"/>
      <c r="N1415" s="58"/>
      <c r="P1415" s="16">
        <v>2</v>
      </c>
      <c r="Q1415" s="20">
        <f t="shared" si="267"/>
        <v>55</v>
      </c>
      <c r="R1415" s="14">
        <v>4500</v>
      </c>
      <c r="S1415" s="19">
        <f t="shared" si="269"/>
        <v>247500</v>
      </c>
      <c r="T1415" s="16"/>
      <c r="U1415" s="17"/>
      <c r="V1415" s="17"/>
      <c r="W1415" s="4"/>
      <c r="X1415" s="16"/>
      <c r="Y1415" s="5"/>
      <c r="Z1415" s="16"/>
      <c r="AA1415" s="16"/>
      <c r="AB1415" s="16"/>
      <c r="AE1415" s="16"/>
      <c r="AG1415" s="22">
        <f t="shared" si="273"/>
        <v>0</v>
      </c>
      <c r="AH1415" s="6"/>
      <c r="AJ1415" s="20">
        <f t="shared" si="268"/>
        <v>0</v>
      </c>
      <c r="AK1415" s="50"/>
      <c r="AL1415" s="6"/>
      <c r="AM1415" s="20">
        <f t="shared" si="270"/>
        <v>0</v>
      </c>
      <c r="AN1415" s="20">
        <f t="shared" si="271"/>
        <v>247500</v>
      </c>
      <c r="AP1415" s="20">
        <f t="shared" si="272"/>
        <v>247500</v>
      </c>
      <c r="AQ1415" s="7"/>
      <c r="AR1415" s="20"/>
      <c r="AS1415" s="51"/>
    </row>
    <row r="1416" spans="1:45" ht="30" customHeight="1" x14ac:dyDescent="0.2">
      <c r="A1416" s="8">
        <v>1200</v>
      </c>
      <c r="B1416" s="13">
        <v>6</v>
      </c>
      <c r="C1416" s="16" t="s">
        <v>65</v>
      </c>
      <c r="D1416" s="17">
        <v>595</v>
      </c>
      <c r="E1416" s="17">
        <v>212</v>
      </c>
      <c r="H1416" s="17">
        <v>1</v>
      </c>
      <c r="I1416" s="17">
        <v>3</v>
      </c>
      <c r="J1416" s="17">
        <v>53</v>
      </c>
      <c r="K1416" s="10">
        <v>753</v>
      </c>
      <c r="P1416" s="17">
        <v>1</v>
      </c>
      <c r="Q1416" s="20">
        <f t="shared" si="267"/>
        <v>753</v>
      </c>
      <c r="R1416" s="14">
        <v>250</v>
      </c>
      <c r="S1416" s="20">
        <f t="shared" si="269"/>
        <v>188250</v>
      </c>
      <c r="AG1416" s="22">
        <f t="shared" si="273"/>
        <v>0</v>
      </c>
      <c r="AJ1416" s="20">
        <f t="shared" si="268"/>
        <v>0</v>
      </c>
      <c r="AM1416" s="20">
        <f t="shared" si="270"/>
        <v>0</v>
      </c>
      <c r="AN1416" s="20">
        <f t="shared" si="271"/>
        <v>188250</v>
      </c>
      <c r="AP1416" s="20">
        <f t="shared" si="272"/>
        <v>188250</v>
      </c>
      <c r="AQ1416" s="12">
        <v>1E-4</v>
      </c>
      <c r="AR1416" s="20"/>
    </row>
    <row r="1417" spans="1:45" s="21" customFormat="1" ht="30" customHeight="1" x14ac:dyDescent="0.2">
      <c r="A1417" s="8">
        <v>1201</v>
      </c>
      <c r="B1417" s="46">
        <v>1</v>
      </c>
      <c r="C1417" s="16" t="s">
        <v>52</v>
      </c>
      <c r="D1417" s="48">
        <v>21089</v>
      </c>
      <c r="E1417" s="47">
        <v>161</v>
      </c>
      <c r="F1417" s="48">
        <v>4686</v>
      </c>
      <c r="G1417" s="49">
        <v>2</v>
      </c>
      <c r="H1417" s="48">
        <v>0</v>
      </c>
      <c r="I1417" s="48">
        <v>0</v>
      </c>
      <c r="J1417" s="48">
        <v>89</v>
      </c>
      <c r="K1417" s="3"/>
      <c r="L1417" s="16">
        <v>89</v>
      </c>
      <c r="M1417" s="57"/>
      <c r="N1417" s="58"/>
      <c r="P1417" s="16">
        <v>2</v>
      </c>
      <c r="Q1417" s="20">
        <f t="shared" si="267"/>
        <v>89</v>
      </c>
      <c r="R1417" s="14">
        <v>250</v>
      </c>
      <c r="S1417" s="19">
        <f t="shared" si="269"/>
        <v>22250</v>
      </c>
      <c r="T1417" s="16"/>
      <c r="U1417" s="17" t="s">
        <v>63</v>
      </c>
      <c r="V1417" s="17" t="s">
        <v>56</v>
      </c>
      <c r="W1417" s="4"/>
      <c r="X1417" s="16"/>
      <c r="Y1417" s="5">
        <v>322</v>
      </c>
      <c r="Z1417" s="16"/>
      <c r="AA1417" s="16"/>
      <c r="AB1417" s="16">
        <v>31</v>
      </c>
      <c r="AC1417" s="14"/>
      <c r="AD1417" s="14"/>
      <c r="AE1417" s="16"/>
      <c r="AG1417" s="22">
        <f t="shared" si="273"/>
        <v>322</v>
      </c>
      <c r="AH1417" s="6"/>
      <c r="AJ1417" s="20">
        <f t="shared" si="268"/>
        <v>0</v>
      </c>
      <c r="AK1417" s="50">
        <v>31</v>
      </c>
      <c r="AL1417" s="6"/>
      <c r="AM1417" s="20">
        <f t="shared" si="270"/>
        <v>0</v>
      </c>
      <c r="AN1417" s="20">
        <f t="shared" si="271"/>
        <v>22250</v>
      </c>
      <c r="AP1417" s="20">
        <f t="shared" si="272"/>
        <v>22250</v>
      </c>
      <c r="AQ1417" s="7"/>
      <c r="AR1417" s="20"/>
      <c r="AS1417" s="51"/>
    </row>
    <row r="1418" spans="1:45" s="21" customFormat="1" ht="30" customHeight="1" x14ac:dyDescent="0.2">
      <c r="A1418" s="8">
        <v>1202</v>
      </c>
      <c r="B1418" s="46">
        <v>2</v>
      </c>
      <c r="C1418" s="16" t="s">
        <v>52</v>
      </c>
      <c r="D1418" s="48">
        <v>26610</v>
      </c>
      <c r="E1418" s="47">
        <v>171</v>
      </c>
      <c r="F1418" s="48">
        <v>4989</v>
      </c>
      <c r="G1418" s="49">
        <v>2</v>
      </c>
      <c r="H1418" s="48">
        <v>0</v>
      </c>
      <c r="I1418" s="48">
        <v>0</v>
      </c>
      <c r="J1418" s="48">
        <v>31</v>
      </c>
      <c r="K1418" s="3">
        <v>31</v>
      </c>
      <c r="L1418" s="16"/>
      <c r="M1418" s="57"/>
      <c r="N1418" s="58"/>
      <c r="P1418" s="16">
        <v>1</v>
      </c>
      <c r="Q1418" s="20">
        <f t="shared" si="267"/>
        <v>31</v>
      </c>
      <c r="R1418" s="14">
        <v>250</v>
      </c>
      <c r="S1418" s="19">
        <f t="shared" si="269"/>
        <v>7750</v>
      </c>
      <c r="T1418" s="16"/>
      <c r="U1418" s="17"/>
      <c r="V1418" s="17"/>
      <c r="W1418" s="4"/>
      <c r="X1418" s="16"/>
      <c r="Y1418" s="5"/>
      <c r="Z1418" s="16"/>
      <c r="AA1418" s="16"/>
      <c r="AB1418" s="16"/>
      <c r="AE1418" s="16"/>
      <c r="AG1418" s="22">
        <f t="shared" si="273"/>
        <v>0</v>
      </c>
      <c r="AH1418" s="6"/>
      <c r="AJ1418" s="20">
        <f t="shared" si="268"/>
        <v>0</v>
      </c>
      <c r="AK1418" s="50"/>
      <c r="AL1418" s="6"/>
      <c r="AM1418" s="20">
        <f t="shared" si="270"/>
        <v>0</v>
      </c>
      <c r="AN1418" s="20">
        <f t="shared" si="271"/>
        <v>7750</v>
      </c>
      <c r="AP1418" s="20">
        <f t="shared" si="272"/>
        <v>7750</v>
      </c>
      <c r="AQ1418" s="7"/>
      <c r="AR1418" s="20"/>
      <c r="AS1418" s="51"/>
    </row>
    <row r="1419" spans="1:45" s="21" customFormat="1" ht="30" customHeight="1" x14ac:dyDescent="0.2">
      <c r="A1419" s="8">
        <v>1203</v>
      </c>
      <c r="B1419" s="46">
        <v>1</v>
      </c>
      <c r="C1419" s="16" t="s">
        <v>52</v>
      </c>
      <c r="D1419" s="48">
        <v>2143</v>
      </c>
      <c r="E1419" s="47">
        <v>12</v>
      </c>
      <c r="F1419" s="48">
        <v>1721</v>
      </c>
      <c r="G1419" s="49">
        <v>4</v>
      </c>
      <c r="H1419" s="48">
        <v>0</v>
      </c>
      <c r="I1419" s="48">
        <v>0</v>
      </c>
      <c r="J1419" s="48">
        <v>22</v>
      </c>
      <c r="K1419" s="3"/>
      <c r="L1419" s="16"/>
      <c r="M1419" s="57"/>
      <c r="N1419" s="58">
        <v>22</v>
      </c>
      <c r="P1419" s="16">
        <v>4</v>
      </c>
      <c r="Q1419" s="20">
        <f t="shared" si="267"/>
        <v>22</v>
      </c>
      <c r="R1419" s="14">
        <v>160</v>
      </c>
      <c r="S1419" s="20">
        <f t="shared" si="269"/>
        <v>3520</v>
      </c>
      <c r="T1419" s="16"/>
      <c r="U1419" s="17"/>
      <c r="V1419" s="17"/>
      <c r="W1419" s="4"/>
      <c r="X1419" s="16"/>
      <c r="Y1419" s="5"/>
      <c r="Z1419" s="16"/>
      <c r="AA1419" s="16"/>
      <c r="AB1419" s="16"/>
      <c r="AC1419" s="14"/>
      <c r="AD1419" s="14"/>
      <c r="AE1419" s="16"/>
      <c r="AG1419" s="22">
        <f t="shared" si="273"/>
        <v>0</v>
      </c>
      <c r="AH1419" s="6"/>
      <c r="AJ1419" s="20">
        <f t="shared" si="268"/>
        <v>0</v>
      </c>
      <c r="AK1419" s="50"/>
      <c r="AL1419" s="6"/>
      <c r="AM1419" s="20">
        <f t="shared" si="270"/>
        <v>0</v>
      </c>
      <c r="AN1419" s="20">
        <f t="shared" si="271"/>
        <v>3520</v>
      </c>
      <c r="AP1419" s="20">
        <f t="shared" si="272"/>
        <v>3520</v>
      </c>
      <c r="AQ1419" s="7">
        <v>3.0000000000000001E-3</v>
      </c>
      <c r="AR1419" s="20"/>
      <c r="AS1419" s="51"/>
    </row>
    <row r="1420" spans="1:45" s="21" customFormat="1" ht="30" customHeight="1" x14ac:dyDescent="0.2">
      <c r="A1420" s="8">
        <v>1204</v>
      </c>
      <c r="B1420" s="46">
        <v>1</v>
      </c>
      <c r="C1420" s="16" t="s">
        <v>52</v>
      </c>
      <c r="D1420" s="48">
        <v>2324</v>
      </c>
      <c r="E1420" s="47">
        <v>52</v>
      </c>
      <c r="F1420" s="48">
        <v>1598</v>
      </c>
      <c r="G1420" s="49">
        <v>3</v>
      </c>
      <c r="H1420" s="48">
        <v>0</v>
      </c>
      <c r="I1420" s="48">
        <v>0</v>
      </c>
      <c r="J1420" s="48">
        <v>58</v>
      </c>
      <c r="K1420" s="3"/>
      <c r="L1420" s="16"/>
      <c r="M1420" s="57"/>
      <c r="N1420" s="58">
        <v>58</v>
      </c>
      <c r="P1420" s="16">
        <v>4</v>
      </c>
      <c r="Q1420" s="20">
        <f t="shared" si="267"/>
        <v>58</v>
      </c>
      <c r="R1420" s="14">
        <v>2000</v>
      </c>
      <c r="S1420" s="19">
        <f t="shared" si="269"/>
        <v>116000</v>
      </c>
      <c r="T1420" s="16"/>
      <c r="U1420" s="16"/>
      <c r="V1420" s="16"/>
      <c r="W1420" s="5"/>
      <c r="X1420" s="16"/>
      <c r="Y1420" s="5"/>
      <c r="Z1420" s="16"/>
      <c r="AA1420" s="16"/>
      <c r="AB1420" s="16"/>
      <c r="AC1420" s="14"/>
      <c r="AD1420" s="14"/>
      <c r="AE1420" s="16"/>
      <c r="AG1420" s="22">
        <f t="shared" si="273"/>
        <v>0</v>
      </c>
      <c r="AH1420" s="6"/>
      <c r="AJ1420" s="20">
        <f t="shared" si="268"/>
        <v>0</v>
      </c>
      <c r="AK1420" s="50"/>
      <c r="AL1420" s="6"/>
      <c r="AM1420" s="20">
        <f t="shared" si="270"/>
        <v>0</v>
      </c>
      <c r="AN1420" s="20">
        <f t="shared" si="271"/>
        <v>116000</v>
      </c>
      <c r="AP1420" s="20">
        <f t="shared" si="272"/>
        <v>116000</v>
      </c>
      <c r="AQ1420" s="7">
        <v>3.0000000000000001E-3</v>
      </c>
      <c r="AR1420" s="20"/>
      <c r="AS1420" s="51"/>
    </row>
    <row r="1421" spans="1:45" s="21" customFormat="1" ht="30" customHeight="1" x14ac:dyDescent="0.2">
      <c r="A1421" s="8">
        <v>1205</v>
      </c>
      <c r="B1421" s="46">
        <v>1</v>
      </c>
      <c r="C1421" s="16" t="s">
        <v>52</v>
      </c>
      <c r="D1421" s="48">
        <v>1446</v>
      </c>
      <c r="E1421" s="47">
        <v>21</v>
      </c>
      <c r="F1421" s="48">
        <v>900</v>
      </c>
      <c r="G1421" s="49">
        <v>2</v>
      </c>
      <c r="H1421" s="48">
        <v>0</v>
      </c>
      <c r="I1421" s="48">
        <v>0</v>
      </c>
      <c r="J1421" s="48">
        <v>98</v>
      </c>
      <c r="K1421" s="3"/>
      <c r="L1421" s="16"/>
      <c r="M1421" s="57"/>
      <c r="N1421" s="58">
        <v>98</v>
      </c>
      <c r="P1421" s="16">
        <v>4</v>
      </c>
      <c r="Q1421" s="20">
        <f t="shared" si="267"/>
        <v>98</v>
      </c>
      <c r="R1421" s="14">
        <v>160</v>
      </c>
      <c r="S1421" s="19">
        <f t="shared" si="269"/>
        <v>15680</v>
      </c>
      <c r="T1421" s="16"/>
      <c r="U1421" s="17"/>
      <c r="V1421" s="16"/>
      <c r="W1421" s="5"/>
      <c r="X1421" s="16"/>
      <c r="Y1421" s="5"/>
      <c r="Z1421" s="16"/>
      <c r="AA1421" s="16"/>
      <c r="AB1421" s="16"/>
      <c r="AC1421" s="14"/>
      <c r="AD1421" s="14"/>
      <c r="AE1421" s="16"/>
      <c r="AG1421" s="22">
        <f t="shared" si="273"/>
        <v>0</v>
      </c>
      <c r="AH1421" s="6"/>
      <c r="AJ1421" s="20">
        <f t="shared" si="268"/>
        <v>0</v>
      </c>
      <c r="AK1421" s="50"/>
      <c r="AL1421" s="6"/>
      <c r="AM1421" s="20">
        <f t="shared" si="270"/>
        <v>0</v>
      </c>
      <c r="AN1421" s="20">
        <f t="shared" si="271"/>
        <v>15680</v>
      </c>
      <c r="AP1421" s="20">
        <f t="shared" si="272"/>
        <v>15680</v>
      </c>
      <c r="AQ1421" s="7">
        <v>3.0000000000000001E-3</v>
      </c>
      <c r="AR1421" s="60"/>
      <c r="AS1421" s="128">
        <v>15</v>
      </c>
    </row>
    <row r="1422" spans="1:45" s="21" customFormat="1" ht="30" customHeight="1" x14ac:dyDescent="0.2">
      <c r="A1422" s="8">
        <v>1206</v>
      </c>
      <c r="B1422" s="46">
        <v>2</v>
      </c>
      <c r="C1422" s="16" t="s">
        <v>52</v>
      </c>
      <c r="D1422" s="48">
        <v>1878</v>
      </c>
      <c r="E1422" s="47">
        <v>11</v>
      </c>
      <c r="F1422" s="48">
        <v>1268</v>
      </c>
      <c r="G1422" s="49">
        <v>2</v>
      </c>
      <c r="H1422" s="48">
        <v>5</v>
      </c>
      <c r="I1422" s="48">
        <v>0</v>
      </c>
      <c r="J1422" s="48">
        <v>19</v>
      </c>
      <c r="K1422" s="3">
        <v>2019</v>
      </c>
      <c r="L1422" s="16"/>
      <c r="M1422" s="57"/>
      <c r="N1422" s="58"/>
      <c r="P1422" s="16">
        <v>1</v>
      </c>
      <c r="Q1422" s="20">
        <f t="shared" si="267"/>
        <v>2019</v>
      </c>
      <c r="R1422" s="14">
        <v>160</v>
      </c>
      <c r="S1422" s="20">
        <f t="shared" si="269"/>
        <v>323040</v>
      </c>
      <c r="T1422" s="16"/>
      <c r="U1422" s="17"/>
      <c r="V1422" s="17"/>
      <c r="W1422" s="4"/>
      <c r="X1422" s="16"/>
      <c r="Y1422" s="5"/>
      <c r="Z1422" s="16"/>
      <c r="AA1422" s="16"/>
      <c r="AB1422" s="16"/>
      <c r="AC1422" s="14"/>
      <c r="AD1422" s="14"/>
      <c r="AE1422" s="16"/>
      <c r="AG1422" s="22">
        <f t="shared" si="273"/>
        <v>0</v>
      </c>
      <c r="AH1422" s="6"/>
      <c r="AJ1422" s="20">
        <f t="shared" si="268"/>
        <v>0</v>
      </c>
      <c r="AK1422" s="50"/>
      <c r="AL1422" s="6"/>
      <c r="AM1422" s="20">
        <f t="shared" si="270"/>
        <v>0</v>
      </c>
      <c r="AN1422" s="20">
        <f t="shared" si="271"/>
        <v>323040</v>
      </c>
      <c r="AP1422" s="20">
        <f t="shared" si="272"/>
        <v>323040</v>
      </c>
      <c r="AQ1422" s="7"/>
      <c r="AR1422" s="25"/>
      <c r="AS1422" s="130"/>
    </row>
    <row r="1423" spans="1:45" s="21" customFormat="1" ht="30" customHeight="1" x14ac:dyDescent="0.2">
      <c r="A1423" s="8">
        <v>1207</v>
      </c>
      <c r="B1423" s="46">
        <v>1</v>
      </c>
      <c r="C1423" s="16" t="s">
        <v>52</v>
      </c>
      <c r="D1423" s="48">
        <v>1092</v>
      </c>
      <c r="E1423" s="47">
        <v>22</v>
      </c>
      <c r="F1423" s="48">
        <v>981</v>
      </c>
      <c r="G1423" s="49">
        <v>1</v>
      </c>
      <c r="H1423" s="48">
        <v>5</v>
      </c>
      <c r="I1423" s="48">
        <v>2</v>
      </c>
      <c r="J1423" s="48">
        <v>4</v>
      </c>
      <c r="K1423" s="3">
        <f>2000+204</f>
        <v>2204</v>
      </c>
      <c r="L1423" s="16"/>
      <c r="M1423" s="57"/>
      <c r="N1423" s="58"/>
      <c r="P1423" s="16">
        <v>1</v>
      </c>
      <c r="Q1423" s="20">
        <f t="shared" si="267"/>
        <v>2204</v>
      </c>
      <c r="R1423" s="14">
        <v>160</v>
      </c>
      <c r="S1423" s="19">
        <f t="shared" si="269"/>
        <v>352640</v>
      </c>
      <c r="T1423" s="16"/>
      <c r="U1423" s="17"/>
      <c r="V1423" s="17"/>
      <c r="W1423" s="4"/>
      <c r="X1423" s="16"/>
      <c r="Y1423" s="5"/>
      <c r="Z1423" s="16"/>
      <c r="AA1423" s="16"/>
      <c r="AB1423" s="16"/>
      <c r="AC1423" s="14"/>
      <c r="AD1423" s="14"/>
      <c r="AE1423" s="16"/>
      <c r="AG1423" s="22">
        <f t="shared" si="273"/>
        <v>0</v>
      </c>
      <c r="AH1423" s="6"/>
      <c r="AJ1423" s="20">
        <f t="shared" si="268"/>
        <v>0</v>
      </c>
      <c r="AK1423" s="50"/>
      <c r="AL1423" s="6"/>
      <c r="AM1423" s="20">
        <f t="shared" si="270"/>
        <v>0</v>
      </c>
      <c r="AN1423" s="20">
        <f t="shared" si="271"/>
        <v>352640</v>
      </c>
      <c r="AP1423" s="20">
        <f t="shared" si="272"/>
        <v>352640</v>
      </c>
      <c r="AQ1423" s="7"/>
      <c r="AR1423" s="60"/>
      <c r="AS1423" s="128">
        <v>64</v>
      </c>
    </row>
    <row r="1424" spans="1:45" s="21" customFormat="1" ht="30" customHeight="1" x14ac:dyDescent="0.2">
      <c r="A1424" s="8">
        <v>1208</v>
      </c>
      <c r="B1424" s="46">
        <v>2</v>
      </c>
      <c r="C1424" s="16" t="s">
        <v>52</v>
      </c>
      <c r="D1424" s="48">
        <v>1093</v>
      </c>
      <c r="E1424" s="47">
        <v>19</v>
      </c>
      <c r="F1424" s="48">
        <v>982</v>
      </c>
      <c r="G1424" s="49">
        <v>1</v>
      </c>
      <c r="H1424" s="48">
        <v>5</v>
      </c>
      <c r="I1424" s="48">
        <v>1</v>
      </c>
      <c r="J1424" s="48">
        <v>60</v>
      </c>
      <c r="K1424" s="3">
        <f>2000+160</f>
        <v>2160</v>
      </c>
      <c r="L1424" s="16"/>
      <c r="M1424" s="57"/>
      <c r="N1424" s="58"/>
      <c r="P1424" s="16">
        <v>1</v>
      </c>
      <c r="Q1424" s="20">
        <f t="shared" si="267"/>
        <v>2160</v>
      </c>
      <c r="R1424" s="14">
        <v>200</v>
      </c>
      <c r="S1424" s="19">
        <f t="shared" si="269"/>
        <v>432000</v>
      </c>
      <c r="T1424" s="16"/>
      <c r="U1424" s="17"/>
      <c r="V1424" s="17"/>
      <c r="W1424" s="4"/>
      <c r="X1424" s="16"/>
      <c r="Y1424" s="5"/>
      <c r="Z1424" s="16"/>
      <c r="AA1424" s="16"/>
      <c r="AB1424" s="16"/>
      <c r="AE1424" s="16"/>
      <c r="AG1424" s="22">
        <f t="shared" si="273"/>
        <v>0</v>
      </c>
      <c r="AH1424" s="6"/>
      <c r="AJ1424" s="20">
        <f t="shared" si="268"/>
        <v>0</v>
      </c>
      <c r="AK1424" s="50"/>
      <c r="AL1424" s="6"/>
      <c r="AM1424" s="20">
        <f t="shared" si="270"/>
        <v>0</v>
      </c>
      <c r="AN1424" s="20">
        <f t="shared" si="271"/>
        <v>432000</v>
      </c>
      <c r="AP1424" s="20">
        <f t="shared" si="272"/>
        <v>432000</v>
      </c>
      <c r="AQ1424" s="7"/>
      <c r="AR1424" s="24"/>
      <c r="AS1424" s="129"/>
    </row>
    <row r="1425" spans="1:45" s="21" customFormat="1" ht="30" customHeight="1" x14ac:dyDescent="0.2">
      <c r="A1425" s="8">
        <v>1209</v>
      </c>
      <c r="B1425" s="46">
        <v>3</v>
      </c>
      <c r="C1425" s="16" t="s">
        <v>52</v>
      </c>
      <c r="D1425" s="48">
        <v>4181</v>
      </c>
      <c r="E1425" s="47">
        <v>65</v>
      </c>
      <c r="F1425" s="48">
        <v>2522</v>
      </c>
      <c r="G1425" s="49">
        <v>1</v>
      </c>
      <c r="H1425" s="48">
        <v>11</v>
      </c>
      <c r="I1425" s="48">
        <v>1</v>
      </c>
      <c r="J1425" s="48">
        <v>26</v>
      </c>
      <c r="K1425" s="3">
        <f>4*11+126</f>
        <v>170</v>
      </c>
      <c r="L1425" s="16"/>
      <c r="M1425" s="57"/>
      <c r="N1425" s="58"/>
      <c r="P1425" s="16">
        <v>1</v>
      </c>
      <c r="Q1425" s="20">
        <f t="shared" si="267"/>
        <v>4526</v>
      </c>
      <c r="R1425" s="14">
        <v>200</v>
      </c>
      <c r="S1425" s="20">
        <f t="shared" si="269"/>
        <v>905200</v>
      </c>
      <c r="T1425" s="16"/>
      <c r="U1425" s="17"/>
      <c r="V1425" s="17"/>
      <c r="W1425" s="4"/>
      <c r="X1425" s="16"/>
      <c r="Y1425" s="5"/>
      <c r="Z1425" s="16"/>
      <c r="AA1425" s="16"/>
      <c r="AB1425" s="16"/>
      <c r="AE1425" s="16"/>
      <c r="AG1425" s="22">
        <f t="shared" si="273"/>
        <v>0</v>
      </c>
      <c r="AH1425" s="6"/>
      <c r="AJ1425" s="20">
        <f t="shared" si="268"/>
        <v>0</v>
      </c>
      <c r="AK1425" s="50"/>
      <c r="AL1425" s="6"/>
      <c r="AM1425" s="20">
        <f t="shared" si="270"/>
        <v>0</v>
      </c>
      <c r="AN1425" s="20">
        <f t="shared" si="271"/>
        <v>905200</v>
      </c>
      <c r="AP1425" s="20">
        <f t="shared" si="272"/>
        <v>905200</v>
      </c>
      <c r="AQ1425" s="7"/>
      <c r="AR1425" s="25"/>
      <c r="AS1425" s="130"/>
    </row>
    <row r="1426" spans="1:45" s="21" customFormat="1" ht="30" customHeight="1" x14ac:dyDescent="0.2">
      <c r="A1426" s="8">
        <v>1210</v>
      </c>
      <c r="B1426" s="46">
        <v>4</v>
      </c>
      <c r="C1426" s="16" t="s">
        <v>52</v>
      </c>
      <c r="D1426" s="48">
        <v>30111</v>
      </c>
      <c r="E1426" s="47">
        <v>166</v>
      </c>
      <c r="F1426" s="48">
        <v>5785</v>
      </c>
      <c r="G1426" s="49">
        <v>2</v>
      </c>
      <c r="H1426" s="48">
        <v>0</v>
      </c>
      <c r="I1426" s="48">
        <v>0</v>
      </c>
      <c r="J1426" s="48">
        <v>98</v>
      </c>
      <c r="K1426" s="3"/>
      <c r="L1426" s="16"/>
      <c r="M1426" s="57"/>
      <c r="N1426" s="58">
        <v>98</v>
      </c>
      <c r="P1426" s="16">
        <v>4</v>
      </c>
      <c r="Q1426" s="20">
        <f t="shared" si="267"/>
        <v>98</v>
      </c>
      <c r="R1426" s="14">
        <v>3000</v>
      </c>
      <c r="S1426" s="19">
        <f t="shared" si="269"/>
        <v>294000</v>
      </c>
      <c r="T1426" s="16"/>
      <c r="U1426" s="17"/>
      <c r="V1426" s="17"/>
      <c r="W1426" s="4"/>
      <c r="X1426" s="16"/>
      <c r="Y1426" s="5"/>
      <c r="Z1426" s="16"/>
      <c r="AA1426" s="16"/>
      <c r="AB1426" s="16"/>
      <c r="AE1426" s="16"/>
      <c r="AG1426" s="22">
        <f t="shared" si="273"/>
        <v>0</v>
      </c>
      <c r="AH1426" s="6"/>
      <c r="AJ1426" s="20">
        <f t="shared" si="268"/>
        <v>0</v>
      </c>
      <c r="AK1426" s="50"/>
      <c r="AL1426" s="6"/>
      <c r="AM1426" s="20">
        <f t="shared" si="270"/>
        <v>0</v>
      </c>
      <c r="AN1426" s="20">
        <f t="shared" si="271"/>
        <v>294000</v>
      </c>
      <c r="AP1426" s="20">
        <f t="shared" si="272"/>
        <v>294000</v>
      </c>
      <c r="AQ1426" s="7">
        <v>3.0000000000000001E-3</v>
      </c>
      <c r="AR1426" s="20"/>
      <c r="AS1426" s="51"/>
    </row>
    <row r="1427" spans="1:45" s="21" customFormat="1" ht="30" customHeight="1" x14ac:dyDescent="0.2">
      <c r="A1427" s="8">
        <v>1211</v>
      </c>
      <c r="B1427" s="46">
        <v>1</v>
      </c>
      <c r="C1427" s="16" t="s">
        <v>52</v>
      </c>
      <c r="D1427" s="48">
        <v>20540</v>
      </c>
      <c r="E1427" s="47">
        <v>147</v>
      </c>
      <c r="F1427" s="48">
        <v>4387</v>
      </c>
      <c r="G1427" s="49">
        <v>2</v>
      </c>
      <c r="H1427" s="48">
        <v>0</v>
      </c>
      <c r="I1427" s="48">
        <v>0</v>
      </c>
      <c r="J1427" s="48">
        <v>40</v>
      </c>
      <c r="K1427" s="3"/>
      <c r="L1427" s="16">
        <v>40</v>
      </c>
      <c r="M1427" s="57"/>
      <c r="N1427" s="58"/>
      <c r="P1427" s="16">
        <v>2</v>
      </c>
      <c r="Q1427" s="20">
        <f t="shared" si="267"/>
        <v>40</v>
      </c>
      <c r="R1427" s="14">
        <v>250</v>
      </c>
      <c r="S1427" s="19">
        <f t="shared" si="269"/>
        <v>10000</v>
      </c>
      <c r="T1427" s="16"/>
      <c r="U1427" s="16"/>
      <c r="V1427" s="16"/>
      <c r="W1427" s="5"/>
      <c r="X1427" s="16"/>
      <c r="Y1427" s="5"/>
      <c r="Z1427" s="16"/>
      <c r="AA1427" s="16"/>
      <c r="AB1427" s="16"/>
      <c r="AE1427" s="16"/>
      <c r="AG1427" s="22">
        <f t="shared" si="273"/>
        <v>0</v>
      </c>
      <c r="AH1427" s="6"/>
      <c r="AJ1427" s="20">
        <f t="shared" si="268"/>
        <v>0</v>
      </c>
      <c r="AK1427" s="50"/>
      <c r="AL1427" s="6"/>
      <c r="AM1427" s="20">
        <f t="shared" si="270"/>
        <v>0</v>
      </c>
      <c r="AN1427" s="20">
        <f t="shared" si="271"/>
        <v>10000</v>
      </c>
      <c r="AP1427" s="20">
        <f t="shared" si="272"/>
        <v>10000</v>
      </c>
      <c r="AQ1427" s="7"/>
      <c r="AR1427" s="20"/>
      <c r="AS1427" s="51"/>
    </row>
    <row r="1428" spans="1:45" s="21" customFormat="1" ht="30" customHeight="1" x14ac:dyDescent="0.2">
      <c r="A1428" s="8">
        <v>1212</v>
      </c>
      <c r="B1428" s="46">
        <v>1</v>
      </c>
      <c r="C1428" s="16" t="s">
        <v>52</v>
      </c>
      <c r="D1428" s="48">
        <v>31048</v>
      </c>
      <c r="E1428" s="47">
        <v>224</v>
      </c>
      <c r="F1428" s="48">
        <v>5998</v>
      </c>
      <c r="G1428" s="49">
        <v>2</v>
      </c>
      <c r="H1428" s="48">
        <v>4</v>
      </c>
      <c r="I1428" s="48">
        <v>2</v>
      </c>
      <c r="J1428" s="48">
        <v>4</v>
      </c>
      <c r="K1428" s="3">
        <f>1600+204</f>
        <v>1804</v>
      </c>
      <c r="L1428" s="16"/>
      <c r="M1428" s="57"/>
      <c r="N1428" s="58"/>
      <c r="P1428" s="16">
        <v>1</v>
      </c>
      <c r="Q1428" s="20">
        <f t="shared" si="267"/>
        <v>1804</v>
      </c>
      <c r="R1428" s="14">
        <v>160</v>
      </c>
      <c r="S1428" s="20">
        <f t="shared" si="269"/>
        <v>288640</v>
      </c>
      <c r="T1428" s="16"/>
      <c r="U1428" s="17"/>
      <c r="V1428" s="16"/>
      <c r="W1428" s="5"/>
      <c r="X1428" s="16"/>
      <c r="Y1428" s="5"/>
      <c r="Z1428" s="16"/>
      <c r="AA1428" s="16"/>
      <c r="AB1428" s="16"/>
      <c r="AE1428" s="16"/>
      <c r="AG1428" s="22">
        <f t="shared" si="273"/>
        <v>0</v>
      </c>
      <c r="AH1428" s="6"/>
      <c r="AJ1428" s="20">
        <f t="shared" si="268"/>
        <v>0</v>
      </c>
      <c r="AK1428" s="50"/>
      <c r="AL1428" s="6"/>
      <c r="AM1428" s="20">
        <f t="shared" si="270"/>
        <v>0</v>
      </c>
      <c r="AN1428" s="20">
        <f t="shared" si="271"/>
        <v>288640</v>
      </c>
      <c r="AP1428" s="20">
        <f t="shared" si="272"/>
        <v>288640</v>
      </c>
      <c r="AQ1428" s="7"/>
      <c r="AR1428" s="20"/>
      <c r="AS1428" s="51">
        <v>16</v>
      </c>
    </row>
    <row r="1429" spans="1:45" s="21" customFormat="1" ht="30" customHeight="1" x14ac:dyDescent="0.2">
      <c r="A1429" s="8">
        <v>1213</v>
      </c>
      <c r="B1429" s="46">
        <v>1</v>
      </c>
      <c r="C1429" s="16" t="s">
        <v>52</v>
      </c>
      <c r="D1429" s="48">
        <v>15987</v>
      </c>
      <c r="E1429" s="47">
        <v>160</v>
      </c>
      <c r="F1429" s="48">
        <v>3496</v>
      </c>
      <c r="G1429" s="49">
        <v>3</v>
      </c>
      <c r="H1429" s="48">
        <v>9</v>
      </c>
      <c r="I1429" s="48">
        <v>1</v>
      </c>
      <c r="J1429" s="48">
        <v>21</v>
      </c>
      <c r="K1429" s="3">
        <f>9*400+121</f>
        <v>3721</v>
      </c>
      <c r="L1429" s="16"/>
      <c r="M1429" s="57"/>
      <c r="N1429" s="58"/>
      <c r="P1429" s="16">
        <v>1</v>
      </c>
      <c r="Q1429" s="20">
        <f t="shared" si="267"/>
        <v>3721</v>
      </c>
      <c r="R1429" s="14">
        <v>500</v>
      </c>
      <c r="S1429" s="19">
        <f t="shared" si="269"/>
        <v>1860500</v>
      </c>
      <c r="T1429" s="16"/>
      <c r="U1429" s="17"/>
      <c r="V1429" s="17"/>
      <c r="W1429" s="4"/>
      <c r="X1429" s="16"/>
      <c r="Y1429" s="5"/>
      <c r="Z1429" s="16"/>
      <c r="AA1429" s="16"/>
      <c r="AB1429" s="16"/>
      <c r="AE1429" s="16"/>
      <c r="AG1429" s="22">
        <f t="shared" si="273"/>
        <v>0</v>
      </c>
      <c r="AH1429" s="6"/>
      <c r="AJ1429" s="20">
        <f t="shared" si="268"/>
        <v>0</v>
      </c>
      <c r="AK1429" s="50"/>
      <c r="AL1429" s="6"/>
      <c r="AM1429" s="20">
        <f t="shared" si="270"/>
        <v>0</v>
      </c>
      <c r="AN1429" s="20">
        <f t="shared" si="271"/>
        <v>1860500</v>
      </c>
      <c r="AP1429" s="20">
        <f t="shared" si="272"/>
        <v>1860500</v>
      </c>
      <c r="AQ1429" s="7"/>
      <c r="AR1429" s="60"/>
      <c r="AS1429" s="128">
        <f>206+747</f>
        <v>953</v>
      </c>
    </row>
    <row r="1430" spans="1:45" ht="30" customHeight="1" x14ac:dyDescent="0.2">
      <c r="A1430" s="8">
        <v>1214</v>
      </c>
      <c r="B1430" s="13">
        <v>2</v>
      </c>
      <c r="C1430" s="16" t="s">
        <v>97</v>
      </c>
      <c r="D1430" s="17">
        <v>202</v>
      </c>
      <c r="G1430" s="13">
        <v>4</v>
      </c>
      <c r="H1430" s="17">
        <v>98</v>
      </c>
      <c r="I1430" s="17">
        <v>0</v>
      </c>
      <c r="J1430" s="17">
        <v>0</v>
      </c>
      <c r="K1430" s="10">
        <f>98*400</f>
        <v>39200</v>
      </c>
      <c r="P1430" s="17">
        <v>1</v>
      </c>
      <c r="Q1430" s="20">
        <f t="shared" ref="Q1430:Q1494" si="274">+(H1430*400)+(I1430*100)+J1430</f>
        <v>39200</v>
      </c>
      <c r="R1430" s="14">
        <v>160</v>
      </c>
      <c r="S1430" s="20">
        <f t="shared" si="269"/>
        <v>6272000</v>
      </c>
      <c r="AG1430" s="22">
        <f t="shared" si="273"/>
        <v>0</v>
      </c>
      <c r="AJ1430" s="20">
        <f t="shared" si="268"/>
        <v>0</v>
      </c>
      <c r="AM1430" s="20">
        <f t="shared" si="270"/>
        <v>0</v>
      </c>
      <c r="AN1430" s="20">
        <f t="shared" si="271"/>
        <v>6272000</v>
      </c>
      <c r="AP1430" s="20">
        <f t="shared" si="272"/>
        <v>6272000</v>
      </c>
      <c r="AQ1430" s="12">
        <v>1E-4</v>
      </c>
      <c r="AR1430" s="24"/>
      <c r="AS1430" s="129"/>
    </row>
    <row r="1431" spans="1:45" ht="30" customHeight="1" x14ac:dyDescent="0.2">
      <c r="A1431" s="8">
        <v>1215</v>
      </c>
      <c r="B1431" s="13">
        <v>3</v>
      </c>
      <c r="C1431" s="16" t="s">
        <v>65</v>
      </c>
      <c r="D1431" s="17">
        <v>1563</v>
      </c>
      <c r="E1431" s="17">
        <v>126</v>
      </c>
      <c r="H1431" s="17">
        <v>37</v>
      </c>
      <c r="I1431" s="17">
        <v>2</v>
      </c>
      <c r="J1431" s="17">
        <v>76</v>
      </c>
      <c r="K1431" s="10">
        <f>37*400+276</f>
        <v>15076</v>
      </c>
      <c r="P1431" s="17">
        <v>1</v>
      </c>
      <c r="Q1431" s="20">
        <f t="shared" si="274"/>
        <v>15076</v>
      </c>
      <c r="R1431" s="14">
        <v>200</v>
      </c>
      <c r="S1431" s="19">
        <f t="shared" si="269"/>
        <v>3015200</v>
      </c>
      <c r="AG1431" s="22">
        <f t="shared" si="273"/>
        <v>0</v>
      </c>
      <c r="AJ1431" s="20">
        <f t="shared" si="268"/>
        <v>0</v>
      </c>
      <c r="AM1431" s="20">
        <f t="shared" si="270"/>
        <v>0</v>
      </c>
      <c r="AN1431" s="20">
        <f t="shared" si="271"/>
        <v>3015200</v>
      </c>
      <c r="AP1431" s="20">
        <f t="shared" si="272"/>
        <v>3015200</v>
      </c>
      <c r="AQ1431" s="12">
        <v>1E-4</v>
      </c>
      <c r="AR1431" s="25"/>
      <c r="AS1431" s="130"/>
    </row>
    <row r="1432" spans="1:45" ht="30" customHeight="1" x14ac:dyDescent="0.2">
      <c r="A1432" s="8"/>
      <c r="C1432" s="16"/>
      <c r="Q1432" s="20"/>
      <c r="AG1432" s="22"/>
      <c r="AJ1432" s="20"/>
      <c r="AM1432" s="20"/>
      <c r="AN1432" s="20"/>
      <c r="AP1432" s="20"/>
      <c r="AR1432" s="20"/>
    </row>
    <row r="1433" spans="1:45" s="21" customFormat="1" ht="30" customHeight="1" x14ac:dyDescent="0.2">
      <c r="A1433" s="8">
        <v>1216</v>
      </c>
      <c r="B1433" s="46">
        <v>1</v>
      </c>
      <c r="C1433" s="16" t="s">
        <v>52</v>
      </c>
      <c r="D1433" s="48">
        <v>5830</v>
      </c>
      <c r="E1433" s="47">
        <v>117</v>
      </c>
      <c r="F1433" s="48">
        <v>3093</v>
      </c>
      <c r="G1433" s="49">
        <v>7</v>
      </c>
      <c r="H1433" s="48">
        <v>30</v>
      </c>
      <c r="I1433" s="48">
        <v>0</v>
      </c>
      <c r="J1433" s="48">
        <v>0</v>
      </c>
      <c r="K1433" s="3">
        <f>+(30*400)-L1433</f>
        <v>11977</v>
      </c>
      <c r="L1433" s="16">
        <v>23</v>
      </c>
      <c r="M1433" s="57"/>
      <c r="N1433" s="58"/>
      <c r="P1433" s="16">
        <v>5</v>
      </c>
      <c r="Q1433" s="20">
        <f t="shared" si="274"/>
        <v>12000</v>
      </c>
      <c r="R1433" s="14">
        <v>410</v>
      </c>
      <c r="S1433" s="19">
        <f t="shared" si="269"/>
        <v>4920000</v>
      </c>
      <c r="T1433" s="16"/>
      <c r="U1433" s="17" t="s">
        <v>57</v>
      </c>
      <c r="V1433" s="17" t="s">
        <v>56</v>
      </c>
      <c r="W1433" s="4"/>
      <c r="X1433" s="16"/>
      <c r="Y1433" s="5">
        <v>93.5</v>
      </c>
      <c r="Z1433" s="16"/>
      <c r="AA1433" s="16"/>
      <c r="AB1433" s="16">
        <v>13</v>
      </c>
      <c r="AE1433" s="16"/>
      <c r="AG1433" s="22">
        <f t="shared" si="273"/>
        <v>93.5</v>
      </c>
      <c r="AH1433" s="6"/>
      <c r="AJ1433" s="20">
        <f t="shared" si="268"/>
        <v>0</v>
      </c>
      <c r="AK1433" s="50">
        <v>13</v>
      </c>
      <c r="AL1433" s="6"/>
      <c r="AM1433" s="20">
        <f t="shared" si="270"/>
        <v>0</v>
      </c>
      <c r="AN1433" s="20">
        <f t="shared" si="271"/>
        <v>4920000</v>
      </c>
      <c r="AP1433" s="20">
        <f t="shared" si="272"/>
        <v>4920000</v>
      </c>
      <c r="AQ1433" s="7"/>
      <c r="AR1433" s="20"/>
      <c r="AS1433" s="51">
        <v>237</v>
      </c>
    </row>
    <row r="1434" spans="1:45" s="21" customFormat="1" ht="30" customHeight="1" x14ac:dyDescent="0.2">
      <c r="A1434" s="8">
        <v>1217</v>
      </c>
      <c r="B1434" s="46">
        <v>1</v>
      </c>
      <c r="C1434" s="16" t="s">
        <v>52</v>
      </c>
      <c r="D1434" s="48">
        <v>405</v>
      </c>
      <c r="E1434" s="47">
        <v>501</v>
      </c>
      <c r="F1434" s="48">
        <v>50</v>
      </c>
      <c r="G1434" s="49">
        <v>1</v>
      </c>
      <c r="H1434" s="48">
        <v>21</v>
      </c>
      <c r="I1434" s="48">
        <v>1</v>
      </c>
      <c r="J1434" s="48">
        <v>49.04</v>
      </c>
      <c r="K1434" s="3">
        <f>+(H1434*400+149.04)-L1434</f>
        <v>8519.0400000000009</v>
      </c>
      <c r="L1434" s="16">
        <v>30</v>
      </c>
      <c r="M1434" s="57"/>
      <c r="N1434" s="58"/>
      <c r="P1434" s="16">
        <v>5</v>
      </c>
      <c r="Q1434" s="20">
        <f t="shared" si="274"/>
        <v>8549.0400000000009</v>
      </c>
      <c r="R1434" s="14">
        <v>750</v>
      </c>
      <c r="S1434" s="20">
        <f t="shared" si="269"/>
        <v>6411780.0000000009</v>
      </c>
      <c r="T1434" s="16"/>
      <c r="U1434" s="17" t="s">
        <v>57</v>
      </c>
      <c r="V1434" s="17" t="s">
        <v>56</v>
      </c>
      <c r="W1434" s="4"/>
      <c r="X1434" s="16"/>
      <c r="Y1434" s="5">
        <v>120</v>
      </c>
      <c r="Z1434" s="16"/>
      <c r="AA1434" s="16"/>
      <c r="AB1434" s="16">
        <v>41</v>
      </c>
      <c r="AE1434" s="16"/>
      <c r="AG1434" s="22">
        <f t="shared" si="273"/>
        <v>120</v>
      </c>
      <c r="AH1434" s="6"/>
      <c r="AJ1434" s="20">
        <f t="shared" si="268"/>
        <v>0</v>
      </c>
      <c r="AK1434" s="50">
        <v>41</v>
      </c>
      <c r="AL1434" s="6"/>
      <c r="AM1434" s="20">
        <f t="shared" si="270"/>
        <v>0</v>
      </c>
      <c r="AN1434" s="20">
        <f t="shared" si="271"/>
        <v>6411780.0000000009</v>
      </c>
      <c r="AP1434" s="20">
        <f t="shared" si="272"/>
        <v>6411780.0000000009</v>
      </c>
      <c r="AQ1434" s="7"/>
      <c r="AR1434" s="20"/>
      <c r="AS1434" s="51">
        <v>150</v>
      </c>
    </row>
    <row r="1435" spans="1:45" s="21" customFormat="1" ht="30" customHeight="1" x14ac:dyDescent="0.2">
      <c r="A1435" s="8">
        <v>1218</v>
      </c>
      <c r="B1435" s="46"/>
      <c r="C1435" s="16" t="s">
        <v>65</v>
      </c>
      <c r="D1435" s="17">
        <v>1783</v>
      </c>
      <c r="E1435" s="17">
        <v>125</v>
      </c>
      <c r="F1435" s="17"/>
      <c r="G1435" s="13"/>
      <c r="H1435" s="17">
        <v>7</v>
      </c>
      <c r="I1435" s="17">
        <v>3</v>
      </c>
      <c r="J1435" s="17">
        <v>40</v>
      </c>
      <c r="K1435" s="28">
        <v>3140</v>
      </c>
      <c r="L1435" s="63"/>
      <c r="M1435" s="63"/>
      <c r="N1435" s="63"/>
      <c r="O1435" s="63"/>
      <c r="P1435" s="14">
        <v>1</v>
      </c>
      <c r="Q1435" s="19">
        <f t="shared" si="274"/>
        <v>3140</v>
      </c>
      <c r="R1435" s="14">
        <v>200</v>
      </c>
      <c r="S1435" s="19">
        <f t="shared" si="269"/>
        <v>628000</v>
      </c>
      <c r="T1435" s="63"/>
      <c r="U1435" s="63"/>
      <c r="V1435" s="63"/>
      <c r="W1435" s="28"/>
      <c r="X1435" s="63"/>
      <c r="Y1435" s="28"/>
      <c r="Z1435" s="63"/>
      <c r="AA1435" s="63"/>
      <c r="AB1435" s="63"/>
      <c r="AC1435" s="14"/>
      <c r="AD1435" s="93"/>
      <c r="AE1435" s="29"/>
      <c r="AH1435" s="6"/>
      <c r="AJ1435" s="20">
        <f t="shared" si="268"/>
        <v>0</v>
      </c>
      <c r="AK1435" s="20">
        <f>AB1435</f>
        <v>0</v>
      </c>
      <c r="AL1435" s="6"/>
      <c r="AM1435" s="20">
        <f t="shared" si="270"/>
        <v>0</v>
      </c>
      <c r="AN1435" s="20">
        <f t="shared" si="271"/>
        <v>628000</v>
      </c>
      <c r="AP1435" s="20">
        <f>+AN1435</f>
        <v>628000</v>
      </c>
      <c r="AQ1435" s="7">
        <v>1E-4</v>
      </c>
      <c r="AR1435" s="20"/>
      <c r="AS1435" s="51"/>
    </row>
    <row r="1436" spans="1:45" s="21" customFormat="1" ht="30" customHeight="1" x14ac:dyDescent="0.2">
      <c r="A1436" s="8">
        <v>1219</v>
      </c>
      <c r="B1436" s="46">
        <v>1</v>
      </c>
      <c r="C1436" s="16" t="s">
        <v>52</v>
      </c>
      <c r="D1436" s="48">
        <v>21088</v>
      </c>
      <c r="E1436" s="47">
        <v>160</v>
      </c>
      <c r="F1436" s="48">
        <v>4681</v>
      </c>
      <c r="G1436" s="49">
        <v>2</v>
      </c>
      <c r="H1436" s="48">
        <v>0</v>
      </c>
      <c r="I1436" s="48">
        <v>0</v>
      </c>
      <c r="J1436" s="48">
        <v>93</v>
      </c>
      <c r="K1436" s="3"/>
      <c r="L1436" s="16">
        <v>93</v>
      </c>
      <c r="M1436" s="57"/>
      <c r="N1436" s="58"/>
      <c r="P1436" s="16">
        <v>2</v>
      </c>
      <c r="Q1436" s="20">
        <f t="shared" si="274"/>
        <v>93</v>
      </c>
      <c r="R1436" s="14">
        <v>250</v>
      </c>
      <c r="S1436" s="19">
        <f t="shared" si="269"/>
        <v>23250</v>
      </c>
      <c r="T1436" s="16"/>
      <c r="U1436" s="16" t="s">
        <v>57</v>
      </c>
      <c r="V1436" s="17" t="s">
        <v>84</v>
      </c>
      <c r="W1436" s="4"/>
      <c r="X1436" s="16"/>
      <c r="Y1436" s="5">
        <v>48</v>
      </c>
      <c r="Z1436" s="16"/>
      <c r="AA1436" s="16"/>
      <c r="AB1436" s="16">
        <v>15</v>
      </c>
      <c r="AE1436" s="16" t="s">
        <v>161</v>
      </c>
      <c r="AG1436" s="22">
        <f t="shared" si="273"/>
        <v>48</v>
      </c>
      <c r="AH1436" s="6"/>
      <c r="AJ1436" s="20">
        <f t="shared" si="268"/>
        <v>0</v>
      </c>
      <c r="AK1436" s="50"/>
      <c r="AL1436" s="6"/>
      <c r="AM1436" s="20">
        <f t="shared" si="270"/>
        <v>0</v>
      </c>
      <c r="AN1436" s="20">
        <f t="shared" si="271"/>
        <v>23250</v>
      </c>
      <c r="AP1436" s="20">
        <f t="shared" si="272"/>
        <v>23250</v>
      </c>
      <c r="AQ1436" s="7"/>
      <c r="AR1436" s="20"/>
      <c r="AS1436" s="51" t="s">
        <v>111</v>
      </c>
    </row>
    <row r="1437" spans="1:45" s="21" customFormat="1" ht="30" customHeight="1" x14ac:dyDescent="0.2">
      <c r="A1437" s="8">
        <v>1220</v>
      </c>
      <c r="B1437" s="46">
        <v>1</v>
      </c>
      <c r="C1437" s="16" t="s">
        <v>52</v>
      </c>
      <c r="D1437" s="48">
        <v>32895</v>
      </c>
      <c r="E1437" s="47">
        <v>187</v>
      </c>
      <c r="F1437" s="48">
        <v>6453</v>
      </c>
      <c r="G1437" s="49">
        <v>2</v>
      </c>
      <c r="H1437" s="48">
        <v>2</v>
      </c>
      <c r="I1437" s="48">
        <v>0</v>
      </c>
      <c r="J1437" s="48">
        <v>64</v>
      </c>
      <c r="K1437" s="3">
        <v>864</v>
      </c>
      <c r="L1437" s="16"/>
      <c r="M1437" s="57"/>
      <c r="N1437" s="58"/>
      <c r="P1437" s="16">
        <v>1</v>
      </c>
      <c r="Q1437" s="20">
        <f t="shared" si="274"/>
        <v>864</v>
      </c>
      <c r="R1437" s="14">
        <v>160</v>
      </c>
      <c r="S1437" s="19">
        <f t="shared" si="269"/>
        <v>138240</v>
      </c>
      <c r="T1437" s="16"/>
      <c r="U1437" s="17"/>
      <c r="V1437" s="17"/>
      <c r="W1437" s="4"/>
      <c r="X1437" s="16"/>
      <c r="Y1437" s="5"/>
      <c r="Z1437" s="16"/>
      <c r="AA1437" s="16"/>
      <c r="AB1437" s="16"/>
      <c r="AE1437" s="16"/>
      <c r="AG1437" s="22">
        <f t="shared" si="273"/>
        <v>0</v>
      </c>
      <c r="AH1437" s="6"/>
      <c r="AJ1437" s="20">
        <f t="shared" si="268"/>
        <v>0</v>
      </c>
      <c r="AK1437" s="50"/>
      <c r="AL1437" s="6"/>
      <c r="AM1437" s="20">
        <f t="shared" si="270"/>
        <v>0</v>
      </c>
      <c r="AN1437" s="20">
        <f t="shared" si="271"/>
        <v>138240</v>
      </c>
      <c r="AP1437" s="20">
        <f t="shared" si="272"/>
        <v>138240</v>
      </c>
      <c r="AQ1437" s="7"/>
      <c r="AR1437" s="20"/>
      <c r="AS1437" s="51"/>
    </row>
    <row r="1438" spans="1:45" s="21" customFormat="1" ht="30" customHeight="1" x14ac:dyDescent="0.2">
      <c r="A1438" s="8">
        <v>1221</v>
      </c>
      <c r="B1438" s="46">
        <v>1</v>
      </c>
      <c r="C1438" s="16" t="s">
        <v>52</v>
      </c>
      <c r="D1438" s="48">
        <v>2957</v>
      </c>
      <c r="E1438" s="47">
        <v>35</v>
      </c>
      <c r="F1438" s="48">
        <v>2021</v>
      </c>
      <c r="G1438" s="49">
        <v>2</v>
      </c>
      <c r="H1438" s="48">
        <v>5</v>
      </c>
      <c r="I1438" s="48">
        <v>2</v>
      </c>
      <c r="J1438" s="48">
        <v>0</v>
      </c>
      <c r="K1438" s="3">
        <v>2200</v>
      </c>
      <c r="L1438" s="16"/>
      <c r="M1438" s="57"/>
      <c r="N1438" s="58"/>
      <c r="P1438" s="16">
        <v>1</v>
      </c>
      <c r="Q1438" s="20">
        <f t="shared" si="274"/>
        <v>2200</v>
      </c>
      <c r="R1438" s="14">
        <v>160</v>
      </c>
      <c r="S1438" s="20">
        <f t="shared" si="269"/>
        <v>352000</v>
      </c>
      <c r="T1438" s="16"/>
      <c r="U1438" s="16" t="s">
        <v>57</v>
      </c>
      <c r="V1438" s="16" t="s">
        <v>88</v>
      </c>
      <c r="W1438" s="5"/>
      <c r="X1438" s="16"/>
      <c r="Y1438" s="5">
        <v>35</v>
      </c>
      <c r="Z1438" s="16"/>
      <c r="AA1438" s="16"/>
      <c r="AB1438" s="16">
        <v>30</v>
      </c>
      <c r="AE1438" s="16"/>
      <c r="AG1438" s="22">
        <f t="shared" si="273"/>
        <v>35</v>
      </c>
      <c r="AH1438" s="6"/>
      <c r="AJ1438" s="20">
        <f t="shared" si="268"/>
        <v>0</v>
      </c>
      <c r="AK1438" s="50"/>
      <c r="AL1438" s="6"/>
      <c r="AM1438" s="20">
        <f t="shared" si="270"/>
        <v>0</v>
      </c>
      <c r="AN1438" s="20">
        <f t="shared" si="271"/>
        <v>352000</v>
      </c>
      <c r="AP1438" s="20">
        <f t="shared" si="272"/>
        <v>352000</v>
      </c>
      <c r="AQ1438" s="7"/>
      <c r="AR1438" s="20"/>
      <c r="AS1438" s="51" t="s">
        <v>162</v>
      </c>
    </row>
    <row r="1439" spans="1:45" s="21" customFormat="1" ht="30" customHeight="1" x14ac:dyDescent="0.2">
      <c r="A1439" s="8">
        <v>1222</v>
      </c>
      <c r="B1439" s="46">
        <v>1</v>
      </c>
      <c r="C1439" s="16" t="s">
        <v>52</v>
      </c>
      <c r="D1439" s="48">
        <v>21062</v>
      </c>
      <c r="E1439" s="47">
        <v>200</v>
      </c>
      <c r="F1439" s="48">
        <v>4634</v>
      </c>
      <c r="G1439" s="49">
        <v>2</v>
      </c>
      <c r="H1439" s="48">
        <v>0</v>
      </c>
      <c r="I1439" s="48">
        <v>0</v>
      </c>
      <c r="J1439" s="48">
        <v>61</v>
      </c>
      <c r="K1439" s="3">
        <v>61</v>
      </c>
      <c r="L1439" s="16"/>
      <c r="M1439" s="57"/>
      <c r="N1439" s="58"/>
      <c r="P1439" s="16">
        <v>1</v>
      </c>
      <c r="Q1439" s="20">
        <f t="shared" si="274"/>
        <v>61</v>
      </c>
      <c r="R1439" s="14">
        <v>250</v>
      </c>
      <c r="S1439" s="19">
        <f t="shared" si="269"/>
        <v>15250</v>
      </c>
      <c r="T1439" s="16"/>
      <c r="U1439" s="17" t="s">
        <v>57</v>
      </c>
      <c r="V1439" s="16" t="s">
        <v>56</v>
      </c>
      <c r="W1439" s="5">
        <f>8.5*13</f>
        <v>110.5</v>
      </c>
      <c r="X1439" s="16"/>
      <c r="Y1439" s="5">
        <v>110.5</v>
      </c>
      <c r="Z1439" s="16"/>
      <c r="AA1439" s="16"/>
      <c r="AB1439" s="16">
        <v>1</v>
      </c>
      <c r="AC1439" s="14"/>
      <c r="AD1439" s="14"/>
      <c r="AE1439" s="16"/>
      <c r="AG1439" s="22">
        <f t="shared" si="273"/>
        <v>110.5</v>
      </c>
      <c r="AH1439" s="6"/>
      <c r="AJ1439" s="20">
        <f t="shared" si="268"/>
        <v>0</v>
      </c>
      <c r="AK1439" s="50"/>
      <c r="AL1439" s="6"/>
      <c r="AM1439" s="20">
        <f t="shared" si="270"/>
        <v>0</v>
      </c>
      <c r="AN1439" s="20">
        <f t="shared" si="271"/>
        <v>15250</v>
      </c>
      <c r="AP1439" s="20">
        <f t="shared" si="272"/>
        <v>15250</v>
      </c>
      <c r="AQ1439" s="7"/>
      <c r="AR1439" s="20"/>
      <c r="AS1439" s="51"/>
    </row>
    <row r="1440" spans="1:45" s="21" customFormat="1" ht="30" customHeight="1" x14ac:dyDescent="0.2">
      <c r="A1440" s="8">
        <v>1223</v>
      </c>
      <c r="B1440" s="46">
        <v>2</v>
      </c>
      <c r="C1440" s="16" t="s">
        <v>52</v>
      </c>
      <c r="D1440" s="48">
        <v>32893</v>
      </c>
      <c r="E1440" s="47">
        <v>185</v>
      </c>
      <c r="F1440" s="48">
        <v>6451</v>
      </c>
      <c r="G1440" s="49">
        <v>2</v>
      </c>
      <c r="H1440" s="48">
        <v>2</v>
      </c>
      <c r="I1440" s="48">
        <v>0</v>
      </c>
      <c r="J1440" s="48">
        <v>83</v>
      </c>
      <c r="K1440" s="3">
        <v>883</v>
      </c>
      <c r="L1440" s="16"/>
      <c r="M1440" s="57"/>
      <c r="N1440" s="58"/>
      <c r="P1440" s="16">
        <v>1</v>
      </c>
      <c r="Q1440" s="20">
        <f t="shared" si="274"/>
        <v>883</v>
      </c>
      <c r="R1440" s="14">
        <v>160</v>
      </c>
      <c r="S1440" s="19">
        <f t="shared" si="269"/>
        <v>141280</v>
      </c>
      <c r="T1440" s="16"/>
      <c r="U1440" s="17"/>
      <c r="V1440" s="17"/>
      <c r="W1440" s="4"/>
      <c r="X1440" s="16"/>
      <c r="Y1440" s="5"/>
      <c r="Z1440" s="16"/>
      <c r="AA1440" s="16"/>
      <c r="AB1440" s="16"/>
      <c r="AE1440" s="16"/>
      <c r="AG1440" s="22">
        <f t="shared" si="273"/>
        <v>0</v>
      </c>
      <c r="AH1440" s="6"/>
      <c r="AJ1440" s="20">
        <f t="shared" si="268"/>
        <v>0</v>
      </c>
      <c r="AK1440" s="50"/>
      <c r="AL1440" s="6"/>
      <c r="AM1440" s="20">
        <f t="shared" si="270"/>
        <v>0</v>
      </c>
      <c r="AN1440" s="20">
        <f t="shared" si="271"/>
        <v>141280</v>
      </c>
      <c r="AP1440" s="20">
        <f t="shared" si="272"/>
        <v>141280</v>
      </c>
      <c r="AQ1440" s="7"/>
      <c r="AR1440" s="20"/>
      <c r="AS1440" s="51"/>
    </row>
    <row r="1441" spans="1:45" s="21" customFormat="1" ht="30" customHeight="1" x14ac:dyDescent="0.2">
      <c r="A1441" s="8">
        <v>1224</v>
      </c>
      <c r="B1441" s="46">
        <v>3</v>
      </c>
      <c r="C1441" s="16" t="s">
        <v>52</v>
      </c>
      <c r="D1441" s="48">
        <v>32894</v>
      </c>
      <c r="E1441" s="47">
        <v>186</v>
      </c>
      <c r="F1441" s="48">
        <v>6452</v>
      </c>
      <c r="G1441" s="49">
        <v>2</v>
      </c>
      <c r="H1441" s="48">
        <v>2</v>
      </c>
      <c r="I1441" s="48">
        <v>0</v>
      </c>
      <c r="J1441" s="48">
        <v>35</v>
      </c>
      <c r="K1441" s="3">
        <v>835</v>
      </c>
      <c r="L1441" s="16"/>
      <c r="M1441" s="57"/>
      <c r="N1441" s="58"/>
      <c r="P1441" s="16">
        <v>1</v>
      </c>
      <c r="Q1441" s="20">
        <f t="shared" si="274"/>
        <v>835</v>
      </c>
      <c r="R1441" s="14">
        <v>160</v>
      </c>
      <c r="S1441" s="20">
        <f t="shared" si="269"/>
        <v>133600</v>
      </c>
      <c r="T1441" s="16"/>
      <c r="U1441" s="17"/>
      <c r="V1441" s="17"/>
      <c r="W1441" s="4"/>
      <c r="X1441" s="16"/>
      <c r="Y1441" s="5"/>
      <c r="Z1441" s="16"/>
      <c r="AA1441" s="16"/>
      <c r="AB1441" s="16"/>
      <c r="AC1441" s="14"/>
      <c r="AD1441" s="14"/>
      <c r="AE1441" s="16"/>
      <c r="AG1441" s="22">
        <f t="shared" si="273"/>
        <v>0</v>
      </c>
      <c r="AH1441" s="6"/>
      <c r="AJ1441" s="20">
        <f t="shared" si="268"/>
        <v>0</v>
      </c>
      <c r="AK1441" s="50"/>
      <c r="AL1441" s="6"/>
      <c r="AM1441" s="20">
        <f t="shared" si="270"/>
        <v>0</v>
      </c>
      <c r="AN1441" s="20">
        <f t="shared" si="271"/>
        <v>133600</v>
      </c>
      <c r="AP1441" s="20">
        <f t="shared" si="272"/>
        <v>133600</v>
      </c>
      <c r="AQ1441" s="7"/>
      <c r="AR1441" s="20"/>
      <c r="AS1441" s="51"/>
    </row>
    <row r="1442" spans="1:45" s="21" customFormat="1" ht="30" customHeight="1" x14ac:dyDescent="0.2">
      <c r="A1442" s="8">
        <v>1225</v>
      </c>
      <c r="B1442" s="46">
        <v>1</v>
      </c>
      <c r="C1442" s="16" t="s">
        <v>52</v>
      </c>
      <c r="D1442" s="48">
        <v>32896</v>
      </c>
      <c r="E1442" s="47">
        <v>188</v>
      </c>
      <c r="F1442" s="48">
        <v>6454</v>
      </c>
      <c r="G1442" s="49">
        <v>2</v>
      </c>
      <c r="H1442" s="48">
        <v>2</v>
      </c>
      <c r="I1442" s="48">
        <v>0</v>
      </c>
      <c r="J1442" s="48">
        <v>60</v>
      </c>
      <c r="K1442" s="3">
        <v>860</v>
      </c>
      <c r="L1442" s="16"/>
      <c r="M1442" s="57"/>
      <c r="N1442" s="58"/>
      <c r="P1442" s="16">
        <v>1</v>
      </c>
      <c r="Q1442" s="20">
        <f t="shared" si="274"/>
        <v>860</v>
      </c>
      <c r="R1442" s="14">
        <v>160</v>
      </c>
      <c r="S1442" s="19">
        <f t="shared" si="269"/>
        <v>137600</v>
      </c>
      <c r="T1442" s="16"/>
      <c r="U1442" s="17"/>
      <c r="V1442" s="17"/>
      <c r="W1442" s="4"/>
      <c r="X1442" s="16"/>
      <c r="Y1442" s="5"/>
      <c r="Z1442" s="16"/>
      <c r="AA1442" s="16"/>
      <c r="AB1442" s="16"/>
      <c r="AC1442" s="14"/>
      <c r="AD1442" s="14"/>
      <c r="AE1442" s="16"/>
      <c r="AG1442" s="22">
        <f t="shared" si="273"/>
        <v>0</v>
      </c>
      <c r="AH1442" s="6"/>
      <c r="AJ1442" s="20">
        <f t="shared" si="268"/>
        <v>0</v>
      </c>
      <c r="AK1442" s="50"/>
      <c r="AL1442" s="6"/>
      <c r="AM1442" s="20">
        <f t="shared" si="270"/>
        <v>0</v>
      </c>
      <c r="AN1442" s="20">
        <f t="shared" si="271"/>
        <v>137600</v>
      </c>
      <c r="AP1442" s="20">
        <f t="shared" si="272"/>
        <v>137600</v>
      </c>
      <c r="AQ1442" s="7"/>
      <c r="AR1442" s="20"/>
      <c r="AS1442" s="51"/>
    </row>
    <row r="1443" spans="1:45" s="21" customFormat="1" ht="30" customHeight="1" x14ac:dyDescent="0.2">
      <c r="A1443" s="8">
        <v>1226</v>
      </c>
      <c r="B1443" s="46">
        <v>1</v>
      </c>
      <c r="C1443" s="16" t="s">
        <v>52</v>
      </c>
      <c r="D1443" s="48">
        <v>1051</v>
      </c>
      <c r="E1443" s="47">
        <v>23</v>
      </c>
      <c r="F1443" s="48">
        <v>409</v>
      </c>
      <c r="G1443" s="49">
        <v>1</v>
      </c>
      <c r="H1443" s="48">
        <v>5</v>
      </c>
      <c r="I1443" s="48">
        <v>0</v>
      </c>
      <c r="J1443" s="48">
        <v>9.0299999999999994</v>
      </c>
      <c r="K1443" s="3">
        <v>2009.03</v>
      </c>
      <c r="L1443" s="16"/>
      <c r="M1443" s="57"/>
      <c r="N1443" s="58"/>
      <c r="P1443" s="16">
        <v>1</v>
      </c>
      <c r="Q1443" s="20">
        <f t="shared" si="274"/>
        <v>2009.03</v>
      </c>
      <c r="R1443" s="14">
        <v>200</v>
      </c>
      <c r="S1443" s="19">
        <f t="shared" si="269"/>
        <v>401806</v>
      </c>
      <c r="T1443" s="16"/>
      <c r="U1443" s="17"/>
      <c r="V1443" s="17"/>
      <c r="W1443" s="4"/>
      <c r="X1443" s="16"/>
      <c r="Y1443" s="5"/>
      <c r="Z1443" s="16"/>
      <c r="AA1443" s="16"/>
      <c r="AB1443" s="16"/>
      <c r="AC1443" s="14"/>
      <c r="AD1443" s="14"/>
      <c r="AE1443" s="16"/>
      <c r="AG1443" s="22">
        <f t="shared" si="273"/>
        <v>0</v>
      </c>
      <c r="AH1443" s="6"/>
      <c r="AJ1443" s="20">
        <f t="shared" si="268"/>
        <v>0</v>
      </c>
      <c r="AK1443" s="50"/>
      <c r="AL1443" s="6"/>
      <c r="AM1443" s="20">
        <f t="shared" si="270"/>
        <v>0</v>
      </c>
      <c r="AN1443" s="20">
        <f t="shared" si="271"/>
        <v>401806</v>
      </c>
      <c r="AP1443" s="20">
        <f t="shared" si="272"/>
        <v>401806</v>
      </c>
      <c r="AQ1443" s="7"/>
      <c r="AR1443" s="20"/>
      <c r="AS1443" s="51"/>
    </row>
    <row r="1444" spans="1:45" s="21" customFormat="1" ht="30" customHeight="1" x14ac:dyDescent="0.2">
      <c r="A1444" s="8">
        <v>1227</v>
      </c>
      <c r="B1444" s="46">
        <v>1</v>
      </c>
      <c r="C1444" s="16" t="s">
        <v>52</v>
      </c>
      <c r="D1444" s="48">
        <v>25095</v>
      </c>
      <c r="E1444" s="47">
        <v>63</v>
      </c>
      <c r="F1444" s="48">
        <v>4932</v>
      </c>
      <c r="G1444" s="49">
        <v>4</v>
      </c>
      <c r="H1444" s="48">
        <v>0</v>
      </c>
      <c r="I1444" s="48">
        <v>0</v>
      </c>
      <c r="J1444" s="48">
        <v>25</v>
      </c>
      <c r="K1444" s="3"/>
      <c r="L1444" s="16">
        <v>25</v>
      </c>
      <c r="M1444" s="57"/>
      <c r="N1444" s="58"/>
      <c r="P1444" s="16">
        <v>2</v>
      </c>
      <c r="Q1444" s="20">
        <f t="shared" si="274"/>
        <v>25</v>
      </c>
      <c r="R1444" s="14">
        <v>250</v>
      </c>
      <c r="S1444" s="20">
        <f t="shared" si="269"/>
        <v>6250</v>
      </c>
      <c r="T1444" s="16"/>
      <c r="U1444" s="17"/>
      <c r="V1444" s="17"/>
      <c r="W1444" s="4"/>
      <c r="X1444" s="16"/>
      <c r="Y1444" s="5"/>
      <c r="Z1444" s="16"/>
      <c r="AA1444" s="16"/>
      <c r="AB1444" s="16"/>
      <c r="AC1444" s="14"/>
      <c r="AD1444" s="14"/>
      <c r="AE1444" s="16"/>
      <c r="AG1444" s="22">
        <f t="shared" si="273"/>
        <v>0</v>
      </c>
      <c r="AH1444" s="6"/>
      <c r="AJ1444" s="20">
        <f t="shared" si="268"/>
        <v>0</v>
      </c>
      <c r="AK1444" s="50"/>
      <c r="AL1444" s="6"/>
      <c r="AM1444" s="20">
        <f t="shared" si="270"/>
        <v>0</v>
      </c>
      <c r="AN1444" s="20">
        <f t="shared" si="271"/>
        <v>6250</v>
      </c>
      <c r="AP1444" s="20">
        <f t="shared" si="272"/>
        <v>6250</v>
      </c>
      <c r="AQ1444" s="7"/>
      <c r="AR1444" s="20"/>
      <c r="AS1444" s="51"/>
    </row>
    <row r="1445" spans="1:45" s="21" customFormat="1" ht="30" customHeight="1" x14ac:dyDescent="0.2">
      <c r="A1445" s="8">
        <v>1228</v>
      </c>
      <c r="B1445" s="46">
        <v>2</v>
      </c>
      <c r="C1445" s="16" t="s">
        <v>52</v>
      </c>
      <c r="D1445" s="48">
        <v>25096</v>
      </c>
      <c r="E1445" s="47">
        <v>64</v>
      </c>
      <c r="F1445" s="48">
        <v>4933</v>
      </c>
      <c r="G1445" s="49">
        <v>4</v>
      </c>
      <c r="H1445" s="48">
        <v>0</v>
      </c>
      <c r="I1445" s="48">
        <v>0</v>
      </c>
      <c r="J1445" s="48">
        <v>25</v>
      </c>
      <c r="K1445" s="3"/>
      <c r="L1445" s="16">
        <v>25</v>
      </c>
      <c r="M1445" s="57"/>
      <c r="N1445" s="58"/>
      <c r="P1445" s="16">
        <v>2</v>
      </c>
      <c r="Q1445" s="20">
        <f t="shared" si="274"/>
        <v>25</v>
      </c>
      <c r="R1445" s="14">
        <v>250</v>
      </c>
      <c r="S1445" s="19">
        <f t="shared" si="269"/>
        <v>6250</v>
      </c>
      <c r="T1445" s="16"/>
      <c r="U1445" s="16"/>
      <c r="V1445" s="16"/>
      <c r="W1445" s="5"/>
      <c r="X1445" s="16"/>
      <c r="Y1445" s="5"/>
      <c r="Z1445" s="16"/>
      <c r="AA1445" s="16"/>
      <c r="AB1445" s="16"/>
      <c r="AC1445" s="14"/>
      <c r="AD1445" s="14"/>
      <c r="AE1445" s="16"/>
      <c r="AG1445" s="22">
        <f t="shared" si="273"/>
        <v>0</v>
      </c>
      <c r="AH1445" s="6"/>
      <c r="AJ1445" s="20">
        <f t="shared" si="268"/>
        <v>0</v>
      </c>
      <c r="AK1445" s="50"/>
      <c r="AL1445" s="6"/>
      <c r="AM1445" s="20">
        <f t="shared" si="270"/>
        <v>0</v>
      </c>
      <c r="AN1445" s="20">
        <f t="shared" si="271"/>
        <v>6250</v>
      </c>
      <c r="AP1445" s="20">
        <f t="shared" si="272"/>
        <v>6250</v>
      </c>
      <c r="AQ1445" s="7"/>
      <c r="AR1445" s="20"/>
      <c r="AS1445" s="51"/>
    </row>
    <row r="1446" spans="1:45" s="21" customFormat="1" ht="30" customHeight="1" x14ac:dyDescent="0.2">
      <c r="A1446" s="8">
        <v>1229</v>
      </c>
      <c r="B1446" s="46">
        <v>1</v>
      </c>
      <c r="C1446" s="16" t="s">
        <v>52</v>
      </c>
      <c r="D1446" s="48">
        <v>2197</v>
      </c>
      <c r="E1446" s="47">
        <v>2</v>
      </c>
      <c r="F1446" s="48">
        <v>1831</v>
      </c>
      <c r="G1446" s="49">
        <v>3</v>
      </c>
      <c r="H1446" s="48">
        <v>0</v>
      </c>
      <c r="I1446" s="48">
        <v>0</v>
      </c>
      <c r="J1446" s="48">
        <v>70</v>
      </c>
      <c r="K1446" s="3"/>
      <c r="L1446" s="16">
        <v>70</v>
      </c>
      <c r="M1446" s="57"/>
      <c r="N1446" s="58"/>
      <c r="P1446" s="16">
        <v>2</v>
      </c>
      <c r="Q1446" s="20">
        <f t="shared" si="274"/>
        <v>70</v>
      </c>
      <c r="R1446" s="14">
        <v>2000</v>
      </c>
      <c r="S1446" s="19">
        <f t="shared" si="269"/>
        <v>140000</v>
      </c>
      <c r="T1446" s="16"/>
      <c r="U1446" s="17"/>
      <c r="V1446" s="16"/>
      <c r="W1446" s="5"/>
      <c r="X1446" s="16"/>
      <c r="Y1446" s="5"/>
      <c r="Z1446" s="16"/>
      <c r="AA1446" s="16"/>
      <c r="AB1446" s="16"/>
      <c r="AE1446" s="16"/>
      <c r="AG1446" s="22">
        <f t="shared" si="273"/>
        <v>0</v>
      </c>
      <c r="AH1446" s="6"/>
      <c r="AJ1446" s="20">
        <f t="shared" si="268"/>
        <v>0</v>
      </c>
      <c r="AK1446" s="50"/>
      <c r="AL1446" s="6"/>
      <c r="AM1446" s="20">
        <f t="shared" si="270"/>
        <v>0</v>
      </c>
      <c r="AN1446" s="20">
        <f t="shared" si="271"/>
        <v>140000</v>
      </c>
      <c r="AP1446" s="20">
        <f t="shared" si="272"/>
        <v>140000</v>
      </c>
      <c r="AQ1446" s="7"/>
      <c r="AR1446" s="20"/>
      <c r="AS1446" s="51">
        <v>420</v>
      </c>
    </row>
    <row r="1447" spans="1:45" s="21" customFormat="1" ht="30" customHeight="1" x14ac:dyDescent="0.2">
      <c r="A1447" s="8">
        <v>1230</v>
      </c>
      <c r="B1447" s="46">
        <v>2</v>
      </c>
      <c r="C1447" s="16" t="s">
        <v>52</v>
      </c>
      <c r="D1447" s="48">
        <v>21274</v>
      </c>
      <c r="E1447" s="47">
        <v>30</v>
      </c>
      <c r="F1447" s="48">
        <v>4709</v>
      </c>
      <c r="G1447" s="49">
        <v>3</v>
      </c>
      <c r="H1447" s="48">
        <v>4</v>
      </c>
      <c r="I1447" s="48">
        <v>3</v>
      </c>
      <c r="J1447" s="48">
        <v>22</v>
      </c>
      <c r="K1447" s="3">
        <f>1200+322</f>
        <v>1522</v>
      </c>
      <c r="L1447" s="16"/>
      <c r="M1447" s="57"/>
      <c r="N1447" s="58"/>
      <c r="P1447" s="16">
        <v>1</v>
      </c>
      <c r="Q1447" s="20">
        <f t="shared" si="274"/>
        <v>1922</v>
      </c>
      <c r="R1447" s="14">
        <v>250</v>
      </c>
      <c r="S1447" s="20">
        <f t="shared" si="269"/>
        <v>480500</v>
      </c>
      <c r="T1447" s="16"/>
      <c r="U1447" s="17"/>
      <c r="V1447" s="17"/>
      <c r="W1447" s="4"/>
      <c r="X1447" s="16"/>
      <c r="Y1447" s="5"/>
      <c r="Z1447" s="16"/>
      <c r="AA1447" s="16"/>
      <c r="AB1447" s="16"/>
      <c r="AE1447" s="16"/>
      <c r="AG1447" s="22">
        <f t="shared" si="273"/>
        <v>0</v>
      </c>
      <c r="AH1447" s="6"/>
      <c r="AJ1447" s="20">
        <f t="shared" si="268"/>
        <v>0</v>
      </c>
      <c r="AK1447" s="50"/>
      <c r="AL1447" s="6"/>
      <c r="AM1447" s="20">
        <f t="shared" si="270"/>
        <v>0</v>
      </c>
      <c r="AN1447" s="20">
        <f t="shared" si="271"/>
        <v>480500</v>
      </c>
      <c r="AP1447" s="20">
        <f t="shared" si="272"/>
        <v>480500</v>
      </c>
      <c r="AQ1447" s="7"/>
      <c r="AR1447" s="20">
        <v>420</v>
      </c>
      <c r="AS1447" s="51"/>
    </row>
    <row r="1448" spans="1:45" s="21" customFormat="1" ht="30" customHeight="1" x14ac:dyDescent="0.2">
      <c r="A1448" s="8">
        <v>1231</v>
      </c>
      <c r="B1448" s="46">
        <v>1</v>
      </c>
      <c r="C1448" s="16" t="s">
        <v>52</v>
      </c>
      <c r="D1448" s="48">
        <v>1118</v>
      </c>
      <c r="E1448" s="47">
        <v>42</v>
      </c>
      <c r="F1448" s="48">
        <v>698</v>
      </c>
      <c r="G1448" s="49">
        <v>1</v>
      </c>
      <c r="H1448" s="48">
        <v>0</v>
      </c>
      <c r="I1448" s="48">
        <v>0</v>
      </c>
      <c r="J1448" s="48">
        <v>90</v>
      </c>
      <c r="K1448" s="3"/>
      <c r="L1448" s="16">
        <v>90</v>
      </c>
      <c r="M1448" s="57"/>
      <c r="N1448" s="58"/>
      <c r="P1448" s="16">
        <v>2</v>
      </c>
      <c r="Q1448" s="20">
        <f t="shared" si="274"/>
        <v>90</v>
      </c>
      <c r="R1448" s="14">
        <v>250</v>
      </c>
      <c r="S1448" s="19">
        <f t="shared" si="269"/>
        <v>22500</v>
      </c>
      <c r="T1448" s="16"/>
      <c r="U1448" s="17"/>
      <c r="V1448" s="17"/>
      <c r="W1448" s="4"/>
      <c r="X1448" s="16"/>
      <c r="Y1448" s="5"/>
      <c r="Z1448" s="16"/>
      <c r="AA1448" s="16"/>
      <c r="AB1448" s="16"/>
      <c r="AE1448" s="16"/>
      <c r="AG1448" s="22">
        <f t="shared" si="273"/>
        <v>0</v>
      </c>
      <c r="AH1448" s="6"/>
      <c r="AJ1448" s="20">
        <f t="shared" si="268"/>
        <v>0</v>
      </c>
      <c r="AK1448" s="50"/>
      <c r="AL1448" s="6"/>
      <c r="AM1448" s="20">
        <f t="shared" si="270"/>
        <v>0</v>
      </c>
      <c r="AN1448" s="20">
        <f t="shared" si="271"/>
        <v>22500</v>
      </c>
      <c r="AP1448" s="20">
        <f t="shared" si="272"/>
        <v>22500</v>
      </c>
      <c r="AQ1448" s="7"/>
      <c r="AR1448" s="20"/>
      <c r="AS1448" s="51"/>
    </row>
    <row r="1449" spans="1:45" s="21" customFormat="1" ht="30" customHeight="1" x14ac:dyDescent="0.2">
      <c r="A1449" s="8">
        <v>1232</v>
      </c>
      <c r="B1449" s="46">
        <v>2</v>
      </c>
      <c r="C1449" s="16" t="s">
        <v>52</v>
      </c>
      <c r="D1449" s="48">
        <v>1119</v>
      </c>
      <c r="E1449" s="47">
        <v>43</v>
      </c>
      <c r="F1449" s="48">
        <v>699</v>
      </c>
      <c r="G1449" s="49">
        <v>1</v>
      </c>
      <c r="H1449" s="48">
        <v>0</v>
      </c>
      <c r="I1449" s="48">
        <v>0</v>
      </c>
      <c r="J1449" s="48">
        <v>42</v>
      </c>
      <c r="K1449" s="3"/>
      <c r="L1449" s="16">
        <v>42</v>
      </c>
      <c r="M1449" s="57"/>
      <c r="N1449" s="58"/>
      <c r="P1449" s="16">
        <v>2</v>
      </c>
      <c r="Q1449" s="20">
        <f t="shared" si="274"/>
        <v>42</v>
      </c>
      <c r="R1449" s="14">
        <v>250</v>
      </c>
      <c r="S1449" s="19">
        <f t="shared" si="269"/>
        <v>10500</v>
      </c>
      <c r="T1449" s="16"/>
      <c r="U1449" s="17" t="s">
        <v>57</v>
      </c>
      <c r="V1449" s="17" t="s">
        <v>56</v>
      </c>
      <c r="W1449" s="4"/>
      <c r="X1449" s="16"/>
      <c r="Y1449" s="5">
        <v>40</v>
      </c>
      <c r="Z1449" s="16"/>
      <c r="AA1449" s="16"/>
      <c r="AB1449" s="16"/>
      <c r="AE1449" s="16"/>
      <c r="AG1449" s="22">
        <f t="shared" si="273"/>
        <v>40</v>
      </c>
      <c r="AH1449" s="6"/>
      <c r="AJ1449" s="20">
        <f t="shared" si="268"/>
        <v>0</v>
      </c>
      <c r="AK1449" s="50"/>
      <c r="AL1449" s="6"/>
      <c r="AM1449" s="20">
        <f t="shared" si="270"/>
        <v>0</v>
      </c>
      <c r="AN1449" s="20">
        <f t="shared" si="271"/>
        <v>10500</v>
      </c>
      <c r="AP1449" s="20">
        <f t="shared" si="272"/>
        <v>10500</v>
      </c>
      <c r="AQ1449" s="7"/>
      <c r="AR1449" s="20"/>
      <c r="AS1449" s="51"/>
    </row>
    <row r="1450" spans="1:45" s="21" customFormat="1" ht="30" customHeight="1" x14ac:dyDescent="0.2">
      <c r="A1450" s="8">
        <v>1233</v>
      </c>
      <c r="B1450" s="46">
        <v>1</v>
      </c>
      <c r="C1450" s="16" t="s">
        <v>52</v>
      </c>
      <c r="D1450" s="48">
        <v>4597</v>
      </c>
      <c r="E1450" s="47">
        <v>80</v>
      </c>
      <c r="F1450" s="48">
        <v>2331</v>
      </c>
      <c r="G1450" s="49">
        <v>2</v>
      </c>
      <c r="H1450" s="48">
        <v>4</v>
      </c>
      <c r="I1450" s="48">
        <v>1</v>
      </c>
      <c r="J1450" s="48">
        <v>49</v>
      </c>
      <c r="K1450" s="3">
        <f>2149-L1450</f>
        <v>2126.5</v>
      </c>
      <c r="L1450" s="16">
        <v>22.5</v>
      </c>
      <c r="M1450" s="57"/>
      <c r="N1450" s="58"/>
      <c r="P1450" s="16">
        <v>5</v>
      </c>
      <c r="Q1450" s="20">
        <f t="shared" si="274"/>
        <v>1749</v>
      </c>
      <c r="R1450" s="14">
        <v>600</v>
      </c>
      <c r="S1450" s="20">
        <f t="shared" si="269"/>
        <v>1049400</v>
      </c>
      <c r="T1450" s="16"/>
      <c r="U1450" s="17" t="s">
        <v>57</v>
      </c>
      <c r="V1450" s="17" t="s">
        <v>56</v>
      </c>
      <c r="W1450" s="4"/>
      <c r="X1450" s="16"/>
      <c r="Y1450" s="5">
        <v>90</v>
      </c>
      <c r="Z1450" s="16"/>
      <c r="AA1450" s="16"/>
      <c r="AB1450" s="16"/>
      <c r="AE1450" s="16"/>
      <c r="AG1450" s="22">
        <f t="shared" si="273"/>
        <v>90</v>
      </c>
      <c r="AH1450" s="6"/>
      <c r="AJ1450" s="20">
        <f t="shared" si="268"/>
        <v>0</v>
      </c>
      <c r="AK1450" s="50"/>
      <c r="AL1450" s="6"/>
      <c r="AM1450" s="20">
        <f t="shared" si="270"/>
        <v>0</v>
      </c>
      <c r="AN1450" s="20">
        <f t="shared" si="271"/>
        <v>1049400</v>
      </c>
      <c r="AP1450" s="20">
        <f t="shared" si="272"/>
        <v>1049400</v>
      </c>
      <c r="AQ1450" s="7"/>
      <c r="AR1450" s="20"/>
      <c r="AS1450" s="51"/>
    </row>
    <row r="1451" spans="1:45" s="21" customFormat="1" ht="30" customHeight="1" x14ac:dyDescent="0.2">
      <c r="A1451" s="8">
        <v>1234</v>
      </c>
      <c r="B1451" s="46">
        <v>2</v>
      </c>
      <c r="C1451" s="16" t="s">
        <v>52</v>
      </c>
      <c r="D1451" s="48">
        <v>36739</v>
      </c>
      <c r="E1451" s="47">
        <v>221</v>
      </c>
      <c r="F1451" s="48">
        <v>7096</v>
      </c>
      <c r="G1451" s="49">
        <v>2</v>
      </c>
      <c r="H1451" s="48">
        <v>0</v>
      </c>
      <c r="I1451" s="48">
        <v>0</v>
      </c>
      <c r="J1451" s="48">
        <v>32</v>
      </c>
      <c r="K1451" s="3"/>
      <c r="L1451" s="16">
        <v>32</v>
      </c>
      <c r="M1451" s="57"/>
      <c r="N1451" s="58"/>
      <c r="P1451" s="16">
        <v>2</v>
      </c>
      <c r="Q1451" s="20">
        <f t="shared" si="274"/>
        <v>32</v>
      </c>
      <c r="R1451" s="14">
        <v>250</v>
      </c>
      <c r="S1451" s="19">
        <f t="shared" si="269"/>
        <v>8000</v>
      </c>
      <c r="T1451" s="16"/>
      <c r="U1451" s="17"/>
      <c r="V1451" s="17"/>
      <c r="W1451" s="4"/>
      <c r="X1451" s="16"/>
      <c r="Y1451" s="5"/>
      <c r="Z1451" s="16"/>
      <c r="AA1451" s="16"/>
      <c r="AB1451" s="16"/>
      <c r="AE1451" s="16"/>
      <c r="AG1451" s="22">
        <f t="shared" si="273"/>
        <v>0</v>
      </c>
      <c r="AH1451" s="6"/>
      <c r="AJ1451" s="20">
        <f t="shared" si="268"/>
        <v>0</v>
      </c>
      <c r="AK1451" s="50"/>
      <c r="AL1451" s="6"/>
      <c r="AM1451" s="20">
        <f t="shared" si="270"/>
        <v>0</v>
      </c>
      <c r="AN1451" s="20">
        <f t="shared" si="271"/>
        <v>8000</v>
      </c>
      <c r="AP1451" s="20">
        <f t="shared" si="272"/>
        <v>8000</v>
      </c>
      <c r="AQ1451" s="7"/>
      <c r="AR1451" s="20"/>
      <c r="AS1451" s="51"/>
    </row>
    <row r="1452" spans="1:45" s="21" customFormat="1" ht="30" customHeight="1" x14ac:dyDescent="0.2">
      <c r="A1452" s="8">
        <v>1235</v>
      </c>
      <c r="B1452" s="46">
        <v>932</v>
      </c>
      <c r="C1452" s="16" t="s">
        <v>52</v>
      </c>
      <c r="D1452" s="48">
        <v>8348</v>
      </c>
      <c r="E1452" s="47">
        <v>18</v>
      </c>
      <c r="F1452" s="48">
        <v>3138</v>
      </c>
      <c r="G1452" s="49">
        <v>4</v>
      </c>
      <c r="H1452" s="48">
        <v>0</v>
      </c>
      <c r="I1452" s="48">
        <v>0</v>
      </c>
      <c r="J1452" s="48">
        <v>63.04</v>
      </c>
      <c r="K1452" s="3"/>
      <c r="L1452" s="16">
        <v>63.04</v>
      </c>
      <c r="M1452" s="57"/>
      <c r="N1452" s="58"/>
      <c r="P1452" s="16">
        <v>2</v>
      </c>
      <c r="Q1452" s="20">
        <f t="shared" si="274"/>
        <v>63.04</v>
      </c>
      <c r="R1452" s="14">
        <v>2000</v>
      </c>
      <c r="S1452" s="19">
        <f t="shared" si="269"/>
        <v>126080</v>
      </c>
      <c r="T1452" s="16"/>
      <c r="U1452" s="16"/>
      <c r="V1452" s="16"/>
      <c r="W1452" s="5"/>
      <c r="X1452" s="16"/>
      <c r="Y1452" s="5">
        <v>160</v>
      </c>
      <c r="Z1452" s="16"/>
      <c r="AA1452" s="16"/>
      <c r="AB1452" s="16">
        <v>30</v>
      </c>
      <c r="AE1452" s="16"/>
      <c r="AG1452" s="22">
        <f t="shared" si="273"/>
        <v>160</v>
      </c>
      <c r="AH1452" s="6"/>
      <c r="AJ1452" s="20">
        <f t="shared" si="268"/>
        <v>0</v>
      </c>
      <c r="AK1452" s="50">
        <v>30</v>
      </c>
      <c r="AL1452" s="6"/>
      <c r="AM1452" s="20">
        <f t="shared" si="270"/>
        <v>0</v>
      </c>
      <c r="AN1452" s="20">
        <f t="shared" si="271"/>
        <v>126080</v>
      </c>
      <c r="AP1452" s="20">
        <f t="shared" si="272"/>
        <v>126080</v>
      </c>
      <c r="AQ1452" s="7"/>
      <c r="AR1452" s="20"/>
      <c r="AS1452" s="51"/>
    </row>
    <row r="1453" spans="1:45" s="21" customFormat="1" ht="30" customHeight="1" x14ac:dyDescent="0.2">
      <c r="A1453" s="8">
        <v>1236</v>
      </c>
      <c r="B1453" s="46">
        <v>1</v>
      </c>
      <c r="C1453" s="16" t="s">
        <v>52</v>
      </c>
      <c r="D1453" s="48">
        <v>700</v>
      </c>
      <c r="E1453" s="47">
        <v>502</v>
      </c>
      <c r="F1453" s="48">
        <v>100</v>
      </c>
      <c r="G1453" s="49">
        <v>2</v>
      </c>
      <c r="H1453" s="48">
        <v>8</v>
      </c>
      <c r="I1453" s="48">
        <v>0</v>
      </c>
      <c r="J1453" s="48">
        <v>67.06</v>
      </c>
      <c r="K1453" s="3">
        <f>+(8*400+67.06)-L1453</f>
        <v>3242.31</v>
      </c>
      <c r="L1453" s="16">
        <v>24.75</v>
      </c>
      <c r="M1453" s="57"/>
      <c r="N1453" s="58"/>
      <c r="P1453" s="16">
        <v>5</v>
      </c>
      <c r="Q1453" s="20">
        <f t="shared" si="274"/>
        <v>3267.06</v>
      </c>
      <c r="R1453" s="14">
        <v>750</v>
      </c>
      <c r="S1453" s="20">
        <f t="shared" si="269"/>
        <v>2450295</v>
      </c>
      <c r="T1453" s="16"/>
      <c r="U1453" s="17" t="s">
        <v>57</v>
      </c>
      <c r="V1453" s="16" t="s">
        <v>56</v>
      </c>
      <c r="W1453" s="5"/>
      <c r="X1453" s="16"/>
      <c r="Y1453" s="5">
        <v>99</v>
      </c>
      <c r="Z1453" s="16"/>
      <c r="AA1453" s="16"/>
      <c r="AB1453" s="16">
        <v>23</v>
      </c>
      <c r="AE1453" s="16"/>
      <c r="AG1453" s="22">
        <f t="shared" si="273"/>
        <v>99</v>
      </c>
      <c r="AH1453" s="6"/>
      <c r="AJ1453" s="20">
        <f t="shared" si="268"/>
        <v>0</v>
      </c>
      <c r="AK1453" s="50">
        <v>23</v>
      </c>
      <c r="AL1453" s="6"/>
      <c r="AM1453" s="20">
        <f t="shared" si="270"/>
        <v>0</v>
      </c>
      <c r="AN1453" s="20">
        <f t="shared" si="271"/>
        <v>2450295</v>
      </c>
      <c r="AP1453" s="20">
        <f t="shared" si="272"/>
        <v>2450295</v>
      </c>
      <c r="AQ1453" s="7"/>
      <c r="AR1453" s="60"/>
      <c r="AS1453" s="128">
        <v>67</v>
      </c>
    </row>
    <row r="1454" spans="1:45" s="21" customFormat="1" ht="30" customHeight="1" x14ac:dyDescent="0.2">
      <c r="A1454" s="8">
        <v>1237</v>
      </c>
      <c r="B1454" s="46">
        <v>2</v>
      </c>
      <c r="C1454" s="16" t="s">
        <v>52</v>
      </c>
      <c r="D1454" s="48">
        <v>31885</v>
      </c>
      <c r="E1454" s="47">
        <v>242</v>
      </c>
      <c r="F1454" s="48">
        <v>6112</v>
      </c>
      <c r="G1454" s="49">
        <v>2</v>
      </c>
      <c r="H1454" s="48">
        <v>0</v>
      </c>
      <c r="I1454" s="48">
        <v>3</v>
      </c>
      <c r="J1454" s="48">
        <v>92.08</v>
      </c>
      <c r="K1454" s="3">
        <v>392.08</v>
      </c>
      <c r="L1454" s="16"/>
      <c r="M1454" s="57"/>
      <c r="N1454" s="58"/>
      <c r="P1454" s="16">
        <v>1</v>
      </c>
      <c r="Q1454" s="20">
        <f t="shared" si="274"/>
        <v>392.08</v>
      </c>
      <c r="R1454" s="14">
        <v>200</v>
      </c>
      <c r="S1454" s="19">
        <f t="shared" si="269"/>
        <v>78416</v>
      </c>
      <c r="T1454" s="16"/>
      <c r="U1454" s="17"/>
      <c r="V1454" s="17"/>
      <c r="W1454" s="4"/>
      <c r="X1454" s="16"/>
      <c r="Y1454" s="5"/>
      <c r="Z1454" s="16"/>
      <c r="AA1454" s="16"/>
      <c r="AB1454" s="16"/>
      <c r="AE1454" s="16"/>
      <c r="AG1454" s="22">
        <f t="shared" si="273"/>
        <v>0</v>
      </c>
      <c r="AH1454" s="6"/>
      <c r="AJ1454" s="20">
        <f t="shared" si="268"/>
        <v>0</v>
      </c>
      <c r="AK1454" s="50"/>
      <c r="AL1454" s="6"/>
      <c r="AM1454" s="20">
        <f t="shared" si="270"/>
        <v>0</v>
      </c>
      <c r="AN1454" s="20">
        <f t="shared" si="271"/>
        <v>78416</v>
      </c>
      <c r="AP1454" s="20">
        <f t="shared" si="272"/>
        <v>78416</v>
      </c>
      <c r="AQ1454" s="7"/>
      <c r="AR1454" s="24"/>
      <c r="AS1454" s="129"/>
    </row>
    <row r="1455" spans="1:45" s="21" customFormat="1" ht="30" customHeight="1" x14ac:dyDescent="0.2">
      <c r="A1455" s="8">
        <v>1238</v>
      </c>
      <c r="B1455" s="46">
        <v>3</v>
      </c>
      <c r="C1455" s="16" t="s">
        <v>52</v>
      </c>
      <c r="D1455" s="48">
        <v>31886</v>
      </c>
      <c r="E1455" s="47">
        <v>243</v>
      </c>
      <c r="F1455" s="48">
        <v>6113</v>
      </c>
      <c r="G1455" s="49">
        <v>2</v>
      </c>
      <c r="H1455" s="48">
        <v>0</v>
      </c>
      <c r="I1455" s="48">
        <v>3</v>
      </c>
      <c r="J1455" s="48">
        <v>53.04</v>
      </c>
      <c r="K1455" s="3">
        <v>353.04</v>
      </c>
      <c r="L1455" s="16"/>
      <c r="M1455" s="57"/>
      <c r="N1455" s="58"/>
      <c r="P1455" s="16">
        <v>1</v>
      </c>
      <c r="Q1455" s="20">
        <f t="shared" si="274"/>
        <v>353.04</v>
      </c>
      <c r="R1455" s="14">
        <v>250</v>
      </c>
      <c r="S1455" s="19">
        <f t="shared" si="269"/>
        <v>88260</v>
      </c>
      <c r="T1455" s="16"/>
      <c r="U1455" s="17"/>
      <c r="V1455" s="17"/>
      <c r="W1455" s="4"/>
      <c r="X1455" s="16"/>
      <c r="Y1455" s="5"/>
      <c r="Z1455" s="16"/>
      <c r="AA1455" s="16"/>
      <c r="AB1455" s="16"/>
      <c r="AE1455" s="16"/>
      <c r="AG1455" s="22">
        <f t="shared" si="273"/>
        <v>0</v>
      </c>
      <c r="AH1455" s="6"/>
      <c r="AJ1455" s="20">
        <f t="shared" si="268"/>
        <v>0</v>
      </c>
      <c r="AK1455" s="50"/>
      <c r="AL1455" s="6"/>
      <c r="AM1455" s="20">
        <f t="shared" si="270"/>
        <v>0</v>
      </c>
      <c r="AN1455" s="20">
        <f t="shared" si="271"/>
        <v>88260</v>
      </c>
      <c r="AP1455" s="20">
        <f t="shared" si="272"/>
        <v>88260</v>
      </c>
      <c r="AQ1455" s="7"/>
      <c r="AR1455" s="24"/>
      <c r="AS1455" s="129"/>
    </row>
    <row r="1456" spans="1:45" ht="30" customHeight="1" x14ac:dyDescent="0.2">
      <c r="A1456" s="8"/>
      <c r="C1456" s="16"/>
      <c r="Q1456" s="20"/>
      <c r="S1456" s="20"/>
      <c r="AC1456" s="21"/>
      <c r="AD1456" s="21"/>
      <c r="AG1456" s="22"/>
      <c r="AJ1456" s="20"/>
      <c r="AM1456" s="20"/>
      <c r="AN1456" s="20"/>
      <c r="AP1456" s="20"/>
      <c r="AR1456" s="25"/>
      <c r="AS1456" s="130"/>
    </row>
    <row r="1457" spans="1:45" s="21" customFormat="1" ht="30" customHeight="1" x14ac:dyDescent="0.2">
      <c r="A1457" s="8">
        <v>1239</v>
      </c>
      <c r="B1457" s="46">
        <v>1</v>
      </c>
      <c r="C1457" s="16" t="s">
        <v>52</v>
      </c>
      <c r="D1457" s="48">
        <v>1860</v>
      </c>
      <c r="E1457" s="47">
        <v>107</v>
      </c>
      <c r="F1457" s="48">
        <v>1250</v>
      </c>
      <c r="G1457" s="49">
        <v>2</v>
      </c>
      <c r="H1457" s="48">
        <v>4</v>
      </c>
      <c r="I1457" s="48">
        <v>1</v>
      </c>
      <c r="J1457" s="48">
        <v>54</v>
      </c>
      <c r="K1457" s="3">
        <v>1754</v>
      </c>
      <c r="L1457" s="16"/>
      <c r="M1457" s="57"/>
      <c r="N1457" s="58"/>
      <c r="P1457" s="16">
        <v>1</v>
      </c>
      <c r="Q1457" s="20">
        <f t="shared" si="274"/>
        <v>1754</v>
      </c>
      <c r="R1457" s="14">
        <v>160</v>
      </c>
      <c r="S1457" s="19">
        <f t="shared" si="269"/>
        <v>280640</v>
      </c>
      <c r="T1457" s="16"/>
      <c r="U1457" s="17"/>
      <c r="V1457" s="17"/>
      <c r="W1457" s="4"/>
      <c r="X1457" s="16"/>
      <c r="Y1457" s="5"/>
      <c r="Z1457" s="16"/>
      <c r="AA1457" s="16"/>
      <c r="AB1457" s="16"/>
      <c r="AE1457" s="16"/>
      <c r="AG1457" s="22">
        <f t="shared" si="273"/>
        <v>0</v>
      </c>
      <c r="AH1457" s="6"/>
      <c r="AJ1457" s="20">
        <f t="shared" si="268"/>
        <v>0</v>
      </c>
      <c r="AK1457" s="50"/>
      <c r="AL1457" s="6"/>
      <c r="AM1457" s="20">
        <f t="shared" si="270"/>
        <v>0</v>
      </c>
      <c r="AN1457" s="20">
        <f t="shared" si="271"/>
        <v>280640</v>
      </c>
      <c r="AP1457" s="20">
        <f t="shared" si="272"/>
        <v>280640</v>
      </c>
      <c r="AQ1457" s="7"/>
      <c r="AR1457" s="20"/>
      <c r="AS1457" s="51"/>
    </row>
    <row r="1458" spans="1:45" ht="30" customHeight="1" x14ac:dyDescent="0.2">
      <c r="A1458" s="8"/>
      <c r="C1458" s="16"/>
      <c r="Q1458" s="20"/>
      <c r="AC1458" s="21"/>
      <c r="AD1458" s="21"/>
      <c r="AG1458" s="22"/>
      <c r="AJ1458" s="20"/>
      <c r="AM1458" s="20"/>
      <c r="AN1458" s="20"/>
      <c r="AP1458" s="20"/>
      <c r="AR1458" s="20"/>
    </row>
    <row r="1459" spans="1:45" s="21" customFormat="1" ht="30" customHeight="1" x14ac:dyDescent="0.2">
      <c r="A1459" s="8">
        <v>1240</v>
      </c>
      <c r="B1459" s="46">
        <v>1</v>
      </c>
      <c r="C1459" s="16" t="s">
        <v>52</v>
      </c>
      <c r="D1459" s="48">
        <v>5103</v>
      </c>
      <c r="E1459" s="47">
        <v>11</v>
      </c>
      <c r="F1459" s="48">
        <v>2869</v>
      </c>
      <c r="G1459" s="49">
        <v>7</v>
      </c>
      <c r="H1459" s="48">
        <v>4</v>
      </c>
      <c r="I1459" s="48">
        <v>3</v>
      </c>
      <c r="J1459" s="48">
        <v>67</v>
      </c>
      <c r="K1459" s="3">
        <v>1967</v>
      </c>
      <c r="L1459" s="16"/>
      <c r="M1459" s="57"/>
      <c r="N1459" s="58"/>
      <c r="P1459" s="16">
        <v>1</v>
      </c>
      <c r="Q1459" s="20">
        <f t="shared" si="274"/>
        <v>1967</v>
      </c>
      <c r="R1459" s="14">
        <v>160</v>
      </c>
      <c r="S1459" s="20">
        <f t="shared" si="269"/>
        <v>314720</v>
      </c>
      <c r="T1459" s="16"/>
      <c r="U1459" s="17"/>
      <c r="V1459" s="17"/>
      <c r="W1459" s="4"/>
      <c r="X1459" s="16"/>
      <c r="Y1459" s="5"/>
      <c r="Z1459" s="16"/>
      <c r="AA1459" s="16"/>
      <c r="AB1459" s="16"/>
      <c r="AC1459" s="14"/>
      <c r="AD1459" s="14"/>
      <c r="AE1459" s="16"/>
      <c r="AG1459" s="22">
        <f t="shared" si="273"/>
        <v>0</v>
      </c>
      <c r="AH1459" s="6"/>
      <c r="AJ1459" s="20">
        <f t="shared" si="268"/>
        <v>0</v>
      </c>
      <c r="AK1459" s="50"/>
      <c r="AL1459" s="6"/>
      <c r="AM1459" s="20">
        <f t="shared" si="270"/>
        <v>0</v>
      </c>
      <c r="AN1459" s="20">
        <f t="shared" si="271"/>
        <v>314720</v>
      </c>
      <c r="AP1459" s="20">
        <f t="shared" si="272"/>
        <v>314720</v>
      </c>
      <c r="AQ1459" s="7"/>
      <c r="AR1459" s="20"/>
      <c r="AS1459" s="51">
        <v>15</v>
      </c>
    </row>
    <row r="1460" spans="1:45" s="21" customFormat="1" ht="30" customHeight="1" x14ac:dyDescent="0.2">
      <c r="A1460" s="8">
        <v>1241</v>
      </c>
      <c r="B1460" s="46">
        <v>1</v>
      </c>
      <c r="C1460" s="16" t="s">
        <v>52</v>
      </c>
      <c r="D1460" s="48">
        <v>1459</v>
      </c>
      <c r="E1460" s="47">
        <v>60</v>
      </c>
      <c r="F1460" s="48">
        <v>464</v>
      </c>
      <c r="G1460" s="49">
        <v>2</v>
      </c>
      <c r="H1460" s="48">
        <v>8</v>
      </c>
      <c r="I1460" s="48">
        <v>2</v>
      </c>
      <c r="J1460" s="48">
        <v>68</v>
      </c>
      <c r="K1460" s="3">
        <f>8*400+268</f>
        <v>3468</v>
      </c>
      <c r="L1460" s="16"/>
      <c r="M1460" s="57"/>
      <c r="N1460" s="58"/>
      <c r="P1460" s="16">
        <v>1</v>
      </c>
      <c r="Q1460" s="20">
        <f t="shared" si="274"/>
        <v>3468</v>
      </c>
      <c r="R1460" s="14">
        <v>160</v>
      </c>
      <c r="S1460" s="19">
        <f t="shared" si="269"/>
        <v>554880</v>
      </c>
      <c r="T1460" s="16"/>
      <c r="U1460" s="17"/>
      <c r="V1460" s="17"/>
      <c r="W1460" s="4"/>
      <c r="X1460" s="16"/>
      <c r="Y1460" s="5"/>
      <c r="Z1460" s="16"/>
      <c r="AA1460" s="16"/>
      <c r="AB1460" s="16"/>
      <c r="AE1460" s="16"/>
      <c r="AG1460" s="22">
        <f t="shared" si="273"/>
        <v>0</v>
      </c>
      <c r="AH1460" s="6"/>
      <c r="AJ1460" s="20">
        <f t="shared" si="268"/>
        <v>0</v>
      </c>
      <c r="AK1460" s="50"/>
      <c r="AL1460" s="6"/>
      <c r="AM1460" s="20">
        <f t="shared" si="270"/>
        <v>0</v>
      </c>
      <c r="AN1460" s="20">
        <f t="shared" si="271"/>
        <v>554880</v>
      </c>
      <c r="AP1460" s="20">
        <f t="shared" si="272"/>
        <v>554880</v>
      </c>
      <c r="AQ1460" s="7"/>
      <c r="AR1460" s="20"/>
      <c r="AS1460" s="51"/>
    </row>
    <row r="1461" spans="1:45" s="21" customFormat="1" ht="30" customHeight="1" x14ac:dyDescent="0.2">
      <c r="A1461" s="8">
        <v>1242</v>
      </c>
      <c r="B1461" s="46">
        <v>2</v>
      </c>
      <c r="C1461" s="16" t="s">
        <v>52</v>
      </c>
      <c r="D1461" s="48">
        <v>1460</v>
      </c>
      <c r="E1461" s="47">
        <v>43</v>
      </c>
      <c r="F1461" s="48">
        <v>537</v>
      </c>
      <c r="G1461" s="49">
        <v>2</v>
      </c>
      <c r="H1461" s="48">
        <v>2</v>
      </c>
      <c r="I1461" s="48">
        <v>1</v>
      </c>
      <c r="J1461" s="48">
        <v>44</v>
      </c>
      <c r="K1461" s="3">
        <v>944</v>
      </c>
      <c r="L1461" s="16"/>
      <c r="M1461" s="57"/>
      <c r="N1461" s="58"/>
      <c r="P1461" s="16">
        <v>1</v>
      </c>
      <c r="Q1461" s="20">
        <f t="shared" si="274"/>
        <v>944</v>
      </c>
      <c r="R1461" s="14">
        <v>160</v>
      </c>
      <c r="S1461" s="19">
        <f t="shared" si="269"/>
        <v>151040</v>
      </c>
      <c r="T1461" s="16"/>
      <c r="U1461" s="16"/>
      <c r="V1461" s="16"/>
      <c r="W1461" s="5"/>
      <c r="X1461" s="16"/>
      <c r="Y1461" s="5"/>
      <c r="Z1461" s="16"/>
      <c r="AA1461" s="16"/>
      <c r="AB1461" s="16"/>
      <c r="AC1461" s="14"/>
      <c r="AD1461" s="14"/>
      <c r="AE1461" s="16"/>
      <c r="AG1461" s="22">
        <f t="shared" si="273"/>
        <v>0</v>
      </c>
      <c r="AH1461" s="6"/>
      <c r="AJ1461" s="20">
        <f t="shared" si="268"/>
        <v>0</v>
      </c>
      <c r="AK1461" s="50"/>
      <c r="AL1461" s="6"/>
      <c r="AM1461" s="20">
        <f t="shared" si="270"/>
        <v>0</v>
      </c>
      <c r="AN1461" s="20">
        <f t="shared" si="271"/>
        <v>151040</v>
      </c>
      <c r="AP1461" s="20">
        <f t="shared" si="272"/>
        <v>151040</v>
      </c>
      <c r="AQ1461" s="7"/>
      <c r="AR1461" s="20"/>
      <c r="AS1461" s="51"/>
    </row>
    <row r="1462" spans="1:45" s="21" customFormat="1" ht="30" customHeight="1" x14ac:dyDescent="0.2">
      <c r="A1462" s="8">
        <v>1243</v>
      </c>
      <c r="B1462" s="46">
        <v>3</v>
      </c>
      <c r="C1462" s="16" t="s">
        <v>52</v>
      </c>
      <c r="D1462" s="48">
        <v>1465</v>
      </c>
      <c r="E1462" s="47">
        <v>39</v>
      </c>
      <c r="F1462" s="48">
        <v>542</v>
      </c>
      <c r="G1462" s="49">
        <v>2</v>
      </c>
      <c r="H1462" s="48">
        <v>9</v>
      </c>
      <c r="I1462" s="48">
        <v>1</v>
      </c>
      <c r="J1462" s="48">
        <v>67</v>
      </c>
      <c r="K1462" s="3">
        <f>9*400+167</f>
        <v>3767</v>
      </c>
      <c r="L1462" s="16"/>
      <c r="M1462" s="57"/>
      <c r="N1462" s="58"/>
      <c r="P1462" s="16">
        <v>1</v>
      </c>
      <c r="Q1462" s="20">
        <f t="shared" si="274"/>
        <v>3767</v>
      </c>
      <c r="R1462" s="14">
        <v>160</v>
      </c>
      <c r="S1462" s="20">
        <f t="shared" si="269"/>
        <v>602720</v>
      </c>
      <c r="T1462" s="16"/>
      <c r="U1462" s="17"/>
      <c r="V1462" s="16"/>
      <c r="W1462" s="5"/>
      <c r="X1462" s="16"/>
      <c r="Y1462" s="5"/>
      <c r="Z1462" s="16"/>
      <c r="AA1462" s="16"/>
      <c r="AB1462" s="16"/>
      <c r="AC1462" s="14"/>
      <c r="AD1462" s="14"/>
      <c r="AE1462" s="16"/>
      <c r="AG1462" s="22">
        <f t="shared" si="273"/>
        <v>0</v>
      </c>
      <c r="AH1462" s="6"/>
      <c r="AJ1462" s="20">
        <f t="shared" ref="AJ1462:AJ1526" si="275">+AG1462*AH1462*AI1462</f>
        <v>0</v>
      </c>
      <c r="AK1462" s="50"/>
      <c r="AL1462" s="6"/>
      <c r="AM1462" s="20">
        <f t="shared" si="270"/>
        <v>0</v>
      </c>
      <c r="AN1462" s="20">
        <f t="shared" si="271"/>
        <v>602720</v>
      </c>
      <c r="AP1462" s="20">
        <f t="shared" si="272"/>
        <v>602720</v>
      </c>
      <c r="AQ1462" s="7"/>
      <c r="AR1462" s="20"/>
      <c r="AS1462" s="51"/>
    </row>
    <row r="1463" spans="1:45" s="21" customFormat="1" ht="30" customHeight="1" x14ac:dyDescent="0.2">
      <c r="A1463" s="8">
        <v>1244</v>
      </c>
      <c r="B1463" s="46">
        <v>4</v>
      </c>
      <c r="C1463" s="16" t="s">
        <v>52</v>
      </c>
      <c r="D1463" s="48">
        <v>1581</v>
      </c>
      <c r="E1463" s="47">
        <v>18</v>
      </c>
      <c r="F1463" s="48">
        <v>518</v>
      </c>
      <c r="G1463" s="49">
        <v>2</v>
      </c>
      <c r="H1463" s="48">
        <v>0</v>
      </c>
      <c r="I1463" s="48">
        <v>2</v>
      </c>
      <c r="J1463" s="48">
        <v>68</v>
      </c>
      <c r="K1463" s="3">
        <v>268</v>
      </c>
      <c r="L1463" s="16"/>
      <c r="M1463" s="57"/>
      <c r="N1463" s="58"/>
      <c r="P1463" s="16">
        <v>1</v>
      </c>
      <c r="Q1463" s="20">
        <f t="shared" si="274"/>
        <v>268</v>
      </c>
      <c r="R1463" s="14">
        <v>160</v>
      </c>
      <c r="S1463" s="19">
        <f t="shared" si="269"/>
        <v>42880</v>
      </c>
      <c r="T1463" s="16"/>
      <c r="U1463" s="17"/>
      <c r="V1463" s="17"/>
      <c r="W1463" s="4"/>
      <c r="X1463" s="16"/>
      <c r="Y1463" s="5"/>
      <c r="Z1463" s="16"/>
      <c r="AA1463" s="16"/>
      <c r="AB1463" s="16"/>
      <c r="AC1463" s="14"/>
      <c r="AD1463" s="14"/>
      <c r="AE1463" s="16"/>
      <c r="AG1463" s="22">
        <f t="shared" si="273"/>
        <v>0</v>
      </c>
      <c r="AH1463" s="6"/>
      <c r="AJ1463" s="20">
        <f t="shared" si="275"/>
        <v>0</v>
      </c>
      <c r="AK1463" s="50"/>
      <c r="AL1463" s="6"/>
      <c r="AM1463" s="20">
        <f t="shared" si="270"/>
        <v>0</v>
      </c>
      <c r="AN1463" s="20">
        <f t="shared" si="271"/>
        <v>42880</v>
      </c>
      <c r="AP1463" s="20">
        <f t="shared" si="272"/>
        <v>42880</v>
      </c>
      <c r="AQ1463" s="7"/>
      <c r="AR1463" s="20"/>
      <c r="AS1463" s="51"/>
    </row>
    <row r="1464" spans="1:45" s="21" customFormat="1" ht="30" customHeight="1" x14ac:dyDescent="0.2">
      <c r="A1464" s="8">
        <v>1245</v>
      </c>
      <c r="B1464" s="46">
        <v>5</v>
      </c>
      <c r="C1464" s="16" t="s">
        <v>52</v>
      </c>
      <c r="D1464" s="48">
        <v>1944</v>
      </c>
      <c r="E1464" s="47">
        <v>60</v>
      </c>
      <c r="F1464" s="48">
        <v>1340</v>
      </c>
      <c r="G1464" s="49">
        <v>2</v>
      </c>
      <c r="H1464" s="48">
        <v>0</v>
      </c>
      <c r="I1464" s="48">
        <v>3</v>
      </c>
      <c r="J1464" s="48">
        <v>35</v>
      </c>
      <c r="K1464" s="3"/>
      <c r="L1464" s="16"/>
      <c r="M1464" s="57"/>
      <c r="N1464" s="58"/>
      <c r="P1464" s="16">
        <v>2</v>
      </c>
      <c r="Q1464" s="20">
        <f t="shared" si="274"/>
        <v>335</v>
      </c>
      <c r="R1464" s="14">
        <v>2250</v>
      </c>
      <c r="S1464" s="19">
        <f t="shared" ref="S1464:S1527" si="276">+Q1464*R1464</f>
        <v>753750</v>
      </c>
      <c r="T1464" s="16"/>
      <c r="U1464" s="17" t="s">
        <v>57</v>
      </c>
      <c r="V1464" s="17" t="s">
        <v>56</v>
      </c>
      <c r="W1464" s="4"/>
      <c r="X1464" s="16"/>
      <c r="Y1464" s="5">
        <v>95</v>
      </c>
      <c r="Z1464" s="16"/>
      <c r="AA1464" s="16"/>
      <c r="AB1464" s="16">
        <v>12</v>
      </c>
      <c r="AC1464" s="14"/>
      <c r="AD1464" s="14"/>
      <c r="AE1464" s="16"/>
      <c r="AG1464" s="22">
        <f t="shared" si="273"/>
        <v>95</v>
      </c>
      <c r="AH1464" s="6"/>
      <c r="AJ1464" s="20">
        <f t="shared" si="275"/>
        <v>0</v>
      </c>
      <c r="AK1464" s="50">
        <v>12</v>
      </c>
      <c r="AL1464" s="6"/>
      <c r="AM1464" s="20">
        <f t="shared" si="270"/>
        <v>0</v>
      </c>
      <c r="AN1464" s="20">
        <f t="shared" si="271"/>
        <v>753750</v>
      </c>
      <c r="AP1464" s="20">
        <f t="shared" si="272"/>
        <v>753750</v>
      </c>
      <c r="AQ1464" s="7"/>
      <c r="AR1464" s="20"/>
      <c r="AS1464" s="51"/>
    </row>
    <row r="1465" spans="1:45" s="21" customFormat="1" ht="30" customHeight="1" x14ac:dyDescent="0.2">
      <c r="A1465" s="8">
        <v>1246</v>
      </c>
      <c r="B1465" s="46">
        <v>1</v>
      </c>
      <c r="C1465" s="16" t="s">
        <v>52</v>
      </c>
      <c r="D1465" s="48">
        <v>21165</v>
      </c>
      <c r="E1465" s="47">
        <v>30</v>
      </c>
      <c r="F1465" s="48">
        <v>4623</v>
      </c>
      <c r="G1465" s="49">
        <v>1</v>
      </c>
      <c r="H1465" s="48">
        <v>6</v>
      </c>
      <c r="I1465" s="48">
        <v>0</v>
      </c>
      <c r="J1465" s="48">
        <v>29</v>
      </c>
      <c r="K1465" s="3">
        <f>6*400+29</f>
        <v>2429</v>
      </c>
      <c r="L1465" s="16"/>
      <c r="M1465" s="57"/>
      <c r="N1465" s="58"/>
      <c r="P1465" s="16">
        <v>1</v>
      </c>
      <c r="Q1465" s="20">
        <f t="shared" si="274"/>
        <v>2429</v>
      </c>
      <c r="R1465" s="14">
        <v>160</v>
      </c>
      <c r="S1465" s="20">
        <f t="shared" si="276"/>
        <v>388640</v>
      </c>
      <c r="T1465" s="16"/>
      <c r="U1465" s="17"/>
      <c r="V1465" s="17"/>
      <c r="W1465" s="4"/>
      <c r="X1465" s="16"/>
      <c r="Y1465" s="5"/>
      <c r="Z1465" s="16"/>
      <c r="AA1465" s="16"/>
      <c r="AB1465" s="16"/>
      <c r="AC1465" s="14"/>
      <c r="AD1465" s="14"/>
      <c r="AE1465" s="16"/>
      <c r="AG1465" s="22">
        <f t="shared" si="273"/>
        <v>0</v>
      </c>
      <c r="AH1465" s="6"/>
      <c r="AJ1465" s="20">
        <f t="shared" si="275"/>
        <v>0</v>
      </c>
      <c r="AK1465" s="50"/>
      <c r="AL1465" s="6"/>
      <c r="AM1465" s="20">
        <f t="shared" si="270"/>
        <v>0</v>
      </c>
      <c r="AN1465" s="20">
        <f t="shared" si="271"/>
        <v>388640</v>
      </c>
      <c r="AP1465" s="20">
        <f t="shared" si="272"/>
        <v>388640</v>
      </c>
      <c r="AQ1465" s="7"/>
      <c r="AR1465" s="20"/>
      <c r="AS1465" s="51">
        <v>18</v>
      </c>
    </row>
    <row r="1466" spans="1:45" s="21" customFormat="1" ht="30" customHeight="1" x14ac:dyDescent="0.2">
      <c r="A1466" s="8">
        <v>1247</v>
      </c>
      <c r="B1466" s="46">
        <v>1</v>
      </c>
      <c r="C1466" s="16" t="s">
        <v>52</v>
      </c>
      <c r="D1466" s="48">
        <v>35314</v>
      </c>
      <c r="E1466" s="47">
        <v>213</v>
      </c>
      <c r="F1466" s="48">
        <v>6874</v>
      </c>
      <c r="G1466" s="49">
        <v>2</v>
      </c>
      <c r="H1466" s="48">
        <v>0</v>
      </c>
      <c r="I1466" s="48">
        <v>0</v>
      </c>
      <c r="J1466" s="48">
        <v>25</v>
      </c>
      <c r="K1466" s="3"/>
      <c r="L1466" s="16"/>
      <c r="M1466" s="57"/>
      <c r="N1466" s="58">
        <v>25</v>
      </c>
      <c r="P1466" s="16">
        <v>4</v>
      </c>
      <c r="Q1466" s="20">
        <f t="shared" si="274"/>
        <v>25</v>
      </c>
      <c r="R1466" s="14">
        <v>250</v>
      </c>
      <c r="S1466" s="19">
        <f t="shared" si="276"/>
        <v>6250</v>
      </c>
      <c r="T1466" s="16"/>
      <c r="U1466" s="17"/>
      <c r="V1466" s="17"/>
      <c r="W1466" s="4"/>
      <c r="X1466" s="16"/>
      <c r="Y1466" s="5"/>
      <c r="Z1466" s="16"/>
      <c r="AA1466" s="16"/>
      <c r="AB1466" s="16"/>
      <c r="AE1466" s="16"/>
      <c r="AG1466" s="22">
        <f t="shared" si="273"/>
        <v>0</v>
      </c>
      <c r="AH1466" s="6"/>
      <c r="AJ1466" s="20">
        <f t="shared" si="275"/>
        <v>0</v>
      </c>
      <c r="AK1466" s="50"/>
      <c r="AL1466" s="6"/>
      <c r="AM1466" s="20">
        <f t="shared" si="270"/>
        <v>0</v>
      </c>
      <c r="AN1466" s="20">
        <f t="shared" si="271"/>
        <v>6250</v>
      </c>
      <c r="AP1466" s="20">
        <f t="shared" si="272"/>
        <v>6250</v>
      </c>
      <c r="AQ1466" s="7">
        <v>3.0000000000000001E-3</v>
      </c>
      <c r="AR1466" s="20"/>
      <c r="AS1466" s="51"/>
    </row>
    <row r="1467" spans="1:45" s="21" customFormat="1" ht="30" customHeight="1" x14ac:dyDescent="0.2">
      <c r="A1467" s="8">
        <v>1248</v>
      </c>
      <c r="B1467" s="46">
        <v>2</v>
      </c>
      <c r="C1467" s="16" t="s">
        <v>52</v>
      </c>
      <c r="D1467" s="48">
        <v>35315</v>
      </c>
      <c r="E1467" s="47">
        <v>214</v>
      </c>
      <c r="F1467" s="48">
        <v>6875</v>
      </c>
      <c r="G1467" s="49">
        <v>2</v>
      </c>
      <c r="H1467" s="48">
        <v>0</v>
      </c>
      <c r="I1467" s="48">
        <v>0</v>
      </c>
      <c r="J1467" s="48">
        <v>25</v>
      </c>
      <c r="K1467" s="3"/>
      <c r="L1467" s="16"/>
      <c r="M1467" s="57"/>
      <c r="N1467" s="58">
        <v>25</v>
      </c>
      <c r="P1467" s="16">
        <v>4</v>
      </c>
      <c r="Q1467" s="20">
        <f t="shared" si="274"/>
        <v>25</v>
      </c>
      <c r="R1467" s="14">
        <v>250</v>
      </c>
      <c r="S1467" s="19">
        <f t="shared" si="276"/>
        <v>6250</v>
      </c>
      <c r="T1467" s="16"/>
      <c r="U1467" s="17"/>
      <c r="V1467" s="17"/>
      <c r="W1467" s="4"/>
      <c r="X1467" s="16"/>
      <c r="Y1467" s="5"/>
      <c r="Z1467" s="16"/>
      <c r="AA1467" s="16"/>
      <c r="AB1467" s="16"/>
      <c r="AE1467" s="16"/>
      <c r="AG1467" s="22">
        <f t="shared" si="273"/>
        <v>0</v>
      </c>
      <c r="AH1467" s="6"/>
      <c r="AJ1467" s="20">
        <f t="shared" si="275"/>
        <v>0</v>
      </c>
      <c r="AK1467" s="50"/>
      <c r="AL1467" s="6"/>
      <c r="AM1467" s="20">
        <f t="shared" ref="AM1467:AM1530" si="277">+AJ1467-(AL1467*AJ1467)</f>
        <v>0</v>
      </c>
      <c r="AN1467" s="20">
        <f t="shared" si="271"/>
        <v>6250</v>
      </c>
      <c r="AP1467" s="20">
        <f t="shared" si="272"/>
        <v>6250</v>
      </c>
      <c r="AQ1467" s="7">
        <v>3.0000000000000001E-3</v>
      </c>
      <c r="AR1467" s="20"/>
      <c r="AS1467" s="51"/>
    </row>
    <row r="1468" spans="1:45" ht="30" customHeight="1" x14ac:dyDescent="0.2">
      <c r="A1468" s="8">
        <v>1249</v>
      </c>
      <c r="B1468" s="13">
        <v>1</v>
      </c>
      <c r="C1468" s="16" t="s">
        <v>65</v>
      </c>
      <c r="D1468" s="17">
        <v>1103</v>
      </c>
      <c r="E1468" s="17">
        <v>12</v>
      </c>
      <c r="H1468" s="17">
        <v>15</v>
      </c>
      <c r="I1468" s="17">
        <v>0</v>
      </c>
      <c r="J1468" s="17">
        <v>20</v>
      </c>
      <c r="K1468" s="10">
        <f>15*400+20</f>
        <v>6020</v>
      </c>
      <c r="P1468" s="17">
        <v>1</v>
      </c>
      <c r="Q1468" s="20">
        <f t="shared" si="274"/>
        <v>6020</v>
      </c>
      <c r="R1468" s="14">
        <v>250</v>
      </c>
      <c r="S1468" s="20">
        <f t="shared" si="276"/>
        <v>1505000</v>
      </c>
      <c r="AC1468" s="21"/>
      <c r="AD1468" s="21"/>
      <c r="AG1468" s="22">
        <f t="shared" si="273"/>
        <v>0</v>
      </c>
      <c r="AJ1468" s="20">
        <f t="shared" si="275"/>
        <v>0</v>
      </c>
      <c r="AM1468" s="20">
        <f t="shared" si="277"/>
        <v>0</v>
      </c>
      <c r="AN1468" s="20">
        <f t="shared" ref="AN1468:AN1531" si="278">+S1468+AM1468</f>
        <v>1505000</v>
      </c>
      <c r="AP1468" s="20">
        <f t="shared" si="272"/>
        <v>1505000</v>
      </c>
      <c r="AQ1468" s="12">
        <v>1E-4</v>
      </c>
      <c r="AR1468" s="20"/>
      <c r="AS1468" s="26">
        <v>45</v>
      </c>
    </row>
    <row r="1469" spans="1:45" s="21" customFormat="1" ht="30" customHeight="1" x14ac:dyDescent="0.2">
      <c r="A1469" s="8">
        <v>1250</v>
      </c>
      <c r="B1469" s="46">
        <v>1</v>
      </c>
      <c r="C1469" s="16" t="s">
        <v>52</v>
      </c>
      <c r="D1469" s="48">
        <v>8322</v>
      </c>
      <c r="E1469" s="47">
        <v>47</v>
      </c>
      <c r="F1469" s="48">
        <v>3023</v>
      </c>
      <c r="G1469" s="49">
        <v>6</v>
      </c>
      <c r="H1469" s="48">
        <v>2</v>
      </c>
      <c r="I1469" s="48">
        <v>0</v>
      </c>
      <c r="J1469" s="48">
        <v>68.03</v>
      </c>
      <c r="K1469" s="3">
        <v>868.03</v>
      </c>
      <c r="L1469" s="16"/>
      <c r="M1469" s="57"/>
      <c r="N1469" s="58"/>
      <c r="P1469" s="16">
        <v>1</v>
      </c>
      <c r="Q1469" s="20">
        <f t="shared" si="274"/>
        <v>868.03</v>
      </c>
      <c r="R1469" s="14">
        <v>750</v>
      </c>
      <c r="S1469" s="19">
        <f t="shared" si="276"/>
        <v>651022.5</v>
      </c>
      <c r="T1469" s="16"/>
      <c r="U1469" s="16"/>
      <c r="V1469" s="16"/>
      <c r="W1469" s="5"/>
      <c r="X1469" s="16"/>
      <c r="Y1469" s="5"/>
      <c r="Z1469" s="16"/>
      <c r="AA1469" s="16"/>
      <c r="AB1469" s="16"/>
      <c r="AE1469" s="16"/>
      <c r="AG1469" s="22">
        <f t="shared" si="273"/>
        <v>0</v>
      </c>
      <c r="AH1469" s="6"/>
      <c r="AJ1469" s="20">
        <f t="shared" si="275"/>
        <v>0</v>
      </c>
      <c r="AK1469" s="50"/>
      <c r="AL1469" s="6"/>
      <c r="AM1469" s="20">
        <f t="shared" si="277"/>
        <v>0</v>
      </c>
      <c r="AN1469" s="20">
        <f t="shared" si="278"/>
        <v>651022.5</v>
      </c>
      <c r="AP1469" s="20">
        <f t="shared" si="272"/>
        <v>651022.5</v>
      </c>
      <c r="AQ1469" s="7"/>
      <c r="AR1469" s="20"/>
      <c r="AS1469" s="51"/>
    </row>
    <row r="1470" spans="1:45" ht="30" customHeight="1" x14ac:dyDescent="0.2">
      <c r="A1470" s="8"/>
      <c r="C1470" s="16"/>
      <c r="Q1470" s="20"/>
      <c r="AC1470" s="21"/>
      <c r="AD1470" s="21"/>
      <c r="AG1470" s="22"/>
      <c r="AJ1470" s="20"/>
      <c r="AM1470" s="20"/>
      <c r="AN1470" s="20"/>
      <c r="AP1470" s="20"/>
      <c r="AR1470" s="20"/>
    </row>
    <row r="1471" spans="1:45" ht="30" customHeight="1" x14ac:dyDescent="0.2">
      <c r="A1471" s="8"/>
      <c r="C1471" s="16"/>
      <c r="Q1471" s="20"/>
      <c r="S1471" s="20"/>
      <c r="AC1471" s="21"/>
      <c r="AD1471" s="21"/>
      <c r="AG1471" s="22"/>
      <c r="AJ1471" s="20"/>
      <c r="AM1471" s="20"/>
      <c r="AN1471" s="20"/>
      <c r="AP1471" s="20"/>
      <c r="AR1471" s="20"/>
    </row>
    <row r="1472" spans="1:45" s="21" customFormat="1" ht="30" customHeight="1" x14ac:dyDescent="0.2">
      <c r="A1472" s="8">
        <v>1251</v>
      </c>
      <c r="B1472" s="46">
        <v>1</v>
      </c>
      <c r="C1472" s="16" t="s">
        <v>52</v>
      </c>
      <c r="D1472" s="48">
        <v>1261</v>
      </c>
      <c r="E1472" s="47">
        <v>4</v>
      </c>
      <c r="F1472" s="48">
        <v>726</v>
      </c>
      <c r="G1472" s="49">
        <v>6</v>
      </c>
      <c r="H1472" s="48">
        <v>0</v>
      </c>
      <c r="I1472" s="48">
        <v>2</v>
      </c>
      <c r="J1472" s="48">
        <v>92.09</v>
      </c>
      <c r="K1472" s="3"/>
      <c r="L1472" s="16">
        <v>292.08999999999997</v>
      </c>
      <c r="M1472" s="57"/>
      <c r="N1472" s="58"/>
      <c r="P1472" s="16">
        <v>2</v>
      </c>
      <c r="Q1472" s="20">
        <f t="shared" si="274"/>
        <v>292.09000000000003</v>
      </c>
      <c r="R1472" s="14">
        <v>750</v>
      </c>
      <c r="S1472" s="19">
        <f t="shared" si="276"/>
        <v>219067.50000000003</v>
      </c>
      <c r="T1472" s="16">
        <v>1</v>
      </c>
      <c r="U1472" s="17" t="s">
        <v>57</v>
      </c>
      <c r="V1472" s="16" t="s">
        <v>56</v>
      </c>
      <c r="W1472" s="5"/>
      <c r="X1472" s="16"/>
      <c r="Y1472" s="5">
        <v>112</v>
      </c>
      <c r="Z1472" s="16"/>
      <c r="AA1472" s="16"/>
      <c r="AB1472" s="16">
        <v>13</v>
      </c>
      <c r="AE1472" s="16"/>
      <c r="AG1472" s="22">
        <f t="shared" si="273"/>
        <v>112</v>
      </c>
      <c r="AH1472" s="6"/>
      <c r="AJ1472" s="20">
        <f t="shared" si="275"/>
        <v>0</v>
      </c>
      <c r="AK1472" s="50">
        <v>13</v>
      </c>
      <c r="AL1472" s="6"/>
      <c r="AM1472" s="20">
        <f t="shared" si="277"/>
        <v>0</v>
      </c>
      <c r="AN1472" s="20">
        <f t="shared" si="278"/>
        <v>219067.50000000003</v>
      </c>
      <c r="AP1472" s="20">
        <f t="shared" ref="AP1472:AP1531" si="279">AN1472</f>
        <v>219067.50000000003</v>
      </c>
      <c r="AQ1472" s="7"/>
      <c r="AR1472" s="20"/>
      <c r="AS1472" s="51"/>
    </row>
    <row r="1473" spans="1:45" s="21" customFormat="1" ht="30" customHeight="1" x14ac:dyDescent="0.2">
      <c r="A1473" s="8"/>
      <c r="B1473" s="46"/>
      <c r="C1473" s="16"/>
      <c r="D1473" s="48"/>
      <c r="E1473" s="47"/>
      <c r="F1473" s="48"/>
      <c r="G1473" s="49"/>
      <c r="H1473" s="48"/>
      <c r="I1473" s="48"/>
      <c r="J1473" s="48"/>
      <c r="K1473" s="3"/>
      <c r="L1473" s="16"/>
      <c r="M1473" s="57"/>
      <c r="N1473" s="58"/>
      <c r="P1473" s="16"/>
      <c r="Q1473" s="20">
        <f t="shared" si="274"/>
        <v>0</v>
      </c>
      <c r="R1473" s="14" t="e">
        <v>#N/A</v>
      </c>
      <c r="S1473" s="19" t="e">
        <f t="shared" si="276"/>
        <v>#N/A</v>
      </c>
      <c r="T1473" s="16">
        <v>2</v>
      </c>
      <c r="U1473" s="17"/>
      <c r="V1473" s="16"/>
      <c r="W1473" s="5"/>
      <c r="X1473" s="16"/>
      <c r="Y1473" s="5">
        <v>99</v>
      </c>
      <c r="Z1473" s="16"/>
      <c r="AA1473" s="16"/>
      <c r="AB1473" s="16">
        <v>21</v>
      </c>
      <c r="AE1473" s="16"/>
      <c r="AG1473" s="22">
        <f t="shared" si="273"/>
        <v>99</v>
      </c>
      <c r="AH1473" s="6"/>
      <c r="AJ1473" s="20">
        <f t="shared" si="275"/>
        <v>0</v>
      </c>
      <c r="AK1473" s="50">
        <v>21</v>
      </c>
      <c r="AL1473" s="6"/>
      <c r="AM1473" s="20">
        <f t="shared" si="277"/>
        <v>0</v>
      </c>
      <c r="AN1473" s="20" t="e">
        <f t="shared" si="278"/>
        <v>#N/A</v>
      </c>
      <c r="AP1473" s="20" t="e">
        <f t="shared" si="279"/>
        <v>#N/A</v>
      </c>
      <c r="AQ1473" s="7"/>
      <c r="AR1473" s="20"/>
      <c r="AS1473" s="51"/>
    </row>
    <row r="1474" spans="1:45" s="21" customFormat="1" ht="30" customHeight="1" x14ac:dyDescent="0.2">
      <c r="A1474" s="8">
        <v>1252</v>
      </c>
      <c r="B1474" s="46">
        <v>1</v>
      </c>
      <c r="C1474" s="16" t="s">
        <v>52</v>
      </c>
      <c r="D1474" s="48">
        <v>5835</v>
      </c>
      <c r="E1474" s="47">
        <v>3</v>
      </c>
      <c r="F1474" s="48">
        <v>3032</v>
      </c>
      <c r="G1474" s="49">
        <v>5</v>
      </c>
      <c r="H1474" s="48">
        <v>0</v>
      </c>
      <c r="I1474" s="48">
        <v>3</v>
      </c>
      <c r="J1474" s="48">
        <v>70</v>
      </c>
      <c r="K1474" s="3">
        <v>370</v>
      </c>
      <c r="L1474" s="16"/>
      <c r="M1474" s="57"/>
      <c r="N1474" s="58"/>
      <c r="P1474" s="16">
        <v>1</v>
      </c>
      <c r="Q1474" s="20">
        <f t="shared" si="274"/>
        <v>370</v>
      </c>
      <c r="R1474" s="14">
        <v>160</v>
      </c>
      <c r="S1474" s="20">
        <f t="shared" si="276"/>
        <v>59200</v>
      </c>
      <c r="T1474" s="16"/>
      <c r="U1474" s="17"/>
      <c r="V1474" s="17"/>
      <c r="W1474" s="4"/>
      <c r="X1474" s="16"/>
      <c r="Y1474" s="5"/>
      <c r="Z1474" s="16"/>
      <c r="AA1474" s="16"/>
      <c r="AB1474" s="16"/>
      <c r="AE1474" s="16"/>
      <c r="AG1474" s="22">
        <f t="shared" si="273"/>
        <v>0</v>
      </c>
      <c r="AH1474" s="6"/>
      <c r="AJ1474" s="20">
        <f t="shared" si="275"/>
        <v>0</v>
      </c>
      <c r="AK1474" s="50"/>
      <c r="AL1474" s="6"/>
      <c r="AM1474" s="20">
        <f t="shared" si="277"/>
        <v>0</v>
      </c>
      <c r="AN1474" s="20">
        <f t="shared" si="278"/>
        <v>59200</v>
      </c>
      <c r="AP1474" s="20">
        <f t="shared" si="279"/>
        <v>59200</v>
      </c>
      <c r="AQ1474" s="7"/>
      <c r="AR1474" s="20"/>
      <c r="AS1474" s="51"/>
    </row>
    <row r="1475" spans="1:45" ht="30" customHeight="1" x14ac:dyDescent="0.2">
      <c r="C1475" s="16"/>
      <c r="Q1475" s="20"/>
      <c r="AC1475" s="21"/>
      <c r="AD1475" s="21"/>
      <c r="AG1475" s="22"/>
      <c r="AJ1475" s="20"/>
      <c r="AM1475" s="20"/>
      <c r="AN1475" s="20"/>
      <c r="AP1475" s="20"/>
      <c r="AR1475" s="20"/>
    </row>
    <row r="1476" spans="1:45" ht="30" customHeight="1" x14ac:dyDescent="0.2">
      <c r="A1476" s="8">
        <v>1253</v>
      </c>
      <c r="B1476" s="13">
        <v>1</v>
      </c>
      <c r="C1476" s="16" t="s">
        <v>65</v>
      </c>
      <c r="D1476" s="17">
        <v>1118</v>
      </c>
      <c r="E1476" s="17">
        <v>27</v>
      </c>
      <c r="H1476" s="17">
        <v>10</v>
      </c>
      <c r="I1476" s="17">
        <v>2</v>
      </c>
      <c r="J1476" s="17">
        <v>70</v>
      </c>
      <c r="K1476" s="10">
        <v>4270</v>
      </c>
      <c r="P1476" s="17">
        <v>1</v>
      </c>
      <c r="Q1476" s="20">
        <f t="shared" si="274"/>
        <v>4270</v>
      </c>
      <c r="R1476" s="14">
        <v>160</v>
      </c>
      <c r="S1476" s="19">
        <f t="shared" si="276"/>
        <v>683200</v>
      </c>
      <c r="AC1476" s="21"/>
      <c r="AD1476" s="21"/>
      <c r="AG1476" s="22">
        <f t="shared" ref="AG1476:AG1531" si="280">Y1476</f>
        <v>0</v>
      </c>
      <c r="AJ1476" s="20">
        <f t="shared" si="275"/>
        <v>0</v>
      </c>
      <c r="AM1476" s="20">
        <f t="shared" si="277"/>
        <v>0</v>
      </c>
      <c r="AN1476" s="20">
        <f t="shared" si="278"/>
        <v>683200</v>
      </c>
      <c r="AP1476" s="20">
        <f t="shared" si="279"/>
        <v>683200</v>
      </c>
      <c r="AQ1476" s="12">
        <v>1E-4</v>
      </c>
      <c r="AR1476" s="20"/>
    </row>
    <row r="1477" spans="1:45" ht="30" customHeight="1" x14ac:dyDescent="0.2">
      <c r="A1477" s="2">
        <v>1254</v>
      </c>
      <c r="B1477" s="13">
        <v>2</v>
      </c>
      <c r="C1477" s="16" t="s">
        <v>65</v>
      </c>
      <c r="D1477" s="17">
        <v>1119</v>
      </c>
      <c r="E1477" s="17">
        <v>28</v>
      </c>
      <c r="H1477" s="17">
        <v>9</v>
      </c>
      <c r="I1477" s="17">
        <v>1</v>
      </c>
      <c r="J1477" s="17">
        <v>0</v>
      </c>
      <c r="K1477" s="10">
        <f>9*400+100</f>
        <v>3700</v>
      </c>
      <c r="P1477" s="17">
        <v>1</v>
      </c>
      <c r="Q1477" s="20">
        <f t="shared" si="274"/>
        <v>3700</v>
      </c>
      <c r="R1477" s="14">
        <v>160</v>
      </c>
      <c r="S1477" s="20">
        <f t="shared" si="276"/>
        <v>592000</v>
      </c>
      <c r="AC1477" s="21"/>
      <c r="AD1477" s="21"/>
      <c r="AG1477" s="22">
        <f t="shared" si="280"/>
        <v>0</v>
      </c>
      <c r="AJ1477" s="20">
        <f t="shared" si="275"/>
        <v>0</v>
      </c>
      <c r="AM1477" s="20">
        <f t="shared" si="277"/>
        <v>0</v>
      </c>
      <c r="AN1477" s="20">
        <f t="shared" si="278"/>
        <v>592000</v>
      </c>
      <c r="AP1477" s="20">
        <f t="shared" si="279"/>
        <v>592000</v>
      </c>
      <c r="AQ1477" s="12">
        <v>1E-4</v>
      </c>
      <c r="AR1477" s="20"/>
    </row>
    <row r="1478" spans="1:45" ht="30" customHeight="1" x14ac:dyDescent="0.2">
      <c r="A1478" s="8">
        <v>1255</v>
      </c>
      <c r="B1478" s="13">
        <v>3</v>
      </c>
      <c r="C1478" s="16" t="s">
        <v>65</v>
      </c>
      <c r="D1478" s="17">
        <v>1576</v>
      </c>
      <c r="E1478" s="17">
        <v>144</v>
      </c>
      <c r="H1478" s="17">
        <v>3</v>
      </c>
      <c r="I1478" s="17">
        <v>2</v>
      </c>
      <c r="J1478" s="17">
        <v>20</v>
      </c>
      <c r="K1478" s="10">
        <v>1420</v>
      </c>
      <c r="P1478" s="17">
        <v>1</v>
      </c>
      <c r="Q1478" s="20">
        <f t="shared" si="274"/>
        <v>1420</v>
      </c>
      <c r="R1478" s="14">
        <v>1500</v>
      </c>
      <c r="S1478" s="19">
        <f t="shared" si="276"/>
        <v>2130000</v>
      </c>
      <c r="AG1478" s="22">
        <f t="shared" si="280"/>
        <v>0</v>
      </c>
      <c r="AJ1478" s="20">
        <f t="shared" si="275"/>
        <v>0</v>
      </c>
      <c r="AM1478" s="20">
        <f t="shared" si="277"/>
        <v>0</v>
      </c>
      <c r="AN1478" s="20">
        <f t="shared" si="278"/>
        <v>2130000</v>
      </c>
      <c r="AP1478" s="20">
        <f t="shared" si="279"/>
        <v>2130000</v>
      </c>
      <c r="AQ1478" s="12">
        <v>1E-4</v>
      </c>
      <c r="AR1478" s="20"/>
    </row>
    <row r="1479" spans="1:45" ht="30" customHeight="1" x14ac:dyDescent="0.2">
      <c r="A1479" s="2">
        <v>1256</v>
      </c>
      <c r="B1479" s="13">
        <v>4</v>
      </c>
      <c r="C1479" s="16" t="s">
        <v>65</v>
      </c>
      <c r="D1479" s="17">
        <v>1779</v>
      </c>
      <c r="E1479" s="17">
        <v>114</v>
      </c>
      <c r="H1479" s="17">
        <v>22</v>
      </c>
      <c r="I1479" s="17">
        <v>1</v>
      </c>
      <c r="J1479" s="17">
        <v>88</v>
      </c>
      <c r="K1479" s="10">
        <f>+(22*400+188)-L1479</f>
        <v>8953.5</v>
      </c>
      <c r="L1479" s="17">
        <f>138/4</f>
        <v>34.5</v>
      </c>
      <c r="P1479" s="17">
        <v>1</v>
      </c>
      <c r="Q1479" s="20">
        <f t="shared" si="274"/>
        <v>8988</v>
      </c>
      <c r="R1479" s="14">
        <v>500</v>
      </c>
      <c r="S1479" s="19">
        <f t="shared" si="276"/>
        <v>4494000</v>
      </c>
      <c r="U1479" s="17" t="s">
        <v>57</v>
      </c>
      <c r="V1479" s="17" t="s">
        <v>56</v>
      </c>
      <c r="Y1479" s="4">
        <v>138</v>
      </c>
      <c r="AB1479" s="17">
        <f>62-51</f>
        <v>11</v>
      </c>
      <c r="AC1479" s="21"/>
      <c r="AD1479" s="21"/>
      <c r="AG1479" s="22">
        <f t="shared" si="280"/>
        <v>138</v>
      </c>
      <c r="AJ1479" s="20">
        <f t="shared" si="275"/>
        <v>0</v>
      </c>
      <c r="AK1479" s="23">
        <v>11</v>
      </c>
      <c r="AM1479" s="20">
        <f t="shared" si="277"/>
        <v>0</v>
      </c>
      <c r="AN1479" s="20">
        <f t="shared" si="278"/>
        <v>4494000</v>
      </c>
      <c r="AP1479" s="20">
        <f t="shared" si="279"/>
        <v>4494000</v>
      </c>
      <c r="AQ1479" s="12">
        <v>1E-4</v>
      </c>
      <c r="AR1479" s="20"/>
    </row>
    <row r="1480" spans="1:45" ht="30" customHeight="1" x14ac:dyDescent="0.2">
      <c r="A1480" s="8">
        <v>1257</v>
      </c>
      <c r="B1480" s="13">
        <v>5</v>
      </c>
      <c r="C1480" s="16" t="s">
        <v>65</v>
      </c>
      <c r="D1480" s="17">
        <v>1791</v>
      </c>
      <c r="E1480" s="17">
        <v>150</v>
      </c>
      <c r="H1480" s="17">
        <v>8</v>
      </c>
      <c r="I1480" s="17">
        <v>1</v>
      </c>
      <c r="J1480" s="17">
        <v>36</v>
      </c>
      <c r="K1480" s="10">
        <f>8*400+136</f>
        <v>3336</v>
      </c>
      <c r="P1480" s="17">
        <v>1</v>
      </c>
      <c r="Q1480" s="20">
        <f t="shared" si="274"/>
        <v>3336</v>
      </c>
      <c r="R1480" s="14">
        <v>160</v>
      </c>
      <c r="S1480" s="20">
        <f t="shared" si="276"/>
        <v>533760</v>
      </c>
      <c r="AC1480" s="21"/>
      <c r="AD1480" s="21"/>
      <c r="AG1480" s="22">
        <f t="shared" si="280"/>
        <v>0</v>
      </c>
      <c r="AJ1480" s="20">
        <f t="shared" si="275"/>
        <v>0</v>
      </c>
      <c r="AM1480" s="20">
        <f t="shared" si="277"/>
        <v>0</v>
      </c>
      <c r="AN1480" s="20">
        <f t="shared" si="278"/>
        <v>533760</v>
      </c>
      <c r="AP1480" s="20">
        <f t="shared" si="279"/>
        <v>533760</v>
      </c>
      <c r="AQ1480" s="12">
        <v>1E-4</v>
      </c>
      <c r="AR1480" s="20"/>
    </row>
    <row r="1481" spans="1:45" ht="30" customHeight="1" x14ac:dyDescent="0.2">
      <c r="A1481" s="2">
        <v>1258</v>
      </c>
      <c r="B1481" s="13">
        <v>6</v>
      </c>
      <c r="C1481" s="16" t="s">
        <v>65</v>
      </c>
      <c r="D1481" s="17">
        <v>1936</v>
      </c>
      <c r="E1481" s="17">
        <v>117</v>
      </c>
      <c r="H1481" s="17">
        <v>4</v>
      </c>
      <c r="I1481" s="17">
        <v>3</v>
      </c>
      <c r="J1481" s="17">
        <v>86</v>
      </c>
      <c r="K1481" s="10">
        <v>1986</v>
      </c>
      <c r="P1481" s="17">
        <v>1</v>
      </c>
      <c r="Q1481" s="20">
        <f t="shared" si="274"/>
        <v>1986</v>
      </c>
      <c r="R1481" s="14">
        <v>160</v>
      </c>
      <c r="S1481" s="19">
        <f t="shared" si="276"/>
        <v>317760</v>
      </c>
      <c r="AC1481" s="21"/>
      <c r="AD1481" s="21"/>
      <c r="AG1481" s="22">
        <f t="shared" si="280"/>
        <v>0</v>
      </c>
      <c r="AJ1481" s="20">
        <f t="shared" si="275"/>
        <v>0</v>
      </c>
      <c r="AM1481" s="20">
        <f t="shared" si="277"/>
        <v>0</v>
      </c>
      <c r="AN1481" s="20">
        <f t="shared" si="278"/>
        <v>317760</v>
      </c>
      <c r="AP1481" s="20">
        <f t="shared" si="279"/>
        <v>317760</v>
      </c>
      <c r="AQ1481" s="12">
        <v>1E-4</v>
      </c>
      <c r="AR1481" s="20"/>
    </row>
    <row r="1482" spans="1:45" s="21" customFormat="1" ht="30" customHeight="1" x14ac:dyDescent="0.2">
      <c r="A1482" s="8">
        <v>1259</v>
      </c>
      <c r="B1482" s="46">
        <v>1</v>
      </c>
      <c r="C1482" s="16" t="s">
        <v>52</v>
      </c>
      <c r="D1482" s="48">
        <v>3738</v>
      </c>
      <c r="E1482" s="47">
        <v>104</v>
      </c>
      <c r="F1482" s="48">
        <v>2258</v>
      </c>
      <c r="G1482" s="49">
        <v>2</v>
      </c>
      <c r="H1482" s="48">
        <v>3</v>
      </c>
      <c r="I1482" s="48">
        <v>2</v>
      </c>
      <c r="J1482" s="48">
        <v>83</v>
      </c>
      <c r="K1482" s="3">
        <f>1200+283</f>
        <v>1483</v>
      </c>
      <c r="L1482" s="16"/>
      <c r="M1482" s="57"/>
      <c r="N1482" s="58"/>
      <c r="P1482" s="16">
        <v>1</v>
      </c>
      <c r="Q1482" s="20">
        <f t="shared" si="274"/>
        <v>1483</v>
      </c>
      <c r="R1482" s="14">
        <v>200</v>
      </c>
      <c r="S1482" s="19">
        <f t="shared" si="276"/>
        <v>296600</v>
      </c>
      <c r="T1482" s="16"/>
      <c r="U1482" s="17"/>
      <c r="V1482" s="17"/>
      <c r="W1482" s="4"/>
      <c r="X1482" s="16"/>
      <c r="Y1482" s="5"/>
      <c r="Z1482" s="16"/>
      <c r="AA1482" s="16"/>
      <c r="AB1482" s="16"/>
      <c r="AE1482" s="16"/>
      <c r="AG1482" s="22">
        <f t="shared" si="280"/>
        <v>0</v>
      </c>
      <c r="AH1482" s="6"/>
      <c r="AJ1482" s="20">
        <f t="shared" si="275"/>
        <v>0</v>
      </c>
      <c r="AK1482" s="50"/>
      <c r="AL1482" s="6"/>
      <c r="AM1482" s="20">
        <f t="shared" si="277"/>
        <v>0</v>
      </c>
      <c r="AN1482" s="20">
        <f t="shared" si="278"/>
        <v>296600</v>
      </c>
      <c r="AP1482" s="20">
        <f t="shared" si="279"/>
        <v>296600</v>
      </c>
      <c r="AQ1482" s="7"/>
      <c r="AR1482" s="20"/>
      <c r="AS1482" s="51"/>
    </row>
    <row r="1483" spans="1:45" s="21" customFormat="1" ht="30" customHeight="1" x14ac:dyDescent="0.2">
      <c r="A1483" s="131">
        <v>1260</v>
      </c>
      <c r="B1483" s="46">
        <v>1</v>
      </c>
      <c r="C1483" s="16" t="s">
        <v>52</v>
      </c>
      <c r="D1483" s="48">
        <v>859</v>
      </c>
      <c r="E1483" s="47">
        <v>86</v>
      </c>
      <c r="F1483" s="48">
        <v>149</v>
      </c>
      <c r="G1483" s="49">
        <v>1</v>
      </c>
      <c r="H1483" s="48">
        <v>5</v>
      </c>
      <c r="I1483" s="48">
        <v>0</v>
      </c>
      <c r="J1483" s="48">
        <v>62</v>
      </c>
      <c r="K1483" s="3">
        <f>2062-L1483</f>
        <v>1959.5</v>
      </c>
      <c r="L1483" s="16">
        <v>102.5</v>
      </c>
      <c r="M1483" s="57"/>
      <c r="N1483" s="58"/>
      <c r="P1483" s="16">
        <v>5</v>
      </c>
      <c r="Q1483" s="20">
        <f t="shared" si="274"/>
        <v>2062</v>
      </c>
      <c r="R1483" s="14">
        <v>200</v>
      </c>
      <c r="S1483" s="19">
        <f t="shared" si="276"/>
        <v>412400</v>
      </c>
      <c r="T1483" s="16"/>
      <c r="U1483" s="17" t="s">
        <v>57</v>
      </c>
      <c r="V1483" s="17" t="s">
        <v>56</v>
      </c>
      <c r="W1483" s="4"/>
      <c r="X1483" s="16"/>
      <c r="Y1483" s="5">
        <v>220</v>
      </c>
      <c r="Z1483" s="16"/>
      <c r="AA1483" s="16"/>
      <c r="AB1483" s="16">
        <v>9</v>
      </c>
      <c r="AE1483" s="21" t="s">
        <v>163</v>
      </c>
      <c r="AG1483" s="22">
        <f t="shared" si="280"/>
        <v>220</v>
      </c>
      <c r="AH1483" s="6"/>
      <c r="AJ1483" s="20">
        <f t="shared" si="275"/>
        <v>0</v>
      </c>
      <c r="AK1483" s="50">
        <v>9</v>
      </c>
      <c r="AL1483" s="6"/>
      <c r="AM1483" s="20">
        <f t="shared" si="277"/>
        <v>0</v>
      </c>
      <c r="AN1483" s="20">
        <f t="shared" si="278"/>
        <v>412400</v>
      </c>
      <c r="AP1483" s="20">
        <f t="shared" si="279"/>
        <v>412400</v>
      </c>
      <c r="AQ1483" s="7"/>
      <c r="AR1483" s="20"/>
      <c r="AS1483" s="51"/>
    </row>
    <row r="1484" spans="1:45" s="21" customFormat="1" ht="30" customHeight="1" x14ac:dyDescent="0.2">
      <c r="A1484" s="131"/>
      <c r="B1484" s="46"/>
      <c r="C1484" s="16"/>
      <c r="D1484" s="48"/>
      <c r="E1484" s="47"/>
      <c r="F1484" s="48"/>
      <c r="G1484" s="49"/>
      <c r="H1484" s="48"/>
      <c r="I1484" s="48"/>
      <c r="J1484" s="48"/>
      <c r="K1484" s="3"/>
      <c r="L1484" s="16"/>
      <c r="M1484" s="57"/>
      <c r="N1484" s="58"/>
      <c r="P1484" s="16"/>
      <c r="Q1484" s="20">
        <f t="shared" si="274"/>
        <v>0</v>
      </c>
      <c r="R1484" s="14" t="e">
        <v>#N/A</v>
      </c>
      <c r="S1484" s="19" t="e">
        <f t="shared" si="276"/>
        <v>#N/A</v>
      </c>
      <c r="T1484" s="16"/>
      <c r="U1484" s="17" t="s">
        <v>57</v>
      </c>
      <c r="V1484" s="17" t="s">
        <v>56</v>
      </c>
      <c r="W1484" s="4"/>
      <c r="X1484" s="16"/>
      <c r="Y1484" s="5">
        <v>190</v>
      </c>
      <c r="Z1484" s="16"/>
      <c r="AA1484" s="16"/>
      <c r="AB1484" s="16">
        <v>12</v>
      </c>
      <c r="AE1484" s="16"/>
      <c r="AG1484" s="22">
        <f t="shared" si="280"/>
        <v>190</v>
      </c>
      <c r="AH1484" s="6"/>
      <c r="AJ1484" s="20">
        <f t="shared" si="275"/>
        <v>0</v>
      </c>
      <c r="AK1484" s="50">
        <v>12</v>
      </c>
      <c r="AL1484" s="6"/>
      <c r="AM1484" s="20">
        <f t="shared" si="277"/>
        <v>0</v>
      </c>
      <c r="AN1484" s="20" t="e">
        <f t="shared" si="278"/>
        <v>#N/A</v>
      </c>
      <c r="AP1484" s="20" t="e">
        <f t="shared" si="279"/>
        <v>#N/A</v>
      </c>
      <c r="AQ1484" s="7"/>
      <c r="AR1484" s="20"/>
      <c r="AS1484" s="51"/>
    </row>
    <row r="1485" spans="1:45" s="21" customFormat="1" ht="30" customHeight="1" x14ac:dyDescent="0.2">
      <c r="A1485" s="8">
        <v>1261</v>
      </c>
      <c r="B1485" s="46">
        <v>1</v>
      </c>
      <c r="C1485" s="16" t="s">
        <v>52</v>
      </c>
      <c r="D1485" s="48">
        <v>846</v>
      </c>
      <c r="E1485" s="47">
        <v>64</v>
      </c>
      <c r="F1485" s="48">
        <v>136</v>
      </c>
      <c r="G1485" s="49">
        <v>1</v>
      </c>
      <c r="H1485" s="48">
        <v>0</v>
      </c>
      <c r="I1485" s="48">
        <v>0</v>
      </c>
      <c r="J1485" s="48">
        <v>48</v>
      </c>
      <c r="K1485" s="3"/>
      <c r="L1485" s="16">
        <v>48</v>
      </c>
      <c r="M1485" s="57"/>
      <c r="N1485" s="58"/>
      <c r="P1485" s="16">
        <v>2</v>
      </c>
      <c r="Q1485" s="20">
        <f t="shared" si="274"/>
        <v>48</v>
      </c>
      <c r="R1485" s="14">
        <v>250</v>
      </c>
      <c r="S1485" s="20">
        <f t="shared" si="276"/>
        <v>12000</v>
      </c>
      <c r="T1485" s="16"/>
      <c r="U1485" s="17" t="s">
        <v>57</v>
      </c>
      <c r="V1485" s="17" t="s">
        <v>56</v>
      </c>
      <c r="W1485" s="4"/>
      <c r="X1485" s="16"/>
      <c r="Y1485" s="5">
        <v>100</v>
      </c>
      <c r="Z1485" s="16"/>
      <c r="AA1485" s="16"/>
      <c r="AB1485" s="16">
        <v>31</v>
      </c>
      <c r="AE1485" s="16"/>
      <c r="AG1485" s="22">
        <f t="shared" si="280"/>
        <v>100</v>
      </c>
      <c r="AH1485" s="6"/>
      <c r="AJ1485" s="20">
        <f t="shared" si="275"/>
        <v>0</v>
      </c>
      <c r="AK1485" s="50">
        <v>31</v>
      </c>
      <c r="AL1485" s="6"/>
      <c r="AM1485" s="20">
        <f t="shared" si="277"/>
        <v>0</v>
      </c>
      <c r="AN1485" s="20">
        <f t="shared" si="278"/>
        <v>12000</v>
      </c>
      <c r="AP1485" s="20">
        <f t="shared" si="279"/>
        <v>12000</v>
      </c>
      <c r="AQ1485" s="7"/>
      <c r="AR1485" s="60"/>
      <c r="AS1485" s="128">
        <v>30</v>
      </c>
    </row>
    <row r="1486" spans="1:45" s="21" customFormat="1" ht="30" customHeight="1" x14ac:dyDescent="0.2">
      <c r="A1486" s="8">
        <v>1262</v>
      </c>
      <c r="B1486" s="46">
        <v>2</v>
      </c>
      <c r="C1486" s="16" t="s">
        <v>52</v>
      </c>
      <c r="D1486" s="48">
        <v>35361</v>
      </c>
      <c r="E1486" s="47">
        <v>14</v>
      </c>
      <c r="F1486" s="48">
        <v>6751</v>
      </c>
      <c r="G1486" s="49">
        <v>1</v>
      </c>
      <c r="H1486" s="48">
        <v>5</v>
      </c>
      <c r="I1486" s="48">
        <v>2</v>
      </c>
      <c r="J1486" s="48">
        <v>10</v>
      </c>
      <c r="K1486" s="3">
        <f>5*400+210</f>
        <v>2210</v>
      </c>
      <c r="L1486" s="16"/>
      <c r="M1486" s="57"/>
      <c r="N1486" s="58"/>
      <c r="P1486" s="16">
        <v>1</v>
      </c>
      <c r="Q1486" s="20">
        <f t="shared" si="274"/>
        <v>2210</v>
      </c>
      <c r="R1486" s="14">
        <v>160</v>
      </c>
      <c r="S1486" s="19">
        <f t="shared" si="276"/>
        <v>353600</v>
      </c>
      <c r="T1486" s="16"/>
      <c r="U1486" s="16"/>
      <c r="V1486" s="16"/>
      <c r="W1486" s="5"/>
      <c r="X1486" s="16"/>
      <c r="Y1486" s="5"/>
      <c r="Z1486" s="16"/>
      <c r="AA1486" s="16"/>
      <c r="AB1486" s="16"/>
      <c r="AE1486" s="16"/>
      <c r="AG1486" s="22">
        <f t="shared" si="280"/>
        <v>0</v>
      </c>
      <c r="AH1486" s="6"/>
      <c r="AJ1486" s="20">
        <f t="shared" si="275"/>
        <v>0</v>
      </c>
      <c r="AK1486" s="50"/>
      <c r="AL1486" s="6"/>
      <c r="AM1486" s="20">
        <f t="shared" si="277"/>
        <v>0</v>
      </c>
      <c r="AN1486" s="20">
        <f t="shared" si="278"/>
        <v>353600</v>
      </c>
      <c r="AP1486" s="20">
        <f t="shared" si="279"/>
        <v>353600</v>
      </c>
      <c r="AQ1486" s="7"/>
      <c r="AR1486" s="25"/>
      <c r="AS1486" s="130"/>
    </row>
    <row r="1487" spans="1:45" s="21" customFormat="1" ht="30" customHeight="1" x14ac:dyDescent="0.2">
      <c r="A1487" s="8">
        <v>1263</v>
      </c>
      <c r="B1487" s="46">
        <v>1</v>
      </c>
      <c r="C1487" s="16" t="s">
        <v>52</v>
      </c>
      <c r="D1487" s="48">
        <v>34132</v>
      </c>
      <c r="E1487" s="47">
        <v>307</v>
      </c>
      <c r="F1487" s="48">
        <v>6777</v>
      </c>
      <c r="G1487" s="49">
        <v>1</v>
      </c>
      <c r="H1487" s="48">
        <v>0</v>
      </c>
      <c r="I1487" s="48">
        <v>1</v>
      </c>
      <c r="J1487" s="48">
        <v>38</v>
      </c>
      <c r="K1487" s="3">
        <v>138</v>
      </c>
      <c r="L1487" s="16"/>
      <c r="M1487" s="57"/>
      <c r="N1487" s="58"/>
      <c r="P1487" s="16">
        <v>1</v>
      </c>
      <c r="Q1487" s="20">
        <f t="shared" si="274"/>
        <v>138</v>
      </c>
      <c r="R1487" s="14">
        <v>200</v>
      </c>
      <c r="S1487" s="19">
        <f t="shared" si="276"/>
        <v>27600</v>
      </c>
      <c r="T1487" s="16"/>
      <c r="U1487" s="17"/>
      <c r="V1487" s="16"/>
      <c r="W1487" s="5"/>
      <c r="X1487" s="16"/>
      <c r="Y1487" s="5"/>
      <c r="Z1487" s="16"/>
      <c r="AA1487" s="16"/>
      <c r="AB1487" s="16"/>
      <c r="AE1487" s="16"/>
      <c r="AG1487" s="22">
        <f t="shared" si="280"/>
        <v>0</v>
      </c>
      <c r="AH1487" s="6"/>
      <c r="AJ1487" s="20">
        <f t="shared" si="275"/>
        <v>0</v>
      </c>
      <c r="AK1487" s="50"/>
      <c r="AL1487" s="6"/>
      <c r="AM1487" s="20">
        <f t="shared" si="277"/>
        <v>0</v>
      </c>
      <c r="AN1487" s="20">
        <f t="shared" si="278"/>
        <v>27600</v>
      </c>
      <c r="AP1487" s="20">
        <f t="shared" si="279"/>
        <v>27600</v>
      </c>
      <c r="AQ1487" s="7"/>
      <c r="AR1487" s="20"/>
      <c r="AS1487" s="51"/>
    </row>
    <row r="1488" spans="1:45" s="21" customFormat="1" ht="30" customHeight="1" x14ac:dyDescent="0.2">
      <c r="A1488" s="8">
        <v>1264</v>
      </c>
      <c r="B1488" s="46">
        <v>2</v>
      </c>
      <c r="C1488" s="16" t="s">
        <v>52</v>
      </c>
      <c r="D1488" s="48">
        <v>31030</v>
      </c>
      <c r="E1488" s="47">
        <v>145</v>
      </c>
      <c r="F1488" s="48">
        <v>5980</v>
      </c>
      <c r="G1488" s="49">
        <v>2</v>
      </c>
      <c r="H1488" s="48">
        <v>4</v>
      </c>
      <c r="I1488" s="48">
        <v>2</v>
      </c>
      <c r="J1488" s="48">
        <v>62.02</v>
      </c>
      <c r="K1488" s="3">
        <f>1600+262.02</f>
        <v>1862.02</v>
      </c>
      <c r="L1488" s="16"/>
      <c r="M1488" s="57"/>
      <c r="N1488" s="58"/>
      <c r="P1488" s="16">
        <v>1</v>
      </c>
      <c r="Q1488" s="20">
        <f t="shared" si="274"/>
        <v>1862.02</v>
      </c>
      <c r="R1488" s="14">
        <v>200</v>
      </c>
      <c r="S1488" s="20">
        <f t="shared" si="276"/>
        <v>372404</v>
      </c>
      <c r="T1488" s="16"/>
      <c r="U1488" s="17"/>
      <c r="V1488" s="17"/>
      <c r="W1488" s="4"/>
      <c r="X1488" s="16"/>
      <c r="Y1488" s="5"/>
      <c r="Z1488" s="16"/>
      <c r="AA1488" s="16"/>
      <c r="AB1488" s="16"/>
      <c r="AC1488" s="14"/>
      <c r="AD1488" s="14"/>
      <c r="AE1488" s="16"/>
      <c r="AG1488" s="22">
        <f t="shared" si="280"/>
        <v>0</v>
      </c>
      <c r="AH1488" s="6"/>
      <c r="AJ1488" s="20">
        <f t="shared" si="275"/>
        <v>0</v>
      </c>
      <c r="AK1488" s="50"/>
      <c r="AL1488" s="6"/>
      <c r="AM1488" s="20">
        <f t="shared" si="277"/>
        <v>0</v>
      </c>
      <c r="AN1488" s="20">
        <f t="shared" si="278"/>
        <v>372404</v>
      </c>
      <c r="AP1488" s="20">
        <f t="shared" si="279"/>
        <v>372404</v>
      </c>
      <c r="AQ1488" s="7"/>
      <c r="AR1488" s="20"/>
      <c r="AS1488" s="51"/>
    </row>
    <row r="1489" spans="1:45" ht="30" customHeight="1" x14ac:dyDescent="0.2">
      <c r="A1489" s="8"/>
      <c r="C1489" s="16"/>
      <c r="Q1489" s="20"/>
      <c r="AG1489" s="22"/>
      <c r="AJ1489" s="20"/>
      <c r="AM1489" s="20"/>
      <c r="AN1489" s="20"/>
      <c r="AP1489" s="20"/>
      <c r="AR1489" s="20"/>
    </row>
    <row r="1490" spans="1:45" s="21" customFormat="1" ht="30" customHeight="1" x14ac:dyDescent="0.2">
      <c r="A1490" s="8">
        <v>1265</v>
      </c>
      <c r="B1490" s="46">
        <v>1</v>
      </c>
      <c r="C1490" s="16" t="s">
        <v>52</v>
      </c>
      <c r="D1490" s="48">
        <v>31028</v>
      </c>
      <c r="E1490" s="47">
        <v>143</v>
      </c>
      <c r="F1490" s="48">
        <v>5978</v>
      </c>
      <c r="G1490" s="49">
        <v>2</v>
      </c>
      <c r="H1490" s="48">
        <v>4</v>
      </c>
      <c r="I1490" s="48">
        <v>3</v>
      </c>
      <c r="J1490" s="48">
        <v>25.02</v>
      </c>
      <c r="K1490" s="3">
        <f>1600+323.02</f>
        <v>1923.02</v>
      </c>
      <c r="L1490" s="16"/>
      <c r="M1490" s="57"/>
      <c r="N1490" s="58"/>
      <c r="P1490" s="16">
        <v>1</v>
      </c>
      <c r="Q1490" s="20">
        <f t="shared" si="274"/>
        <v>1925.02</v>
      </c>
      <c r="R1490" s="14">
        <v>200</v>
      </c>
      <c r="S1490" s="19">
        <f t="shared" si="276"/>
        <v>385004</v>
      </c>
      <c r="T1490" s="16"/>
      <c r="U1490" s="17"/>
      <c r="V1490" s="17"/>
      <c r="W1490" s="4"/>
      <c r="X1490" s="16"/>
      <c r="Y1490" s="5"/>
      <c r="Z1490" s="16"/>
      <c r="AA1490" s="16"/>
      <c r="AB1490" s="16"/>
      <c r="AE1490" s="16"/>
      <c r="AG1490" s="22">
        <f t="shared" si="280"/>
        <v>0</v>
      </c>
      <c r="AH1490" s="6"/>
      <c r="AJ1490" s="20">
        <f t="shared" si="275"/>
        <v>0</v>
      </c>
      <c r="AK1490" s="50"/>
      <c r="AL1490" s="6"/>
      <c r="AM1490" s="20">
        <f t="shared" si="277"/>
        <v>0</v>
      </c>
      <c r="AN1490" s="20">
        <f t="shared" si="278"/>
        <v>385004</v>
      </c>
      <c r="AP1490" s="20">
        <f t="shared" si="279"/>
        <v>385004</v>
      </c>
      <c r="AQ1490" s="7"/>
      <c r="AR1490" s="20"/>
      <c r="AS1490" s="51"/>
    </row>
    <row r="1491" spans="1:45" s="21" customFormat="1" ht="30" customHeight="1" x14ac:dyDescent="0.2">
      <c r="A1491" s="8">
        <v>1266</v>
      </c>
      <c r="B1491" s="46">
        <v>2</v>
      </c>
      <c r="C1491" s="16" t="s">
        <v>52</v>
      </c>
      <c r="D1491" s="48">
        <v>31029</v>
      </c>
      <c r="E1491" s="47">
        <v>144</v>
      </c>
      <c r="F1491" s="48">
        <v>5979</v>
      </c>
      <c r="G1491" s="49">
        <v>2</v>
      </c>
      <c r="H1491" s="48">
        <v>1</v>
      </c>
      <c r="I1491" s="48">
        <v>2</v>
      </c>
      <c r="J1491" s="48">
        <v>95</v>
      </c>
      <c r="K1491" s="3">
        <v>695</v>
      </c>
      <c r="L1491" s="16"/>
      <c r="M1491" s="57"/>
      <c r="N1491" s="58"/>
      <c r="P1491" s="16">
        <v>1</v>
      </c>
      <c r="Q1491" s="20">
        <f t="shared" si="274"/>
        <v>695</v>
      </c>
      <c r="R1491" s="14">
        <v>200</v>
      </c>
      <c r="S1491" s="20">
        <f t="shared" si="276"/>
        <v>139000</v>
      </c>
      <c r="T1491" s="16"/>
      <c r="U1491" s="17"/>
      <c r="V1491" s="17"/>
      <c r="W1491" s="4"/>
      <c r="X1491" s="16"/>
      <c r="Y1491" s="5"/>
      <c r="Z1491" s="16"/>
      <c r="AA1491" s="16"/>
      <c r="AB1491" s="16"/>
      <c r="AC1491" s="14"/>
      <c r="AD1491" s="14"/>
      <c r="AE1491" s="16"/>
      <c r="AG1491" s="22">
        <f t="shared" si="280"/>
        <v>0</v>
      </c>
      <c r="AH1491" s="6"/>
      <c r="AJ1491" s="20">
        <f t="shared" si="275"/>
        <v>0</v>
      </c>
      <c r="AK1491" s="50"/>
      <c r="AL1491" s="6"/>
      <c r="AM1491" s="20">
        <f t="shared" si="277"/>
        <v>0</v>
      </c>
      <c r="AN1491" s="20">
        <f t="shared" si="278"/>
        <v>139000</v>
      </c>
      <c r="AP1491" s="20">
        <f t="shared" si="279"/>
        <v>139000</v>
      </c>
      <c r="AQ1491" s="7"/>
      <c r="AR1491" s="20"/>
      <c r="AS1491" s="51"/>
    </row>
    <row r="1492" spans="1:45" s="21" customFormat="1" ht="30" customHeight="1" x14ac:dyDescent="0.2">
      <c r="A1492" s="8">
        <v>1267</v>
      </c>
      <c r="B1492" s="46">
        <v>1</v>
      </c>
      <c r="C1492" s="16" t="s">
        <v>52</v>
      </c>
      <c r="D1492" s="48">
        <v>31027</v>
      </c>
      <c r="E1492" s="47">
        <v>142</v>
      </c>
      <c r="F1492" s="48">
        <v>5977</v>
      </c>
      <c r="G1492" s="49">
        <v>2</v>
      </c>
      <c r="H1492" s="48">
        <v>3</v>
      </c>
      <c r="I1492" s="48">
        <v>1</v>
      </c>
      <c r="J1492" s="48">
        <v>34.06</v>
      </c>
      <c r="K1492" s="3">
        <v>1334.06</v>
      </c>
      <c r="L1492" s="16"/>
      <c r="M1492" s="57"/>
      <c r="N1492" s="58"/>
      <c r="P1492" s="16">
        <v>1</v>
      </c>
      <c r="Q1492" s="20">
        <f t="shared" si="274"/>
        <v>1334.06</v>
      </c>
      <c r="R1492" s="14">
        <v>200</v>
      </c>
      <c r="S1492" s="19">
        <f t="shared" si="276"/>
        <v>266812</v>
      </c>
      <c r="T1492" s="16"/>
      <c r="U1492" s="17"/>
      <c r="V1492" s="17"/>
      <c r="W1492" s="4"/>
      <c r="X1492" s="16"/>
      <c r="Y1492" s="5"/>
      <c r="Z1492" s="16"/>
      <c r="AA1492" s="16"/>
      <c r="AB1492" s="16"/>
      <c r="AC1492" s="14"/>
      <c r="AD1492" s="14"/>
      <c r="AE1492" s="16"/>
      <c r="AG1492" s="22">
        <f t="shared" si="280"/>
        <v>0</v>
      </c>
      <c r="AH1492" s="6"/>
      <c r="AJ1492" s="20">
        <f t="shared" si="275"/>
        <v>0</v>
      </c>
      <c r="AK1492" s="50"/>
      <c r="AL1492" s="6"/>
      <c r="AM1492" s="20">
        <f t="shared" si="277"/>
        <v>0</v>
      </c>
      <c r="AN1492" s="20">
        <f t="shared" si="278"/>
        <v>266812</v>
      </c>
      <c r="AP1492" s="20">
        <f t="shared" si="279"/>
        <v>266812</v>
      </c>
      <c r="AQ1492" s="7"/>
      <c r="AR1492" s="20"/>
      <c r="AS1492" s="51"/>
    </row>
    <row r="1493" spans="1:45" ht="30" customHeight="1" x14ac:dyDescent="0.2">
      <c r="A1493" s="8">
        <v>1268</v>
      </c>
      <c r="B1493" s="13">
        <v>2</v>
      </c>
      <c r="C1493" s="16" t="s">
        <v>65</v>
      </c>
      <c r="D1493" s="17">
        <v>1031</v>
      </c>
      <c r="E1493" s="17">
        <v>201</v>
      </c>
      <c r="H1493" s="17">
        <v>3</v>
      </c>
      <c r="I1493" s="17">
        <v>1</v>
      </c>
      <c r="J1493" s="17">
        <v>70</v>
      </c>
      <c r="K1493" s="10">
        <v>1370</v>
      </c>
      <c r="Q1493" s="20">
        <f t="shared" si="274"/>
        <v>1370</v>
      </c>
      <c r="R1493" s="14">
        <v>3000</v>
      </c>
      <c r="S1493" s="19">
        <f t="shared" si="276"/>
        <v>4110000</v>
      </c>
      <c r="AE1493" s="17" t="s">
        <v>164</v>
      </c>
      <c r="AG1493" s="22">
        <f t="shared" si="280"/>
        <v>0</v>
      </c>
      <c r="AJ1493" s="20">
        <f t="shared" si="275"/>
        <v>0</v>
      </c>
      <c r="AM1493" s="20">
        <f t="shared" si="277"/>
        <v>0</v>
      </c>
      <c r="AN1493" s="20">
        <f t="shared" si="278"/>
        <v>4110000</v>
      </c>
      <c r="AP1493" s="20">
        <f t="shared" si="279"/>
        <v>4110000</v>
      </c>
      <c r="AQ1493" s="12">
        <v>1E-4</v>
      </c>
      <c r="AR1493" s="20"/>
    </row>
    <row r="1494" spans="1:45" s="21" customFormat="1" ht="30" customHeight="1" x14ac:dyDescent="0.2">
      <c r="A1494" s="8">
        <v>1269</v>
      </c>
      <c r="B1494" s="46">
        <v>1</v>
      </c>
      <c r="C1494" s="16" t="s">
        <v>52</v>
      </c>
      <c r="D1494" s="48">
        <v>858</v>
      </c>
      <c r="E1494" s="47">
        <v>83</v>
      </c>
      <c r="F1494" s="48">
        <v>148</v>
      </c>
      <c r="G1494" s="49">
        <v>1</v>
      </c>
      <c r="H1494" s="48">
        <v>0</v>
      </c>
      <c r="I1494" s="48">
        <v>3</v>
      </c>
      <c r="J1494" s="48">
        <v>96</v>
      </c>
      <c r="K1494" s="3"/>
      <c r="L1494" s="16">
        <v>1296</v>
      </c>
      <c r="M1494" s="57"/>
      <c r="N1494" s="58"/>
      <c r="P1494" s="16">
        <v>2</v>
      </c>
      <c r="Q1494" s="20">
        <f t="shared" si="274"/>
        <v>396</v>
      </c>
      <c r="R1494" s="14">
        <v>250</v>
      </c>
      <c r="S1494" s="20">
        <f t="shared" si="276"/>
        <v>99000</v>
      </c>
      <c r="T1494" s="16"/>
      <c r="U1494" s="17" t="s">
        <v>57</v>
      </c>
      <c r="V1494" s="17" t="s">
        <v>56</v>
      </c>
      <c r="W1494" s="4"/>
      <c r="X1494" s="16"/>
      <c r="Y1494" s="5">
        <v>189</v>
      </c>
      <c r="Z1494" s="16"/>
      <c r="AA1494" s="16"/>
      <c r="AB1494" s="16">
        <v>11</v>
      </c>
      <c r="AC1494" s="14"/>
      <c r="AD1494" s="14"/>
      <c r="AE1494" s="16"/>
      <c r="AG1494" s="22">
        <f t="shared" si="280"/>
        <v>189</v>
      </c>
      <c r="AH1494" s="6"/>
      <c r="AJ1494" s="20">
        <f t="shared" si="275"/>
        <v>0</v>
      </c>
      <c r="AK1494" s="50">
        <v>11</v>
      </c>
      <c r="AL1494" s="6"/>
      <c r="AM1494" s="20">
        <f t="shared" si="277"/>
        <v>0</v>
      </c>
      <c r="AN1494" s="20">
        <f t="shared" si="278"/>
        <v>99000</v>
      </c>
      <c r="AP1494" s="20">
        <f t="shared" si="279"/>
        <v>99000</v>
      </c>
      <c r="AQ1494" s="7"/>
      <c r="AR1494" s="60"/>
      <c r="AS1494" s="128">
        <v>26</v>
      </c>
    </row>
    <row r="1495" spans="1:45" s="21" customFormat="1" ht="30" customHeight="1" x14ac:dyDescent="0.2">
      <c r="A1495" s="8">
        <v>1270</v>
      </c>
      <c r="B1495" s="46">
        <v>2</v>
      </c>
      <c r="C1495" s="16" t="s">
        <v>52</v>
      </c>
      <c r="D1495" s="48">
        <v>35911</v>
      </c>
      <c r="E1495" s="47">
        <v>15</v>
      </c>
      <c r="F1495" s="48">
        <v>6752</v>
      </c>
      <c r="G1495" s="49">
        <v>1</v>
      </c>
      <c r="H1495" s="48">
        <v>4</v>
      </c>
      <c r="I1495" s="48">
        <v>2</v>
      </c>
      <c r="J1495" s="48">
        <v>55</v>
      </c>
      <c r="K1495" s="3">
        <v>1855</v>
      </c>
      <c r="L1495" s="16"/>
      <c r="M1495" s="57"/>
      <c r="N1495" s="58"/>
      <c r="P1495" s="16">
        <v>1</v>
      </c>
      <c r="Q1495" s="20">
        <f t="shared" ref="Q1495:Q1559" si="281">+(H1495*400)+(I1495*100)+J1495</f>
        <v>1855</v>
      </c>
      <c r="R1495" s="14">
        <v>200</v>
      </c>
      <c r="S1495" s="19">
        <f t="shared" si="276"/>
        <v>371000</v>
      </c>
      <c r="T1495" s="16"/>
      <c r="U1495" s="16"/>
      <c r="V1495" s="16"/>
      <c r="W1495" s="5"/>
      <c r="X1495" s="16"/>
      <c r="Y1495" s="5"/>
      <c r="Z1495" s="16"/>
      <c r="AA1495" s="16"/>
      <c r="AB1495" s="16"/>
      <c r="AC1495" s="14"/>
      <c r="AD1495" s="14"/>
      <c r="AE1495" s="16"/>
      <c r="AG1495" s="22">
        <f t="shared" si="280"/>
        <v>0</v>
      </c>
      <c r="AH1495" s="6"/>
      <c r="AJ1495" s="20">
        <f t="shared" si="275"/>
        <v>0</v>
      </c>
      <c r="AK1495" s="50"/>
      <c r="AL1495" s="6"/>
      <c r="AM1495" s="20">
        <f t="shared" si="277"/>
        <v>0</v>
      </c>
      <c r="AN1495" s="20">
        <f t="shared" si="278"/>
        <v>371000</v>
      </c>
      <c r="AP1495" s="20">
        <f t="shared" si="279"/>
        <v>371000</v>
      </c>
      <c r="AQ1495" s="7"/>
      <c r="AR1495" s="24"/>
      <c r="AS1495" s="129"/>
    </row>
    <row r="1496" spans="1:45" s="21" customFormat="1" ht="30" customHeight="1" x14ac:dyDescent="0.2">
      <c r="A1496" s="8">
        <v>1271</v>
      </c>
      <c r="B1496" s="46">
        <v>3</v>
      </c>
      <c r="C1496" s="16" t="s">
        <v>52</v>
      </c>
      <c r="D1496" s="48">
        <v>35912</v>
      </c>
      <c r="E1496" s="47">
        <v>16</v>
      </c>
      <c r="F1496" s="48">
        <v>6753</v>
      </c>
      <c r="G1496" s="49">
        <v>1</v>
      </c>
      <c r="H1496" s="48">
        <v>6</v>
      </c>
      <c r="I1496" s="48">
        <v>0</v>
      </c>
      <c r="J1496" s="48">
        <v>51</v>
      </c>
      <c r="K1496" s="3">
        <v>2451</v>
      </c>
      <c r="L1496" s="16"/>
      <c r="M1496" s="57"/>
      <c r="N1496" s="58"/>
      <c r="P1496" s="16">
        <v>1</v>
      </c>
      <c r="Q1496" s="20">
        <f t="shared" si="281"/>
        <v>2451</v>
      </c>
      <c r="R1496" s="14">
        <v>200</v>
      </c>
      <c r="S1496" s="19">
        <f t="shared" si="276"/>
        <v>490200</v>
      </c>
      <c r="T1496" s="16"/>
      <c r="U1496" s="17"/>
      <c r="V1496" s="16"/>
      <c r="W1496" s="5"/>
      <c r="X1496" s="16"/>
      <c r="Y1496" s="5"/>
      <c r="Z1496" s="16"/>
      <c r="AA1496" s="16"/>
      <c r="AB1496" s="16"/>
      <c r="AC1496" s="14"/>
      <c r="AD1496" s="14"/>
      <c r="AE1496" s="16"/>
      <c r="AG1496" s="22">
        <f t="shared" si="280"/>
        <v>0</v>
      </c>
      <c r="AH1496" s="6"/>
      <c r="AJ1496" s="20">
        <f t="shared" si="275"/>
        <v>0</v>
      </c>
      <c r="AK1496" s="50"/>
      <c r="AL1496" s="6"/>
      <c r="AM1496" s="20">
        <f t="shared" si="277"/>
        <v>0</v>
      </c>
      <c r="AN1496" s="20">
        <f t="shared" si="278"/>
        <v>490200</v>
      </c>
      <c r="AP1496" s="20">
        <f t="shared" si="279"/>
        <v>490200</v>
      </c>
      <c r="AQ1496" s="7"/>
      <c r="AR1496" s="25"/>
      <c r="AS1496" s="130"/>
    </row>
    <row r="1497" spans="1:45" s="21" customFormat="1" ht="30" customHeight="1" x14ac:dyDescent="0.2">
      <c r="A1497" s="8">
        <v>1272</v>
      </c>
      <c r="B1497" s="46">
        <v>1</v>
      </c>
      <c r="C1497" s="16" t="s">
        <v>52</v>
      </c>
      <c r="D1497" s="48">
        <v>854</v>
      </c>
      <c r="E1497" s="47">
        <v>80</v>
      </c>
      <c r="F1497" s="48">
        <v>144</v>
      </c>
      <c r="G1497" s="49">
        <v>1</v>
      </c>
      <c r="H1497" s="48">
        <v>0</v>
      </c>
      <c r="I1497" s="48">
        <v>1</v>
      </c>
      <c r="J1497" s="48">
        <v>8</v>
      </c>
      <c r="K1497" s="3"/>
      <c r="L1497" s="16">
        <v>108</v>
      </c>
      <c r="M1497" s="57"/>
      <c r="N1497" s="58"/>
      <c r="P1497" s="16">
        <v>2</v>
      </c>
      <c r="Q1497" s="20">
        <f t="shared" si="281"/>
        <v>108</v>
      </c>
      <c r="R1497" s="14">
        <v>250</v>
      </c>
      <c r="S1497" s="20">
        <f t="shared" si="276"/>
        <v>27000</v>
      </c>
      <c r="T1497" s="16"/>
      <c r="U1497" s="17" t="s">
        <v>57</v>
      </c>
      <c r="V1497" s="17" t="s">
        <v>56</v>
      </c>
      <c r="W1497" s="4"/>
      <c r="X1497" s="16"/>
      <c r="Y1497" s="5">
        <v>229.5</v>
      </c>
      <c r="Z1497" s="16"/>
      <c r="AA1497" s="16"/>
      <c r="AB1497" s="16">
        <v>25</v>
      </c>
      <c r="AE1497" s="16"/>
      <c r="AG1497" s="22">
        <f t="shared" si="280"/>
        <v>229.5</v>
      </c>
      <c r="AH1497" s="6"/>
      <c r="AJ1497" s="20">
        <f t="shared" si="275"/>
        <v>0</v>
      </c>
      <c r="AK1497" s="50">
        <v>25</v>
      </c>
      <c r="AL1497" s="6"/>
      <c r="AM1497" s="20">
        <f t="shared" si="277"/>
        <v>0</v>
      </c>
      <c r="AN1497" s="20">
        <f t="shared" si="278"/>
        <v>27000</v>
      </c>
      <c r="AP1497" s="20">
        <f t="shared" si="279"/>
        <v>27000</v>
      </c>
      <c r="AQ1497" s="7"/>
      <c r="AR1497" s="20"/>
      <c r="AS1497" s="51"/>
    </row>
    <row r="1498" spans="1:45" s="21" customFormat="1" ht="30" customHeight="1" x14ac:dyDescent="0.2">
      <c r="A1498" s="8">
        <v>1273</v>
      </c>
      <c r="B1498" s="46">
        <v>2</v>
      </c>
      <c r="C1498" s="16" t="s">
        <v>52</v>
      </c>
      <c r="D1498" s="48">
        <v>2610</v>
      </c>
      <c r="E1498" s="47">
        <v>4</v>
      </c>
      <c r="F1498" s="48">
        <v>1868</v>
      </c>
      <c r="G1498" s="49">
        <v>1</v>
      </c>
      <c r="H1498" s="48">
        <v>6</v>
      </c>
      <c r="I1498" s="48">
        <v>3</v>
      </c>
      <c r="J1498" s="48">
        <v>70</v>
      </c>
      <c r="K1498" s="3">
        <f>6*400+370</f>
        <v>2770</v>
      </c>
      <c r="L1498" s="16"/>
      <c r="M1498" s="57"/>
      <c r="N1498" s="58"/>
      <c r="P1498" s="16">
        <v>1</v>
      </c>
      <c r="Q1498" s="20">
        <f t="shared" si="281"/>
        <v>2770</v>
      </c>
      <c r="R1498" s="14">
        <v>160</v>
      </c>
      <c r="S1498" s="19">
        <f t="shared" si="276"/>
        <v>443200</v>
      </c>
      <c r="T1498" s="16"/>
      <c r="U1498" s="17"/>
      <c r="V1498" s="17"/>
      <c r="W1498" s="4"/>
      <c r="X1498" s="16"/>
      <c r="Y1498" s="5"/>
      <c r="Z1498" s="16"/>
      <c r="AA1498" s="16"/>
      <c r="AB1498" s="16"/>
      <c r="AE1498" s="16"/>
      <c r="AG1498" s="22">
        <f t="shared" si="280"/>
        <v>0</v>
      </c>
      <c r="AH1498" s="6"/>
      <c r="AJ1498" s="20">
        <f t="shared" si="275"/>
        <v>0</v>
      </c>
      <c r="AK1498" s="50"/>
      <c r="AL1498" s="6"/>
      <c r="AM1498" s="20">
        <f t="shared" si="277"/>
        <v>0</v>
      </c>
      <c r="AN1498" s="20">
        <f t="shared" si="278"/>
        <v>443200</v>
      </c>
      <c r="AP1498" s="20">
        <f t="shared" si="279"/>
        <v>443200</v>
      </c>
      <c r="AQ1498" s="7"/>
      <c r="AR1498" s="20"/>
      <c r="AS1498" s="51"/>
    </row>
    <row r="1499" spans="1:45" s="21" customFormat="1" ht="30" customHeight="1" x14ac:dyDescent="0.2">
      <c r="A1499" s="8">
        <v>1274</v>
      </c>
      <c r="B1499" s="46">
        <v>1</v>
      </c>
      <c r="C1499" s="16" t="s">
        <v>52</v>
      </c>
      <c r="D1499" s="48">
        <v>2611</v>
      </c>
      <c r="E1499" s="47">
        <v>3</v>
      </c>
      <c r="F1499" s="48">
        <v>1869</v>
      </c>
      <c r="G1499" s="49">
        <v>1</v>
      </c>
      <c r="H1499" s="48">
        <v>6</v>
      </c>
      <c r="I1499" s="48">
        <v>2</v>
      </c>
      <c r="J1499" s="48">
        <v>55</v>
      </c>
      <c r="K1499" s="3">
        <f>6*400+255</f>
        <v>2655</v>
      </c>
      <c r="L1499" s="16"/>
      <c r="M1499" s="57"/>
      <c r="N1499" s="58"/>
      <c r="P1499" s="16">
        <v>1</v>
      </c>
      <c r="Q1499" s="20">
        <f t="shared" si="281"/>
        <v>2655</v>
      </c>
      <c r="R1499" s="14">
        <v>160</v>
      </c>
      <c r="S1499" s="19">
        <f t="shared" si="276"/>
        <v>424800</v>
      </c>
      <c r="T1499" s="16"/>
      <c r="U1499" s="17"/>
      <c r="V1499" s="17"/>
      <c r="W1499" s="4"/>
      <c r="X1499" s="16"/>
      <c r="Y1499" s="5"/>
      <c r="Z1499" s="16"/>
      <c r="AA1499" s="16"/>
      <c r="AB1499" s="16"/>
      <c r="AE1499" s="16"/>
      <c r="AG1499" s="22">
        <f t="shared" si="280"/>
        <v>0</v>
      </c>
      <c r="AH1499" s="6"/>
      <c r="AJ1499" s="20">
        <f t="shared" si="275"/>
        <v>0</v>
      </c>
      <c r="AK1499" s="50"/>
      <c r="AL1499" s="6"/>
      <c r="AM1499" s="20">
        <f t="shared" si="277"/>
        <v>0</v>
      </c>
      <c r="AN1499" s="20">
        <f t="shared" si="278"/>
        <v>424800</v>
      </c>
      <c r="AP1499" s="20">
        <f t="shared" si="279"/>
        <v>424800</v>
      </c>
      <c r="AQ1499" s="7"/>
      <c r="AR1499" s="20"/>
      <c r="AS1499" s="51"/>
    </row>
    <row r="1500" spans="1:45" s="21" customFormat="1" ht="30" customHeight="1" x14ac:dyDescent="0.2">
      <c r="A1500" s="8">
        <v>1275</v>
      </c>
      <c r="B1500" s="46">
        <v>2</v>
      </c>
      <c r="C1500" s="16" t="s">
        <v>52</v>
      </c>
      <c r="D1500" s="48">
        <v>33321</v>
      </c>
      <c r="E1500" s="47">
        <v>106</v>
      </c>
      <c r="F1500" s="48">
        <v>6705</v>
      </c>
      <c r="G1500" s="49">
        <v>1</v>
      </c>
      <c r="H1500" s="48">
        <v>2</v>
      </c>
      <c r="I1500" s="48">
        <v>0</v>
      </c>
      <c r="J1500" s="48">
        <v>0</v>
      </c>
      <c r="K1500" s="3">
        <v>800</v>
      </c>
      <c r="L1500" s="16"/>
      <c r="M1500" s="57"/>
      <c r="N1500" s="58"/>
      <c r="P1500" s="16">
        <v>1</v>
      </c>
      <c r="Q1500" s="20">
        <f t="shared" si="281"/>
        <v>800</v>
      </c>
      <c r="R1500" s="14">
        <v>160</v>
      </c>
      <c r="S1500" s="20">
        <f t="shared" si="276"/>
        <v>128000</v>
      </c>
      <c r="T1500" s="16"/>
      <c r="U1500" s="17"/>
      <c r="V1500" s="17"/>
      <c r="W1500" s="4"/>
      <c r="X1500" s="16"/>
      <c r="Y1500" s="5"/>
      <c r="Z1500" s="16"/>
      <c r="AA1500" s="16"/>
      <c r="AB1500" s="16"/>
      <c r="AE1500" s="16"/>
      <c r="AG1500" s="22">
        <f t="shared" si="280"/>
        <v>0</v>
      </c>
      <c r="AH1500" s="6"/>
      <c r="AJ1500" s="20">
        <f t="shared" si="275"/>
        <v>0</v>
      </c>
      <c r="AK1500" s="50"/>
      <c r="AL1500" s="6"/>
      <c r="AM1500" s="20">
        <f t="shared" si="277"/>
        <v>0</v>
      </c>
      <c r="AN1500" s="20">
        <f t="shared" si="278"/>
        <v>128000</v>
      </c>
      <c r="AP1500" s="20">
        <f t="shared" si="279"/>
        <v>128000</v>
      </c>
      <c r="AQ1500" s="7"/>
      <c r="AR1500" s="20"/>
      <c r="AS1500" s="51"/>
    </row>
    <row r="1501" spans="1:45" s="21" customFormat="1" ht="30" customHeight="1" x14ac:dyDescent="0.2">
      <c r="A1501" s="8">
        <v>1276</v>
      </c>
      <c r="B1501" s="46">
        <v>3</v>
      </c>
      <c r="C1501" s="16" t="s">
        <v>52</v>
      </c>
      <c r="D1501" s="48">
        <v>33328</v>
      </c>
      <c r="E1501" s="47">
        <v>336</v>
      </c>
      <c r="F1501" s="48">
        <v>6704</v>
      </c>
      <c r="G1501" s="49">
        <v>1</v>
      </c>
      <c r="H1501" s="48">
        <v>0</v>
      </c>
      <c r="I1501" s="48">
        <v>1</v>
      </c>
      <c r="J1501" s="48">
        <v>78</v>
      </c>
      <c r="K1501" s="3"/>
      <c r="L1501" s="16">
        <v>178</v>
      </c>
      <c r="M1501" s="57"/>
      <c r="N1501" s="58"/>
      <c r="P1501" s="16">
        <v>2</v>
      </c>
      <c r="Q1501" s="20">
        <f t="shared" si="281"/>
        <v>178</v>
      </c>
      <c r="R1501" s="14">
        <v>250</v>
      </c>
      <c r="S1501" s="19">
        <f t="shared" si="276"/>
        <v>44500</v>
      </c>
      <c r="T1501" s="16"/>
      <c r="U1501" s="17" t="s">
        <v>57</v>
      </c>
      <c r="V1501" s="17" t="s">
        <v>56</v>
      </c>
      <c r="W1501" s="4"/>
      <c r="X1501" s="16"/>
      <c r="Y1501" s="5">
        <v>187</v>
      </c>
      <c r="Z1501" s="16"/>
      <c r="AA1501" s="16"/>
      <c r="AB1501" s="16"/>
      <c r="AE1501" s="16"/>
      <c r="AG1501" s="22">
        <f t="shared" si="280"/>
        <v>187</v>
      </c>
      <c r="AH1501" s="6"/>
      <c r="AJ1501" s="20">
        <f t="shared" si="275"/>
        <v>0</v>
      </c>
      <c r="AK1501" s="50"/>
      <c r="AL1501" s="6"/>
      <c r="AM1501" s="20">
        <f t="shared" si="277"/>
        <v>0</v>
      </c>
      <c r="AN1501" s="20">
        <f t="shared" si="278"/>
        <v>44500</v>
      </c>
      <c r="AP1501" s="20">
        <f t="shared" si="279"/>
        <v>44500</v>
      </c>
      <c r="AQ1501" s="7"/>
      <c r="AR1501" s="20"/>
      <c r="AS1501" s="51"/>
    </row>
    <row r="1502" spans="1:45" s="21" customFormat="1" ht="30" customHeight="1" x14ac:dyDescent="0.2">
      <c r="A1502" s="8">
        <v>1277</v>
      </c>
      <c r="B1502" s="46">
        <v>1</v>
      </c>
      <c r="C1502" s="16" t="s">
        <v>52</v>
      </c>
      <c r="D1502" s="48">
        <v>2612</v>
      </c>
      <c r="E1502" s="47">
        <v>2</v>
      </c>
      <c r="F1502" s="48">
        <v>1870</v>
      </c>
      <c r="G1502" s="49">
        <v>1</v>
      </c>
      <c r="H1502" s="48">
        <v>6</v>
      </c>
      <c r="I1502" s="48">
        <v>2</v>
      </c>
      <c r="J1502" s="48">
        <v>35</v>
      </c>
      <c r="K1502" s="3">
        <f>6*400+235</f>
        <v>2635</v>
      </c>
      <c r="L1502" s="16"/>
      <c r="M1502" s="57"/>
      <c r="N1502" s="58"/>
      <c r="P1502" s="16">
        <v>1</v>
      </c>
      <c r="Q1502" s="20">
        <f t="shared" si="281"/>
        <v>2635</v>
      </c>
      <c r="R1502" s="14">
        <v>160</v>
      </c>
      <c r="S1502" s="19">
        <f t="shared" si="276"/>
        <v>421600</v>
      </c>
      <c r="T1502" s="16"/>
      <c r="U1502" s="16"/>
      <c r="V1502" s="16"/>
      <c r="W1502" s="5"/>
      <c r="X1502" s="16"/>
      <c r="Y1502" s="5"/>
      <c r="Z1502" s="16"/>
      <c r="AA1502" s="16"/>
      <c r="AB1502" s="16"/>
      <c r="AE1502" s="16"/>
      <c r="AG1502" s="22">
        <f t="shared" si="280"/>
        <v>0</v>
      </c>
      <c r="AH1502" s="6"/>
      <c r="AJ1502" s="20">
        <f t="shared" si="275"/>
        <v>0</v>
      </c>
      <c r="AK1502" s="50"/>
      <c r="AL1502" s="6"/>
      <c r="AM1502" s="20">
        <f t="shared" si="277"/>
        <v>0</v>
      </c>
      <c r="AN1502" s="20">
        <f t="shared" si="278"/>
        <v>421600</v>
      </c>
      <c r="AP1502" s="20">
        <f t="shared" si="279"/>
        <v>421600</v>
      </c>
      <c r="AQ1502" s="7"/>
      <c r="AR1502" s="60"/>
      <c r="AS1502" s="128">
        <v>20</v>
      </c>
    </row>
    <row r="1503" spans="1:45" s="21" customFormat="1" ht="30" customHeight="1" x14ac:dyDescent="0.2">
      <c r="A1503" s="8">
        <v>1278</v>
      </c>
      <c r="B1503" s="46">
        <v>2</v>
      </c>
      <c r="C1503" s="16" t="s">
        <v>52</v>
      </c>
      <c r="D1503" s="48">
        <v>33327</v>
      </c>
      <c r="E1503" s="47">
        <v>335</v>
      </c>
      <c r="F1503" s="48">
        <v>6703</v>
      </c>
      <c r="G1503" s="49">
        <v>1</v>
      </c>
      <c r="H1503" s="48">
        <v>0</v>
      </c>
      <c r="I1503" s="48">
        <v>1</v>
      </c>
      <c r="J1503" s="48">
        <v>67</v>
      </c>
      <c r="K1503" s="3"/>
      <c r="L1503" s="16">
        <v>167</v>
      </c>
      <c r="M1503" s="57"/>
      <c r="N1503" s="58"/>
      <c r="P1503" s="16">
        <v>2</v>
      </c>
      <c r="Q1503" s="20">
        <f t="shared" si="281"/>
        <v>167</v>
      </c>
      <c r="R1503" s="14">
        <v>160</v>
      </c>
      <c r="S1503" s="20">
        <f t="shared" si="276"/>
        <v>26720</v>
      </c>
      <c r="T1503" s="16"/>
      <c r="U1503" s="17" t="s">
        <v>57</v>
      </c>
      <c r="V1503" s="16" t="s">
        <v>56</v>
      </c>
      <c r="W1503" s="5"/>
      <c r="X1503" s="16"/>
      <c r="Y1503" s="5">
        <v>128</v>
      </c>
      <c r="Z1503" s="16"/>
      <c r="AA1503" s="16"/>
      <c r="AB1503" s="16"/>
      <c r="AE1503" s="16"/>
      <c r="AG1503" s="22">
        <f t="shared" si="280"/>
        <v>128</v>
      </c>
      <c r="AH1503" s="6"/>
      <c r="AJ1503" s="20">
        <f t="shared" si="275"/>
        <v>0</v>
      </c>
      <c r="AK1503" s="50"/>
      <c r="AL1503" s="6"/>
      <c r="AM1503" s="20">
        <f t="shared" si="277"/>
        <v>0</v>
      </c>
      <c r="AN1503" s="20">
        <f t="shared" si="278"/>
        <v>26720</v>
      </c>
      <c r="AP1503" s="20">
        <f t="shared" si="279"/>
        <v>26720</v>
      </c>
      <c r="AQ1503" s="7"/>
      <c r="AR1503" s="25"/>
      <c r="AS1503" s="130"/>
    </row>
    <row r="1504" spans="1:45" s="21" customFormat="1" ht="30" customHeight="1" x14ac:dyDescent="0.2">
      <c r="A1504" s="8">
        <v>1279</v>
      </c>
      <c r="B1504" s="46">
        <v>1</v>
      </c>
      <c r="C1504" s="16" t="s">
        <v>52</v>
      </c>
      <c r="D1504" s="48">
        <v>933</v>
      </c>
      <c r="E1504" s="47">
        <v>6</v>
      </c>
      <c r="F1504" s="48">
        <v>322</v>
      </c>
      <c r="G1504" s="49">
        <v>1</v>
      </c>
      <c r="H1504" s="48">
        <v>6</v>
      </c>
      <c r="I1504" s="48">
        <v>1</v>
      </c>
      <c r="J1504" s="48">
        <v>94</v>
      </c>
      <c r="K1504" s="3">
        <v>2594</v>
      </c>
      <c r="L1504" s="16"/>
      <c r="M1504" s="57"/>
      <c r="N1504" s="58"/>
      <c r="P1504" s="16">
        <v>1</v>
      </c>
      <c r="Q1504" s="20">
        <f t="shared" si="281"/>
        <v>2594</v>
      </c>
      <c r="R1504" s="14">
        <v>160</v>
      </c>
      <c r="S1504" s="19">
        <f t="shared" si="276"/>
        <v>415040</v>
      </c>
      <c r="T1504" s="16"/>
      <c r="U1504" s="17"/>
      <c r="V1504" s="17"/>
      <c r="W1504" s="4"/>
      <c r="X1504" s="16"/>
      <c r="Y1504" s="5"/>
      <c r="Z1504" s="16"/>
      <c r="AA1504" s="16"/>
      <c r="AB1504" s="16"/>
      <c r="AE1504" s="16"/>
      <c r="AG1504" s="22">
        <f t="shared" si="280"/>
        <v>0</v>
      </c>
      <c r="AH1504" s="6"/>
      <c r="AJ1504" s="20">
        <f t="shared" si="275"/>
        <v>0</v>
      </c>
      <c r="AK1504" s="50"/>
      <c r="AL1504" s="6"/>
      <c r="AM1504" s="20">
        <f t="shared" si="277"/>
        <v>0</v>
      </c>
      <c r="AN1504" s="20">
        <f t="shared" si="278"/>
        <v>415040</v>
      </c>
      <c r="AP1504" s="20">
        <f t="shared" si="279"/>
        <v>415040</v>
      </c>
      <c r="AQ1504" s="7"/>
      <c r="AR1504" s="20"/>
      <c r="AS1504" s="51"/>
    </row>
    <row r="1505" spans="1:45" s="21" customFormat="1" ht="30" customHeight="1" x14ac:dyDescent="0.2">
      <c r="A1505" s="8">
        <v>1280</v>
      </c>
      <c r="B1505" s="46">
        <v>2</v>
      </c>
      <c r="C1505" s="16" t="s">
        <v>52</v>
      </c>
      <c r="D1505" s="48">
        <v>33326</v>
      </c>
      <c r="E1505" s="47">
        <v>334</v>
      </c>
      <c r="F1505" s="48">
        <v>6702</v>
      </c>
      <c r="G1505" s="49">
        <v>1</v>
      </c>
      <c r="H1505" s="48">
        <v>0</v>
      </c>
      <c r="I1505" s="48">
        <v>0</v>
      </c>
      <c r="J1505" s="48">
        <v>56</v>
      </c>
      <c r="K1505" s="3"/>
      <c r="L1505" s="16">
        <v>56</v>
      </c>
      <c r="M1505" s="57"/>
      <c r="N1505" s="58"/>
      <c r="P1505" s="16">
        <v>2</v>
      </c>
      <c r="Q1505" s="20">
        <f t="shared" si="281"/>
        <v>56</v>
      </c>
      <c r="R1505" s="14">
        <v>160</v>
      </c>
      <c r="S1505" s="19">
        <f t="shared" si="276"/>
        <v>8960</v>
      </c>
      <c r="T1505" s="16"/>
      <c r="U1505" s="17" t="s">
        <v>57</v>
      </c>
      <c r="V1505" s="17" t="s">
        <v>56</v>
      </c>
      <c r="W1505" s="4"/>
      <c r="X1505" s="16"/>
      <c r="Y1505" s="5">
        <v>72</v>
      </c>
      <c r="Z1505" s="16"/>
      <c r="AA1505" s="16"/>
      <c r="AB1505" s="16"/>
      <c r="AE1505" s="16"/>
      <c r="AG1505" s="22">
        <f t="shared" si="280"/>
        <v>72</v>
      </c>
      <c r="AH1505" s="6"/>
      <c r="AJ1505" s="20">
        <f t="shared" si="275"/>
        <v>0</v>
      </c>
      <c r="AK1505" s="50"/>
      <c r="AL1505" s="6"/>
      <c r="AM1505" s="20">
        <f t="shared" si="277"/>
        <v>0</v>
      </c>
      <c r="AN1505" s="20">
        <f t="shared" si="278"/>
        <v>8960</v>
      </c>
      <c r="AP1505" s="20">
        <f t="shared" si="279"/>
        <v>8960</v>
      </c>
      <c r="AQ1505" s="7"/>
      <c r="AR1505" s="20"/>
      <c r="AS1505" s="51"/>
    </row>
    <row r="1506" spans="1:45" s="21" customFormat="1" ht="30" customHeight="1" x14ac:dyDescent="0.2">
      <c r="A1506" s="8">
        <v>1281</v>
      </c>
      <c r="B1506" s="46">
        <v>1</v>
      </c>
      <c r="C1506" s="16" t="s">
        <v>52</v>
      </c>
      <c r="D1506" s="48">
        <v>847</v>
      </c>
      <c r="E1506" s="47">
        <v>73</v>
      </c>
      <c r="F1506" s="48">
        <v>137</v>
      </c>
      <c r="G1506" s="49">
        <v>1</v>
      </c>
      <c r="H1506" s="48">
        <v>3</v>
      </c>
      <c r="I1506" s="48">
        <v>0</v>
      </c>
      <c r="J1506" s="48">
        <v>27</v>
      </c>
      <c r="K1506" s="3">
        <f>1227-L1506</f>
        <v>1154.5</v>
      </c>
      <c r="L1506" s="16">
        <v>72.5</v>
      </c>
      <c r="M1506" s="57"/>
      <c r="N1506" s="58"/>
      <c r="P1506" s="16">
        <v>5</v>
      </c>
      <c r="Q1506" s="20">
        <f t="shared" si="281"/>
        <v>1227</v>
      </c>
      <c r="R1506" s="14">
        <v>200</v>
      </c>
      <c r="S1506" s="20">
        <f t="shared" si="276"/>
        <v>245400</v>
      </c>
      <c r="T1506" s="16"/>
      <c r="U1506" s="17" t="s">
        <v>57</v>
      </c>
      <c r="V1506" s="17" t="s">
        <v>56</v>
      </c>
      <c r="W1506" s="4"/>
      <c r="X1506" s="16"/>
      <c r="Y1506" s="5">
        <v>200</v>
      </c>
      <c r="Z1506" s="16"/>
      <c r="AA1506" s="16"/>
      <c r="AB1506" s="16">
        <v>7</v>
      </c>
      <c r="AE1506" s="16"/>
      <c r="AG1506" s="22">
        <f t="shared" si="280"/>
        <v>200</v>
      </c>
      <c r="AH1506" s="6"/>
      <c r="AJ1506" s="20">
        <f t="shared" si="275"/>
        <v>0</v>
      </c>
      <c r="AK1506" s="50">
        <v>7</v>
      </c>
      <c r="AL1506" s="6"/>
      <c r="AM1506" s="20">
        <f t="shared" si="277"/>
        <v>0</v>
      </c>
      <c r="AN1506" s="20">
        <f t="shared" si="278"/>
        <v>245400</v>
      </c>
      <c r="AP1506" s="20">
        <f t="shared" si="279"/>
        <v>245400</v>
      </c>
      <c r="AQ1506" s="7"/>
      <c r="AR1506" s="20"/>
      <c r="AS1506" s="51"/>
    </row>
    <row r="1507" spans="1:45" s="21" customFormat="1" ht="30" customHeight="1" x14ac:dyDescent="0.2">
      <c r="A1507" s="8"/>
      <c r="B1507" s="46"/>
      <c r="C1507" s="16"/>
      <c r="D1507" s="48"/>
      <c r="E1507" s="47"/>
      <c r="F1507" s="48"/>
      <c r="G1507" s="49"/>
      <c r="H1507" s="48"/>
      <c r="I1507" s="48"/>
      <c r="J1507" s="48"/>
      <c r="K1507" s="3"/>
      <c r="L1507" s="16"/>
      <c r="M1507" s="57"/>
      <c r="N1507" s="58"/>
      <c r="P1507" s="16"/>
      <c r="Q1507" s="20">
        <f t="shared" si="281"/>
        <v>0</v>
      </c>
      <c r="R1507" s="14" t="e">
        <v>#N/A</v>
      </c>
      <c r="S1507" s="19" t="e">
        <f t="shared" si="276"/>
        <v>#N/A</v>
      </c>
      <c r="T1507" s="16"/>
      <c r="U1507" s="17" t="s">
        <v>57</v>
      </c>
      <c r="V1507" s="17" t="s">
        <v>56</v>
      </c>
      <c r="W1507" s="4"/>
      <c r="X1507" s="16"/>
      <c r="Y1507" s="5">
        <v>90</v>
      </c>
      <c r="Z1507" s="16"/>
      <c r="AA1507" s="16"/>
      <c r="AB1507" s="16">
        <v>1</v>
      </c>
      <c r="AE1507" s="16"/>
      <c r="AG1507" s="22">
        <f t="shared" si="280"/>
        <v>90</v>
      </c>
      <c r="AH1507" s="6"/>
      <c r="AJ1507" s="20">
        <f t="shared" si="275"/>
        <v>0</v>
      </c>
      <c r="AK1507" s="50">
        <v>1</v>
      </c>
      <c r="AL1507" s="6"/>
      <c r="AM1507" s="20">
        <f t="shared" si="277"/>
        <v>0</v>
      </c>
      <c r="AN1507" s="20" t="e">
        <f t="shared" si="278"/>
        <v>#N/A</v>
      </c>
      <c r="AP1507" s="20" t="e">
        <f t="shared" si="279"/>
        <v>#N/A</v>
      </c>
      <c r="AQ1507" s="7"/>
      <c r="AR1507" s="20"/>
      <c r="AS1507" s="51"/>
    </row>
    <row r="1508" spans="1:45" s="21" customFormat="1" ht="30" customHeight="1" x14ac:dyDescent="0.2">
      <c r="A1508" s="8">
        <v>1282</v>
      </c>
      <c r="B1508" s="46">
        <v>2</v>
      </c>
      <c r="C1508" s="16" t="s">
        <v>52</v>
      </c>
      <c r="D1508" s="48">
        <v>2613</v>
      </c>
      <c r="E1508" s="47">
        <v>1</v>
      </c>
      <c r="F1508" s="48">
        <v>1871</v>
      </c>
      <c r="G1508" s="49">
        <v>1</v>
      </c>
      <c r="H1508" s="48">
        <v>4</v>
      </c>
      <c r="I1508" s="48">
        <v>2</v>
      </c>
      <c r="J1508" s="48">
        <v>14</v>
      </c>
      <c r="K1508" s="3">
        <v>1814</v>
      </c>
      <c r="L1508" s="16"/>
      <c r="M1508" s="57"/>
      <c r="N1508" s="58"/>
      <c r="P1508" s="16">
        <v>1</v>
      </c>
      <c r="Q1508" s="20">
        <f t="shared" si="281"/>
        <v>1814</v>
      </c>
      <c r="R1508" s="14">
        <v>160</v>
      </c>
      <c r="S1508" s="19">
        <f t="shared" si="276"/>
        <v>290240</v>
      </c>
      <c r="T1508" s="16"/>
      <c r="U1508" s="17"/>
      <c r="V1508" s="17"/>
      <c r="W1508" s="4"/>
      <c r="X1508" s="16"/>
      <c r="Y1508" s="5"/>
      <c r="Z1508" s="16"/>
      <c r="AA1508" s="16"/>
      <c r="AB1508" s="16"/>
      <c r="AE1508" s="16"/>
      <c r="AG1508" s="22">
        <f t="shared" si="280"/>
        <v>0</v>
      </c>
      <c r="AH1508" s="6"/>
      <c r="AJ1508" s="20">
        <f t="shared" si="275"/>
        <v>0</v>
      </c>
      <c r="AK1508" s="50"/>
      <c r="AL1508" s="6"/>
      <c r="AM1508" s="20">
        <f t="shared" si="277"/>
        <v>0</v>
      </c>
      <c r="AN1508" s="20">
        <f t="shared" si="278"/>
        <v>290240</v>
      </c>
      <c r="AP1508" s="20">
        <f t="shared" si="279"/>
        <v>290240</v>
      </c>
      <c r="AQ1508" s="7"/>
      <c r="AR1508" s="20"/>
      <c r="AS1508" s="51"/>
    </row>
    <row r="1509" spans="1:45" s="21" customFormat="1" ht="30" customHeight="1" x14ac:dyDescent="0.2">
      <c r="A1509" s="8">
        <v>1283</v>
      </c>
      <c r="B1509" s="46">
        <v>1</v>
      </c>
      <c r="C1509" s="16" t="s">
        <v>52</v>
      </c>
      <c r="D1509" s="48">
        <v>29184</v>
      </c>
      <c r="E1509" s="47">
        <v>280</v>
      </c>
      <c r="F1509" s="48">
        <v>5379</v>
      </c>
      <c r="G1509" s="49">
        <v>1</v>
      </c>
      <c r="H1509" s="48">
        <v>1</v>
      </c>
      <c r="I1509" s="48">
        <v>0</v>
      </c>
      <c r="J1509" s="48">
        <v>16</v>
      </c>
      <c r="K1509" s="3">
        <v>416</v>
      </c>
      <c r="L1509" s="16"/>
      <c r="M1509" s="57"/>
      <c r="N1509" s="58"/>
      <c r="P1509" s="16">
        <v>1</v>
      </c>
      <c r="Q1509" s="20">
        <f t="shared" si="281"/>
        <v>416</v>
      </c>
      <c r="R1509" s="14">
        <v>250</v>
      </c>
      <c r="S1509" s="20">
        <f t="shared" si="276"/>
        <v>104000</v>
      </c>
      <c r="T1509" s="16"/>
      <c r="U1509" s="17"/>
      <c r="V1509" s="17"/>
      <c r="W1509" s="4"/>
      <c r="X1509" s="16"/>
      <c r="Y1509" s="5"/>
      <c r="Z1509" s="16"/>
      <c r="AA1509" s="16"/>
      <c r="AB1509" s="16"/>
      <c r="AC1509" s="14"/>
      <c r="AD1509" s="14"/>
      <c r="AE1509" s="16"/>
      <c r="AG1509" s="22">
        <f t="shared" si="280"/>
        <v>0</v>
      </c>
      <c r="AH1509" s="6"/>
      <c r="AJ1509" s="20">
        <f t="shared" si="275"/>
        <v>0</v>
      </c>
      <c r="AK1509" s="50"/>
      <c r="AL1509" s="6"/>
      <c r="AM1509" s="20">
        <f t="shared" si="277"/>
        <v>0</v>
      </c>
      <c r="AN1509" s="20">
        <f t="shared" si="278"/>
        <v>104000</v>
      </c>
      <c r="AP1509" s="20">
        <f t="shared" si="279"/>
        <v>104000</v>
      </c>
      <c r="AQ1509" s="7"/>
      <c r="AR1509" s="20"/>
      <c r="AS1509" s="51">
        <v>3</v>
      </c>
    </row>
    <row r="1510" spans="1:45" s="21" customFormat="1" ht="30" customHeight="1" x14ac:dyDescent="0.2">
      <c r="A1510" s="8">
        <v>1284</v>
      </c>
      <c r="B1510" s="46">
        <v>1</v>
      </c>
      <c r="C1510" s="16" t="s">
        <v>52</v>
      </c>
      <c r="D1510" s="48">
        <v>29183</v>
      </c>
      <c r="E1510" s="47">
        <v>279</v>
      </c>
      <c r="F1510" s="48">
        <v>5378</v>
      </c>
      <c r="G1510" s="49">
        <v>1</v>
      </c>
      <c r="H1510" s="48">
        <v>1</v>
      </c>
      <c r="I1510" s="48">
        <v>0</v>
      </c>
      <c r="J1510" s="48">
        <v>23</v>
      </c>
      <c r="K1510" s="3">
        <v>423</v>
      </c>
      <c r="L1510" s="16"/>
      <c r="M1510" s="57"/>
      <c r="N1510" s="58"/>
      <c r="P1510" s="16">
        <v>1</v>
      </c>
      <c r="Q1510" s="20">
        <f t="shared" si="281"/>
        <v>423</v>
      </c>
      <c r="R1510" s="14">
        <v>200</v>
      </c>
      <c r="S1510" s="19">
        <f t="shared" si="276"/>
        <v>84600</v>
      </c>
      <c r="T1510" s="16"/>
      <c r="U1510" s="16"/>
      <c r="V1510" s="16"/>
      <c r="W1510" s="5"/>
      <c r="X1510" s="16"/>
      <c r="Y1510" s="5"/>
      <c r="Z1510" s="16"/>
      <c r="AA1510" s="16"/>
      <c r="AB1510" s="16"/>
      <c r="AE1510" s="16"/>
      <c r="AG1510" s="22">
        <f t="shared" si="280"/>
        <v>0</v>
      </c>
      <c r="AH1510" s="6"/>
      <c r="AJ1510" s="20">
        <f t="shared" si="275"/>
        <v>0</v>
      </c>
      <c r="AK1510" s="50"/>
      <c r="AL1510" s="6"/>
      <c r="AM1510" s="20">
        <f t="shared" si="277"/>
        <v>0</v>
      </c>
      <c r="AN1510" s="20">
        <f t="shared" si="278"/>
        <v>84600</v>
      </c>
      <c r="AP1510" s="20">
        <f t="shared" si="279"/>
        <v>84600</v>
      </c>
      <c r="AQ1510" s="7"/>
      <c r="AR1510" s="20"/>
      <c r="AS1510" s="51"/>
    </row>
    <row r="1511" spans="1:45" s="21" customFormat="1" ht="30" customHeight="1" x14ac:dyDescent="0.2">
      <c r="A1511" s="8">
        <v>1285</v>
      </c>
      <c r="B1511" s="46">
        <v>1</v>
      </c>
      <c r="C1511" s="16" t="s">
        <v>52</v>
      </c>
      <c r="D1511" s="48">
        <v>29185</v>
      </c>
      <c r="E1511" s="47">
        <v>281</v>
      </c>
      <c r="F1511" s="48">
        <v>5380</v>
      </c>
      <c r="G1511" s="49">
        <v>1</v>
      </c>
      <c r="H1511" s="48">
        <v>1</v>
      </c>
      <c r="I1511" s="48">
        <v>0</v>
      </c>
      <c r="J1511" s="48">
        <v>8</v>
      </c>
      <c r="K1511" s="3">
        <v>408</v>
      </c>
      <c r="L1511" s="16"/>
      <c r="M1511" s="57"/>
      <c r="N1511" s="58"/>
      <c r="P1511" s="16">
        <v>1</v>
      </c>
      <c r="Q1511" s="20">
        <f t="shared" si="281"/>
        <v>408</v>
      </c>
      <c r="R1511" s="14">
        <v>250</v>
      </c>
      <c r="S1511" s="19">
        <f t="shared" si="276"/>
        <v>102000</v>
      </c>
      <c r="T1511" s="16"/>
      <c r="U1511" s="17"/>
      <c r="V1511" s="16"/>
      <c r="W1511" s="5"/>
      <c r="X1511" s="16"/>
      <c r="Y1511" s="5"/>
      <c r="Z1511" s="16"/>
      <c r="AA1511" s="16"/>
      <c r="AB1511" s="16"/>
      <c r="AC1511" s="14"/>
      <c r="AD1511" s="14"/>
      <c r="AE1511" s="16"/>
      <c r="AG1511" s="22">
        <f t="shared" si="280"/>
        <v>0</v>
      </c>
      <c r="AH1511" s="6"/>
      <c r="AJ1511" s="20">
        <f t="shared" si="275"/>
        <v>0</v>
      </c>
      <c r="AK1511" s="50"/>
      <c r="AL1511" s="6"/>
      <c r="AM1511" s="20">
        <f t="shared" si="277"/>
        <v>0</v>
      </c>
      <c r="AN1511" s="20">
        <f t="shared" si="278"/>
        <v>102000</v>
      </c>
      <c r="AP1511" s="20">
        <f t="shared" si="279"/>
        <v>102000</v>
      </c>
      <c r="AQ1511" s="7"/>
      <c r="AR1511" s="20"/>
      <c r="AS1511" s="51"/>
    </row>
    <row r="1512" spans="1:45" s="21" customFormat="1" ht="30" customHeight="1" x14ac:dyDescent="0.2">
      <c r="A1512" s="8">
        <v>1286</v>
      </c>
      <c r="B1512" s="46">
        <v>1</v>
      </c>
      <c r="C1512" s="16" t="s">
        <v>52</v>
      </c>
      <c r="D1512" s="48">
        <v>29180</v>
      </c>
      <c r="E1512" s="47">
        <v>276</v>
      </c>
      <c r="F1512" s="48">
        <v>5375</v>
      </c>
      <c r="G1512" s="49">
        <v>1</v>
      </c>
      <c r="H1512" s="48">
        <v>0</v>
      </c>
      <c r="I1512" s="48">
        <v>1</v>
      </c>
      <c r="J1512" s="48">
        <v>73</v>
      </c>
      <c r="K1512" s="3">
        <v>173</v>
      </c>
      <c r="L1512" s="16"/>
      <c r="M1512" s="57"/>
      <c r="N1512" s="58"/>
      <c r="P1512" s="16">
        <v>1</v>
      </c>
      <c r="Q1512" s="20">
        <f t="shared" si="281"/>
        <v>173</v>
      </c>
      <c r="R1512" s="14">
        <v>200</v>
      </c>
      <c r="S1512" s="20">
        <f t="shared" si="276"/>
        <v>34600</v>
      </c>
      <c r="T1512" s="16"/>
      <c r="U1512" s="17"/>
      <c r="V1512" s="17"/>
      <c r="W1512" s="4"/>
      <c r="X1512" s="16"/>
      <c r="Y1512" s="5"/>
      <c r="Z1512" s="16"/>
      <c r="AA1512" s="16"/>
      <c r="AB1512" s="16"/>
      <c r="AC1512" s="14"/>
      <c r="AD1512" s="14"/>
      <c r="AE1512" s="16"/>
      <c r="AG1512" s="22">
        <f t="shared" si="280"/>
        <v>0</v>
      </c>
      <c r="AH1512" s="6"/>
      <c r="AJ1512" s="20">
        <f t="shared" si="275"/>
        <v>0</v>
      </c>
      <c r="AK1512" s="50"/>
      <c r="AL1512" s="6"/>
      <c r="AM1512" s="20">
        <f t="shared" si="277"/>
        <v>0</v>
      </c>
      <c r="AN1512" s="20">
        <f t="shared" si="278"/>
        <v>34600</v>
      </c>
      <c r="AP1512" s="20">
        <f t="shared" si="279"/>
        <v>34600</v>
      </c>
      <c r="AQ1512" s="7"/>
      <c r="AR1512" s="20"/>
      <c r="AS1512" s="51"/>
    </row>
    <row r="1513" spans="1:45" s="21" customFormat="1" ht="30" customHeight="1" x14ac:dyDescent="0.2">
      <c r="A1513" s="8">
        <v>1287</v>
      </c>
      <c r="B1513" s="46">
        <v>2</v>
      </c>
      <c r="C1513" s="16" t="s">
        <v>52</v>
      </c>
      <c r="D1513" s="48">
        <v>29181</v>
      </c>
      <c r="E1513" s="47">
        <v>277</v>
      </c>
      <c r="F1513" s="48">
        <v>5376</v>
      </c>
      <c r="G1513" s="49">
        <v>1</v>
      </c>
      <c r="H1513" s="48">
        <v>0</v>
      </c>
      <c r="I1513" s="48">
        <v>1</v>
      </c>
      <c r="J1513" s="48">
        <v>66</v>
      </c>
      <c r="K1513" s="3">
        <v>166</v>
      </c>
      <c r="L1513" s="16"/>
      <c r="M1513" s="57"/>
      <c r="N1513" s="58"/>
      <c r="P1513" s="16">
        <v>1</v>
      </c>
      <c r="Q1513" s="20">
        <f t="shared" si="281"/>
        <v>166</v>
      </c>
      <c r="R1513" s="14">
        <v>200</v>
      </c>
      <c r="S1513" s="19">
        <f t="shared" si="276"/>
        <v>33200</v>
      </c>
      <c r="T1513" s="16"/>
      <c r="U1513" s="17"/>
      <c r="V1513" s="17"/>
      <c r="W1513" s="4"/>
      <c r="X1513" s="16"/>
      <c r="Y1513" s="5"/>
      <c r="Z1513" s="16"/>
      <c r="AA1513" s="16"/>
      <c r="AB1513" s="16"/>
      <c r="AC1513" s="14"/>
      <c r="AD1513" s="14"/>
      <c r="AE1513" s="16"/>
      <c r="AG1513" s="22">
        <f t="shared" si="280"/>
        <v>0</v>
      </c>
      <c r="AH1513" s="6"/>
      <c r="AJ1513" s="20">
        <f t="shared" si="275"/>
        <v>0</v>
      </c>
      <c r="AK1513" s="50"/>
      <c r="AL1513" s="6"/>
      <c r="AM1513" s="20">
        <f t="shared" si="277"/>
        <v>0</v>
      </c>
      <c r="AN1513" s="20">
        <f t="shared" si="278"/>
        <v>33200</v>
      </c>
      <c r="AP1513" s="20">
        <f t="shared" si="279"/>
        <v>33200</v>
      </c>
      <c r="AQ1513" s="7"/>
      <c r="AR1513" s="20"/>
      <c r="AS1513" s="51"/>
    </row>
    <row r="1514" spans="1:45" s="21" customFormat="1" ht="30" customHeight="1" x14ac:dyDescent="0.2">
      <c r="A1514" s="8">
        <v>1288</v>
      </c>
      <c r="B1514" s="46">
        <v>3</v>
      </c>
      <c r="C1514" s="16" t="s">
        <v>52</v>
      </c>
      <c r="D1514" s="48">
        <v>29182</v>
      </c>
      <c r="E1514" s="47">
        <v>278</v>
      </c>
      <c r="F1514" s="48">
        <v>5377</v>
      </c>
      <c r="G1514" s="49">
        <v>1</v>
      </c>
      <c r="H1514" s="48">
        <v>0</v>
      </c>
      <c r="I1514" s="48">
        <v>1</v>
      </c>
      <c r="J1514" s="48">
        <v>59</v>
      </c>
      <c r="K1514" s="3">
        <v>159</v>
      </c>
      <c r="L1514" s="16"/>
      <c r="M1514" s="57"/>
      <c r="N1514" s="58"/>
      <c r="P1514" s="16">
        <v>1</v>
      </c>
      <c r="Q1514" s="20">
        <f t="shared" si="281"/>
        <v>159</v>
      </c>
      <c r="R1514" s="14">
        <v>200</v>
      </c>
      <c r="S1514" s="19">
        <f t="shared" si="276"/>
        <v>31800</v>
      </c>
      <c r="T1514" s="16"/>
      <c r="U1514" s="17"/>
      <c r="V1514" s="17"/>
      <c r="W1514" s="4"/>
      <c r="X1514" s="16"/>
      <c r="Y1514" s="5"/>
      <c r="Z1514" s="16"/>
      <c r="AA1514" s="16"/>
      <c r="AB1514" s="16"/>
      <c r="AC1514" s="14"/>
      <c r="AD1514" s="14"/>
      <c r="AE1514" s="16"/>
      <c r="AG1514" s="22">
        <f t="shared" si="280"/>
        <v>0</v>
      </c>
      <c r="AH1514" s="6"/>
      <c r="AJ1514" s="20">
        <f t="shared" si="275"/>
        <v>0</v>
      </c>
      <c r="AK1514" s="50"/>
      <c r="AL1514" s="6"/>
      <c r="AM1514" s="20">
        <f t="shared" si="277"/>
        <v>0</v>
      </c>
      <c r="AN1514" s="20">
        <f t="shared" si="278"/>
        <v>31800</v>
      </c>
      <c r="AP1514" s="20">
        <f t="shared" si="279"/>
        <v>31800</v>
      </c>
      <c r="AQ1514" s="7"/>
      <c r="AR1514" s="20"/>
      <c r="AS1514" s="51"/>
    </row>
    <row r="1515" spans="1:45" ht="30" customHeight="1" x14ac:dyDescent="0.2">
      <c r="A1515" s="8"/>
      <c r="C1515" s="16"/>
      <c r="Q1515" s="20"/>
      <c r="S1515" s="20"/>
      <c r="AG1515" s="22"/>
      <c r="AJ1515" s="20"/>
      <c r="AM1515" s="20"/>
      <c r="AN1515" s="20"/>
      <c r="AP1515" s="20"/>
      <c r="AR1515" s="20"/>
    </row>
    <row r="1516" spans="1:45" s="21" customFormat="1" ht="30" customHeight="1" x14ac:dyDescent="0.2">
      <c r="A1516" s="8">
        <v>1289</v>
      </c>
      <c r="B1516" s="46">
        <v>1</v>
      </c>
      <c r="C1516" s="16" t="s">
        <v>52</v>
      </c>
      <c r="D1516" s="48">
        <v>29187</v>
      </c>
      <c r="E1516" s="47">
        <v>283</v>
      </c>
      <c r="F1516" s="48">
        <v>5382</v>
      </c>
      <c r="G1516" s="49">
        <v>1</v>
      </c>
      <c r="H1516" s="48">
        <v>2</v>
      </c>
      <c r="I1516" s="48">
        <v>2</v>
      </c>
      <c r="J1516" s="48">
        <v>20</v>
      </c>
      <c r="K1516" s="3">
        <v>1020</v>
      </c>
      <c r="L1516" s="16"/>
      <c r="M1516" s="57"/>
      <c r="N1516" s="58"/>
      <c r="P1516" s="16">
        <v>1</v>
      </c>
      <c r="Q1516" s="20">
        <f t="shared" si="281"/>
        <v>1020</v>
      </c>
      <c r="R1516" s="14">
        <v>200</v>
      </c>
      <c r="S1516" s="19">
        <f t="shared" si="276"/>
        <v>204000</v>
      </c>
      <c r="T1516" s="16"/>
      <c r="U1516" s="17"/>
      <c r="V1516" s="17"/>
      <c r="W1516" s="4"/>
      <c r="X1516" s="16"/>
      <c r="Y1516" s="5"/>
      <c r="Z1516" s="16"/>
      <c r="AA1516" s="16"/>
      <c r="AB1516" s="16"/>
      <c r="AC1516" s="14"/>
      <c r="AD1516" s="14"/>
      <c r="AE1516" s="16"/>
      <c r="AG1516" s="22">
        <f t="shared" si="280"/>
        <v>0</v>
      </c>
      <c r="AH1516" s="6"/>
      <c r="AJ1516" s="20">
        <f t="shared" si="275"/>
        <v>0</v>
      </c>
      <c r="AK1516" s="50"/>
      <c r="AL1516" s="6"/>
      <c r="AM1516" s="20">
        <f t="shared" si="277"/>
        <v>0</v>
      </c>
      <c r="AN1516" s="20">
        <f t="shared" si="278"/>
        <v>204000</v>
      </c>
      <c r="AP1516" s="20">
        <f t="shared" si="279"/>
        <v>204000</v>
      </c>
      <c r="AQ1516" s="7"/>
      <c r="AR1516" s="20"/>
      <c r="AS1516" s="51"/>
    </row>
    <row r="1517" spans="1:45" s="21" customFormat="1" ht="30" customHeight="1" x14ac:dyDescent="0.2">
      <c r="A1517" s="8">
        <v>1290</v>
      </c>
      <c r="B1517" s="46">
        <v>1</v>
      </c>
      <c r="C1517" s="16" t="s">
        <v>52</v>
      </c>
      <c r="D1517" s="48">
        <v>29186</v>
      </c>
      <c r="E1517" s="47">
        <v>282</v>
      </c>
      <c r="F1517" s="48">
        <v>5381</v>
      </c>
      <c r="G1517" s="49">
        <v>1</v>
      </c>
      <c r="H1517" s="48">
        <v>1</v>
      </c>
      <c r="I1517" s="48">
        <v>0</v>
      </c>
      <c r="J1517" s="48">
        <v>24</v>
      </c>
      <c r="K1517" s="3">
        <v>1024</v>
      </c>
      <c r="L1517" s="16"/>
      <c r="M1517" s="57"/>
      <c r="N1517" s="58"/>
      <c r="P1517" s="16">
        <v>1</v>
      </c>
      <c r="Q1517" s="20">
        <f t="shared" si="281"/>
        <v>424</v>
      </c>
      <c r="R1517" s="14">
        <v>250</v>
      </c>
      <c r="S1517" s="19">
        <f t="shared" si="276"/>
        <v>106000</v>
      </c>
      <c r="T1517" s="16"/>
      <c r="U1517" s="17"/>
      <c r="V1517" s="17"/>
      <c r="W1517" s="4"/>
      <c r="X1517" s="16"/>
      <c r="Y1517" s="5"/>
      <c r="Z1517" s="16"/>
      <c r="AA1517" s="16"/>
      <c r="AB1517" s="16"/>
      <c r="AE1517" s="16"/>
      <c r="AG1517" s="22">
        <f t="shared" si="280"/>
        <v>0</v>
      </c>
      <c r="AH1517" s="6"/>
      <c r="AJ1517" s="20">
        <f t="shared" si="275"/>
        <v>0</v>
      </c>
      <c r="AK1517" s="50"/>
      <c r="AL1517" s="6"/>
      <c r="AM1517" s="20">
        <f t="shared" si="277"/>
        <v>0</v>
      </c>
      <c r="AN1517" s="20">
        <f t="shared" si="278"/>
        <v>106000</v>
      </c>
      <c r="AP1517" s="20">
        <f t="shared" si="279"/>
        <v>106000</v>
      </c>
      <c r="AQ1517" s="7"/>
      <c r="AR1517" s="20"/>
      <c r="AS1517" s="51"/>
    </row>
    <row r="1518" spans="1:45" s="21" customFormat="1" ht="30" customHeight="1" x14ac:dyDescent="0.2">
      <c r="A1518" s="8">
        <v>1291</v>
      </c>
      <c r="B1518" s="46">
        <v>1</v>
      </c>
      <c r="C1518" s="16" t="s">
        <v>52</v>
      </c>
      <c r="D1518" s="48">
        <v>2926</v>
      </c>
      <c r="E1518" s="47">
        <v>144</v>
      </c>
      <c r="F1518" s="48">
        <v>1925</v>
      </c>
      <c r="G1518" s="49">
        <v>1</v>
      </c>
      <c r="H1518" s="48">
        <v>0</v>
      </c>
      <c r="I1518" s="48">
        <v>0</v>
      </c>
      <c r="J1518" s="48">
        <v>74.09</v>
      </c>
      <c r="K1518" s="3"/>
      <c r="L1518" s="16"/>
      <c r="M1518" s="57"/>
      <c r="N1518" s="58">
        <v>74.09</v>
      </c>
      <c r="P1518" s="16">
        <v>4</v>
      </c>
      <c r="Q1518" s="20">
        <f t="shared" si="281"/>
        <v>74.09</v>
      </c>
      <c r="R1518" s="14">
        <v>3000</v>
      </c>
      <c r="S1518" s="19">
        <f t="shared" si="276"/>
        <v>222270</v>
      </c>
      <c r="T1518" s="16"/>
      <c r="U1518" s="17"/>
      <c r="V1518" s="16"/>
      <c r="W1518" s="5"/>
      <c r="X1518" s="16"/>
      <c r="Y1518" s="5"/>
      <c r="Z1518" s="16"/>
      <c r="AA1518" s="16"/>
      <c r="AB1518" s="16"/>
      <c r="AE1518" s="16"/>
      <c r="AG1518" s="22">
        <f t="shared" si="280"/>
        <v>0</v>
      </c>
      <c r="AH1518" s="6"/>
      <c r="AJ1518" s="20">
        <f t="shared" si="275"/>
        <v>0</v>
      </c>
      <c r="AK1518" s="50"/>
      <c r="AL1518" s="6"/>
      <c r="AM1518" s="20">
        <f t="shared" si="277"/>
        <v>0</v>
      </c>
      <c r="AN1518" s="20">
        <f t="shared" si="278"/>
        <v>222270</v>
      </c>
      <c r="AP1518" s="20">
        <f t="shared" si="279"/>
        <v>222270</v>
      </c>
      <c r="AQ1518" s="7">
        <v>3.0000000000000001E-3</v>
      </c>
      <c r="AR1518" s="60"/>
      <c r="AS1518" s="128">
        <v>24</v>
      </c>
    </row>
    <row r="1519" spans="1:45" s="21" customFormat="1" ht="30" customHeight="1" x14ac:dyDescent="0.2">
      <c r="A1519" s="8">
        <v>1292</v>
      </c>
      <c r="B1519" s="46">
        <v>2</v>
      </c>
      <c r="C1519" s="16" t="s">
        <v>52</v>
      </c>
      <c r="D1519" s="48">
        <v>29179</v>
      </c>
      <c r="E1519" s="47">
        <v>275</v>
      </c>
      <c r="F1519" s="48">
        <v>5374</v>
      </c>
      <c r="G1519" s="49">
        <v>1</v>
      </c>
      <c r="H1519" s="48">
        <v>1</v>
      </c>
      <c r="I1519" s="48">
        <v>1</v>
      </c>
      <c r="J1519" s="48">
        <v>57</v>
      </c>
      <c r="K1519" s="3"/>
      <c r="L1519" s="16">
        <v>557</v>
      </c>
      <c r="M1519" s="57"/>
      <c r="N1519" s="58"/>
      <c r="P1519" s="16">
        <v>2</v>
      </c>
      <c r="Q1519" s="20">
        <f t="shared" si="281"/>
        <v>557</v>
      </c>
      <c r="R1519" s="14">
        <v>200</v>
      </c>
      <c r="S1519" s="19">
        <f t="shared" si="276"/>
        <v>111400</v>
      </c>
      <c r="T1519" s="16"/>
      <c r="U1519" s="17"/>
      <c r="V1519" s="17" t="s">
        <v>56</v>
      </c>
      <c r="W1519" s="4"/>
      <c r="X1519" s="16"/>
      <c r="Y1519" s="5">
        <v>225</v>
      </c>
      <c r="Z1519" s="16"/>
      <c r="AA1519" s="16"/>
      <c r="AB1519" s="16">
        <v>25</v>
      </c>
      <c r="AE1519" s="16" t="s">
        <v>166</v>
      </c>
      <c r="AG1519" s="22">
        <f t="shared" si="280"/>
        <v>225</v>
      </c>
      <c r="AH1519" s="6"/>
      <c r="AJ1519" s="20">
        <f t="shared" si="275"/>
        <v>0</v>
      </c>
      <c r="AK1519" s="50">
        <v>25</v>
      </c>
      <c r="AL1519" s="6"/>
      <c r="AM1519" s="20">
        <f t="shared" si="277"/>
        <v>0</v>
      </c>
      <c r="AN1519" s="20">
        <f t="shared" si="278"/>
        <v>111400</v>
      </c>
      <c r="AP1519" s="20">
        <f t="shared" si="279"/>
        <v>111400</v>
      </c>
      <c r="AQ1519" s="7"/>
      <c r="AR1519" s="25"/>
      <c r="AS1519" s="130"/>
    </row>
    <row r="1520" spans="1:45" ht="30" customHeight="1" x14ac:dyDescent="0.2">
      <c r="A1520" s="8"/>
      <c r="C1520" s="16"/>
      <c r="Q1520" s="20"/>
      <c r="S1520" s="20"/>
      <c r="AG1520" s="22"/>
      <c r="AJ1520" s="20"/>
      <c r="AM1520" s="20"/>
      <c r="AN1520" s="20"/>
      <c r="AP1520" s="20"/>
      <c r="AR1520" s="20"/>
    </row>
    <row r="1521" spans="1:48" s="21" customFormat="1" ht="30" customHeight="1" x14ac:dyDescent="0.2">
      <c r="A1521" s="8">
        <v>1293</v>
      </c>
      <c r="B1521" s="46">
        <v>1</v>
      </c>
      <c r="C1521" s="16" t="s">
        <v>52</v>
      </c>
      <c r="D1521" s="48">
        <v>1148</v>
      </c>
      <c r="E1521" s="47">
        <v>20</v>
      </c>
      <c r="F1521" s="48">
        <v>963</v>
      </c>
      <c r="G1521" s="49">
        <v>1</v>
      </c>
      <c r="H1521" s="48">
        <v>7</v>
      </c>
      <c r="I1521" s="48">
        <v>2</v>
      </c>
      <c r="J1521" s="48">
        <v>47</v>
      </c>
      <c r="K1521" s="3">
        <f>7*400+247</f>
        <v>3047</v>
      </c>
      <c r="L1521" s="16"/>
      <c r="M1521" s="57"/>
      <c r="N1521" s="58"/>
      <c r="P1521" s="16">
        <v>1</v>
      </c>
      <c r="Q1521" s="20">
        <f t="shared" si="281"/>
        <v>3047</v>
      </c>
      <c r="R1521" s="14">
        <v>160</v>
      </c>
      <c r="S1521" s="20">
        <f t="shared" si="276"/>
        <v>487520</v>
      </c>
      <c r="T1521" s="16"/>
      <c r="U1521" s="16"/>
      <c r="V1521" s="16"/>
      <c r="W1521" s="5"/>
      <c r="X1521" s="16"/>
      <c r="Y1521" s="5"/>
      <c r="Z1521" s="16"/>
      <c r="AA1521" s="16"/>
      <c r="AB1521" s="16"/>
      <c r="AE1521" s="21" t="s">
        <v>165</v>
      </c>
      <c r="AG1521" s="22">
        <f t="shared" si="280"/>
        <v>0</v>
      </c>
      <c r="AH1521" s="6"/>
      <c r="AJ1521" s="20">
        <f t="shared" si="275"/>
        <v>0</v>
      </c>
      <c r="AK1521" s="50"/>
      <c r="AL1521" s="6"/>
      <c r="AM1521" s="20">
        <f t="shared" si="277"/>
        <v>0</v>
      </c>
      <c r="AN1521" s="20">
        <f t="shared" si="278"/>
        <v>487520</v>
      </c>
      <c r="AP1521" s="20">
        <f t="shared" si="279"/>
        <v>487520</v>
      </c>
      <c r="AQ1521" s="7"/>
      <c r="AR1521" s="20"/>
      <c r="AS1521" s="51"/>
    </row>
    <row r="1522" spans="1:48" s="21" customFormat="1" ht="30" customHeight="1" x14ac:dyDescent="0.2">
      <c r="A1522" s="8">
        <v>1294</v>
      </c>
      <c r="B1522" s="46">
        <v>1</v>
      </c>
      <c r="C1522" s="16" t="s">
        <v>52</v>
      </c>
      <c r="D1522" s="48">
        <v>853</v>
      </c>
      <c r="E1522" s="47">
        <v>79</v>
      </c>
      <c r="F1522" s="48">
        <v>143</v>
      </c>
      <c r="G1522" s="49">
        <v>1</v>
      </c>
      <c r="H1522" s="48">
        <v>1</v>
      </c>
      <c r="I1522" s="48">
        <v>3</v>
      </c>
      <c r="J1522" s="48">
        <v>47</v>
      </c>
      <c r="K1522" s="3"/>
      <c r="L1522" s="16">
        <v>747</v>
      </c>
      <c r="M1522" s="57"/>
      <c r="N1522" s="58"/>
      <c r="P1522" s="16">
        <v>2</v>
      </c>
      <c r="Q1522" s="20">
        <f t="shared" si="281"/>
        <v>747</v>
      </c>
      <c r="R1522" s="14">
        <v>200</v>
      </c>
      <c r="S1522" s="19">
        <f t="shared" si="276"/>
        <v>149400</v>
      </c>
      <c r="T1522" s="16"/>
      <c r="U1522" s="17" t="s">
        <v>63</v>
      </c>
      <c r="V1522" s="17" t="s">
        <v>56</v>
      </c>
      <c r="W1522" s="4"/>
      <c r="X1522" s="16"/>
      <c r="Y1522" s="5">
        <v>396</v>
      </c>
      <c r="Z1522" s="16"/>
      <c r="AA1522" s="16"/>
      <c r="AB1522" s="16">
        <v>28</v>
      </c>
      <c r="AE1522" s="16"/>
      <c r="AG1522" s="22">
        <f t="shared" si="280"/>
        <v>396</v>
      </c>
      <c r="AH1522" s="6"/>
      <c r="AJ1522" s="20">
        <f t="shared" si="275"/>
        <v>0</v>
      </c>
      <c r="AK1522" s="50">
        <v>28</v>
      </c>
      <c r="AL1522" s="6"/>
      <c r="AM1522" s="20">
        <f t="shared" si="277"/>
        <v>0</v>
      </c>
      <c r="AN1522" s="20">
        <f t="shared" si="278"/>
        <v>149400</v>
      </c>
      <c r="AP1522" s="20">
        <f t="shared" si="279"/>
        <v>149400</v>
      </c>
      <c r="AQ1522" s="7"/>
      <c r="AR1522" s="20"/>
      <c r="AS1522" s="51"/>
    </row>
    <row r="1523" spans="1:48" s="21" customFormat="1" ht="30" customHeight="1" x14ac:dyDescent="0.2">
      <c r="A1523" s="8"/>
      <c r="B1523" s="46"/>
      <c r="C1523" s="16"/>
      <c r="D1523" s="48"/>
      <c r="E1523" s="47"/>
      <c r="F1523" s="48"/>
      <c r="G1523" s="49"/>
      <c r="H1523" s="48"/>
      <c r="I1523" s="48"/>
      <c r="J1523" s="48"/>
      <c r="K1523" s="3"/>
      <c r="L1523" s="16"/>
      <c r="M1523" s="57"/>
      <c r="N1523" s="58"/>
      <c r="P1523" s="16"/>
      <c r="Q1523" s="20">
        <f t="shared" si="281"/>
        <v>0</v>
      </c>
      <c r="R1523" s="14" t="e">
        <v>#N/A</v>
      </c>
      <c r="S1523" s="19" t="e">
        <f t="shared" si="276"/>
        <v>#N/A</v>
      </c>
      <c r="T1523" s="16"/>
      <c r="U1523" s="17" t="s">
        <v>57</v>
      </c>
      <c r="V1523" s="17" t="s">
        <v>56</v>
      </c>
      <c r="W1523" s="4"/>
      <c r="X1523" s="16"/>
      <c r="Y1523" s="5">
        <v>104</v>
      </c>
      <c r="Z1523" s="16"/>
      <c r="AA1523" s="16"/>
      <c r="AB1523" s="16"/>
      <c r="AE1523" s="16"/>
      <c r="AG1523" s="22">
        <f t="shared" si="280"/>
        <v>104</v>
      </c>
      <c r="AH1523" s="6"/>
      <c r="AJ1523" s="20">
        <f t="shared" si="275"/>
        <v>0</v>
      </c>
      <c r="AK1523" s="50"/>
      <c r="AL1523" s="6"/>
      <c r="AM1523" s="20">
        <f t="shared" si="277"/>
        <v>0</v>
      </c>
      <c r="AN1523" s="20" t="e">
        <f t="shared" si="278"/>
        <v>#N/A</v>
      </c>
      <c r="AP1523" s="20" t="e">
        <f t="shared" si="279"/>
        <v>#N/A</v>
      </c>
      <c r="AQ1523" s="7"/>
      <c r="AR1523" s="20"/>
      <c r="AS1523" s="51"/>
    </row>
    <row r="1524" spans="1:48" s="21" customFormat="1" ht="30" customHeight="1" x14ac:dyDescent="0.2">
      <c r="A1524" s="8">
        <v>1295</v>
      </c>
      <c r="B1524" s="46">
        <v>1</v>
      </c>
      <c r="C1524" s="16" t="s">
        <v>52</v>
      </c>
      <c r="D1524" s="48">
        <v>926</v>
      </c>
      <c r="E1524" s="47">
        <v>38</v>
      </c>
      <c r="F1524" s="48">
        <v>315</v>
      </c>
      <c r="G1524" s="49">
        <v>1</v>
      </c>
      <c r="H1524" s="48">
        <v>0</v>
      </c>
      <c r="I1524" s="48">
        <v>0</v>
      </c>
      <c r="J1524" s="48">
        <v>47</v>
      </c>
      <c r="K1524" s="3"/>
      <c r="L1524" s="16">
        <v>47</v>
      </c>
      <c r="M1524" s="57"/>
      <c r="N1524" s="58"/>
      <c r="P1524" s="16">
        <v>2</v>
      </c>
      <c r="Q1524" s="20">
        <f t="shared" si="281"/>
        <v>47</v>
      </c>
      <c r="R1524" s="14">
        <v>250</v>
      </c>
      <c r="S1524" s="20">
        <f t="shared" si="276"/>
        <v>11750</v>
      </c>
      <c r="T1524" s="16"/>
      <c r="U1524" s="17" t="s">
        <v>57</v>
      </c>
      <c r="V1524" s="17" t="s">
        <v>56</v>
      </c>
      <c r="W1524" s="4"/>
      <c r="X1524" s="16"/>
      <c r="Y1524" s="5">
        <v>67.5</v>
      </c>
      <c r="Z1524" s="16"/>
      <c r="AA1524" s="16"/>
      <c r="AB1524" s="16">
        <v>21</v>
      </c>
      <c r="AE1524" s="16"/>
      <c r="AG1524" s="22">
        <f t="shared" si="280"/>
        <v>67.5</v>
      </c>
      <c r="AH1524" s="6"/>
      <c r="AJ1524" s="20">
        <f t="shared" si="275"/>
        <v>0</v>
      </c>
      <c r="AK1524" s="50">
        <v>21</v>
      </c>
      <c r="AL1524" s="6"/>
      <c r="AM1524" s="20">
        <f t="shared" si="277"/>
        <v>0</v>
      </c>
      <c r="AN1524" s="20">
        <f t="shared" si="278"/>
        <v>11750</v>
      </c>
      <c r="AP1524" s="20">
        <f t="shared" si="279"/>
        <v>11750</v>
      </c>
      <c r="AQ1524" s="7"/>
      <c r="AR1524" s="20"/>
      <c r="AS1524" s="51"/>
    </row>
    <row r="1525" spans="1:48" s="21" customFormat="1" ht="30" customHeight="1" x14ac:dyDescent="0.2">
      <c r="A1525" s="8">
        <v>1296</v>
      </c>
      <c r="B1525" s="46">
        <v>1</v>
      </c>
      <c r="C1525" s="16" t="s">
        <v>52</v>
      </c>
      <c r="D1525" s="48">
        <v>922</v>
      </c>
      <c r="E1525" s="47">
        <v>8</v>
      </c>
      <c r="F1525" s="48">
        <v>225</v>
      </c>
      <c r="G1525" s="49">
        <v>1</v>
      </c>
      <c r="H1525" s="48">
        <v>2</v>
      </c>
      <c r="I1525" s="48">
        <v>1</v>
      </c>
      <c r="J1525" s="48">
        <v>70</v>
      </c>
      <c r="K1525" s="3">
        <v>970</v>
      </c>
      <c r="L1525" s="16"/>
      <c r="M1525" s="57"/>
      <c r="N1525" s="58"/>
      <c r="P1525" s="16">
        <v>1</v>
      </c>
      <c r="Q1525" s="20">
        <f t="shared" si="281"/>
        <v>970</v>
      </c>
      <c r="R1525" s="14">
        <v>160</v>
      </c>
      <c r="S1525" s="19">
        <f t="shared" si="276"/>
        <v>155200</v>
      </c>
      <c r="T1525" s="16"/>
      <c r="U1525" s="17"/>
      <c r="V1525" s="17"/>
      <c r="W1525" s="4"/>
      <c r="X1525" s="16"/>
      <c r="Y1525" s="5"/>
      <c r="Z1525" s="16"/>
      <c r="AA1525" s="16"/>
      <c r="AB1525" s="16"/>
      <c r="AE1525" s="16"/>
      <c r="AG1525" s="22">
        <f t="shared" si="280"/>
        <v>0</v>
      </c>
      <c r="AH1525" s="6"/>
      <c r="AJ1525" s="20">
        <f t="shared" si="275"/>
        <v>0</v>
      </c>
      <c r="AK1525" s="50"/>
      <c r="AL1525" s="6"/>
      <c r="AM1525" s="20">
        <f t="shared" si="277"/>
        <v>0</v>
      </c>
      <c r="AN1525" s="20">
        <f t="shared" si="278"/>
        <v>155200</v>
      </c>
      <c r="AP1525" s="20">
        <f t="shared" si="279"/>
        <v>155200</v>
      </c>
      <c r="AQ1525" s="7"/>
      <c r="AR1525" s="20"/>
      <c r="AS1525" s="51"/>
    </row>
    <row r="1526" spans="1:48" s="21" customFormat="1" ht="30" customHeight="1" x14ac:dyDescent="0.2">
      <c r="A1526" s="8">
        <v>1297</v>
      </c>
      <c r="B1526" s="46">
        <v>1</v>
      </c>
      <c r="C1526" s="16" t="s">
        <v>52</v>
      </c>
      <c r="D1526" s="48">
        <v>1111</v>
      </c>
      <c r="E1526" s="47">
        <v>2</v>
      </c>
      <c r="F1526" s="48">
        <v>355</v>
      </c>
      <c r="G1526" s="49">
        <v>1</v>
      </c>
      <c r="H1526" s="48">
        <v>8</v>
      </c>
      <c r="I1526" s="48">
        <v>0</v>
      </c>
      <c r="J1526" s="48">
        <v>87</v>
      </c>
      <c r="K1526" s="3">
        <f>8*400+87</f>
        <v>3287</v>
      </c>
      <c r="L1526" s="16"/>
      <c r="M1526" s="57"/>
      <c r="N1526" s="58"/>
      <c r="P1526" s="16">
        <v>1</v>
      </c>
      <c r="Q1526" s="20">
        <f t="shared" si="281"/>
        <v>3287</v>
      </c>
      <c r="R1526" s="14">
        <v>160</v>
      </c>
      <c r="S1526" s="19">
        <f t="shared" si="276"/>
        <v>525920</v>
      </c>
      <c r="T1526" s="16"/>
      <c r="U1526" s="17"/>
      <c r="V1526" s="17"/>
      <c r="W1526" s="4"/>
      <c r="X1526" s="16"/>
      <c r="Y1526" s="5"/>
      <c r="Z1526" s="16"/>
      <c r="AA1526" s="16"/>
      <c r="AB1526" s="16"/>
      <c r="AE1526" s="16"/>
      <c r="AG1526" s="22">
        <f t="shared" si="280"/>
        <v>0</v>
      </c>
      <c r="AH1526" s="6"/>
      <c r="AJ1526" s="20">
        <f t="shared" si="275"/>
        <v>0</v>
      </c>
      <c r="AK1526" s="50"/>
      <c r="AL1526" s="6"/>
      <c r="AM1526" s="20">
        <f t="shared" si="277"/>
        <v>0</v>
      </c>
      <c r="AN1526" s="20">
        <f t="shared" si="278"/>
        <v>525920</v>
      </c>
      <c r="AP1526" s="20">
        <f t="shared" si="279"/>
        <v>525920</v>
      </c>
      <c r="AQ1526" s="7"/>
      <c r="AR1526" s="20"/>
      <c r="AS1526" s="51"/>
    </row>
    <row r="1527" spans="1:48" s="21" customFormat="1" ht="30" customHeight="1" x14ac:dyDescent="0.2">
      <c r="A1527" s="131">
        <v>1298</v>
      </c>
      <c r="B1527" s="46">
        <v>1</v>
      </c>
      <c r="C1527" s="16" t="s">
        <v>52</v>
      </c>
      <c r="D1527" s="48">
        <v>851</v>
      </c>
      <c r="E1527" s="47">
        <v>77</v>
      </c>
      <c r="F1527" s="48">
        <v>141</v>
      </c>
      <c r="G1527" s="49">
        <v>1</v>
      </c>
      <c r="H1527" s="48">
        <v>1</v>
      </c>
      <c r="I1527" s="48">
        <v>1</v>
      </c>
      <c r="J1527" s="48">
        <v>9</v>
      </c>
      <c r="K1527" s="3"/>
      <c r="L1527" s="58">
        <v>509</v>
      </c>
      <c r="M1527" s="57"/>
      <c r="N1527" s="58"/>
      <c r="P1527" s="16">
        <v>2</v>
      </c>
      <c r="Q1527" s="20">
        <f t="shared" si="281"/>
        <v>509</v>
      </c>
      <c r="R1527" s="14">
        <v>200</v>
      </c>
      <c r="S1527" s="20">
        <f t="shared" si="276"/>
        <v>101800</v>
      </c>
      <c r="T1527" s="16"/>
      <c r="U1527" s="16" t="s">
        <v>57</v>
      </c>
      <c r="V1527" s="16" t="s">
        <v>56</v>
      </c>
      <c r="W1527" s="5"/>
      <c r="X1527" s="16"/>
      <c r="Y1527" s="5">
        <v>210</v>
      </c>
      <c r="Z1527" s="16"/>
      <c r="AA1527" s="16"/>
      <c r="AB1527" s="16">
        <v>31</v>
      </c>
      <c r="AE1527" s="21" t="s">
        <v>167</v>
      </c>
      <c r="AG1527" s="22">
        <f t="shared" si="280"/>
        <v>210</v>
      </c>
      <c r="AH1527" s="6"/>
      <c r="AJ1527" s="20">
        <f t="shared" ref="AJ1527:AJ1559" si="282">+AG1527*AH1527*AI1527</f>
        <v>0</v>
      </c>
      <c r="AK1527" s="50">
        <v>31</v>
      </c>
      <c r="AL1527" s="6"/>
      <c r="AM1527" s="20">
        <f t="shared" si="277"/>
        <v>0</v>
      </c>
      <c r="AN1527" s="20">
        <f t="shared" si="278"/>
        <v>101800</v>
      </c>
      <c r="AP1527" s="20">
        <f t="shared" si="279"/>
        <v>101800</v>
      </c>
      <c r="AQ1527" s="7"/>
      <c r="AR1527" s="60"/>
    </row>
    <row r="1528" spans="1:48" s="21" customFormat="1" ht="30" customHeight="1" x14ac:dyDescent="0.2">
      <c r="A1528" s="131"/>
      <c r="B1528" s="46"/>
      <c r="C1528" s="16"/>
      <c r="D1528" s="48"/>
      <c r="E1528" s="47"/>
      <c r="F1528" s="48"/>
      <c r="G1528" s="49"/>
      <c r="H1528" s="48"/>
      <c r="I1528" s="48"/>
      <c r="J1528" s="48"/>
      <c r="K1528" s="3"/>
      <c r="L1528" s="16"/>
      <c r="M1528" s="57"/>
      <c r="N1528" s="58"/>
      <c r="P1528" s="16"/>
      <c r="Q1528" s="20">
        <f t="shared" si="281"/>
        <v>0</v>
      </c>
      <c r="R1528" s="14" t="e">
        <v>#N/A</v>
      </c>
      <c r="S1528" s="19" t="e">
        <f t="shared" ref="S1528:S1549" si="283">+Q1528*R1528</f>
        <v>#N/A</v>
      </c>
      <c r="T1528" s="16"/>
      <c r="U1528" s="16" t="s">
        <v>63</v>
      </c>
      <c r="V1528" s="16" t="s">
        <v>56</v>
      </c>
      <c r="W1528" s="5"/>
      <c r="X1528" s="16"/>
      <c r="Y1528" s="5">
        <v>136</v>
      </c>
      <c r="Z1528" s="16"/>
      <c r="AA1528" s="16"/>
      <c r="AB1528" s="16">
        <v>31</v>
      </c>
      <c r="AE1528" s="16"/>
      <c r="AG1528" s="22">
        <f t="shared" si="280"/>
        <v>136</v>
      </c>
      <c r="AH1528" s="6"/>
      <c r="AJ1528" s="20">
        <f t="shared" si="282"/>
        <v>0</v>
      </c>
      <c r="AK1528" s="50">
        <v>31</v>
      </c>
      <c r="AL1528" s="6"/>
      <c r="AM1528" s="20">
        <f t="shared" si="277"/>
        <v>0</v>
      </c>
      <c r="AN1528" s="20" t="e">
        <f t="shared" si="278"/>
        <v>#N/A</v>
      </c>
      <c r="AP1528" s="20" t="e">
        <f t="shared" si="279"/>
        <v>#N/A</v>
      </c>
      <c r="AQ1528" s="7"/>
      <c r="AR1528" s="24"/>
      <c r="AS1528" s="97"/>
    </row>
    <row r="1529" spans="1:48" s="21" customFormat="1" ht="30" customHeight="1" x14ac:dyDescent="0.2">
      <c r="A1529" s="131"/>
      <c r="B1529" s="46"/>
      <c r="C1529" s="16"/>
      <c r="D1529" s="48"/>
      <c r="E1529" s="47"/>
      <c r="F1529" s="48"/>
      <c r="G1529" s="49"/>
      <c r="H1529" s="48"/>
      <c r="I1529" s="48"/>
      <c r="J1529" s="48"/>
      <c r="K1529" s="3"/>
      <c r="L1529" s="16"/>
      <c r="M1529" s="57"/>
      <c r="N1529" s="58"/>
      <c r="P1529" s="16"/>
      <c r="Q1529" s="20">
        <f t="shared" si="281"/>
        <v>0</v>
      </c>
      <c r="R1529" s="14" t="e">
        <v>#N/A</v>
      </c>
      <c r="S1529" s="19" t="e">
        <f t="shared" si="283"/>
        <v>#N/A</v>
      </c>
      <c r="T1529" s="16"/>
      <c r="U1529" s="16" t="s">
        <v>57</v>
      </c>
      <c r="V1529" s="16" t="s">
        <v>56</v>
      </c>
      <c r="W1529" s="5"/>
      <c r="X1529" s="16"/>
      <c r="Y1529" s="5">
        <v>42</v>
      </c>
      <c r="Z1529" s="16"/>
      <c r="AA1529" s="16"/>
      <c r="AB1529" s="16">
        <v>20</v>
      </c>
      <c r="AE1529" s="16"/>
      <c r="AG1529" s="22">
        <f t="shared" si="280"/>
        <v>42</v>
      </c>
      <c r="AH1529" s="6"/>
      <c r="AJ1529" s="20">
        <f t="shared" si="282"/>
        <v>0</v>
      </c>
      <c r="AK1529" s="50">
        <v>20</v>
      </c>
      <c r="AL1529" s="6"/>
      <c r="AM1529" s="20">
        <f t="shared" si="277"/>
        <v>0</v>
      </c>
      <c r="AN1529" s="20" t="e">
        <f t="shared" si="278"/>
        <v>#N/A</v>
      </c>
      <c r="AP1529" s="20" t="e">
        <f t="shared" si="279"/>
        <v>#N/A</v>
      </c>
      <c r="AQ1529" s="7"/>
      <c r="AR1529" s="24"/>
      <c r="AS1529" s="97"/>
    </row>
    <row r="1530" spans="1:48" s="21" customFormat="1" ht="30" customHeight="1" x14ac:dyDescent="0.2">
      <c r="A1530" s="131"/>
      <c r="B1530" s="46"/>
      <c r="C1530" s="16"/>
      <c r="D1530" s="48"/>
      <c r="E1530" s="47"/>
      <c r="F1530" s="48"/>
      <c r="G1530" s="49"/>
      <c r="H1530" s="48"/>
      <c r="I1530" s="48"/>
      <c r="J1530" s="48"/>
      <c r="K1530" s="3"/>
      <c r="L1530" s="16"/>
      <c r="M1530" s="57"/>
      <c r="N1530" s="58"/>
      <c r="P1530" s="16"/>
      <c r="Q1530" s="20">
        <f t="shared" si="281"/>
        <v>0</v>
      </c>
      <c r="R1530" s="14" t="e">
        <v>#N/A</v>
      </c>
      <c r="S1530" s="20" t="e">
        <f t="shared" si="283"/>
        <v>#N/A</v>
      </c>
      <c r="T1530" s="16"/>
      <c r="U1530" s="16" t="s">
        <v>63</v>
      </c>
      <c r="V1530" s="16" t="s">
        <v>56</v>
      </c>
      <c r="W1530" s="5"/>
      <c r="X1530" s="16"/>
      <c r="Y1530" s="5">
        <v>153</v>
      </c>
      <c r="Z1530" s="16"/>
      <c r="AA1530" s="16"/>
      <c r="AB1530" s="16">
        <v>1</v>
      </c>
      <c r="AE1530" s="16"/>
      <c r="AG1530" s="22">
        <f t="shared" si="280"/>
        <v>153</v>
      </c>
      <c r="AH1530" s="6"/>
      <c r="AJ1530" s="20">
        <f t="shared" si="282"/>
        <v>0</v>
      </c>
      <c r="AK1530" s="50">
        <v>1</v>
      </c>
      <c r="AL1530" s="6"/>
      <c r="AM1530" s="20">
        <f t="shared" si="277"/>
        <v>0</v>
      </c>
      <c r="AN1530" s="20" t="e">
        <f t="shared" si="278"/>
        <v>#N/A</v>
      </c>
      <c r="AP1530" s="20" t="e">
        <f t="shared" si="279"/>
        <v>#N/A</v>
      </c>
      <c r="AQ1530" s="7"/>
      <c r="AR1530" s="24"/>
      <c r="AS1530" s="97"/>
    </row>
    <row r="1531" spans="1:48" s="21" customFormat="1" ht="30" customHeight="1" x14ac:dyDescent="0.2">
      <c r="A1531" s="8">
        <v>1299</v>
      </c>
      <c r="B1531" s="46">
        <v>2</v>
      </c>
      <c r="C1531" s="16" t="s">
        <v>52</v>
      </c>
      <c r="D1531" s="48">
        <v>1011</v>
      </c>
      <c r="E1531" s="47">
        <v>53</v>
      </c>
      <c r="F1531" s="48">
        <v>352</v>
      </c>
      <c r="G1531" s="49">
        <v>1</v>
      </c>
      <c r="H1531" s="48">
        <v>3</v>
      </c>
      <c r="I1531" s="48">
        <v>2</v>
      </c>
      <c r="J1531" s="48">
        <v>12</v>
      </c>
      <c r="K1531" s="3">
        <v>1412</v>
      </c>
      <c r="L1531" s="16"/>
      <c r="M1531" s="57"/>
      <c r="N1531" s="58"/>
      <c r="P1531" s="16">
        <v>1</v>
      </c>
      <c r="Q1531" s="20">
        <f t="shared" si="281"/>
        <v>1412</v>
      </c>
      <c r="R1531" s="14">
        <v>160</v>
      </c>
      <c r="S1531" s="19">
        <f t="shared" si="283"/>
        <v>225920</v>
      </c>
      <c r="T1531" s="16"/>
      <c r="U1531" s="17"/>
      <c r="V1531" s="16"/>
      <c r="W1531" s="5"/>
      <c r="X1531" s="16"/>
      <c r="Y1531" s="5"/>
      <c r="Z1531" s="16"/>
      <c r="AA1531" s="16"/>
      <c r="AB1531" s="16"/>
      <c r="AE1531" s="21" t="s">
        <v>167</v>
      </c>
      <c r="AG1531" s="22">
        <f t="shared" si="280"/>
        <v>0</v>
      </c>
      <c r="AH1531" s="6"/>
      <c r="AJ1531" s="20">
        <f t="shared" si="282"/>
        <v>0</v>
      </c>
      <c r="AK1531" s="50"/>
      <c r="AL1531" s="6"/>
      <c r="AM1531" s="20">
        <f t="shared" ref="AM1531:AM1559" si="284">+AJ1531-(AL1531*AJ1531)</f>
        <v>0</v>
      </c>
      <c r="AN1531" s="20">
        <f t="shared" si="278"/>
        <v>225920</v>
      </c>
      <c r="AP1531" s="20">
        <f t="shared" si="279"/>
        <v>225920</v>
      </c>
      <c r="AQ1531" s="7"/>
      <c r="AR1531" s="24"/>
      <c r="AS1531" s="96" t="s">
        <v>168</v>
      </c>
    </row>
    <row r="1532" spans="1:48" s="29" customFormat="1" ht="30" customHeight="1" x14ac:dyDescent="0.2">
      <c r="A1532" s="17">
        <v>1300</v>
      </c>
      <c r="B1532" s="13">
        <v>3</v>
      </c>
      <c r="C1532" s="16" t="s">
        <v>65</v>
      </c>
      <c r="D1532" s="17">
        <v>2321</v>
      </c>
      <c r="E1532" s="17">
        <v>298</v>
      </c>
      <c r="F1532" s="17"/>
      <c r="G1532" s="13"/>
      <c r="H1532" s="17">
        <v>2</v>
      </c>
      <c r="I1532" s="17">
        <v>0</v>
      </c>
      <c r="J1532" s="17">
        <v>36</v>
      </c>
      <c r="K1532" s="28">
        <v>836</v>
      </c>
      <c r="L1532" s="63"/>
      <c r="M1532" s="63"/>
      <c r="N1532" s="63"/>
      <c r="O1532" s="63"/>
      <c r="P1532" s="21">
        <v>1</v>
      </c>
      <c r="Q1532" s="19">
        <f t="shared" si="281"/>
        <v>836</v>
      </c>
      <c r="R1532" s="14">
        <v>160</v>
      </c>
      <c r="S1532" s="19">
        <f t="shared" si="283"/>
        <v>133760</v>
      </c>
      <c r="T1532" s="63"/>
      <c r="U1532" s="63"/>
      <c r="V1532" s="63"/>
      <c r="W1532" s="28"/>
      <c r="X1532" s="63"/>
      <c r="Y1532" s="67"/>
      <c r="Z1532" s="63"/>
      <c r="AA1532" s="63"/>
      <c r="AB1532" s="17"/>
      <c r="AC1532" s="14"/>
      <c r="AD1532" s="93"/>
      <c r="AE1532" s="14" t="s">
        <v>169</v>
      </c>
      <c r="AF1532" s="21"/>
      <c r="AG1532" s="22"/>
      <c r="AH1532" s="21"/>
      <c r="AI1532" s="21"/>
      <c r="AJ1532" s="20">
        <f t="shared" si="282"/>
        <v>0</v>
      </c>
      <c r="AK1532" s="50">
        <f>AB1532</f>
        <v>0</v>
      </c>
      <c r="AL1532" s="6"/>
      <c r="AM1532" s="20">
        <f t="shared" si="284"/>
        <v>0</v>
      </c>
      <c r="AN1532" s="20">
        <f t="shared" ref="AN1532:AN1549" si="285">+S1532+AM1532</f>
        <v>133760</v>
      </c>
      <c r="AO1532" s="21"/>
      <c r="AP1532" s="20">
        <f>+AN1532</f>
        <v>133760</v>
      </c>
      <c r="AQ1532" s="7">
        <v>1E-4</v>
      </c>
      <c r="AR1532" s="25"/>
      <c r="AS1532" s="96" t="s">
        <v>170</v>
      </c>
      <c r="AT1532" s="21"/>
      <c r="AU1532" s="21"/>
      <c r="AV1532" s="21"/>
    </row>
    <row r="1533" spans="1:48" s="21" customFormat="1" ht="30" customHeight="1" x14ac:dyDescent="0.2">
      <c r="A1533" s="8">
        <v>1301</v>
      </c>
      <c r="B1533" s="46">
        <v>1</v>
      </c>
      <c r="C1533" s="16" t="s">
        <v>52</v>
      </c>
      <c r="D1533" s="48">
        <v>1141</v>
      </c>
      <c r="E1533" s="47">
        <v>57</v>
      </c>
      <c r="F1533" s="48">
        <v>723</v>
      </c>
      <c r="G1533" s="49">
        <v>1</v>
      </c>
      <c r="H1533" s="48">
        <v>6</v>
      </c>
      <c r="I1533" s="48">
        <v>2</v>
      </c>
      <c r="J1533" s="48">
        <v>39</v>
      </c>
      <c r="K1533" s="3">
        <v>2639</v>
      </c>
      <c r="L1533" s="16"/>
      <c r="M1533" s="57"/>
      <c r="N1533" s="58"/>
      <c r="P1533" s="16">
        <v>1</v>
      </c>
      <c r="Q1533" s="20">
        <f t="shared" si="281"/>
        <v>2639</v>
      </c>
      <c r="R1533" s="14">
        <v>200</v>
      </c>
      <c r="S1533" s="19">
        <f t="shared" si="283"/>
        <v>527800</v>
      </c>
      <c r="T1533" s="16"/>
      <c r="U1533" s="17"/>
      <c r="V1533" s="17"/>
      <c r="W1533" s="4"/>
      <c r="X1533" s="16"/>
      <c r="Y1533" s="5"/>
      <c r="Z1533" s="16"/>
      <c r="AA1533" s="16"/>
      <c r="AB1533" s="16"/>
      <c r="AE1533" s="16"/>
      <c r="AG1533" s="22">
        <f t="shared" ref="AG1533:AG1549" si="286">Y1533</f>
        <v>0</v>
      </c>
      <c r="AH1533" s="6"/>
      <c r="AJ1533" s="20">
        <f t="shared" si="282"/>
        <v>0</v>
      </c>
      <c r="AK1533" s="50"/>
      <c r="AL1533" s="6"/>
      <c r="AM1533" s="20">
        <f t="shared" si="284"/>
        <v>0</v>
      </c>
      <c r="AN1533" s="20">
        <f t="shared" si="285"/>
        <v>527800</v>
      </c>
      <c r="AP1533" s="20">
        <f t="shared" ref="AP1533:AP1559" si="287">AN1533</f>
        <v>527800</v>
      </c>
      <c r="AQ1533" s="7"/>
      <c r="AR1533" s="24"/>
      <c r="AS1533" s="97"/>
    </row>
    <row r="1534" spans="1:48" s="21" customFormat="1" ht="30" customHeight="1" x14ac:dyDescent="0.2">
      <c r="A1534" s="8">
        <v>1302</v>
      </c>
      <c r="B1534" s="46">
        <v>2</v>
      </c>
      <c r="C1534" s="16" t="s">
        <v>52</v>
      </c>
      <c r="D1534" s="48">
        <v>12558</v>
      </c>
      <c r="E1534" s="47">
        <v>61</v>
      </c>
      <c r="F1534" s="48">
        <v>3247</v>
      </c>
      <c r="G1534" s="49">
        <v>1</v>
      </c>
      <c r="H1534" s="48">
        <v>4</v>
      </c>
      <c r="I1534" s="48">
        <v>1</v>
      </c>
      <c r="J1534" s="48">
        <v>83</v>
      </c>
      <c r="K1534" s="3">
        <v>1783</v>
      </c>
      <c r="L1534" s="16"/>
      <c r="M1534" s="57"/>
      <c r="N1534" s="58"/>
      <c r="P1534" s="16">
        <v>1</v>
      </c>
      <c r="Q1534" s="20">
        <f t="shared" si="281"/>
        <v>1783</v>
      </c>
      <c r="R1534" s="14">
        <v>160</v>
      </c>
      <c r="S1534" s="19">
        <f t="shared" si="283"/>
        <v>285280</v>
      </c>
      <c r="T1534" s="16"/>
      <c r="U1534" s="17"/>
      <c r="V1534" s="17"/>
      <c r="W1534" s="4"/>
      <c r="X1534" s="16"/>
      <c r="Y1534" s="5"/>
      <c r="Z1534" s="16"/>
      <c r="AA1534" s="16"/>
      <c r="AB1534" s="16"/>
      <c r="AE1534" s="16"/>
      <c r="AG1534" s="22">
        <f t="shared" si="286"/>
        <v>0</v>
      </c>
      <c r="AH1534" s="6"/>
      <c r="AJ1534" s="20">
        <f t="shared" si="282"/>
        <v>0</v>
      </c>
      <c r="AK1534" s="50"/>
      <c r="AL1534" s="6"/>
      <c r="AM1534" s="20">
        <f t="shared" si="284"/>
        <v>0</v>
      </c>
      <c r="AN1534" s="20">
        <f t="shared" si="285"/>
        <v>285280</v>
      </c>
      <c r="AP1534" s="20">
        <f t="shared" si="287"/>
        <v>285280</v>
      </c>
      <c r="AQ1534" s="7"/>
      <c r="AR1534" s="25"/>
      <c r="AS1534" s="98"/>
    </row>
    <row r="1535" spans="1:48" s="21" customFormat="1" ht="30" customHeight="1" x14ac:dyDescent="0.2">
      <c r="A1535" s="8">
        <v>1303</v>
      </c>
      <c r="B1535" s="46">
        <v>1</v>
      </c>
      <c r="C1535" s="16" t="s">
        <v>52</v>
      </c>
      <c r="D1535" s="48">
        <v>1182</v>
      </c>
      <c r="E1535" s="47">
        <v>3</v>
      </c>
      <c r="F1535" s="48">
        <v>1021</v>
      </c>
      <c r="G1535" s="49">
        <v>1</v>
      </c>
      <c r="H1535" s="48">
        <v>7</v>
      </c>
      <c r="I1535" s="48">
        <v>2</v>
      </c>
      <c r="J1535" s="48">
        <v>74</v>
      </c>
      <c r="K1535" s="3">
        <f>7*400+274</f>
        <v>3074</v>
      </c>
      <c r="L1535" s="16"/>
      <c r="M1535" s="57"/>
      <c r="N1535" s="58"/>
      <c r="P1535" s="16">
        <v>1</v>
      </c>
      <c r="Q1535" s="20">
        <f t="shared" si="281"/>
        <v>3074</v>
      </c>
      <c r="R1535" s="14">
        <v>160</v>
      </c>
      <c r="S1535" s="20">
        <f t="shared" si="283"/>
        <v>491840</v>
      </c>
      <c r="T1535" s="16"/>
      <c r="U1535" s="17"/>
      <c r="V1535" s="17"/>
      <c r="W1535" s="4"/>
      <c r="X1535" s="16"/>
      <c r="Y1535" s="5"/>
      <c r="Z1535" s="16"/>
      <c r="AA1535" s="16"/>
      <c r="AB1535" s="16"/>
      <c r="AC1535" s="14"/>
      <c r="AD1535" s="14"/>
      <c r="AE1535" s="21" t="s">
        <v>167</v>
      </c>
      <c r="AG1535" s="22">
        <f t="shared" si="286"/>
        <v>0</v>
      </c>
      <c r="AH1535" s="6"/>
      <c r="AJ1535" s="20">
        <f t="shared" si="282"/>
        <v>0</v>
      </c>
      <c r="AK1535" s="50"/>
      <c r="AL1535" s="6"/>
      <c r="AM1535" s="20">
        <f t="shared" si="284"/>
        <v>0</v>
      </c>
      <c r="AN1535" s="20">
        <f t="shared" si="285"/>
        <v>491840</v>
      </c>
      <c r="AP1535" s="20">
        <f t="shared" si="287"/>
        <v>491840</v>
      </c>
      <c r="AQ1535" s="7"/>
      <c r="AR1535" s="24"/>
      <c r="AS1535" s="97"/>
    </row>
    <row r="1536" spans="1:48" s="21" customFormat="1" ht="30" customHeight="1" x14ac:dyDescent="0.2">
      <c r="A1536" s="8">
        <v>1304</v>
      </c>
      <c r="B1536" s="46">
        <v>1</v>
      </c>
      <c r="C1536" s="16" t="s">
        <v>52</v>
      </c>
      <c r="D1536" s="48">
        <v>4659</v>
      </c>
      <c r="E1536" s="47">
        <v>34</v>
      </c>
      <c r="F1536" s="48">
        <v>2485</v>
      </c>
      <c r="G1536" s="49">
        <v>1</v>
      </c>
      <c r="H1536" s="48">
        <v>7</v>
      </c>
      <c r="I1536" s="48">
        <v>2</v>
      </c>
      <c r="J1536" s="48">
        <v>17</v>
      </c>
      <c r="K1536" s="3">
        <f>7*400+217</f>
        <v>3017</v>
      </c>
      <c r="L1536" s="16"/>
      <c r="M1536" s="57"/>
      <c r="N1536" s="58"/>
      <c r="P1536" s="16">
        <v>1</v>
      </c>
      <c r="Q1536" s="20">
        <f t="shared" si="281"/>
        <v>3017</v>
      </c>
      <c r="R1536" s="14">
        <v>200</v>
      </c>
      <c r="S1536" s="19">
        <f t="shared" si="283"/>
        <v>603400</v>
      </c>
      <c r="T1536" s="16"/>
      <c r="U1536" s="17"/>
      <c r="V1536" s="17"/>
      <c r="W1536" s="4"/>
      <c r="X1536" s="16"/>
      <c r="Y1536" s="5"/>
      <c r="Z1536" s="16"/>
      <c r="AA1536" s="16"/>
      <c r="AB1536" s="16"/>
      <c r="AC1536" s="14"/>
      <c r="AD1536" s="14"/>
      <c r="AE1536" s="16"/>
      <c r="AG1536" s="22">
        <f t="shared" si="286"/>
        <v>0</v>
      </c>
      <c r="AH1536" s="6"/>
      <c r="AJ1536" s="20">
        <f t="shared" si="282"/>
        <v>0</v>
      </c>
      <c r="AK1536" s="50"/>
      <c r="AL1536" s="6"/>
      <c r="AM1536" s="20">
        <f t="shared" si="284"/>
        <v>0</v>
      </c>
      <c r="AN1536" s="20">
        <f t="shared" si="285"/>
        <v>603400</v>
      </c>
      <c r="AP1536" s="20">
        <f t="shared" si="287"/>
        <v>603400</v>
      </c>
      <c r="AQ1536" s="7"/>
      <c r="AR1536" s="60"/>
      <c r="AS1536" s="128">
        <v>41</v>
      </c>
    </row>
    <row r="1537" spans="1:45" s="21" customFormat="1" ht="30" customHeight="1" x14ac:dyDescent="0.2">
      <c r="A1537" s="8">
        <v>1305</v>
      </c>
      <c r="B1537" s="46">
        <v>2</v>
      </c>
      <c r="C1537" s="16" t="s">
        <v>52</v>
      </c>
      <c r="D1537" s="48">
        <v>29161</v>
      </c>
      <c r="E1537" s="47">
        <v>257</v>
      </c>
      <c r="F1537" s="48">
        <v>5356</v>
      </c>
      <c r="G1537" s="49">
        <v>1</v>
      </c>
      <c r="H1537" s="48">
        <v>0</v>
      </c>
      <c r="I1537" s="48">
        <v>0</v>
      </c>
      <c r="J1537" s="48">
        <v>68</v>
      </c>
      <c r="K1537" s="3">
        <v>68</v>
      </c>
      <c r="L1537" s="16"/>
      <c r="M1537" s="57"/>
      <c r="N1537" s="58"/>
      <c r="P1537" s="16">
        <v>1</v>
      </c>
      <c r="Q1537" s="20">
        <f t="shared" si="281"/>
        <v>68</v>
      </c>
      <c r="R1537" s="14">
        <v>200</v>
      </c>
      <c r="S1537" s="20">
        <f t="shared" si="283"/>
        <v>13600</v>
      </c>
      <c r="T1537" s="16"/>
      <c r="U1537" s="17"/>
      <c r="V1537" s="17"/>
      <c r="W1537" s="4"/>
      <c r="X1537" s="16"/>
      <c r="Y1537" s="5"/>
      <c r="Z1537" s="16"/>
      <c r="AA1537" s="16"/>
      <c r="AB1537" s="16"/>
      <c r="AC1537" s="14"/>
      <c r="AD1537" s="14"/>
      <c r="AE1537" s="16"/>
      <c r="AG1537" s="22">
        <f t="shared" si="286"/>
        <v>0</v>
      </c>
      <c r="AH1537" s="6"/>
      <c r="AJ1537" s="20">
        <f t="shared" si="282"/>
        <v>0</v>
      </c>
      <c r="AK1537" s="50"/>
      <c r="AL1537" s="6"/>
      <c r="AM1537" s="20">
        <f t="shared" si="284"/>
        <v>0</v>
      </c>
      <c r="AN1537" s="20">
        <f t="shared" si="285"/>
        <v>13600</v>
      </c>
      <c r="AP1537" s="20">
        <f t="shared" si="287"/>
        <v>13600</v>
      </c>
      <c r="AQ1537" s="7"/>
      <c r="AR1537" s="25"/>
      <c r="AS1537" s="130"/>
    </row>
    <row r="1538" spans="1:45" s="21" customFormat="1" ht="30" customHeight="1" x14ac:dyDescent="0.2">
      <c r="A1538" s="8">
        <v>1306</v>
      </c>
      <c r="B1538" s="46">
        <v>1</v>
      </c>
      <c r="C1538" s="16" t="s">
        <v>52</v>
      </c>
      <c r="D1538" s="48">
        <v>12555</v>
      </c>
      <c r="E1538" s="47">
        <v>370</v>
      </c>
      <c r="F1538" s="48">
        <v>3252</v>
      </c>
      <c r="G1538" s="49">
        <v>1</v>
      </c>
      <c r="H1538" s="48">
        <v>0</v>
      </c>
      <c r="I1538" s="48">
        <v>0</v>
      </c>
      <c r="J1538" s="48">
        <v>80.040000000000006</v>
      </c>
      <c r="K1538" s="3"/>
      <c r="L1538" s="16">
        <v>80.040000000000006</v>
      </c>
      <c r="M1538" s="57"/>
      <c r="N1538" s="58"/>
      <c r="P1538" s="16">
        <v>2</v>
      </c>
      <c r="Q1538" s="20">
        <f t="shared" si="281"/>
        <v>80.040000000000006</v>
      </c>
      <c r="R1538" s="14">
        <v>3000</v>
      </c>
      <c r="S1538" s="19">
        <f t="shared" si="283"/>
        <v>240120.00000000003</v>
      </c>
      <c r="T1538" s="16"/>
      <c r="U1538" s="16"/>
      <c r="V1538" s="16"/>
      <c r="W1538" s="5"/>
      <c r="X1538" s="16"/>
      <c r="Y1538" s="5"/>
      <c r="Z1538" s="16"/>
      <c r="AA1538" s="16"/>
      <c r="AB1538" s="16"/>
      <c r="AC1538" s="14"/>
      <c r="AD1538" s="14"/>
      <c r="AE1538" s="16"/>
      <c r="AG1538" s="22">
        <f t="shared" si="286"/>
        <v>0</v>
      </c>
      <c r="AH1538" s="6"/>
      <c r="AJ1538" s="20">
        <f t="shared" si="282"/>
        <v>0</v>
      </c>
      <c r="AK1538" s="50"/>
      <c r="AL1538" s="6"/>
      <c r="AM1538" s="20">
        <f t="shared" si="284"/>
        <v>0</v>
      </c>
      <c r="AN1538" s="20">
        <f t="shared" si="285"/>
        <v>240120.00000000003</v>
      </c>
      <c r="AP1538" s="20">
        <f t="shared" si="287"/>
        <v>240120.00000000003</v>
      </c>
      <c r="AQ1538" s="7"/>
      <c r="AR1538" s="20"/>
      <c r="AS1538" s="51"/>
    </row>
    <row r="1539" spans="1:45" s="21" customFormat="1" ht="30" customHeight="1" x14ac:dyDescent="0.2">
      <c r="A1539" s="8">
        <v>1307</v>
      </c>
      <c r="B1539" s="46">
        <v>1</v>
      </c>
      <c r="C1539" s="16" t="s">
        <v>52</v>
      </c>
      <c r="D1539" s="48">
        <v>974</v>
      </c>
      <c r="E1539" s="47">
        <v>1</v>
      </c>
      <c r="F1539" s="48">
        <v>378</v>
      </c>
      <c r="G1539" s="49">
        <v>1</v>
      </c>
      <c r="H1539" s="48">
        <v>1</v>
      </c>
      <c r="I1539" s="48">
        <v>0</v>
      </c>
      <c r="J1539" s="48">
        <v>95</v>
      </c>
      <c r="K1539" s="3">
        <v>495</v>
      </c>
      <c r="L1539" s="16"/>
      <c r="M1539" s="57"/>
      <c r="N1539" s="58"/>
      <c r="P1539" s="16">
        <v>1</v>
      </c>
      <c r="Q1539" s="20">
        <f t="shared" si="281"/>
        <v>495</v>
      </c>
      <c r="R1539" s="14">
        <v>2250</v>
      </c>
      <c r="S1539" s="19">
        <f t="shared" si="283"/>
        <v>1113750</v>
      </c>
      <c r="T1539" s="16"/>
      <c r="U1539" s="17"/>
      <c r="V1539" s="16"/>
      <c r="W1539" s="5"/>
      <c r="X1539" s="16"/>
      <c r="Y1539" s="5"/>
      <c r="Z1539" s="16"/>
      <c r="AA1539" s="16"/>
      <c r="AB1539" s="16"/>
      <c r="AC1539" s="14"/>
      <c r="AD1539" s="14"/>
      <c r="AE1539" s="16"/>
      <c r="AG1539" s="22">
        <f t="shared" si="286"/>
        <v>0</v>
      </c>
      <c r="AH1539" s="6"/>
      <c r="AJ1539" s="20">
        <f t="shared" si="282"/>
        <v>0</v>
      </c>
      <c r="AK1539" s="50"/>
      <c r="AL1539" s="6"/>
      <c r="AM1539" s="20">
        <f t="shared" si="284"/>
        <v>0</v>
      </c>
      <c r="AN1539" s="20">
        <f t="shared" si="285"/>
        <v>1113750</v>
      </c>
      <c r="AP1539" s="20">
        <f t="shared" si="287"/>
        <v>1113750</v>
      </c>
      <c r="AQ1539" s="7"/>
      <c r="AR1539" s="20"/>
      <c r="AS1539" s="51"/>
    </row>
    <row r="1540" spans="1:45" s="21" customFormat="1" ht="30" customHeight="1" x14ac:dyDescent="0.2">
      <c r="A1540" s="8">
        <v>1308</v>
      </c>
      <c r="B1540" s="46">
        <v>1</v>
      </c>
      <c r="C1540" s="16" t="s">
        <v>52</v>
      </c>
      <c r="D1540" s="48">
        <v>36849</v>
      </c>
      <c r="E1540" s="47">
        <v>384</v>
      </c>
      <c r="F1540" s="48">
        <v>7322</v>
      </c>
      <c r="G1540" s="49">
        <v>1</v>
      </c>
      <c r="H1540" s="48">
        <v>0</v>
      </c>
      <c r="I1540" s="48">
        <v>1</v>
      </c>
      <c r="J1540" s="48">
        <v>46.01</v>
      </c>
      <c r="K1540" s="3">
        <v>146.01</v>
      </c>
      <c r="L1540" s="16"/>
      <c r="M1540" s="57"/>
      <c r="N1540" s="58"/>
      <c r="P1540" s="16">
        <v>1</v>
      </c>
      <c r="Q1540" s="20">
        <f t="shared" si="281"/>
        <v>146.01</v>
      </c>
      <c r="R1540" s="14">
        <v>200</v>
      </c>
      <c r="S1540" s="20">
        <f t="shared" si="283"/>
        <v>29202</v>
      </c>
      <c r="T1540" s="16"/>
      <c r="U1540" s="17"/>
      <c r="V1540" s="17"/>
      <c r="W1540" s="4"/>
      <c r="X1540" s="16"/>
      <c r="Y1540" s="5"/>
      <c r="Z1540" s="16"/>
      <c r="AA1540" s="16"/>
      <c r="AB1540" s="16"/>
      <c r="AC1540" s="14"/>
      <c r="AD1540" s="14"/>
      <c r="AE1540" s="16"/>
      <c r="AG1540" s="22">
        <f t="shared" si="286"/>
        <v>0</v>
      </c>
      <c r="AH1540" s="6"/>
      <c r="AJ1540" s="20">
        <f t="shared" si="282"/>
        <v>0</v>
      </c>
      <c r="AK1540" s="50"/>
      <c r="AL1540" s="6"/>
      <c r="AM1540" s="20">
        <f t="shared" si="284"/>
        <v>0</v>
      </c>
      <c r="AN1540" s="20">
        <f t="shared" si="285"/>
        <v>29202</v>
      </c>
      <c r="AP1540" s="20">
        <f t="shared" si="287"/>
        <v>29202</v>
      </c>
      <c r="AQ1540" s="7"/>
      <c r="AR1540" s="20"/>
      <c r="AS1540" s="51"/>
    </row>
    <row r="1541" spans="1:45" s="21" customFormat="1" ht="30" customHeight="1" x14ac:dyDescent="0.2">
      <c r="A1541" s="8">
        <v>1309</v>
      </c>
      <c r="B1541" s="46">
        <v>2</v>
      </c>
      <c r="C1541" s="16" t="s">
        <v>52</v>
      </c>
      <c r="D1541" s="48">
        <v>36850</v>
      </c>
      <c r="E1541" s="47">
        <v>385</v>
      </c>
      <c r="F1541" s="48">
        <v>7323</v>
      </c>
      <c r="G1541" s="49">
        <v>1</v>
      </c>
      <c r="H1541" s="48">
        <v>0</v>
      </c>
      <c r="I1541" s="48">
        <v>2</v>
      </c>
      <c r="J1541" s="48">
        <v>45.07</v>
      </c>
      <c r="K1541" s="3">
        <v>245.07</v>
      </c>
      <c r="L1541" s="16"/>
      <c r="M1541" s="57"/>
      <c r="N1541" s="58"/>
      <c r="P1541" s="16">
        <v>1</v>
      </c>
      <c r="Q1541" s="20">
        <f t="shared" si="281"/>
        <v>245.07</v>
      </c>
      <c r="R1541" s="14">
        <v>200</v>
      </c>
      <c r="S1541" s="19">
        <f t="shared" si="283"/>
        <v>49014</v>
      </c>
      <c r="T1541" s="16"/>
      <c r="U1541" s="17"/>
      <c r="V1541" s="17"/>
      <c r="W1541" s="4"/>
      <c r="X1541" s="16"/>
      <c r="Y1541" s="5"/>
      <c r="Z1541" s="16"/>
      <c r="AA1541" s="16"/>
      <c r="AB1541" s="16"/>
      <c r="AE1541" s="16"/>
      <c r="AG1541" s="22">
        <f t="shared" si="286"/>
        <v>0</v>
      </c>
      <c r="AH1541" s="6"/>
      <c r="AJ1541" s="20">
        <f t="shared" si="282"/>
        <v>0</v>
      </c>
      <c r="AK1541" s="50"/>
      <c r="AL1541" s="6"/>
      <c r="AM1541" s="20">
        <f t="shared" si="284"/>
        <v>0</v>
      </c>
      <c r="AN1541" s="20">
        <f t="shared" si="285"/>
        <v>49014</v>
      </c>
      <c r="AP1541" s="20">
        <f t="shared" si="287"/>
        <v>49014</v>
      </c>
      <c r="AQ1541" s="7"/>
      <c r="AR1541" s="20"/>
      <c r="AS1541" s="51"/>
    </row>
    <row r="1542" spans="1:45" s="21" customFormat="1" ht="30" customHeight="1" x14ac:dyDescent="0.2">
      <c r="A1542" s="8">
        <v>1310</v>
      </c>
      <c r="B1542" s="46">
        <v>1</v>
      </c>
      <c r="C1542" s="16" t="s">
        <v>52</v>
      </c>
      <c r="D1542" s="48">
        <v>915</v>
      </c>
      <c r="E1542" s="47">
        <v>25</v>
      </c>
      <c r="F1542" s="48">
        <v>216</v>
      </c>
      <c r="G1542" s="49">
        <v>1</v>
      </c>
      <c r="H1542" s="48">
        <v>1</v>
      </c>
      <c r="I1542" s="48">
        <v>0</v>
      </c>
      <c r="J1542" s="48">
        <v>37</v>
      </c>
      <c r="K1542" s="3"/>
      <c r="L1542" s="16">
        <v>437</v>
      </c>
      <c r="M1542" s="57"/>
      <c r="N1542" s="58"/>
      <c r="P1542" s="16">
        <v>2</v>
      </c>
      <c r="Q1542" s="20">
        <f t="shared" si="281"/>
        <v>437</v>
      </c>
      <c r="R1542" s="14">
        <v>200</v>
      </c>
      <c r="S1542" s="19">
        <f t="shared" si="283"/>
        <v>87400</v>
      </c>
      <c r="T1542" s="16"/>
      <c r="U1542" s="17"/>
      <c r="V1542" s="17"/>
      <c r="W1542" s="4"/>
      <c r="X1542" s="16"/>
      <c r="Y1542" s="5"/>
      <c r="Z1542" s="16"/>
      <c r="AA1542" s="16"/>
      <c r="AB1542" s="16">
        <v>22</v>
      </c>
      <c r="AE1542" s="16"/>
      <c r="AG1542" s="22">
        <f t="shared" si="286"/>
        <v>0</v>
      </c>
      <c r="AH1542" s="6"/>
      <c r="AJ1542" s="20">
        <f t="shared" si="282"/>
        <v>0</v>
      </c>
      <c r="AK1542" s="50">
        <v>22</v>
      </c>
      <c r="AL1542" s="6"/>
      <c r="AM1542" s="20">
        <f t="shared" si="284"/>
        <v>0</v>
      </c>
      <c r="AN1542" s="20">
        <f t="shared" si="285"/>
        <v>87400</v>
      </c>
      <c r="AP1542" s="20">
        <f t="shared" si="287"/>
        <v>87400</v>
      </c>
      <c r="AQ1542" s="7"/>
      <c r="AR1542" s="60"/>
      <c r="AS1542" s="128">
        <v>41</v>
      </c>
    </row>
    <row r="1543" spans="1:45" s="21" customFormat="1" ht="30" customHeight="1" x14ac:dyDescent="0.2">
      <c r="A1543" s="8">
        <v>1311</v>
      </c>
      <c r="B1543" s="46">
        <v>2</v>
      </c>
      <c r="C1543" s="16" t="s">
        <v>52</v>
      </c>
      <c r="D1543" s="48">
        <v>917</v>
      </c>
      <c r="E1543" s="47">
        <v>12</v>
      </c>
      <c r="F1543" s="48">
        <v>218</v>
      </c>
      <c r="G1543" s="49">
        <v>1</v>
      </c>
      <c r="H1543" s="48">
        <v>6</v>
      </c>
      <c r="I1543" s="48">
        <v>2</v>
      </c>
      <c r="J1543" s="48">
        <v>20</v>
      </c>
      <c r="K1543" s="3">
        <v>2620</v>
      </c>
      <c r="L1543" s="16"/>
      <c r="M1543" s="57"/>
      <c r="N1543" s="58"/>
      <c r="P1543" s="16">
        <v>1</v>
      </c>
      <c r="Q1543" s="20">
        <f t="shared" si="281"/>
        <v>2620</v>
      </c>
      <c r="R1543" s="14">
        <v>200</v>
      </c>
      <c r="S1543" s="20">
        <f t="shared" si="283"/>
        <v>524000</v>
      </c>
      <c r="T1543" s="16"/>
      <c r="U1543" s="17"/>
      <c r="V1543" s="17"/>
      <c r="W1543" s="4"/>
      <c r="X1543" s="16"/>
      <c r="Y1543" s="5"/>
      <c r="Z1543" s="16"/>
      <c r="AA1543" s="16"/>
      <c r="AB1543" s="16"/>
      <c r="AE1543" s="16"/>
      <c r="AG1543" s="22">
        <f t="shared" si="286"/>
        <v>0</v>
      </c>
      <c r="AH1543" s="6"/>
      <c r="AJ1543" s="20">
        <f t="shared" si="282"/>
        <v>0</v>
      </c>
      <c r="AK1543" s="50"/>
      <c r="AL1543" s="6"/>
      <c r="AM1543" s="20">
        <f t="shared" si="284"/>
        <v>0</v>
      </c>
      <c r="AN1543" s="20">
        <f t="shared" si="285"/>
        <v>524000</v>
      </c>
      <c r="AP1543" s="20">
        <f t="shared" si="287"/>
        <v>524000</v>
      </c>
      <c r="AQ1543" s="7"/>
      <c r="AR1543" s="24"/>
      <c r="AS1543" s="129"/>
    </row>
    <row r="1544" spans="1:45" s="21" customFormat="1" ht="30" customHeight="1" x14ac:dyDescent="0.2">
      <c r="A1544" s="8">
        <v>1312</v>
      </c>
      <c r="B1544" s="46">
        <v>3</v>
      </c>
      <c r="C1544" s="16" t="s">
        <v>52</v>
      </c>
      <c r="D1544" s="48">
        <v>930</v>
      </c>
      <c r="E1544" s="47">
        <v>23</v>
      </c>
      <c r="F1544" s="48">
        <v>319</v>
      </c>
      <c r="G1544" s="49">
        <v>1</v>
      </c>
      <c r="H1544" s="48">
        <v>0</v>
      </c>
      <c r="I1544" s="48">
        <v>3</v>
      </c>
      <c r="J1544" s="48">
        <v>6</v>
      </c>
      <c r="K1544" s="3"/>
      <c r="L1544" s="16">
        <v>306</v>
      </c>
      <c r="M1544" s="57"/>
      <c r="N1544" s="58"/>
      <c r="P1544" s="16">
        <v>2</v>
      </c>
      <c r="Q1544" s="20">
        <f t="shared" si="281"/>
        <v>306</v>
      </c>
      <c r="R1544" s="14">
        <v>250</v>
      </c>
      <c r="S1544" s="19">
        <f t="shared" si="283"/>
        <v>76500</v>
      </c>
      <c r="T1544" s="16"/>
      <c r="U1544" s="17"/>
      <c r="V1544" s="17"/>
      <c r="W1544" s="4"/>
      <c r="X1544" s="16"/>
      <c r="Y1544" s="5">
        <v>125</v>
      </c>
      <c r="Z1544" s="16"/>
      <c r="AA1544" s="16"/>
      <c r="AB1544" s="16">
        <v>0</v>
      </c>
      <c r="AE1544" s="16"/>
      <c r="AG1544" s="22">
        <f t="shared" si="286"/>
        <v>125</v>
      </c>
      <c r="AH1544" s="6"/>
      <c r="AJ1544" s="20">
        <f t="shared" si="282"/>
        <v>0</v>
      </c>
      <c r="AK1544" s="50">
        <v>0</v>
      </c>
      <c r="AL1544" s="6"/>
      <c r="AM1544" s="20">
        <f t="shared" si="284"/>
        <v>0</v>
      </c>
      <c r="AN1544" s="20">
        <f t="shared" si="285"/>
        <v>76500</v>
      </c>
      <c r="AP1544" s="20">
        <f t="shared" si="287"/>
        <v>76500</v>
      </c>
      <c r="AQ1544" s="7"/>
      <c r="AR1544" s="25"/>
      <c r="AS1544" s="130"/>
    </row>
    <row r="1545" spans="1:45" s="21" customFormat="1" ht="30" customHeight="1" x14ac:dyDescent="0.2">
      <c r="A1545" s="8">
        <v>1313</v>
      </c>
      <c r="B1545" s="46">
        <v>1</v>
      </c>
      <c r="C1545" s="16" t="s">
        <v>52</v>
      </c>
      <c r="D1545" s="48">
        <v>25044</v>
      </c>
      <c r="E1545" s="47">
        <v>72</v>
      </c>
      <c r="F1545" s="48">
        <v>4954</v>
      </c>
      <c r="G1545" s="49">
        <v>1</v>
      </c>
      <c r="H1545" s="48">
        <v>1</v>
      </c>
      <c r="I1545" s="48">
        <v>1</v>
      </c>
      <c r="J1545" s="48">
        <v>88</v>
      </c>
      <c r="K1545" s="3">
        <v>588</v>
      </c>
      <c r="L1545" s="16"/>
      <c r="M1545" s="57"/>
      <c r="N1545" s="58"/>
      <c r="P1545" s="16">
        <v>1</v>
      </c>
      <c r="Q1545" s="20">
        <f t="shared" si="281"/>
        <v>588</v>
      </c>
      <c r="R1545" s="14">
        <v>750</v>
      </c>
      <c r="S1545" s="19">
        <f t="shared" si="283"/>
        <v>441000</v>
      </c>
      <c r="T1545" s="16"/>
      <c r="U1545" s="16"/>
      <c r="V1545" s="16"/>
      <c r="W1545" s="5"/>
      <c r="X1545" s="16"/>
      <c r="Y1545" s="5"/>
      <c r="Z1545" s="16"/>
      <c r="AA1545" s="16"/>
      <c r="AB1545" s="16"/>
      <c r="AE1545" s="16"/>
      <c r="AG1545" s="22">
        <f t="shared" si="286"/>
        <v>0</v>
      </c>
      <c r="AH1545" s="6"/>
      <c r="AJ1545" s="20">
        <f t="shared" si="282"/>
        <v>0</v>
      </c>
      <c r="AK1545" s="50"/>
      <c r="AL1545" s="6"/>
      <c r="AM1545" s="20">
        <f t="shared" si="284"/>
        <v>0</v>
      </c>
      <c r="AN1545" s="20">
        <f t="shared" si="285"/>
        <v>441000</v>
      </c>
      <c r="AP1545" s="20">
        <f t="shared" si="287"/>
        <v>441000</v>
      </c>
      <c r="AQ1545" s="7"/>
      <c r="AR1545" s="20"/>
      <c r="AS1545" s="51"/>
    </row>
    <row r="1546" spans="1:45" s="21" customFormat="1" ht="30" customHeight="1" x14ac:dyDescent="0.2">
      <c r="A1546" s="8">
        <v>1314</v>
      </c>
      <c r="B1546" s="46">
        <v>1</v>
      </c>
      <c r="C1546" s="16" t="s">
        <v>52</v>
      </c>
      <c r="D1546" s="48">
        <v>18442</v>
      </c>
      <c r="E1546" s="47">
        <v>158</v>
      </c>
      <c r="F1546" s="48">
        <v>3635</v>
      </c>
      <c r="G1546" s="49">
        <v>1</v>
      </c>
      <c r="H1546" s="48">
        <v>0</v>
      </c>
      <c r="I1546" s="48">
        <v>1</v>
      </c>
      <c r="J1546" s="48">
        <v>64</v>
      </c>
      <c r="K1546" s="3"/>
      <c r="L1546" s="16">
        <v>164</v>
      </c>
      <c r="M1546" s="57"/>
      <c r="N1546" s="58"/>
      <c r="P1546" s="16">
        <v>2</v>
      </c>
      <c r="Q1546" s="20">
        <f t="shared" si="281"/>
        <v>164</v>
      </c>
      <c r="R1546" s="14">
        <v>200</v>
      </c>
      <c r="S1546" s="20">
        <f t="shared" si="283"/>
        <v>32800</v>
      </c>
      <c r="T1546" s="16"/>
      <c r="U1546" s="17"/>
      <c r="V1546" s="16"/>
      <c r="W1546" s="5"/>
      <c r="X1546" s="16"/>
      <c r="Y1546" s="5"/>
      <c r="Z1546" s="16"/>
      <c r="AA1546" s="16"/>
      <c r="AB1546" s="16"/>
      <c r="AE1546" s="16"/>
      <c r="AG1546" s="22">
        <f t="shared" si="286"/>
        <v>0</v>
      </c>
      <c r="AH1546" s="6"/>
      <c r="AJ1546" s="20">
        <f t="shared" si="282"/>
        <v>0</v>
      </c>
      <c r="AK1546" s="50"/>
      <c r="AL1546" s="6"/>
      <c r="AM1546" s="20">
        <f t="shared" si="284"/>
        <v>0</v>
      </c>
      <c r="AN1546" s="20">
        <f t="shared" si="285"/>
        <v>32800</v>
      </c>
      <c r="AP1546" s="20">
        <f t="shared" si="287"/>
        <v>32800</v>
      </c>
      <c r="AQ1546" s="7"/>
      <c r="AR1546" s="20"/>
      <c r="AS1546" s="51"/>
    </row>
    <row r="1547" spans="1:45" s="21" customFormat="1" ht="30" customHeight="1" x14ac:dyDescent="0.2">
      <c r="A1547" s="8">
        <v>1315</v>
      </c>
      <c r="B1547" s="46">
        <v>2</v>
      </c>
      <c r="C1547" s="16" t="s">
        <v>52</v>
      </c>
      <c r="D1547" s="48">
        <v>35451</v>
      </c>
      <c r="E1547" s="47">
        <v>369</v>
      </c>
      <c r="F1547" s="48">
        <v>7055</v>
      </c>
      <c r="G1547" s="49">
        <v>1</v>
      </c>
      <c r="H1547" s="48">
        <v>0</v>
      </c>
      <c r="I1547" s="48">
        <v>1</v>
      </c>
      <c r="J1547" s="48">
        <v>57</v>
      </c>
      <c r="K1547" s="3">
        <v>157</v>
      </c>
      <c r="L1547" s="16"/>
      <c r="M1547" s="57"/>
      <c r="N1547" s="58"/>
      <c r="P1547" s="16">
        <v>1</v>
      </c>
      <c r="Q1547" s="20">
        <f t="shared" si="281"/>
        <v>157</v>
      </c>
      <c r="R1547" s="14">
        <v>160</v>
      </c>
      <c r="S1547" s="19">
        <f t="shared" si="283"/>
        <v>25120</v>
      </c>
      <c r="T1547" s="16"/>
      <c r="U1547" s="17"/>
      <c r="V1547" s="17"/>
      <c r="W1547" s="4"/>
      <c r="X1547" s="16"/>
      <c r="Y1547" s="5"/>
      <c r="Z1547" s="16"/>
      <c r="AA1547" s="16"/>
      <c r="AB1547" s="16"/>
      <c r="AE1547" s="16"/>
      <c r="AG1547" s="22">
        <f t="shared" si="286"/>
        <v>0</v>
      </c>
      <c r="AH1547" s="6"/>
      <c r="AJ1547" s="20">
        <f t="shared" si="282"/>
        <v>0</v>
      </c>
      <c r="AK1547" s="50"/>
      <c r="AL1547" s="6"/>
      <c r="AM1547" s="20">
        <f t="shared" si="284"/>
        <v>0</v>
      </c>
      <c r="AN1547" s="20">
        <f t="shared" si="285"/>
        <v>25120</v>
      </c>
      <c r="AP1547" s="20">
        <f t="shared" si="287"/>
        <v>25120</v>
      </c>
      <c r="AQ1547" s="7"/>
      <c r="AR1547" s="20"/>
      <c r="AS1547" s="51"/>
    </row>
    <row r="1548" spans="1:45" s="21" customFormat="1" ht="30" customHeight="1" x14ac:dyDescent="0.2">
      <c r="A1548" s="8">
        <v>1316</v>
      </c>
      <c r="B1548" s="46">
        <v>1</v>
      </c>
      <c r="C1548" s="16" t="s">
        <v>52</v>
      </c>
      <c r="D1548" s="48">
        <v>12373</v>
      </c>
      <c r="E1548" s="47">
        <v>127</v>
      </c>
      <c r="F1548" s="48">
        <v>3237</v>
      </c>
      <c r="G1548" s="49">
        <v>1</v>
      </c>
      <c r="H1548" s="48">
        <v>0</v>
      </c>
      <c r="I1548" s="48">
        <v>3</v>
      </c>
      <c r="J1548" s="48">
        <v>5</v>
      </c>
      <c r="K1548" s="3">
        <f>305-L1548</f>
        <v>287</v>
      </c>
      <c r="L1548" s="16">
        <f>72/4</f>
        <v>18</v>
      </c>
      <c r="M1548" s="57"/>
      <c r="N1548" s="58"/>
      <c r="P1548" s="16">
        <v>2</v>
      </c>
      <c r="Q1548" s="20">
        <f t="shared" si="281"/>
        <v>305</v>
      </c>
      <c r="R1548" s="14">
        <v>200</v>
      </c>
      <c r="S1548" s="19">
        <f t="shared" si="283"/>
        <v>61000</v>
      </c>
      <c r="T1548" s="16"/>
      <c r="U1548" s="17" t="s">
        <v>57</v>
      </c>
      <c r="V1548" s="17" t="s">
        <v>56</v>
      </c>
      <c r="W1548" s="4"/>
      <c r="X1548" s="16"/>
      <c r="Y1548" s="5">
        <v>72</v>
      </c>
      <c r="Z1548" s="16"/>
      <c r="AA1548" s="16"/>
      <c r="AB1548" s="16">
        <v>21</v>
      </c>
      <c r="AE1548" s="16"/>
      <c r="AG1548" s="22">
        <f t="shared" si="286"/>
        <v>72</v>
      </c>
      <c r="AH1548" s="6"/>
      <c r="AJ1548" s="20">
        <f t="shared" si="282"/>
        <v>0</v>
      </c>
      <c r="AK1548" s="50">
        <v>21</v>
      </c>
      <c r="AL1548" s="6"/>
      <c r="AM1548" s="20">
        <f t="shared" si="284"/>
        <v>0</v>
      </c>
      <c r="AN1548" s="20">
        <f t="shared" si="285"/>
        <v>61000</v>
      </c>
      <c r="AP1548" s="20">
        <f t="shared" si="287"/>
        <v>61000</v>
      </c>
      <c r="AQ1548" s="7"/>
      <c r="AR1548" s="20"/>
      <c r="AS1548" s="51"/>
    </row>
    <row r="1549" spans="1:45" s="21" customFormat="1" ht="30" customHeight="1" x14ac:dyDescent="0.2">
      <c r="A1549" s="8">
        <v>1317</v>
      </c>
      <c r="B1549" s="46">
        <v>1</v>
      </c>
      <c r="C1549" s="16" t="s">
        <v>52</v>
      </c>
      <c r="D1549" s="48">
        <v>29157</v>
      </c>
      <c r="E1549" s="47">
        <v>253</v>
      </c>
      <c r="F1549" s="48">
        <v>5352</v>
      </c>
      <c r="G1549" s="49">
        <v>1</v>
      </c>
      <c r="H1549" s="48">
        <v>0</v>
      </c>
      <c r="I1549" s="48">
        <v>2</v>
      </c>
      <c r="J1549" s="48">
        <v>4</v>
      </c>
      <c r="K1549" s="3"/>
      <c r="L1549" s="58">
        <f>204-M1549</f>
        <v>200.25</v>
      </c>
      <c r="M1549" s="57">
        <v>3.75</v>
      </c>
      <c r="N1549" s="58"/>
      <c r="P1549" s="16">
        <v>2</v>
      </c>
      <c r="Q1549" s="20">
        <f t="shared" si="281"/>
        <v>204</v>
      </c>
      <c r="R1549" s="14">
        <v>250</v>
      </c>
      <c r="S1549" s="20">
        <f t="shared" si="283"/>
        <v>51000</v>
      </c>
      <c r="T1549" s="16"/>
      <c r="U1549" s="17" t="s">
        <v>57</v>
      </c>
      <c r="V1549" s="17" t="s">
        <v>56</v>
      </c>
      <c r="W1549" s="4">
        <f>8*18</f>
        <v>144</v>
      </c>
      <c r="X1549" s="16"/>
      <c r="Y1549" s="109">
        <v>124</v>
      </c>
      <c r="Z1549" s="16">
        <v>20</v>
      </c>
      <c r="AA1549" s="16"/>
      <c r="AB1549" s="16">
        <v>13</v>
      </c>
      <c r="AE1549" s="16"/>
      <c r="AF1549" s="21">
        <v>2</v>
      </c>
      <c r="AG1549" s="22">
        <f t="shared" si="286"/>
        <v>124</v>
      </c>
      <c r="AH1549" s="6">
        <v>0.86</v>
      </c>
      <c r="AI1549" s="21">
        <v>7250</v>
      </c>
      <c r="AJ1549" s="20">
        <f t="shared" si="282"/>
        <v>773140</v>
      </c>
      <c r="AK1549" s="50">
        <v>13</v>
      </c>
      <c r="AL1549" s="6">
        <v>0.16</v>
      </c>
      <c r="AM1549" s="20">
        <f t="shared" si="284"/>
        <v>649437.6</v>
      </c>
      <c r="AN1549" s="20">
        <f t="shared" si="285"/>
        <v>700437.6</v>
      </c>
      <c r="AP1549" s="20">
        <f t="shared" si="287"/>
        <v>700437.6</v>
      </c>
      <c r="AQ1549" s="7"/>
      <c r="AR1549" s="20"/>
      <c r="AS1549" s="51">
        <v>450</v>
      </c>
    </row>
    <row r="1550" spans="1:45" s="21" customFormat="1" ht="30" customHeight="1" x14ac:dyDescent="0.2">
      <c r="A1550" s="8"/>
      <c r="B1550" s="46"/>
      <c r="C1550" s="16"/>
      <c r="D1550" s="48"/>
      <c r="E1550" s="47"/>
      <c r="F1550" s="48"/>
      <c r="G1550" s="49"/>
      <c r="H1550" s="48"/>
      <c r="I1550" s="48"/>
      <c r="J1550" s="48"/>
      <c r="K1550" s="3"/>
      <c r="L1550" s="58"/>
      <c r="M1550" s="57"/>
      <c r="N1550" s="58"/>
      <c r="P1550" s="16"/>
      <c r="Q1550" s="20">
        <f t="shared" si="281"/>
        <v>0</v>
      </c>
      <c r="R1550" s="14" t="e">
        <v>#N/A</v>
      </c>
      <c r="S1550" s="20"/>
      <c r="T1550" s="16"/>
      <c r="U1550" s="17"/>
      <c r="V1550" s="17"/>
      <c r="W1550" s="4"/>
      <c r="X1550" s="16"/>
      <c r="Y1550" s="5"/>
      <c r="Z1550" s="16"/>
      <c r="AA1550" s="16"/>
      <c r="AB1550" s="16"/>
      <c r="AE1550" s="16"/>
      <c r="AF1550" s="21">
        <v>3</v>
      </c>
      <c r="AG1550" s="22">
        <v>129</v>
      </c>
      <c r="AH1550" s="6">
        <v>0.14000000000000001</v>
      </c>
      <c r="AI1550" s="21">
        <v>7250</v>
      </c>
      <c r="AJ1550" s="20">
        <f t="shared" si="282"/>
        <v>130935.00000000001</v>
      </c>
      <c r="AK1550" s="50">
        <v>13</v>
      </c>
      <c r="AL1550" s="6">
        <v>0.16</v>
      </c>
      <c r="AM1550" s="20">
        <f t="shared" si="284"/>
        <v>109985.40000000001</v>
      </c>
      <c r="AN1550" s="20">
        <f>+AM1550+(S1549*0.14)</f>
        <v>117125.40000000001</v>
      </c>
      <c r="AP1550" s="20">
        <f t="shared" si="287"/>
        <v>117125.40000000001</v>
      </c>
      <c r="AQ1550" s="7">
        <v>3.0000000000000001E-3</v>
      </c>
      <c r="AR1550" s="20">
        <v>450</v>
      </c>
      <c r="AS1550" s="51"/>
    </row>
    <row r="1551" spans="1:45" s="21" customFormat="1" ht="30" customHeight="1" x14ac:dyDescent="0.2">
      <c r="A1551" s="8">
        <v>1318</v>
      </c>
      <c r="B1551" s="46">
        <v>1</v>
      </c>
      <c r="C1551" s="16" t="s">
        <v>52</v>
      </c>
      <c r="D1551" s="48">
        <v>4180</v>
      </c>
      <c r="E1551" s="47">
        <v>63</v>
      </c>
      <c r="F1551" s="48">
        <v>2521</v>
      </c>
      <c r="G1551" s="49">
        <v>1</v>
      </c>
      <c r="H1551" s="48">
        <v>4</v>
      </c>
      <c r="I1551" s="48">
        <v>2</v>
      </c>
      <c r="J1551" s="48">
        <v>77</v>
      </c>
      <c r="K1551" s="3">
        <v>1877</v>
      </c>
      <c r="L1551" s="16"/>
      <c r="M1551" s="57"/>
      <c r="N1551" s="58"/>
      <c r="P1551" s="16">
        <v>1</v>
      </c>
      <c r="Q1551" s="20">
        <f t="shared" si="281"/>
        <v>1877</v>
      </c>
      <c r="R1551" s="14">
        <v>160</v>
      </c>
      <c r="S1551" s="19">
        <f t="shared" ref="S1551:S1559" si="288">+Q1551*R1551</f>
        <v>300320</v>
      </c>
      <c r="T1551" s="16"/>
      <c r="U1551" s="17"/>
      <c r="V1551" s="17"/>
      <c r="W1551" s="4"/>
      <c r="X1551" s="16"/>
      <c r="Y1551" s="5"/>
      <c r="Z1551" s="16"/>
      <c r="AA1551" s="16"/>
      <c r="AB1551" s="16"/>
      <c r="AE1551" s="16"/>
      <c r="AG1551" s="22">
        <f t="shared" ref="AG1551:AG1559" si="289">Y1551</f>
        <v>0</v>
      </c>
      <c r="AH1551" s="6"/>
      <c r="AJ1551" s="20">
        <f t="shared" si="282"/>
        <v>0</v>
      </c>
      <c r="AK1551" s="50"/>
      <c r="AL1551" s="6"/>
      <c r="AM1551" s="20">
        <f t="shared" si="284"/>
        <v>0</v>
      </c>
      <c r="AN1551" s="20">
        <f t="shared" ref="AN1551:AN1559" si="290">+S1551+AM1551</f>
        <v>300320</v>
      </c>
      <c r="AP1551" s="20">
        <f t="shared" si="287"/>
        <v>300320</v>
      </c>
      <c r="AQ1551" s="7"/>
      <c r="AR1551" s="20"/>
      <c r="AS1551" s="51"/>
    </row>
    <row r="1552" spans="1:45" s="21" customFormat="1" ht="30" customHeight="1" x14ac:dyDescent="0.2">
      <c r="A1552" s="8">
        <v>1319</v>
      </c>
      <c r="B1552" s="46">
        <v>1</v>
      </c>
      <c r="C1552" s="16" t="s">
        <v>52</v>
      </c>
      <c r="D1552" s="48">
        <v>989</v>
      </c>
      <c r="E1552" s="47">
        <v>36</v>
      </c>
      <c r="F1552" s="48">
        <v>236</v>
      </c>
      <c r="G1552" s="49">
        <v>1</v>
      </c>
      <c r="H1552" s="48">
        <v>10</v>
      </c>
      <c r="I1552" s="48">
        <v>2</v>
      </c>
      <c r="J1552" s="48">
        <v>94</v>
      </c>
      <c r="K1552" s="3">
        <f>10*400+294</f>
        <v>4294</v>
      </c>
      <c r="L1552" s="16"/>
      <c r="M1552" s="57"/>
      <c r="N1552" s="58"/>
      <c r="P1552" s="16">
        <v>1</v>
      </c>
      <c r="Q1552" s="20">
        <f t="shared" si="281"/>
        <v>4294</v>
      </c>
      <c r="R1552" s="14">
        <v>200</v>
      </c>
      <c r="S1552" s="19">
        <f t="shared" si="288"/>
        <v>858800</v>
      </c>
      <c r="T1552" s="16"/>
      <c r="U1552" s="17"/>
      <c r="V1552" s="17"/>
      <c r="W1552" s="4"/>
      <c r="X1552" s="16"/>
      <c r="Y1552" s="5"/>
      <c r="Z1552" s="16"/>
      <c r="AA1552" s="16"/>
      <c r="AB1552" s="16"/>
      <c r="AE1552" s="16"/>
      <c r="AG1552" s="22">
        <f t="shared" si="289"/>
        <v>0</v>
      </c>
      <c r="AH1552" s="6"/>
      <c r="AJ1552" s="20">
        <f t="shared" si="282"/>
        <v>0</v>
      </c>
      <c r="AK1552" s="50"/>
      <c r="AL1552" s="6"/>
      <c r="AM1552" s="20">
        <f t="shared" si="284"/>
        <v>0</v>
      </c>
      <c r="AN1552" s="20">
        <f t="shared" si="290"/>
        <v>858800</v>
      </c>
      <c r="AP1552" s="20">
        <f t="shared" si="287"/>
        <v>858800</v>
      </c>
      <c r="AQ1552" s="7"/>
      <c r="AR1552" s="60"/>
      <c r="AS1552" s="128">
        <v>87</v>
      </c>
    </row>
    <row r="1553" spans="1:45" s="21" customFormat="1" ht="30" customHeight="1" x14ac:dyDescent="0.2">
      <c r="A1553" s="131">
        <v>1320</v>
      </c>
      <c r="B1553" s="46">
        <v>2</v>
      </c>
      <c r="C1553" s="16" t="s">
        <v>52</v>
      </c>
      <c r="D1553" s="48">
        <v>1023</v>
      </c>
      <c r="E1553" s="47">
        <v>26</v>
      </c>
      <c r="F1553" s="48">
        <v>215</v>
      </c>
      <c r="G1553" s="49">
        <v>1</v>
      </c>
      <c r="H1553" s="48">
        <v>3</v>
      </c>
      <c r="I1553" s="48">
        <v>3</v>
      </c>
      <c r="J1553" s="48">
        <v>72</v>
      </c>
      <c r="K1553" s="3">
        <f>1572-L1553</f>
        <v>1502</v>
      </c>
      <c r="L1553" s="16">
        <f>280/4</f>
        <v>70</v>
      </c>
      <c r="M1553" s="57"/>
      <c r="N1553" s="58"/>
      <c r="P1553" s="16">
        <v>2</v>
      </c>
      <c r="Q1553" s="20">
        <f t="shared" si="281"/>
        <v>1572</v>
      </c>
      <c r="R1553" s="14">
        <v>200</v>
      </c>
      <c r="S1553" s="20">
        <f t="shared" si="288"/>
        <v>314400</v>
      </c>
      <c r="T1553" s="16"/>
      <c r="U1553" s="16" t="s">
        <v>57</v>
      </c>
      <c r="V1553" s="16" t="s">
        <v>56</v>
      </c>
      <c r="W1553" s="5"/>
      <c r="X1553" s="16"/>
      <c r="Y1553" s="5">
        <v>220</v>
      </c>
      <c r="Z1553" s="16"/>
      <c r="AA1553" s="16"/>
      <c r="AB1553" s="16">
        <f>62-24</f>
        <v>38</v>
      </c>
      <c r="AC1553" s="14"/>
      <c r="AD1553" s="14"/>
      <c r="AE1553" s="16"/>
      <c r="AG1553" s="22">
        <f t="shared" si="289"/>
        <v>220</v>
      </c>
      <c r="AH1553" s="6"/>
      <c r="AJ1553" s="20">
        <f t="shared" si="282"/>
        <v>0</v>
      </c>
      <c r="AK1553" s="50">
        <v>38</v>
      </c>
      <c r="AL1553" s="6"/>
      <c r="AM1553" s="20">
        <f t="shared" si="284"/>
        <v>0</v>
      </c>
      <c r="AN1553" s="20">
        <f t="shared" si="290"/>
        <v>314400</v>
      </c>
      <c r="AP1553" s="20">
        <f t="shared" si="287"/>
        <v>314400</v>
      </c>
      <c r="AQ1553" s="7"/>
      <c r="AR1553" s="24"/>
      <c r="AS1553" s="129"/>
    </row>
    <row r="1554" spans="1:45" s="21" customFormat="1" ht="30" customHeight="1" x14ac:dyDescent="0.2">
      <c r="A1554" s="131"/>
      <c r="B1554" s="46"/>
      <c r="C1554" s="16"/>
      <c r="D1554" s="48"/>
      <c r="E1554" s="47"/>
      <c r="F1554" s="48"/>
      <c r="G1554" s="49"/>
      <c r="H1554" s="48"/>
      <c r="I1554" s="48"/>
      <c r="J1554" s="48"/>
      <c r="K1554" s="3"/>
      <c r="L1554" s="16"/>
      <c r="M1554" s="57"/>
      <c r="N1554" s="58"/>
      <c r="P1554" s="16"/>
      <c r="Q1554" s="20">
        <f t="shared" si="281"/>
        <v>0</v>
      </c>
      <c r="R1554" s="14" t="e">
        <v>#N/A</v>
      </c>
      <c r="S1554" s="19" t="e">
        <f t="shared" si="288"/>
        <v>#N/A</v>
      </c>
      <c r="T1554" s="16"/>
      <c r="U1554" s="16" t="s">
        <v>57</v>
      </c>
      <c r="V1554" s="16" t="s">
        <v>56</v>
      </c>
      <c r="W1554" s="5"/>
      <c r="X1554" s="16"/>
      <c r="Y1554" s="5">
        <v>66</v>
      </c>
      <c r="Z1554" s="16"/>
      <c r="AA1554" s="16"/>
      <c r="AB1554" s="16">
        <v>2</v>
      </c>
      <c r="AC1554" s="14"/>
      <c r="AD1554" s="14"/>
      <c r="AE1554" s="16"/>
      <c r="AG1554" s="22">
        <f t="shared" si="289"/>
        <v>66</v>
      </c>
      <c r="AH1554" s="6"/>
      <c r="AJ1554" s="20">
        <f t="shared" si="282"/>
        <v>0</v>
      </c>
      <c r="AK1554" s="50">
        <v>2</v>
      </c>
      <c r="AL1554" s="6"/>
      <c r="AM1554" s="20">
        <f t="shared" si="284"/>
        <v>0</v>
      </c>
      <c r="AN1554" s="20" t="e">
        <f t="shared" si="290"/>
        <v>#N/A</v>
      </c>
      <c r="AP1554" s="20" t="e">
        <f t="shared" si="287"/>
        <v>#N/A</v>
      </c>
      <c r="AQ1554" s="7"/>
      <c r="AR1554" s="24"/>
      <c r="AS1554" s="129"/>
    </row>
    <row r="1555" spans="1:45" s="21" customFormat="1" ht="30" customHeight="1" x14ac:dyDescent="0.2">
      <c r="A1555" s="8">
        <v>1321</v>
      </c>
      <c r="B1555" s="46">
        <v>3</v>
      </c>
      <c r="C1555" s="16" t="s">
        <v>52</v>
      </c>
      <c r="D1555" s="48">
        <v>2910</v>
      </c>
      <c r="E1555" s="47">
        <v>9</v>
      </c>
      <c r="F1555" s="48">
        <v>1993</v>
      </c>
      <c r="G1555" s="49">
        <v>1</v>
      </c>
      <c r="H1555" s="48">
        <v>14</v>
      </c>
      <c r="I1555" s="48">
        <v>0</v>
      </c>
      <c r="J1555" s="48">
        <v>47</v>
      </c>
      <c r="K1555" s="3">
        <f>14*400+47</f>
        <v>5647</v>
      </c>
      <c r="L1555" s="16"/>
      <c r="M1555" s="57"/>
      <c r="N1555" s="58"/>
      <c r="P1555" s="16">
        <v>1</v>
      </c>
      <c r="Q1555" s="20">
        <f t="shared" si="281"/>
        <v>5647</v>
      </c>
      <c r="R1555" s="14">
        <v>160</v>
      </c>
      <c r="S1555" s="19">
        <f t="shared" si="288"/>
        <v>903520</v>
      </c>
      <c r="T1555" s="16"/>
      <c r="U1555" s="17"/>
      <c r="V1555" s="16"/>
      <c r="W1555" s="5"/>
      <c r="X1555" s="16"/>
      <c r="Y1555" s="5"/>
      <c r="Z1555" s="16"/>
      <c r="AA1555" s="16"/>
      <c r="AB1555" s="16"/>
      <c r="AE1555" s="16"/>
      <c r="AG1555" s="22">
        <f t="shared" si="289"/>
        <v>0</v>
      </c>
      <c r="AH1555" s="6"/>
      <c r="AJ1555" s="20">
        <f t="shared" si="282"/>
        <v>0</v>
      </c>
      <c r="AK1555" s="50"/>
      <c r="AL1555" s="6"/>
      <c r="AM1555" s="20">
        <f t="shared" si="284"/>
        <v>0</v>
      </c>
      <c r="AN1555" s="20">
        <f t="shared" si="290"/>
        <v>903520</v>
      </c>
      <c r="AP1555" s="20">
        <f t="shared" si="287"/>
        <v>903520</v>
      </c>
      <c r="AQ1555" s="7"/>
      <c r="AR1555" s="25"/>
      <c r="AS1555" s="130"/>
    </row>
    <row r="1556" spans="1:45" s="21" customFormat="1" ht="30" customHeight="1" x14ac:dyDescent="0.2">
      <c r="A1556" s="8">
        <v>1322</v>
      </c>
      <c r="B1556" s="46">
        <v>1</v>
      </c>
      <c r="C1556" s="16" t="s">
        <v>52</v>
      </c>
      <c r="D1556" s="48">
        <v>912</v>
      </c>
      <c r="E1556" s="47">
        <v>19</v>
      </c>
      <c r="F1556" s="48">
        <v>212</v>
      </c>
      <c r="G1556" s="49">
        <v>1</v>
      </c>
      <c r="H1556" s="48">
        <v>0</v>
      </c>
      <c r="I1556" s="48">
        <v>3</v>
      </c>
      <c r="J1556" s="48">
        <v>34</v>
      </c>
      <c r="K1556" s="3"/>
      <c r="L1556" s="16">
        <v>334</v>
      </c>
      <c r="M1556" s="57"/>
      <c r="N1556" s="58"/>
      <c r="P1556" s="16">
        <v>2</v>
      </c>
      <c r="Q1556" s="20">
        <f t="shared" si="281"/>
        <v>334</v>
      </c>
      <c r="R1556" s="14">
        <v>160</v>
      </c>
      <c r="S1556" s="20">
        <f t="shared" si="288"/>
        <v>53440</v>
      </c>
      <c r="T1556" s="16"/>
      <c r="U1556" s="17"/>
      <c r="V1556" s="17"/>
      <c r="W1556" s="4"/>
      <c r="X1556" s="16"/>
      <c r="Y1556" s="5"/>
      <c r="Z1556" s="16"/>
      <c r="AA1556" s="16"/>
      <c r="AB1556" s="16"/>
      <c r="AC1556" s="14"/>
      <c r="AD1556" s="14"/>
      <c r="AE1556" s="16" t="s">
        <v>171</v>
      </c>
      <c r="AG1556" s="22">
        <f t="shared" si="289"/>
        <v>0</v>
      </c>
      <c r="AH1556" s="6"/>
      <c r="AJ1556" s="20">
        <f t="shared" si="282"/>
        <v>0</v>
      </c>
      <c r="AK1556" s="50"/>
      <c r="AL1556" s="6"/>
      <c r="AM1556" s="20">
        <f t="shared" si="284"/>
        <v>0</v>
      </c>
      <c r="AN1556" s="20">
        <f t="shared" si="290"/>
        <v>53440</v>
      </c>
      <c r="AP1556" s="20">
        <f t="shared" si="287"/>
        <v>53440</v>
      </c>
      <c r="AQ1556" s="7"/>
      <c r="AR1556" s="20"/>
      <c r="AS1556" s="51"/>
    </row>
    <row r="1557" spans="1:45" s="21" customFormat="1" ht="30" customHeight="1" x14ac:dyDescent="0.2">
      <c r="A1557" s="8">
        <v>1323</v>
      </c>
      <c r="B1557" s="46">
        <v>2</v>
      </c>
      <c r="C1557" s="16" t="s">
        <v>52</v>
      </c>
      <c r="D1557" s="48">
        <v>913</v>
      </c>
      <c r="E1557" s="47">
        <v>20</v>
      </c>
      <c r="F1557" s="48">
        <v>213</v>
      </c>
      <c r="G1557" s="49">
        <v>1</v>
      </c>
      <c r="H1557" s="48">
        <v>0</v>
      </c>
      <c r="I1557" s="48">
        <v>2</v>
      </c>
      <c r="J1557" s="48">
        <v>20</v>
      </c>
      <c r="K1557" s="3"/>
      <c r="L1557" s="16">
        <v>220</v>
      </c>
      <c r="M1557" s="57"/>
      <c r="N1557" s="58"/>
      <c r="P1557" s="16">
        <v>2</v>
      </c>
      <c r="Q1557" s="20">
        <f t="shared" si="281"/>
        <v>220</v>
      </c>
      <c r="R1557" s="14">
        <v>160</v>
      </c>
      <c r="S1557" s="19">
        <f t="shared" si="288"/>
        <v>35200</v>
      </c>
      <c r="T1557" s="16"/>
      <c r="U1557" s="17"/>
      <c r="V1557" s="17"/>
      <c r="W1557" s="4"/>
      <c r="X1557" s="16"/>
      <c r="Y1557" s="5">
        <v>208</v>
      </c>
      <c r="Z1557" s="16"/>
      <c r="AA1557" s="16"/>
      <c r="AB1557" s="16">
        <f>62-35</f>
        <v>27</v>
      </c>
      <c r="AC1557" s="14"/>
      <c r="AD1557" s="14"/>
      <c r="AE1557" s="16"/>
      <c r="AG1557" s="22">
        <f t="shared" si="289"/>
        <v>208</v>
      </c>
      <c r="AH1557" s="6"/>
      <c r="AJ1557" s="20">
        <f t="shared" si="282"/>
        <v>0</v>
      </c>
      <c r="AK1557" s="50">
        <v>27</v>
      </c>
      <c r="AL1557" s="6"/>
      <c r="AM1557" s="20">
        <f t="shared" si="284"/>
        <v>0</v>
      </c>
      <c r="AN1557" s="20">
        <f t="shared" si="290"/>
        <v>35200</v>
      </c>
      <c r="AP1557" s="20">
        <f t="shared" si="287"/>
        <v>35200</v>
      </c>
      <c r="AQ1557" s="7"/>
      <c r="AR1557" s="20"/>
      <c r="AS1557" s="51"/>
    </row>
    <row r="1558" spans="1:45" s="21" customFormat="1" ht="30" customHeight="1" x14ac:dyDescent="0.2">
      <c r="A1558" s="8">
        <v>1324</v>
      </c>
      <c r="B1558" s="46">
        <v>1</v>
      </c>
      <c r="C1558" s="16" t="s">
        <v>52</v>
      </c>
      <c r="D1558" s="48">
        <v>909</v>
      </c>
      <c r="E1558" s="47">
        <v>15</v>
      </c>
      <c r="F1558" s="48">
        <v>209</v>
      </c>
      <c r="G1558" s="49">
        <v>1</v>
      </c>
      <c r="H1558" s="48">
        <v>7</v>
      </c>
      <c r="I1558" s="48">
        <v>0</v>
      </c>
      <c r="J1558" s="48">
        <v>74</v>
      </c>
      <c r="K1558" s="3">
        <v>2874</v>
      </c>
      <c r="L1558" s="16"/>
      <c r="M1558" s="57"/>
      <c r="N1558" s="58"/>
      <c r="P1558" s="16"/>
      <c r="Q1558" s="20">
        <f t="shared" si="281"/>
        <v>2874</v>
      </c>
      <c r="R1558" s="14">
        <v>160</v>
      </c>
      <c r="S1558" s="19">
        <f t="shared" si="288"/>
        <v>459840</v>
      </c>
      <c r="T1558" s="16"/>
      <c r="U1558" s="17"/>
      <c r="V1558" s="17"/>
      <c r="W1558" s="4"/>
      <c r="X1558" s="16"/>
      <c r="Y1558" s="5"/>
      <c r="Z1558" s="16"/>
      <c r="AA1558" s="16"/>
      <c r="AB1558" s="16"/>
      <c r="AC1558" s="14"/>
      <c r="AD1558" s="14"/>
      <c r="AE1558" s="16"/>
      <c r="AG1558" s="22">
        <f t="shared" si="289"/>
        <v>0</v>
      </c>
      <c r="AH1558" s="6"/>
      <c r="AJ1558" s="20">
        <f t="shared" si="282"/>
        <v>0</v>
      </c>
      <c r="AK1558" s="50"/>
      <c r="AL1558" s="6"/>
      <c r="AM1558" s="20">
        <f t="shared" si="284"/>
        <v>0</v>
      </c>
      <c r="AN1558" s="20">
        <f t="shared" si="290"/>
        <v>459840</v>
      </c>
      <c r="AP1558" s="20">
        <f t="shared" si="287"/>
        <v>459840</v>
      </c>
      <c r="AQ1558" s="7"/>
      <c r="AR1558" s="20"/>
      <c r="AS1558" s="51">
        <v>22</v>
      </c>
    </row>
    <row r="1559" spans="1:45" s="21" customFormat="1" ht="30" customHeight="1" x14ac:dyDescent="0.2">
      <c r="A1559" s="8">
        <v>1325</v>
      </c>
      <c r="B1559" s="46">
        <v>1</v>
      </c>
      <c r="C1559" s="16" t="s">
        <v>52</v>
      </c>
      <c r="D1559" s="48">
        <v>914</v>
      </c>
      <c r="E1559" s="47">
        <v>14</v>
      </c>
      <c r="F1559" s="48">
        <v>214</v>
      </c>
      <c r="G1559" s="49">
        <v>1</v>
      </c>
      <c r="H1559" s="48">
        <v>8</v>
      </c>
      <c r="I1559" s="48">
        <v>0</v>
      </c>
      <c r="J1559" s="48">
        <v>43</v>
      </c>
      <c r="K1559" s="3">
        <v>2443</v>
      </c>
      <c r="L1559" s="16"/>
      <c r="M1559" s="57"/>
      <c r="N1559" s="58"/>
      <c r="P1559" s="16">
        <v>1</v>
      </c>
      <c r="Q1559" s="20">
        <f t="shared" si="281"/>
        <v>3243</v>
      </c>
      <c r="R1559" s="14">
        <v>200</v>
      </c>
      <c r="S1559" s="19">
        <f t="shared" si="288"/>
        <v>648600</v>
      </c>
      <c r="T1559" s="16"/>
      <c r="U1559" s="17"/>
      <c r="V1559" s="17"/>
      <c r="W1559" s="4"/>
      <c r="X1559" s="16"/>
      <c r="Y1559" s="5"/>
      <c r="Z1559" s="16"/>
      <c r="AA1559" s="16"/>
      <c r="AB1559" s="16"/>
      <c r="AC1559" s="14"/>
      <c r="AD1559" s="14"/>
      <c r="AE1559" s="16"/>
      <c r="AG1559" s="22">
        <f t="shared" si="289"/>
        <v>0</v>
      </c>
      <c r="AH1559" s="6"/>
      <c r="AJ1559" s="20">
        <f t="shared" si="282"/>
        <v>0</v>
      </c>
      <c r="AK1559" s="50"/>
      <c r="AL1559" s="6"/>
      <c r="AM1559" s="20">
        <f t="shared" si="284"/>
        <v>0</v>
      </c>
      <c r="AN1559" s="20">
        <f t="shared" si="290"/>
        <v>648600</v>
      </c>
      <c r="AP1559" s="20">
        <f t="shared" si="287"/>
        <v>648600</v>
      </c>
      <c r="AQ1559" s="7"/>
      <c r="AR1559" s="20"/>
      <c r="AS1559" s="51">
        <v>1440</v>
      </c>
    </row>
    <row r="1560" spans="1:45" ht="30" customHeight="1" x14ac:dyDescent="0.2">
      <c r="R1560" s="14" t="e">
        <v>#N/A</v>
      </c>
    </row>
    <row r="1561" spans="1:45" s="21" customFormat="1" ht="30" customHeight="1" x14ac:dyDescent="0.2">
      <c r="A1561" s="8">
        <v>1326</v>
      </c>
      <c r="B1561" s="46">
        <v>1</v>
      </c>
      <c r="C1561" s="16" t="s">
        <v>52</v>
      </c>
      <c r="D1561" s="48">
        <v>910</v>
      </c>
      <c r="E1561" s="47">
        <v>17</v>
      </c>
      <c r="F1561" s="48">
        <v>210</v>
      </c>
      <c r="G1561" s="49">
        <v>1</v>
      </c>
      <c r="H1561" s="48">
        <v>5</v>
      </c>
      <c r="I1561" s="48">
        <v>2</v>
      </c>
      <c r="J1561" s="48">
        <v>70</v>
      </c>
      <c r="K1561" s="3">
        <v>2270</v>
      </c>
      <c r="L1561" s="16"/>
      <c r="M1561" s="57"/>
      <c r="N1561" s="58"/>
      <c r="P1561" s="16">
        <v>1</v>
      </c>
      <c r="Q1561" s="20">
        <f t="shared" ref="Q1561:Q1624" si="291">+(H1561*400)+(I1561*100)+J1561</f>
        <v>2270</v>
      </c>
      <c r="R1561" s="14">
        <v>160</v>
      </c>
      <c r="S1561" s="20">
        <f t="shared" ref="S1561:S1624" si="292">+Q1561*R1561</f>
        <v>363200</v>
      </c>
      <c r="T1561" s="16"/>
      <c r="U1561" s="17"/>
      <c r="V1561" s="16"/>
      <c r="W1561" s="5"/>
      <c r="X1561" s="16"/>
      <c r="Y1561" s="5"/>
      <c r="Z1561" s="16"/>
      <c r="AA1561" s="16"/>
      <c r="AB1561" s="16"/>
      <c r="AE1561" s="16"/>
      <c r="AG1561" s="22">
        <f t="shared" ref="AG1561:AG1607" si="293">Y1561</f>
        <v>0</v>
      </c>
      <c r="AH1561" s="6"/>
      <c r="AJ1561" s="20">
        <f t="shared" ref="AJ1561:AJ1624" si="294">+AG1561*AH1561*AI1561</f>
        <v>0</v>
      </c>
      <c r="AK1561" s="50"/>
      <c r="AL1561" s="6"/>
      <c r="AM1561" s="20">
        <f t="shared" ref="AM1561:AM1624" si="295">+AJ1561-(AL1561*AJ1561)</f>
        <v>0</v>
      </c>
      <c r="AN1561" s="20">
        <f t="shared" ref="AN1561:AN1592" si="296">+S1561+AM1561</f>
        <v>363200</v>
      </c>
      <c r="AP1561" s="20">
        <f t="shared" ref="AP1561:AP1624" si="297">AN1561</f>
        <v>363200</v>
      </c>
      <c r="AQ1561" s="7"/>
      <c r="AR1561" s="20"/>
      <c r="AS1561" s="51"/>
    </row>
    <row r="1562" spans="1:45" s="21" customFormat="1" ht="30" customHeight="1" x14ac:dyDescent="0.2">
      <c r="A1562" s="8">
        <v>1327</v>
      </c>
      <c r="B1562" s="46">
        <v>2</v>
      </c>
      <c r="C1562" s="16" t="s">
        <v>52</v>
      </c>
      <c r="D1562" s="48">
        <v>911</v>
      </c>
      <c r="E1562" s="47">
        <v>18</v>
      </c>
      <c r="F1562" s="48">
        <v>211</v>
      </c>
      <c r="G1562" s="49">
        <v>1</v>
      </c>
      <c r="H1562" s="48">
        <v>2</v>
      </c>
      <c r="I1562" s="48">
        <v>0</v>
      </c>
      <c r="J1562" s="48">
        <v>46</v>
      </c>
      <c r="K1562" s="3">
        <f>846-L1562</f>
        <v>755.375</v>
      </c>
      <c r="L1562" s="16">
        <f>362.5/4</f>
        <v>90.625</v>
      </c>
      <c r="M1562" s="57"/>
      <c r="N1562" s="58"/>
      <c r="P1562" s="16">
        <v>5</v>
      </c>
      <c r="Q1562" s="20">
        <f t="shared" si="291"/>
        <v>846</v>
      </c>
      <c r="R1562" s="14">
        <v>200</v>
      </c>
      <c r="S1562" s="19">
        <f t="shared" si="292"/>
        <v>169200</v>
      </c>
      <c r="T1562" s="16"/>
      <c r="U1562" s="17"/>
      <c r="V1562" s="17" t="s">
        <v>84</v>
      </c>
      <c r="W1562" s="4"/>
      <c r="X1562" s="16"/>
      <c r="Y1562" s="5">
        <v>362.5</v>
      </c>
      <c r="Z1562" s="16"/>
      <c r="AA1562" s="16"/>
      <c r="AB1562" s="16">
        <f>62-24</f>
        <v>38</v>
      </c>
      <c r="AE1562" s="16"/>
      <c r="AG1562" s="22">
        <f t="shared" si="293"/>
        <v>362.5</v>
      </c>
      <c r="AH1562" s="6"/>
      <c r="AJ1562" s="20">
        <f t="shared" si="294"/>
        <v>0</v>
      </c>
      <c r="AK1562" s="50">
        <v>38</v>
      </c>
      <c r="AL1562" s="6"/>
      <c r="AM1562" s="20">
        <f t="shared" si="295"/>
        <v>0</v>
      </c>
      <c r="AN1562" s="20">
        <f t="shared" si="296"/>
        <v>169200</v>
      </c>
      <c r="AP1562" s="20">
        <f t="shared" si="297"/>
        <v>169200</v>
      </c>
      <c r="AQ1562" s="7"/>
      <c r="AR1562" s="20"/>
      <c r="AS1562" s="51"/>
    </row>
    <row r="1563" spans="1:45" s="21" customFormat="1" ht="30" customHeight="1" x14ac:dyDescent="0.2">
      <c r="A1563" s="8">
        <v>1328</v>
      </c>
      <c r="B1563" s="46">
        <v>1</v>
      </c>
      <c r="C1563" s="16" t="s">
        <v>52</v>
      </c>
      <c r="D1563" s="48">
        <v>936</v>
      </c>
      <c r="E1563" s="47">
        <v>16</v>
      </c>
      <c r="F1563" s="48">
        <v>328</v>
      </c>
      <c r="G1563" s="49">
        <v>1</v>
      </c>
      <c r="H1563" s="48">
        <v>6</v>
      </c>
      <c r="I1563" s="48">
        <v>1</v>
      </c>
      <c r="J1563" s="48">
        <v>58.04</v>
      </c>
      <c r="K1563" s="3">
        <v>2558.04</v>
      </c>
      <c r="L1563" s="16"/>
      <c r="M1563" s="57"/>
      <c r="N1563" s="58"/>
      <c r="P1563" s="16">
        <v>1</v>
      </c>
      <c r="Q1563" s="20">
        <f t="shared" si="291"/>
        <v>2558.04</v>
      </c>
      <c r="R1563" s="14">
        <v>160</v>
      </c>
      <c r="S1563" s="19">
        <f t="shared" si="292"/>
        <v>409286.40000000002</v>
      </c>
      <c r="T1563" s="16"/>
      <c r="U1563" s="17"/>
      <c r="V1563" s="17"/>
      <c r="W1563" s="4"/>
      <c r="X1563" s="16"/>
      <c r="Y1563" s="5"/>
      <c r="Z1563" s="16"/>
      <c r="AA1563" s="16"/>
      <c r="AB1563" s="16"/>
      <c r="AE1563" s="16"/>
      <c r="AG1563" s="22">
        <f t="shared" si="293"/>
        <v>0</v>
      </c>
      <c r="AH1563" s="6"/>
      <c r="AJ1563" s="20">
        <f t="shared" si="294"/>
        <v>0</v>
      </c>
      <c r="AK1563" s="50"/>
      <c r="AL1563" s="6"/>
      <c r="AM1563" s="20">
        <f t="shared" si="295"/>
        <v>0</v>
      </c>
      <c r="AN1563" s="20">
        <f t="shared" si="296"/>
        <v>409286.40000000002</v>
      </c>
      <c r="AP1563" s="20">
        <f t="shared" si="297"/>
        <v>409286.40000000002</v>
      </c>
      <c r="AQ1563" s="7"/>
      <c r="AR1563" s="20"/>
      <c r="AS1563" s="51"/>
    </row>
    <row r="1564" spans="1:45" s="21" customFormat="1" ht="30" customHeight="1" x14ac:dyDescent="0.2">
      <c r="A1564" s="8">
        <v>1329</v>
      </c>
      <c r="B1564" s="46">
        <v>1</v>
      </c>
      <c r="C1564" s="16" t="s">
        <v>52</v>
      </c>
      <c r="D1564" s="48">
        <v>1022</v>
      </c>
      <c r="E1564" s="47">
        <v>28</v>
      </c>
      <c r="F1564" s="48">
        <v>208</v>
      </c>
      <c r="G1564" s="49">
        <v>1</v>
      </c>
      <c r="H1564" s="48">
        <v>1</v>
      </c>
      <c r="I1564" s="48">
        <v>2</v>
      </c>
      <c r="J1564" s="48">
        <v>1</v>
      </c>
      <c r="K1564" s="3">
        <v>601</v>
      </c>
      <c r="L1564" s="16"/>
      <c r="M1564" s="57"/>
      <c r="N1564" s="58"/>
      <c r="P1564" s="16">
        <v>1</v>
      </c>
      <c r="Q1564" s="20">
        <f t="shared" si="291"/>
        <v>601</v>
      </c>
      <c r="R1564" s="14">
        <v>1500</v>
      </c>
      <c r="S1564" s="20">
        <f t="shared" si="292"/>
        <v>901500</v>
      </c>
      <c r="T1564" s="16"/>
      <c r="U1564" s="17"/>
      <c r="V1564" s="17"/>
      <c r="W1564" s="4"/>
      <c r="X1564" s="16"/>
      <c r="Y1564" s="5"/>
      <c r="Z1564" s="16"/>
      <c r="AA1564" s="16"/>
      <c r="AB1564" s="16"/>
      <c r="AE1564" s="16"/>
      <c r="AG1564" s="22">
        <f t="shared" si="293"/>
        <v>0</v>
      </c>
      <c r="AH1564" s="6"/>
      <c r="AJ1564" s="20">
        <f t="shared" si="294"/>
        <v>0</v>
      </c>
      <c r="AK1564" s="50"/>
      <c r="AL1564" s="6"/>
      <c r="AM1564" s="20">
        <f t="shared" si="295"/>
        <v>0</v>
      </c>
      <c r="AN1564" s="20">
        <f t="shared" si="296"/>
        <v>901500</v>
      </c>
      <c r="AP1564" s="20">
        <f t="shared" si="297"/>
        <v>901500</v>
      </c>
      <c r="AQ1564" s="7"/>
      <c r="AR1564" s="20"/>
      <c r="AS1564" s="51">
        <v>4</v>
      </c>
    </row>
    <row r="1565" spans="1:45" s="21" customFormat="1" ht="30" customHeight="1" x14ac:dyDescent="0.2">
      <c r="A1565" s="8">
        <v>1330</v>
      </c>
      <c r="B1565" s="46">
        <v>1</v>
      </c>
      <c r="C1565" s="16" t="s">
        <v>52</v>
      </c>
      <c r="D1565" s="48">
        <v>18762</v>
      </c>
      <c r="E1565" s="47">
        <v>172</v>
      </c>
      <c r="F1565" s="48">
        <v>4367</v>
      </c>
      <c r="G1565" s="49">
        <v>1</v>
      </c>
      <c r="H1565" s="48">
        <v>1</v>
      </c>
      <c r="I1565" s="48">
        <v>1</v>
      </c>
      <c r="J1565" s="48">
        <v>46</v>
      </c>
      <c r="K1565" s="3">
        <v>546</v>
      </c>
      <c r="L1565" s="16"/>
      <c r="M1565" s="57"/>
      <c r="N1565" s="58"/>
      <c r="P1565" s="16">
        <v>1</v>
      </c>
      <c r="Q1565" s="20">
        <f t="shared" si="291"/>
        <v>546</v>
      </c>
      <c r="R1565" s="14">
        <v>1500</v>
      </c>
      <c r="S1565" s="19">
        <f t="shared" si="292"/>
        <v>819000</v>
      </c>
      <c r="T1565" s="16"/>
      <c r="U1565" s="17"/>
      <c r="V1565" s="17"/>
      <c r="W1565" s="4"/>
      <c r="X1565" s="16"/>
      <c r="Y1565" s="5"/>
      <c r="Z1565" s="16"/>
      <c r="AA1565" s="16"/>
      <c r="AB1565" s="16"/>
      <c r="AE1565" s="16"/>
      <c r="AG1565" s="22">
        <f t="shared" si="293"/>
        <v>0</v>
      </c>
      <c r="AH1565" s="6"/>
      <c r="AJ1565" s="20">
        <f t="shared" si="294"/>
        <v>0</v>
      </c>
      <c r="AK1565" s="50"/>
      <c r="AL1565" s="6"/>
      <c r="AM1565" s="20">
        <f t="shared" si="295"/>
        <v>0</v>
      </c>
      <c r="AN1565" s="20">
        <f t="shared" si="296"/>
        <v>819000</v>
      </c>
      <c r="AP1565" s="20">
        <f t="shared" si="297"/>
        <v>819000</v>
      </c>
      <c r="AQ1565" s="7"/>
      <c r="AR1565" s="20"/>
      <c r="AS1565" s="51">
        <v>10</v>
      </c>
    </row>
    <row r="1566" spans="1:45" s="21" customFormat="1" ht="30" customHeight="1" x14ac:dyDescent="0.2">
      <c r="A1566" s="8">
        <v>1331</v>
      </c>
      <c r="B1566" s="46">
        <v>1</v>
      </c>
      <c r="C1566" s="16" t="s">
        <v>52</v>
      </c>
      <c r="D1566" s="48">
        <v>18760</v>
      </c>
      <c r="E1566" s="47">
        <v>170</v>
      </c>
      <c r="F1566" s="48">
        <v>4365</v>
      </c>
      <c r="G1566" s="49">
        <v>1</v>
      </c>
      <c r="H1566" s="48">
        <v>1</v>
      </c>
      <c r="I1566" s="48">
        <v>0</v>
      </c>
      <c r="J1566" s="48">
        <v>53</v>
      </c>
      <c r="K1566" s="3">
        <v>453</v>
      </c>
      <c r="L1566" s="16"/>
      <c r="M1566" s="57"/>
      <c r="N1566" s="58"/>
      <c r="P1566" s="16">
        <v>1</v>
      </c>
      <c r="Q1566" s="20">
        <f t="shared" si="291"/>
        <v>453</v>
      </c>
      <c r="R1566" s="14">
        <v>1500</v>
      </c>
      <c r="S1566" s="19">
        <f t="shared" si="292"/>
        <v>679500</v>
      </c>
      <c r="T1566" s="16"/>
      <c r="U1566" s="17"/>
      <c r="V1566" s="17"/>
      <c r="W1566" s="4"/>
      <c r="X1566" s="16"/>
      <c r="Y1566" s="5"/>
      <c r="Z1566" s="16"/>
      <c r="AA1566" s="16"/>
      <c r="AB1566" s="16"/>
      <c r="AE1566" s="16"/>
      <c r="AG1566" s="22">
        <f t="shared" si="293"/>
        <v>0</v>
      </c>
      <c r="AH1566" s="6"/>
      <c r="AJ1566" s="20">
        <f t="shared" si="294"/>
        <v>0</v>
      </c>
      <c r="AK1566" s="50"/>
      <c r="AL1566" s="6"/>
      <c r="AM1566" s="20">
        <f t="shared" si="295"/>
        <v>0</v>
      </c>
      <c r="AN1566" s="20">
        <f t="shared" si="296"/>
        <v>679500</v>
      </c>
      <c r="AP1566" s="20">
        <f t="shared" si="297"/>
        <v>679500</v>
      </c>
      <c r="AQ1566" s="7"/>
      <c r="AR1566" s="20"/>
      <c r="AS1566" s="51">
        <v>8</v>
      </c>
    </row>
    <row r="1567" spans="1:45" s="21" customFormat="1" ht="30" customHeight="1" x14ac:dyDescent="0.2">
      <c r="A1567" s="8">
        <v>1332</v>
      </c>
      <c r="B1567" s="46">
        <v>1</v>
      </c>
      <c r="C1567" s="16" t="s">
        <v>52</v>
      </c>
      <c r="D1567" s="48">
        <v>18761</v>
      </c>
      <c r="E1567" s="47">
        <v>171</v>
      </c>
      <c r="F1567" s="48">
        <v>4366</v>
      </c>
      <c r="G1567" s="49">
        <v>1</v>
      </c>
      <c r="H1567" s="48">
        <v>1</v>
      </c>
      <c r="I1567" s="48">
        <v>1</v>
      </c>
      <c r="J1567" s="48">
        <v>25</v>
      </c>
      <c r="K1567" s="3">
        <v>525</v>
      </c>
      <c r="L1567" s="16"/>
      <c r="M1567" s="57"/>
      <c r="N1567" s="58"/>
      <c r="P1567" s="16">
        <v>1</v>
      </c>
      <c r="Q1567" s="20">
        <f t="shared" si="291"/>
        <v>525</v>
      </c>
      <c r="R1567" s="14">
        <v>1500</v>
      </c>
      <c r="S1567" s="20">
        <f t="shared" si="292"/>
        <v>787500</v>
      </c>
      <c r="T1567" s="16"/>
      <c r="U1567" s="16"/>
      <c r="V1567" s="16"/>
      <c r="W1567" s="5"/>
      <c r="X1567" s="16"/>
      <c r="Y1567" s="5"/>
      <c r="Z1567" s="16"/>
      <c r="AA1567" s="16"/>
      <c r="AB1567" s="16"/>
      <c r="AE1567" s="16"/>
      <c r="AG1567" s="22">
        <f t="shared" si="293"/>
        <v>0</v>
      </c>
      <c r="AH1567" s="6"/>
      <c r="AJ1567" s="20">
        <f t="shared" si="294"/>
        <v>0</v>
      </c>
      <c r="AK1567" s="50"/>
      <c r="AL1567" s="6"/>
      <c r="AM1567" s="20">
        <f t="shared" si="295"/>
        <v>0</v>
      </c>
      <c r="AN1567" s="20">
        <f t="shared" si="296"/>
        <v>787500</v>
      </c>
      <c r="AP1567" s="20">
        <f t="shared" si="297"/>
        <v>787500</v>
      </c>
      <c r="AQ1567" s="7"/>
      <c r="AR1567" s="20"/>
      <c r="AS1567" s="51">
        <v>9</v>
      </c>
    </row>
    <row r="1568" spans="1:45" s="21" customFormat="1" ht="30" customHeight="1" x14ac:dyDescent="0.2">
      <c r="A1568" s="8">
        <v>1333</v>
      </c>
      <c r="B1568" s="46">
        <v>1</v>
      </c>
      <c r="C1568" s="16" t="s">
        <v>52</v>
      </c>
      <c r="D1568" s="48">
        <v>18763</v>
      </c>
      <c r="E1568" s="47">
        <v>173</v>
      </c>
      <c r="F1568" s="48">
        <v>4368</v>
      </c>
      <c r="G1568" s="49">
        <v>1</v>
      </c>
      <c r="H1568" s="48">
        <v>1</v>
      </c>
      <c r="I1568" s="48">
        <v>1</v>
      </c>
      <c r="J1568" s="48">
        <v>68</v>
      </c>
      <c r="K1568" s="3">
        <v>568</v>
      </c>
      <c r="L1568" s="16"/>
      <c r="M1568" s="57"/>
      <c r="N1568" s="58"/>
      <c r="P1568" s="16">
        <v>1</v>
      </c>
      <c r="Q1568" s="20">
        <f t="shared" si="291"/>
        <v>568</v>
      </c>
      <c r="R1568" s="14">
        <v>1500</v>
      </c>
      <c r="S1568" s="19">
        <f t="shared" si="292"/>
        <v>852000</v>
      </c>
      <c r="T1568" s="16"/>
      <c r="U1568" s="17"/>
      <c r="V1568" s="16"/>
      <c r="W1568" s="5"/>
      <c r="X1568" s="16"/>
      <c r="Y1568" s="5"/>
      <c r="Z1568" s="16"/>
      <c r="AA1568" s="16"/>
      <c r="AB1568" s="16"/>
      <c r="AE1568" s="16"/>
      <c r="AG1568" s="22">
        <f t="shared" si="293"/>
        <v>0</v>
      </c>
      <c r="AH1568" s="6"/>
      <c r="AJ1568" s="20">
        <f t="shared" si="294"/>
        <v>0</v>
      </c>
      <c r="AK1568" s="50"/>
      <c r="AL1568" s="6"/>
      <c r="AM1568" s="20">
        <f t="shared" si="295"/>
        <v>0</v>
      </c>
      <c r="AN1568" s="20">
        <f t="shared" si="296"/>
        <v>852000</v>
      </c>
      <c r="AP1568" s="20">
        <f t="shared" si="297"/>
        <v>852000</v>
      </c>
      <c r="AQ1568" s="7"/>
      <c r="AR1568" s="20"/>
      <c r="AS1568" s="51"/>
    </row>
    <row r="1569" spans="1:50" s="21" customFormat="1" ht="30" customHeight="1" x14ac:dyDescent="0.2">
      <c r="A1569" s="8">
        <v>1334</v>
      </c>
      <c r="B1569" s="46">
        <v>1</v>
      </c>
      <c r="C1569" s="16" t="s">
        <v>52</v>
      </c>
      <c r="D1569" s="48">
        <v>1343</v>
      </c>
      <c r="E1569" s="47">
        <v>118</v>
      </c>
      <c r="F1569" s="48">
        <v>632</v>
      </c>
      <c r="G1569" s="49">
        <v>1</v>
      </c>
      <c r="H1569" s="48">
        <v>0</v>
      </c>
      <c r="I1569" s="48">
        <v>1</v>
      </c>
      <c r="J1569" s="48">
        <v>41</v>
      </c>
      <c r="K1569" s="3">
        <v>141</v>
      </c>
      <c r="L1569" s="16"/>
      <c r="M1569" s="57"/>
      <c r="N1569" s="58"/>
      <c r="P1569" s="16">
        <v>1</v>
      </c>
      <c r="Q1569" s="20">
        <f t="shared" si="291"/>
        <v>141</v>
      </c>
      <c r="R1569" s="14">
        <v>2250</v>
      </c>
      <c r="S1569" s="19">
        <f t="shared" si="292"/>
        <v>317250</v>
      </c>
      <c r="T1569" s="16"/>
      <c r="U1569" s="17"/>
      <c r="V1569" s="17"/>
      <c r="W1569" s="4"/>
      <c r="X1569" s="16"/>
      <c r="Y1569" s="5"/>
      <c r="Z1569" s="16"/>
      <c r="AA1569" s="16"/>
      <c r="AB1569" s="16"/>
      <c r="AE1569" s="16"/>
      <c r="AG1569" s="22">
        <f t="shared" si="293"/>
        <v>0</v>
      </c>
      <c r="AH1569" s="6"/>
      <c r="AJ1569" s="20">
        <f t="shared" si="294"/>
        <v>0</v>
      </c>
      <c r="AK1569" s="50"/>
      <c r="AL1569" s="6"/>
      <c r="AM1569" s="20">
        <f t="shared" si="295"/>
        <v>0</v>
      </c>
      <c r="AN1569" s="20">
        <f t="shared" si="296"/>
        <v>317250</v>
      </c>
      <c r="AP1569" s="20">
        <f t="shared" si="297"/>
        <v>317250</v>
      </c>
      <c r="AQ1569" s="7"/>
      <c r="AR1569" s="60"/>
      <c r="AS1569" s="128">
        <v>9</v>
      </c>
    </row>
    <row r="1570" spans="1:50" s="21" customFormat="1" ht="30" customHeight="1" x14ac:dyDescent="0.2">
      <c r="A1570" s="8">
        <v>1335</v>
      </c>
      <c r="B1570" s="46">
        <v>2</v>
      </c>
      <c r="C1570" s="16" t="s">
        <v>52</v>
      </c>
      <c r="D1570" s="48">
        <v>12557</v>
      </c>
      <c r="E1570" s="47">
        <v>372</v>
      </c>
      <c r="F1570" s="48">
        <v>3254</v>
      </c>
      <c r="G1570" s="49">
        <v>1</v>
      </c>
      <c r="H1570" s="48">
        <v>0</v>
      </c>
      <c r="I1570" s="48">
        <v>1</v>
      </c>
      <c r="J1570" s="48">
        <v>44.04</v>
      </c>
      <c r="K1570" s="3">
        <v>144.04</v>
      </c>
      <c r="L1570" s="16"/>
      <c r="M1570" s="57"/>
      <c r="N1570" s="58"/>
      <c r="P1570" s="16">
        <v>1</v>
      </c>
      <c r="Q1570" s="20">
        <f t="shared" si="291"/>
        <v>144.04</v>
      </c>
      <c r="R1570" s="14">
        <v>2250</v>
      </c>
      <c r="S1570" s="20">
        <f t="shared" si="292"/>
        <v>324090</v>
      </c>
      <c r="T1570" s="16"/>
      <c r="U1570" s="17"/>
      <c r="V1570" s="17"/>
      <c r="W1570" s="4"/>
      <c r="X1570" s="16"/>
      <c r="Y1570" s="5"/>
      <c r="Z1570" s="16"/>
      <c r="AA1570" s="16"/>
      <c r="AB1570" s="16"/>
      <c r="AE1570" s="16"/>
      <c r="AG1570" s="22">
        <f t="shared" si="293"/>
        <v>0</v>
      </c>
      <c r="AH1570" s="6"/>
      <c r="AJ1570" s="20">
        <f t="shared" si="294"/>
        <v>0</v>
      </c>
      <c r="AK1570" s="50"/>
      <c r="AL1570" s="6"/>
      <c r="AM1570" s="20">
        <f t="shared" si="295"/>
        <v>0</v>
      </c>
      <c r="AN1570" s="20">
        <f t="shared" si="296"/>
        <v>324090</v>
      </c>
      <c r="AP1570" s="20">
        <f t="shared" si="297"/>
        <v>324090</v>
      </c>
      <c r="AQ1570" s="7"/>
      <c r="AR1570" s="25"/>
      <c r="AS1570" s="130"/>
    </row>
    <row r="1571" spans="1:50" s="21" customFormat="1" ht="30" customHeight="1" x14ac:dyDescent="0.2">
      <c r="A1571" s="8">
        <v>1336</v>
      </c>
      <c r="B1571" s="46">
        <v>1</v>
      </c>
      <c r="C1571" s="16" t="s">
        <v>52</v>
      </c>
      <c r="D1571" s="48">
        <v>1349</v>
      </c>
      <c r="E1571" s="47">
        <v>112</v>
      </c>
      <c r="F1571" s="48">
        <v>638</v>
      </c>
      <c r="G1571" s="49">
        <v>1</v>
      </c>
      <c r="H1571" s="48">
        <v>0</v>
      </c>
      <c r="I1571" s="48">
        <v>1</v>
      </c>
      <c r="J1571" s="48">
        <v>40</v>
      </c>
      <c r="K1571" s="3">
        <v>140</v>
      </c>
      <c r="L1571" s="16"/>
      <c r="M1571" s="57"/>
      <c r="N1571" s="58"/>
      <c r="P1571" s="16">
        <v>1</v>
      </c>
      <c r="Q1571" s="20">
        <f t="shared" si="291"/>
        <v>140</v>
      </c>
      <c r="R1571" s="14">
        <v>2250</v>
      </c>
      <c r="S1571" s="19">
        <f t="shared" si="292"/>
        <v>315000</v>
      </c>
      <c r="T1571" s="16"/>
      <c r="U1571" s="17"/>
      <c r="V1571" s="17"/>
      <c r="W1571" s="4"/>
      <c r="X1571" s="16"/>
      <c r="Y1571" s="5"/>
      <c r="Z1571" s="16"/>
      <c r="AA1571" s="16"/>
      <c r="AB1571" s="16"/>
      <c r="AC1571" s="14"/>
      <c r="AD1571" s="14"/>
      <c r="AE1571" s="16"/>
      <c r="AG1571" s="22">
        <f t="shared" si="293"/>
        <v>0</v>
      </c>
      <c r="AH1571" s="6"/>
      <c r="AJ1571" s="20">
        <f t="shared" si="294"/>
        <v>0</v>
      </c>
      <c r="AK1571" s="50"/>
      <c r="AL1571" s="6"/>
      <c r="AM1571" s="20">
        <f t="shared" si="295"/>
        <v>0</v>
      </c>
      <c r="AN1571" s="20">
        <f t="shared" si="296"/>
        <v>315000</v>
      </c>
      <c r="AP1571" s="20">
        <f t="shared" si="297"/>
        <v>315000</v>
      </c>
      <c r="AQ1571" s="7"/>
      <c r="AR1571" s="60"/>
      <c r="AS1571" s="128">
        <f>142+6</f>
        <v>148</v>
      </c>
    </row>
    <row r="1572" spans="1:50" s="21" customFormat="1" ht="30" customHeight="1" x14ac:dyDescent="0.2">
      <c r="A1572" s="8">
        <v>1337</v>
      </c>
      <c r="B1572" s="46">
        <v>2</v>
      </c>
      <c r="C1572" s="16" t="s">
        <v>52</v>
      </c>
      <c r="D1572" s="48">
        <v>12556</v>
      </c>
      <c r="E1572" s="47">
        <v>371</v>
      </c>
      <c r="F1572" s="48">
        <v>3253</v>
      </c>
      <c r="G1572" s="49">
        <v>1</v>
      </c>
      <c r="H1572" s="48">
        <v>0</v>
      </c>
      <c r="I1572" s="48">
        <v>0</v>
      </c>
      <c r="J1572" s="48">
        <v>89.09</v>
      </c>
      <c r="K1572" s="3"/>
      <c r="L1572" s="16"/>
      <c r="M1572" s="57"/>
      <c r="N1572" s="58">
        <v>89.09</v>
      </c>
      <c r="P1572" s="16">
        <v>4</v>
      </c>
      <c r="Q1572" s="20">
        <f t="shared" si="291"/>
        <v>89.09</v>
      </c>
      <c r="R1572" s="14">
        <v>3000</v>
      </c>
      <c r="S1572" s="19">
        <f t="shared" si="292"/>
        <v>267270</v>
      </c>
      <c r="T1572" s="16"/>
      <c r="U1572" s="17"/>
      <c r="V1572" s="17"/>
      <c r="W1572" s="4"/>
      <c r="X1572" s="16"/>
      <c r="Y1572" s="5"/>
      <c r="Z1572" s="16"/>
      <c r="AA1572" s="16"/>
      <c r="AB1572" s="16"/>
      <c r="AE1572" s="16"/>
      <c r="AG1572" s="22">
        <f t="shared" si="293"/>
        <v>0</v>
      </c>
      <c r="AH1572" s="6"/>
      <c r="AJ1572" s="20">
        <f t="shared" si="294"/>
        <v>0</v>
      </c>
      <c r="AK1572" s="50"/>
      <c r="AL1572" s="6"/>
      <c r="AM1572" s="20">
        <f t="shared" si="295"/>
        <v>0</v>
      </c>
      <c r="AN1572" s="20">
        <f t="shared" si="296"/>
        <v>267270</v>
      </c>
      <c r="AP1572" s="20">
        <f t="shared" si="297"/>
        <v>267270</v>
      </c>
      <c r="AQ1572" s="7">
        <v>3.0000000000000001E-3</v>
      </c>
      <c r="AR1572" s="24"/>
      <c r="AS1572" s="129"/>
    </row>
    <row r="1573" spans="1:50" s="21" customFormat="1" ht="30" customHeight="1" x14ac:dyDescent="0.2">
      <c r="A1573" s="8">
        <v>1338</v>
      </c>
      <c r="B1573" s="46">
        <v>3</v>
      </c>
      <c r="C1573" s="16" t="s">
        <v>52</v>
      </c>
      <c r="D1573" s="48">
        <v>12559</v>
      </c>
      <c r="E1573" s="47">
        <v>88</v>
      </c>
      <c r="F1573" s="48">
        <v>3248</v>
      </c>
      <c r="G1573" s="49">
        <v>1</v>
      </c>
      <c r="H1573" s="48">
        <v>3</v>
      </c>
      <c r="I1573" s="48">
        <v>0</v>
      </c>
      <c r="J1573" s="48">
        <v>24</v>
      </c>
      <c r="K1573" s="3">
        <v>1224</v>
      </c>
      <c r="L1573" s="16"/>
      <c r="M1573" s="57"/>
      <c r="N1573" s="58"/>
      <c r="P1573" s="16">
        <v>1</v>
      </c>
      <c r="Q1573" s="20">
        <f t="shared" si="291"/>
        <v>1224</v>
      </c>
      <c r="R1573" s="14">
        <v>160</v>
      </c>
      <c r="S1573" s="20">
        <f t="shared" si="292"/>
        <v>195840</v>
      </c>
      <c r="T1573" s="16"/>
      <c r="U1573" s="17"/>
      <c r="V1573" s="17"/>
      <c r="W1573" s="4"/>
      <c r="X1573" s="16"/>
      <c r="Y1573" s="5"/>
      <c r="Z1573" s="16"/>
      <c r="AA1573" s="16"/>
      <c r="AB1573" s="16"/>
      <c r="AC1573" s="14"/>
      <c r="AD1573" s="14"/>
      <c r="AE1573" s="16"/>
      <c r="AG1573" s="22">
        <f t="shared" si="293"/>
        <v>0</v>
      </c>
      <c r="AH1573" s="6"/>
      <c r="AJ1573" s="20">
        <f t="shared" si="294"/>
        <v>0</v>
      </c>
      <c r="AK1573" s="50"/>
      <c r="AL1573" s="6"/>
      <c r="AM1573" s="20">
        <f t="shared" si="295"/>
        <v>0</v>
      </c>
      <c r="AN1573" s="20">
        <f t="shared" si="296"/>
        <v>195840</v>
      </c>
      <c r="AP1573" s="20">
        <f t="shared" si="297"/>
        <v>195840</v>
      </c>
      <c r="AQ1573" s="7"/>
      <c r="AR1573" s="24"/>
      <c r="AS1573" s="129"/>
    </row>
    <row r="1574" spans="1:50" s="21" customFormat="1" ht="30" customHeight="1" x14ac:dyDescent="0.2">
      <c r="A1574" s="8">
        <v>1339</v>
      </c>
      <c r="B1574" s="46">
        <v>4</v>
      </c>
      <c r="C1574" s="16" t="s">
        <v>52</v>
      </c>
      <c r="D1574" s="48">
        <v>33746</v>
      </c>
      <c r="E1574" s="47">
        <v>108</v>
      </c>
      <c r="F1574" s="48">
        <v>6736</v>
      </c>
      <c r="G1574" s="49">
        <v>1</v>
      </c>
      <c r="H1574" s="48">
        <v>2</v>
      </c>
      <c r="I1574" s="48">
        <v>1</v>
      </c>
      <c r="J1574" s="48">
        <v>58</v>
      </c>
      <c r="K1574" s="3">
        <v>958</v>
      </c>
      <c r="L1574" s="16"/>
      <c r="M1574" s="57"/>
      <c r="N1574" s="58"/>
      <c r="P1574" s="16">
        <v>1</v>
      </c>
      <c r="Q1574" s="20">
        <f t="shared" si="291"/>
        <v>958</v>
      </c>
      <c r="R1574" s="14">
        <v>160</v>
      </c>
      <c r="S1574" s="19">
        <f t="shared" si="292"/>
        <v>153280</v>
      </c>
      <c r="T1574" s="16"/>
      <c r="U1574" s="16"/>
      <c r="V1574" s="16"/>
      <c r="W1574" s="5"/>
      <c r="X1574" s="16"/>
      <c r="Y1574" s="5"/>
      <c r="Z1574" s="16"/>
      <c r="AA1574" s="16"/>
      <c r="AB1574" s="16"/>
      <c r="AC1574" s="14"/>
      <c r="AD1574" s="14"/>
      <c r="AE1574" s="16"/>
      <c r="AG1574" s="22">
        <f t="shared" si="293"/>
        <v>0</v>
      </c>
      <c r="AH1574" s="6"/>
      <c r="AJ1574" s="20">
        <f t="shared" si="294"/>
        <v>0</v>
      </c>
      <c r="AK1574" s="50"/>
      <c r="AL1574" s="6"/>
      <c r="AM1574" s="20">
        <f t="shared" si="295"/>
        <v>0</v>
      </c>
      <c r="AN1574" s="20">
        <f t="shared" si="296"/>
        <v>153280</v>
      </c>
      <c r="AP1574" s="20">
        <f t="shared" si="297"/>
        <v>153280</v>
      </c>
      <c r="AQ1574" s="7"/>
      <c r="AR1574" s="24"/>
      <c r="AS1574" s="129"/>
    </row>
    <row r="1575" spans="1:50" s="21" customFormat="1" ht="30" customHeight="1" x14ac:dyDescent="0.2">
      <c r="A1575" s="8">
        <v>1340</v>
      </c>
      <c r="B1575" s="46">
        <v>5</v>
      </c>
      <c r="C1575" s="16" t="s">
        <v>52</v>
      </c>
      <c r="D1575" s="48">
        <v>20245</v>
      </c>
      <c r="E1575" s="47">
        <v>152</v>
      </c>
      <c r="F1575" s="48">
        <v>4561</v>
      </c>
      <c r="G1575" s="49">
        <v>2</v>
      </c>
      <c r="H1575" s="48">
        <v>2</v>
      </c>
      <c r="I1575" s="48">
        <v>0</v>
      </c>
      <c r="J1575" s="48">
        <v>0</v>
      </c>
      <c r="K1575" s="3">
        <v>800</v>
      </c>
      <c r="L1575" s="16"/>
      <c r="M1575" s="57"/>
      <c r="N1575" s="58"/>
      <c r="P1575" s="16">
        <v>1</v>
      </c>
      <c r="Q1575" s="20">
        <f t="shared" si="291"/>
        <v>800</v>
      </c>
      <c r="R1575" s="14">
        <v>160</v>
      </c>
      <c r="S1575" s="19">
        <f t="shared" si="292"/>
        <v>128000</v>
      </c>
      <c r="T1575" s="16"/>
      <c r="U1575" s="17"/>
      <c r="V1575" s="16"/>
      <c r="W1575" s="5"/>
      <c r="X1575" s="16"/>
      <c r="Y1575" s="5"/>
      <c r="Z1575" s="16"/>
      <c r="AA1575" s="16"/>
      <c r="AB1575" s="16"/>
      <c r="AC1575" s="14"/>
      <c r="AD1575" s="14"/>
      <c r="AE1575" s="16"/>
      <c r="AG1575" s="22">
        <f t="shared" si="293"/>
        <v>0</v>
      </c>
      <c r="AH1575" s="6"/>
      <c r="AJ1575" s="20">
        <f t="shared" si="294"/>
        <v>0</v>
      </c>
      <c r="AK1575" s="50"/>
      <c r="AL1575" s="6"/>
      <c r="AM1575" s="20">
        <f t="shared" si="295"/>
        <v>0</v>
      </c>
      <c r="AN1575" s="20">
        <f t="shared" si="296"/>
        <v>128000</v>
      </c>
      <c r="AP1575" s="20">
        <f t="shared" si="297"/>
        <v>128000</v>
      </c>
      <c r="AQ1575" s="7"/>
      <c r="AR1575" s="24"/>
      <c r="AS1575" s="129"/>
    </row>
    <row r="1576" spans="1:50" ht="30" customHeight="1" x14ac:dyDescent="0.2">
      <c r="A1576" s="8">
        <v>1341</v>
      </c>
      <c r="B1576" s="13">
        <v>6</v>
      </c>
      <c r="C1576" s="16" t="s">
        <v>69</v>
      </c>
      <c r="E1576" s="17">
        <v>168</v>
      </c>
      <c r="F1576" s="17">
        <v>4</v>
      </c>
      <c r="G1576" s="13">
        <v>1</v>
      </c>
      <c r="H1576" s="17">
        <v>22</v>
      </c>
      <c r="I1576" s="17">
        <v>3</v>
      </c>
      <c r="J1576" s="17">
        <v>99</v>
      </c>
      <c r="K1576" s="10">
        <v>9199</v>
      </c>
      <c r="P1576" s="17">
        <v>1</v>
      </c>
      <c r="Q1576" s="20">
        <f t="shared" si="291"/>
        <v>9199</v>
      </c>
      <c r="R1576" s="14">
        <v>200</v>
      </c>
      <c r="S1576" s="20">
        <f t="shared" si="292"/>
        <v>1839800</v>
      </c>
      <c r="AG1576" s="22">
        <f t="shared" si="293"/>
        <v>0</v>
      </c>
      <c r="AJ1576" s="20">
        <f t="shared" si="294"/>
        <v>0</v>
      </c>
      <c r="AM1576" s="20">
        <f t="shared" si="295"/>
        <v>0</v>
      </c>
      <c r="AN1576" s="20">
        <f t="shared" si="296"/>
        <v>1839800</v>
      </c>
      <c r="AP1576" s="20">
        <f t="shared" si="297"/>
        <v>1839800</v>
      </c>
      <c r="AQ1576" s="12">
        <v>1E-4</v>
      </c>
      <c r="AR1576" s="25"/>
      <c r="AS1576" s="130"/>
      <c r="AX1576" s="14" t="s">
        <v>102</v>
      </c>
    </row>
    <row r="1577" spans="1:50" s="21" customFormat="1" ht="30" customHeight="1" x14ac:dyDescent="0.2">
      <c r="A1577" s="8">
        <v>1342</v>
      </c>
      <c r="B1577" s="46">
        <v>1</v>
      </c>
      <c r="C1577" s="16" t="s">
        <v>52</v>
      </c>
      <c r="D1577" s="48">
        <v>21270</v>
      </c>
      <c r="E1577" s="47">
        <v>180</v>
      </c>
      <c r="F1577" s="48">
        <v>4607</v>
      </c>
      <c r="G1577" s="49">
        <v>1</v>
      </c>
      <c r="H1577" s="48">
        <v>0</v>
      </c>
      <c r="I1577" s="48">
        <v>0</v>
      </c>
      <c r="J1577" s="48">
        <v>75</v>
      </c>
      <c r="K1577" s="3"/>
      <c r="L1577" s="16"/>
      <c r="M1577" s="57"/>
      <c r="N1577" s="58">
        <v>75</v>
      </c>
      <c r="P1577" s="16">
        <v>4</v>
      </c>
      <c r="Q1577" s="20">
        <f t="shared" si="291"/>
        <v>75</v>
      </c>
      <c r="R1577" s="14">
        <v>2250</v>
      </c>
      <c r="S1577" s="19">
        <f t="shared" si="292"/>
        <v>168750</v>
      </c>
      <c r="T1577" s="16"/>
      <c r="U1577" s="17"/>
      <c r="V1577" s="17"/>
      <c r="W1577" s="4"/>
      <c r="X1577" s="16"/>
      <c r="Y1577" s="5"/>
      <c r="Z1577" s="16"/>
      <c r="AA1577" s="16"/>
      <c r="AB1577" s="16"/>
      <c r="AC1577" s="14"/>
      <c r="AD1577" s="14"/>
      <c r="AE1577" s="16"/>
      <c r="AG1577" s="22">
        <f t="shared" si="293"/>
        <v>0</v>
      </c>
      <c r="AH1577" s="6"/>
      <c r="AJ1577" s="20">
        <f t="shared" si="294"/>
        <v>0</v>
      </c>
      <c r="AK1577" s="50"/>
      <c r="AL1577" s="6"/>
      <c r="AM1577" s="20">
        <f t="shared" si="295"/>
        <v>0</v>
      </c>
      <c r="AN1577" s="20">
        <f t="shared" si="296"/>
        <v>168750</v>
      </c>
      <c r="AP1577" s="20">
        <f t="shared" si="297"/>
        <v>168750</v>
      </c>
      <c r="AQ1577" s="7">
        <v>3.0000000000000001E-3</v>
      </c>
      <c r="AR1577" s="20"/>
      <c r="AS1577" s="51"/>
    </row>
    <row r="1578" spans="1:50" s="21" customFormat="1" ht="30" customHeight="1" x14ac:dyDescent="0.2">
      <c r="A1578" s="8">
        <v>1343</v>
      </c>
      <c r="B1578" s="46">
        <v>1</v>
      </c>
      <c r="C1578" s="16" t="s">
        <v>52</v>
      </c>
      <c r="D1578" s="48">
        <v>1339</v>
      </c>
      <c r="E1578" s="47">
        <v>121</v>
      </c>
      <c r="F1578" s="48">
        <v>628</v>
      </c>
      <c r="G1578" s="49">
        <v>1</v>
      </c>
      <c r="H1578" s="48">
        <v>2</v>
      </c>
      <c r="I1578" s="48">
        <v>0</v>
      </c>
      <c r="J1578" s="48">
        <v>0</v>
      </c>
      <c r="K1578" s="3">
        <v>800</v>
      </c>
      <c r="L1578" s="16"/>
      <c r="M1578" s="57"/>
      <c r="N1578" s="58"/>
      <c r="P1578" s="16">
        <v>1</v>
      </c>
      <c r="Q1578" s="20">
        <f t="shared" si="291"/>
        <v>800</v>
      </c>
      <c r="R1578" s="14">
        <v>750</v>
      </c>
      <c r="S1578" s="19">
        <f t="shared" si="292"/>
        <v>600000</v>
      </c>
      <c r="T1578" s="16"/>
      <c r="U1578" s="17"/>
      <c r="V1578" s="17"/>
      <c r="W1578" s="4"/>
      <c r="X1578" s="16"/>
      <c r="Y1578" s="5"/>
      <c r="Z1578" s="16"/>
      <c r="AA1578" s="16"/>
      <c r="AB1578" s="16"/>
      <c r="AC1578" s="14"/>
      <c r="AD1578" s="14"/>
      <c r="AE1578" s="16"/>
      <c r="AG1578" s="22">
        <f t="shared" si="293"/>
        <v>0</v>
      </c>
      <c r="AH1578" s="6"/>
      <c r="AJ1578" s="20">
        <f t="shared" si="294"/>
        <v>0</v>
      </c>
      <c r="AK1578" s="50"/>
      <c r="AL1578" s="6"/>
      <c r="AM1578" s="20">
        <f t="shared" si="295"/>
        <v>0</v>
      </c>
      <c r="AN1578" s="20">
        <f t="shared" si="296"/>
        <v>600000</v>
      </c>
      <c r="AP1578" s="20">
        <f t="shared" si="297"/>
        <v>600000</v>
      </c>
      <c r="AQ1578" s="7"/>
      <c r="AR1578" s="20"/>
      <c r="AS1578" s="51"/>
    </row>
    <row r="1579" spans="1:50" s="21" customFormat="1" ht="30" customHeight="1" x14ac:dyDescent="0.2">
      <c r="A1579" s="8">
        <v>1344</v>
      </c>
      <c r="B1579" s="46">
        <v>2</v>
      </c>
      <c r="C1579" s="16" t="s">
        <v>52</v>
      </c>
      <c r="D1579" s="48">
        <v>1341</v>
      </c>
      <c r="E1579" s="47">
        <v>120</v>
      </c>
      <c r="F1579" s="48">
        <v>630</v>
      </c>
      <c r="G1579" s="49">
        <v>1</v>
      </c>
      <c r="H1579" s="48">
        <v>0</v>
      </c>
      <c r="I1579" s="48">
        <v>1</v>
      </c>
      <c r="J1579" s="48">
        <v>37</v>
      </c>
      <c r="K1579" s="3"/>
      <c r="L1579" s="16">
        <v>137</v>
      </c>
      <c r="M1579" s="57"/>
      <c r="N1579" s="58"/>
      <c r="P1579" s="16">
        <v>2</v>
      </c>
      <c r="Q1579" s="20">
        <f t="shared" si="291"/>
        <v>137</v>
      </c>
      <c r="R1579" s="14">
        <v>2250</v>
      </c>
      <c r="S1579" s="20">
        <f t="shared" si="292"/>
        <v>308250</v>
      </c>
      <c r="T1579" s="16"/>
      <c r="U1579" s="17" t="s">
        <v>57</v>
      </c>
      <c r="V1579" s="17" t="s">
        <v>56</v>
      </c>
      <c r="W1579" s="4"/>
      <c r="X1579" s="16"/>
      <c r="Y1579" s="5">
        <v>70</v>
      </c>
      <c r="Z1579" s="16"/>
      <c r="AA1579" s="16"/>
      <c r="AB1579" s="16">
        <f>62-59</f>
        <v>3</v>
      </c>
      <c r="AE1579" s="16"/>
      <c r="AG1579" s="22">
        <f t="shared" si="293"/>
        <v>70</v>
      </c>
      <c r="AH1579" s="6"/>
      <c r="AJ1579" s="20">
        <f t="shared" si="294"/>
        <v>0</v>
      </c>
      <c r="AK1579" s="50">
        <v>3</v>
      </c>
      <c r="AL1579" s="6"/>
      <c r="AM1579" s="20">
        <f t="shared" si="295"/>
        <v>0</v>
      </c>
      <c r="AN1579" s="20">
        <f t="shared" si="296"/>
        <v>308250</v>
      </c>
      <c r="AP1579" s="20">
        <f t="shared" si="297"/>
        <v>308250</v>
      </c>
      <c r="AQ1579" s="7"/>
      <c r="AR1579" s="20"/>
      <c r="AS1579" s="51"/>
    </row>
    <row r="1580" spans="1:50" s="21" customFormat="1" ht="30" customHeight="1" x14ac:dyDescent="0.2">
      <c r="A1580" s="8">
        <v>1345</v>
      </c>
      <c r="B1580" s="46">
        <v>1</v>
      </c>
      <c r="C1580" s="16" t="s">
        <v>52</v>
      </c>
      <c r="D1580" s="48">
        <v>1012</v>
      </c>
      <c r="E1580" s="47">
        <v>54</v>
      </c>
      <c r="F1580" s="48">
        <v>353</v>
      </c>
      <c r="G1580" s="49">
        <v>1</v>
      </c>
      <c r="H1580" s="48">
        <v>4</v>
      </c>
      <c r="I1580" s="48">
        <v>3</v>
      </c>
      <c r="J1580" s="48">
        <v>74</v>
      </c>
      <c r="K1580" s="3">
        <v>1974</v>
      </c>
      <c r="L1580" s="16"/>
      <c r="M1580" s="57"/>
      <c r="N1580" s="58"/>
      <c r="P1580" s="16">
        <v>1</v>
      </c>
      <c r="Q1580" s="20">
        <f t="shared" si="291"/>
        <v>1974</v>
      </c>
      <c r="R1580" s="14">
        <v>160</v>
      </c>
      <c r="S1580" s="19">
        <f t="shared" si="292"/>
        <v>315840</v>
      </c>
      <c r="T1580" s="16"/>
      <c r="U1580" s="17"/>
      <c r="V1580" s="17"/>
      <c r="W1580" s="4"/>
      <c r="X1580" s="16"/>
      <c r="Y1580" s="5"/>
      <c r="Z1580" s="16"/>
      <c r="AA1580" s="16"/>
      <c r="AB1580" s="16"/>
      <c r="AE1580" s="16"/>
      <c r="AG1580" s="22">
        <f t="shared" si="293"/>
        <v>0</v>
      </c>
      <c r="AH1580" s="6"/>
      <c r="AJ1580" s="20">
        <f t="shared" si="294"/>
        <v>0</v>
      </c>
      <c r="AK1580" s="50"/>
      <c r="AL1580" s="6"/>
      <c r="AM1580" s="20">
        <f t="shared" si="295"/>
        <v>0</v>
      </c>
      <c r="AN1580" s="20">
        <f t="shared" si="296"/>
        <v>315840</v>
      </c>
      <c r="AP1580" s="20">
        <f t="shared" si="297"/>
        <v>315840</v>
      </c>
      <c r="AQ1580" s="7"/>
      <c r="AR1580" s="20"/>
      <c r="AS1580" s="51"/>
    </row>
    <row r="1581" spans="1:50" s="21" customFormat="1" ht="30" customHeight="1" x14ac:dyDescent="0.2">
      <c r="A1581" s="8">
        <v>1346</v>
      </c>
      <c r="B1581" s="46">
        <v>2</v>
      </c>
      <c r="C1581" s="16" t="s">
        <v>52</v>
      </c>
      <c r="D1581" s="48">
        <v>1350</v>
      </c>
      <c r="E1581" s="47">
        <v>111</v>
      </c>
      <c r="F1581" s="48">
        <v>639</v>
      </c>
      <c r="G1581" s="49">
        <v>1</v>
      </c>
      <c r="H1581" s="48">
        <v>0</v>
      </c>
      <c r="I1581" s="48">
        <v>1</v>
      </c>
      <c r="J1581" s="48">
        <v>54</v>
      </c>
      <c r="K1581" s="3">
        <v>154</v>
      </c>
      <c r="L1581" s="16"/>
      <c r="M1581" s="57"/>
      <c r="N1581" s="58"/>
      <c r="P1581" s="16">
        <v>1</v>
      </c>
      <c r="Q1581" s="20">
        <f t="shared" si="291"/>
        <v>154</v>
      </c>
      <c r="R1581" s="14">
        <v>2250</v>
      </c>
      <c r="S1581" s="19">
        <f t="shared" si="292"/>
        <v>346500</v>
      </c>
      <c r="T1581" s="16"/>
      <c r="U1581" s="17"/>
      <c r="V1581" s="17"/>
      <c r="W1581" s="4"/>
      <c r="X1581" s="16"/>
      <c r="Y1581" s="5"/>
      <c r="Z1581" s="16"/>
      <c r="AA1581" s="16"/>
      <c r="AB1581" s="16"/>
      <c r="AE1581" s="16"/>
      <c r="AG1581" s="22">
        <f t="shared" si="293"/>
        <v>0</v>
      </c>
      <c r="AH1581" s="6"/>
      <c r="AJ1581" s="20">
        <f t="shared" si="294"/>
        <v>0</v>
      </c>
      <c r="AK1581" s="50"/>
      <c r="AL1581" s="6"/>
      <c r="AM1581" s="20">
        <f t="shared" si="295"/>
        <v>0</v>
      </c>
      <c r="AN1581" s="20">
        <f t="shared" si="296"/>
        <v>346500</v>
      </c>
      <c r="AP1581" s="20">
        <f t="shared" si="297"/>
        <v>346500</v>
      </c>
      <c r="AQ1581" s="7"/>
      <c r="AR1581" s="20"/>
      <c r="AS1581" s="51"/>
    </row>
    <row r="1582" spans="1:50" s="21" customFormat="1" ht="30" customHeight="1" x14ac:dyDescent="0.2">
      <c r="A1582" s="8">
        <v>1347</v>
      </c>
      <c r="B1582" s="46">
        <v>1</v>
      </c>
      <c r="C1582" s="16" t="s">
        <v>52</v>
      </c>
      <c r="D1582" s="48">
        <v>1351</v>
      </c>
      <c r="E1582" s="47">
        <v>110</v>
      </c>
      <c r="F1582" s="48">
        <v>640</v>
      </c>
      <c r="G1582" s="49">
        <v>1</v>
      </c>
      <c r="H1582" s="48">
        <v>0</v>
      </c>
      <c r="I1582" s="48">
        <v>1</v>
      </c>
      <c r="J1582" s="48">
        <v>44</v>
      </c>
      <c r="K1582" s="3">
        <v>144</v>
      </c>
      <c r="L1582" s="16"/>
      <c r="M1582" s="57"/>
      <c r="N1582" s="58"/>
      <c r="P1582" s="16">
        <v>1</v>
      </c>
      <c r="Q1582" s="20">
        <f t="shared" si="291"/>
        <v>144</v>
      </c>
      <c r="R1582" s="14">
        <v>2250</v>
      </c>
      <c r="S1582" s="20">
        <f t="shared" si="292"/>
        <v>324000</v>
      </c>
      <c r="T1582" s="16"/>
      <c r="U1582" s="16"/>
      <c r="V1582" s="16"/>
      <c r="W1582" s="5"/>
      <c r="X1582" s="16"/>
      <c r="Y1582" s="5"/>
      <c r="Z1582" s="16"/>
      <c r="AA1582" s="16"/>
      <c r="AB1582" s="16"/>
      <c r="AE1582" s="16"/>
      <c r="AG1582" s="22">
        <f t="shared" si="293"/>
        <v>0</v>
      </c>
      <c r="AH1582" s="6"/>
      <c r="AJ1582" s="20">
        <f t="shared" si="294"/>
        <v>0</v>
      </c>
      <c r="AK1582" s="50"/>
      <c r="AL1582" s="6"/>
      <c r="AM1582" s="20">
        <f t="shared" si="295"/>
        <v>0</v>
      </c>
      <c r="AN1582" s="20">
        <f t="shared" si="296"/>
        <v>324000</v>
      </c>
      <c r="AP1582" s="20">
        <f t="shared" si="297"/>
        <v>324000</v>
      </c>
      <c r="AQ1582" s="7"/>
      <c r="AR1582" s="60"/>
      <c r="AS1582" s="128">
        <v>49</v>
      </c>
    </row>
    <row r="1583" spans="1:50" s="21" customFormat="1" ht="30" customHeight="1" x14ac:dyDescent="0.2">
      <c r="A1583" s="8">
        <v>1348</v>
      </c>
      <c r="B1583" s="46">
        <v>2</v>
      </c>
      <c r="C1583" s="16" t="s">
        <v>52</v>
      </c>
      <c r="D1583" s="48">
        <v>21266</v>
      </c>
      <c r="E1583" s="47">
        <v>176</v>
      </c>
      <c r="F1583" s="48">
        <v>4603</v>
      </c>
      <c r="G1583" s="49">
        <v>1</v>
      </c>
      <c r="H1583" s="48">
        <v>0</v>
      </c>
      <c r="I1583" s="48">
        <v>0</v>
      </c>
      <c r="J1583" s="48">
        <v>73</v>
      </c>
      <c r="K1583" s="3">
        <v>73</v>
      </c>
      <c r="L1583" s="16"/>
      <c r="M1583" s="57"/>
      <c r="N1583" s="58"/>
      <c r="P1583" s="16">
        <v>1</v>
      </c>
      <c r="Q1583" s="20">
        <f t="shared" si="291"/>
        <v>73</v>
      </c>
      <c r="R1583" s="14">
        <v>2250</v>
      </c>
      <c r="S1583" s="19">
        <f t="shared" si="292"/>
        <v>164250</v>
      </c>
      <c r="T1583" s="16"/>
      <c r="U1583" s="17"/>
      <c r="V1583" s="16"/>
      <c r="W1583" s="5"/>
      <c r="X1583" s="16"/>
      <c r="Y1583" s="5"/>
      <c r="Z1583" s="16"/>
      <c r="AA1583" s="16"/>
      <c r="AB1583" s="16"/>
      <c r="AE1583" s="16"/>
      <c r="AG1583" s="22">
        <f t="shared" si="293"/>
        <v>0</v>
      </c>
      <c r="AH1583" s="6"/>
      <c r="AJ1583" s="20">
        <f t="shared" si="294"/>
        <v>0</v>
      </c>
      <c r="AK1583" s="50"/>
      <c r="AL1583" s="6"/>
      <c r="AM1583" s="20">
        <f t="shared" si="295"/>
        <v>0</v>
      </c>
      <c r="AN1583" s="20">
        <f t="shared" si="296"/>
        <v>164250</v>
      </c>
      <c r="AP1583" s="20">
        <f t="shared" si="297"/>
        <v>164250</v>
      </c>
      <c r="AQ1583" s="7"/>
      <c r="AR1583" s="24"/>
      <c r="AS1583" s="129"/>
    </row>
    <row r="1584" spans="1:50" s="21" customFormat="1" ht="30" customHeight="1" x14ac:dyDescent="0.2">
      <c r="A1584" s="8">
        <v>1349</v>
      </c>
      <c r="B1584" s="46">
        <v>3</v>
      </c>
      <c r="C1584" s="16" t="s">
        <v>52</v>
      </c>
      <c r="D1584" s="48">
        <v>21268</v>
      </c>
      <c r="E1584" s="47">
        <v>178</v>
      </c>
      <c r="F1584" s="48">
        <v>4605</v>
      </c>
      <c r="G1584" s="49">
        <v>1</v>
      </c>
      <c r="H1584" s="48">
        <v>0</v>
      </c>
      <c r="I1584" s="48">
        <v>0</v>
      </c>
      <c r="J1584" s="48">
        <v>74</v>
      </c>
      <c r="K1584" s="3">
        <v>74</v>
      </c>
      <c r="L1584" s="16"/>
      <c r="M1584" s="57"/>
      <c r="N1584" s="58"/>
      <c r="P1584" s="16">
        <v>1</v>
      </c>
      <c r="Q1584" s="20">
        <f t="shared" si="291"/>
        <v>74</v>
      </c>
      <c r="R1584" s="14">
        <v>2250</v>
      </c>
      <c r="S1584" s="19">
        <f t="shared" si="292"/>
        <v>166500</v>
      </c>
      <c r="T1584" s="16"/>
      <c r="U1584" s="17"/>
      <c r="V1584" s="17"/>
      <c r="W1584" s="4"/>
      <c r="X1584" s="16"/>
      <c r="Y1584" s="5"/>
      <c r="Z1584" s="16"/>
      <c r="AA1584" s="16"/>
      <c r="AB1584" s="16"/>
      <c r="AE1584" s="16"/>
      <c r="AG1584" s="22">
        <f t="shared" si="293"/>
        <v>0</v>
      </c>
      <c r="AH1584" s="6"/>
      <c r="AJ1584" s="20">
        <f t="shared" si="294"/>
        <v>0</v>
      </c>
      <c r="AK1584" s="50"/>
      <c r="AL1584" s="6"/>
      <c r="AM1584" s="20">
        <f t="shared" si="295"/>
        <v>0</v>
      </c>
      <c r="AN1584" s="20">
        <f t="shared" si="296"/>
        <v>166500</v>
      </c>
      <c r="AP1584" s="20">
        <f t="shared" si="297"/>
        <v>166500</v>
      </c>
      <c r="AQ1584" s="7"/>
      <c r="AR1584" s="24"/>
      <c r="AS1584" s="129"/>
    </row>
    <row r="1585" spans="1:45" s="21" customFormat="1" ht="30" customHeight="1" x14ac:dyDescent="0.2">
      <c r="A1585" s="8">
        <v>1350</v>
      </c>
      <c r="B1585" s="46">
        <v>4</v>
      </c>
      <c r="C1585" s="16" t="s">
        <v>52</v>
      </c>
      <c r="D1585" s="48">
        <v>21269</v>
      </c>
      <c r="E1585" s="47">
        <v>179</v>
      </c>
      <c r="F1585" s="48">
        <v>4606</v>
      </c>
      <c r="G1585" s="49">
        <v>1</v>
      </c>
      <c r="H1585" s="48">
        <v>0</v>
      </c>
      <c r="I1585" s="48">
        <v>0</v>
      </c>
      <c r="J1585" s="48">
        <v>74</v>
      </c>
      <c r="K1585" s="3">
        <v>74</v>
      </c>
      <c r="L1585" s="16"/>
      <c r="M1585" s="57"/>
      <c r="N1585" s="58"/>
      <c r="P1585" s="16">
        <v>1</v>
      </c>
      <c r="Q1585" s="20">
        <f t="shared" si="291"/>
        <v>74</v>
      </c>
      <c r="R1585" s="14">
        <v>2250</v>
      </c>
      <c r="S1585" s="20">
        <f t="shared" si="292"/>
        <v>166500</v>
      </c>
      <c r="T1585" s="16"/>
      <c r="U1585" s="17"/>
      <c r="V1585" s="17"/>
      <c r="W1585" s="4"/>
      <c r="X1585" s="16"/>
      <c r="Y1585" s="5"/>
      <c r="Z1585" s="16"/>
      <c r="AA1585" s="16"/>
      <c r="AB1585" s="16"/>
      <c r="AE1585" s="16"/>
      <c r="AG1585" s="22">
        <f t="shared" si="293"/>
        <v>0</v>
      </c>
      <c r="AH1585" s="6"/>
      <c r="AJ1585" s="20">
        <f t="shared" si="294"/>
        <v>0</v>
      </c>
      <c r="AK1585" s="50"/>
      <c r="AL1585" s="6"/>
      <c r="AM1585" s="20">
        <f t="shared" si="295"/>
        <v>0</v>
      </c>
      <c r="AN1585" s="20">
        <f t="shared" si="296"/>
        <v>166500</v>
      </c>
      <c r="AP1585" s="20">
        <f t="shared" si="297"/>
        <v>166500</v>
      </c>
      <c r="AQ1585" s="7"/>
      <c r="AR1585" s="25"/>
      <c r="AS1585" s="130"/>
    </row>
    <row r="1586" spans="1:45" s="21" customFormat="1" ht="30" customHeight="1" x14ac:dyDescent="0.2">
      <c r="A1586" s="8">
        <v>1351</v>
      </c>
      <c r="B1586" s="46">
        <v>1</v>
      </c>
      <c r="C1586" s="16" t="s">
        <v>52</v>
      </c>
      <c r="D1586" s="48">
        <v>1340</v>
      </c>
      <c r="E1586" s="47">
        <v>52</v>
      </c>
      <c r="F1586" s="48">
        <v>629</v>
      </c>
      <c r="G1586" s="49">
        <v>1</v>
      </c>
      <c r="H1586" s="48">
        <v>5</v>
      </c>
      <c r="I1586" s="48">
        <v>1</v>
      </c>
      <c r="J1586" s="48">
        <v>30</v>
      </c>
      <c r="K1586" s="3">
        <v>2130</v>
      </c>
      <c r="L1586" s="16"/>
      <c r="M1586" s="57"/>
      <c r="N1586" s="58"/>
      <c r="P1586" s="16">
        <v>1</v>
      </c>
      <c r="Q1586" s="20">
        <f t="shared" si="291"/>
        <v>2130</v>
      </c>
      <c r="R1586" s="14">
        <v>750</v>
      </c>
      <c r="S1586" s="19">
        <f t="shared" si="292"/>
        <v>1597500</v>
      </c>
      <c r="T1586" s="16"/>
      <c r="U1586" s="17"/>
      <c r="V1586" s="17"/>
      <c r="W1586" s="4"/>
      <c r="X1586" s="16"/>
      <c r="Y1586" s="5"/>
      <c r="Z1586" s="16"/>
      <c r="AA1586" s="16"/>
      <c r="AB1586" s="16"/>
      <c r="AE1586" s="16"/>
      <c r="AG1586" s="22">
        <f t="shared" si="293"/>
        <v>0</v>
      </c>
      <c r="AH1586" s="6"/>
      <c r="AJ1586" s="20">
        <f t="shared" si="294"/>
        <v>0</v>
      </c>
      <c r="AK1586" s="50"/>
      <c r="AL1586" s="6"/>
      <c r="AM1586" s="20">
        <f t="shared" si="295"/>
        <v>0</v>
      </c>
      <c r="AN1586" s="20">
        <f t="shared" si="296"/>
        <v>1597500</v>
      </c>
      <c r="AP1586" s="20">
        <f t="shared" si="297"/>
        <v>1597500</v>
      </c>
      <c r="AQ1586" s="7"/>
      <c r="AR1586" s="20"/>
      <c r="AS1586" s="51"/>
    </row>
    <row r="1587" spans="1:45" s="21" customFormat="1" ht="30" customHeight="1" x14ac:dyDescent="0.2">
      <c r="A1587" s="8">
        <v>1352</v>
      </c>
      <c r="B1587" s="46">
        <v>1</v>
      </c>
      <c r="C1587" s="16" t="s">
        <v>52</v>
      </c>
      <c r="D1587" s="48">
        <v>1346</v>
      </c>
      <c r="E1587" s="47">
        <v>115</v>
      </c>
      <c r="F1587" s="48">
        <v>635</v>
      </c>
      <c r="G1587" s="49">
        <v>1</v>
      </c>
      <c r="H1587" s="48">
        <v>0</v>
      </c>
      <c r="I1587" s="48">
        <v>2</v>
      </c>
      <c r="J1587" s="48">
        <v>27</v>
      </c>
      <c r="K1587" s="3"/>
      <c r="L1587" s="16">
        <v>227</v>
      </c>
      <c r="M1587" s="57"/>
      <c r="N1587" s="58"/>
      <c r="P1587" s="16">
        <v>2</v>
      </c>
      <c r="Q1587" s="20">
        <f t="shared" si="291"/>
        <v>227</v>
      </c>
      <c r="R1587" s="14">
        <v>2250</v>
      </c>
      <c r="S1587" s="19">
        <f t="shared" si="292"/>
        <v>510750</v>
      </c>
      <c r="T1587" s="16"/>
      <c r="U1587" s="17" t="s">
        <v>57</v>
      </c>
      <c r="V1587" s="17" t="s">
        <v>56</v>
      </c>
      <c r="W1587" s="4"/>
      <c r="X1587" s="16"/>
      <c r="Y1587" s="5">
        <f>9*19.5</f>
        <v>175.5</v>
      </c>
      <c r="Z1587" s="16"/>
      <c r="AA1587" s="16"/>
      <c r="AB1587" s="16">
        <f>62-29</f>
        <v>33</v>
      </c>
      <c r="AE1587" s="16"/>
      <c r="AG1587" s="22">
        <f t="shared" si="293"/>
        <v>175.5</v>
      </c>
      <c r="AH1587" s="6"/>
      <c r="AJ1587" s="20">
        <f t="shared" si="294"/>
        <v>0</v>
      </c>
      <c r="AK1587" s="50">
        <v>33</v>
      </c>
      <c r="AL1587" s="6"/>
      <c r="AM1587" s="20">
        <f t="shared" si="295"/>
        <v>0</v>
      </c>
      <c r="AN1587" s="20">
        <f t="shared" si="296"/>
        <v>510750</v>
      </c>
      <c r="AP1587" s="20">
        <f t="shared" si="297"/>
        <v>510750</v>
      </c>
      <c r="AQ1587" s="7"/>
      <c r="AR1587" s="20"/>
      <c r="AS1587" s="51"/>
    </row>
    <row r="1588" spans="1:45" s="21" customFormat="1" ht="30" customHeight="1" x14ac:dyDescent="0.2">
      <c r="A1588" s="8">
        <v>1353</v>
      </c>
      <c r="B1588" s="46">
        <v>1</v>
      </c>
      <c r="C1588" s="16" t="s">
        <v>52</v>
      </c>
      <c r="D1588" s="48">
        <v>1095</v>
      </c>
      <c r="E1588" s="47">
        <v>26</v>
      </c>
      <c r="F1588" s="48">
        <v>984</v>
      </c>
      <c r="G1588" s="49">
        <v>1</v>
      </c>
      <c r="H1588" s="48">
        <v>5</v>
      </c>
      <c r="I1588" s="48">
        <v>0</v>
      </c>
      <c r="J1588" s="48">
        <v>64</v>
      </c>
      <c r="K1588" s="3">
        <v>2064</v>
      </c>
      <c r="L1588" s="16"/>
      <c r="M1588" s="57"/>
      <c r="N1588" s="58"/>
      <c r="P1588" s="16">
        <v>1</v>
      </c>
      <c r="Q1588" s="20">
        <f t="shared" si="291"/>
        <v>2064</v>
      </c>
      <c r="R1588" s="14">
        <v>250</v>
      </c>
      <c r="S1588" s="20">
        <f t="shared" si="292"/>
        <v>516000</v>
      </c>
      <c r="T1588" s="16"/>
      <c r="U1588" s="17"/>
      <c r="V1588" s="17"/>
      <c r="W1588" s="4"/>
      <c r="X1588" s="16"/>
      <c r="Y1588" s="5"/>
      <c r="Z1588" s="16"/>
      <c r="AA1588" s="16"/>
      <c r="AB1588" s="16"/>
      <c r="AE1588" s="16"/>
      <c r="AG1588" s="22">
        <f t="shared" si="293"/>
        <v>0</v>
      </c>
      <c r="AH1588" s="6"/>
      <c r="AJ1588" s="20">
        <f t="shared" si="294"/>
        <v>0</v>
      </c>
      <c r="AK1588" s="50"/>
      <c r="AL1588" s="6"/>
      <c r="AM1588" s="20">
        <f t="shared" si="295"/>
        <v>0</v>
      </c>
      <c r="AN1588" s="20">
        <f t="shared" si="296"/>
        <v>516000</v>
      </c>
      <c r="AP1588" s="20">
        <f t="shared" si="297"/>
        <v>516000</v>
      </c>
      <c r="AQ1588" s="7"/>
      <c r="AR1588" s="20"/>
      <c r="AS1588" s="51"/>
    </row>
    <row r="1589" spans="1:45" s="21" customFormat="1" ht="30" customHeight="1" x14ac:dyDescent="0.2">
      <c r="A1589" s="8">
        <v>1354</v>
      </c>
      <c r="B1589" s="46">
        <v>1</v>
      </c>
      <c r="C1589" s="16" t="s">
        <v>52</v>
      </c>
      <c r="D1589" s="48">
        <v>991</v>
      </c>
      <c r="E1589" s="47">
        <v>41</v>
      </c>
      <c r="F1589" s="48">
        <v>238</v>
      </c>
      <c r="G1589" s="49">
        <v>1</v>
      </c>
      <c r="H1589" s="48">
        <v>8</v>
      </c>
      <c r="I1589" s="48">
        <v>2</v>
      </c>
      <c r="J1589" s="48">
        <v>15</v>
      </c>
      <c r="K1589" s="3">
        <f>8*400+215</f>
        <v>3415</v>
      </c>
      <c r="L1589" s="16"/>
      <c r="M1589" s="57"/>
      <c r="N1589" s="58"/>
      <c r="P1589" s="16">
        <v>1</v>
      </c>
      <c r="Q1589" s="20">
        <f t="shared" si="291"/>
        <v>3415</v>
      </c>
      <c r="R1589" s="14">
        <v>160</v>
      </c>
      <c r="S1589" s="19">
        <f t="shared" si="292"/>
        <v>546400</v>
      </c>
      <c r="T1589" s="16"/>
      <c r="U1589" s="16"/>
      <c r="V1589" s="16"/>
      <c r="W1589" s="5"/>
      <c r="X1589" s="16"/>
      <c r="Y1589" s="5"/>
      <c r="Z1589" s="16"/>
      <c r="AA1589" s="16"/>
      <c r="AB1589" s="16"/>
      <c r="AE1589" s="16"/>
      <c r="AG1589" s="22">
        <f t="shared" si="293"/>
        <v>0</v>
      </c>
      <c r="AH1589" s="6"/>
      <c r="AJ1589" s="20">
        <f t="shared" si="294"/>
        <v>0</v>
      </c>
      <c r="AK1589" s="50"/>
      <c r="AL1589" s="6"/>
      <c r="AM1589" s="20">
        <f t="shared" si="295"/>
        <v>0</v>
      </c>
      <c r="AN1589" s="20">
        <f t="shared" si="296"/>
        <v>546400</v>
      </c>
      <c r="AP1589" s="20">
        <f t="shared" si="297"/>
        <v>546400</v>
      </c>
      <c r="AQ1589" s="7"/>
      <c r="AR1589" s="60"/>
      <c r="AS1589" s="128">
        <v>35</v>
      </c>
    </row>
    <row r="1590" spans="1:45" s="21" customFormat="1" ht="30" customHeight="1" x14ac:dyDescent="0.2">
      <c r="A1590" s="8">
        <v>1355</v>
      </c>
      <c r="B1590" s="46">
        <v>2</v>
      </c>
      <c r="C1590" s="16" t="s">
        <v>52</v>
      </c>
      <c r="D1590" s="48">
        <v>992</v>
      </c>
      <c r="E1590" s="47">
        <v>40</v>
      </c>
      <c r="F1590" s="48">
        <v>239</v>
      </c>
      <c r="G1590" s="49">
        <v>1</v>
      </c>
      <c r="H1590" s="48">
        <v>2</v>
      </c>
      <c r="I1590" s="48">
        <v>3</v>
      </c>
      <c r="J1590" s="48">
        <v>95</v>
      </c>
      <c r="K1590" s="3">
        <f>800+395</f>
        <v>1195</v>
      </c>
      <c r="L1590" s="16"/>
      <c r="M1590" s="57"/>
      <c r="N1590" s="58"/>
      <c r="P1590" s="16">
        <v>1</v>
      </c>
      <c r="Q1590" s="20">
        <f t="shared" si="291"/>
        <v>1195</v>
      </c>
      <c r="R1590" s="14">
        <v>160</v>
      </c>
      <c r="S1590" s="19">
        <f t="shared" si="292"/>
        <v>191200</v>
      </c>
      <c r="T1590" s="16"/>
      <c r="U1590" s="17"/>
      <c r="V1590" s="16"/>
      <c r="W1590" s="5"/>
      <c r="X1590" s="16"/>
      <c r="Y1590" s="5"/>
      <c r="Z1590" s="16"/>
      <c r="AA1590" s="16"/>
      <c r="AB1590" s="16"/>
      <c r="AC1590" s="14"/>
      <c r="AD1590" s="14"/>
      <c r="AE1590" s="16"/>
      <c r="AG1590" s="22">
        <f t="shared" si="293"/>
        <v>0</v>
      </c>
      <c r="AH1590" s="6"/>
      <c r="AJ1590" s="20">
        <f t="shared" si="294"/>
        <v>0</v>
      </c>
      <c r="AK1590" s="50"/>
      <c r="AL1590" s="6"/>
      <c r="AM1590" s="20">
        <f t="shared" si="295"/>
        <v>0</v>
      </c>
      <c r="AN1590" s="20">
        <f t="shared" si="296"/>
        <v>191200</v>
      </c>
      <c r="AP1590" s="20">
        <f t="shared" si="297"/>
        <v>191200</v>
      </c>
      <c r="AQ1590" s="7"/>
      <c r="AR1590" s="24"/>
      <c r="AS1590" s="129"/>
    </row>
    <row r="1591" spans="1:45" s="21" customFormat="1" ht="30" customHeight="1" x14ac:dyDescent="0.2">
      <c r="A1591" s="8">
        <v>1356</v>
      </c>
      <c r="B1591" s="46">
        <v>3</v>
      </c>
      <c r="C1591" s="16" t="s">
        <v>52</v>
      </c>
      <c r="D1591" s="48">
        <v>1347</v>
      </c>
      <c r="E1591" s="47">
        <v>114</v>
      </c>
      <c r="F1591" s="48">
        <v>636</v>
      </c>
      <c r="G1591" s="49">
        <v>1</v>
      </c>
      <c r="H1591" s="48">
        <v>0</v>
      </c>
      <c r="I1591" s="48">
        <v>3</v>
      </c>
      <c r="J1591" s="48">
        <v>8</v>
      </c>
      <c r="K1591" s="3">
        <f>308-L1591</f>
        <v>267.5</v>
      </c>
      <c r="L1591" s="16">
        <v>40.5</v>
      </c>
      <c r="M1591" s="57"/>
      <c r="N1591" s="58"/>
      <c r="P1591" s="16">
        <v>2</v>
      </c>
      <c r="Q1591" s="20">
        <f t="shared" si="291"/>
        <v>308</v>
      </c>
      <c r="R1591" s="14">
        <v>2250</v>
      </c>
      <c r="S1591" s="20">
        <f t="shared" si="292"/>
        <v>693000</v>
      </c>
      <c r="T1591" s="16"/>
      <c r="U1591" s="17" t="s">
        <v>57</v>
      </c>
      <c r="V1591" s="17" t="s">
        <v>56</v>
      </c>
      <c r="W1591" s="4"/>
      <c r="X1591" s="16"/>
      <c r="Y1591" s="5">
        <f>4.5*9</f>
        <v>40.5</v>
      </c>
      <c r="Z1591" s="16"/>
      <c r="AA1591" s="16"/>
      <c r="AB1591" s="16">
        <f>62-38</f>
        <v>24</v>
      </c>
      <c r="AE1591" s="16"/>
      <c r="AG1591" s="22">
        <f t="shared" si="293"/>
        <v>40.5</v>
      </c>
      <c r="AH1591" s="6"/>
      <c r="AJ1591" s="20">
        <f t="shared" si="294"/>
        <v>0</v>
      </c>
      <c r="AK1591" s="50">
        <v>24</v>
      </c>
      <c r="AL1591" s="6"/>
      <c r="AM1591" s="20">
        <f t="shared" si="295"/>
        <v>0</v>
      </c>
      <c r="AN1591" s="20">
        <f t="shared" si="296"/>
        <v>693000</v>
      </c>
      <c r="AP1591" s="20">
        <f t="shared" si="297"/>
        <v>693000</v>
      </c>
      <c r="AQ1591" s="7"/>
      <c r="AR1591" s="25"/>
      <c r="AS1591" s="130"/>
    </row>
    <row r="1592" spans="1:45" s="21" customFormat="1" ht="30" customHeight="1" x14ac:dyDescent="0.2">
      <c r="A1592" s="8">
        <v>1357</v>
      </c>
      <c r="B1592" s="46">
        <v>1</v>
      </c>
      <c r="C1592" s="16" t="s">
        <v>52</v>
      </c>
      <c r="D1592" s="48">
        <v>918</v>
      </c>
      <c r="E1592" s="47">
        <v>11</v>
      </c>
      <c r="F1592" s="48">
        <v>219</v>
      </c>
      <c r="G1592" s="49">
        <v>1</v>
      </c>
      <c r="H1592" s="48">
        <v>4</v>
      </c>
      <c r="I1592" s="48">
        <v>1</v>
      </c>
      <c r="J1592" s="48">
        <v>2</v>
      </c>
      <c r="K1592" s="3">
        <v>1702</v>
      </c>
      <c r="L1592" s="16"/>
      <c r="M1592" s="57"/>
      <c r="N1592" s="58"/>
      <c r="P1592" s="16">
        <v>1</v>
      </c>
      <c r="Q1592" s="20">
        <f t="shared" si="291"/>
        <v>1702</v>
      </c>
      <c r="R1592" s="14">
        <v>160</v>
      </c>
      <c r="S1592" s="19">
        <f t="shared" si="292"/>
        <v>272320</v>
      </c>
      <c r="T1592" s="16"/>
      <c r="U1592" s="17"/>
      <c r="V1592" s="17"/>
      <c r="W1592" s="4"/>
      <c r="X1592" s="16"/>
      <c r="Y1592" s="5"/>
      <c r="Z1592" s="16"/>
      <c r="AA1592" s="16"/>
      <c r="AB1592" s="16"/>
      <c r="AC1592" s="14"/>
      <c r="AD1592" s="14"/>
      <c r="AE1592" s="16"/>
      <c r="AG1592" s="22">
        <f t="shared" si="293"/>
        <v>0</v>
      </c>
      <c r="AH1592" s="6"/>
      <c r="AJ1592" s="20">
        <f t="shared" si="294"/>
        <v>0</v>
      </c>
      <c r="AK1592" s="50"/>
      <c r="AL1592" s="6"/>
      <c r="AM1592" s="20">
        <f t="shared" si="295"/>
        <v>0</v>
      </c>
      <c r="AN1592" s="20">
        <f t="shared" si="296"/>
        <v>272320</v>
      </c>
      <c r="AP1592" s="20">
        <f t="shared" si="297"/>
        <v>272320</v>
      </c>
      <c r="AQ1592" s="7"/>
      <c r="AR1592" s="20"/>
      <c r="AS1592" s="51"/>
    </row>
    <row r="1593" spans="1:45" s="21" customFormat="1" ht="30" customHeight="1" x14ac:dyDescent="0.2">
      <c r="A1593" s="8">
        <v>1358</v>
      </c>
      <c r="B1593" s="46">
        <v>2</v>
      </c>
      <c r="C1593" s="16" t="s">
        <v>52</v>
      </c>
      <c r="D1593" s="48">
        <v>993</v>
      </c>
      <c r="E1593" s="47">
        <v>37</v>
      </c>
      <c r="F1593" s="48">
        <v>240</v>
      </c>
      <c r="G1593" s="49">
        <v>1</v>
      </c>
      <c r="H1593" s="48">
        <v>3</v>
      </c>
      <c r="I1593" s="48">
        <v>2</v>
      </c>
      <c r="J1593" s="48">
        <v>17</v>
      </c>
      <c r="K1593" s="3">
        <v>1417</v>
      </c>
      <c r="L1593" s="16"/>
      <c r="M1593" s="57"/>
      <c r="N1593" s="58"/>
      <c r="P1593" s="16">
        <v>1</v>
      </c>
      <c r="Q1593" s="20">
        <f t="shared" si="291"/>
        <v>1417</v>
      </c>
      <c r="R1593" s="14">
        <v>160</v>
      </c>
      <c r="S1593" s="19">
        <f t="shared" si="292"/>
        <v>226720</v>
      </c>
      <c r="T1593" s="16"/>
      <c r="U1593" s="17"/>
      <c r="V1593" s="17"/>
      <c r="W1593" s="4"/>
      <c r="X1593" s="16"/>
      <c r="Y1593" s="5"/>
      <c r="Z1593" s="16"/>
      <c r="AA1593" s="16"/>
      <c r="AB1593" s="16"/>
      <c r="AC1593" s="14"/>
      <c r="AD1593" s="14"/>
      <c r="AE1593" s="16"/>
      <c r="AG1593" s="22">
        <f t="shared" si="293"/>
        <v>0</v>
      </c>
      <c r="AH1593" s="6"/>
      <c r="AJ1593" s="20">
        <f t="shared" si="294"/>
        <v>0</v>
      </c>
      <c r="AK1593" s="50"/>
      <c r="AL1593" s="6"/>
      <c r="AM1593" s="20">
        <f t="shared" si="295"/>
        <v>0</v>
      </c>
      <c r="AN1593" s="20">
        <f t="shared" ref="AN1593:AN1624" si="298">+S1593+AM1593</f>
        <v>226720</v>
      </c>
      <c r="AP1593" s="20">
        <f t="shared" si="297"/>
        <v>226720</v>
      </c>
      <c r="AQ1593" s="7"/>
      <c r="AR1593" s="20"/>
      <c r="AS1593" s="51"/>
    </row>
    <row r="1594" spans="1:45" s="21" customFormat="1" ht="30" customHeight="1" x14ac:dyDescent="0.2">
      <c r="A1594" s="8">
        <v>1359</v>
      </c>
      <c r="B1594" s="46">
        <v>3</v>
      </c>
      <c r="C1594" s="16" t="s">
        <v>52</v>
      </c>
      <c r="D1594" s="48">
        <v>33747</v>
      </c>
      <c r="E1594" s="47">
        <v>109</v>
      </c>
      <c r="F1594" s="48">
        <v>6737</v>
      </c>
      <c r="G1594" s="49">
        <v>1</v>
      </c>
      <c r="H1594" s="48">
        <v>2</v>
      </c>
      <c r="I1594" s="48">
        <v>3</v>
      </c>
      <c r="J1594" s="48">
        <v>64</v>
      </c>
      <c r="K1594" s="3">
        <v>1164</v>
      </c>
      <c r="L1594" s="16"/>
      <c r="M1594" s="57"/>
      <c r="N1594" s="58"/>
      <c r="P1594" s="16">
        <v>1</v>
      </c>
      <c r="Q1594" s="20">
        <f t="shared" si="291"/>
        <v>1164</v>
      </c>
      <c r="R1594" s="14">
        <v>160</v>
      </c>
      <c r="S1594" s="20">
        <f t="shared" si="292"/>
        <v>186240</v>
      </c>
      <c r="T1594" s="16"/>
      <c r="U1594" s="17"/>
      <c r="V1594" s="17"/>
      <c r="W1594" s="4"/>
      <c r="X1594" s="16"/>
      <c r="Y1594" s="5"/>
      <c r="Z1594" s="16"/>
      <c r="AA1594" s="16"/>
      <c r="AB1594" s="16"/>
      <c r="AC1594" s="14"/>
      <c r="AD1594" s="14"/>
      <c r="AE1594" s="16"/>
      <c r="AG1594" s="22">
        <f t="shared" si="293"/>
        <v>0</v>
      </c>
      <c r="AH1594" s="6"/>
      <c r="AJ1594" s="20">
        <f t="shared" si="294"/>
        <v>0</v>
      </c>
      <c r="AK1594" s="50"/>
      <c r="AL1594" s="6"/>
      <c r="AM1594" s="20">
        <f t="shared" si="295"/>
        <v>0</v>
      </c>
      <c r="AN1594" s="20">
        <f t="shared" si="298"/>
        <v>186240</v>
      </c>
      <c r="AP1594" s="20">
        <f t="shared" si="297"/>
        <v>186240</v>
      </c>
      <c r="AQ1594" s="7"/>
      <c r="AR1594" s="20"/>
      <c r="AS1594" s="51"/>
    </row>
    <row r="1595" spans="1:45" ht="30" customHeight="1" x14ac:dyDescent="0.2">
      <c r="A1595" s="2">
        <v>1360</v>
      </c>
      <c r="B1595" s="46">
        <v>1</v>
      </c>
      <c r="C1595" s="16" t="s">
        <v>52</v>
      </c>
      <c r="D1595" s="48">
        <v>996</v>
      </c>
      <c r="E1595" s="47">
        <v>11</v>
      </c>
      <c r="F1595" s="48">
        <v>244</v>
      </c>
      <c r="G1595" s="49">
        <v>1</v>
      </c>
      <c r="H1595" s="48">
        <v>6</v>
      </c>
      <c r="I1595" s="48">
        <v>2</v>
      </c>
      <c r="J1595" s="48">
        <v>54</v>
      </c>
      <c r="K1595" s="28">
        <v>2654</v>
      </c>
      <c r="M1595" s="103"/>
      <c r="P1595" s="17">
        <v>1</v>
      </c>
      <c r="Q1595" s="20">
        <f t="shared" si="291"/>
        <v>2654</v>
      </c>
      <c r="R1595" s="14">
        <v>160</v>
      </c>
      <c r="S1595" s="19">
        <f t="shared" si="292"/>
        <v>424640</v>
      </c>
      <c r="Y1595" s="67"/>
      <c r="AC1595" s="21"/>
      <c r="AD1595" s="21"/>
      <c r="AE1595" s="14" t="s">
        <v>173</v>
      </c>
      <c r="AG1595" s="22">
        <f t="shared" si="293"/>
        <v>0</v>
      </c>
      <c r="AJ1595" s="20">
        <f t="shared" si="294"/>
        <v>0</v>
      </c>
      <c r="AM1595" s="20">
        <f t="shared" si="295"/>
        <v>0</v>
      </c>
      <c r="AN1595" s="20">
        <f t="shared" si="298"/>
        <v>424640</v>
      </c>
      <c r="AP1595" s="20">
        <f t="shared" si="297"/>
        <v>424640</v>
      </c>
      <c r="AR1595" s="110"/>
      <c r="AS1595" s="133">
        <v>243</v>
      </c>
    </row>
    <row r="1596" spans="1:45" s="21" customFormat="1" ht="30" customHeight="1" x14ac:dyDescent="0.2">
      <c r="A1596" s="8">
        <v>1361</v>
      </c>
      <c r="B1596" s="46">
        <v>2</v>
      </c>
      <c r="C1596" s="16" t="s">
        <v>52</v>
      </c>
      <c r="D1596" s="48">
        <v>1085</v>
      </c>
      <c r="E1596" s="47">
        <v>14</v>
      </c>
      <c r="F1596" s="48">
        <v>945</v>
      </c>
      <c r="G1596" s="49">
        <v>1</v>
      </c>
      <c r="H1596" s="48">
        <v>6</v>
      </c>
      <c r="I1596" s="48">
        <v>2</v>
      </c>
      <c r="J1596" s="48">
        <v>51</v>
      </c>
      <c r="K1596" s="3">
        <v>2651</v>
      </c>
      <c r="L1596" s="16"/>
      <c r="M1596" s="57"/>
      <c r="N1596" s="58"/>
      <c r="P1596" s="16">
        <v>1</v>
      </c>
      <c r="Q1596" s="20">
        <f t="shared" si="291"/>
        <v>2651</v>
      </c>
      <c r="R1596" s="14">
        <v>200</v>
      </c>
      <c r="S1596" s="19">
        <f t="shared" si="292"/>
        <v>530200</v>
      </c>
      <c r="T1596" s="16"/>
      <c r="U1596" s="17"/>
      <c r="V1596" s="17"/>
      <c r="W1596" s="4"/>
      <c r="X1596" s="16"/>
      <c r="Y1596" s="5"/>
      <c r="Z1596" s="16"/>
      <c r="AA1596" s="16"/>
      <c r="AB1596" s="16"/>
      <c r="AC1596" s="14"/>
      <c r="AD1596" s="14"/>
      <c r="AE1596" s="16"/>
      <c r="AG1596" s="22">
        <f t="shared" si="293"/>
        <v>0</v>
      </c>
      <c r="AH1596" s="6"/>
      <c r="AJ1596" s="20">
        <f t="shared" si="294"/>
        <v>0</v>
      </c>
      <c r="AK1596" s="50"/>
      <c r="AL1596" s="6"/>
      <c r="AM1596" s="20">
        <f t="shared" si="295"/>
        <v>0</v>
      </c>
      <c r="AN1596" s="20">
        <f t="shared" si="298"/>
        <v>530200</v>
      </c>
      <c r="AP1596" s="20">
        <f t="shared" si="297"/>
        <v>530200</v>
      </c>
      <c r="AQ1596" s="7"/>
      <c r="AR1596" s="111"/>
      <c r="AS1596" s="134"/>
    </row>
    <row r="1597" spans="1:45" s="21" customFormat="1" ht="30" customHeight="1" x14ac:dyDescent="0.2">
      <c r="A1597" s="131">
        <v>1362</v>
      </c>
      <c r="B1597" s="46">
        <v>3</v>
      </c>
      <c r="C1597" s="16" t="s">
        <v>52</v>
      </c>
      <c r="D1597" s="48">
        <v>1146</v>
      </c>
      <c r="E1597" s="47">
        <v>59</v>
      </c>
      <c r="F1597" s="48">
        <v>959</v>
      </c>
      <c r="G1597" s="49">
        <v>1</v>
      </c>
      <c r="H1597" s="48">
        <v>12</v>
      </c>
      <c r="I1597" s="48">
        <v>3</v>
      </c>
      <c r="J1597" s="48">
        <v>22</v>
      </c>
      <c r="K1597" s="3">
        <f>+((14*400)+322)-(L1597+M1597)</f>
        <v>5771</v>
      </c>
      <c r="L1597" s="16">
        <f>+(255+180)/4</f>
        <v>108.75</v>
      </c>
      <c r="M1597" s="57">
        <v>42.25</v>
      </c>
      <c r="N1597" s="58"/>
      <c r="P1597" s="16">
        <v>5</v>
      </c>
      <c r="Q1597" s="20">
        <f t="shared" si="291"/>
        <v>5122</v>
      </c>
      <c r="R1597" s="14">
        <v>750</v>
      </c>
      <c r="S1597" s="20">
        <f t="shared" si="292"/>
        <v>3841500</v>
      </c>
      <c r="T1597" s="16"/>
      <c r="U1597" s="16" t="s">
        <v>57</v>
      </c>
      <c r="V1597" s="16" t="s">
        <v>56</v>
      </c>
      <c r="W1597" s="5"/>
      <c r="X1597" s="16"/>
      <c r="Y1597" s="5">
        <v>255</v>
      </c>
      <c r="Z1597" s="16"/>
      <c r="AA1597" s="16"/>
      <c r="AB1597" s="16">
        <f>62-26</f>
        <v>36</v>
      </c>
      <c r="AC1597" s="14"/>
      <c r="AD1597" s="14"/>
      <c r="AE1597" s="16"/>
      <c r="AG1597" s="22">
        <f t="shared" si="293"/>
        <v>255</v>
      </c>
      <c r="AH1597" s="6"/>
      <c r="AJ1597" s="20">
        <f t="shared" si="294"/>
        <v>0</v>
      </c>
      <c r="AK1597" s="50">
        <v>36</v>
      </c>
      <c r="AL1597" s="6"/>
      <c r="AM1597" s="20">
        <f t="shared" si="295"/>
        <v>0</v>
      </c>
      <c r="AN1597" s="20">
        <f t="shared" si="298"/>
        <v>3841500</v>
      </c>
      <c r="AP1597" s="20">
        <f t="shared" si="297"/>
        <v>3841500</v>
      </c>
      <c r="AQ1597" s="7"/>
      <c r="AR1597" s="111"/>
      <c r="AS1597" s="134"/>
    </row>
    <row r="1598" spans="1:45" s="21" customFormat="1" ht="30" customHeight="1" x14ac:dyDescent="0.2">
      <c r="A1598" s="131"/>
      <c r="B1598" s="46"/>
      <c r="C1598" s="16"/>
      <c r="D1598" s="48"/>
      <c r="E1598" s="47"/>
      <c r="F1598" s="48"/>
      <c r="G1598" s="49"/>
      <c r="H1598" s="48"/>
      <c r="I1598" s="48"/>
      <c r="J1598" s="48"/>
      <c r="K1598" s="3"/>
      <c r="L1598" s="16"/>
      <c r="M1598" s="57"/>
      <c r="N1598" s="58"/>
      <c r="P1598" s="16"/>
      <c r="Q1598" s="20">
        <f t="shared" si="291"/>
        <v>0</v>
      </c>
      <c r="R1598" s="14" t="e">
        <v>#N/A</v>
      </c>
      <c r="S1598" s="19" t="e">
        <f t="shared" si="292"/>
        <v>#N/A</v>
      </c>
      <c r="T1598" s="16"/>
      <c r="U1598" s="16" t="s">
        <v>57</v>
      </c>
      <c r="V1598" s="16" t="s">
        <v>56</v>
      </c>
      <c r="W1598" s="5"/>
      <c r="X1598" s="16"/>
      <c r="Y1598" s="5">
        <v>180</v>
      </c>
      <c r="Z1598" s="16"/>
      <c r="AA1598" s="16"/>
      <c r="AB1598" s="16">
        <f>62-44</f>
        <v>18</v>
      </c>
      <c r="AC1598" s="14"/>
      <c r="AD1598" s="14"/>
      <c r="AE1598" s="16"/>
      <c r="AG1598" s="22">
        <f t="shared" si="293"/>
        <v>180</v>
      </c>
      <c r="AH1598" s="6"/>
      <c r="AJ1598" s="20">
        <f t="shared" si="294"/>
        <v>0</v>
      </c>
      <c r="AK1598" s="50">
        <v>18</v>
      </c>
      <c r="AL1598" s="6"/>
      <c r="AM1598" s="20">
        <f t="shared" si="295"/>
        <v>0</v>
      </c>
      <c r="AN1598" s="20" t="e">
        <f t="shared" si="298"/>
        <v>#N/A</v>
      </c>
      <c r="AP1598" s="20" t="e">
        <f t="shared" si="297"/>
        <v>#N/A</v>
      </c>
      <c r="AQ1598" s="7"/>
      <c r="AR1598" s="111"/>
      <c r="AS1598" s="134"/>
    </row>
    <row r="1599" spans="1:45" s="21" customFormat="1" ht="30" customHeight="1" x14ac:dyDescent="0.2">
      <c r="A1599" s="131"/>
      <c r="B1599" s="46"/>
      <c r="C1599" s="16"/>
      <c r="D1599" s="48"/>
      <c r="E1599" s="47"/>
      <c r="F1599" s="48"/>
      <c r="G1599" s="49"/>
      <c r="H1599" s="48"/>
      <c r="I1599" s="48"/>
      <c r="J1599" s="48"/>
      <c r="K1599" s="3"/>
      <c r="L1599" s="16"/>
      <c r="M1599" s="57"/>
      <c r="N1599" s="58"/>
      <c r="P1599" s="16"/>
      <c r="Q1599" s="20">
        <f t="shared" si="291"/>
        <v>0</v>
      </c>
      <c r="R1599" s="14" t="e">
        <v>#N/A</v>
      </c>
      <c r="S1599" s="19" t="e">
        <f t="shared" si="292"/>
        <v>#N/A</v>
      </c>
      <c r="T1599" s="16"/>
      <c r="U1599" s="16" t="s">
        <v>174</v>
      </c>
      <c r="V1599" s="16" t="s">
        <v>56</v>
      </c>
      <c r="W1599" s="5"/>
      <c r="X1599" s="16"/>
      <c r="Y1599" s="5"/>
      <c r="Z1599" s="16">
        <v>169</v>
      </c>
      <c r="AA1599" s="16"/>
      <c r="AB1599" s="16">
        <f>62-45</f>
        <v>17</v>
      </c>
      <c r="AC1599" s="14"/>
      <c r="AD1599" s="14"/>
      <c r="AE1599" s="16"/>
      <c r="AG1599" s="22">
        <f t="shared" si="293"/>
        <v>0</v>
      </c>
      <c r="AH1599" s="6"/>
      <c r="AJ1599" s="20">
        <f t="shared" si="294"/>
        <v>0</v>
      </c>
      <c r="AK1599" s="50">
        <v>17</v>
      </c>
      <c r="AL1599" s="6"/>
      <c r="AM1599" s="20">
        <f t="shared" si="295"/>
        <v>0</v>
      </c>
      <c r="AN1599" s="20" t="e">
        <f t="shared" si="298"/>
        <v>#N/A</v>
      </c>
      <c r="AP1599" s="20" t="e">
        <f t="shared" si="297"/>
        <v>#N/A</v>
      </c>
      <c r="AQ1599" s="7"/>
      <c r="AR1599" s="111"/>
      <c r="AS1599" s="134"/>
    </row>
    <row r="1600" spans="1:45" s="21" customFormat="1" ht="30" customHeight="1" x14ac:dyDescent="0.2">
      <c r="A1600" s="8">
        <v>1363</v>
      </c>
      <c r="B1600" s="46">
        <v>4</v>
      </c>
      <c r="C1600" s="16" t="s">
        <v>52</v>
      </c>
      <c r="D1600" s="48">
        <v>1179</v>
      </c>
      <c r="E1600" s="47">
        <v>16</v>
      </c>
      <c r="F1600" s="48">
        <v>1018</v>
      </c>
      <c r="G1600" s="49">
        <v>1</v>
      </c>
      <c r="H1600" s="48">
        <v>2</v>
      </c>
      <c r="I1600" s="48">
        <v>2</v>
      </c>
      <c r="J1600" s="48">
        <v>98</v>
      </c>
      <c r="K1600" s="3">
        <v>1098</v>
      </c>
      <c r="L1600" s="16"/>
      <c r="M1600" s="57"/>
      <c r="N1600" s="58"/>
      <c r="P1600" s="16">
        <v>1</v>
      </c>
      <c r="Q1600" s="20">
        <f t="shared" si="291"/>
        <v>1098</v>
      </c>
      <c r="R1600" s="14">
        <v>200</v>
      </c>
      <c r="S1600" s="20">
        <f t="shared" si="292"/>
        <v>219600</v>
      </c>
      <c r="T1600" s="16"/>
      <c r="U1600" s="17"/>
      <c r="V1600" s="16"/>
      <c r="W1600" s="5"/>
      <c r="X1600" s="16"/>
      <c r="Y1600" s="5"/>
      <c r="Z1600" s="16"/>
      <c r="AA1600" s="16"/>
      <c r="AB1600" s="16"/>
      <c r="AE1600" s="16"/>
      <c r="AG1600" s="22">
        <f t="shared" si="293"/>
        <v>0</v>
      </c>
      <c r="AH1600" s="6"/>
      <c r="AJ1600" s="20">
        <f t="shared" si="294"/>
        <v>0</v>
      </c>
      <c r="AK1600" s="50"/>
      <c r="AL1600" s="6"/>
      <c r="AM1600" s="20">
        <f t="shared" si="295"/>
        <v>0</v>
      </c>
      <c r="AN1600" s="20">
        <f t="shared" si="298"/>
        <v>219600</v>
      </c>
      <c r="AP1600" s="20">
        <f t="shared" si="297"/>
        <v>219600</v>
      </c>
      <c r="AQ1600" s="7"/>
      <c r="AR1600" s="111"/>
      <c r="AS1600" s="134"/>
    </row>
    <row r="1601" spans="1:48" s="29" customFormat="1" ht="30" customHeight="1" x14ac:dyDescent="0.2">
      <c r="A1601" s="17">
        <v>1364</v>
      </c>
      <c r="B1601" s="46">
        <v>5</v>
      </c>
      <c r="C1601" s="16" t="s">
        <v>52</v>
      </c>
      <c r="D1601" s="48">
        <v>1321</v>
      </c>
      <c r="E1601" s="47">
        <v>17</v>
      </c>
      <c r="F1601" s="48">
        <v>577</v>
      </c>
      <c r="G1601" s="53">
        <v>1</v>
      </c>
      <c r="H1601" s="48">
        <v>4</v>
      </c>
      <c r="I1601" s="48">
        <v>1</v>
      </c>
      <c r="J1601" s="48">
        <v>78</v>
      </c>
      <c r="K1601" s="63">
        <v>1778</v>
      </c>
      <c r="L1601" s="63"/>
      <c r="M1601" s="103"/>
      <c r="N1601" s="63"/>
      <c r="O1601" s="63"/>
      <c r="P1601" s="104" t="s">
        <v>122</v>
      </c>
      <c r="Q1601" s="20">
        <f t="shared" si="291"/>
        <v>1778</v>
      </c>
      <c r="R1601" s="14">
        <v>200</v>
      </c>
      <c r="S1601" s="19">
        <f t="shared" si="292"/>
        <v>355600</v>
      </c>
      <c r="T1601" s="63"/>
      <c r="U1601" s="87"/>
      <c r="V1601" s="87"/>
      <c r="W1601" s="28"/>
      <c r="X1601" s="63"/>
      <c r="Y1601" s="67"/>
      <c r="Z1601" s="63"/>
      <c r="AA1601" s="63"/>
      <c r="AB1601" s="17"/>
      <c r="AC1601" s="21"/>
      <c r="AD1601" s="89"/>
      <c r="AG1601" s="22">
        <f t="shared" si="293"/>
        <v>0</v>
      </c>
      <c r="AH1601" s="112"/>
      <c r="AJ1601" s="20">
        <f t="shared" si="294"/>
        <v>0</v>
      </c>
      <c r="AK1601" s="113"/>
      <c r="AL1601" s="112"/>
      <c r="AM1601" s="20">
        <f t="shared" si="295"/>
        <v>0</v>
      </c>
      <c r="AN1601" s="20">
        <f t="shared" si="298"/>
        <v>355600</v>
      </c>
      <c r="AP1601" s="20">
        <f t="shared" si="297"/>
        <v>355600</v>
      </c>
      <c r="AQ1601" s="114"/>
      <c r="AR1601" s="111"/>
      <c r="AS1601" s="134"/>
    </row>
    <row r="1602" spans="1:48" s="21" customFormat="1" ht="30" customHeight="1" x14ac:dyDescent="0.2">
      <c r="A1602" s="8">
        <v>1365</v>
      </c>
      <c r="B1602" s="46">
        <v>6</v>
      </c>
      <c r="C1602" s="16" t="s">
        <v>52</v>
      </c>
      <c r="D1602" s="48">
        <v>29259</v>
      </c>
      <c r="E1602" s="47">
        <v>112</v>
      </c>
      <c r="F1602" s="48">
        <v>5541</v>
      </c>
      <c r="G1602" s="49">
        <v>1</v>
      </c>
      <c r="H1602" s="48">
        <v>8</v>
      </c>
      <c r="I1602" s="48">
        <v>2</v>
      </c>
      <c r="J1602" s="48">
        <v>6</v>
      </c>
      <c r="K1602" s="3">
        <f>8*400+206</f>
        <v>3406</v>
      </c>
      <c r="L1602" s="16"/>
      <c r="M1602" s="57"/>
      <c r="N1602" s="58"/>
      <c r="P1602" s="16">
        <v>1</v>
      </c>
      <c r="Q1602" s="20">
        <f t="shared" si="291"/>
        <v>3406</v>
      </c>
      <c r="R1602" s="14">
        <v>160</v>
      </c>
      <c r="S1602" s="19">
        <f t="shared" si="292"/>
        <v>544960</v>
      </c>
      <c r="T1602" s="16"/>
      <c r="U1602" s="17"/>
      <c r="V1602" s="17"/>
      <c r="W1602" s="4"/>
      <c r="X1602" s="16"/>
      <c r="Y1602" s="5"/>
      <c r="Z1602" s="16"/>
      <c r="AA1602" s="16"/>
      <c r="AB1602" s="16"/>
      <c r="AE1602" s="16"/>
      <c r="AG1602" s="22">
        <f t="shared" si="293"/>
        <v>0</v>
      </c>
      <c r="AH1602" s="6"/>
      <c r="AJ1602" s="20">
        <f t="shared" si="294"/>
        <v>0</v>
      </c>
      <c r="AK1602" s="50"/>
      <c r="AL1602" s="6"/>
      <c r="AM1602" s="20">
        <f t="shared" si="295"/>
        <v>0</v>
      </c>
      <c r="AN1602" s="20">
        <f t="shared" si="298"/>
        <v>544960</v>
      </c>
      <c r="AP1602" s="20">
        <f t="shared" si="297"/>
        <v>544960</v>
      </c>
      <c r="AQ1602" s="7"/>
      <c r="AR1602" s="111"/>
      <c r="AS1602" s="134"/>
    </row>
    <row r="1603" spans="1:48" s="21" customFormat="1" ht="30" customHeight="1" x14ac:dyDescent="0.2">
      <c r="A1603" s="8">
        <v>1366</v>
      </c>
      <c r="B1603" s="46">
        <v>7</v>
      </c>
      <c r="C1603" s="16" t="s">
        <v>52</v>
      </c>
      <c r="D1603" s="48">
        <v>29260</v>
      </c>
      <c r="E1603" s="47">
        <v>113</v>
      </c>
      <c r="F1603" s="48">
        <v>5542</v>
      </c>
      <c r="G1603" s="49">
        <v>1</v>
      </c>
      <c r="H1603" s="48">
        <v>7</v>
      </c>
      <c r="I1603" s="48">
        <v>0</v>
      </c>
      <c r="J1603" s="48">
        <v>14</v>
      </c>
      <c r="K1603" s="3">
        <f>7*400+14</f>
        <v>2814</v>
      </c>
      <c r="L1603" s="16"/>
      <c r="M1603" s="57"/>
      <c r="N1603" s="58"/>
      <c r="P1603" s="16">
        <v>1</v>
      </c>
      <c r="Q1603" s="20">
        <f t="shared" si="291"/>
        <v>2814</v>
      </c>
      <c r="R1603" s="14">
        <v>200</v>
      </c>
      <c r="S1603" s="20">
        <f t="shared" si="292"/>
        <v>562800</v>
      </c>
      <c r="T1603" s="16"/>
      <c r="U1603" s="17"/>
      <c r="V1603" s="17"/>
      <c r="W1603" s="4"/>
      <c r="X1603" s="16"/>
      <c r="Y1603" s="5"/>
      <c r="Z1603" s="16"/>
      <c r="AA1603" s="16"/>
      <c r="AB1603" s="16"/>
      <c r="AE1603" s="16"/>
      <c r="AG1603" s="22">
        <f t="shared" si="293"/>
        <v>0</v>
      </c>
      <c r="AH1603" s="6"/>
      <c r="AJ1603" s="20">
        <f t="shared" si="294"/>
        <v>0</v>
      </c>
      <c r="AK1603" s="50"/>
      <c r="AL1603" s="6"/>
      <c r="AM1603" s="20">
        <f t="shared" si="295"/>
        <v>0</v>
      </c>
      <c r="AN1603" s="20">
        <f t="shared" si="298"/>
        <v>562800</v>
      </c>
      <c r="AP1603" s="20">
        <f t="shared" si="297"/>
        <v>562800</v>
      </c>
      <c r="AQ1603" s="7"/>
      <c r="AR1603" s="115"/>
      <c r="AS1603" s="135"/>
    </row>
    <row r="1604" spans="1:48" s="21" customFormat="1" ht="30" customHeight="1" x14ac:dyDescent="0.2">
      <c r="A1604" s="8">
        <v>1367</v>
      </c>
      <c r="B1604" s="46">
        <v>1</v>
      </c>
      <c r="C1604" s="16" t="s">
        <v>52</v>
      </c>
      <c r="D1604" s="48">
        <v>2918</v>
      </c>
      <c r="E1604" s="47">
        <v>22</v>
      </c>
      <c r="F1604" s="48">
        <v>2001</v>
      </c>
      <c r="G1604" s="49">
        <v>1</v>
      </c>
      <c r="H1604" s="48">
        <v>19</v>
      </c>
      <c r="I1604" s="48">
        <v>3</v>
      </c>
      <c r="J1604" s="48">
        <v>67</v>
      </c>
      <c r="K1604" s="3">
        <f>19*400+367</f>
        <v>7967</v>
      </c>
      <c r="L1604" s="16"/>
      <c r="M1604" s="57"/>
      <c r="N1604" s="58"/>
      <c r="P1604" s="16">
        <v>1</v>
      </c>
      <c r="Q1604" s="20">
        <f t="shared" si="291"/>
        <v>7967</v>
      </c>
      <c r="R1604" s="14">
        <v>160</v>
      </c>
      <c r="S1604" s="19">
        <f t="shared" si="292"/>
        <v>1274720</v>
      </c>
      <c r="T1604" s="16"/>
      <c r="U1604" s="17"/>
      <c r="V1604" s="17"/>
      <c r="W1604" s="4"/>
      <c r="X1604" s="16"/>
      <c r="Y1604" s="5"/>
      <c r="Z1604" s="16"/>
      <c r="AA1604" s="16"/>
      <c r="AB1604" s="16"/>
      <c r="AE1604" s="16"/>
      <c r="AG1604" s="22">
        <f t="shared" si="293"/>
        <v>0</v>
      </c>
      <c r="AH1604" s="6"/>
      <c r="AJ1604" s="20">
        <f t="shared" si="294"/>
        <v>0</v>
      </c>
      <c r="AK1604" s="50"/>
      <c r="AL1604" s="6"/>
      <c r="AM1604" s="20">
        <f t="shared" si="295"/>
        <v>0</v>
      </c>
      <c r="AN1604" s="20">
        <f t="shared" si="298"/>
        <v>1274720</v>
      </c>
      <c r="AP1604" s="20">
        <f t="shared" si="297"/>
        <v>1274720</v>
      </c>
      <c r="AQ1604" s="7"/>
      <c r="AR1604" s="20"/>
      <c r="AS1604" s="51">
        <v>60</v>
      </c>
    </row>
    <row r="1605" spans="1:48" s="21" customFormat="1" ht="30" customHeight="1" x14ac:dyDescent="0.2">
      <c r="A1605" s="8">
        <v>1368</v>
      </c>
      <c r="B1605" s="46">
        <v>1</v>
      </c>
      <c r="C1605" s="16" t="s">
        <v>52</v>
      </c>
      <c r="D1605" s="48">
        <v>29258</v>
      </c>
      <c r="E1605" s="47">
        <v>111</v>
      </c>
      <c r="F1605" s="48">
        <v>5540</v>
      </c>
      <c r="G1605" s="49">
        <v>1</v>
      </c>
      <c r="H1605" s="48">
        <v>4</v>
      </c>
      <c r="I1605" s="48">
        <v>3</v>
      </c>
      <c r="J1605" s="48">
        <v>18</v>
      </c>
      <c r="K1605" s="3">
        <v>1918</v>
      </c>
      <c r="L1605" s="16"/>
      <c r="M1605" s="57"/>
      <c r="N1605" s="58"/>
      <c r="P1605" s="16">
        <v>1</v>
      </c>
      <c r="Q1605" s="20">
        <f t="shared" si="291"/>
        <v>1918</v>
      </c>
      <c r="R1605" s="14">
        <v>160</v>
      </c>
      <c r="S1605" s="19">
        <f t="shared" si="292"/>
        <v>306880</v>
      </c>
      <c r="T1605" s="16"/>
      <c r="U1605" s="17"/>
      <c r="V1605" s="17"/>
      <c r="W1605" s="4"/>
      <c r="X1605" s="16"/>
      <c r="Y1605" s="5"/>
      <c r="Z1605" s="16"/>
      <c r="AA1605" s="16"/>
      <c r="AB1605" s="16"/>
      <c r="AE1605" s="16"/>
      <c r="AG1605" s="22">
        <f t="shared" si="293"/>
        <v>0</v>
      </c>
      <c r="AH1605" s="6"/>
      <c r="AJ1605" s="20">
        <f t="shared" si="294"/>
        <v>0</v>
      </c>
      <c r="AK1605" s="50"/>
      <c r="AL1605" s="6"/>
      <c r="AM1605" s="20">
        <f t="shared" si="295"/>
        <v>0</v>
      </c>
      <c r="AN1605" s="20">
        <f t="shared" si="298"/>
        <v>306880</v>
      </c>
      <c r="AP1605" s="20">
        <f t="shared" si="297"/>
        <v>306880</v>
      </c>
      <c r="AQ1605" s="7"/>
      <c r="AR1605" s="20"/>
      <c r="AS1605" s="51"/>
    </row>
    <row r="1606" spans="1:48" s="21" customFormat="1" ht="30" customHeight="1" x14ac:dyDescent="0.2">
      <c r="A1606" s="8">
        <v>1369</v>
      </c>
      <c r="B1606" s="46">
        <v>1</v>
      </c>
      <c r="C1606" s="16" t="s">
        <v>52</v>
      </c>
      <c r="D1606" s="48">
        <v>964</v>
      </c>
      <c r="E1606" s="47">
        <v>5</v>
      </c>
      <c r="F1606" s="48">
        <v>373</v>
      </c>
      <c r="G1606" s="49">
        <v>1</v>
      </c>
      <c r="H1606" s="48">
        <v>2</v>
      </c>
      <c r="I1606" s="48">
        <v>1</v>
      </c>
      <c r="J1606" s="48">
        <v>48</v>
      </c>
      <c r="K1606" s="3">
        <v>948</v>
      </c>
      <c r="L1606" s="16"/>
      <c r="M1606" s="57"/>
      <c r="N1606" s="58"/>
      <c r="P1606" s="16">
        <v>1</v>
      </c>
      <c r="Q1606" s="20">
        <f t="shared" si="291"/>
        <v>948</v>
      </c>
      <c r="R1606" s="14">
        <v>160</v>
      </c>
      <c r="S1606" s="20">
        <f t="shared" si="292"/>
        <v>151680</v>
      </c>
      <c r="T1606" s="16"/>
      <c r="U1606" s="17"/>
      <c r="V1606" s="17"/>
      <c r="W1606" s="4"/>
      <c r="X1606" s="16"/>
      <c r="Y1606" s="5"/>
      <c r="Z1606" s="16"/>
      <c r="AA1606" s="16"/>
      <c r="AB1606" s="16"/>
      <c r="AE1606" s="16"/>
      <c r="AG1606" s="22">
        <f t="shared" si="293"/>
        <v>0</v>
      </c>
      <c r="AH1606" s="6"/>
      <c r="AJ1606" s="20">
        <f t="shared" si="294"/>
        <v>0</v>
      </c>
      <c r="AK1606" s="50"/>
      <c r="AL1606" s="6"/>
      <c r="AM1606" s="20">
        <f t="shared" si="295"/>
        <v>0</v>
      </c>
      <c r="AN1606" s="20">
        <f t="shared" si="298"/>
        <v>151680</v>
      </c>
      <c r="AP1606" s="20">
        <f t="shared" si="297"/>
        <v>151680</v>
      </c>
      <c r="AQ1606" s="7"/>
      <c r="AR1606" s="60"/>
      <c r="AS1606" s="128">
        <v>93</v>
      </c>
    </row>
    <row r="1607" spans="1:48" s="21" customFormat="1" ht="30" customHeight="1" x14ac:dyDescent="0.2">
      <c r="A1607" s="8">
        <v>1370</v>
      </c>
      <c r="B1607" s="46">
        <v>2</v>
      </c>
      <c r="C1607" s="16" t="s">
        <v>52</v>
      </c>
      <c r="D1607" s="48">
        <v>21209</v>
      </c>
      <c r="E1607" s="47">
        <v>191</v>
      </c>
      <c r="F1607" s="48">
        <v>4710</v>
      </c>
      <c r="G1607" s="49">
        <v>1</v>
      </c>
      <c r="H1607" s="48">
        <v>0</v>
      </c>
      <c r="I1607" s="48">
        <v>1</v>
      </c>
      <c r="J1607" s="48">
        <v>87</v>
      </c>
      <c r="K1607" s="3"/>
      <c r="L1607" s="16">
        <v>187</v>
      </c>
      <c r="M1607" s="57"/>
      <c r="N1607" s="58"/>
      <c r="P1607" s="16">
        <v>2</v>
      </c>
      <c r="Q1607" s="20">
        <f t="shared" si="291"/>
        <v>187</v>
      </c>
      <c r="R1607" s="14">
        <v>3000</v>
      </c>
      <c r="S1607" s="19">
        <f t="shared" si="292"/>
        <v>561000</v>
      </c>
      <c r="T1607" s="16"/>
      <c r="U1607" s="16" t="s">
        <v>57</v>
      </c>
      <c r="V1607" s="16" t="s">
        <v>56</v>
      </c>
      <c r="W1607" s="5"/>
      <c r="X1607" s="16"/>
      <c r="Y1607" s="5">
        <f>21*8.5</f>
        <v>178.5</v>
      </c>
      <c r="Z1607" s="16"/>
      <c r="AA1607" s="16"/>
      <c r="AB1607" s="16">
        <f>62-35</f>
        <v>27</v>
      </c>
      <c r="AE1607" s="16"/>
      <c r="AG1607" s="22">
        <f t="shared" si="293"/>
        <v>178.5</v>
      </c>
      <c r="AH1607" s="6"/>
      <c r="AJ1607" s="20">
        <f t="shared" si="294"/>
        <v>0</v>
      </c>
      <c r="AK1607" s="50">
        <v>27</v>
      </c>
      <c r="AL1607" s="6"/>
      <c r="AM1607" s="20">
        <f t="shared" si="295"/>
        <v>0</v>
      </c>
      <c r="AN1607" s="20">
        <f t="shared" si="298"/>
        <v>561000</v>
      </c>
      <c r="AP1607" s="20">
        <f t="shared" si="297"/>
        <v>561000</v>
      </c>
      <c r="AQ1607" s="7"/>
      <c r="AR1607" s="24"/>
      <c r="AS1607" s="129"/>
    </row>
    <row r="1608" spans="1:48" s="29" customFormat="1" ht="30" customHeight="1" x14ac:dyDescent="0.2">
      <c r="A1608" s="17">
        <v>1371</v>
      </c>
      <c r="B1608" s="46">
        <v>3</v>
      </c>
      <c r="C1608" s="16" t="s">
        <v>52</v>
      </c>
      <c r="D1608" s="48">
        <v>4610</v>
      </c>
      <c r="E1608" s="47">
        <v>69</v>
      </c>
      <c r="F1608" s="48">
        <v>2429</v>
      </c>
      <c r="G1608" s="53">
        <v>1</v>
      </c>
      <c r="H1608" s="48">
        <v>10</v>
      </c>
      <c r="I1608" s="48">
        <v>0</v>
      </c>
      <c r="J1608" s="48">
        <v>97</v>
      </c>
      <c r="K1608" s="63">
        <v>4097</v>
      </c>
      <c r="L1608" s="63"/>
      <c r="M1608" s="103"/>
      <c r="N1608" s="63"/>
      <c r="O1608" s="63"/>
      <c r="P1608" s="21">
        <v>1</v>
      </c>
      <c r="Q1608" s="20">
        <f t="shared" si="291"/>
        <v>4097</v>
      </c>
      <c r="R1608" s="14">
        <v>200</v>
      </c>
      <c r="S1608" s="19">
        <f t="shared" si="292"/>
        <v>819400</v>
      </c>
      <c r="T1608" s="63"/>
      <c r="U1608" s="87"/>
      <c r="V1608" s="87"/>
      <c r="W1608" s="28"/>
      <c r="X1608" s="63"/>
      <c r="Y1608" s="67"/>
      <c r="Z1608" s="63"/>
      <c r="AA1608" s="63"/>
      <c r="AB1608" s="17"/>
      <c r="AC1608" s="32"/>
      <c r="AF1608" s="21"/>
      <c r="AG1608" s="22"/>
      <c r="AH1608" s="21"/>
      <c r="AI1608" s="21"/>
      <c r="AJ1608" s="20">
        <f t="shared" si="294"/>
        <v>0</v>
      </c>
      <c r="AK1608" s="50">
        <f>AB1608</f>
        <v>0</v>
      </c>
      <c r="AL1608" s="6"/>
      <c r="AM1608" s="20">
        <f t="shared" si="295"/>
        <v>0</v>
      </c>
      <c r="AN1608" s="20">
        <f t="shared" si="298"/>
        <v>819400</v>
      </c>
      <c r="AO1608" s="21"/>
      <c r="AP1608" s="20">
        <f t="shared" si="297"/>
        <v>819400</v>
      </c>
      <c r="AQ1608" s="7"/>
      <c r="AR1608" s="25"/>
      <c r="AS1608" s="130"/>
      <c r="AT1608" s="14"/>
      <c r="AU1608" s="14"/>
      <c r="AV1608" s="14"/>
    </row>
    <row r="1609" spans="1:48" s="21" customFormat="1" ht="30" customHeight="1" x14ac:dyDescent="0.2">
      <c r="A1609" s="8">
        <v>1372</v>
      </c>
      <c r="B1609" s="46">
        <v>1</v>
      </c>
      <c r="C1609" s="16" t="s">
        <v>52</v>
      </c>
      <c r="D1609" s="48">
        <v>836</v>
      </c>
      <c r="E1609" s="47">
        <v>45</v>
      </c>
      <c r="F1609" s="48">
        <v>125</v>
      </c>
      <c r="G1609" s="49">
        <v>1</v>
      </c>
      <c r="H1609" s="48">
        <v>0</v>
      </c>
      <c r="I1609" s="48">
        <v>0</v>
      </c>
      <c r="J1609" s="48">
        <v>27</v>
      </c>
      <c r="K1609" s="3"/>
      <c r="L1609" s="16">
        <v>27</v>
      </c>
      <c r="M1609" s="57"/>
      <c r="N1609" s="58"/>
      <c r="P1609" s="16">
        <v>2</v>
      </c>
      <c r="Q1609" s="20">
        <f t="shared" si="291"/>
        <v>27</v>
      </c>
      <c r="R1609" s="14">
        <v>3000</v>
      </c>
      <c r="S1609" s="19">
        <f t="shared" si="292"/>
        <v>81000</v>
      </c>
      <c r="T1609" s="16"/>
      <c r="U1609" s="17"/>
      <c r="V1609" s="16"/>
      <c r="W1609" s="5"/>
      <c r="X1609" s="16"/>
      <c r="Y1609" s="5"/>
      <c r="Z1609" s="16"/>
      <c r="AA1609" s="16"/>
      <c r="AB1609" s="16"/>
      <c r="AE1609" s="16"/>
      <c r="AG1609" s="22">
        <f t="shared" ref="AG1609:AG1635" si="299">Y1609</f>
        <v>0</v>
      </c>
      <c r="AH1609" s="6"/>
      <c r="AJ1609" s="20">
        <f t="shared" si="294"/>
        <v>0</v>
      </c>
      <c r="AK1609" s="50"/>
      <c r="AL1609" s="6"/>
      <c r="AM1609" s="20">
        <f t="shared" si="295"/>
        <v>0</v>
      </c>
      <c r="AN1609" s="20">
        <f t="shared" si="298"/>
        <v>81000</v>
      </c>
      <c r="AP1609" s="20">
        <f t="shared" si="297"/>
        <v>81000</v>
      </c>
      <c r="AQ1609" s="7"/>
      <c r="AR1609" s="20"/>
      <c r="AS1609" s="51"/>
    </row>
    <row r="1610" spans="1:48" s="21" customFormat="1" ht="30" customHeight="1" x14ac:dyDescent="0.2">
      <c r="A1610" s="8">
        <v>1373</v>
      </c>
      <c r="B1610" s="46">
        <v>2</v>
      </c>
      <c r="C1610" s="16" t="s">
        <v>52</v>
      </c>
      <c r="D1610" s="48">
        <v>4604</v>
      </c>
      <c r="E1610" s="47">
        <v>73</v>
      </c>
      <c r="F1610" s="48">
        <v>2423</v>
      </c>
      <c r="G1610" s="49">
        <v>1</v>
      </c>
      <c r="H1610" s="48">
        <v>12</v>
      </c>
      <c r="I1610" s="48">
        <v>1</v>
      </c>
      <c r="J1610" s="48">
        <v>23</v>
      </c>
      <c r="K1610" s="3">
        <f>12*400+123</f>
        <v>4923</v>
      </c>
      <c r="L1610" s="16"/>
      <c r="M1610" s="57"/>
      <c r="N1610" s="58"/>
      <c r="P1610" s="16">
        <v>1</v>
      </c>
      <c r="Q1610" s="20">
        <f t="shared" si="291"/>
        <v>4923</v>
      </c>
      <c r="R1610" s="14">
        <v>160</v>
      </c>
      <c r="S1610" s="20">
        <f t="shared" si="292"/>
        <v>787680</v>
      </c>
      <c r="T1610" s="16"/>
      <c r="U1610" s="17"/>
      <c r="V1610" s="17"/>
      <c r="W1610" s="4"/>
      <c r="X1610" s="16"/>
      <c r="Y1610" s="5"/>
      <c r="Z1610" s="16"/>
      <c r="AA1610" s="16"/>
      <c r="AB1610" s="16"/>
      <c r="AE1610" s="16"/>
      <c r="AG1610" s="22">
        <f t="shared" si="299"/>
        <v>0</v>
      </c>
      <c r="AH1610" s="6"/>
      <c r="AJ1610" s="20">
        <f t="shared" si="294"/>
        <v>0</v>
      </c>
      <c r="AK1610" s="50"/>
      <c r="AL1610" s="6"/>
      <c r="AM1610" s="20">
        <f t="shared" si="295"/>
        <v>0</v>
      </c>
      <c r="AN1610" s="20">
        <f t="shared" si="298"/>
        <v>787680</v>
      </c>
      <c r="AP1610" s="20">
        <f t="shared" si="297"/>
        <v>787680</v>
      </c>
      <c r="AQ1610" s="7"/>
      <c r="AR1610" s="20"/>
      <c r="AS1610" s="51"/>
    </row>
    <row r="1611" spans="1:48" s="21" customFormat="1" ht="30" customHeight="1" x14ac:dyDescent="0.2">
      <c r="A1611" s="8">
        <v>1374</v>
      </c>
      <c r="B1611" s="46">
        <v>1</v>
      </c>
      <c r="C1611" s="16" t="s">
        <v>52</v>
      </c>
      <c r="D1611" s="48">
        <v>1362</v>
      </c>
      <c r="E1611" s="47">
        <v>39</v>
      </c>
      <c r="F1611" s="48">
        <v>651</v>
      </c>
      <c r="G1611" s="49">
        <v>1</v>
      </c>
      <c r="H1611" s="48">
        <v>1</v>
      </c>
      <c r="I1611" s="48">
        <v>3</v>
      </c>
      <c r="J1611" s="48">
        <v>66</v>
      </c>
      <c r="K1611" s="3">
        <f>766-L1611</f>
        <v>748</v>
      </c>
      <c r="L1611" s="16">
        <f>72/4</f>
        <v>18</v>
      </c>
      <c r="M1611" s="57"/>
      <c r="N1611" s="58"/>
      <c r="P1611" s="16">
        <v>5</v>
      </c>
      <c r="Q1611" s="20">
        <f t="shared" si="291"/>
        <v>766</v>
      </c>
      <c r="R1611" s="14">
        <v>160</v>
      </c>
      <c r="S1611" s="19">
        <f t="shared" si="292"/>
        <v>122560</v>
      </c>
      <c r="T1611" s="16"/>
      <c r="U1611" s="17" t="s">
        <v>57</v>
      </c>
      <c r="V1611" s="17" t="s">
        <v>56</v>
      </c>
      <c r="W1611" s="4"/>
      <c r="X1611" s="16"/>
      <c r="Y1611" s="5">
        <f>12*6</f>
        <v>72</v>
      </c>
      <c r="Z1611" s="16"/>
      <c r="AA1611" s="16"/>
      <c r="AB1611" s="16">
        <f>62-31</f>
        <v>31</v>
      </c>
      <c r="AE1611" s="16"/>
      <c r="AG1611" s="22">
        <f t="shared" si="299"/>
        <v>72</v>
      </c>
      <c r="AH1611" s="6"/>
      <c r="AJ1611" s="20">
        <f t="shared" si="294"/>
        <v>0</v>
      </c>
      <c r="AK1611" s="50">
        <v>31</v>
      </c>
      <c r="AL1611" s="6"/>
      <c r="AM1611" s="20">
        <f t="shared" si="295"/>
        <v>0</v>
      </c>
      <c r="AN1611" s="20">
        <f t="shared" si="298"/>
        <v>122560</v>
      </c>
      <c r="AP1611" s="20">
        <f t="shared" si="297"/>
        <v>122560</v>
      </c>
      <c r="AQ1611" s="7"/>
      <c r="AR1611" s="20"/>
      <c r="AS1611" s="51"/>
    </row>
    <row r="1612" spans="1:48" s="21" customFormat="1" ht="30" customHeight="1" x14ac:dyDescent="0.2">
      <c r="A1612" s="8">
        <v>1375</v>
      </c>
      <c r="B1612" s="46">
        <v>2</v>
      </c>
      <c r="C1612" s="16" t="s">
        <v>52</v>
      </c>
      <c r="D1612" s="48">
        <v>1365</v>
      </c>
      <c r="E1612" s="47">
        <v>42</v>
      </c>
      <c r="F1612" s="48">
        <v>654</v>
      </c>
      <c r="G1612" s="49">
        <v>1</v>
      </c>
      <c r="H1612" s="48">
        <v>3</v>
      </c>
      <c r="I1612" s="48">
        <v>3</v>
      </c>
      <c r="J1612" s="48">
        <v>31</v>
      </c>
      <c r="K1612" s="3">
        <v>1531</v>
      </c>
      <c r="L1612" s="16"/>
      <c r="M1612" s="57"/>
      <c r="N1612" s="58"/>
      <c r="P1612" s="16">
        <v>1</v>
      </c>
      <c r="Q1612" s="20">
        <f t="shared" si="291"/>
        <v>1531</v>
      </c>
      <c r="R1612" s="14">
        <v>750</v>
      </c>
      <c r="S1612" s="19">
        <f t="shared" si="292"/>
        <v>1148250</v>
      </c>
      <c r="T1612" s="16"/>
      <c r="U1612" s="17"/>
      <c r="V1612" s="17"/>
      <c r="W1612" s="4"/>
      <c r="X1612" s="16"/>
      <c r="Y1612" s="5"/>
      <c r="Z1612" s="16"/>
      <c r="AA1612" s="16"/>
      <c r="AB1612" s="16"/>
      <c r="AE1612" s="16"/>
      <c r="AG1612" s="22">
        <f t="shared" si="299"/>
        <v>0</v>
      </c>
      <c r="AH1612" s="6"/>
      <c r="AJ1612" s="20">
        <f t="shared" si="294"/>
        <v>0</v>
      </c>
      <c r="AK1612" s="50"/>
      <c r="AL1612" s="6"/>
      <c r="AM1612" s="20">
        <f t="shared" si="295"/>
        <v>0</v>
      </c>
      <c r="AN1612" s="20">
        <f t="shared" si="298"/>
        <v>1148250</v>
      </c>
      <c r="AP1612" s="20">
        <f t="shared" si="297"/>
        <v>1148250</v>
      </c>
      <c r="AQ1612" s="7"/>
      <c r="AR1612" s="20"/>
      <c r="AS1612" s="51"/>
    </row>
    <row r="1613" spans="1:48" s="21" customFormat="1" ht="30" customHeight="1" x14ac:dyDescent="0.2">
      <c r="A1613" s="8">
        <v>1376</v>
      </c>
      <c r="B1613" s="46">
        <v>3</v>
      </c>
      <c r="C1613" s="16" t="s">
        <v>52</v>
      </c>
      <c r="D1613" s="48">
        <v>29269</v>
      </c>
      <c r="E1613" s="47">
        <v>118</v>
      </c>
      <c r="F1613" s="48">
        <v>5551</v>
      </c>
      <c r="G1613" s="49">
        <v>1</v>
      </c>
      <c r="H1613" s="48">
        <v>3</v>
      </c>
      <c r="I1613" s="48">
        <v>1</v>
      </c>
      <c r="J1613" s="48">
        <v>60</v>
      </c>
      <c r="K1613" s="3">
        <v>1360</v>
      </c>
      <c r="L1613" s="16"/>
      <c r="M1613" s="57"/>
      <c r="N1613" s="58"/>
      <c r="P1613" s="16">
        <v>1</v>
      </c>
      <c r="Q1613" s="20">
        <f t="shared" si="291"/>
        <v>1360</v>
      </c>
      <c r="R1613" s="14">
        <v>160</v>
      </c>
      <c r="S1613" s="20">
        <f t="shared" si="292"/>
        <v>217600</v>
      </c>
      <c r="T1613" s="16"/>
      <c r="U1613" s="17"/>
      <c r="V1613" s="17"/>
      <c r="W1613" s="4"/>
      <c r="X1613" s="16"/>
      <c r="Y1613" s="5"/>
      <c r="Z1613" s="16"/>
      <c r="AA1613" s="16"/>
      <c r="AB1613" s="16"/>
      <c r="AC1613" s="14"/>
      <c r="AD1613" s="14"/>
      <c r="AE1613" s="16"/>
      <c r="AG1613" s="22">
        <f t="shared" si="299"/>
        <v>0</v>
      </c>
      <c r="AH1613" s="6"/>
      <c r="AJ1613" s="20">
        <f t="shared" si="294"/>
        <v>0</v>
      </c>
      <c r="AK1613" s="50"/>
      <c r="AL1613" s="6"/>
      <c r="AM1613" s="20">
        <f t="shared" si="295"/>
        <v>0</v>
      </c>
      <c r="AN1613" s="20">
        <f t="shared" si="298"/>
        <v>217600</v>
      </c>
      <c r="AP1613" s="20">
        <f t="shared" si="297"/>
        <v>217600</v>
      </c>
      <c r="AQ1613" s="7"/>
      <c r="AR1613" s="20"/>
      <c r="AS1613" s="51"/>
    </row>
    <row r="1614" spans="1:48" s="21" customFormat="1" ht="30" customHeight="1" x14ac:dyDescent="0.2">
      <c r="A1614" s="8">
        <v>1377</v>
      </c>
      <c r="B1614" s="46">
        <v>1</v>
      </c>
      <c r="C1614" s="16" t="s">
        <v>52</v>
      </c>
      <c r="D1614" s="48">
        <v>1368</v>
      </c>
      <c r="E1614" s="47">
        <v>29</v>
      </c>
      <c r="F1614" s="48">
        <v>658</v>
      </c>
      <c r="G1614" s="49">
        <v>1</v>
      </c>
      <c r="H1614" s="48">
        <v>12</v>
      </c>
      <c r="I1614" s="48">
        <v>2</v>
      </c>
      <c r="J1614" s="48">
        <v>34</v>
      </c>
      <c r="K1614" s="3">
        <f>12*400+234</f>
        <v>5034</v>
      </c>
      <c r="L1614" s="16"/>
      <c r="M1614" s="57"/>
      <c r="N1614" s="58"/>
      <c r="P1614" s="16">
        <v>1</v>
      </c>
      <c r="Q1614" s="20">
        <f t="shared" si="291"/>
        <v>5034</v>
      </c>
      <c r="R1614" s="14">
        <v>160</v>
      </c>
      <c r="S1614" s="19">
        <f t="shared" si="292"/>
        <v>805440</v>
      </c>
      <c r="T1614" s="16"/>
      <c r="U1614" s="17"/>
      <c r="V1614" s="17"/>
      <c r="W1614" s="4"/>
      <c r="X1614" s="16"/>
      <c r="Y1614" s="5"/>
      <c r="Z1614" s="16"/>
      <c r="AA1614" s="16"/>
      <c r="AB1614" s="16"/>
      <c r="AE1614" s="16"/>
      <c r="AG1614" s="22">
        <f t="shared" si="299"/>
        <v>0</v>
      </c>
      <c r="AH1614" s="6"/>
      <c r="AJ1614" s="20">
        <f t="shared" si="294"/>
        <v>0</v>
      </c>
      <c r="AK1614" s="50"/>
      <c r="AL1614" s="6"/>
      <c r="AM1614" s="20">
        <f t="shared" si="295"/>
        <v>0</v>
      </c>
      <c r="AN1614" s="20">
        <f t="shared" si="298"/>
        <v>805440</v>
      </c>
      <c r="AP1614" s="20">
        <f t="shared" si="297"/>
        <v>805440</v>
      </c>
      <c r="AQ1614" s="7"/>
      <c r="AR1614" s="20"/>
      <c r="AS1614" s="51"/>
    </row>
    <row r="1615" spans="1:48" s="21" customFormat="1" ht="30" customHeight="1" x14ac:dyDescent="0.2">
      <c r="A1615" s="8">
        <v>1378</v>
      </c>
      <c r="B1615" s="46">
        <v>2</v>
      </c>
      <c r="C1615" s="16" t="s">
        <v>52</v>
      </c>
      <c r="D1615" s="48">
        <v>29270</v>
      </c>
      <c r="E1615" s="47">
        <v>120</v>
      </c>
      <c r="F1615" s="48">
        <v>5552</v>
      </c>
      <c r="G1615" s="49">
        <v>1</v>
      </c>
      <c r="H1615" s="48">
        <v>3</v>
      </c>
      <c r="I1615" s="48">
        <v>0</v>
      </c>
      <c r="J1615" s="48">
        <v>14</v>
      </c>
      <c r="K1615" s="3">
        <f>3*400+14</f>
        <v>1214</v>
      </c>
      <c r="L1615" s="16"/>
      <c r="M1615" s="57"/>
      <c r="N1615" s="58"/>
      <c r="P1615" s="16">
        <v>1</v>
      </c>
      <c r="Q1615" s="20">
        <f t="shared" si="291"/>
        <v>1214</v>
      </c>
      <c r="R1615" s="14">
        <v>160</v>
      </c>
      <c r="S1615" s="19">
        <f t="shared" si="292"/>
        <v>194240</v>
      </c>
      <c r="T1615" s="16"/>
      <c r="U1615" s="16"/>
      <c r="V1615" s="16"/>
      <c r="W1615" s="5"/>
      <c r="X1615" s="16"/>
      <c r="Y1615" s="5"/>
      <c r="Z1615" s="16"/>
      <c r="AA1615" s="16"/>
      <c r="AB1615" s="16"/>
      <c r="AC1615" s="14"/>
      <c r="AD1615" s="14"/>
      <c r="AE1615" s="16"/>
      <c r="AG1615" s="22">
        <f t="shared" si="299"/>
        <v>0</v>
      </c>
      <c r="AH1615" s="6"/>
      <c r="AJ1615" s="20">
        <f t="shared" si="294"/>
        <v>0</v>
      </c>
      <c r="AK1615" s="50"/>
      <c r="AL1615" s="6"/>
      <c r="AM1615" s="20">
        <f t="shared" si="295"/>
        <v>0</v>
      </c>
      <c r="AN1615" s="20">
        <f t="shared" si="298"/>
        <v>194240</v>
      </c>
      <c r="AP1615" s="20">
        <f t="shared" si="297"/>
        <v>194240</v>
      </c>
      <c r="AQ1615" s="7"/>
      <c r="AR1615" s="20"/>
      <c r="AS1615" s="51"/>
    </row>
    <row r="1616" spans="1:48" s="21" customFormat="1" ht="30" customHeight="1" x14ac:dyDescent="0.2">
      <c r="A1616" s="8">
        <v>1379</v>
      </c>
      <c r="B1616" s="46">
        <v>1</v>
      </c>
      <c r="C1616" s="16" t="s">
        <v>52</v>
      </c>
      <c r="D1616" s="48">
        <v>1377</v>
      </c>
      <c r="E1616" s="47">
        <v>41</v>
      </c>
      <c r="F1616" s="48">
        <v>655</v>
      </c>
      <c r="G1616" s="49">
        <v>1</v>
      </c>
      <c r="H1616" s="48">
        <v>3</v>
      </c>
      <c r="I1616" s="48">
        <v>0</v>
      </c>
      <c r="J1616" s="48">
        <v>30</v>
      </c>
      <c r="K1616" s="3">
        <v>1230</v>
      </c>
      <c r="L1616" s="16"/>
      <c r="M1616" s="57"/>
      <c r="N1616" s="58"/>
      <c r="P1616" s="16">
        <v>1</v>
      </c>
      <c r="Q1616" s="20">
        <f t="shared" si="291"/>
        <v>1230</v>
      </c>
      <c r="R1616" s="14">
        <v>750</v>
      </c>
      <c r="S1616" s="20">
        <f t="shared" si="292"/>
        <v>922500</v>
      </c>
      <c r="T1616" s="16"/>
      <c r="U1616" s="17"/>
      <c r="V1616" s="16"/>
      <c r="W1616" s="5"/>
      <c r="X1616" s="16"/>
      <c r="Y1616" s="5"/>
      <c r="Z1616" s="16"/>
      <c r="AA1616" s="16"/>
      <c r="AB1616" s="16"/>
      <c r="AC1616" s="14"/>
      <c r="AD1616" s="14"/>
      <c r="AE1616" s="16"/>
      <c r="AG1616" s="22">
        <f t="shared" si="299"/>
        <v>0</v>
      </c>
      <c r="AH1616" s="6"/>
      <c r="AJ1616" s="20">
        <f t="shared" si="294"/>
        <v>0</v>
      </c>
      <c r="AK1616" s="50"/>
      <c r="AL1616" s="6"/>
      <c r="AM1616" s="20">
        <f t="shared" si="295"/>
        <v>0</v>
      </c>
      <c r="AN1616" s="20">
        <f t="shared" si="298"/>
        <v>922500</v>
      </c>
      <c r="AP1616" s="20">
        <f t="shared" si="297"/>
        <v>922500</v>
      </c>
      <c r="AQ1616" s="7"/>
      <c r="AR1616" s="20"/>
      <c r="AS1616" s="51"/>
    </row>
    <row r="1617" spans="1:45" s="21" customFormat="1" ht="30" customHeight="1" x14ac:dyDescent="0.2">
      <c r="A1617" s="8">
        <v>1380</v>
      </c>
      <c r="B1617" s="46">
        <v>2</v>
      </c>
      <c r="C1617" s="16" t="s">
        <v>52</v>
      </c>
      <c r="D1617" s="48">
        <v>22472</v>
      </c>
      <c r="E1617" s="47">
        <v>91</v>
      </c>
      <c r="F1617" s="48">
        <v>4805</v>
      </c>
      <c r="G1617" s="49">
        <v>1</v>
      </c>
      <c r="H1617" s="48">
        <v>3</v>
      </c>
      <c r="I1617" s="48">
        <v>2</v>
      </c>
      <c r="J1617" s="48">
        <v>91</v>
      </c>
      <c r="K1617" s="3">
        <v>1491</v>
      </c>
      <c r="L1617" s="16"/>
      <c r="M1617" s="57"/>
      <c r="N1617" s="58"/>
      <c r="P1617" s="16">
        <v>1</v>
      </c>
      <c r="Q1617" s="20">
        <f t="shared" si="291"/>
        <v>1491</v>
      </c>
      <c r="R1617" s="14">
        <v>160</v>
      </c>
      <c r="S1617" s="19">
        <f t="shared" si="292"/>
        <v>238560</v>
      </c>
      <c r="T1617" s="16"/>
      <c r="U1617" s="17"/>
      <c r="V1617" s="17"/>
      <c r="W1617" s="4"/>
      <c r="X1617" s="16"/>
      <c r="Y1617" s="5"/>
      <c r="Z1617" s="16"/>
      <c r="AA1617" s="16"/>
      <c r="AB1617" s="16"/>
      <c r="AC1617" s="14"/>
      <c r="AD1617" s="14"/>
      <c r="AE1617" s="16"/>
      <c r="AG1617" s="22">
        <f t="shared" si="299"/>
        <v>0</v>
      </c>
      <c r="AH1617" s="6"/>
      <c r="AJ1617" s="20">
        <f t="shared" si="294"/>
        <v>0</v>
      </c>
      <c r="AK1617" s="50"/>
      <c r="AL1617" s="6"/>
      <c r="AM1617" s="20">
        <f t="shared" si="295"/>
        <v>0</v>
      </c>
      <c r="AN1617" s="20">
        <f t="shared" si="298"/>
        <v>238560</v>
      </c>
      <c r="AP1617" s="20">
        <f t="shared" si="297"/>
        <v>238560</v>
      </c>
      <c r="AQ1617" s="7"/>
      <c r="AR1617" s="20"/>
      <c r="AS1617" s="51"/>
    </row>
    <row r="1618" spans="1:45" s="21" customFormat="1" ht="30" customHeight="1" x14ac:dyDescent="0.2">
      <c r="A1618" s="8">
        <v>1381</v>
      </c>
      <c r="B1618" s="46">
        <v>3</v>
      </c>
      <c r="C1618" s="16" t="s">
        <v>52</v>
      </c>
      <c r="D1618" s="48">
        <v>29492</v>
      </c>
      <c r="E1618" s="47">
        <v>119</v>
      </c>
      <c r="F1618" s="48">
        <v>5613</v>
      </c>
      <c r="G1618" s="49">
        <v>1</v>
      </c>
      <c r="H1618" s="48">
        <v>5</v>
      </c>
      <c r="I1618" s="48">
        <v>1</v>
      </c>
      <c r="J1618" s="48">
        <v>13</v>
      </c>
      <c r="K1618" s="3">
        <v>2113</v>
      </c>
      <c r="L1618" s="16"/>
      <c r="M1618" s="57"/>
      <c r="N1618" s="58"/>
      <c r="P1618" s="16">
        <v>1</v>
      </c>
      <c r="Q1618" s="20">
        <f t="shared" si="291"/>
        <v>2113</v>
      </c>
      <c r="R1618" s="14">
        <v>160</v>
      </c>
      <c r="S1618" s="19">
        <f t="shared" si="292"/>
        <v>338080</v>
      </c>
      <c r="T1618" s="16"/>
      <c r="U1618" s="17"/>
      <c r="V1618" s="17"/>
      <c r="W1618" s="4"/>
      <c r="X1618" s="16"/>
      <c r="Y1618" s="5"/>
      <c r="Z1618" s="16"/>
      <c r="AA1618" s="16"/>
      <c r="AB1618" s="16"/>
      <c r="AC1618" s="14"/>
      <c r="AD1618" s="14"/>
      <c r="AE1618" s="16"/>
      <c r="AG1618" s="22">
        <f t="shared" si="299"/>
        <v>0</v>
      </c>
      <c r="AH1618" s="6"/>
      <c r="AJ1618" s="20">
        <f t="shared" si="294"/>
        <v>0</v>
      </c>
      <c r="AK1618" s="50"/>
      <c r="AL1618" s="6"/>
      <c r="AM1618" s="20">
        <f t="shared" si="295"/>
        <v>0</v>
      </c>
      <c r="AN1618" s="20">
        <f t="shared" si="298"/>
        <v>338080</v>
      </c>
      <c r="AP1618" s="20">
        <f t="shared" si="297"/>
        <v>338080</v>
      </c>
      <c r="AQ1618" s="7"/>
      <c r="AR1618" s="20"/>
      <c r="AS1618" s="51"/>
    </row>
    <row r="1619" spans="1:45" ht="30" customHeight="1" x14ac:dyDescent="0.2">
      <c r="A1619" s="8">
        <v>1382</v>
      </c>
      <c r="B1619" s="13">
        <v>4</v>
      </c>
      <c r="C1619" s="16" t="s">
        <v>65</v>
      </c>
      <c r="D1619" s="17">
        <v>1804</v>
      </c>
      <c r="E1619" s="17">
        <v>137</v>
      </c>
      <c r="H1619" s="17">
        <v>5</v>
      </c>
      <c r="I1619" s="17">
        <v>1</v>
      </c>
      <c r="J1619" s="17">
        <v>42</v>
      </c>
      <c r="K1619" s="10">
        <v>2142</v>
      </c>
      <c r="P1619" s="17">
        <v>1</v>
      </c>
      <c r="Q1619" s="20">
        <f t="shared" si="291"/>
        <v>2142</v>
      </c>
      <c r="R1619" s="14">
        <v>160</v>
      </c>
      <c r="S1619" s="20">
        <f t="shared" si="292"/>
        <v>342720</v>
      </c>
      <c r="AG1619" s="22">
        <f t="shared" si="299"/>
        <v>0</v>
      </c>
      <c r="AJ1619" s="20">
        <f t="shared" si="294"/>
        <v>0</v>
      </c>
      <c r="AM1619" s="20">
        <f t="shared" si="295"/>
        <v>0</v>
      </c>
      <c r="AN1619" s="20">
        <f t="shared" si="298"/>
        <v>342720</v>
      </c>
      <c r="AP1619" s="20">
        <f t="shared" si="297"/>
        <v>342720</v>
      </c>
      <c r="AQ1619" s="12">
        <v>1E-4</v>
      </c>
      <c r="AR1619" s="20"/>
    </row>
    <row r="1620" spans="1:45" s="21" customFormat="1" ht="30" customHeight="1" x14ac:dyDescent="0.2">
      <c r="A1620" s="8">
        <v>1383</v>
      </c>
      <c r="B1620" s="46">
        <v>1</v>
      </c>
      <c r="C1620" s="16" t="s">
        <v>52</v>
      </c>
      <c r="D1620" s="48">
        <v>1363</v>
      </c>
      <c r="E1620" s="47">
        <v>40</v>
      </c>
      <c r="F1620" s="48">
        <v>652</v>
      </c>
      <c r="G1620" s="49">
        <v>1</v>
      </c>
      <c r="H1620" s="48">
        <v>1</v>
      </c>
      <c r="I1620" s="48">
        <v>1</v>
      </c>
      <c r="J1620" s="48">
        <v>85.05</v>
      </c>
      <c r="K1620" s="3">
        <v>585.04999999999995</v>
      </c>
      <c r="L1620" s="16"/>
      <c r="M1620" s="57"/>
      <c r="N1620" s="58"/>
      <c r="P1620" s="16">
        <v>1</v>
      </c>
      <c r="Q1620" s="20">
        <f t="shared" si="291"/>
        <v>585.04999999999995</v>
      </c>
      <c r="R1620" s="14">
        <v>160</v>
      </c>
      <c r="S1620" s="19">
        <f t="shared" si="292"/>
        <v>93608</v>
      </c>
      <c r="T1620" s="16"/>
      <c r="U1620" s="17"/>
      <c r="V1620" s="17"/>
      <c r="W1620" s="4"/>
      <c r="X1620" s="16"/>
      <c r="Y1620" s="5"/>
      <c r="Z1620" s="16"/>
      <c r="AA1620" s="16"/>
      <c r="AB1620" s="16"/>
      <c r="AE1620" s="16"/>
      <c r="AG1620" s="22">
        <f t="shared" si="299"/>
        <v>0</v>
      </c>
      <c r="AH1620" s="6"/>
      <c r="AJ1620" s="20">
        <f t="shared" si="294"/>
        <v>0</v>
      </c>
      <c r="AK1620" s="50"/>
      <c r="AL1620" s="6"/>
      <c r="AM1620" s="20">
        <f t="shared" si="295"/>
        <v>0</v>
      </c>
      <c r="AN1620" s="20">
        <f t="shared" si="298"/>
        <v>93608</v>
      </c>
      <c r="AP1620" s="20">
        <f t="shared" si="297"/>
        <v>93608</v>
      </c>
      <c r="AQ1620" s="7"/>
      <c r="AR1620" s="20"/>
      <c r="AS1620" s="51"/>
    </row>
    <row r="1621" spans="1:45" s="21" customFormat="1" ht="30" customHeight="1" x14ac:dyDescent="0.2">
      <c r="A1621" s="8">
        <v>1384</v>
      </c>
      <c r="B1621" s="46">
        <v>2</v>
      </c>
      <c r="C1621" s="16" t="s">
        <v>52</v>
      </c>
      <c r="D1621" s="48">
        <v>12429</v>
      </c>
      <c r="E1621" s="47">
        <v>87</v>
      </c>
      <c r="F1621" s="48">
        <v>3234</v>
      </c>
      <c r="G1621" s="49">
        <v>1</v>
      </c>
      <c r="H1621" s="48">
        <v>2</v>
      </c>
      <c r="I1621" s="48">
        <v>3</v>
      </c>
      <c r="J1621" s="48">
        <v>83</v>
      </c>
      <c r="K1621" s="3">
        <v>1183</v>
      </c>
      <c r="L1621" s="16"/>
      <c r="M1621" s="57"/>
      <c r="N1621" s="58"/>
      <c r="P1621" s="16">
        <v>1</v>
      </c>
      <c r="Q1621" s="20">
        <f t="shared" si="291"/>
        <v>1183</v>
      </c>
      <c r="R1621" s="14">
        <v>160</v>
      </c>
      <c r="S1621" s="19">
        <f t="shared" si="292"/>
        <v>189280</v>
      </c>
      <c r="T1621" s="16"/>
      <c r="U1621" s="17"/>
      <c r="V1621" s="17"/>
      <c r="W1621" s="4"/>
      <c r="X1621" s="16"/>
      <c r="Y1621" s="5"/>
      <c r="Z1621" s="16"/>
      <c r="AA1621" s="16"/>
      <c r="AB1621" s="16"/>
      <c r="AE1621" s="16"/>
      <c r="AG1621" s="22">
        <f t="shared" si="299"/>
        <v>0</v>
      </c>
      <c r="AH1621" s="6"/>
      <c r="AJ1621" s="20">
        <f t="shared" si="294"/>
        <v>0</v>
      </c>
      <c r="AK1621" s="50"/>
      <c r="AL1621" s="6"/>
      <c r="AM1621" s="20">
        <f t="shared" si="295"/>
        <v>0</v>
      </c>
      <c r="AN1621" s="20">
        <f t="shared" si="298"/>
        <v>189280</v>
      </c>
      <c r="AP1621" s="20">
        <f t="shared" si="297"/>
        <v>189280</v>
      </c>
      <c r="AQ1621" s="7"/>
      <c r="AR1621" s="20"/>
      <c r="AS1621" s="51"/>
    </row>
    <row r="1622" spans="1:45" s="21" customFormat="1" ht="30" customHeight="1" x14ac:dyDescent="0.2">
      <c r="A1622" s="8">
        <v>1385</v>
      </c>
      <c r="B1622" s="46">
        <v>1</v>
      </c>
      <c r="C1622" s="16" t="s">
        <v>52</v>
      </c>
      <c r="D1622" s="48">
        <v>1117</v>
      </c>
      <c r="E1622" s="47">
        <v>54</v>
      </c>
      <c r="F1622" s="48">
        <v>686</v>
      </c>
      <c r="G1622" s="49">
        <v>1</v>
      </c>
      <c r="H1622" s="48">
        <v>7</v>
      </c>
      <c r="I1622" s="48">
        <v>1</v>
      </c>
      <c r="J1622" s="48">
        <v>96</v>
      </c>
      <c r="K1622" s="3">
        <f>7*400+196</f>
        <v>2996</v>
      </c>
      <c r="L1622" s="16"/>
      <c r="M1622" s="57"/>
      <c r="N1622" s="58"/>
      <c r="P1622" s="16">
        <v>1</v>
      </c>
      <c r="Q1622" s="20">
        <f t="shared" si="291"/>
        <v>2996</v>
      </c>
      <c r="R1622" s="14">
        <v>200</v>
      </c>
      <c r="S1622" s="20">
        <f t="shared" si="292"/>
        <v>599200</v>
      </c>
      <c r="T1622" s="16"/>
      <c r="U1622" s="16"/>
      <c r="V1622" s="16"/>
      <c r="W1622" s="5"/>
      <c r="X1622" s="16"/>
      <c r="Y1622" s="5"/>
      <c r="Z1622" s="16"/>
      <c r="AA1622" s="16"/>
      <c r="AB1622" s="16"/>
      <c r="AE1622" s="16"/>
      <c r="AG1622" s="22">
        <f t="shared" si="299"/>
        <v>0</v>
      </c>
      <c r="AH1622" s="6"/>
      <c r="AJ1622" s="20">
        <f t="shared" si="294"/>
        <v>0</v>
      </c>
      <c r="AK1622" s="50"/>
      <c r="AL1622" s="6"/>
      <c r="AM1622" s="20">
        <f t="shared" si="295"/>
        <v>0</v>
      </c>
      <c r="AN1622" s="20">
        <f t="shared" si="298"/>
        <v>599200</v>
      </c>
      <c r="AP1622" s="20">
        <f t="shared" si="297"/>
        <v>599200</v>
      </c>
      <c r="AQ1622" s="7"/>
      <c r="AR1622" s="60"/>
      <c r="AS1622" s="128">
        <v>133</v>
      </c>
    </row>
    <row r="1623" spans="1:45" s="21" customFormat="1" ht="30" customHeight="1" x14ac:dyDescent="0.2">
      <c r="A1623" s="8">
        <v>1386</v>
      </c>
      <c r="B1623" s="46">
        <v>2</v>
      </c>
      <c r="C1623" s="16" t="s">
        <v>52</v>
      </c>
      <c r="D1623" s="48">
        <v>1137</v>
      </c>
      <c r="E1623" s="47">
        <v>24</v>
      </c>
      <c r="F1623" s="48">
        <v>717</v>
      </c>
      <c r="G1623" s="49">
        <v>1</v>
      </c>
      <c r="H1623" s="48">
        <v>5</v>
      </c>
      <c r="I1623" s="48">
        <v>2</v>
      </c>
      <c r="J1623" s="48">
        <v>85</v>
      </c>
      <c r="K1623" s="3">
        <v>2285</v>
      </c>
      <c r="L1623" s="16"/>
      <c r="M1623" s="57"/>
      <c r="N1623" s="58"/>
      <c r="P1623" s="16">
        <v>1</v>
      </c>
      <c r="Q1623" s="20">
        <f t="shared" si="291"/>
        <v>2285</v>
      </c>
      <c r="R1623" s="14">
        <v>160</v>
      </c>
      <c r="S1623" s="19">
        <f t="shared" si="292"/>
        <v>365600</v>
      </c>
      <c r="T1623" s="16"/>
      <c r="U1623" s="17"/>
      <c r="V1623" s="16"/>
      <c r="W1623" s="5"/>
      <c r="X1623" s="16"/>
      <c r="Y1623" s="5"/>
      <c r="Z1623" s="16"/>
      <c r="AA1623" s="16"/>
      <c r="AB1623" s="16"/>
      <c r="AE1623" s="16"/>
      <c r="AG1623" s="22">
        <f t="shared" si="299"/>
        <v>0</v>
      </c>
      <c r="AH1623" s="6"/>
      <c r="AJ1623" s="20">
        <f t="shared" si="294"/>
        <v>0</v>
      </c>
      <c r="AK1623" s="50"/>
      <c r="AL1623" s="6"/>
      <c r="AM1623" s="20">
        <f t="shared" si="295"/>
        <v>0</v>
      </c>
      <c r="AN1623" s="20">
        <f t="shared" si="298"/>
        <v>365600</v>
      </c>
      <c r="AP1623" s="20">
        <f t="shared" si="297"/>
        <v>365600</v>
      </c>
      <c r="AQ1623" s="7"/>
      <c r="AR1623" s="24"/>
      <c r="AS1623" s="129"/>
    </row>
    <row r="1624" spans="1:45" s="21" customFormat="1" ht="30" customHeight="1" x14ac:dyDescent="0.2">
      <c r="A1624" s="8">
        <v>1387</v>
      </c>
      <c r="B1624" s="46">
        <v>3</v>
      </c>
      <c r="C1624" s="16" t="s">
        <v>52</v>
      </c>
      <c r="D1624" s="48">
        <v>1138</v>
      </c>
      <c r="E1624" s="47">
        <v>25</v>
      </c>
      <c r="F1624" s="48">
        <v>718</v>
      </c>
      <c r="G1624" s="49">
        <v>1</v>
      </c>
      <c r="H1624" s="48">
        <v>5</v>
      </c>
      <c r="I1624" s="48">
        <v>1</v>
      </c>
      <c r="J1624" s="48">
        <v>92</v>
      </c>
      <c r="K1624" s="3">
        <v>2192</v>
      </c>
      <c r="L1624" s="16"/>
      <c r="M1624" s="57"/>
      <c r="N1624" s="58"/>
      <c r="P1624" s="16">
        <v>1</v>
      </c>
      <c r="Q1624" s="20">
        <f t="shared" si="291"/>
        <v>2192</v>
      </c>
      <c r="R1624" s="14">
        <v>160</v>
      </c>
      <c r="S1624" s="19">
        <f t="shared" si="292"/>
        <v>350720</v>
      </c>
      <c r="T1624" s="16"/>
      <c r="U1624" s="17"/>
      <c r="V1624" s="17"/>
      <c r="W1624" s="4"/>
      <c r="X1624" s="16"/>
      <c r="Y1624" s="5"/>
      <c r="Z1624" s="16"/>
      <c r="AA1624" s="16"/>
      <c r="AB1624" s="16"/>
      <c r="AE1624" s="16"/>
      <c r="AG1624" s="22">
        <f t="shared" si="299"/>
        <v>0</v>
      </c>
      <c r="AH1624" s="6"/>
      <c r="AJ1624" s="20">
        <f t="shared" si="294"/>
        <v>0</v>
      </c>
      <c r="AK1624" s="50"/>
      <c r="AL1624" s="6"/>
      <c r="AM1624" s="20">
        <f t="shared" si="295"/>
        <v>0</v>
      </c>
      <c r="AN1624" s="20">
        <f t="shared" si="298"/>
        <v>350720</v>
      </c>
      <c r="AP1624" s="20">
        <f t="shared" si="297"/>
        <v>350720</v>
      </c>
      <c r="AQ1624" s="7"/>
      <c r="AR1624" s="24"/>
      <c r="AS1624" s="129"/>
    </row>
    <row r="1625" spans="1:45" s="21" customFormat="1" ht="30" customHeight="1" x14ac:dyDescent="0.2">
      <c r="A1625" s="8">
        <v>1388</v>
      </c>
      <c r="B1625" s="46">
        <v>4</v>
      </c>
      <c r="C1625" s="16" t="s">
        <v>52</v>
      </c>
      <c r="D1625" s="48">
        <v>1139</v>
      </c>
      <c r="E1625" s="47">
        <v>26</v>
      </c>
      <c r="F1625" s="48">
        <v>719</v>
      </c>
      <c r="G1625" s="49">
        <v>1</v>
      </c>
      <c r="H1625" s="48">
        <v>7</v>
      </c>
      <c r="I1625" s="48">
        <v>1</v>
      </c>
      <c r="J1625" s="48">
        <v>52</v>
      </c>
      <c r="K1625" s="3">
        <v>2952</v>
      </c>
      <c r="L1625" s="16"/>
      <c r="M1625" s="57"/>
      <c r="N1625" s="58"/>
      <c r="P1625" s="16">
        <v>1</v>
      </c>
      <c r="Q1625" s="20">
        <f t="shared" ref="Q1625:Q1636" si="300">+(H1625*400)+(I1625*100)+J1625</f>
        <v>2952</v>
      </c>
      <c r="R1625" s="14">
        <v>160</v>
      </c>
      <c r="S1625" s="20">
        <f t="shared" ref="S1625:S1636" si="301">+Q1625*R1625</f>
        <v>472320</v>
      </c>
      <c r="T1625" s="16"/>
      <c r="U1625" s="17"/>
      <c r="V1625" s="17"/>
      <c r="W1625" s="4"/>
      <c r="X1625" s="16"/>
      <c r="Y1625" s="5"/>
      <c r="Z1625" s="16"/>
      <c r="AA1625" s="16"/>
      <c r="AB1625" s="16"/>
      <c r="AE1625" s="16"/>
      <c r="AG1625" s="22">
        <f t="shared" si="299"/>
        <v>0</v>
      </c>
      <c r="AH1625" s="6"/>
      <c r="AJ1625" s="20">
        <f t="shared" ref="AJ1625:AJ1635" si="302">+AG1625*AH1625*AI1625</f>
        <v>0</v>
      </c>
      <c r="AK1625" s="50"/>
      <c r="AL1625" s="6"/>
      <c r="AM1625" s="20">
        <f t="shared" ref="AM1625:AM1688" si="303">+AJ1625-(AL1625*AJ1625)</f>
        <v>0</v>
      </c>
      <c r="AN1625" s="20">
        <f t="shared" ref="AN1625:AN1636" si="304">+S1625+AM1625</f>
        <v>472320</v>
      </c>
      <c r="AP1625" s="20">
        <f t="shared" ref="AP1625:AP1636" si="305">AN1625</f>
        <v>472320</v>
      </c>
      <c r="AQ1625" s="7"/>
      <c r="AR1625" s="24"/>
      <c r="AS1625" s="129"/>
    </row>
    <row r="1626" spans="1:45" s="21" customFormat="1" ht="30" customHeight="1" x14ac:dyDescent="0.2">
      <c r="A1626" s="8">
        <v>1389</v>
      </c>
      <c r="B1626" s="46">
        <v>5</v>
      </c>
      <c r="C1626" s="16" t="s">
        <v>52</v>
      </c>
      <c r="D1626" s="48">
        <v>1361</v>
      </c>
      <c r="E1626" s="47">
        <v>44</v>
      </c>
      <c r="F1626" s="48">
        <v>650</v>
      </c>
      <c r="G1626" s="49">
        <v>1</v>
      </c>
      <c r="H1626" s="48">
        <v>15</v>
      </c>
      <c r="I1626" s="48">
        <v>1</v>
      </c>
      <c r="J1626" s="48">
        <v>8</v>
      </c>
      <c r="K1626" s="3">
        <f>15*400+108</f>
        <v>6108</v>
      </c>
      <c r="L1626" s="16"/>
      <c r="M1626" s="57"/>
      <c r="N1626" s="58"/>
      <c r="P1626" s="16">
        <v>1</v>
      </c>
      <c r="Q1626" s="20">
        <f t="shared" si="300"/>
        <v>6108</v>
      </c>
      <c r="R1626" s="14">
        <v>750</v>
      </c>
      <c r="S1626" s="19">
        <f t="shared" si="301"/>
        <v>4581000</v>
      </c>
      <c r="T1626" s="16"/>
      <c r="U1626" s="17"/>
      <c r="V1626" s="17"/>
      <c r="W1626" s="4"/>
      <c r="X1626" s="16"/>
      <c r="Y1626" s="5"/>
      <c r="Z1626" s="16"/>
      <c r="AA1626" s="16"/>
      <c r="AB1626" s="16"/>
      <c r="AE1626" s="16"/>
      <c r="AG1626" s="22">
        <f t="shared" si="299"/>
        <v>0</v>
      </c>
      <c r="AH1626" s="6"/>
      <c r="AJ1626" s="20">
        <f t="shared" si="302"/>
        <v>0</v>
      </c>
      <c r="AK1626" s="50"/>
      <c r="AL1626" s="6"/>
      <c r="AM1626" s="20">
        <f t="shared" si="303"/>
        <v>0</v>
      </c>
      <c r="AN1626" s="20">
        <f t="shared" si="304"/>
        <v>4581000</v>
      </c>
      <c r="AP1626" s="20">
        <f t="shared" si="305"/>
        <v>4581000</v>
      </c>
      <c r="AQ1626" s="7"/>
      <c r="AR1626" s="25"/>
      <c r="AS1626" s="130"/>
    </row>
    <row r="1627" spans="1:45" s="21" customFormat="1" ht="30" customHeight="1" x14ac:dyDescent="0.2">
      <c r="A1627" s="8">
        <v>1390</v>
      </c>
      <c r="B1627" s="46">
        <v>1</v>
      </c>
      <c r="C1627" s="16" t="s">
        <v>52</v>
      </c>
      <c r="D1627" s="48">
        <v>29262</v>
      </c>
      <c r="E1627" s="47">
        <v>117</v>
      </c>
      <c r="F1627" s="48">
        <v>5544</v>
      </c>
      <c r="G1627" s="49">
        <v>1</v>
      </c>
      <c r="H1627" s="48">
        <v>5</v>
      </c>
      <c r="I1627" s="48">
        <v>3</v>
      </c>
      <c r="J1627" s="48">
        <v>8</v>
      </c>
      <c r="K1627" s="3">
        <v>2308</v>
      </c>
      <c r="L1627" s="16"/>
      <c r="M1627" s="57"/>
      <c r="N1627" s="58"/>
      <c r="P1627" s="16">
        <v>1</v>
      </c>
      <c r="Q1627" s="20">
        <f t="shared" si="300"/>
        <v>2308</v>
      </c>
      <c r="R1627" s="14">
        <v>160</v>
      </c>
      <c r="S1627" s="19">
        <f t="shared" si="301"/>
        <v>369280</v>
      </c>
      <c r="T1627" s="16"/>
      <c r="U1627" s="17"/>
      <c r="V1627" s="17"/>
      <c r="W1627" s="4"/>
      <c r="X1627" s="16"/>
      <c r="Y1627" s="5"/>
      <c r="Z1627" s="16"/>
      <c r="AA1627" s="16"/>
      <c r="AB1627" s="16"/>
      <c r="AE1627" s="16"/>
      <c r="AG1627" s="22">
        <f t="shared" si="299"/>
        <v>0</v>
      </c>
      <c r="AH1627" s="6"/>
      <c r="AJ1627" s="20">
        <f t="shared" si="302"/>
        <v>0</v>
      </c>
      <c r="AK1627" s="50"/>
      <c r="AL1627" s="6"/>
      <c r="AM1627" s="20">
        <f t="shared" si="303"/>
        <v>0</v>
      </c>
      <c r="AN1627" s="20">
        <f t="shared" si="304"/>
        <v>369280</v>
      </c>
      <c r="AP1627" s="20">
        <f t="shared" si="305"/>
        <v>369280</v>
      </c>
      <c r="AQ1627" s="7"/>
      <c r="AR1627" s="20"/>
      <c r="AS1627" s="51"/>
    </row>
    <row r="1628" spans="1:45" s="21" customFormat="1" ht="30" customHeight="1" x14ac:dyDescent="0.2">
      <c r="A1628" s="8">
        <v>1391</v>
      </c>
      <c r="B1628" s="46">
        <v>2</v>
      </c>
      <c r="C1628" s="16" t="s">
        <v>52</v>
      </c>
      <c r="D1628" s="48">
        <v>29263</v>
      </c>
      <c r="E1628" s="47">
        <v>116</v>
      </c>
      <c r="F1628" s="48">
        <v>5545</v>
      </c>
      <c r="G1628" s="49">
        <v>1</v>
      </c>
      <c r="H1628" s="48">
        <v>2</v>
      </c>
      <c r="I1628" s="48">
        <v>2</v>
      </c>
      <c r="J1628" s="48">
        <v>7</v>
      </c>
      <c r="K1628" s="3">
        <f>1007-L1628</f>
        <v>962</v>
      </c>
      <c r="L1628" s="16">
        <f>180/4</f>
        <v>45</v>
      </c>
      <c r="M1628" s="57"/>
      <c r="N1628" s="58"/>
      <c r="P1628" s="16">
        <v>5</v>
      </c>
      <c r="Q1628" s="20">
        <f t="shared" si="300"/>
        <v>1007</v>
      </c>
      <c r="R1628" s="14">
        <v>200</v>
      </c>
      <c r="S1628" s="20">
        <f t="shared" si="301"/>
        <v>201400</v>
      </c>
      <c r="T1628" s="16"/>
      <c r="U1628" s="17" t="s">
        <v>57</v>
      </c>
      <c r="V1628" s="17" t="s">
        <v>56</v>
      </c>
      <c r="W1628" s="4"/>
      <c r="X1628" s="16"/>
      <c r="Y1628" s="5">
        <v>180</v>
      </c>
      <c r="Z1628" s="16"/>
      <c r="AA1628" s="16"/>
      <c r="AB1628" s="16">
        <f>62-54</f>
        <v>8</v>
      </c>
      <c r="AE1628" s="16"/>
      <c r="AG1628" s="22">
        <f t="shared" si="299"/>
        <v>180</v>
      </c>
      <c r="AH1628" s="6"/>
      <c r="AJ1628" s="20">
        <f t="shared" si="302"/>
        <v>0</v>
      </c>
      <c r="AK1628" s="50">
        <v>8</v>
      </c>
      <c r="AL1628" s="6"/>
      <c r="AM1628" s="20">
        <f t="shared" si="303"/>
        <v>0</v>
      </c>
      <c r="AN1628" s="20">
        <f t="shared" si="304"/>
        <v>201400</v>
      </c>
      <c r="AP1628" s="20">
        <f t="shared" si="305"/>
        <v>201400</v>
      </c>
      <c r="AQ1628" s="7"/>
      <c r="AR1628" s="20"/>
      <c r="AS1628" s="51"/>
    </row>
    <row r="1629" spans="1:45" s="21" customFormat="1" ht="30" customHeight="1" x14ac:dyDescent="0.2">
      <c r="A1629" s="8">
        <v>1392</v>
      </c>
      <c r="B1629" s="46">
        <v>1</v>
      </c>
      <c r="C1629" s="16" t="s">
        <v>52</v>
      </c>
      <c r="D1629" s="48">
        <v>29264</v>
      </c>
      <c r="E1629" s="47">
        <v>121</v>
      </c>
      <c r="F1629" s="48">
        <v>5546</v>
      </c>
      <c r="G1629" s="49">
        <v>1</v>
      </c>
      <c r="H1629" s="48">
        <v>5</v>
      </c>
      <c r="I1629" s="48">
        <v>3</v>
      </c>
      <c r="J1629" s="48">
        <v>14</v>
      </c>
      <c r="K1629" s="3">
        <v>2314</v>
      </c>
      <c r="L1629" s="16"/>
      <c r="M1629" s="57"/>
      <c r="N1629" s="58"/>
      <c r="P1629" s="16">
        <v>1</v>
      </c>
      <c r="Q1629" s="20">
        <f t="shared" si="300"/>
        <v>2314</v>
      </c>
      <c r="R1629" s="14">
        <v>160</v>
      </c>
      <c r="S1629" s="19">
        <f t="shared" si="301"/>
        <v>370240</v>
      </c>
      <c r="T1629" s="16"/>
      <c r="U1629" s="16"/>
      <c r="V1629" s="16"/>
      <c r="W1629" s="5"/>
      <c r="X1629" s="16"/>
      <c r="Y1629" s="5"/>
      <c r="Z1629" s="16"/>
      <c r="AA1629" s="16"/>
      <c r="AB1629" s="16"/>
      <c r="AE1629" s="16"/>
      <c r="AG1629" s="22">
        <f t="shared" si="299"/>
        <v>0</v>
      </c>
      <c r="AH1629" s="6"/>
      <c r="AJ1629" s="20">
        <f t="shared" si="302"/>
        <v>0</v>
      </c>
      <c r="AK1629" s="50"/>
      <c r="AL1629" s="6"/>
      <c r="AM1629" s="20">
        <f t="shared" si="303"/>
        <v>0</v>
      </c>
      <c r="AN1629" s="20">
        <f t="shared" si="304"/>
        <v>370240</v>
      </c>
      <c r="AP1629" s="20">
        <f t="shared" si="305"/>
        <v>370240</v>
      </c>
      <c r="AQ1629" s="7"/>
      <c r="AR1629" s="20"/>
      <c r="AS1629" s="51"/>
    </row>
    <row r="1630" spans="1:45" s="21" customFormat="1" ht="30" customHeight="1" x14ac:dyDescent="0.2">
      <c r="A1630" s="8">
        <v>1393</v>
      </c>
      <c r="B1630" s="46">
        <v>2</v>
      </c>
      <c r="C1630" s="16" t="s">
        <v>52</v>
      </c>
      <c r="D1630" s="48">
        <v>29265</v>
      </c>
      <c r="E1630" s="47">
        <v>122</v>
      </c>
      <c r="F1630" s="48">
        <v>5547</v>
      </c>
      <c r="G1630" s="49">
        <v>1</v>
      </c>
      <c r="H1630" s="48">
        <v>0</v>
      </c>
      <c r="I1630" s="48">
        <v>1</v>
      </c>
      <c r="J1630" s="48">
        <v>25</v>
      </c>
      <c r="K1630" s="3"/>
      <c r="L1630" s="16">
        <v>125</v>
      </c>
      <c r="M1630" s="57"/>
      <c r="N1630" s="58"/>
      <c r="P1630" s="16">
        <v>2</v>
      </c>
      <c r="Q1630" s="20">
        <f t="shared" si="300"/>
        <v>125</v>
      </c>
      <c r="R1630" s="14">
        <v>250</v>
      </c>
      <c r="S1630" s="19">
        <f t="shared" si="301"/>
        <v>31250</v>
      </c>
      <c r="T1630" s="16"/>
      <c r="U1630" s="17" t="s">
        <v>57</v>
      </c>
      <c r="V1630" s="16" t="s">
        <v>56</v>
      </c>
      <c r="W1630" s="5"/>
      <c r="X1630" s="16"/>
      <c r="Y1630" s="5">
        <v>144.5</v>
      </c>
      <c r="Z1630" s="16"/>
      <c r="AA1630" s="16"/>
      <c r="AB1630" s="16">
        <f>62-54</f>
        <v>8</v>
      </c>
      <c r="AE1630" s="16"/>
      <c r="AG1630" s="22">
        <f t="shared" si="299"/>
        <v>144.5</v>
      </c>
      <c r="AH1630" s="6"/>
      <c r="AJ1630" s="20">
        <f t="shared" si="302"/>
        <v>0</v>
      </c>
      <c r="AK1630" s="50">
        <v>8</v>
      </c>
      <c r="AL1630" s="6"/>
      <c r="AM1630" s="20">
        <f t="shared" si="303"/>
        <v>0</v>
      </c>
      <c r="AN1630" s="20">
        <f t="shared" si="304"/>
        <v>31250</v>
      </c>
      <c r="AP1630" s="20">
        <f t="shared" si="305"/>
        <v>31250</v>
      </c>
      <c r="AQ1630" s="7"/>
      <c r="AR1630" s="20"/>
      <c r="AS1630" s="51"/>
    </row>
    <row r="1631" spans="1:45" s="21" customFormat="1" ht="30" customHeight="1" x14ac:dyDescent="0.2">
      <c r="A1631" s="8">
        <v>1394</v>
      </c>
      <c r="B1631" s="46">
        <v>3</v>
      </c>
      <c r="C1631" s="16" t="s">
        <v>52</v>
      </c>
      <c r="D1631" s="48">
        <v>29266</v>
      </c>
      <c r="E1631" s="47">
        <v>123</v>
      </c>
      <c r="F1631" s="48">
        <v>5548</v>
      </c>
      <c r="G1631" s="49">
        <v>1</v>
      </c>
      <c r="H1631" s="48">
        <v>0</v>
      </c>
      <c r="I1631" s="48">
        <v>1</v>
      </c>
      <c r="J1631" s="48">
        <v>48</v>
      </c>
      <c r="K1631" s="3">
        <v>148</v>
      </c>
      <c r="L1631" s="16"/>
      <c r="M1631" s="57"/>
      <c r="N1631" s="58"/>
      <c r="P1631" s="16">
        <v>1</v>
      </c>
      <c r="Q1631" s="20">
        <f t="shared" si="300"/>
        <v>148</v>
      </c>
      <c r="R1631" s="14">
        <v>250</v>
      </c>
      <c r="S1631" s="20">
        <f t="shared" si="301"/>
        <v>37000</v>
      </c>
      <c r="T1631" s="16"/>
      <c r="U1631" s="17"/>
      <c r="V1631" s="17"/>
      <c r="W1631" s="4"/>
      <c r="X1631" s="16"/>
      <c r="Y1631" s="5"/>
      <c r="Z1631" s="16"/>
      <c r="AA1631" s="16"/>
      <c r="AB1631" s="16"/>
      <c r="AC1631" s="14"/>
      <c r="AD1631" s="14"/>
      <c r="AE1631" s="16"/>
      <c r="AG1631" s="22">
        <f t="shared" si="299"/>
        <v>0</v>
      </c>
      <c r="AH1631" s="6"/>
      <c r="AJ1631" s="20">
        <f t="shared" si="302"/>
        <v>0</v>
      </c>
      <c r="AK1631" s="50"/>
      <c r="AL1631" s="6"/>
      <c r="AM1631" s="20">
        <f t="shared" si="303"/>
        <v>0</v>
      </c>
      <c r="AN1631" s="20">
        <f t="shared" si="304"/>
        <v>37000</v>
      </c>
      <c r="AP1631" s="20">
        <f t="shared" si="305"/>
        <v>37000</v>
      </c>
      <c r="AQ1631" s="7"/>
      <c r="AR1631" s="20"/>
      <c r="AS1631" s="51"/>
    </row>
    <row r="1632" spans="1:45" s="21" customFormat="1" ht="30" customHeight="1" x14ac:dyDescent="0.2">
      <c r="A1632" s="8">
        <v>1395</v>
      </c>
      <c r="B1632" s="46">
        <v>4</v>
      </c>
      <c r="C1632" s="16" t="s">
        <v>52</v>
      </c>
      <c r="D1632" s="48">
        <v>29267</v>
      </c>
      <c r="E1632" s="47">
        <v>124</v>
      </c>
      <c r="F1632" s="48">
        <v>5549</v>
      </c>
      <c r="G1632" s="49">
        <v>1</v>
      </c>
      <c r="H1632" s="48">
        <v>0</v>
      </c>
      <c r="I1632" s="48">
        <v>1</v>
      </c>
      <c r="J1632" s="48">
        <v>47</v>
      </c>
      <c r="K1632" s="3">
        <v>147</v>
      </c>
      <c r="L1632" s="16"/>
      <c r="M1632" s="57"/>
      <c r="N1632" s="58"/>
      <c r="P1632" s="16">
        <v>1</v>
      </c>
      <c r="Q1632" s="20">
        <f t="shared" si="300"/>
        <v>147</v>
      </c>
      <c r="R1632" s="14">
        <v>250</v>
      </c>
      <c r="S1632" s="19">
        <f t="shared" si="301"/>
        <v>36750</v>
      </c>
      <c r="T1632" s="16"/>
      <c r="U1632" s="17"/>
      <c r="V1632" s="17"/>
      <c r="W1632" s="4"/>
      <c r="X1632" s="16"/>
      <c r="Y1632" s="5"/>
      <c r="Z1632" s="16"/>
      <c r="AA1632" s="16"/>
      <c r="AB1632" s="16"/>
      <c r="AE1632" s="16"/>
      <c r="AG1632" s="22">
        <f t="shared" si="299"/>
        <v>0</v>
      </c>
      <c r="AH1632" s="6"/>
      <c r="AJ1632" s="20">
        <f t="shared" si="302"/>
        <v>0</v>
      </c>
      <c r="AK1632" s="50"/>
      <c r="AL1632" s="6"/>
      <c r="AM1632" s="20">
        <f t="shared" si="303"/>
        <v>0</v>
      </c>
      <c r="AN1632" s="20">
        <f t="shared" si="304"/>
        <v>36750</v>
      </c>
      <c r="AP1632" s="20">
        <f t="shared" si="305"/>
        <v>36750</v>
      </c>
      <c r="AQ1632" s="7"/>
      <c r="AR1632" s="20"/>
      <c r="AS1632" s="51"/>
    </row>
    <row r="1633" spans="1:45" s="21" customFormat="1" ht="30" customHeight="1" x14ac:dyDescent="0.2">
      <c r="A1633" s="8">
        <v>1396</v>
      </c>
      <c r="B1633" s="46">
        <v>5</v>
      </c>
      <c r="C1633" s="16" t="s">
        <v>52</v>
      </c>
      <c r="D1633" s="48">
        <v>29268</v>
      </c>
      <c r="E1633" s="47">
        <v>125</v>
      </c>
      <c r="F1633" s="48">
        <v>5550</v>
      </c>
      <c r="G1633" s="49">
        <v>1</v>
      </c>
      <c r="H1633" s="48">
        <v>0</v>
      </c>
      <c r="I1633" s="48">
        <v>1</v>
      </c>
      <c r="J1633" s="48">
        <v>50</v>
      </c>
      <c r="K1633" s="3">
        <v>150</v>
      </c>
      <c r="L1633" s="16"/>
      <c r="M1633" s="57"/>
      <c r="N1633" s="58"/>
      <c r="P1633" s="16">
        <v>1</v>
      </c>
      <c r="Q1633" s="20">
        <f t="shared" si="300"/>
        <v>150</v>
      </c>
      <c r="R1633" s="14">
        <v>250</v>
      </c>
      <c r="S1633" s="19">
        <f t="shared" si="301"/>
        <v>37500</v>
      </c>
      <c r="T1633" s="16"/>
      <c r="U1633" s="17"/>
      <c r="V1633" s="17"/>
      <c r="W1633" s="4"/>
      <c r="X1633" s="16"/>
      <c r="Y1633" s="5"/>
      <c r="Z1633" s="16"/>
      <c r="AA1633" s="16"/>
      <c r="AB1633" s="16"/>
      <c r="AC1633" s="14"/>
      <c r="AD1633" s="14"/>
      <c r="AE1633" s="16"/>
      <c r="AG1633" s="22">
        <f t="shared" si="299"/>
        <v>0</v>
      </c>
      <c r="AH1633" s="6"/>
      <c r="AJ1633" s="20">
        <f t="shared" si="302"/>
        <v>0</v>
      </c>
      <c r="AK1633" s="50"/>
      <c r="AL1633" s="6"/>
      <c r="AM1633" s="20">
        <f t="shared" si="303"/>
        <v>0</v>
      </c>
      <c r="AN1633" s="20">
        <f t="shared" si="304"/>
        <v>37500</v>
      </c>
      <c r="AP1633" s="20">
        <f t="shared" si="305"/>
        <v>37500</v>
      </c>
      <c r="AQ1633" s="7"/>
      <c r="AR1633" s="20"/>
      <c r="AS1633" s="51"/>
    </row>
    <row r="1634" spans="1:45" s="21" customFormat="1" ht="30" customHeight="1" x14ac:dyDescent="0.2">
      <c r="A1634" s="8">
        <v>1397</v>
      </c>
      <c r="B1634" s="46">
        <v>1</v>
      </c>
      <c r="C1634" s="16" t="s">
        <v>52</v>
      </c>
      <c r="D1634" s="48">
        <v>947</v>
      </c>
      <c r="E1634" s="47">
        <v>8</v>
      </c>
      <c r="F1634" s="48">
        <v>341</v>
      </c>
      <c r="G1634" s="49">
        <v>1</v>
      </c>
      <c r="H1634" s="48">
        <v>0</v>
      </c>
      <c r="I1634" s="48">
        <v>1</v>
      </c>
      <c r="J1634" s="48">
        <v>25</v>
      </c>
      <c r="K1634" s="3"/>
      <c r="L1634" s="16">
        <v>125</v>
      </c>
      <c r="M1634" s="57"/>
      <c r="N1634" s="58"/>
      <c r="P1634" s="16">
        <v>2</v>
      </c>
      <c r="Q1634" s="20">
        <f t="shared" si="300"/>
        <v>125</v>
      </c>
      <c r="R1634" s="14">
        <v>3000</v>
      </c>
      <c r="S1634" s="20">
        <f t="shared" si="301"/>
        <v>375000</v>
      </c>
      <c r="T1634" s="16"/>
      <c r="U1634" s="17" t="s">
        <v>57</v>
      </c>
      <c r="V1634" s="17" t="s">
        <v>56</v>
      </c>
      <c r="W1634" s="4"/>
      <c r="X1634" s="16"/>
      <c r="Y1634" s="5">
        <f>5*21.5</f>
        <v>107.5</v>
      </c>
      <c r="Z1634" s="16"/>
      <c r="AA1634" s="16"/>
      <c r="AB1634" s="16">
        <f>62-11</f>
        <v>51</v>
      </c>
      <c r="AC1634" s="14"/>
      <c r="AD1634" s="14"/>
      <c r="AE1634" s="16"/>
      <c r="AG1634" s="22">
        <f t="shared" si="299"/>
        <v>107.5</v>
      </c>
      <c r="AH1634" s="6"/>
      <c r="AJ1634" s="20">
        <f t="shared" si="302"/>
        <v>0</v>
      </c>
      <c r="AK1634" s="50">
        <v>51</v>
      </c>
      <c r="AL1634" s="6"/>
      <c r="AM1634" s="20">
        <f t="shared" si="303"/>
        <v>0</v>
      </c>
      <c r="AN1634" s="20">
        <f t="shared" si="304"/>
        <v>375000</v>
      </c>
      <c r="AP1634" s="20">
        <f t="shared" si="305"/>
        <v>375000</v>
      </c>
      <c r="AQ1634" s="7"/>
      <c r="AR1634" s="20"/>
      <c r="AS1634" s="51"/>
    </row>
    <row r="1635" spans="1:45" s="21" customFormat="1" ht="30" customHeight="1" x14ac:dyDescent="0.2">
      <c r="A1635" s="8">
        <v>1398</v>
      </c>
      <c r="B1635" s="46">
        <v>1</v>
      </c>
      <c r="C1635" s="16" t="s">
        <v>52</v>
      </c>
      <c r="D1635" s="48">
        <v>939</v>
      </c>
      <c r="E1635" s="47">
        <v>2</v>
      </c>
      <c r="F1635" s="48">
        <v>333</v>
      </c>
      <c r="G1635" s="49">
        <v>1</v>
      </c>
      <c r="H1635" s="48">
        <v>2</v>
      </c>
      <c r="I1635" s="48">
        <v>2</v>
      </c>
      <c r="J1635" s="48">
        <v>72</v>
      </c>
      <c r="K1635" s="3">
        <v>1072</v>
      </c>
      <c r="L1635" s="16"/>
      <c r="M1635" s="57"/>
      <c r="N1635" s="58"/>
      <c r="P1635" s="16">
        <v>1</v>
      </c>
      <c r="Q1635" s="20">
        <f t="shared" si="300"/>
        <v>1072</v>
      </c>
      <c r="R1635" s="14">
        <v>160</v>
      </c>
      <c r="S1635" s="19">
        <f t="shared" si="301"/>
        <v>171520</v>
      </c>
      <c r="T1635" s="16"/>
      <c r="U1635" s="17"/>
      <c r="V1635" s="17"/>
      <c r="W1635" s="4"/>
      <c r="X1635" s="16"/>
      <c r="Y1635" s="5"/>
      <c r="Z1635" s="16"/>
      <c r="AA1635" s="16"/>
      <c r="AB1635" s="16"/>
      <c r="AC1635" s="14"/>
      <c r="AD1635" s="14"/>
      <c r="AE1635" s="16"/>
      <c r="AG1635" s="22">
        <f t="shared" si="299"/>
        <v>0</v>
      </c>
      <c r="AH1635" s="6"/>
      <c r="AJ1635" s="20">
        <f t="shared" si="302"/>
        <v>0</v>
      </c>
      <c r="AK1635" s="50"/>
      <c r="AL1635" s="6"/>
      <c r="AM1635" s="20">
        <f t="shared" si="303"/>
        <v>0</v>
      </c>
      <c r="AN1635" s="20">
        <f t="shared" si="304"/>
        <v>171520</v>
      </c>
      <c r="AP1635" s="20">
        <f t="shared" si="305"/>
        <v>171520</v>
      </c>
      <c r="AQ1635" s="7"/>
      <c r="AR1635" s="60"/>
      <c r="AS1635" s="128">
        <v>8</v>
      </c>
    </row>
    <row r="1636" spans="1:45" s="21" customFormat="1" ht="30" customHeight="1" x14ac:dyDescent="0.2">
      <c r="A1636" s="8">
        <v>1398</v>
      </c>
      <c r="B1636" s="46">
        <v>2</v>
      </c>
      <c r="C1636" s="16" t="s">
        <v>52</v>
      </c>
      <c r="D1636" s="48">
        <v>942</v>
      </c>
      <c r="E1636" s="47">
        <v>3</v>
      </c>
      <c r="F1636" s="48">
        <v>336</v>
      </c>
      <c r="G1636" s="49">
        <v>1</v>
      </c>
      <c r="H1636" s="48">
        <v>0</v>
      </c>
      <c r="I1636" s="48">
        <v>0</v>
      </c>
      <c r="J1636" s="48">
        <v>94</v>
      </c>
      <c r="K1636" s="3"/>
      <c r="L1636" s="16">
        <v>94</v>
      </c>
      <c r="M1636" s="57"/>
      <c r="N1636" s="58"/>
      <c r="P1636" s="16">
        <v>2</v>
      </c>
      <c r="Q1636" s="20">
        <f t="shared" si="300"/>
        <v>94</v>
      </c>
      <c r="R1636" s="14">
        <v>3000</v>
      </c>
      <c r="S1636" s="19">
        <f t="shared" si="301"/>
        <v>282000</v>
      </c>
      <c r="T1636" s="16"/>
      <c r="U1636" s="16"/>
      <c r="V1636" s="16"/>
      <c r="W1636" s="5"/>
      <c r="X1636" s="16"/>
      <c r="Y1636" s="5"/>
      <c r="Z1636" s="16"/>
      <c r="AA1636" s="16"/>
      <c r="AB1636" s="16"/>
      <c r="AC1636" s="14"/>
      <c r="AD1636" s="14"/>
      <c r="AE1636" s="16"/>
      <c r="AG1636" s="22"/>
      <c r="AH1636" s="6"/>
      <c r="AJ1636" s="20"/>
      <c r="AK1636" s="50"/>
      <c r="AL1636" s="6"/>
      <c r="AM1636" s="20">
        <f t="shared" si="303"/>
        <v>0</v>
      </c>
      <c r="AN1636" s="20">
        <f t="shared" si="304"/>
        <v>282000</v>
      </c>
      <c r="AP1636" s="20">
        <f t="shared" si="305"/>
        <v>282000</v>
      </c>
      <c r="AQ1636" s="7">
        <v>3.0000000000000001E-3</v>
      </c>
      <c r="AR1636" s="25"/>
      <c r="AS1636" s="130"/>
    </row>
    <row r="1637" spans="1:45" s="21" customFormat="1" ht="30" customHeight="1" x14ac:dyDescent="0.2">
      <c r="A1637" s="8"/>
      <c r="B1637" s="46"/>
      <c r="C1637" s="16"/>
      <c r="D1637" s="48"/>
      <c r="E1637" s="47"/>
      <c r="F1637" s="48"/>
      <c r="G1637" s="49"/>
      <c r="H1637" s="48"/>
      <c r="I1637" s="48"/>
      <c r="J1637" s="48"/>
      <c r="K1637" s="3"/>
      <c r="L1637" s="16"/>
      <c r="M1637" s="57"/>
      <c r="N1637" s="58"/>
      <c r="P1637" s="16"/>
      <c r="Q1637" s="20"/>
      <c r="R1637" s="14"/>
      <c r="S1637" s="19"/>
      <c r="T1637" s="16"/>
      <c r="U1637" s="16" t="s">
        <v>57</v>
      </c>
      <c r="V1637" s="16" t="s">
        <v>56</v>
      </c>
      <c r="W1637" s="5">
        <v>45</v>
      </c>
      <c r="X1637" s="16"/>
      <c r="Y1637" s="5"/>
      <c r="Z1637" s="16">
        <v>45</v>
      </c>
      <c r="AA1637" s="16"/>
      <c r="AB1637" s="16">
        <v>22</v>
      </c>
      <c r="AC1637" s="14"/>
      <c r="AD1637" s="14"/>
      <c r="AE1637" s="16" t="s">
        <v>106</v>
      </c>
      <c r="AF1637" s="21">
        <v>3</v>
      </c>
      <c r="AG1637" s="22">
        <v>45</v>
      </c>
      <c r="AH1637" s="6">
        <v>1</v>
      </c>
      <c r="AI1637" s="21">
        <v>7250</v>
      </c>
      <c r="AJ1637" s="20">
        <f t="shared" ref="AJ1637:AJ1700" si="306">+AG1637*AH1637*AI1637</f>
        <v>326250</v>
      </c>
      <c r="AK1637" s="50">
        <v>22</v>
      </c>
      <c r="AL1637" s="6">
        <v>0.34</v>
      </c>
      <c r="AM1637" s="20">
        <f t="shared" si="303"/>
        <v>215325</v>
      </c>
      <c r="AN1637" s="20"/>
      <c r="AP1637" s="20">
        <f>AM1637</f>
        <v>215325</v>
      </c>
      <c r="AQ1637" s="7">
        <v>3.0000000000000001E-3</v>
      </c>
      <c r="AR1637" s="24"/>
      <c r="AS1637" s="90"/>
    </row>
    <row r="1638" spans="1:45" s="21" customFormat="1" ht="30" customHeight="1" x14ac:dyDescent="0.2">
      <c r="A1638" s="8">
        <v>1399</v>
      </c>
      <c r="B1638" s="46">
        <v>1</v>
      </c>
      <c r="C1638" s="16" t="s">
        <v>52</v>
      </c>
      <c r="D1638" s="48">
        <v>945</v>
      </c>
      <c r="E1638" s="47">
        <v>6</v>
      </c>
      <c r="F1638" s="48">
        <v>339</v>
      </c>
      <c r="G1638" s="49">
        <v>1</v>
      </c>
      <c r="H1638" s="48">
        <v>0</v>
      </c>
      <c r="I1638" s="48">
        <v>0</v>
      </c>
      <c r="J1638" s="48">
        <v>41</v>
      </c>
      <c r="K1638" s="3"/>
      <c r="L1638" s="16">
        <v>41</v>
      </c>
      <c r="M1638" s="57"/>
      <c r="N1638" s="58"/>
      <c r="P1638" s="16">
        <v>2</v>
      </c>
      <c r="Q1638" s="20">
        <f t="shared" ref="Q1638:Q1701" si="307">+(H1638*400)+(I1638*100)+J1638</f>
        <v>41</v>
      </c>
      <c r="R1638" s="14">
        <v>3000</v>
      </c>
      <c r="S1638" s="20">
        <f t="shared" ref="S1638:S1701" si="308">+Q1638*R1638</f>
        <v>123000</v>
      </c>
      <c r="T1638" s="16"/>
      <c r="U1638" s="17"/>
      <c r="V1638" s="16"/>
      <c r="W1638" s="5"/>
      <c r="X1638" s="16"/>
      <c r="Y1638" s="5"/>
      <c r="Z1638" s="16"/>
      <c r="AA1638" s="16"/>
      <c r="AB1638" s="16"/>
      <c r="AC1638" s="14"/>
      <c r="AD1638" s="14"/>
      <c r="AE1638" s="16"/>
      <c r="AG1638" s="22">
        <f t="shared" ref="AG1638:AG1685" si="309">Y1638</f>
        <v>0</v>
      </c>
      <c r="AH1638" s="6"/>
      <c r="AJ1638" s="20">
        <f t="shared" si="306"/>
        <v>0</v>
      </c>
      <c r="AK1638" s="50"/>
      <c r="AL1638" s="6"/>
      <c r="AM1638" s="20">
        <f t="shared" si="303"/>
        <v>0</v>
      </c>
      <c r="AN1638" s="20">
        <f t="shared" ref="AN1638:AN1669" si="310">+S1638+AM1638</f>
        <v>123000</v>
      </c>
      <c r="AP1638" s="20">
        <f t="shared" ref="AP1638:AP1701" si="311">AN1638</f>
        <v>123000</v>
      </c>
      <c r="AQ1638" s="7"/>
      <c r="AR1638" s="60"/>
      <c r="AS1638" s="128">
        <v>15</v>
      </c>
    </row>
    <row r="1639" spans="1:45" s="21" customFormat="1" ht="30" customHeight="1" x14ac:dyDescent="0.2">
      <c r="A1639" s="8">
        <v>1400</v>
      </c>
      <c r="B1639" s="46">
        <v>2</v>
      </c>
      <c r="C1639" s="16" t="s">
        <v>52</v>
      </c>
      <c r="D1639" s="48">
        <v>1116</v>
      </c>
      <c r="E1639" s="47">
        <v>55</v>
      </c>
      <c r="F1639" s="48">
        <v>684</v>
      </c>
      <c r="G1639" s="49">
        <v>1</v>
      </c>
      <c r="H1639" s="48">
        <v>4</v>
      </c>
      <c r="I1639" s="48">
        <v>2</v>
      </c>
      <c r="J1639" s="48">
        <v>92</v>
      </c>
      <c r="K1639" s="3">
        <v>1892</v>
      </c>
      <c r="L1639" s="16"/>
      <c r="M1639" s="57"/>
      <c r="N1639" s="58"/>
      <c r="P1639" s="16">
        <v>1</v>
      </c>
      <c r="Q1639" s="20">
        <f t="shared" si="307"/>
        <v>1892</v>
      </c>
      <c r="R1639" s="14">
        <v>160</v>
      </c>
      <c r="S1639" s="19">
        <f t="shared" si="308"/>
        <v>302720</v>
      </c>
      <c r="T1639" s="16"/>
      <c r="U1639" s="17"/>
      <c r="V1639" s="17"/>
      <c r="W1639" s="4"/>
      <c r="X1639" s="16"/>
      <c r="Y1639" s="5"/>
      <c r="Z1639" s="16"/>
      <c r="AA1639" s="16"/>
      <c r="AB1639" s="16"/>
      <c r="AE1639" s="16"/>
      <c r="AG1639" s="22">
        <f t="shared" si="309"/>
        <v>0</v>
      </c>
      <c r="AH1639" s="6"/>
      <c r="AJ1639" s="20">
        <f t="shared" si="306"/>
        <v>0</v>
      </c>
      <c r="AK1639" s="50"/>
      <c r="AL1639" s="6"/>
      <c r="AM1639" s="20">
        <f t="shared" si="303"/>
        <v>0</v>
      </c>
      <c r="AN1639" s="20">
        <f t="shared" si="310"/>
        <v>302720</v>
      </c>
      <c r="AP1639" s="20">
        <f t="shared" si="311"/>
        <v>302720</v>
      </c>
      <c r="AQ1639" s="7"/>
      <c r="AR1639" s="25"/>
      <c r="AS1639" s="130"/>
    </row>
    <row r="1640" spans="1:45" s="21" customFormat="1" ht="30" customHeight="1" x14ac:dyDescent="0.2">
      <c r="A1640" s="8">
        <v>1401</v>
      </c>
      <c r="B1640" s="46">
        <v>1</v>
      </c>
      <c r="C1640" s="16" t="s">
        <v>52</v>
      </c>
      <c r="D1640" s="48">
        <v>1360</v>
      </c>
      <c r="E1640" s="47">
        <v>38</v>
      </c>
      <c r="F1640" s="48">
        <v>649</v>
      </c>
      <c r="G1640" s="49">
        <v>1</v>
      </c>
      <c r="H1640" s="48">
        <v>3</v>
      </c>
      <c r="I1640" s="48">
        <v>0</v>
      </c>
      <c r="J1640" s="48">
        <v>2</v>
      </c>
      <c r="K1640" s="3">
        <f>1202-L1640</f>
        <v>1178</v>
      </c>
      <c r="L1640" s="16">
        <f>96/4</f>
        <v>24</v>
      </c>
      <c r="M1640" s="57"/>
      <c r="N1640" s="58"/>
      <c r="P1640" s="16">
        <v>5</v>
      </c>
      <c r="Q1640" s="20">
        <f t="shared" si="307"/>
        <v>1202</v>
      </c>
      <c r="R1640" s="14">
        <v>160</v>
      </c>
      <c r="S1640" s="19">
        <f t="shared" si="308"/>
        <v>192320</v>
      </c>
      <c r="T1640" s="16"/>
      <c r="U1640" s="17" t="s">
        <v>57</v>
      </c>
      <c r="V1640" s="17" t="s">
        <v>56</v>
      </c>
      <c r="W1640" s="4"/>
      <c r="X1640" s="16"/>
      <c r="Y1640" s="5">
        <v>96</v>
      </c>
      <c r="Z1640" s="16"/>
      <c r="AA1640" s="16"/>
      <c r="AB1640" s="16">
        <f>62-22</f>
        <v>40</v>
      </c>
      <c r="AE1640" s="16"/>
      <c r="AG1640" s="22">
        <f t="shared" si="309"/>
        <v>96</v>
      </c>
      <c r="AH1640" s="6"/>
      <c r="AJ1640" s="20">
        <f t="shared" si="306"/>
        <v>0</v>
      </c>
      <c r="AK1640" s="50">
        <v>40</v>
      </c>
      <c r="AL1640" s="6"/>
      <c r="AM1640" s="20">
        <f t="shared" si="303"/>
        <v>0</v>
      </c>
      <c r="AN1640" s="20">
        <f t="shared" si="310"/>
        <v>192320</v>
      </c>
      <c r="AP1640" s="20">
        <f t="shared" si="311"/>
        <v>192320</v>
      </c>
      <c r="AQ1640" s="7"/>
      <c r="AR1640" s="20"/>
      <c r="AS1640" s="51"/>
    </row>
    <row r="1641" spans="1:45" s="21" customFormat="1" ht="30" customHeight="1" x14ac:dyDescent="0.2">
      <c r="A1641" s="8">
        <v>1402</v>
      </c>
      <c r="B1641" s="46">
        <v>2</v>
      </c>
      <c r="C1641" s="16" t="s">
        <v>52</v>
      </c>
      <c r="D1641" s="48">
        <v>10370</v>
      </c>
      <c r="E1641" s="47">
        <v>64</v>
      </c>
      <c r="F1641" s="48">
        <v>3107</v>
      </c>
      <c r="G1641" s="49">
        <v>1</v>
      </c>
      <c r="H1641" s="48">
        <v>3</v>
      </c>
      <c r="I1641" s="48">
        <v>3</v>
      </c>
      <c r="J1641" s="48">
        <v>45.05</v>
      </c>
      <c r="K1641" s="3">
        <v>154505</v>
      </c>
      <c r="L1641" s="16"/>
      <c r="M1641" s="57"/>
      <c r="N1641" s="58"/>
      <c r="P1641" s="16">
        <v>1</v>
      </c>
      <c r="Q1641" s="20">
        <f t="shared" si="307"/>
        <v>1545.05</v>
      </c>
      <c r="R1641" s="14">
        <v>160</v>
      </c>
      <c r="S1641" s="20">
        <f t="shared" si="308"/>
        <v>247208</v>
      </c>
      <c r="T1641" s="16"/>
      <c r="U1641" s="17"/>
      <c r="V1641" s="17"/>
      <c r="W1641" s="4"/>
      <c r="X1641" s="16"/>
      <c r="Y1641" s="5"/>
      <c r="Z1641" s="16"/>
      <c r="AA1641" s="16"/>
      <c r="AB1641" s="16"/>
      <c r="AE1641" s="16"/>
      <c r="AG1641" s="22">
        <f t="shared" si="309"/>
        <v>0</v>
      </c>
      <c r="AH1641" s="6"/>
      <c r="AJ1641" s="20">
        <f t="shared" si="306"/>
        <v>0</v>
      </c>
      <c r="AK1641" s="50"/>
      <c r="AL1641" s="6"/>
      <c r="AM1641" s="20">
        <f t="shared" si="303"/>
        <v>0</v>
      </c>
      <c r="AN1641" s="20">
        <f t="shared" si="310"/>
        <v>247208</v>
      </c>
      <c r="AP1641" s="20">
        <f t="shared" si="311"/>
        <v>247208</v>
      </c>
      <c r="AQ1641" s="7"/>
      <c r="AR1641" s="20"/>
      <c r="AS1641" s="51"/>
    </row>
    <row r="1642" spans="1:45" s="21" customFormat="1" ht="30" customHeight="1" x14ac:dyDescent="0.2">
      <c r="A1642" s="8">
        <v>1403</v>
      </c>
      <c r="B1642" s="46">
        <v>1</v>
      </c>
      <c r="C1642" s="16" t="s">
        <v>52</v>
      </c>
      <c r="D1642" s="48">
        <v>1067</v>
      </c>
      <c r="E1642" s="47">
        <v>47</v>
      </c>
      <c r="F1642" s="48">
        <v>681</v>
      </c>
      <c r="G1642" s="49">
        <v>1</v>
      </c>
      <c r="H1642" s="48">
        <v>0</v>
      </c>
      <c r="I1642" s="48">
        <v>3</v>
      </c>
      <c r="J1642" s="48">
        <v>94</v>
      </c>
      <c r="K1642" s="3">
        <v>394</v>
      </c>
      <c r="L1642" s="16"/>
      <c r="M1642" s="57"/>
      <c r="N1642" s="58"/>
      <c r="P1642" s="16">
        <v>1</v>
      </c>
      <c r="Q1642" s="20">
        <f t="shared" si="307"/>
        <v>394</v>
      </c>
      <c r="R1642" s="14">
        <v>160</v>
      </c>
      <c r="S1642" s="19">
        <f t="shared" si="308"/>
        <v>63040</v>
      </c>
      <c r="T1642" s="16"/>
      <c r="U1642" s="17"/>
      <c r="V1642" s="17"/>
      <c r="W1642" s="4"/>
      <c r="X1642" s="16"/>
      <c r="Y1642" s="5"/>
      <c r="Z1642" s="16"/>
      <c r="AA1642" s="16"/>
      <c r="AB1642" s="16"/>
      <c r="AE1642" s="16"/>
      <c r="AG1642" s="22">
        <f t="shared" si="309"/>
        <v>0</v>
      </c>
      <c r="AH1642" s="6"/>
      <c r="AJ1642" s="20">
        <f t="shared" si="306"/>
        <v>0</v>
      </c>
      <c r="AK1642" s="50"/>
      <c r="AL1642" s="6"/>
      <c r="AM1642" s="20">
        <f t="shared" si="303"/>
        <v>0</v>
      </c>
      <c r="AN1642" s="20">
        <f t="shared" si="310"/>
        <v>63040</v>
      </c>
      <c r="AP1642" s="20">
        <f t="shared" si="311"/>
        <v>63040</v>
      </c>
      <c r="AQ1642" s="7"/>
      <c r="AR1642" s="60"/>
      <c r="AS1642" s="128">
        <v>57</v>
      </c>
    </row>
    <row r="1643" spans="1:45" s="21" customFormat="1" ht="30" customHeight="1" x14ac:dyDescent="0.2">
      <c r="A1643" s="8">
        <v>1404</v>
      </c>
      <c r="B1643" s="46">
        <v>2</v>
      </c>
      <c r="C1643" s="16" t="s">
        <v>52</v>
      </c>
      <c r="D1643" s="48">
        <v>1082</v>
      </c>
      <c r="E1643" s="47">
        <v>45</v>
      </c>
      <c r="F1643" s="48">
        <v>721</v>
      </c>
      <c r="G1643" s="49">
        <v>1</v>
      </c>
      <c r="H1643" s="48">
        <v>3</v>
      </c>
      <c r="I1643" s="48">
        <v>2</v>
      </c>
      <c r="J1643" s="48">
        <v>2</v>
      </c>
      <c r="K1643" s="3">
        <v>1402</v>
      </c>
      <c r="L1643" s="16"/>
      <c r="M1643" s="57"/>
      <c r="N1643" s="58"/>
      <c r="P1643" s="16">
        <v>1</v>
      </c>
      <c r="Q1643" s="20">
        <f t="shared" si="307"/>
        <v>1402</v>
      </c>
      <c r="R1643" s="14">
        <v>160</v>
      </c>
      <c r="S1643" s="19">
        <f t="shared" si="308"/>
        <v>224320</v>
      </c>
      <c r="T1643" s="16"/>
      <c r="U1643" s="17"/>
      <c r="V1643" s="17"/>
      <c r="W1643" s="4"/>
      <c r="X1643" s="16"/>
      <c r="Y1643" s="5"/>
      <c r="Z1643" s="16"/>
      <c r="AA1643" s="16"/>
      <c r="AB1643" s="16"/>
      <c r="AE1643" s="16"/>
      <c r="AG1643" s="22">
        <f t="shared" si="309"/>
        <v>0</v>
      </c>
      <c r="AH1643" s="6"/>
      <c r="AJ1643" s="20">
        <f t="shared" si="306"/>
        <v>0</v>
      </c>
      <c r="AK1643" s="50"/>
      <c r="AL1643" s="6"/>
      <c r="AM1643" s="20">
        <f t="shared" si="303"/>
        <v>0</v>
      </c>
      <c r="AN1643" s="20">
        <f t="shared" si="310"/>
        <v>224320</v>
      </c>
      <c r="AP1643" s="20">
        <f t="shared" si="311"/>
        <v>224320</v>
      </c>
      <c r="AQ1643" s="7"/>
      <c r="AR1643" s="24"/>
      <c r="AS1643" s="129"/>
    </row>
    <row r="1644" spans="1:45" s="21" customFormat="1" ht="30" customHeight="1" x14ac:dyDescent="0.2">
      <c r="A1644" s="8">
        <v>1405</v>
      </c>
      <c r="B1644" s="46">
        <v>3</v>
      </c>
      <c r="C1644" s="16" t="s">
        <v>52</v>
      </c>
      <c r="D1644" s="48">
        <v>1083</v>
      </c>
      <c r="E1644" s="47">
        <v>46</v>
      </c>
      <c r="F1644" s="48">
        <v>722</v>
      </c>
      <c r="G1644" s="49">
        <v>1</v>
      </c>
      <c r="H1644" s="48">
        <v>1</v>
      </c>
      <c r="I1644" s="48">
        <v>3</v>
      </c>
      <c r="J1644" s="48">
        <v>94</v>
      </c>
      <c r="K1644" s="3">
        <v>794</v>
      </c>
      <c r="L1644" s="16"/>
      <c r="M1644" s="57"/>
      <c r="N1644" s="58"/>
      <c r="P1644" s="16">
        <v>1</v>
      </c>
      <c r="Q1644" s="20">
        <f t="shared" si="307"/>
        <v>794</v>
      </c>
      <c r="R1644" s="14">
        <v>160</v>
      </c>
      <c r="S1644" s="20">
        <f t="shared" si="308"/>
        <v>127040</v>
      </c>
      <c r="T1644" s="16"/>
      <c r="U1644" s="16"/>
      <c r="V1644" s="16"/>
      <c r="W1644" s="5"/>
      <c r="X1644" s="16"/>
      <c r="Y1644" s="5"/>
      <c r="Z1644" s="16"/>
      <c r="AA1644" s="16"/>
      <c r="AB1644" s="16"/>
      <c r="AE1644" s="16"/>
      <c r="AG1644" s="22">
        <f t="shared" si="309"/>
        <v>0</v>
      </c>
      <c r="AH1644" s="6"/>
      <c r="AJ1644" s="20">
        <f t="shared" si="306"/>
        <v>0</v>
      </c>
      <c r="AK1644" s="50"/>
      <c r="AL1644" s="6"/>
      <c r="AM1644" s="20">
        <f t="shared" si="303"/>
        <v>0</v>
      </c>
      <c r="AN1644" s="20">
        <f t="shared" si="310"/>
        <v>127040</v>
      </c>
      <c r="AP1644" s="20">
        <f t="shared" si="311"/>
        <v>127040</v>
      </c>
      <c r="AQ1644" s="7"/>
      <c r="AR1644" s="24"/>
      <c r="AS1644" s="129"/>
    </row>
    <row r="1645" spans="1:45" s="21" customFormat="1" ht="30" customHeight="1" x14ac:dyDescent="0.2">
      <c r="A1645" s="8">
        <v>1406</v>
      </c>
      <c r="B1645" s="46">
        <v>4</v>
      </c>
      <c r="C1645" s="16" t="s">
        <v>52</v>
      </c>
      <c r="D1645" s="48">
        <v>4195</v>
      </c>
      <c r="E1645" s="47">
        <v>45</v>
      </c>
      <c r="F1645" s="48">
        <v>2536</v>
      </c>
      <c r="G1645" s="49">
        <v>1</v>
      </c>
      <c r="H1645" s="48">
        <v>4</v>
      </c>
      <c r="I1645" s="48">
        <v>1</v>
      </c>
      <c r="J1645" s="48">
        <v>48</v>
      </c>
      <c r="K1645" s="3">
        <v>1748</v>
      </c>
      <c r="L1645" s="16"/>
      <c r="M1645" s="57"/>
      <c r="N1645" s="58"/>
      <c r="P1645" s="16">
        <v>1</v>
      </c>
      <c r="Q1645" s="20">
        <f t="shared" si="307"/>
        <v>1748</v>
      </c>
      <c r="R1645" s="14">
        <v>200</v>
      </c>
      <c r="S1645" s="19">
        <f t="shared" si="308"/>
        <v>349600</v>
      </c>
      <c r="T1645" s="16"/>
      <c r="U1645" s="17"/>
      <c r="V1645" s="16"/>
      <c r="W1645" s="5"/>
      <c r="X1645" s="16"/>
      <c r="Y1645" s="5"/>
      <c r="Z1645" s="16"/>
      <c r="AA1645" s="16"/>
      <c r="AB1645" s="16"/>
      <c r="AE1645" s="16"/>
      <c r="AG1645" s="22">
        <f t="shared" si="309"/>
        <v>0</v>
      </c>
      <c r="AH1645" s="6"/>
      <c r="AJ1645" s="20">
        <f t="shared" si="306"/>
        <v>0</v>
      </c>
      <c r="AK1645" s="50"/>
      <c r="AL1645" s="6"/>
      <c r="AM1645" s="20">
        <f t="shared" si="303"/>
        <v>0</v>
      </c>
      <c r="AN1645" s="20">
        <f t="shared" si="310"/>
        <v>349600</v>
      </c>
      <c r="AP1645" s="20">
        <f t="shared" si="311"/>
        <v>349600</v>
      </c>
      <c r="AQ1645" s="7"/>
      <c r="AR1645" s="24"/>
      <c r="AS1645" s="129"/>
    </row>
    <row r="1646" spans="1:45" s="21" customFormat="1" ht="30" customHeight="1" x14ac:dyDescent="0.2">
      <c r="A1646" s="8">
        <v>1407</v>
      </c>
      <c r="B1646" s="46">
        <v>5</v>
      </c>
      <c r="C1646" s="16" t="s">
        <v>52</v>
      </c>
      <c r="D1646" s="48">
        <v>11701</v>
      </c>
      <c r="E1646" s="47">
        <v>70</v>
      </c>
      <c r="F1646" s="48">
        <v>3179</v>
      </c>
      <c r="G1646" s="49">
        <v>1</v>
      </c>
      <c r="H1646" s="48">
        <v>5</v>
      </c>
      <c r="I1646" s="48">
        <v>1</v>
      </c>
      <c r="J1646" s="48">
        <v>50.09</v>
      </c>
      <c r="K1646" s="3">
        <v>2150.09</v>
      </c>
      <c r="L1646" s="16"/>
      <c r="M1646" s="57"/>
      <c r="N1646" s="58"/>
      <c r="P1646" s="16">
        <v>1</v>
      </c>
      <c r="Q1646" s="20">
        <f t="shared" si="307"/>
        <v>2150.09</v>
      </c>
      <c r="R1646" s="14">
        <v>160</v>
      </c>
      <c r="S1646" s="19">
        <f t="shared" si="308"/>
        <v>344014.4</v>
      </c>
      <c r="T1646" s="16"/>
      <c r="U1646" s="17"/>
      <c r="V1646" s="17"/>
      <c r="W1646" s="4"/>
      <c r="X1646" s="16"/>
      <c r="Y1646" s="5"/>
      <c r="Z1646" s="16"/>
      <c r="AA1646" s="16"/>
      <c r="AB1646" s="16"/>
      <c r="AE1646" s="16"/>
      <c r="AG1646" s="22">
        <f t="shared" si="309"/>
        <v>0</v>
      </c>
      <c r="AH1646" s="6"/>
      <c r="AJ1646" s="20">
        <f t="shared" si="306"/>
        <v>0</v>
      </c>
      <c r="AK1646" s="50"/>
      <c r="AL1646" s="6"/>
      <c r="AM1646" s="20">
        <f t="shared" si="303"/>
        <v>0</v>
      </c>
      <c r="AN1646" s="20">
        <f t="shared" si="310"/>
        <v>344014.4</v>
      </c>
      <c r="AP1646" s="20">
        <f t="shared" si="311"/>
        <v>344014.4</v>
      </c>
      <c r="AQ1646" s="7"/>
      <c r="AR1646" s="25"/>
      <c r="AS1646" s="130"/>
    </row>
    <row r="1647" spans="1:45" s="21" customFormat="1" ht="30" customHeight="1" x14ac:dyDescent="0.2">
      <c r="A1647" s="8">
        <v>1408</v>
      </c>
      <c r="B1647" s="46">
        <v>1</v>
      </c>
      <c r="C1647" s="16" t="s">
        <v>52</v>
      </c>
      <c r="D1647" s="48">
        <v>1356</v>
      </c>
      <c r="E1647" s="47">
        <v>37</v>
      </c>
      <c r="F1647" s="48">
        <v>645</v>
      </c>
      <c r="G1647" s="49">
        <v>1</v>
      </c>
      <c r="H1647" s="48">
        <v>6</v>
      </c>
      <c r="I1647" s="48">
        <v>1</v>
      </c>
      <c r="J1647" s="48">
        <v>31</v>
      </c>
      <c r="K1647" s="3">
        <v>2531</v>
      </c>
      <c r="L1647" s="16"/>
      <c r="M1647" s="57"/>
      <c r="N1647" s="58"/>
      <c r="P1647" s="16">
        <v>1</v>
      </c>
      <c r="Q1647" s="20">
        <f t="shared" si="307"/>
        <v>2531</v>
      </c>
      <c r="R1647" s="14">
        <v>160</v>
      </c>
      <c r="S1647" s="20">
        <f t="shared" si="308"/>
        <v>404960</v>
      </c>
      <c r="T1647" s="16"/>
      <c r="U1647" s="17"/>
      <c r="V1647" s="17"/>
      <c r="W1647" s="4"/>
      <c r="X1647" s="16"/>
      <c r="Y1647" s="5"/>
      <c r="Z1647" s="16"/>
      <c r="AA1647" s="16"/>
      <c r="AB1647" s="16"/>
      <c r="AE1647" s="16"/>
      <c r="AG1647" s="22">
        <f t="shared" si="309"/>
        <v>0</v>
      </c>
      <c r="AH1647" s="6"/>
      <c r="AJ1647" s="20">
        <f t="shared" si="306"/>
        <v>0</v>
      </c>
      <c r="AK1647" s="50"/>
      <c r="AL1647" s="6"/>
      <c r="AM1647" s="20">
        <f t="shared" si="303"/>
        <v>0</v>
      </c>
      <c r="AN1647" s="20">
        <f t="shared" si="310"/>
        <v>404960</v>
      </c>
      <c r="AP1647" s="20">
        <f t="shared" si="311"/>
        <v>404960</v>
      </c>
      <c r="AQ1647" s="7"/>
      <c r="AR1647" s="20"/>
      <c r="AS1647" s="51"/>
    </row>
    <row r="1648" spans="1:45" s="21" customFormat="1" ht="30" customHeight="1" x14ac:dyDescent="0.2">
      <c r="A1648" s="8">
        <v>1409</v>
      </c>
      <c r="B1648" s="46">
        <v>1</v>
      </c>
      <c r="C1648" s="16" t="s">
        <v>52</v>
      </c>
      <c r="D1648" s="48">
        <v>1068</v>
      </c>
      <c r="E1648" s="47">
        <v>35</v>
      </c>
      <c r="F1648" s="48">
        <v>682</v>
      </c>
      <c r="G1648" s="49">
        <v>1</v>
      </c>
      <c r="H1648" s="48">
        <v>2</v>
      </c>
      <c r="I1648" s="48">
        <v>1</v>
      </c>
      <c r="J1648" s="48">
        <v>80</v>
      </c>
      <c r="K1648" s="3">
        <v>980</v>
      </c>
      <c r="L1648" s="16"/>
      <c r="M1648" s="57"/>
      <c r="N1648" s="58"/>
      <c r="P1648" s="16">
        <v>1</v>
      </c>
      <c r="Q1648" s="20">
        <f t="shared" si="307"/>
        <v>980</v>
      </c>
      <c r="R1648" s="14">
        <v>160</v>
      </c>
      <c r="S1648" s="19">
        <f t="shared" si="308"/>
        <v>156800</v>
      </c>
      <c r="T1648" s="16"/>
      <c r="U1648" s="17"/>
      <c r="V1648" s="17"/>
      <c r="W1648" s="4"/>
      <c r="X1648" s="16"/>
      <c r="Y1648" s="5"/>
      <c r="Z1648" s="16"/>
      <c r="AA1648" s="16"/>
      <c r="AB1648" s="16"/>
      <c r="AE1648" s="16"/>
      <c r="AG1648" s="22">
        <f t="shared" si="309"/>
        <v>0</v>
      </c>
      <c r="AH1648" s="6"/>
      <c r="AJ1648" s="20">
        <f t="shared" si="306"/>
        <v>0</v>
      </c>
      <c r="AK1648" s="50"/>
      <c r="AL1648" s="6"/>
      <c r="AM1648" s="20">
        <f t="shared" si="303"/>
        <v>0</v>
      </c>
      <c r="AN1648" s="20">
        <f t="shared" si="310"/>
        <v>156800</v>
      </c>
      <c r="AP1648" s="20">
        <f t="shared" si="311"/>
        <v>156800</v>
      </c>
      <c r="AQ1648" s="7"/>
      <c r="AR1648" s="20"/>
      <c r="AS1648" s="51"/>
    </row>
    <row r="1649" spans="1:45" s="21" customFormat="1" ht="30" customHeight="1" x14ac:dyDescent="0.2">
      <c r="A1649" s="8">
        <v>1410</v>
      </c>
      <c r="B1649" s="46">
        <v>2</v>
      </c>
      <c r="C1649" s="16" t="s">
        <v>52</v>
      </c>
      <c r="D1649" s="48">
        <v>1128</v>
      </c>
      <c r="E1649" s="47">
        <v>51</v>
      </c>
      <c r="F1649" s="48">
        <v>708</v>
      </c>
      <c r="G1649" s="49">
        <v>1</v>
      </c>
      <c r="H1649" s="48">
        <v>0</v>
      </c>
      <c r="I1649" s="48">
        <v>0</v>
      </c>
      <c r="J1649" s="48">
        <v>78</v>
      </c>
      <c r="K1649" s="3"/>
      <c r="L1649" s="16">
        <v>78</v>
      </c>
      <c r="M1649" s="57"/>
      <c r="N1649" s="58"/>
      <c r="P1649" s="16">
        <v>2</v>
      </c>
      <c r="Q1649" s="20">
        <f t="shared" si="307"/>
        <v>78</v>
      </c>
      <c r="R1649" s="14">
        <v>250</v>
      </c>
      <c r="S1649" s="19">
        <f t="shared" si="308"/>
        <v>19500</v>
      </c>
      <c r="T1649" s="16"/>
      <c r="U1649" s="17" t="s">
        <v>57</v>
      </c>
      <c r="V1649" s="17" t="s">
        <v>56</v>
      </c>
      <c r="W1649" s="4"/>
      <c r="X1649" s="16"/>
      <c r="Y1649" s="5">
        <f>135*2</f>
        <v>270</v>
      </c>
      <c r="Z1649" s="16"/>
      <c r="AA1649" s="16"/>
      <c r="AB1649" s="16">
        <f>62-44</f>
        <v>18</v>
      </c>
      <c r="AE1649" s="16"/>
      <c r="AG1649" s="22">
        <f t="shared" si="309"/>
        <v>270</v>
      </c>
      <c r="AH1649" s="6"/>
      <c r="AJ1649" s="20">
        <f t="shared" si="306"/>
        <v>0</v>
      </c>
      <c r="AK1649" s="50">
        <v>18</v>
      </c>
      <c r="AL1649" s="6"/>
      <c r="AM1649" s="20">
        <f t="shared" si="303"/>
        <v>0</v>
      </c>
      <c r="AN1649" s="20">
        <f t="shared" si="310"/>
        <v>19500</v>
      </c>
      <c r="AP1649" s="20">
        <f t="shared" si="311"/>
        <v>19500</v>
      </c>
      <c r="AQ1649" s="7"/>
      <c r="AR1649" s="20"/>
      <c r="AS1649" s="51"/>
    </row>
    <row r="1650" spans="1:45" s="21" customFormat="1" ht="30" customHeight="1" x14ac:dyDescent="0.2">
      <c r="A1650" s="8">
        <v>1411</v>
      </c>
      <c r="B1650" s="46">
        <v>3</v>
      </c>
      <c r="C1650" s="16" t="s">
        <v>52</v>
      </c>
      <c r="D1650" s="48">
        <v>1355</v>
      </c>
      <c r="E1650" s="47">
        <v>36</v>
      </c>
      <c r="F1650" s="48">
        <v>644</v>
      </c>
      <c r="G1650" s="49">
        <v>1</v>
      </c>
      <c r="H1650" s="48">
        <v>6</v>
      </c>
      <c r="I1650" s="48">
        <v>0</v>
      </c>
      <c r="J1650" s="48">
        <v>9</v>
      </c>
      <c r="K1650" s="3">
        <v>2409</v>
      </c>
      <c r="L1650" s="16"/>
      <c r="M1650" s="57"/>
      <c r="N1650" s="58"/>
      <c r="P1650" s="16">
        <v>1</v>
      </c>
      <c r="Q1650" s="20">
        <f t="shared" si="307"/>
        <v>2409</v>
      </c>
      <c r="R1650" s="14">
        <v>160</v>
      </c>
      <c r="S1650" s="20">
        <f t="shared" si="308"/>
        <v>385440</v>
      </c>
      <c r="T1650" s="16"/>
      <c r="U1650" s="17"/>
      <c r="V1650" s="17"/>
      <c r="W1650" s="4"/>
      <c r="X1650" s="16"/>
      <c r="Y1650" s="5"/>
      <c r="Z1650" s="16"/>
      <c r="AA1650" s="16"/>
      <c r="AB1650" s="16"/>
      <c r="AC1650" s="14"/>
      <c r="AD1650" s="14"/>
      <c r="AE1650" s="16"/>
      <c r="AG1650" s="22">
        <f t="shared" si="309"/>
        <v>0</v>
      </c>
      <c r="AH1650" s="6"/>
      <c r="AJ1650" s="20">
        <f t="shared" si="306"/>
        <v>0</v>
      </c>
      <c r="AK1650" s="50"/>
      <c r="AL1650" s="6"/>
      <c r="AM1650" s="20">
        <f t="shared" si="303"/>
        <v>0</v>
      </c>
      <c r="AN1650" s="20">
        <f t="shared" si="310"/>
        <v>385440</v>
      </c>
      <c r="AP1650" s="20">
        <f t="shared" si="311"/>
        <v>385440</v>
      </c>
      <c r="AQ1650" s="7"/>
      <c r="AR1650" s="20"/>
      <c r="AS1650" s="51"/>
    </row>
    <row r="1651" spans="1:45" s="21" customFormat="1" ht="30" customHeight="1" x14ac:dyDescent="0.2">
      <c r="A1651" s="8">
        <v>1412</v>
      </c>
      <c r="B1651" s="46">
        <v>4</v>
      </c>
      <c r="C1651" s="16" t="s">
        <v>52</v>
      </c>
      <c r="D1651" s="48">
        <v>10371</v>
      </c>
      <c r="E1651" s="47">
        <v>65</v>
      </c>
      <c r="F1651" s="48">
        <v>3108</v>
      </c>
      <c r="G1651" s="49">
        <v>1</v>
      </c>
      <c r="H1651" s="48">
        <v>5</v>
      </c>
      <c r="I1651" s="48">
        <v>2</v>
      </c>
      <c r="J1651" s="48">
        <v>14.02</v>
      </c>
      <c r="K1651" s="3">
        <v>2214.02</v>
      </c>
      <c r="L1651" s="16"/>
      <c r="M1651" s="57"/>
      <c r="N1651" s="58"/>
      <c r="P1651" s="16">
        <v>1</v>
      </c>
      <c r="Q1651" s="20">
        <f t="shared" si="307"/>
        <v>2214.02</v>
      </c>
      <c r="R1651" s="14">
        <v>160</v>
      </c>
      <c r="S1651" s="19">
        <f t="shared" si="308"/>
        <v>354243.2</v>
      </c>
      <c r="T1651" s="16"/>
      <c r="U1651" s="16"/>
      <c r="V1651" s="16"/>
      <c r="W1651" s="5"/>
      <c r="X1651" s="16"/>
      <c r="Y1651" s="5"/>
      <c r="Z1651" s="16"/>
      <c r="AA1651" s="16"/>
      <c r="AB1651" s="16"/>
      <c r="AE1651" s="16"/>
      <c r="AG1651" s="22">
        <f t="shared" si="309"/>
        <v>0</v>
      </c>
      <c r="AH1651" s="6"/>
      <c r="AJ1651" s="20">
        <f t="shared" si="306"/>
        <v>0</v>
      </c>
      <c r="AK1651" s="50"/>
      <c r="AL1651" s="6"/>
      <c r="AM1651" s="20">
        <f t="shared" si="303"/>
        <v>0</v>
      </c>
      <c r="AN1651" s="20">
        <f t="shared" si="310"/>
        <v>354243.2</v>
      </c>
      <c r="AP1651" s="20">
        <f t="shared" si="311"/>
        <v>354243.2</v>
      </c>
      <c r="AQ1651" s="7"/>
      <c r="AR1651" s="20"/>
      <c r="AS1651" s="51"/>
    </row>
    <row r="1652" spans="1:45" s="21" customFormat="1" ht="30" customHeight="1" x14ac:dyDescent="0.2">
      <c r="A1652" s="8">
        <v>1413</v>
      </c>
      <c r="B1652" s="46">
        <v>1</v>
      </c>
      <c r="C1652" s="16" t="s">
        <v>52</v>
      </c>
      <c r="D1652" s="48">
        <v>1370</v>
      </c>
      <c r="E1652" s="47">
        <v>56</v>
      </c>
      <c r="F1652" s="48">
        <v>660</v>
      </c>
      <c r="G1652" s="49">
        <v>1</v>
      </c>
      <c r="H1652" s="48">
        <v>6</v>
      </c>
      <c r="I1652" s="48">
        <v>0</v>
      </c>
      <c r="J1652" s="48">
        <v>86.04</v>
      </c>
      <c r="K1652" s="3">
        <f>6*400+86.04</f>
        <v>2486.04</v>
      </c>
      <c r="L1652" s="16"/>
      <c r="M1652" s="57"/>
      <c r="N1652" s="58"/>
      <c r="P1652" s="16">
        <v>1</v>
      </c>
      <c r="Q1652" s="20">
        <f t="shared" si="307"/>
        <v>2486.04</v>
      </c>
      <c r="R1652" s="14">
        <v>160</v>
      </c>
      <c r="S1652" s="19">
        <f t="shared" si="308"/>
        <v>397766.40000000002</v>
      </c>
      <c r="T1652" s="16"/>
      <c r="U1652" s="17"/>
      <c r="V1652" s="16"/>
      <c r="W1652" s="5"/>
      <c r="X1652" s="16"/>
      <c r="Y1652" s="5"/>
      <c r="Z1652" s="16"/>
      <c r="AA1652" s="16"/>
      <c r="AB1652" s="16"/>
      <c r="AC1652" s="14"/>
      <c r="AD1652" s="14"/>
      <c r="AE1652" s="16"/>
      <c r="AG1652" s="22">
        <f t="shared" si="309"/>
        <v>0</v>
      </c>
      <c r="AH1652" s="6"/>
      <c r="AJ1652" s="20">
        <f t="shared" si="306"/>
        <v>0</v>
      </c>
      <c r="AK1652" s="50"/>
      <c r="AL1652" s="6"/>
      <c r="AM1652" s="20">
        <f t="shared" si="303"/>
        <v>0</v>
      </c>
      <c r="AN1652" s="20">
        <f t="shared" si="310"/>
        <v>397766.40000000002</v>
      </c>
      <c r="AP1652" s="20">
        <f t="shared" si="311"/>
        <v>397766.40000000002</v>
      </c>
      <c r="AQ1652" s="7"/>
      <c r="AR1652" s="20"/>
      <c r="AS1652" s="51"/>
    </row>
    <row r="1653" spans="1:45" s="21" customFormat="1" ht="30" customHeight="1" x14ac:dyDescent="0.2">
      <c r="A1653" s="8">
        <v>1414</v>
      </c>
      <c r="B1653" s="46">
        <v>2</v>
      </c>
      <c r="C1653" s="16" t="s">
        <v>52</v>
      </c>
      <c r="D1653" s="48">
        <v>12646</v>
      </c>
      <c r="E1653" s="47">
        <v>89</v>
      </c>
      <c r="F1653" s="48">
        <v>3279</v>
      </c>
      <c r="G1653" s="49">
        <v>1</v>
      </c>
      <c r="H1653" s="48">
        <v>2</v>
      </c>
      <c r="I1653" s="48">
        <v>2</v>
      </c>
      <c r="J1653" s="48">
        <v>41</v>
      </c>
      <c r="K1653" s="3">
        <f>2*400+241</f>
        <v>1041</v>
      </c>
      <c r="L1653" s="16"/>
      <c r="M1653" s="57"/>
      <c r="N1653" s="58"/>
      <c r="P1653" s="16">
        <v>1</v>
      </c>
      <c r="Q1653" s="20">
        <f t="shared" si="307"/>
        <v>1041</v>
      </c>
      <c r="R1653" s="14">
        <v>160</v>
      </c>
      <c r="S1653" s="20">
        <f t="shared" si="308"/>
        <v>166560</v>
      </c>
      <c r="T1653" s="16"/>
      <c r="U1653" s="17"/>
      <c r="V1653" s="17"/>
      <c r="W1653" s="4"/>
      <c r="X1653" s="16"/>
      <c r="Y1653" s="5"/>
      <c r="Z1653" s="16"/>
      <c r="AA1653" s="16"/>
      <c r="AB1653" s="16"/>
      <c r="AC1653" s="14"/>
      <c r="AD1653" s="14"/>
      <c r="AE1653" s="16"/>
      <c r="AG1653" s="22">
        <f t="shared" si="309"/>
        <v>0</v>
      </c>
      <c r="AH1653" s="6"/>
      <c r="AJ1653" s="20">
        <f t="shared" si="306"/>
        <v>0</v>
      </c>
      <c r="AK1653" s="50"/>
      <c r="AL1653" s="6"/>
      <c r="AM1653" s="20">
        <f t="shared" si="303"/>
        <v>0</v>
      </c>
      <c r="AN1653" s="20">
        <f t="shared" si="310"/>
        <v>166560</v>
      </c>
      <c r="AP1653" s="20">
        <f t="shared" si="311"/>
        <v>166560</v>
      </c>
      <c r="AQ1653" s="7"/>
      <c r="AR1653" s="20"/>
      <c r="AS1653" s="51"/>
    </row>
    <row r="1654" spans="1:45" s="21" customFormat="1" ht="30" customHeight="1" x14ac:dyDescent="0.2">
      <c r="A1654" s="8">
        <v>1415</v>
      </c>
      <c r="B1654" s="46">
        <v>1</v>
      </c>
      <c r="C1654" s="16" t="s">
        <v>52</v>
      </c>
      <c r="D1654" s="48">
        <v>1066</v>
      </c>
      <c r="E1654" s="47">
        <v>48</v>
      </c>
      <c r="F1654" s="48">
        <v>680</v>
      </c>
      <c r="G1654" s="49">
        <v>1</v>
      </c>
      <c r="H1654" s="48">
        <v>0</v>
      </c>
      <c r="I1654" s="48">
        <v>2</v>
      </c>
      <c r="J1654" s="48">
        <v>58</v>
      </c>
      <c r="K1654" s="3">
        <v>258</v>
      </c>
      <c r="L1654" s="16"/>
      <c r="M1654" s="57"/>
      <c r="N1654" s="58"/>
      <c r="P1654" s="16">
        <v>1</v>
      </c>
      <c r="Q1654" s="20">
        <f t="shared" si="307"/>
        <v>258</v>
      </c>
      <c r="R1654" s="14">
        <v>160</v>
      </c>
      <c r="S1654" s="19">
        <f t="shared" si="308"/>
        <v>41280</v>
      </c>
      <c r="T1654" s="16"/>
      <c r="U1654" s="17"/>
      <c r="V1654" s="17"/>
      <c r="W1654" s="4"/>
      <c r="X1654" s="16"/>
      <c r="Y1654" s="5"/>
      <c r="Z1654" s="16"/>
      <c r="AA1654" s="16"/>
      <c r="AB1654" s="16"/>
      <c r="AC1654" s="14"/>
      <c r="AD1654" s="14"/>
      <c r="AE1654" s="16"/>
      <c r="AG1654" s="22">
        <f t="shared" si="309"/>
        <v>0</v>
      </c>
      <c r="AH1654" s="6"/>
      <c r="AJ1654" s="20">
        <f t="shared" si="306"/>
        <v>0</v>
      </c>
      <c r="AK1654" s="50"/>
      <c r="AL1654" s="6"/>
      <c r="AM1654" s="20">
        <f t="shared" si="303"/>
        <v>0</v>
      </c>
      <c r="AN1654" s="20">
        <f t="shared" si="310"/>
        <v>41280</v>
      </c>
      <c r="AP1654" s="20">
        <f t="shared" si="311"/>
        <v>41280</v>
      </c>
      <c r="AQ1654" s="7"/>
      <c r="AR1654" s="20"/>
      <c r="AS1654" s="51"/>
    </row>
    <row r="1655" spans="1:45" s="21" customFormat="1" ht="30" customHeight="1" x14ac:dyDescent="0.2">
      <c r="A1655" s="8">
        <v>1416</v>
      </c>
      <c r="B1655" s="46">
        <v>2</v>
      </c>
      <c r="C1655" s="16" t="s">
        <v>52</v>
      </c>
      <c r="D1655" s="48">
        <v>1353</v>
      </c>
      <c r="E1655" s="47">
        <v>49</v>
      </c>
      <c r="F1655" s="48">
        <v>642</v>
      </c>
      <c r="G1655" s="49">
        <v>1</v>
      </c>
      <c r="H1655" s="48">
        <v>2</v>
      </c>
      <c r="I1655" s="48">
        <v>3</v>
      </c>
      <c r="J1655" s="48">
        <v>15</v>
      </c>
      <c r="K1655" s="3">
        <f>800+315</f>
        <v>1115</v>
      </c>
      <c r="L1655" s="16"/>
      <c r="M1655" s="57"/>
      <c r="N1655" s="58"/>
      <c r="P1655" s="16">
        <v>1</v>
      </c>
      <c r="Q1655" s="20">
        <f t="shared" si="307"/>
        <v>1115</v>
      </c>
      <c r="R1655" s="14">
        <v>160</v>
      </c>
      <c r="S1655" s="19">
        <f t="shared" si="308"/>
        <v>178400</v>
      </c>
      <c r="T1655" s="16"/>
      <c r="U1655" s="17"/>
      <c r="V1655" s="17"/>
      <c r="W1655" s="4"/>
      <c r="X1655" s="16"/>
      <c r="Y1655" s="5"/>
      <c r="Z1655" s="16"/>
      <c r="AA1655" s="16"/>
      <c r="AB1655" s="16"/>
      <c r="AC1655" s="14"/>
      <c r="AD1655" s="14"/>
      <c r="AE1655" s="16"/>
      <c r="AG1655" s="22">
        <f t="shared" si="309"/>
        <v>0</v>
      </c>
      <c r="AH1655" s="6"/>
      <c r="AJ1655" s="20">
        <f t="shared" si="306"/>
        <v>0</v>
      </c>
      <c r="AK1655" s="50"/>
      <c r="AL1655" s="6"/>
      <c r="AM1655" s="20">
        <f t="shared" si="303"/>
        <v>0</v>
      </c>
      <c r="AN1655" s="20">
        <f t="shared" si="310"/>
        <v>178400</v>
      </c>
      <c r="AP1655" s="20">
        <f t="shared" si="311"/>
        <v>178400</v>
      </c>
      <c r="AQ1655" s="7"/>
      <c r="AR1655" s="20"/>
      <c r="AS1655" s="51"/>
    </row>
    <row r="1656" spans="1:45" s="21" customFormat="1" ht="30" customHeight="1" x14ac:dyDescent="0.2">
      <c r="A1656" s="8">
        <v>1417</v>
      </c>
      <c r="B1656" s="46">
        <v>3</v>
      </c>
      <c r="C1656" s="16" t="s">
        <v>52</v>
      </c>
      <c r="D1656" s="48">
        <v>1354</v>
      </c>
      <c r="E1656" s="47">
        <v>50</v>
      </c>
      <c r="F1656" s="48">
        <v>643</v>
      </c>
      <c r="G1656" s="49">
        <v>1</v>
      </c>
      <c r="H1656" s="48">
        <v>2</v>
      </c>
      <c r="I1656" s="48">
        <v>3</v>
      </c>
      <c r="J1656" s="48">
        <v>10</v>
      </c>
      <c r="K1656" s="3">
        <f>800+310</f>
        <v>1110</v>
      </c>
      <c r="L1656" s="16"/>
      <c r="M1656" s="57"/>
      <c r="N1656" s="58"/>
      <c r="P1656" s="16">
        <v>1</v>
      </c>
      <c r="Q1656" s="20">
        <f t="shared" si="307"/>
        <v>1110</v>
      </c>
      <c r="R1656" s="14">
        <v>160</v>
      </c>
      <c r="S1656" s="20">
        <f t="shared" si="308"/>
        <v>177600</v>
      </c>
      <c r="T1656" s="16"/>
      <c r="U1656" s="17"/>
      <c r="V1656" s="17"/>
      <c r="W1656" s="4"/>
      <c r="X1656" s="16"/>
      <c r="Y1656" s="5"/>
      <c r="Z1656" s="16"/>
      <c r="AA1656" s="16"/>
      <c r="AB1656" s="16"/>
      <c r="AC1656" s="14"/>
      <c r="AD1656" s="14"/>
      <c r="AE1656" s="16"/>
      <c r="AG1656" s="22">
        <f t="shared" si="309"/>
        <v>0</v>
      </c>
      <c r="AH1656" s="6"/>
      <c r="AJ1656" s="20">
        <f t="shared" si="306"/>
        <v>0</v>
      </c>
      <c r="AK1656" s="50"/>
      <c r="AL1656" s="6"/>
      <c r="AM1656" s="20">
        <f t="shared" si="303"/>
        <v>0</v>
      </c>
      <c r="AN1656" s="20">
        <f t="shared" si="310"/>
        <v>177600</v>
      </c>
      <c r="AP1656" s="20">
        <f t="shared" si="311"/>
        <v>177600</v>
      </c>
      <c r="AQ1656" s="7"/>
      <c r="AR1656" s="20"/>
      <c r="AS1656" s="51"/>
    </row>
    <row r="1657" spans="1:45" s="21" customFormat="1" ht="30" customHeight="1" x14ac:dyDescent="0.2">
      <c r="A1657" s="8">
        <v>1418</v>
      </c>
      <c r="B1657" s="46">
        <v>1</v>
      </c>
      <c r="C1657" s="16" t="s">
        <v>52</v>
      </c>
      <c r="D1657" s="48">
        <v>10383</v>
      </c>
      <c r="E1657" s="47">
        <v>159</v>
      </c>
      <c r="F1657" s="48">
        <v>3096</v>
      </c>
      <c r="G1657" s="49">
        <v>1</v>
      </c>
      <c r="H1657" s="48">
        <v>0</v>
      </c>
      <c r="I1657" s="48">
        <v>0</v>
      </c>
      <c r="J1657" s="48">
        <v>62</v>
      </c>
      <c r="K1657" s="3"/>
      <c r="L1657" s="16">
        <v>62</v>
      </c>
      <c r="M1657" s="57"/>
      <c r="N1657" s="58"/>
      <c r="P1657" s="16">
        <v>2</v>
      </c>
      <c r="Q1657" s="20">
        <f t="shared" si="307"/>
        <v>62</v>
      </c>
      <c r="R1657" s="14">
        <v>160</v>
      </c>
      <c r="S1657" s="19">
        <f t="shared" si="308"/>
        <v>9920</v>
      </c>
      <c r="T1657" s="16"/>
      <c r="U1657" s="17" t="s">
        <v>57</v>
      </c>
      <c r="V1657" s="17" t="s">
        <v>56</v>
      </c>
      <c r="W1657" s="4"/>
      <c r="X1657" s="16"/>
      <c r="Y1657" s="5">
        <v>40</v>
      </c>
      <c r="Z1657" s="16"/>
      <c r="AA1657" s="16"/>
      <c r="AB1657" s="16">
        <f>62-40</f>
        <v>22</v>
      </c>
      <c r="AE1657" s="16"/>
      <c r="AG1657" s="22">
        <f t="shared" si="309"/>
        <v>40</v>
      </c>
      <c r="AH1657" s="6"/>
      <c r="AJ1657" s="20">
        <f t="shared" si="306"/>
        <v>0</v>
      </c>
      <c r="AK1657" s="50">
        <v>22</v>
      </c>
      <c r="AL1657" s="6"/>
      <c r="AM1657" s="20">
        <f t="shared" si="303"/>
        <v>0</v>
      </c>
      <c r="AN1657" s="20">
        <f t="shared" si="310"/>
        <v>9920</v>
      </c>
      <c r="AP1657" s="20">
        <f t="shared" si="311"/>
        <v>9920</v>
      </c>
      <c r="AQ1657" s="7"/>
      <c r="AR1657" s="20"/>
      <c r="AS1657" s="51">
        <v>41</v>
      </c>
    </row>
    <row r="1658" spans="1:45" s="21" customFormat="1" ht="30" customHeight="1" x14ac:dyDescent="0.2">
      <c r="A1658" s="8">
        <v>1419</v>
      </c>
      <c r="B1658" s="46">
        <v>1</v>
      </c>
      <c r="C1658" s="16" t="s">
        <v>52</v>
      </c>
      <c r="D1658" s="48">
        <v>940</v>
      </c>
      <c r="E1658" s="47">
        <v>1</v>
      </c>
      <c r="F1658" s="48">
        <v>334</v>
      </c>
      <c r="G1658" s="49">
        <v>1</v>
      </c>
      <c r="H1658" s="48">
        <v>2</v>
      </c>
      <c r="I1658" s="48">
        <v>3</v>
      </c>
      <c r="J1658" s="48">
        <v>97</v>
      </c>
      <c r="K1658" s="3">
        <f>800+397</f>
        <v>1197</v>
      </c>
      <c r="L1658" s="16"/>
      <c r="M1658" s="57"/>
      <c r="N1658" s="58"/>
      <c r="P1658" s="16">
        <v>1</v>
      </c>
      <c r="Q1658" s="20">
        <f t="shared" si="307"/>
        <v>1197</v>
      </c>
      <c r="R1658" s="14">
        <v>2250</v>
      </c>
      <c r="S1658" s="19">
        <f t="shared" si="308"/>
        <v>2693250</v>
      </c>
      <c r="T1658" s="16"/>
      <c r="U1658" s="16"/>
      <c r="V1658" s="16"/>
      <c r="W1658" s="5"/>
      <c r="X1658" s="16"/>
      <c r="Y1658" s="5"/>
      <c r="Z1658" s="16"/>
      <c r="AA1658" s="16"/>
      <c r="AB1658" s="16"/>
      <c r="AE1658" s="16"/>
      <c r="AG1658" s="22">
        <f t="shared" si="309"/>
        <v>0</v>
      </c>
      <c r="AH1658" s="6"/>
      <c r="AJ1658" s="20">
        <f t="shared" si="306"/>
        <v>0</v>
      </c>
      <c r="AK1658" s="50"/>
      <c r="AL1658" s="6"/>
      <c r="AM1658" s="20">
        <f t="shared" si="303"/>
        <v>0</v>
      </c>
      <c r="AN1658" s="20">
        <f t="shared" si="310"/>
        <v>2693250</v>
      </c>
      <c r="AP1658" s="20">
        <f t="shared" si="311"/>
        <v>2693250</v>
      </c>
      <c r="AQ1658" s="7"/>
      <c r="AR1658" s="20"/>
      <c r="AS1658" s="51"/>
    </row>
    <row r="1659" spans="1:45" s="21" customFormat="1" ht="30" customHeight="1" x14ac:dyDescent="0.2">
      <c r="A1659" s="8">
        <v>1420</v>
      </c>
      <c r="B1659" s="46">
        <v>2</v>
      </c>
      <c r="C1659" s="16" t="s">
        <v>52</v>
      </c>
      <c r="D1659" s="48">
        <v>949</v>
      </c>
      <c r="E1659" s="47">
        <v>10</v>
      </c>
      <c r="F1659" s="48">
        <v>343</v>
      </c>
      <c r="G1659" s="49">
        <v>1</v>
      </c>
      <c r="H1659" s="48">
        <v>8</v>
      </c>
      <c r="I1659" s="48">
        <v>3</v>
      </c>
      <c r="J1659" s="48">
        <v>28</v>
      </c>
      <c r="K1659" s="3">
        <f>+((8*400)+328)-L1659</f>
        <v>3449.25</v>
      </c>
      <c r="L1659" s="16">
        <f>315/4</f>
        <v>78.75</v>
      </c>
      <c r="M1659" s="57"/>
      <c r="N1659" s="58"/>
      <c r="P1659" s="16">
        <v>5</v>
      </c>
      <c r="Q1659" s="20">
        <f t="shared" si="307"/>
        <v>3528</v>
      </c>
      <c r="R1659" s="14">
        <v>750</v>
      </c>
      <c r="S1659" s="20">
        <f t="shared" si="308"/>
        <v>2646000</v>
      </c>
      <c r="T1659" s="16"/>
      <c r="U1659" s="17" t="s">
        <v>57</v>
      </c>
      <c r="V1659" s="16" t="s">
        <v>56</v>
      </c>
      <c r="W1659" s="5"/>
      <c r="X1659" s="16"/>
      <c r="Y1659" s="5">
        <f>15*21</f>
        <v>315</v>
      </c>
      <c r="Z1659" s="16"/>
      <c r="AA1659" s="16"/>
      <c r="AB1659" s="16">
        <f>62-31</f>
        <v>31</v>
      </c>
      <c r="AE1659" s="16"/>
      <c r="AG1659" s="22">
        <f t="shared" si="309"/>
        <v>315</v>
      </c>
      <c r="AH1659" s="6"/>
      <c r="AJ1659" s="20">
        <f t="shared" si="306"/>
        <v>0</v>
      </c>
      <c r="AK1659" s="50">
        <v>31</v>
      </c>
      <c r="AL1659" s="6"/>
      <c r="AM1659" s="20">
        <f t="shared" si="303"/>
        <v>0</v>
      </c>
      <c r="AN1659" s="20">
        <f t="shared" si="310"/>
        <v>2646000</v>
      </c>
      <c r="AP1659" s="20">
        <f t="shared" si="311"/>
        <v>2646000</v>
      </c>
      <c r="AQ1659" s="7"/>
      <c r="AR1659" s="20"/>
      <c r="AS1659" s="51"/>
    </row>
    <row r="1660" spans="1:45" s="21" customFormat="1" ht="30" customHeight="1" x14ac:dyDescent="0.2">
      <c r="A1660" s="8">
        <v>1421</v>
      </c>
      <c r="B1660" s="46">
        <v>3</v>
      </c>
      <c r="C1660" s="16" t="s">
        <v>52</v>
      </c>
      <c r="D1660" s="48">
        <v>1359</v>
      </c>
      <c r="E1660" s="47">
        <v>31</v>
      </c>
      <c r="F1660" s="48">
        <v>648</v>
      </c>
      <c r="G1660" s="49">
        <v>1</v>
      </c>
      <c r="H1660" s="48">
        <v>2</v>
      </c>
      <c r="I1660" s="48">
        <v>2</v>
      </c>
      <c r="J1660" s="48">
        <v>39</v>
      </c>
      <c r="K1660" s="3">
        <f>800+239</f>
        <v>1039</v>
      </c>
      <c r="L1660" s="16"/>
      <c r="M1660" s="57"/>
      <c r="N1660" s="58"/>
      <c r="P1660" s="16">
        <v>1</v>
      </c>
      <c r="Q1660" s="20">
        <f t="shared" si="307"/>
        <v>1039</v>
      </c>
      <c r="R1660" s="14">
        <v>160</v>
      </c>
      <c r="S1660" s="19">
        <f t="shared" si="308"/>
        <v>166240</v>
      </c>
      <c r="T1660" s="16"/>
      <c r="U1660" s="17"/>
      <c r="V1660" s="17"/>
      <c r="W1660" s="4"/>
      <c r="X1660" s="16"/>
      <c r="Y1660" s="5"/>
      <c r="Z1660" s="16"/>
      <c r="AA1660" s="16"/>
      <c r="AB1660" s="16"/>
      <c r="AE1660" s="16"/>
      <c r="AG1660" s="22">
        <f t="shared" si="309"/>
        <v>0</v>
      </c>
      <c r="AH1660" s="6"/>
      <c r="AJ1660" s="20">
        <f t="shared" si="306"/>
        <v>0</v>
      </c>
      <c r="AK1660" s="50"/>
      <c r="AL1660" s="6"/>
      <c r="AM1660" s="20">
        <f t="shared" si="303"/>
        <v>0</v>
      </c>
      <c r="AN1660" s="20">
        <f t="shared" si="310"/>
        <v>166240</v>
      </c>
      <c r="AP1660" s="20">
        <f t="shared" si="311"/>
        <v>166240</v>
      </c>
      <c r="AQ1660" s="7"/>
      <c r="AR1660" s="20"/>
      <c r="AS1660" s="51"/>
    </row>
    <row r="1661" spans="1:45" s="21" customFormat="1" ht="30" customHeight="1" x14ac:dyDescent="0.2">
      <c r="A1661" s="8">
        <v>1422</v>
      </c>
      <c r="B1661" s="46">
        <v>1</v>
      </c>
      <c r="C1661" s="16" t="s">
        <v>52</v>
      </c>
      <c r="D1661" s="48">
        <v>1064</v>
      </c>
      <c r="E1661" s="47">
        <v>53</v>
      </c>
      <c r="F1661" s="48">
        <v>678</v>
      </c>
      <c r="G1661" s="49">
        <v>1</v>
      </c>
      <c r="H1661" s="48">
        <v>7</v>
      </c>
      <c r="I1661" s="48">
        <v>1</v>
      </c>
      <c r="J1661" s="48">
        <v>69</v>
      </c>
      <c r="K1661" s="3">
        <f>7*400+169</f>
        <v>2969</v>
      </c>
      <c r="L1661" s="16"/>
      <c r="M1661" s="57"/>
      <c r="N1661" s="58"/>
      <c r="P1661" s="16">
        <v>1</v>
      </c>
      <c r="Q1661" s="20">
        <f t="shared" si="307"/>
        <v>2969</v>
      </c>
      <c r="R1661" s="14">
        <v>160</v>
      </c>
      <c r="S1661" s="19">
        <f t="shared" si="308"/>
        <v>475040</v>
      </c>
      <c r="T1661" s="16"/>
      <c r="U1661" s="17"/>
      <c r="V1661" s="17"/>
      <c r="W1661" s="4"/>
      <c r="X1661" s="16"/>
      <c r="Y1661" s="5"/>
      <c r="Z1661" s="16"/>
      <c r="AA1661" s="16"/>
      <c r="AB1661" s="16"/>
      <c r="AE1661" s="16"/>
      <c r="AG1661" s="22">
        <f t="shared" si="309"/>
        <v>0</v>
      </c>
      <c r="AH1661" s="6"/>
      <c r="AJ1661" s="20">
        <f t="shared" si="306"/>
        <v>0</v>
      </c>
      <c r="AK1661" s="50"/>
      <c r="AL1661" s="6"/>
      <c r="AM1661" s="20">
        <f t="shared" si="303"/>
        <v>0</v>
      </c>
      <c r="AN1661" s="20">
        <f t="shared" si="310"/>
        <v>475040</v>
      </c>
      <c r="AP1661" s="20">
        <f t="shared" si="311"/>
        <v>475040</v>
      </c>
      <c r="AQ1661" s="7"/>
      <c r="AR1661" s="60"/>
      <c r="AS1661" s="128">
        <v>42</v>
      </c>
    </row>
    <row r="1662" spans="1:45" s="21" customFormat="1" ht="30" customHeight="1" x14ac:dyDescent="0.2">
      <c r="A1662" s="8">
        <v>1423</v>
      </c>
      <c r="B1662" s="46">
        <v>2</v>
      </c>
      <c r="C1662" s="16" t="s">
        <v>52</v>
      </c>
      <c r="D1662" s="48">
        <v>1065</v>
      </c>
      <c r="E1662" s="47">
        <v>54</v>
      </c>
      <c r="F1662" s="48">
        <v>679</v>
      </c>
      <c r="G1662" s="49">
        <v>1</v>
      </c>
      <c r="H1662" s="48">
        <v>2</v>
      </c>
      <c r="I1662" s="48">
        <v>1</v>
      </c>
      <c r="J1662" s="48">
        <v>70</v>
      </c>
      <c r="K1662" s="3">
        <v>970</v>
      </c>
      <c r="L1662" s="16"/>
      <c r="M1662" s="57"/>
      <c r="N1662" s="58"/>
      <c r="P1662" s="16">
        <v>1</v>
      </c>
      <c r="Q1662" s="20">
        <f t="shared" si="307"/>
        <v>970</v>
      </c>
      <c r="R1662" s="14">
        <v>160</v>
      </c>
      <c r="S1662" s="20">
        <f t="shared" si="308"/>
        <v>155200</v>
      </c>
      <c r="T1662" s="16"/>
      <c r="U1662" s="17"/>
      <c r="V1662" s="17"/>
      <c r="W1662" s="4"/>
      <c r="X1662" s="16"/>
      <c r="Y1662" s="5"/>
      <c r="Z1662" s="16"/>
      <c r="AA1662" s="16"/>
      <c r="AB1662" s="16"/>
      <c r="AE1662" s="16"/>
      <c r="AG1662" s="22">
        <f t="shared" si="309"/>
        <v>0</v>
      </c>
      <c r="AH1662" s="6"/>
      <c r="AJ1662" s="20">
        <f t="shared" si="306"/>
        <v>0</v>
      </c>
      <c r="AK1662" s="50"/>
      <c r="AL1662" s="6"/>
      <c r="AM1662" s="20">
        <f t="shared" si="303"/>
        <v>0</v>
      </c>
      <c r="AN1662" s="20">
        <f t="shared" si="310"/>
        <v>155200</v>
      </c>
      <c r="AP1662" s="20">
        <f t="shared" si="311"/>
        <v>155200</v>
      </c>
      <c r="AQ1662" s="7"/>
      <c r="AR1662" s="24"/>
      <c r="AS1662" s="129"/>
    </row>
    <row r="1663" spans="1:45" s="21" customFormat="1" ht="30" customHeight="1" x14ac:dyDescent="0.2">
      <c r="A1663" s="8">
        <v>1424</v>
      </c>
      <c r="B1663" s="46">
        <v>3</v>
      </c>
      <c r="C1663" s="16" t="s">
        <v>52</v>
      </c>
      <c r="D1663" s="48">
        <v>1352</v>
      </c>
      <c r="E1663" s="47">
        <v>51</v>
      </c>
      <c r="F1663" s="48">
        <v>641</v>
      </c>
      <c r="G1663" s="49">
        <v>1</v>
      </c>
      <c r="H1663" s="48">
        <v>2</v>
      </c>
      <c r="I1663" s="48">
        <v>0</v>
      </c>
      <c r="J1663" s="48">
        <v>84</v>
      </c>
      <c r="K1663" s="3">
        <v>884</v>
      </c>
      <c r="L1663" s="16"/>
      <c r="M1663" s="57"/>
      <c r="N1663" s="58"/>
      <c r="P1663" s="16">
        <v>1</v>
      </c>
      <c r="Q1663" s="20">
        <f t="shared" si="307"/>
        <v>884</v>
      </c>
      <c r="R1663" s="14">
        <v>160</v>
      </c>
      <c r="S1663" s="19">
        <f t="shared" si="308"/>
        <v>141440</v>
      </c>
      <c r="T1663" s="16"/>
      <c r="U1663" s="17"/>
      <c r="V1663" s="17"/>
      <c r="W1663" s="4"/>
      <c r="X1663" s="16"/>
      <c r="Y1663" s="5"/>
      <c r="Z1663" s="16"/>
      <c r="AA1663" s="16"/>
      <c r="AB1663" s="16"/>
      <c r="AE1663" s="16"/>
      <c r="AG1663" s="22">
        <f t="shared" si="309"/>
        <v>0</v>
      </c>
      <c r="AH1663" s="6"/>
      <c r="AJ1663" s="20">
        <f t="shared" si="306"/>
        <v>0</v>
      </c>
      <c r="AK1663" s="50"/>
      <c r="AL1663" s="6"/>
      <c r="AM1663" s="20">
        <f t="shared" si="303"/>
        <v>0</v>
      </c>
      <c r="AN1663" s="20">
        <f t="shared" si="310"/>
        <v>141440</v>
      </c>
      <c r="AP1663" s="20">
        <f t="shared" si="311"/>
        <v>141440</v>
      </c>
      <c r="AQ1663" s="7"/>
      <c r="AR1663" s="24"/>
      <c r="AS1663" s="129"/>
    </row>
    <row r="1664" spans="1:45" s="21" customFormat="1" ht="30" customHeight="1" x14ac:dyDescent="0.2">
      <c r="A1664" s="8">
        <v>1425</v>
      </c>
      <c r="B1664" s="46">
        <v>4</v>
      </c>
      <c r="C1664" s="16" t="s">
        <v>52</v>
      </c>
      <c r="D1664" s="48">
        <v>29231</v>
      </c>
      <c r="E1664" s="47">
        <v>250</v>
      </c>
      <c r="F1664" s="48">
        <v>5426</v>
      </c>
      <c r="G1664" s="49">
        <v>1</v>
      </c>
      <c r="H1664" s="48">
        <v>0</v>
      </c>
      <c r="I1664" s="48">
        <v>3</v>
      </c>
      <c r="J1664" s="48">
        <v>42</v>
      </c>
      <c r="K1664" s="3">
        <v>342</v>
      </c>
      <c r="L1664" s="16"/>
      <c r="M1664" s="57"/>
      <c r="N1664" s="58"/>
      <c r="P1664" s="16">
        <v>1</v>
      </c>
      <c r="Q1664" s="20">
        <f t="shared" si="307"/>
        <v>342</v>
      </c>
      <c r="R1664" s="14">
        <v>1500</v>
      </c>
      <c r="S1664" s="19">
        <f t="shared" si="308"/>
        <v>513000</v>
      </c>
      <c r="T1664" s="16"/>
      <c r="U1664" s="17"/>
      <c r="V1664" s="17"/>
      <c r="W1664" s="4"/>
      <c r="X1664" s="16"/>
      <c r="Y1664" s="5"/>
      <c r="Z1664" s="16"/>
      <c r="AA1664" s="16"/>
      <c r="AB1664" s="16"/>
      <c r="AE1664" s="16"/>
      <c r="AG1664" s="22">
        <f t="shared" si="309"/>
        <v>0</v>
      </c>
      <c r="AH1664" s="6"/>
      <c r="AJ1664" s="20">
        <f t="shared" si="306"/>
        <v>0</v>
      </c>
      <c r="AK1664" s="50"/>
      <c r="AL1664" s="6"/>
      <c r="AM1664" s="20">
        <f t="shared" si="303"/>
        <v>0</v>
      </c>
      <c r="AN1664" s="20">
        <f t="shared" si="310"/>
        <v>513000</v>
      </c>
      <c r="AP1664" s="20">
        <f t="shared" si="311"/>
        <v>513000</v>
      </c>
      <c r="AQ1664" s="7"/>
      <c r="AR1664" s="24"/>
      <c r="AS1664" s="129"/>
    </row>
    <row r="1665" spans="1:45" ht="30" customHeight="1" x14ac:dyDescent="0.2">
      <c r="A1665" s="8">
        <v>1426</v>
      </c>
      <c r="B1665" s="13">
        <v>5</v>
      </c>
      <c r="C1665" s="16" t="s">
        <v>69</v>
      </c>
      <c r="E1665" s="17">
        <v>2328</v>
      </c>
      <c r="F1665" s="17">
        <v>13</v>
      </c>
      <c r="G1665" s="13">
        <v>1</v>
      </c>
      <c r="H1665" s="17">
        <v>10</v>
      </c>
      <c r="I1665" s="17">
        <v>2</v>
      </c>
      <c r="J1665" s="17">
        <v>98</v>
      </c>
      <c r="K1665" s="10">
        <v>4298</v>
      </c>
      <c r="P1665" s="17">
        <v>1</v>
      </c>
      <c r="Q1665" s="20">
        <f t="shared" si="307"/>
        <v>4298</v>
      </c>
      <c r="R1665" s="14">
        <v>160</v>
      </c>
      <c r="S1665" s="20">
        <f t="shared" si="308"/>
        <v>687680</v>
      </c>
      <c r="AG1665" s="22">
        <f t="shared" si="309"/>
        <v>0</v>
      </c>
      <c r="AJ1665" s="20">
        <f t="shared" si="306"/>
        <v>0</v>
      </c>
      <c r="AM1665" s="20">
        <f t="shared" si="303"/>
        <v>0</v>
      </c>
      <c r="AN1665" s="20">
        <f t="shared" si="310"/>
        <v>687680</v>
      </c>
      <c r="AP1665" s="20">
        <f t="shared" si="311"/>
        <v>687680</v>
      </c>
      <c r="AQ1665" s="12">
        <v>1E-4</v>
      </c>
      <c r="AR1665" s="25"/>
      <c r="AS1665" s="130"/>
    </row>
    <row r="1666" spans="1:45" s="21" customFormat="1" ht="30" customHeight="1" x14ac:dyDescent="0.2">
      <c r="A1666" s="8">
        <v>1427</v>
      </c>
      <c r="B1666" s="46">
        <v>1</v>
      </c>
      <c r="C1666" s="16" t="s">
        <v>52</v>
      </c>
      <c r="D1666" s="48">
        <v>1058</v>
      </c>
      <c r="E1666" s="47">
        <v>71</v>
      </c>
      <c r="F1666" s="48">
        <v>672</v>
      </c>
      <c r="G1666" s="49">
        <v>1</v>
      </c>
      <c r="H1666" s="48">
        <v>2</v>
      </c>
      <c r="I1666" s="48">
        <v>1</v>
      </c>
      <c r="J1666" s="48">
        <v>59</v>
      </c>
      <c r="K1666" s="3">
        <v>959</v>
      </c>
      <c r="L1666" s="16"/>
      <c r="M1666" s="57"/>
      <c r="N1666" s="58"/>
      <c r="P1666" s="16">
        <v>1</v>
      </c>
      <c r="Q1666" s="20">
        <f t="shared" si="307"/>
        <v>959</v>
      </c>
      <c r="R1666" s="14">
        <v>200</v>
      </c>
      <c r="S1666" s="19">
        <f t="shared" si="308"/>
        <v>191800</v>
      </c>
      <c r="T1666" s="16"/>
      <c r="U1666" s="16"/>
      <c r="V1666" s="16"/>
      <c r="W1666" s="5"/>
      <c r="X1666" s="16"/>
      <c r="Y1666" s="5"/>
      <c r="Z1666" s="16"/>
      <c r="AA1666" s="16"/>
      <c r="AB1666" s="16"/>
      <c r="AE1666" s="16"/>
      <c r="AG1666" s="22">
        <f t="shared" si="309"/>
        <v>0</v>
      </c>
      <c r="AH1666" s="6"/>
      <c r="AJ1666" s="20">
        <f t="shared" si="306"/>
        <v>0</v>
      </c>
      <c r="AK1666" s="50"/>
      <c r="AL1666" s="6"/>
      <c r="AM1666" s="20">
        <f t="shared" si="303"/>
        <v>0</v>
      </c>
      <c r="AN1666" s="20">
        <f t="shared" si="310"/>
        <v>191800</v>
      </c>
      <c r="AP1666" s="20">
        <f t="shared" si="311"/>
        <v>191800</v>
      </c>
      <c r="AQ1666" s="7"/>
      <c r="AR1666" s="60"/>
      <c r="AS1666" s="128">
        <v>65</v>
      </c>
    </row>
    <row r="1667" spans="1:45" s="21" customFormat="1" ht="30" customHeight="1" x14ac:dyDescent="0.2">
      <c r="A1667" s="8">
        <v>1428</v>
      </c>
      <c r="B1667" s="46">
        <v>2</v>
      </c>
      <c r="C1667" s="16" t="s">
        <v>52</v>
      </c>
      <c r="D1667" s="48">
        <v>1422</v>
      </c>
      <c r="E1667" s="47">
        <v>69</v>
      </c>
      <c r="F1667" s="48">
        <v>625</v>
      </c>
      <c r="G1667" s="49">
        <v>1</v>
      </c>
      <c r="H1667" s="48">
        <v>2</v>
      </c>
      <c r="I1667" s="48">
        <v>0</v>
      </c>
      <c r="J1667" s="48">
        <v>77</v>
      </c>
      <c r="K1667" s="3">
        <f>800+77</f>
        <v>877</v>
      </c>
      <c r="L1667" s="16"/>
      <c r="M1667" s="57"/>
      <c r="N1667" s="58"/>
      <c r="P1667" s="16">
        <v>1</v>
      </c>
      <c r="Q1667" s="20">
        <f t="shared" si="307"/>
        <v>877</v>
      </c>
      <c r="R1667" s="14">
        <v>160</v>
      </c>
      <c r="S1667" s="19">
        <f t="shared" si="308"/>
        <v>140320</v>
      </c>
      <c r="T1667" s="16"/>
      <c r="U1667" s="17"/>
      <c r="V1667" s="16"/>
      <c r="W1667" s="5"/>
      <c r="X1667" s="16"/>
      <c r="Y1667" s="5"/>
      <c r="Z1667" s="16"/>
      <c r="AA1667" s="16"/>
      <c r="AB1667" s="16"/>
      <c r="AE1667" s="16"/>
      <c r="AG1667" s="22">
        <f t="shared" si="309"/>
        <v>0</v>
      </c>
      <c r="AH1667" s="6"/>
      <c r="AJ1667" s="20">
        <f t="shared" si="306"/>
        <v>0</v>
      </c>
      <c r="AK1667" s="50"/>
      <c r="AL1667" s="6"/>
      <c r="AM1667" s="20">
        <f t="shared" si="303"/>
        <v>0</v>
      </c>
      <c r="AN1667" s="20">
        <f t="shared" si="310"/>
        <v>140320</v>
      </c>
      <c r="AP1667" s="20">
        <f t="shared" si="311"/>
        <v>140320</v>
      </c>
      <c r="AQ1667" s="7"/>
      <c r="AR1667" s="24"/>
      <c r="AS1667" s="129"/>
    </row>
    <row r="1668" spans="1:45" ht="30" customHeight="1" x14ac:dyDescent="0.2">
      <c r="A1668" s="8">
        <v>1429</v>
      </c>
      <c r="B1668" s="13">
        <v>4</v>
      </c>
      <c r="C1668" s="16" t="s">
        <v>69</v>
      </c>
      <c r="E1668" s="17">
        <v>159</v>
      </c>
      <c r="F1668" s="17">
        <v>1</v>
      </c>
      <c r="G1668" s="13">
        <v>1</v>
      </c>
      <c r="H1668" s="17">
        <v>7</v>
      </c>
      <c r="I1668" s="17">
        <v>0</v>
      </c>
      <c r="J1668" s="17">
        <v>15</v>
      </c>
      <c r="K1668" s="10">
        <v>2815</v>
      </c>
      <c r="P1668" s="17">
        <v>1</v>
      </c>
      <c r="Q1668" s="20">
        <f t="shared" si="307"/>
        <v>2815</v>
      </c>
      <c r="R1668" s="14">
        <v>160</v>
      </c>
      <c r="S1668" s="19">
        <f t="shared" si="308"/>
        <v>450400</v>
      </c>
      <c r="AG1668" s="22">
        <f t="shared" si="309"/>
        <v>0</v>
      </c>
      <c r="AJ1668" s="20">
        <f t="shared" si="306"/>
        <v>0</v>
      </c>
      <c r="AM1668" s="20">
        <f t="shared" si="303"/>
        <v>0</v>
      </c>
      <c r="AN1668" s="20">
        <f t="shared" si="310"/>
        <v>450400</v>
      </c>
      <c r="AP1668" s="20">
        <f t="shared" si="311"/>
        <v>450400</v>
      </c>
      <c r="AQ1668" s="12">
        <v>1E-4</v>
      </c>
      <c r="AR1668" s="25"/>
      <c r="AS1668" s="130"/>
    </row>
    <row r="1669" spans="1:45" ht="30" customHeight="1" x14ac:dyDescent="0.2">
      <c r="A1669" s="8">
        <v>1430</v>
      </c>
      <c r="B1669" s="13">
        <v>3</v>
      </c>
      <c r="C1669" s="16" t="s">
        <v>65</v>
      </c>
      <c r="D1669" s="17">
        <v>560</v>
      </c>
      <c r="E1669" s="17">
        <v>162</v>
      </c>
      <c r="H1669" s="17">
        <v>2</v>
      </c>
      <c r="I1669" s="17">
        <v>3</v>
      </c>
      <c r="J1669" s="17">
        <v>7</v>
      </c>
      <c r="K1669" s="10">
        <v>1107</v>
      </c>
      <c r="Q1669" s="20">
        <f t="shared" si="307"/>
        <v>1107</v>
      </c>
      <c r="R1669" s="14">
        <v>250</v>
      </c>
      <c r="S1669" s="20">
        <f t="shared" si="308"/>
        <v>276750</v>
      </c>
      <c r="AC1669" s="21"/>
      <c r="AD1669" s="21"/>
      <c r="AE1669" s="17" t="s">
        <v>175</v>
      </c>
      <c r="AG1669" s="22">
        <f t="shared" si="309"/>
        <v>0</v>
      </c>
      <c r="AJ1669" s="20">
        <f t="shared" si="306"/>
        <v>0</v>
      </c>
      <c r="AM1669" s="20">
        <f t="shared" si="303"/>
        <v>0</v>
      </c>
      <c r="AN1669" s="20">
        <f t="shared" si="310"/>
        <v>276750</v>
      </c>
      <c r="AP1669" s="20">
        <f t="shared" si="311"/>
        <v>276750</v>
      </c>
      <c r="AQ1669" s="12">
        <v>1E-4</v>
      </c>
      <c r="AR1669" s="20"/>
    </row>
    <row r="1670" spans="1:45" s="21" customFormat="1" ht="30" customHeight="1" x14ac:dyDescent="0.2">
      <c r="A1670" s="8">
        <v>1431</v>
      </c>
      <c r="B1670" s="46">
        <v>1</v>
      </c>
      <c r="C1670" s="16" t="s">
        <v>52</v>
      </c>
      <c r="D1670" s="48">
        <v>35923</v>
      </c>
      <c r="E1670" s="47">
        <v>155</v>
      </c>
      <c r="F1670" s="48">
        <v>3667</v>
      </c>
      <c r="G1670" s="49">
        <v>1</v>
      </c>
      <c r="H1670" s="48">
        <v>4</v>
      </c>
      <c r="I1670" s="48">
        <v>1</v>
      </c>
      <c r="J1670" s="48">
        <v>55</v>
      </c>
      <c r="K1670" s="3">
        <v>1755</v>
      </c>
      <c r="L1670" s="16"/>
      <c r="M1670" s="57"/>
      <c r="N1670" s="58"/>
      <c r="P1670" s="16">
        <v>1</v>
      </c>
      <c r="Q1670" s="20">
        <f t="shared" si="307"/>
        <v>1755</v>
      </c>
      <c r="R1670" s="14">
        <v>160</v>
      </c>
      <c r="S1670" s="19">
        <f t="shared" si="308"/>
        <v>280800</v>
      </c>
      <c r="T1670" s="16"/>
      <c r="U1670" s="17"/>
      <c r="V1670" s="17"/>
      <c r="W1670" s="4"/>
      <c r="X1670" s="16"/>
      <c r="Y1670" s="5"/>
      <c r="Z1670" s="16"/>
      <c r="AA1670" s="16"/>
      <c r="AB1670" s="16"/>
      <c r="AE1670" s="16"/>
      <c r="AG1670" s="22">
        <f t="shared" si="309"/>
        <v>0</v>
      </c>
      <c r="AH1670" s="6"/>
      <c r="AJ1670" s="20">
        <f t="shared" si="306"/>
        <v>0</v>
      </c>
      <c r="AK1670" s="50"/>
      <c r="AL1670" s="6"/>
      <c r="AM1670" s="20">
        <f t="shared" si="303"/>
        <v>0</v>
      </c>
      <c r="AN1670" s="20">
        <f t="shared" ref="AN1670:AN1701" si="312">+S1670+AM1670</f>
        <v>280800</v>
      </c>
      <c r="AP1670" s="20">
        <f t="shared" si="311"/>
        <v>280800</v>
      </c>
      <c r="AQ1670" s="7"/>
      <c r="AR1670" s="60"/>
      <c r="AS1670" s="128">
        <v>13</v>
      </c>
    </row>
    <row r="1671" spans="1:45" ht="30" customHeight="1" x14ac:dyDescent="0.2">
      <c r="A1671" s="8">
        <v>1432</v>
      </c>
      <c r="B1671" s="13">
        <v>2</v>
      </c>
      <c r="C1671" s="16" t="s">
        <v>52</v>
      </c>
      <c r="D1671" s="17">
        <v>40593</v>
      </c>
      <c r="E1671" s="17">
        <v>337</v>
      </c>
      <c r="F1671" s="17">
        <v>7989</v>
      </c>
      <c r="G1671" s="13">
        <v>1</v>
      </c>
      <c r="H1671" s="17">
        <v>1</v>
      </c>
      <c r="I1671" s="17">
        <v>3</v>
      </c>
      <c r="J1671" s="17">
        <v>57</v>
      </c>
      <c r="K1671" s="10">
        <v>757</v>
      </c>
      <c r="L1671" s="17">
        <f>168/4</f>
        <v>42</v>
      </c>
      <c r="P1671" s="17">
        <v>2</v>
      </c>
      <c r="Q1671" s="20">
        <f t="shared" si="307"/>
        <v>757</v>
      </c>
      <c r="R1671" s="14">
        <v>160</v>
      </c>
      <c r="S1671" s="20">
        <f t="shared" si="308"/>
        <v>121120</v>
      </c>
      <c r="Y1671" s="4">
        <v>168</v>
      </c>
      <c r="AB1671" s="17">
        <f>62-40</f>
        <v>22</v>
      </c>
      <c r="AE1671" s="17" t="s">
        <v>94</v>
      </c>
      <c r="AG1671" s="22">
        <f t="shared" si="309"/>
        <v>168</v>
      </c>
      <c r="AJ1671" s="20">
        <f t="shared" si="306"/>
        <v>0</v>
      </c>
      <c r="AK1671" s="23">
        <v>22</v>
      </c>
      <c r="AM1671" s="20">
        <f t="shared" si="303"/>
        <v>0</v>
      </c>
      <c r="AN1671" s="20">
        <f t="shared" si="312"/>
        <v>121120</v>
      </c>
      <c r="AP1671" s="20">
        <f t="shared" si="311"/>
        <v>121120</v>
      </c>
      <c r="AR1671" s="25"/>
      <c r="AS1671" s="130"/>
    </row>
    <row r="1672" spans="1:45" s="21" customFormat="1" ht="30" customHeight="1" x14ac:dyDescent="0.2">
      <c r="A1672" s="8">
        <v>1433</v>
      </c>
      <c r="B1672" s="46">
        <v>1</v>
      </c>
      <c r="C1672" s="16" t="s">
        <v>52</v>
      </c>
      <c r="D1672" s="48">
        <v>1170</v>
      </c>
      <c r="E1672" s="47">
        <v>3</v>
      </c>
      <c r="F1672" s="48">
        <v>1009</v>
      </c>
      <c r="G1672" s="49">
        <v>1</v>
      </c>
      <c r="H1672" s="48">
        <v>9</v>
      </c>
      <c r="I1672" s="48">
        <v>2</v>
      </c>
      <c r="J1672" s="48">
        <v>80</v>
      </c>
      <c r="K1672" s="3">
        <f>9*400+280</f>
        <v>3880</v>
      </c>
      <c r="L1672" s="16"/>
      <c r="M1672" s="57"/>
      <c r="N1672" s="58"/>
      <c r="P1672" s="16">
        <v>1</v>
      </c>
      <c r="Q1672" s="20">
        <f t="shared" si="307"/>
        <v>3880</v>
      </c>
      <c r="R1672" s="14">
        <v>160</v>
      </c>
      <c r="S1672" s="19">
        <f t="shared" si="308"/>
        <v>620800</v>
      </c>
      <c r="T1672" s="16"/>
      <c r="U1672" s="17"/>
      <c r="V1672" s="17"/>
      <c r="W1672" s="4"/>
      <c r="X1672" s="16"/>
      <c r="Y1672" s="5"/>
      <c r="Z1672" s="16"/>
      <c r="AA1672" s="16"/>
      <c r="AB1672" s="16"/>
      <c r="AC1672" s="14"/>
      <c r="AD1672" s="14"/>
      <c r="AE1672" s="16"/>
      <c r="AG1672" s="22">
        <f t="shared" si="309"/>
        <v>0</v>
      </c>
      <c r="AH1672" s="6"/>
      <c r="AJ1672" s="20">
        <f t="shared" si="306"/>
        <v>0</v>
      </c>
      <c r="AK1672" s="50"/>
      <c r="AL1672" s="6"/>
      <c r="AM1672" s="20">
        <f t="shared" si="303"/>
        <v>0</v>
      </c>
      <c r="AN1672" s="20">
        <f t="shared" si="312"/>
        <v>620800</v>
      </c>
      <c r="AP1672" s="20">
        <f t="shared" si="311"/>
        <v>620800</v>
      </c>
      <c r="AQ1672" s="7"/>
      <c r="AR1672" s="20"/>
      <c r="AS1672" s="51"/>
    </row>
    <row r="1673" spans="1:45" s="21" customFormat="1" ht="30" customHeight="1" x14ac:dyDescent="0.2">
      <c r="A1673" s="8">
        <v>1434</v>
      </c>
      <c r="B1673" s="46">
        <v>2</v>
      </c>
      <c r="C1673" s="16" t="s">
        <v>52</v>
      </c>
      <c r="D1673" s="48">
        <v>3409</v>
      </c>
      <c r="E1673" s="47">
        <v>42</v>
      </c>
      <c r="F1673" s="48">
        <v>2213</v>
      </c>
      <c r="G1673" s="49">
        <v>2</v>
      </c>
      <c r="H1673" s="48">
        <v>0</v>
      </c>
      <c r="I1673" s="48">
        <v>1</v>
      </c>
      <c r="J1673" s="48">
        <v>44</v>
      </c>
      <c r="K1673" s="3">
        <v>144</v>
      </c>
      <c r="L1673" s="16"/>
      <c r="M1673" s="57"/>
      <c r="N1673" s="58"/>
      <c r="P1673" s="16">
        <v>1</v>
      </c>
      <c r="Q1673" s="20">
        <f t="shared" si="307"/>
        <v>144</v>
      </c>
      <c r="R1673" s="14">
        <v>250</v>
      </c>
      <c r="S1673" s="19">
        <f t="shared" si="308"/>
        <v>36000</v>
      </c>
      <c r="T1673" s="16"/>
      <c r="U1673" s="17"/>
      <c r="V1673" s="17"/>
      <c r="W1673" s="4"/>
      <c r="X1673" s="16"/>
      <c r="Y1673" s="5"/>
      <c r="Z1673" s="16"/>
      <c r="AA1673" s="16"/>
      <c r="AB1673" s="16"/>
      <c r="AE1673" s="16"/>
      <c r="AG1673" s="22">
        <f t="shared" si="309"/>
        <v>0</v>
      </c>
      <c r="AH1673" s="6"/>
      <c r="AJ1673" s="20">
        <f t="shared" si="306"/>
        <v>0</v>
      </c>
      <c r="AK1673" s="50"/>
      <c r="AL1673" s="6"/>
      <c r="AM1673" s="20">
        <f t="shared" si="303"/>
        <v>0</v>
      </c>
      <c r="AN1673" s="20">
        <f t="shared" si="312"/>
        <v>36000</v>
      </c>
      <c r="AP1673" s="20">
        <f t="shared" si="311"/>
        <v>36000</v>
      </c>
      <c r="AQ1673" s="7"/>
      <c r="AR1673" s="20"/>
      <c r="AS1673" s="51"/>
    </row>
    <row r="1674" spans="1:45" s="21" customFormat="1" ht="30" customHeight="1" x14ac:dyDescent="0.2">
      <c r="A1674" s="8">
        <v>1435</v>
      </c>
      <c r="B1674" s="46">
        <v>1</v>
      </c>
      <c r="C1674" s="16" t="s">
        <v>52</v>
      </c>
      <c r="D1674" s="48">
        <v>1077</v>
      </c>
      <c r="E1674" s="47">
        <v>64</v>
      </c>
      <c r="F1674" s="48">
        <v>693</v>
      </c>
      <c r="G1674" s="49">
        <v>1</v>
      </c>
      <c r="H1674" s="48">
        <v>1</v>
      </c>
      <c r="I1674" s="48">
        <v>3</v>
      </c>
      <c r="J1674" s="48">
        <v>25</v>
      </c>
      <c r="K1674" s="3">
        <f>400+325</f>
        <v>725</v>
      </c>
      <c r="L1674" s="16"/>
      <c r="M1674" s="57"/>
      <c r="N1674" s="58"/>
      <c r="P1674" s="16">
        <v>1</v>
      </c>
      <c r="Q1674" s="20">
        <f t="shared" si="307"/>
        <v>725</v>
      </c>
      <c r="R1674" s="14">
        <v>200</v>
      </c>
      <c r="S1674" s="20">
        <f t="shared" si="308"/>
        <v>145000</v>
      </c>
      <c r="T1674" s="16"/>
      <c r="U1674" s="17"/>
      <c r="V1674" s="17"/>
      <c r="W1674" s="4"/>
      <c r="X1674" s="16"/>
      <c r="Y1674" s="5"/>
      <c r="Z1674" s="16"/>
      <c r="AA1674" s="16"/>
      <c r="AB1674" s="16"/>
      <c r="AC1674" s="14"/>
      <c r="AD1674" s="14"/>
      <c r="AE1674" s="16"/>
      <c r="AG1674" s="22">
        <f t="shared" si="309"/>
        <v>0</v>
      </c>
      <c r="AH1674" s="6"/>
      <c r="AJ1674" s="20">
        <f t="shared" si="306"/>
        <v>0</v>
      </c>
      <c r="AK1674" s="50"/>
      <c r="AL1674" s="6"/>
      <c r="AM1674" s="20">
        <f t="shared" si="303"/>
        <v>0</v>
      </c>
      <c r="AN1674" s="20">
        <f t="shared" si="312"/>
        <v>145000</v>
      </c>
      <c r="AP1674" s="20">
        <f t="shared" si="311"/>
        <v>145000</v>
      </c>
      <c r="AQ1674" s="7"/>
      <c r="AR1674" s="20"/>
      <c r="AS1674" s="51"/>
    </row>
    <row r="1675" spans="1:45" ht="30" customHeight="1" x14ac:dyDescent="0.2">
      <c r="A1675" s="8">
        <v>1436</v>
      </c>
      <c r="B1675" s="13">
        <v>2</v>
      </c>
      <c r="C1675" s="16" t="s">
        <v>69</v>
      </c>
      <c r="E1675" s="17">
        <v>159</v>
      </c>
      <c r="F1675" s="17">
        <v>3</v>
      </c>
      <c r="G1675" s="13">
        <v>1</v>
      </c>
      <c r="H1675" s="17">
        <v>3</v>
      </c>
      <c r="I1675" s="17">
        <v>1</v>
      </c>
      <c r="J1675" s="17">
        <v>51</v>
      </c>
      <c r="K1675" s="10">
        <v>1351</v>
      </c>
      <c r="P1675" s="17">
        <v>1</v>
      </c>
      <c r="Q1675" s="20">
        <f>+(H1675*400)+(I1675*100)+J1675</f>
        <v>1351</v>
      </c>
      <c r="R1675" s="14">
        <v>160</v>
      </c>
      <c r="S1675" s="19">
        <f>+Q1675*R1675</f>
        <v>216160</v>
      </c>
      <c r="AG1675" s="22">
        <f>Y1675</f>
        <v>0</v>
      </c>
      <c r="AJ1675" s="20">
        <f>+AG1675*AH1675*AI1675</f>
        <v>0</v>
      </c>
      <c r="AM1675" s="20">
        <f>+AJ1675-(AL1675*AJ1675)</f>
        <v>0</v>
      </c>
      <c r="AN1675" s="20">
        <f t="shared" si="312"/>
        <v>216160</v>
      </c>
      <c r="AP1675" s="20">
        <f>AN1675</f>
        <v>216160</v>
      </c>
      <c r="AQ1675" s="12">
        <v>1E-4</v>
      </c>
      <c r="AR1675" s="20"/>
    </row>
    <row r="1676" spans="1:45" ht="30" customHeight="1" x14ac:dyDescent="0.2">
      <c r="A1676" s="8">
        <v>1437</v>
      </c>
      <c r="B1676" s="13">
        <v>2</v>
      </c>
      <c r="C1676" s="16" t="s">
        <v>65</v>
      </c>
      <c r="D1676" s="17">
        <v>2357</v>
      </c>
      <c r="E1676" s="17">
        <v>99</v>
      </c>
      <c r="H1676" s="17">
        <v>8</v>
      </c>
      <c r="I1676" s="17">
        <v>3</v>
      </c>
      <c r="J1676" s="17">
        <v>54</v>
      </c>
      <c r="K1676" s="10">
        <f>8*400+354</f>
        <v>3554</v>
      </c>
      <c r="P1676" s="17">
        <v>1</v>
      </c>
      <c r="Q1676" s="20">
        <f t="shared" si="307"/>
        <v>3554</v>
      </c>
      <c r="R1676" s="14">
        <v>250</v>
      </c>
      <c r="S1676" s="19">
        <f t="shared" si="308"/>
        <v>888500</v>
      </c>
      <c r="AE1676" s="17" t="s">
        <v>94</v>
      </c>
      <c r="AG1676" s="22">
        <f t="shared" si="309"/>
        <v>0</v>
      </c>
      <c r="AJ1676" s="20">
        <f t="shared" si="306"/>
        <v>0</v>
      </c>
      <c r="AM1676" s="20">
        <f t="shared" si="303"/>
        <v>0</v>
      </c>
      <c r="AN1676" s="20">
        <f t="shared" si="312"/>
        <v>888500</v>
      </c>
      <c r="AP1676" s="20">
        <f t="shared" si="311"/>
        <v>888500</v>
      </c>
      <c r="AQ1676" s="12">
        <v>1E-4</v>
      </c>
      <c r="AR1676" s="20"/>
    </row>
    <row r="1677" spans="1:45" s="21" customFormat="1" ht="30" customHeight="1" x14ac:dyDescent="0.2">
      <c r="A1677" s="131">
        <v>1438</v>
      </c>
      <c r="B1677" s="46">
        <v>1</v>
      </c>
      <c r="C1677" s="16" t="s">
        <v>52</v>
      </c>
      <c r="D1677" s="48">
        <v>1072</v>
      </c>
      <c r="E1677" s="47">
        <v>59</v>
      </c>
      <c r="F1677" s="48">
        <v>688</v>
      </c>
      <c r="G1677" s="49">
        <v>1</v>
      </c>
      <c r="H1677" s="48">
        <v>3</v>
      </c>
      <c r="I1677" s="48">
        <v>0</v>
      </c>
      <c r="J1677" s="48">
        <v>65</v>
      </c>
      <c r="K1677" s="3">
        <f>1265-L1677</f>
        <v>1188.5</v>
      </c>
      <c r="L1677" s="16">
        <f>+(114+96+96)/4</f>
        <v>76.5</v>
      </c>
      <c r="M1677" s="57"/>
      <c r="N1677" s="58"/>
      <c r="P1677" s="16">
        <v>5</v>
      </c>
      <c r="Q1677" s="20">
        <f t="shared" si="307"/>
        <v>1265</v>
      </c>
      <c r="R1677" s="14">
        <v>200</v>
      </c>
      <c r="S1677" s="20">
        <f t="shared" si="308"/>
        <v>253000</v>
      </c>
      <c r="T1677" s="16">
        <v>1</v>
      </c>
      <c r="U1677" s="17" t="s">
        <v>57</v>
      </c>
      <c r="V1677" s="17" t="s">
        <v>56</v>
      </c>
      <c r="W1677" s="4"/>
      <c r="X1677" s="16"/>
      <c r="Y1677" s="5">
        <v>114</v>
      </c>
      <c r="Z1677" s="16"/>
      <c r="AA1677" s="16"/>
      <c r="AB1677" s="16">
        <f>62-31</f>
        <v>31</v>
      </c>
      <c r="AC1677" s="14"/>
      <c r="AD1677" s="14"/>
      <c r="AE1677" s="16"/>
      <c r="AG1677" s="22">
        <f t="shared" si="309"/>
        <v>114</v>
      </c>
      <c r="AH1677" s="6"/>
      <c r="AJ1677" s="20">
        <f t="shared" si="306"/>
        <v>0</v>
      </c>
      <c r="AK1677" s="50">
        <v>31</v>
      </c>
      <c r="AL1677" s="6"/>
      <c r="AM1677" s="20">
        <f t="shared" si="303"/>
        <v>0</v>
      </c>
      <c r="AN1677" s="20">
        <f t="shared" si="312"/>
        <v>253000</v>
      </c>
      <c r="AP1677" s="20">
        <f t="shared" si="311"/>
        <v>253000</v>
      </c>
      <c r="AQ1677" s="7"/>
      <c r="AR1677" s="20"/>
      <c r="AS1677" s="51"/>
    </row>
    <row r="1678" spans="1:45" s="21" customFormat="1" ht="30" customHeight="1" x14ac:dyDescent="0.2">
      <c r="A1678" s="131"/>
      <c r="B1678" s="46"/>
      <c r="C1678" s="16"/>
      <c r="D1678" s="48"/>
      <c r="E1678" s="47"/>
      <c r="F1678" s="48"/>
      <c r="G1678" s="49"/>
      <c r="H1678" s="48"/>
      <c r="I1678" s="48"/>
      <c r="J1678" s="48"/>
      <c r="K1678" s="3"/>
      <c r="L1678" s="16"/>
      <c r="M1678" s="57"/>
      <c r="N1678" s="58"/>
      <c r="P1678" s="16"/>
      <c r="Q1678" s="20">
        <f t="shared" si="307"/>
        <v>0</v>
      </c>
      <c r="R1678" s="14" t="e">
        <v>#N/A</v>
      </c>
      <c r="S1678" s="19" t="e">
        <f t="shared" si="308"/>
        <v>#N/A</v>
      </c>
      <c r="T1678" s="16">
        <v>2</v>
      </c>
      <c r="U1678" s="17" t="s">
        <v>57</v>
      </c>
      <c r="V1678" s="17" t="s">
        <v>56</v>
      </c>
      <c r="W1678" s="4"/>
      <c r="X1678" s="16"/>
      <c r="Y1678" s="5">
        <v>96</v>
      </c>
      <c r="Z1678" s="16"/>
      <c r="AA1678" s="16"/>
      <c r="AB1678" s="16">
        <f>62-51</f>
        <v>11</v>
      </c>
      <c r="AC1678" s="14"/>
      <c r="AD1678" s="14"/>
      <c r="AE1678" s="16"/>
      <c r="AG1678" s="22">
        <f t="shared" si="309"/>
        <v>96</v>
      </c>
      <c r="AH1678" s="6"/>
      <c r="AJ1678" s="20">
        <f t="shared" si="306"/>
        <v>0</v>
      </c>
      <c r="AK1678" s="50">
        <v>11</v>
      </c>
      <c r="AL1678" s="6"/>
      <c r="AM1678" s="20">
        <f t="shared" si="303"/>
        <v>0</v>
      </c>
      <c r="AN1678" s="20" t="e">
        <f t="shared" si="312"/>
        <v>#N/A</v>
      </c>
      <c r="AP1678" s="20" t="e">
        <f t="shared" si="311"/>
        <v>#N/A</v>
      </c>
      <c r="AQ1678" s="7"/>
      <c r="AR1678" s="20"/>
      <c r="AS1678" s="51"/>
    </row>
    <row r="1679" spans="1:45" s="21" customFormat="1" ht="30" customHeight="1" x14ac:dyDescent="0.2">
      <c r="A1679" s="131"/>
      <c r="B1679" s="46"/>
      <c r="C1679" s="16"/>
      <c r="D1679" s="48"/>
      <c r="E1679" s="47"/>
      <c r="F1679" s="48"/>
      <c r="G1679" s="49"/>
      <c r="H1679" s="48"/>
      <c r="I1679" s="48"/>
      <c r="J1679" s="48"/>
      <c r="K1679" s="3"/>
      <c r="L1679" s="16"/>
      <c r="M1679" s="57"/>
      <c r="N1679" s="58"/>
      <c r="P1679" s="16"/>
      <c r="Q1679" s="20">
        <f t="shared" si="307"/>
        <v>0</v>
      </c>
      <c r="R1679" s="14" t="e">
        <v>#N/A</v>
      </c>
      <c r="S1679" s="19" t="e">
        <f t="shared" si="308"/>
        <v>#N/A</v>
      </c>
      <c r="T1679" s="16">
        <v>3</v>
      </c>
      <c r="U1679" s="17" t="s">
        <v>57</v>
      </c>
      <c r="V1679" s="17" t="s">
        <v>56</v>
      </c>
      <c r="W1679" s="4"/>
      <c r="X1679" s="16"/>
      <c r="Y1679" s="5">
        <v>96</v>
      </c>
      <c r="Z1679" s="16"/>
      <c r="AA1679" s="16"/>
      <c r="AB1679" s="16">
        <f>62-54</f>
        <v>8</v>
      </c>
      <c r="AC1679" s="14"/>
      <c r="AD1679" s="14"/>
      <c r="AE1679" s="16"/>
      <c r="AG1679" s="22">
        <f t="shared" si="309"/>
        <v>96</v>
      </c>
      <c r="AH1679" s="6"/>
      <c r="AJ1679" s="20">
        <f t="shared" si="306"/>
        <v>0</v>
      </c>
      <c r="AK1679" s="50">
        <v>8</v>
      </c>
      <c r="AL1679" s="6"/>
      <c r="AM1679" s="20">
        <f t="shared" si="303"/>
        <v>0</v>
      </c>
      <c r="AN1679" s="20" t="e">
        <f t="shared" si="312"/>
        <v>#N/A</v>
      </c>
      <c r="AP1679" s="20" t="e">
        <f t="shared" si="311"/>
        <v>#N/A</v>
      </c>
      <c r="AQ1679" s="7"/>
      <c r="AR1679" s="20"/>
      <c r="AS1679" s="51"/>
    </row>
    <row r="1680" spans="1:45" ht="30" customHeight="1" x14ac:dyDescent="0.2">
      <c r="A1680" s="2">
        <v>1439</v>
      </c>
      <c r="B1680" s="13">
        <v>2</v>
      </c>
      <c r="C1680" s="16" t="s">
        <v>69</v>
      </c>
      <c r="E1680" s="17">
        <v>2328</v>
      </c>
      <c r="F1680" s="17">
        <v>9</v>
      </c>
      <c r="G1680" s="13">
        <v>1</v>
      </c>
      <c r="H1680" s="17">
        <v>7</v>
      </c>
      <c r="I1680" s="17">
        <v>2</v>
      </c>
      <c r="J1680" s="17">
        <v>21</v>
      </c>
      <c r="K1680" s="10">
        <v>3021</v>
      </c>
      <c r="P1680" s="17">
        <v>1</v>
      </c>
      <c r="Q1680" s="20">
        <f t="shared" si="307"/>
        <v>3021</v>
      </c>
      <c r="R1680" s="14">
        <v>160</v>
      </c>
      <c r="S1680" s="20">
        <f t="shared" si="308"/>
        <v>483360</v>
      </c>
      <c r="AG1680" s="22">
        <f t="shared" si="309"/>
        <v>0</v>
      </c>
      <c r="AJ1680" s="20">
        <f t="shared" si="306"/>
        <v>0</v>
      </c>
      <c r="AM1680" s="20">
        <f t="shared" si="303"/>
        <v>0</v>
      </c>
      <c r="AN1680" s="20">
        <f t="shared" si="312"/>
        <v>483360</v>
      </c>
      <c r="AP1680" s="20">
        <f t="shared" si="311"/>
        <v>483360</v>
      </c>
      <c r="AQ1680" s="12">
        <v>1E-4</v>
      </c>
      <c r="AR1680" s="20"/>
    </row>
    <row r="1681" spans="1:48" s="21" customFormat="1" ht="30" customHeight="1" x14ac:dyDescent="0.2">
      <c r="A1681" s="131">
        <v>1440</v>
      </c>
      <c r="B1681" s="46">
        <v>1</v>
      </c>
      <c r="C1681" s="16" t="s">
        <v>52</v>
      </c>
      <c r="D1681" s="48">
        <v>1079</v>
      </c>
      <c r="E1681" s="47">
        <v>66</v>
      </c>
      <c r="F1681" s="48">
        <v>695</v>
      </c>
      <c r="G1681" s="49">
        <v>1</v>
      </c>
      <c r="H1681" s="48">
        <v>1</v>
      </c>
      <c r="I1681" s="48">
        <v>3</v>
      </c>
      <c r="J1681" s="48">
        <v>50</v>
      </c>
      <c r="K1681" s="3"/>
      <c r="L1681" s="16">
        <v>750</v>
      </c>
      <c r="M1681" s="57"/>
      <c r="N1681" s="58"/>
      <c r="P1681" s="16">
        <v>2</v>
      </c>
      <c r="Q1681" s="20">
        <f t="shared" si="307"/>
        <v>750</v>
      </c>
      <c r="R1681" s="14">
        <v>200</v>
      </c>
      <c r="S1681" s="19">
        <f t="shared" si="308"/>
        <v>150000</v>
      </c>
      <c r="T1681" s="16">
        <v>1</v>
      </c>
      <c r="U1681" s="16" t="s">
        <v>57</v>
      </c>
      <c r="V1681" s="16" t="s">
        <v>56</v>
      </c>
      <c r="W1681" s="5"/>
      <c r="X1681" s="16"/>
      <c r="Y1681" s="5">
        <v>138</v>
      </c>
      <c r="Z1681" s="16"/>
      <c r="AA1681" s="16"/>
      <c r="AB1681" s="16">
        <f>62-34</f>
        <v>28</v>
      </c>
      <c r="AC1681" s="14"/>
      <c r="AD1681" s="14"/>
      <c r="AE1681" s="16"/>
      <c r="AG1681" s="22">
        <f t="shared" si="309"/>
        <v>138</v>
      </c>
      <c r="AH1681" s="6"/>
      <c r="AJ1681" s="20">
        <f t="shared" si="306"/>
        <v>0</v>
      </c>
      <c r="AK1681" s="50">
        <v>28</v>
      </c>
      <c r="AL1681" s="6"/>
      <c r="AM1681" s="20">
        <f t="shared" si="303"/>
        <v>0</v>
      </c>
      <c r="AN1681" s="20">
        <f t="shared" si="312"/>
        <v>150000</v>
      </c>
      <c r="AP1681" s="20">
        <f t="shared" si="311"/>
        <v>150000</v>
      </c>
      <c r="AQ1681" s="7"/>
      <c r="AR1681" s="60"/>
      <c r="AS1681" s="128">
        <v>71</v>
      </c>
    </row>
    <row r="1682" spans="1:48" s="21" customFormat="1" ht="30" customHeight="1" x14ac:dyDescent="0.2">
      <c r="A1682" s="131"/>
      <c r="B1682" s="46"/>
      <c r="C1682" s="16"/>
      <c r="D1682" s="48"/>
      <c r="E1682" s="47"/>
      <c r="F1682" s="48"/>
      <c r="G1682" s="49"/>
      <c r="H1682" s="48"/>
      <c r="I1682" s="48"/>
      <c r="J1682" s="48"/>
      <c r="K1682" s="3"/>
      <c r="L1682" s="16"/>
      <c r="M1682" s="57"/>
      <c r="N1682" s="58"/>
      <c r="P1682" s="16"/>
      <c r="Q1682" s="20">
        <f t="shared" si="307"/>
        <v>0</v>
      </c>
      <c r="R1682" s="14" t="e">
        <v>#N/A</v>
      </c>
      <c r="S1682" s="19" t="e">
        <f t="shared" si="308"/>
        <v>#N/A</v>
      </c>
      <c r="T1682" s="16">
        <v>2</v>
      </c>
      <c r="U1682" s="16" t="s">
        <v>57</v>
      </c>
      <c r="V1682" s="16" t="s">
        <v>56</v>
      </c>
      <c r="W1682" s="5"/>
      <c r="X1682" s="16"/>
      <c r="Y1682" s="5">
        <v>75</v>
      </c>
      <c r="Z1682" s="16"/>
      <c r="AA1682" s="16"/>
      <c r="AB1682" s="16">
        <f>62-55</f>
        <v>7</v>
      </c>
      <c r="AC1682" s="14"/>
      <c r="AD1682" s="14"/>
      <c r="AE1682" s="16"/>
      <c r="AG1682" s="22">
        <f t="shared" si="309"/>
        <v>75</v>
      </c>
      <c r="AH1682" s="6"/>
      <c r="AJ1682" s="20">
        <f t="shared" si="306"/>
        <v>0</v>
      </c>
      <c r="AK1682" s="50">
        <v>7</v>
      </c>
      <c r="AL1682" s="6"/>
      <c r="AM1682" s="20">
        <f t="shared" si="303"/>
        <v>0</v>
      </c>
      <c r="AN1682" s="20" t="e">
        <f t="shared" si="312"/>
        <v>#N/A</v>
      </c>
      <c r="AP1682" s="20" t="e">
        <f t="shared" si="311"/>
        <v>#N/A</v>
      </c>
      <c r="AQ1682" s="7"/>
      <c r="AR1682" s="24"/>
      <c r="AS1682" s="129"/>
    </row>
    <row r="1683" spans="1:48" s="21" customFormat="1" ht="30" customHeight="1" x14ac:dyDescent="0.2">
      <c r="A1683" s="8">
        <v>1441</v>
      </c>
      <c r="B1683" s="46">
        <v>2</v>
      </c>
      <c r="C1683" s="16" t="s">
        <v>52</v>
      </c>
      <c r="D1683" s="48">
        <v>29489</v>
      </c>
      <c r="E1683" s="47">
        <v>108</v>
      </c>
      <c r="F1683" s="48">
        <v>5610</v>
      </c>
      <c r="G1683" s="49">
        <v>1</v>
      </c>
      <c r="H1683" s="48">
        <v>3</v>
      </c>
      <c r="I1683" s="48">
        <v>1</v>
      </c>
      <c r="J1683" s="48">
        <v>91</v>
      </c>
      <c r="K1683" s="3">
        <v>1391</v>
      </c>
      <c r="L1683" s="16"/>
      <c r="M1683" s="57"/>
      <c r="N1683" s="58"/>
      <c r="P1683" s="16">
        <v>1</v>
      </c>
      <c r="Q1683" s="20">
        <f t="shared" si="307"/>
        <v>1391</v>
      </c>
      <c r="R1683" s="14">
        <v>200</v>
      </c>
      <c r="S1683" s="20">
        <f t="shared" si="308"/>
        <v>278200</v>
      </c>
      <c r="T1683" s="16"/>
      <c r="U1683" s="17"/>
      <c r="V1683" s="16"/>
      <c r="W1683" s="5"/>
      <c r="X1683" s="16"/>
      <c r="Y1683" s="5"/>
      <c r="Z1683" s="16"/>
      <c r="AA1683" s="16"/>
      <c r="AB1683" s="16"/>
      <c r="AC1683" s="14"/>
      <c r="AD1683" s="14"/>
      <c r="AE1683" s="16"/>
      <c r="AG1683" s="22">
        <f t="shared" si="309"/>
        <v>0</v>
      </c>
      <c r="AH1683" s="6"/>
      <c r="AJ1683" s="20">
        <f t="shared" si="306"/>
        <v>0</v>
      </c>
      <c r="AK1683" s="50"/>
      <c r="AL1683" s="6"/>
      <c r="AM1683" s="20">
        <f t="shared" si="303"/>
        <v>0</v>
      </c>
      <c r="AN1683" s="20">
        <f t="shared" si="312"/>
        <v>278200</v>
      </c>
      <c r="AP1683" s="20">
        <f t="shared" si="311"/>
        <v>278200</v>
      </c>
      <c r="AQ1683" s="7"/>
      <c r="AR1683" s="24"/>
      <c r="AS1683" s="129"/>
    </row>
    <row r="1684" spans="1:48" ht="30" customHeight="1" x14ac:dyDescent="0.2">
      <c r="A1684" s="2">
        <v>1442</v>
      </c>
      <c r="B1684" s="13">
        <v>3</v>
      </c>
      <c r="C1684" s="16" t="s">
        <v>69</v>
      </c>
      <c r="E1684" s="17">
        <v>2328</v>
      </c>
      <c r="F1684" s="17">
        <v>10</v>
      </c>
      <c r="G1684" s="13">
        <v>1</v>
      </c>
      <c r="H1684" s="17">
        <v>15</v>
      </c>
      <c r="I1684" s="17">
        <v>2</v>
      </c>
      <c r="J1684" s="17">
        <v>27</v>
      </c>
      <c r="K1684" s="10">
        <v>6227</v>
      </c>
      <c r="P1684" s="17">
        <v>1</v>
      </c>
      <c r="Q1684" s="20">
        <f t="shared" si="307"/>
        <v>6227</v>
      </c>
      <c r="R1684" s="14">
        <v>160</v>
      </c>
      <c r="S1684" s="19">
        <f t="shared" si="308"/>
        <v>996320</v>
      </c>
      <c r="AG1684" s="22">
        <f t="shared" si="309"/>
        <v>0</v>
      </c>
      <c r="AJ1684" s="20">
        <f t="shared" si="306"/>
        <v>0</v>
      </c>
      <c r="AM1684" s="20">
        <f t="shared" si="303"/>
        <v>0</v>
      </c>
      <c r="AN1684" s="20">
        <f t="shared" si="312"/>
        <v>996320</v>
      </c>
      <c r="AP1684" s="20">
        <f t="shared" si="311"/>
        <v>996320</v>
      </c>
      <c r="AQ1684" s="12">
        <v>1E-4</v>
      </c>
      <c r="AR1684" s="24"/>
      <c r="AS1684" s="129"/>
    </row>
    <row r="1685" spans="1:48" ht="30" customHeight="1" x14ac:dyDescent="0.2">
      <c r="A1685" s="8">
        <v>1443</v>
      </c>
      <c r="B1685" s="13">
        <v>4</v>
      </c>
      <c r="C1685" s="16" t="s">
        <v>65</v>
      </c>
      <c r="D1685" s="17">
        <v>3597</v>
      </c>
      <c r="E1685" s="17">
        <v>172</v>
      </c>
      <c r="H1685" s="17">
        <v>3</v>
      </c>
      <c r="I1685" s="17">
        <v>1</v>
      </c>
      <c r="J1685" s="17">
        <v>96</v>
      </c>
      <c r="K1685" s="10">
        <v>1396</v>
      </c>
      <c r="P1685" s="17">
        <v>1</v>
      </c>
      <c r="Q1685" s="20">
        <f t="shared" si="307"/>
        <v>1396</v>
      </c>
      <c r="R1685" s="14">
        <v>200</v>
      </c>
      <c r="S1685" s="19">
        <f t="shared" si="308"/>
        <v>279200</v>
      </c>
      <c r="AG1685" s="22">
        <f t="shared" si="309"/>
        <v>0</v>
      </c>
      <c r="AJ1685" s="20">
        <f t="shared" si="306"/>
        <v>0</v>
      </c>
      <c r="AM1685" s="20">
        <f t="shared" si="303"/>
        <v>0</v>
      </c>
      <c r="AN1685" s="20">
        <f t="shared" si="312"/>
        <v>279200</v>
      </c>
      <c r="AP1685" s="20">
        <f t="shared" si="311"/>
        <v>279200</v>
      </c>
      <c r="AQ1685" s="12">
        <v>1E-4</v>
      </c>
      <c r="AR1685" s="25"/>
      <c r="AS1685" s="130"/>
    </row>
    <row r="1686" spans="1:48" ht="30" customHeight="1" x14ac:dyDescent="0.2">
      <c r="A1686" s="2">
        <v>1444</v>
      </c>
      <c r="B1686" s="46">
        <v>1</v>
      </c>
      <c r="C1686" s="16" t="s">
        <v>52</v>
      </c>
      <c r="D1686" s="48">
        <v>1076</v>
      </c>
      <c r="E1686" s="47">
        <v>63</v>
      </c>
      <c r="F1686" s="48">
        <v>692</v>
      </c>
      <c r="G1686" s="49">
        <v>1</v>
      </c>
      <c r="H1686" s="48">
        <v>1</v>
      </c>
      <c r="I1686" s="48">
        <v>1</v>
      </c>
      <c r="J1686" s="48">
        <v>49</v>
      </c>
      <c r="K1686" s="28">
        <v>549</v>
      </c>
      <c r="M1686" s="103"/>
      <c r="P1686" s="21">
        <v>1</v>
      </c>
      <c r="Q1686" s="20">
        <f t="shared" si="307"/>
        <v>549</v>
      </c>
      <c r="R1686" s="14">
        <v>200</v>
      </c>
      <c r="S1686" s="19">
        <f t="shared" si="308"/>
        <v>109800</v>
      </c>
      <c r="Y1686" s="67"/>
      <c r="AC1686" s="21"/>
      <c r="AD1686" s="17"/>
      <c r="AE1686" s="14"/>
      <c r="AF1686" s="21"/>
      <c r="AG1686" s="22"/>
      <c r="AH1686" s="21"/>
      <c r="AI1686" s="21"/>
      <c r="AJ1686" s="20">
        <f t="shared" si="306"/>
        <v>0</v>
      </c>
      <c r="AK1686" s="50">
        <f>AB1686</f>
        <v>0</v>
      </c>
      <c r="AL1686" s="6"/>
      <c r="AM1686" s="20">
        <f t="shared" si="303"/>
        <v>0</v>
      </c>
      <c r="AN1686" s="20">
        <f t="shared" si="312"/>
        <v>109800</v>
      </c>
      <c r="AO1686" s="21"/>
      <c r="AP1686" s="20">
        <f t="shared" si="311"/>
        <v>109800</v>
      </c>
      <c r="AQ1686" s="7"/>
      <c r="AR1686" s="60"/>
      <c r="AS1686" s="123">
        <v>8</v>
      </c>
      <c r="AT1686" s="21"/>
      <c r="AU1686" s="21"/>
      <c r="AV1686" s="21"/>
    </row>
    <row r="1687" spans="1:48" ht="30" customHeight="1" x14ac:dyDescent="0.2">
      <c r="A1687" s="2">
        <v>1445</v>
      </c>
      <c r="B1687" s="13">
        <v>2</v>
      </c>
      <c r="C1687" s="16" t="s">
        <v>69</v>
      </c>
      <c r="E1687" s="17">
        <v>2328</v>
      </c>
      <c r="F1687" s="17">
        <v>8</v>
      </c>
      <c r="G1687" s="13">
        <v>1</v>
      </c>
      <c r="H1687" s="17">
        <v>10</v>
      </c>
      <c r="I1687" s="17">
        <v>1</v>
      </c>
      <c r="J1687" s="17">
        <v>46</v>
      </c>
      <c r="K1687" s="10">
        <v>4146</v>
      </c>
      <c r="P1687" s="17">
        <v>1</v>
      </c>
      <c r="Q1687" s="20">
        <f t="shared" si="307"/>
        <v>4146</v>
      </c>
      <c r="R1687" s="14">
        <v>160</v>
      </c>
      <c r="S1687" s="20">
        <f t="shared" si="308"/>
        <v>663360</v>
      </c>
      <c r="AG1687" s="22">
        <f t="shared" ref="AG1687:AG1750" si="313">Y1687</f>
        <v>0</v>
      </c>
      <c r="AJ1687" s="20">
        <f t="shared" si="306"/>
        <v>0</v>
      </c>
      <c r="AM1687" s="20">
        <f t="shared" si="303"/>
        <v>0</v>
      </c>
      <c r="AN1687" s="20">
        <f t="shared" si="312"/>
        <v>663360</v>
      </c>
      <c r="AP1687" s="20">
        <f t="shared" si="311"/>
        <v>663360</v>
      </c>
      <c r="AQ1687" s="12">
        <v>1E-4</v>
      </c>
      <c r="AR1687" s="25"/>
      <c r="AS1687" s="125"/>
    </row>
    <row r="1688" spans="1:48" ht="30" customHeight="1" x14ac:dyDescent="0.2">
      <c r="A1688" s="8">
        <v>1446</v>
      </c>
      <c r="B1688" s="13">
        <v>1</v>
      </c>
      <c r="C1688" s="16" t="s">
        <v>69</v>
      </c>
      <c r="E1688" s="17">
        <v>2328</v>
      </c>
      <c r="F1688" s="17">
        <v>19</v>
      </c>
      <c r="G1688" s="13">
        <v>1</v>
      </c>
      <c r="H1688" s="17">
        <v>8</v>
      </c>
      <c r="I1688" s="17">
        <v>3</v>
      </c>
      <c r="J1688" s="17">
        <v>91</v>
      </c>
      <c r="K1688" s="10">
        <v>3591</v>
      </c>
      <c r="P1688" s="17">
        <v>1</v>
      </c>
      <c r="Q1688" s="20">
        <f t="shared" si="307"/>
        <v>3591</v>
      </c>
      <c r="R1688" s="14">
        <v>200</v>
      </c>
      <c r="S1688" s="19">
        <f t="shared" si="308"/>
        <v>718200</v>
      </c>
      <c r="AG1688" s="22">
        <f t="shared" si="313"/>
        <v>0</v>
      </c>
      <c r="AJ1688" s="20">
        <f t="shared" si="306"/>
        <v>0</v>
      </c>
      <c r="AM1688" s="20">
        <f t="shared" si="303"/>
        <v>0</v>
      </c>
      <c r="AN1688" s="20">
        <f t="shared" si="312"/>
        <v>718200</v>
      </c>
      <c r="AP1688" s="20">
        <f t="shared" si="311"/>
        <v>718200</v>
      </c>
      <c r="AQ1688" s="12">
        <v>1E-4</v>
      </c>
      <c r="AR1688" s="20"/>
      <c r="AS1688" s="26">
        <v>1</v>
      </c>
    </row>
    <row r="1689" spans="1:48" s="21" customFormat="1" ht="30" customHeight="1" x14ac:dyDescent="0.2">
      <c r="A1689" s="2">
        <v>1447</v>
      </c>
      <c r="B1689" s="46">
        <v>1</v>
      </c>
      <c r="C1689" s="16" t="s">
        <v>52</v>
      </c>
      <c r="D1689" s="48">
        <v>1071</v>
      </c>
      <c r="E1689" s="47">
        <v>58</v>
      </c>
      <c r="F1689" s="48">
        <v>687</v>
      </c>
      <c r="G1689" s="49">
        <v>1</v>
      </c>
      <c r="H1689" s="48">
        <v>5</v>
      </c>
      <c r="I1689" s="48">
        <v>2</v>
      </c>
      <c r="J1689" s="48">
        <v>82</v>
      </c>
      <c r="K1689" s="3">
        <v>2282</v>
      </c>
      <c r="L1689" s="16"/>
      <c r="M1689" s="57"/>
      <c r="N1689" s="58"/>
      <c r="P1689" s="16">
        <v>1</v>
      </c>
      <c r="Q1689" s="20">
        <f t="shared" si="307"/>
        <v>2282</v>
      </c>
      <c r="R1689" s="14">
        <v>160</v>
      </c>
      <c r="S1689" s="19">
        <f t="shared" si="308"/>
        <v>365120</v>
      </c>
      <c r="T1689" s="16"/>
      <c r="U1689" s="17"/>
      <c r="V1689" s="17"/>
      <c r="W1689" s="4"/>
      <c r="X1689" s="16"/>
      <c r="Y1689" s="5"/>
      <c r="Z1689" s="16"/>
      <c r="AA1689" s="16"/>
      <c r="AB1689" s="16"/>
      <c r="AC1689" s="14"/>
      <c r="AD1689" s="14"/>
      <c r="AE1689" s="16"/>
      <c r="AG1689" s="22">
        <f t="shared" si="313"/>
        <v>0</v>
      </c>
      <c r="AH1689" s="6"/>
      <c r="AJ1689" s="20">
        <f t="shared" si="306"/>
        <v>0</v>
      </c>
      <c r="AK1689" s="50"/>
      <c r="AL1689" s="6"/>
      <c r="AM1689" s="20">
        <f t="shared" ref="AM1689:AM1752" si="314">+AJ1689-(AL1689*AJ1689)</f>
        <v>0</v>
      </c>
      <c r="AN1689" s="20">
        <f t="shared" si="312"/>
        <v>365120</v>
      </c>
      <c r="AP1689" s="20">
        <f t="shared" si="311"/>
        <v>365120</v>
      </c>
      <c r="AQ1689" s="7"/>
      <c r="AR1689" s="60"/>
      <c r="AS1689" s="128">
        <v>34</v>
      </c>
    </row>
    <row r="1690" spans="1:48" s="21" customFormat="1" ht="30" customHeight="1" x14ac:dyDescent="0.2">
      <c r="A1690" s="8">
        <v>1448</v>
      </c>
      <c r="B1690" s="46">
        <v>2</v>
      </c>
      <c r="C1690" s="16" t="s">
        <v>52</v>
      </c>
      <c r="D1690" s="48">
        <v>1073</v>
      </c>
      <c r="E1690" s="47">
        <v>61</v>
      </c>
      <c r="F1690" s="48">
        <v>689</v>
      </c>
      <c r="G1690" s="49">
        <v>1</v>
      </c>
      <c r="H1690" s="48">
        <v>2</v>
      </c>
      <c r="I1690" s="48">
        <v>1</v>
      </c>
      <c r="J1690" s="48">
        <v>90</v>
      </c>
      <c r="K1690" s="3">
        <v>990</v>
      </c>
      <c r="L1690" s="16"/>
      <c r="M1690" s="57"/>
      <c r="N1690" s="58"/>
      <c r="P1690" s="16">
        <v>1</v>
      </c>
      <c r="Q1690" s="20">
        <f t="shared" si="307"/>
        <v>990</v>
      </c>
      <c r="R1690" s="14">
        <v>200</v>
      </c>
      <c r="S1690" s="20">
        <f t="shared" si="308"/>
        <v>198000</v>
      </c>
      <c r="T1690" s="16"/>
      <c r="U1690" s="17"/>
      <c r="V1690" s="17"/>
      <c r="W1690" s="4"/>
      <c r="X1690" s="16"/>
      <c r="Y1690" s="5"/>
      <c r="Z1690" s="16"/>
      <c r="AA1690" s="16"/>
      <c r="AB1690" s="16"/>
      <c r="AE1690" s="16"/>
      <c r="AG1690" s="22">
        <f t="shared" si="313"/>
        <v>0</v>
      </c>
      <c r="AH1690" s="6"/>
      <c r="AJ1690" s="20">
        <f t="shared" si="306"/>
        <v>0</v>
      </c>
      <c r="AK1690" s="50"/>
      <c r="AL1690" s="6"/>
      <c r="AM1690" s="20">
        <f t="shared" si="314"/>
        <v>0</v>
      </c>
      <c r="AN1690" s="20">
        <f t="shared" si="312"/>
        <v>198000</v>
      </c>
      <c r="AP1690" s="20">
        <f t="shared" si="311"/>
        <v>198000</v>
      </c>
      <c r="AQ1690" s="7"/>
      <c r="AR1690" s="24"/>
      <c r="AS1690" s="129"/>
    </row>
    <row r="1691" spans="1:48" s="21" customFormat="1" ht="30" customHeight="1" x14ac:dyDescent="0.2">
      <c r="A1691" s="2">
        <v>1449</v>
      </c>
      <c r="B1691" s="46">
        <v>3</v>
      </c>
      <c r="C1691" s="16" t="s">
        <v>52</v>
      </c>
      <c r="D1691" s="48">
        <v>1081</v>
      </c>
      <c r="E1691" s="47">
        <v>68</v>
      </c>
      <c r="F1691" s="48">
        <v>697</v>
      </c>
      <c r="G1691" s="49">
        <v>1</v>
      </c>
      <c r="H1691" s="48">
        <v>1</v>
      </c>
      <c r="I1691" s="48">
        <v>2</v>
      </c>
      <c r="J1691" s="48">
        <v>42</v>
      </c>
      <c r="K1691" s="3"/>
      <c r="L1691" s="16">
        <v>642</v>
      </c>
      <c r="M1691" s="57"/>
      <c r="N1691" s="58"/>
      <c r="P1691" s="16">
        <v>2</v>
      </c>
      <c r="Q1691" s="20">
        <f t="shared" si="307"/>
        <v>642</v>
      </c>
      <c r="R1691" s="14">
        <v>200</v>
      </c>
      <c r="S1691" s="19">
        <f t="shared" si="308"/>
        <v>128400</v>
      </c>
      <c r="T1691" s="16"/>
      <c r="U1691" s="17" t="s">
        <v>57</v>
      </c>
      <c r="V1691" s="17" t="s">
        <v>56</v>
      </c>
      <c r="W1691" s="4"/>
      <c r="X1691" s="16"/>
      <c r="Y1691" s="5">
        <v>60</v>
      </c>
      <c r="Z1691" s="16"/>
      <c r="AA1691" s="16"/>
      <c r="AB1691" s="16">
        <f>62-42</f>
        <v>20</v>
      </c>
      <c r="AE1691" s="16"/>
      <c r="AG1691" s="22">
        <f t="shared" si="313"/>
        <v>60</v>
      </c>
      <c r="AH1691" s="6"/>
      <c r="AJ1691" s="20">
        <f t="shared" si="306"/>
        <v>0</v>
      </c>
      <c r="AK1691" s="50">
        <v>20</v>
      </c>
      <c r="AL1691" s="6"/>
      <c r="AM1691" s="20">
        <f t="shared" si="314"/>
        <v>0</v>
      </c>
      <c r="AN1691" s="20">
        <f t="shared" si="312"/>
        <v>128400</v>
      </c>
      <c r="AP1691" s="20">
        <f t="shared" si="311"/>
        <v>128400</v>
      </c>
      <c r="AQ1691" s="7"/>
      <c r="AR1691" s="24"/>
      <c r="AS1691" s="129"/>
    </row>
    <row r="1692" spans="1:48" ht="30" customHeight="1" x14ac:dyDescent="0.2">
      <c r="A1692" s="8">
        <v>1450</v>
      </c>
      <c r="B1692" s="13">
        <v>4</v>
      </c>
      <c r="C1692" s="16" t="s">
        <v>69</v>
      </c>
      <c r="E1692" s="17">
        <v>2328</v>
      </c>
      <c r="F1692" s="17">
        <v>20</v>
      </c>
      <c r="G1692" s="13">
        <v>1</v>
      </c>
      <c r="H1692" s="17">
        <v>7</v>
      </c>
      <c r="I1692" s="17">
        <v>3</v>
      </c>
      <c r="J1692" s="17">
        <v>39</v>
      </c>
      <c r="K1692" s="10">
        <v>3139</v>
      </c>
      <c r="P1692" s="17">
        <v>1</v>
      </c>
      <c r="Q1692" s="20">
        <f t="shared" si="307"/>
        <v>3139</v>
      </c>
      <c r="R1692" s="14">
        <v>200</v>
      </c>
      <c r="S1692" s="19">
        <f t="shared" si="308"/>
        <v>627800</v>
      </c>
      <c r="AG1692" s="22">
        <f t="shared" si="313"/>
        <v>0</v>
      </c>
      <c r="AJ1692" s="20">
        <f t="shared" si="306"/>
        <v>0</v>
      </c>
      <c r="AM1692" s="20">
        <f t="shared" si="314"/>
        <v>0</v>
      </c>
      <c r="AN1692" s="20">
        <f t="shared" si="312"/>
        <v>627800</v>
      </c>
      <c r="AP1692" s="20">
        <f t="shared" si="311"/>
        <v>627800</v>
      </c>
      <c r="AQ1692" s="12">
        <v>1E-4</v>
      </c>
      <c r="AR1692" s="25"/>
      <c r="AS1692" s="130"/>
    </row>
    <row r="1693" spans="1:48" s="21" customFormat="1" ht="30" customHeight="1" x14ac:dyDescent="0.2">
      <c r="A1693" s="2">
        <v>1451</v>
      </c>
      <c r="B1693" s="46">
        <v>1</v>
      </c>
      <c r="C1693" s="16" t="s">
        <v>52</v>
      </c>
      <c r="D1693" s="48">
        <v>4660</v>
      </c>
      <c r="E1693" s="47">
        <v>47</v>
      </c>
      <c r="F1693" s="48">
        <v>2486</v>
      </c>
      <c r="G1693" s="49">
        <v>1</v>
      </c>
      <c r="H1693" s="48">
        <v>3</v>
      </c>
      <c r="I1693" s="48">
        <v>3</v>
      </c>
      <c r="J1693" s="48">
        <v>20</v>
      </c>
      <c r="K1693" s="3">
        <f>1200+320</f>
        <v>1520</v>
      </c>
      <c r="L1693" s="16"/>
      <c r="M1693" s="57"/>
      <c r="N1693" s="58"/>
      <c r="P1693" s="16">
        <v>1</v>
      </c>
      <c r="Q1693" s="20">
        <f t="shared" si="307"/>
        <v>1520</v>
      </c>
      <c r="R1693" s="14">
        <v>200</v>
      </c>
      <c r="S1693" s="20">
        <f t="shared" si="308"/>
        <v>304000</v>
      </c>
      <c r="T1693" s="16"/>
      <c r="U1693" s="17"/>
      <c r="V1693" s="17"/>
      <c r="W1693" s="4"/>
      <c r="X1693" s="16"/>
      <c r="Y1693" s="5"/>
      <c r="Z1693" s="16"/>
      <c r="AA1693" s="16"/>
      <c r="AB1693" s="16"/>
      <c r="AE1693" s="16"/>
      <c r="AG1693" s="22">
        <f t="shared" si="313"/>
        <v>0</v>
      </c>
      <c r="AH1693" s="6"/>
      <c r="AJ1693" s="20">
        <f t="shared" si="306"/>
        <v>0</v>
      </c>
      <c r="AK1693" s="50"/>
      <c r="AL1693" s="6"/>
      <c r="AM1693" s="20">
        <f t="shared" si="314"/>
        <v>0</v>
      </c>
      <c r="AN1693" s="20">
        <f t="shared" si="312"/>
        <v>304000</v>
      </c>
      <c r="AP1693" s="20">
        <f t="shared" si="311"/>
        <v>304000</v>
      </c>
      <c r="AQ1693" s="7"/>
      <c r="AR1693" s="20"/>
      <c r="AS1693" s="51"/>
    </row>
    <row r="1694" spans="1:48" s="21" customFormat="1" ht="30" customHeight="1" x14ac:dyDescent="0.2">
      <c r="A1694" s="8">
        <v>1452</v>
      </c>
      <c r="B1694" s="46">
        <v>2</v>
      </c>
      <c r="C1694" s="16" t="s">
        <v>52</v>
      </c>
      <c r="D1694" s="48">
        <v>29233</v>
      </c>
      <c r="E1694" s="47">
        <v>121</v>
      </c>
      <c r="F1694" s="48">
        <v>5428</v>
      </c>
      <c r="G1694" s="49">
        <v>1</v>
      </c>
      <c r="H1694" s="48">
        <v>0</v>
      </c>
      <c r="I1694" s="48">
        <v>0</v>
      </c>
      <c r="J1694" s="48">
        <v>78</v>
      </c>
      <c r="K1694" s="3">
        <v>78</v>
      </c>
      <c r="L1694" s="16"/>
      <c r="M1694" s="57"/>
      <c r="N1694" s="58"/>
      <c r="P1694" s="16">
        <v>1</v>
      </c>
      <c r="Q1694" s="20">
        <f t="shared" si="307"/>
        <v>78</v>
      </c>
      <c r="R1694" s="14">
        <v>250</v>
      </c>
      <c r="S1694" s="19">
        <f t="shared" si="308"/>
        <v>19500</v>
      </c>
      <c r="T1694" s="16"/>
      <c r="U1694" s="17"/>
      <c r="V1694" s="17"/>
      <c r="W1694" s="4"/>
      <c r="X1694" s="16"/>
      <c r="Y1694" s="5"/>
      <c r="Z1694" s="16"/>
      <c r="AA1694" s="16"/>
      <c r="AB1694" s="16"/>
      <c r="AE1694" s="16"/>
      <c r="AG1694" s="22">
        <f t="shared" si="313"/>
        <v>0</v>
      </c>
      <c r="AH1694" s="6"/>
      <c r="AJ1694" s="20">
        <f t="shared" si="306"/>
        <v>0</v>
      </c>
      <c r="AK1694" s="50"/>
      <c r="AL1694" s="6"/>
      <c r="AM1694" s="20">
        <f t="shared" si="314"/>
        <v>0</v>
      </c>
      <c r="AN1694" s="20">
        <f t="shared" si="312"/>
        <v>19500</v>
      </c>
      <c r="AP1694" s="20">
        <f t="shared" si="311"/>
        <v>19500</v>
      </c>
      <c r="AQ1694" s="7"/>
      <c r="AR1694" s="20"/>
      <c r="AS1694" s="51"/>
    </row>
    <row r="1695" spans="1:48" s="21" customFormat="1" ht="30" customHeight="1" x14ac:dyDescent="0.2">
      <c r="A1695" s="2">
        <v>1453</v>
      </c>
      <c r="B1695" s="46">
        <v>3</v>
      </c>
      <c r="C1695" s="16" t="s">
        <v>52</v>
      </c>
      <c r="D1695" s="48">
        <v>29234</v>
      </c>
      <c r="E1695" s="47">
        <v>122</v>
      </c>
      <c r="F1695" s="48">
        <v>5429</v>
      </c>
      <c r="G1695" s="49">
        <v>1</v>
      </c>
      <c r="H1695" s="48">
        <v>0</v>
      </c>
      <c r="I1695" s="48">
        <v>0</v>
      </c>
      <c r="J1695" s="48">
        <v>74</v>
      </c>
      <c r="K1695" s="3">
        <v>74</v>
      </c>
      <c r="L1695" s="16"/>
      <c r="M1695" s="57"/>
      <c r="N1695" s="58"/>
      <c r="P1695" s="16">
        <v>1</v>
      </c>
      <c r="Q1695" s="20">
        <f t="shared" si="307"/>
        <v>74</v>
      </c>
      <c r="R1695" s="14">
        <v>250</v>
      </c>
      <c r="S1695" s="19">
        <f t="shared" si="308"/>
        <v>18500</v>
      </c>
      <c r="T1695" s="16"/>
      <c r="U1695" s="16"/>
      <c r="V1695" s="16"/>
      <c r="W1695" s="5"/>
      <c r="X1695" s="16"/>
      <c r="Y1695" s="5"/>
      <c r="Z1695" s="16"/>
      <c r="AA1695" s="16"/>
      <c r="AB1695" s="16"/>
      <c r="AE1695" s="16"/>
      <c r="AG1695" s="22">
        <f t="shared" si="313"/>
        <v>0</v>
      </c>
      <c r="AH1695" s="6"/>
      <c r="AJ1695" s="20">
        <f t="shared" si="306"/>
        <v>0</v>
      </c>
      <c r="AK1695" s="50"/>
      <c r="AL1695" s="6"/>
      <c r="AM1695" s="20">
        <f t="shared" si="314"/>
        <v>0</v>
      </c>
      <c r="AN1695" s="20">
        <f t="shared" si="312"/>
        <v>18500</v>
      </c>
      <c r="AP1695" s="20">
        <f t="shared" si="311"/>
        <v>18500</v>
      </c>
      <c r="AQ1695" s="7"/>
      <c r="AR1695" s="20"/>
      <c r="AS1695" s="51"/>
    </row>
    <row r="1696" spans="1:48" s="21" customFormat="1" ht="30" customHeight="1" x14ac:dyDescent="0.2">
      <c r="A1696" s="8">
        <v>1454</v>
      </c>
      <c r="B1696" s="46">
        <v>4</v>
      </c>
      <c r="C1696" s="16" t="s">
        <v>52</v>
      </c>
      <c r="D1696" s="48">
        <v>29235</v>
      </c>
      <c r="E1696" s="47">
        <v>123</v>
      </c>
      <c r="F1696" s="48">
        <v>5430</v>
      </c>
      <c r="G1696" s="49">
        <v>1</v>
      </c>
      <c r="H1696" s="48">
        <v>0</v>
      </c>
      <c r="I1696" s="48">
        <v>0</v>
      </c>
      <c r="J1696" s="48">
        <v>74</v>
      </c>
      <c r="K1696" s="3">
        <v>74</v>
      </c>
      <c r="L1696" s="16"/>
      <c r="M1696" s="57"/>
      <c r="N1696" s="58"/>
      <c r="P1696" s="16">
        <v>1</v>
      </c>
      <c r="Q1696" s="20">
        <f t="shared" si="307"/>
        <v>74</v>
      </c>
      <c r="R1696" s="14">
        <v>250</v>
      </c>
      <c r="S1696" s="20">
        <f t="shared" si="308"/>
        <v>18500</v>
      </c>
      <c r="T1696" s="16"/>
      <c r="U1696" s="17"/>
      <c r="V1696" s="16"/>
      <c r="W1696" s="5"/>
      <c r="X1696" s="16"/>
      <c r="Y1696" s="5"/>
      <c r="Z1696" s="16"/>
      <c r="AA1696" s="16"/>
      <c r="AB1696" s="16"/>
      <c r="AE1696" s="16"/>
      <c r="AG1696" s="22">
        <f t="shared" si="313"/>
        <v>0</v>
      </c>
      <c r="AH1696" s="6"/>
      <c r="AJ1696" s="20">
        <f t="shared" si="306"/>
        <v>0</v>
      </c>
      <c r="AK1696" s="50"/>
      <c r="AL1696" s="6"/>
      <c r="AM1696" s="20">
        <f t="shared" si="314"/>
        <v>0</v>
      </c>
      <c r="AN1696" s="20">
        <f t="shared" si="312"/>
        <v>18500</v>
      </c>
      <c r="AP1696" s="20">
        <f t="shared" si="311"/>
        <v>18500</v>
      </c>
      <c r="AQ1696" s="7"/>
      <c r="AR1696" s="20"/>
      <c r="AS1696" s="51"/>
    </row>
    <row r="1697" spans="1:45" s="21" customFormat="1" ht="30" customHeight="1" x14ac:dyDescent="0.2">
      <c r="A1697" s="2">
        <v>1455</v>
      </c>
      <c r="B1697" s="46">
        <v>5</v>
      </c>
      <c r="C1697" s="16" t="s">
        <v>52</v>
      </c>
      <c r="D1697" s="48">
        <v>29236</v>
      </c>
      <c r="E1697" s="47">
        <v>124</v>
      </c>
      <c r="F1697" s="48">
        <v>5431</v>
      </c>
      <c r="G1697" s="49">
        <v>1</v>
      </c>
      <c r="H1697" s="48">
        <v>0</v>
      </c>
      <c r="I1697" s="48">
        <v>0</v>
      </c>
      <c r="J1697" s="48">
        <v>75</v>
      </c>
      <c r="K1697" s="3">
        <v>75</v>
      </c>
      <c r="L1697" s="16"/>
      <c r="M1697" s="57"/>
      <c r="N1697" s="58"/>
      <c r="P1697" s="16">
        <v>1</v>
      </c>
      <c r="Q1697" s="20">
        <f t="shared" si="307"/>
        <v>75</v>
      </c>
      <c r="R1697" s="14">
        <v>250</v>
      </c>
      <c r="S1697" s="19">
        <f t="shared" si="308"/>
        <v>18750</v>
      </c>
      <c r="T1697" s="16"/>
      <c r="U1697" s="17"/>
      <c r="V1697" s="17"/>
      <c r="W1697" s="4"/>
      <c r="X1697" s="16"/>
      <c r="Y1697" s="5"/>
      <c r="Z1697" s="16"/>
      <c r="AA1697" s="16"/>
      <c r="AB1697" s="16"/>
      <c r="AE1697" s="16"/>
      <c r="AG1697" s="22">
        <f t="shared" si="313"/>
        <v>0</v>
      </c>
      <c r="AH1697" s="6"/>
      <c r="AJ1697" s="20">
        <f t="shared" si="306"/>
        <v>0</v>
      </c>
      <c r="AK1697" s="50"/>
      <c r="AL1697" s="6"/>
      <c r="AM1697" s="20">
        <f t="shared" si="314"/>
        <v>0</v>
      </c>
      <c r="AN1697" s="20">
        <f t="shared" si="312"/>
        <v>18750</v>
      </c>
      <c r="AP1697" s="20">
        <f t="shared" si="311"/>
        <v>18750</v>
      </c>
      <c r="AQ1697" s="7"/>
      <c r="AR1697" s="20"/>
      <c r="AS1697" s="51"/>
    </row>
    <row r="1698" spans="1:45" s="21" customFormat="1" ht="30" customHeight="1" x14ac:dyDescent="0.2">
      <c r="A1698" s="8">
        <v>1456</v>
      </c>
      <c r="B1698" s="46">
        <v>6</v>
      </c>
      <c r="C1698" s="16" t="s">
        <v>52</v>
      </c>
      <c r="D1698" s="48">
        <v>29237</v>
      </c>
      <c r="E1698" s="47">
        <v>125</v>
      </c>
      <c r="F1698" s="48">
        <v>5432</v>
      </c>
      <c r="G1698" s="49">
        <v>1</v>
      </c>
      <c r="H1698" s="48">
        <v>0</v>
      </c>
      <c r="I1698" s="48">
        <v>1</v>
      </c>
      <c r="J1698" s="48">
        <v>42</v>
      </c>
      <c r="K1698" s="3"/>
      <c r="L1698" s="16">
        <v>142</v>
      </c>
      <c r="M1698" s="57"/>
      <c r="N1698" s="58"/>
      <c r="P1698" s="16">
        <v>2</v>
      </c>
      <c r="Q1698" s="20">
        <f t="shared" si="307"/>
        <v>142</v>
      </c>
      <c r="R1698" s="14">
        <v>250</v>
      </c>
      <c r="S1698" s="19">
        <f t="shared" si="308"/>
        <v>35500</v>
      </c>
      <c r="T1698" s="16"/>
      <c r="U1698" s="17" t="s">
        <v>57</v>
      </c>
      <c r="V1698" s="17" t="s">
        <v>56</v>
      </c>
      <c r="W1698" s="4"/>
      <c r="X1698" s="16"/>
      <c r="Y1698" s="5">
        <v>104.5</v>
      </c>
      <c r="Z1698" s="16"/>
      <c r="AA1698" s="16"/>
      <c r="AB1698" s="16">
        <f>62-35</f>
        <v>27</v>
      </c>
      <c r="AE1698" s="16"/>
      <c r="AG1698" s="22">
        <f t="shared" si="313"/>
        <v>104.5</v>
      </c>
      <c r="AH1698" s="6"/>
      <c r="AJ1698" s="20">
        <f t="shared" si="306"/>
        <v>0</v>
      </c>
      <c r="AK1698" s="50">
        <v>27</v>
      </c>
      <c r="AL1698" s="6"/>
      <c r="AM1698" s="20">
        <f t="shared" si="314"/>
        <v>0</v>
      </c>
      <c r="AN1698" s="20">
        <f t="shared" si="312"/>
        <v>35500</v>
      </c>
      <c r="AP1698" s="20">
        <f t="shared" si="311"/>
        <v>35500</v>
      </c>
      <c r="AQ1698" s="7"/>
      <c r="AR1698" s="20"/>
      <c r="AS1698" s="51"/>
    </row>
    <row r="1699" spans="1:45" s="21" customFormat="1" ht="30" customHeight="1" x14ac:dyDescent="0.2">
      <c r="A1699" s="2">
        <v>1457</v>
      </c>
      <c r="B1699" s="46">
        <v>7</v>
      </c>
      <c r="C1699" s="16" t="s">
        <v>52</v>
      </c>
      <c r="D1699" s="48">
        <v>29238</v>
      </c>
      <c r="E1699" s="47">
        <v>126</v>
      </c>
      <c r="F1699" s="48">
        <v>5433</v>
      </c>
      <c r="G1699" s="49">
        <v>1</v>
      </c>
      <c r="H1699" s="48">
        <v>0</v>
      </c>
      <c r="I1699" s="48">
        <v>1</v>
      </c>
      <c r="J1699" s="48">
        <v>9</v>
      </c>
      <c r="K1699" s="3">
        <v>109</v>
      </c>
      <c r="L1699" s="16"/>
      <c r="M1699" s="57"/>
      <c r="N1699" s="58"/>
      <c r="P1699" s="16">
        <v>1</v>
      </c>
      <c r="Q1699" s="20">
        <f t="shared" si="307"/>
        <v>109</v>
      </c>
      <c r="R1699" s="14">
        <v>250</v>
      </c>
      <c r="S1699" s="20">
        <f t="shared" si="308"/>
        <v>27250</v>
      </c>
      <c r="T1699" s="16"/>
      <c r="U1699" s="17"/>
      <c r="V1699" s="17"/>
      <c r="W1699" s="4"/>
      <c r="X1699" s="16"/>
      <c r="Y1699" s="5"/>
      <c r="Z1699" s="16"/>
      <c r="AA1699" s="16"/>
      <c r="AB1699" s="16"/>
      <c r="AE1699" s="16"/>
      <c r="AG1699" s="22">
        <f t="shared" si="313"/>
        <v>0</v>
      </c>
      <c r="AH1699" s="6"/>
      <c r="AJ1699" s="20">
        <f t="shared" si="306"/>
        <v>0</v>
      </c>
      <c r="AK1699" s="50"/>
      <c r="AL1699" s="6"/>
      <c r="AM1699" s="20">
        <f t="shared" si="314"/>
        <v>0</v>
      </c>
      <c r="AN1699" s="20">
        <f t="shared" si="312"/>
        <v>27250</v>
      </c>
      <c r="AP1699" s="20">
        <f t="shared" si="311"/>
        <v>27250</v>
      </c>
      <c r="AQ1699" s="7"/>
      <c r="AR1699" s="20"/>
      <c r="AS1699" s="51"/>
    </row>
    <row r="1700" spans="1:45" s="21" customFormat="1" ht="30" customHeight="1" x14ac:dyDescent="0.2">
      <c r="A1700" s="8">
        <v>1458</v>
      </c>
      <c r="B1700" s="46">
        <v>8</v>
      </c>
      <c r="C1700" s="16" t="s">
        <v>52</v>
      </c>
      <c r="D1700" s="48">
        <v>34560</v>
      </c>
      <c r="E1700" s="47">
        <v>152</v>
      </c>
      <c r="F1700" s="48">
        <v>6902</v>
      </c>
      <c r="G1700" s="49">
        <v>1</v>
      </c>
      <c r="H1700" s="48">
        <v>4</v>
      </c>
      <c r="I1700" s="48">
        <v>3</v>
      </c>
      <c r="J1700" s="48">
        <v>86</v>
      </c>
      <c r="K1700" s="3">
        <f>1600+386</f>
        <v>1986</v>
      </c>
      <c r="L1700" s="16"/>
      <c r="M1700" s="57"/>
      <c r="N1700" s="58"/>
      <c r="P1700" s="16">
        <v>1</v>
      </c>
      <c r="Q1700" s="20">
        <f t="shared" si="307"/>
        <v>1986</v>
      </c>
      <c r="R1700" s="14">
        <v>160</v>
      </c>
      <c r="S1700" s="19">
        <f t="shared" si="308"/>
        <v>317760</v>
      </c>
      <c r="T1700" s="16"/>
      <c r="U1700" s="17"/>
      <c r="V1700" s="17"/>
      <c r="W1700" s="4"/>
      <c r="X1700" s="16"/>
      <c r="Y1700" s="5"/>
      <c r="Z1700" s="16"/>
      <c r="AA1700" s="16"/>
      <c r="AB1700" s="16"/>
      <c r="AE1700" s="16"/>
      <c r="AG1700" s="22">
        <f t="shared" si="313"/>
        <v>0</v>
      </c>
      <c r="AH1700" s="6"/>
      <c r="AJ1700" s="20">
        <f t="shared" si="306"/>
        <v>0</v>
      </c>
      <c r="AK1700" s="50"/>
      <c r="AL1700" s="6"/>
      <c r="AM1700" s="20">
        <f t="shared" si="314"/>
        <v>0</v>
      </c>
      <c r="AN1700" s="20">
        <f t="shared" si="312"/>
        <v>317760</v>
      </c>
      <c r="AP1700" s="20">
        <f t="shared" si="311"/>
        <v>317760</v>
      </c>
      <c r="AQ1700" s="7"/>
      <c r="AR1700" s="20"/>
      <c r="AS1700" s="51"/>
    </row>
    <row r="1701" spans="1:45" ht="30" customHeight="1" x14ac:dyDescent="0.2">
      <c r="A1701" s="2">
        <v>1459</v>
      </c>
      <c r="B1701" s="46">
        <v>9</v>
      </c>
      <c r="C1701" s="16" t="s">
        <v>69</v>
      </c>
      <c r="E1701" s="17">
        <v>2328</v>
      </c>
      <c r="F1701" s="17">
        <v>29</v>
      </c>
      <c r="G1701" s="13">
        <v>1</v>
      </c>
      <c r="H1701" s="17">
        <v>5</v>
      </c>
      <c r="I1701" s="17">
        <v>1</v>
      </c>
      <c r="J1701" s="17">
        <v>15</v>
      </c>
      <c r="K1701" s="10">
        <v>2115</v>
      </c>
      <c r="P1701" s="17">
        <v>1</v>
      </c>
      <c r="Q1701" s="20">
        <f t="shared" si="307"/>
        <v>2115</v>
      </c>
      <c r="R1701" s="14">
        <v>200</v>
      </c>
      <c r="S1701" s="19">
        <f t="shared" si="308"/>
        <v>423000</v>
      </c>
      <c r="AG1701" s="22">
        <f t="shared" si="313"/>
        <v>0</v>
      </c>
      <c r="AJ1701" s="20">
        <f t="shared" ref="AJ1701:AJ1764" si="315">+AG1701*AH1701*AI1701</f>
        <v>0</v>
      </c>
      <c r="AM1701" s="20">
        <f t="shared" si="314"/>
        <v>0</v>
      </c>
      <c r="AN1701" s="20">
        <f t="shared" si="312"/>
        <v>423000</v>
      </c>
      <c r="AP1701" s="20">
        <f t="shared" si="311"/>
        <v>423000</v>
      </c>
      <c r="AQ1701" s="12">
        <v>1E-4</v>
      </c>
      <c r="AR1701" s="20"/>
    </row>
    <row r="1702" spans="1:45" s="21" customFormat="1" ht="30" customHeight="1" x14ac:dyDescent="0.2">
      <c r="A1702" s="8">
        <v>1460</v>
      </c>
      <c r="B1702" s="46">
        <v>1</v>
      </c>
      <c r="C1702" s="16" t="s">
        <v>52</v>
      </c>
      <c r="D1702" s="48">
        <v>1074</v>
      </c>
      <c r="E1702" s="47">
        <v>60</v>
      </c>
      <c r="F1702" s="48">
        <v>690</v>
      </c>
      <c r="G1702" s="49">
        <v>1</v>
      </c>
      <c r="H1702" s="48">
        <v>3</v>
      </c>
      <c r="I1702" s="48">
        <v>0</v>
      </c>
      <c r="J1702" s="48">
        <v>84</v>
      </c>
      <c r="K1702" s="3">
        <v>1284</v>
      </c>
      <c r="L1702" s="16"/>
      <c r="M1702" s="57"/>
      <c r="N1702" s="58"/>
      <c r="P1702" s="16">
        <v>1</v>
      </c>
      <c r="Q1702" s="20">
        <f t="shared" ref="Q1702:Q1765" si="316">+(H1702*400)+(I1702*100)+J1702</f>
        <v>1284</v>
      </c>
      <c r="R1702" s="14">
        <v>200</v>
      </c>
      <c r="S1702" s="20">
        <f t="shared" ref="S1702:S1765" si="317">+Q1702*R1702</f>
        <v>256800</v>
      </c>
      <c r="T1702" s="16"/>
      <c r="U1702" s="17"/>
      <c r="V1702" s="17"/>
      <c r="W1702" s="4"/>
      <c r="X1702" s="16"/>
      <c r="Y1702" s="5"/>
      <c r="Z1702" s="16"/>
      <c r="AA1702" s="16"/>
      <c r="AB1702" s="16"/>
      <c r="AE1702" s="16"/>
      <c r="AG1702" s="22">
        <f t="shared" si="313"/>
        <v>0</v>
      </c>
      <c r="AH1702" s="6"/>
      <c r="AJ1702" s="20">
        <f t="shared" si="315"/>
        <v>0</v>
      </c>
      <c r="AK1702" s="50"/>
      <c r="AL1702" s="6"/>
      <c r="AM1702" s="20">
        <f t="shared" si="314"/>
        <v>0</v>
      </c>
      <c r="AN1702" s="20">
        <f t="shared" ref="AN1702:AN1733" si="318">+S1702+AM1702</f>
        <v>256800</v>
      </c>
      <c r="AP1702" s="20">
        <f t="shared" ref="AP1702:AP1765" si="319">AN1702</f>
        <v>256800</v>
      </c>
      <c r="AQ1702" s="7"/>
      <c r="AR1702" s="60"/>
      <c r="AS1702" s="128" t="s">
        <v>176</v>
      </c>
    </row>
    <row r="1703" spans="1:45" s="21" customFormat="1" ht="30" customHeight="1" x14ac:dyDescent="0.2">
      <c r="A1703" s="2">
        <v>1461</v>
      </c>
      <c r="B1703" s="46">
        <v>2</v>
      </c>
      <c r="C1703" s="16" t="s">
        <v>52</v>
      </c>
      <c r="D1703" s="48">
        <v>1171</v>
      </c>
      <c r="E1703" s="47">
        <v>20</v>
      </c>
      <c r="F1703" s="48">
        <v>1010</v>
      </c>
      <c r="G1703" s="49">
        <v>1</v>
      </c>
      <c r="H1703" s="48">
        <v>1</v>
      </c>
      <c r="I1703" s="48">
        <v>2</v>
      </c>
      <c r="J1703" s="48">
        <v>75</v>
      </c>
      <c r="K1703" s="3">
        <v>675</v>
      </c>
      <c r="L1703" s="16"/>
      <c r="M1703" s="57"/>
      <c r="N1703" s="58"/>
      <c r="P1703" s="16">
        <v>1</v>
      </c>
      <c r="Q1703" s="20">
        <f t="shared" si="316"/>
        <v>675</v>
      </c>
      <c r="R1703" s="14">
        <v>160</v>
      </c>
      <c r="S1703" s="19">
        <f t="shared" si="317"/>
        <v>108000</v>
      </c>
      <c r="T1703" s="16"/>
      <c r="U1703" s="16"/>
      <c r="V1703" s="16"/>
      <c r="W1703" s="5"/>
      <c r="X1703" s="16"/>
      <c r="Y1703" s="5"/>
      <c r="Z1703" s="16"/>
      <c r="AA1703" s="16"/>
      <c r="AB1703" s="16"/>
      <c r="AC1703" s="14"/>
      <c r="AD1703" s="14"/>
      <c r="AE1703" s="16"/>
      <c r="AG1703" s="22">
        <f t="shared" si="313"/>
        <v>0</v>
      </c>
      <c r="AH1703" s="6"/>
      <c r="AJ1703" s="20">
        <f t="shared" si="315"/>
        <v>0</v>
      </c>
      <c r="AK1703" s="50"/>
      <c r="AL1703" s="6"/>
      <c r="AM1703" s="20">
        <f t="shared" si="314"/>
        <v>0</v>
      </c>
      <c r="AN1703" s="20">
        <f t="shared" si="318"/>
        <v>108000</v>
      </c>
      <c r="AP1703" s="20">
        <f t="shared" si="319"/>
        <v>108000</v>
      </c>
      <c r="AQ1703" s="7"/>
      <c r="AR1703" s="24"/>
      <c r="AS1703" s="129"/>
    </row>
    <row r="1704" spans="1:45" s="21" customFormat="1" ht="30" customHeight="1" x14ac:dyDescent="0.2">
      <c r="A1704" s="8">
        <v>1462</v>
      </c>
      <c r="B1704" s="46">
        <v>3</v>
      </c>
      <c r="C1704" s="16" t="s">
        <v>52</v>
      </c>
      <c r="D1704" s="48">
        <v>1172</v>
      </c>
      <c r="E1704" s="47">
        <v>21</v>
      </c>
      <c r="F1704" s="48">
        <v>1011</v>
      </c>
      <c r="G1704" s="49">
        <v>1</v>
      </c>
      <c r="H1704" s="48">
        <v>4</v>
      </c>
      <c r="I1704" s="48">
        <v>0</v>
      </c>
      <c r="J1704" s="48">
        <v>52</v>
      </c>
      <c r="K1704" s="3">
        <v>1652</v>
      </c>
      <c r="L1704" s="16"/>
      <c r="M1704" s="57"/>
      <c r="N1704" s="58"/>
      <c r="P1704" s="16">
        <v>1</v>
      </c>
      <c r="Q1704" s="20">
        <f t="shared" si="316"/>
        <v>1652</v>
      </c>
      <c r="R1704" s="14">
        <v>160</v>
      </c>
      <c r="S1704" s="19">
        <f t="shared" si="317"/>
        <v>264320</v>
      </c>
      <c r="T1704" s="16"/>
      <c r="U1704" s="17"/>
      <c r="V1704" s="16"/>
      <c r="W1704" s="5"/>
      <c r="X1704" s="16"/>
      <c r="Y1704" s="5"/>
      <c r="Z1704" s="16"/>
      <c r="AA1704" s="16"/>
      <c r="AB1704" s="16"/>
      <c r="AE1704" s="16"/>
      <c r="AG1704" s="22">
        <f t="shared" si="313"/>
        <v>0</v>
      </c>
      <c r="AH1704" s="6"/>
      <c r="AJ1704" s="20">
        <f t="shared" si="315"/>
        <v>0</v>
      </c>
      <c r="AK1704" s="50"/>
      <c r="AL1704" s="6"/>
      <c r="AM1704" s="20">
        <f t="shared" si="314"/>
        <v>0</v>
      </c>
      <c r="AN1704" s="20">
        <f t="shared" si="318"/>
        <v>264320</v>
      </c>
      <c r="AP1704" s="20">
        <f t="shared" si="319"/>
        <v>264320</v>
      </c>
      <c r="AQ1704" s="7"/>
      <c r="AR1704" s="25"/>
      <c r="AS1704" s="130"/>
    </row>
    <row r="1705" spans="1:45" ht="30" customHeight="1" x14ac:dyDescent="0.2">
      <c r="A1705" s="2">
        <v>1463</v>
      </c>
      <c r="B1705" s="13">
        <v>1</v>
      </c>
      <c r="C1705" s="16" t="s">
        <v>69</v>
      </c>
      <c r="E1705" s="17">
        <v>2328</v>
      </c>
      <c r="F1705" s="17">
        <v>7</v>
      </c>
      <c r="G1705" s="13">
        <v>1</v>
      </c>
      <c r="H1705" s="17">
        <v>14</v>
      </c>
      <c r="I1705" s="17">
        <v>1</v>
      </c>
      <c r="J1705" s="17">
        <v>47</v>
      </c>
      <c r="K1705" s="10">
        <v>5747</v>
      </c>
      <c r="P1705" s="17">
        <v>1</v>
      </c>
      <c r="Q1705" s="20">
        <f t="shared" si="316"/>
        <v>5747</v>
      </c>
      <c r="R1705" s="14">
        <v>160</v>
      </c>
      <c r="S1705" s="20">
        <f t="shared" si="317"/>
        <v>919520</v>
      </c>
      <c r="AG1705" s="22">
        <f t="shared" si="313"/>
        <v>0</v>
      </c>
      <c r="AJ1705" s="20">
        <f t="shared" si="315"/>
        <v>0</v>
      </c>
      <c r="AM1705" s="20">
        <f t="shared" si="314"/>
        <v>0</v>
      </c>
      <c r="AN1705" s="20">
        <f t="shared" si="318"/>
        <v>919520</v>
      </c>
      <c r="AP1705" s="20">
        <f t="shared" si="319"/>
        <v>919520</v>
      </c>
      <c r="AQ1705" s="12">
        <v>1E-4</v>
      </c>
      <c r="AR1705" s="20"/>
    </row>
    <row r="1706" spans="1:45" s="21" customFormat="1" ht="30" customHeight="1" x14ac:dyDescent="0.2">
      <c r="A1706" s="8">
        <v>1464</v>
      </c>
      <c r="B1706" s="46">
        <v>1</v>
      </c>
      <c r="C1706" s="16" t="s">
        <v>52</v>
      </c>
      <c r="D1706" s="48">
        <v>832</v>
      </c>
      <c r="E1706" s="47">
        <v>26</v>
      </c>
      <c r="F1706" s="48">
        <v>381</v>
      </c>
      <c r="G1706" s="49">
        <v>1</v>
      </c>
      <c r="H1706" s="48">
        <v>9</v>
      </c>
      <c r="I1706" s="48">
        <v>2</v>
      </c>
      <c r="J1706" s="48">
        <v>71</v>
      </c>
      <c r="K1706" s="3">
        <f>9*400+271</f>
        <v>3871</v>
      </c>
      <c r="L1706" s="16"/>
      <c r="M1706" s="57"/>
      <c r="N1706" s="58"/>
      <c r="P1706" s="16">
        <v>1</v>
      </c>
      <c r="Q1706" s="20">
        <f t="shared" si="316"/>
        <v>3871</v>
      </c>
      <c r="R1706" s="14">
        <v>200</v>
      </c>
      <c r="S1706" s="19">
        <f t="shared" si="317"/>
        <v>774200</v>
      </c>
      <c r="T1706" s="16"/>
      <c r="U1706" s="17"/>
      <c r="V1706" s="17"/>
      <c r="W1706" s="4"/>
      <c r="X1706" s="16"/>
      <c r="Y1706" s="5"/>
      <c r="Z1706" s="16"/>
      <c r="AA1706" s="16"/>
      <c r="AB1706" s="16"/>
      <c r="AC1706" s="14"/>
      <c r="AD1706" s="14"/>
      <c r="AE1706" s="16"/>
      <c r="AG1706" s="22">
        <f t="shared" si="313"/>
        <v>0</v>
      </c>
      <c r="AH1706" s="6"/>
      <c r="AJ1706" s="20">
        <f t="shared" si="315"/>
        <v>0</v>
      </c>
      <c r="AK1706" s="50"/>
      <c r="AL1706" s="6"/>
      <c r="AM1706" s="20">
        <f t="shared" si="314"/>
        <v>0</v>
      </c>
      <c r="AN1706" s="20">
        <f t="shared" si="318"/>
        <v>774200</v>
      </c>
      <c r="AP1706" s="20">
        <f t="shared" si="319"/>
        <v>774200</v>
      </c>
      <c r="AQ1706" s="7"/>
      <c r="AR1706" s="96">
        <v>84</v>
      </c>
      <c r="AS1706" s="96">
        <f>+AR1706+AR1707</f>
        <v>1134</v>
      </c>
    </row>
    <row r="1707" spans="1:45" s="21" customFormat="1" ht="30" customHeight="1" x14ac:dyDescent="0.2">
      <c r="A1707" s="2">
        <v>1465</v>
      </c>
      <c r="B1707" s="46">
        <v>2</v>
      </c>
      <c r="C1707" s="16" t="s">
        <v>52</v>
      </c>
      <c r="D1707" s="48">
        <v>833</v>
      </c>
      <c r="E1707" s="47">
        <v>56</v>
      </c>
      <c r="F1707" s="48">
        <v>382</v>
      </c>
      <c r="G1707" s="49">
        <v>1</v>
      </c>
      <c r="H1707" s="48">
        <v>5</v>
      </c>
      <c r="I1707" s="48">
        <v>2</v>
      </c>
      <c r="J1707" s="48">
        <v>47</v>
      </c>
      <c r="K1707" s="3">
        <f>5*400+247</f>
        <v>2247</v>
      </c>
      <c r="L1707" s="16"/>
      <c r="M1707" s="57"/>
      <c r="N1707" s="58"/>
      <c r="P1707" s="16">
        <v>1</v>
      </c>
      <c r="Q1707" s="20">
        <f t="shared" si="316"/>
        <v>2247</v>
      </c>
      <c r="R1707" s="14">
        <v>200</v>
      </c>
      <c r="S1707" s="19">
        <f t="shared" si="317"/>
        <v>449400</v>
      </c>
      <c r="T1707" s="16"/>
      <c r="U1707" s="17"/>
      <c r="V1707" s="17"/>
      <c r="W1707" s="4"/>
      <c r="X1707" s="16"/>
      <c r="Y1707" s="5"/>
      <c r="Z1707" s="16"/>
      <c r="AA1707" s="16"/>
      <c r="AB1707" s="16"/>
      <c r="AC1707" s="14"/>
      <c r="AD1707" s="14"/>
      <c r="AE1707" s="16"/>
      <c r="AG1707" s="22">
        <f t="shared" si="313"/>
        <v>0</v>
      </c>
      <c r="AH1707" s="6"/>
      <c r="AJ1707" s="20">
        <f t="shared" si="315"/>
        <v>0</v>
      </c>
      <c r="AK1707" s="50"/>
      <c r="AL1707" s="6"/>
      <c r="AM1707" s="20">
        <f t="shared" si="314"/>
        <v>0</v>
      </c>
      <c r="AN1707" s="20">
        <f t="shared" si="318"/>
        <v>449400</v>
      </c>
      <c r="AP1707" s="20">
        <f t="shared" si="319"/>
        <v>449400</v>
      </c>
      <c r="AQ1707" s="7"/>
      <c r="AR1707" s="98">
        <v>1050</v>
      </c>
      <c r="AS1707" s="98"/>
    </row>
    <row r="1708" spans="1:45" s="21" customFormat="1" ht="30" customHeight="1" x14ac:dyDescent="0.2">
      <c r="A1708" s="8">
        <v>1466</v>
      </c>
      <c r="B1708" s="46">
        <v>1</v>
      </c>
      <c r="C1708" s="16" t="s">
        <v>52</v>
      </c>
      <c r="D1708" s="48">
        <v>1018</v>
      </c>
      <c r="E1708" s="47">
        <v>42</v>
      </c>
      <c r="F1708" s="48">
        <v>198</v>
      </c>
      <c r="G1708" s="49">
        <v>1</v>
      </c>
      <c r="H1708" s="48">
        <v>0</v>
      </c>
      <c r="I1708" s="48">
        <v>2</v>
      </c>
      <c r="J1708" s="48">
        <v>72</v>
      </c>
      <c r="K1708" s="3">
        <v>272</v>
      </c>
      <c r="L1708" s="16"/>
      <c r="M1708" s="57"/>
      <c r="N1708" s="58"/>
      <c r="P1708" s="16">
        <v>1</v>
      </c>
      <c r="Q1708" s="20">
        <f t="shared" si="316"/>
        <v>272</v>
      </c>
      <c r="R1708" s="14">
        <v>3000</v>
      </c>
      <c r="S1708" s="20">
        <f t="shared" si="317"/>
        <v>816000</v>
      </c>
      <c r="T1708" s="16"/>
      <c r="U1708" s="17"/>
      <c r="V1708" s="17"/>
      <c r="W1708" s="4"/>
      <c r="X1708" s="16"/>
      <c r="Y1708" s="5"/>
      <c r="Z1708" s="16"/>
      <c r="AA1708" s="16"/>
      <c r="AB1708" s="16"/>
      <c r="AC1708" s="14"/>
      <c r="AD1708" s="14"/>
      <c r="AE1708" s="16"/>
      <c r="AG1708" s="22">
        <f t="shared" si="313"/>
        <v>0</v>
      </c>
      <c r="AH1708" s="6"/>
      <c r="AJ1708" s="20">
        <f t="shared" si="315"/>
        <v>0</v>
      </c>
      <c r="AK1708" s="50"/>
      <c r="AL1708" s="6"/>
      <c r="AM1708" s="20">
        <f t="shared" si="314"/>
        <v>0</v>
      </c>
      <c r="AN1708" s="20">
        <f t="shared" si="318"/>
        <v>816000</v>
      </c>
      <c r="AP1708" s="20">
        <f t="shared" si="319"/>
        <v>816000</v>
      </c>
      <c r="AQ1708" s="7"/>
      <c r="AR1708" s="60"/>
      <c r="AS1708" s="128">
        <v>51</v>
      </c>
    </row>
    <row r="1709" spans="1:45" s="21" customFormat="1" ht="30" customHeight="1" x14ac:dyDescent="0.2">
      <c r="A1709" s="2">
        <v>1467</v>
      </c>
      <c r="B1709" s="46">
        <v>2</v>
      </c>
      <c r="C1709" s="16" t="s">
        <v>52</v>
      </c>
      <c r="D1709" s="48">
        <v>29189</v>
      </c>
      <c r="E1709" s="47">
        <v>102</v>
      </c>
      <c r="F1709" s="48">
        <v>5384</v>
      </c>
      <c r="G1709" s="49">
        <v>1</v>
      </c>
      <c r="H1709" s="48">
        <v>0</v>
      </c>
      <c r="I1709" s="48">
        <v>2</v>
      </c>
      <c r="J1709" s="48">
        <v>47</v>
      </c>
      <c r="K1709" s="3"/>
      <c r="L1709" s="16">
        <v>247</v>
      </c>
      <c r="M1709" s="57"/>
      <c r="N1709" s="58"/>
      <c r="P1709" s="16">
        <v>2</v>
      </c>
      <c r="Q1709" s="20">
        <f t="shared" si="316"/>
        <v>247</v>
      </c>
      <c r="R1709" s="14">
        <v>250</v>
      </c>
      <c r="S1709" s="19">
        <f t="shared" si="317"/>
        <v>61750</v>
      </c>
      <c r="T1709" s="16"/>
      <c r="U1709" s="17"/>
      <c r="V1709" s="17"/>
      <c r="W1709" s="4"/>
      <c r="X1709" s="16"/>
      <c r="Y1709" s="5"/>
      <c r="Z1709" s="16"/>
      <c r="AA1709" s="16"/>
      <c r="AB1709" s="16"/>
      <c r="AC1709" s="14"/>
      <c r="AD1709" s="14"/>
      <c r="AE1709" s="16"/>
      <c r="AG1709" s="22">
        <f t="shared" si="313"/>
        <v>0</v>
      </c>
      <c r="AH1709" s="6"/>
      <c r="AJ1709" s="20">
        <f t="shared" si="315"/>
        <v>0</v>
      </c>
      <c r="AK1709" s="50"/>
      <c r="AL1709" s="6"/>
      <c r="AM1709" s="20">
        <f t="shared" si="314"/>
        <v>0</v>
      </c>
      <c r="AN1709" s="20">
        <f t="shared" si="318"/>
        <v>61750</v>
      </c>
      <c r="AP1709" s="20">
        <f t="shared" si="319"/>
        <v>61750</v>
      </c>
      <c r="AQ1709" s="7"/>
      <c r="AR1709" s="24"/>
      <c r="AS1709" s="129"/>
    </row>
    <row r="1710" spans="1:45" s="21" customFormat="1" ht="30" customHeight="1" x14ac:dyDescent="0.2">
      <c r="A1710" s="8">
        <v>1468</v>
      </c>
      <c r="B1710" s="46">
        <v>3</v>
      </c>
      <c r="C1710" s="16" t="s">
        <v>52</v>
      </c>
      <c r="D1710" s="48">
        <v>29192</v>
      </c>
      <c r="E1710" s="47">
        <v>105</v>
      </c>
      <c r="F1710" s="48">
        <v>5387</v>
      </c>
      <c r="G1710" s="49">
        <v>1</v>
      </c>
      <c r="H1710" s="48">
        <v>0</v>
      </c>
      <c r="I1710" s="48">
        <v>0</v>
      </c>
      <c r="J1710" s="48">
        <v>87</v>
      </c>
      <c r="K1710" s="3">
        <v>87</v>
      </c>
      <c r="L1710" s="16"/>
      <c r="M1710" s="57"/>
      <c r="N1710" s="58"/>
      <c r="P1710" s="16">
        <v>1</v>
      </c>
      <c r="Q1710" s="20">
        <f t="shared" si="316"/>
        <v>87</v>
      </c>
      <c r="R1710" s="14">
        <v>250</v>
      </c>
      <c r="S1710" s="19">
        <f t="shared" si="317"/>
        <v>21750</v>
      </c>
      <c r="T1710" s="16"/>
      <c r="U1710" s="17"/>
      <c r="V1710" s="17"/>
      <c r="W1710" s="4"/>
      <c r="X1710" s="16"/>
      <c r="Y1710" s="5"/>
      <c r="Z1710" s="16"/>
      <c r="AA1710" s="16"/>
      <c r="AB1710" s="16"/>
      <c r="AC1710" s="14"/>
      <c r="AD1710" s="14"/>
      <c r="AE1710" s="16"/>
      <c r="AG1710" s="22">
        <f t="shared" si="313"/>
        <v>0</v>
      </c>
      <c r="AH1710" s="6"/>
      <c r="AJ1710" s="20">
        <f t="shared" si="315"/>
        <v>0</v>
      </c>
      <c r="AK1710" s="50"/>
      <c r="AL1710" s="6"/>
      <c r="AM1710" s="20">
        <f t="shared" si="314"/>
        <v>0</v>
      </c>
      <c r="AN1710" s="20">
        <f t="shared" si="318"/>
        <v>21750</v>
      </c>
      <c r="AP1710" s="20">
        <f t="shared" si="319"/>
        <v>21750</v>
      </c>
      <c r="AQ1710" s="7"/>
      <c r="AR1710" s="24"/>
      <c r="AS1710" s="129"/>
    </row>
    <row r="1711" spans="1:45" s="21" customFormat="1" ht="30" customHeight="1" x14ac:dyDescent="0.2">
      <c r="A1711" s="2">
        <v>1469</v>
      </c>
      <c r="B1711" s="46">
        <v>4</v>
      </c>
      <c r="C1711" s="16" t="s">
        <v>52</v>
      </c>
      <c r="D1711" s="48">
        <v>29193</v>
      </c>
      <c r="E1711" s="47">
        <v>106</v>
      </c>
      <c r="F1711" s="48">
        <v>5388</v>
      </c>
      <c r="G1711" s="49">
        <v>1</v>
      </c>
      <c r="H1711" s="48">
        <v>0</v>
      </c>
      <c r="I1711" s="48">
        <v>0</v>
      </c>
      <c r="J1711" s="48">
        <v>87</v>
      </c>
      <c r="K1711" s="3">
        <v>87</v>
      </c>
      <c r="L1711" s="16"/>
      <c r="M1711" s="57"/>
      <c r="N1711" s="58"/>
      <c r="P1711" s="16">
        <v>1</v>
      </c>
      <c r="Q1711" s="20">
        <f t="shared" si="316"/>
        <v>87</v>
      </c>
      <c r="R1711" s="14">
        <v>250</v>
      </c>
      <c r="S1711" s="20">
        <f t="shared" si="317"/>
        <v>21750</v>
      </c>
      <c r="T1711" s="16"/>
      <c r="U1711" s="16"/>
      <c r="V1711" s="16"/>
      <c r="W1711" s="5"/>
      <c r="X1711" s="16"/>
      <c r="Y1711" s="5"/>
      <c r="Z1711" s="16"/>
      <c r="AA1711" s="16"/>
      <c r="AB1711" s="16"/>
      <c r="AE1711" s="16"/>
      <c r="AG1711" s="22">
        <f t="shared" si="313"/>
        <v>0</v>
      </c>
      <c r="AH1711" s="6"/>
      <c r="AJ1711" s="20">
        <f t="shared" si="315"/>
        <v>0</v>
      </c>
      <c r="AK1711" s="50"/>
      <c r="AL1711" s="6"/>
      <c r="AM1711" s="20">
        <f t="shared" si="314"/>
        <v>0</v>
      </c>
      <c r="AN1711" s="20">
        <f t="shared" si="318"/>
        <v>21750</v>
      </c>
      <c r="AP1711" s="20">
        <f t="shared" si="319"/>
        <v>21750</v>
      </c>
      <c r="AQ1711" s="7"/>
      <c r="AR1711" s="24"/>
      <c r="AS1711" s="129"/>
    </row>
    <row r="1712" spans="1:45" s="21" customFormat="1" ht="30" customHeight="1" x14ac:dyDescent="0.2">
      <c r="A1712" s="8">
        <v>1470</v>
      </c>
      <c r="B1712" s="46">
        <v>5</v>
      </c>
      <c r="C1712" s="16" t="s">
        <v>52</v>
      </c>
      <c r="D1712" s="48">
        <v>29194</v>
      </c>
      <c r="E1712" s="47">
        <v>107</v>
      </c>
      <c r="F1712" s="48">
        <v>5389</v>
      </c>
      <c r="G1712" s="49">
        <v>1</v>
      </c>
      <c r="H1712" s="48">
        <v>0</v>
      </c>
      <c r="I1712" s="48">
        <v>0</v>
      </c>
      <c r="J1712" s="48">
        <v>88</v>
      </c>
      <c r="K1712" s="3">
        <v>88</v>
      </c>
      <c r="L1712" s="16"/>
      <c r="M1712" s="57"/>
      <c r="N1712" s="58"/>
      <c r="P1712" s="16">
        <v>1</v>
      </c>
      <c r="Q1712" s="20">
        <f t="shared" si="316"/>
        <v>88</v>
      </c>
      <c r="R1712" s="14">
        <v>250</v>
      </c>
      <c r="S1712" s="19">
        <f t="shared" si="317"/>
        <v>22000</v>
      </c>
      <c r="T1712" s="16"/>
      <c r="U1712" s="17"/>
      <c r="V1712" s="16"/>
      <c r="W1712" s="5"/>
      <c r="X1712" s="16"/>
      <c r="Y1712" s="5"/>
      <c r="Z1712" s="16"/>
      <c r="AA1712" s="16"/>
      <c r="AB1712" s="16"/>
      <c r="AE1712" s="16"/>
      <c r="AG1712" s="22">
        <f t="shared" si="313"/>
        <v>0</v>
      </c>
      <c r="AH1712" s="6"/>
      <c r="AJ1712" s="20">
        <f t="shared" si="315"/>
        <v>0</v>
      </c>
      <c r="AK1712" s="50"/>
      <c r="AL1712" s="6"/>
      <c r="AM1712" s="20">
        <f t="shared" si="314"/>
        <v>0</v>
      </c>
      <c r="AN1712" s="20">
        <f t="shared" si="318"/>
        <v>22000</v>
      </c>
      <c r="AP1712" s="20">
        <f t="shared" si="319"/>
        <v>22000</v>
      </c>
      <c r="AQ1712" s="7"/>
      <c r="AR1712" s="24"/>
      <c r="AS1712" s="129"/>
    </row>
    <row r="1713" spans="1:45" s="21" customFormat="1" ht="30" customHeight="1" x14ac:dyDescent="0.2">
      <c r="A1713" s="2">
        <v>1471</v>
      </c>
      <c r="B1713" s="46">
        <v>6</v>
      </c>
      <c r="C1713" s="16" t="s">
        <v>52</v>
      </c>
      <c r="D1713" s="48">
        <v>29195</v>
      </c>
      <c r="E1713" s="47">
        <v>108</v>
      </c>
      <c r="F1713" s="48">
        <v>5390</v>
      </c>
      <c r="G1713" s="49">
        <v>1</v>
      </c>
      <c r="H1713" s="48">
        <v>0</v>
      </c>
      <c r="I1713" s="48">
        <v>3</v>
      </c>
      <c r="J1713" s="48">
        <v>4</v>
      </c>
      <c r="K1713" s="3">
        <v>304</v>
      </c>
      <c r="L1713" s="16"/>
      <c r="M1713" s="57"/>
      <c r="N1713" s="58"/>
      <c r="P1713" s="16">
        <v>1</v>
      </c>
      <c r="Q1713" s="20">
        <f t="shared" si="316"/>
        <v>304</v>
      </c>
      <c r="R1713" s="14">
        <v>250</v>
      </c>
      <c r="S1713" s="19">
        <f t="shared" si="317"/>
        <v>76000</v>
      </c>
      <c r="T1713" s="16"/>
      <c r="U1713" s="17"/>
      <c r="V1713" s="17"/>
      <c r="W1713" s="4"/>
      <c r="X1713" s="16"/>
      <c r="Y1713" s="5"/>
      <c r="Z1713" s="16"/>
      <c r="AA1713" s="16"/>
      <c r="AB1713" s="16"/>
      <c r="AE1713" s="16"/>
      <c r="AG1713" s="22">
        <f t="shared" si="313"/>
        <v>0</v>
      </c>
      <c r="AH1713" s="6"/>
      <c r="AJ1713" s="20">
        <f t="shared" si="315"/>
        <v>0</v>
      </c>
      <c r="AK1713" s="50"/>
      <c r="AL1713" s="6"/>
      <c r="AM1713" s="20">
        <f t="shared" si="314"/>
        <v>0</v>
      </c>
      <c r="AN1713" s="20">
        <f t="shared" si="318"/>
        <v>76000</v>
      </c>
      <c r="AP1713" s="20">
        <f t="shared" si="319"/>
        <v>76000</v>
      </c>
      <c r="AQ1713" s="7"/>
      <c r="AR1713" s="24"/>
      <c r="AS1713" s="129"/>
    </row>
    <row r="1714" spans="1:45" s="21" customFormat="1" ht="30" customHeight="1" x14ac:dyDescent="0.2">
      <c r="A1714" s="8">
        <v>1472</v>
      </c>
      <c r="B1714" s="46">
        <v>7</v>
      </c>
      <c r="C1714" s="16" t="s">
        <v>52</v>
      </c>
      <c r="D1714" s="48">
        <v>29196</v>
      </c>
      <c r="E1714" s="47">
        <v>109</v>
      </c>
      <c r="F1714" s="48">
        <v>5391</v>
      </c>
      <c r="G1714" s="49">
        <v>1</v>
      </c>
      <c r="H1714" s="48">
        <v>4</v>
      </c>
      <c r="I1714" s="48">
        <v>0</v>
      </c>
      <c r="J1714" s="48">
        <v>56</v>
      </c>
      <c r="K1714" s="3">
        <v>1656</v>
      </c>
      <c r="L1714" s="16"/>
      <c r="M1714" s="57"/>
      <c r="N1714" s="58"/>
      <c r="P1714" s="16">
        <v>1</v>
      </c>
      <c r="Q1714" s="20">
        <f t="shared" si="316"/>
        <v>1656</v>
      </c>
      <c r="R1714" s="14">
        <v>200</v>
      </c>
      <c r="S1714" s="20">
        <f t="shared" si="317"/>
        <v>331200</v>
      </c>
      <c r="T1714" s="16"/>
      <c r="U1714" s="17"/>
      <c r="V1714" s="17"/>
      <c r="W1714" s="4"/>
      <c r="X1714" s="16"/>
      <c r="Y1714" s="5"/>
      <c r="Z1714" s="16"/>
      <c r="AA1714" s="16"/>
      <c r="AB1714" s="16"/>
      <c r="AE1714" s="16"/>
      <c r="AG1714" s="22">
        <f t="shared" si="313"/>
        <v>0</v>
      </c>
      <c r="AH1714" s="6"/>
      <c r="AJ1714" s="20">
        <f t="shared" si="315"/>
        <v>0</v>
      </c>
      <c r="AK1714" s="50"/>
      <c r="AL1714" s="6"/>
      <c r="AM1714" s="20">
        <f t="shared" si="314"/>
        <v>0</v>
      </c>
      <c r="AN1714" s="20">
        <f t="shared" si="318"/>
        <v>331200</v>
      </c>
      <c r="AP1714" s="20">
        <f t="shared" si="319"/>
        <v>331200</v>
      </c>
      <c r="AQ1714" s="7"/>
      <c r="AR1714" s="25"/>
      <c r="AS1714" s="130"/>
    </row>
    <row r="1715" spans="1:45" s="21" customFormat="1" ht="30" customHeight="1" x14ac:dyDescent="0.2">
      <c r="A1715" s="2">
        <v>1473</v>
      </c>
      <c r="B1715" s="46">
        <v>1</v>
      </c>
      <c r="C1715" s="16" t="s">
        <v>52</v>
      </c>
      <c r="D1715" s="48">
        <v>29252</v>
      </c>
      <c r="E1715" s="47">
        <v>104</v>
      </c>
      <c r="F1715" s="48">
        <v>5447</v>
      </c>
      <c r="G1715" s="49">
        <v>1</v>
      </c>
      <c r="H1715" s="48">
        <v>3</v>
      </c>
      <c r="I1715" s="48">
        <v>0</v>
      </c>
      <c r="J1715" s="48">
        <v>8</v>
      </c>
      <c r="K1715" s="3">
        <v>1208</v>
      </c>
      <c r="L1715" s="16"/>
      <c r="M1715" s="57"/>
      <c r="N1715" s="58"/>
      <c r="P1715" s="16">
        <v>1</v>
      </c>
      <c r="Q1715" s="20">
        <f t="shared" si="316"/>
        <v>1208</v>
      </c>
      <c r="R1715" s="14">
        <v>160</v>
      </c>
      <c r="S1715" s="19">
        <f t="shared" si="317"/>
        <v>193280</v>
      </c>
      <c r="T1715" s="16"/>
      <c r="U1715" s="17"/>
      <c r="V1715" s="17"/>
      <c r="W1715" s="4"/>
      <c r="X1715" s="16"/>
      <c r="Y1715" s="5"/>
      <c r="Z1715" s="16"/>
      <c r="AA1715" s="16"/>
      <c r="AB1715" s="16"/>
      <c r="AE1715" s="16"/>
      <c r="AG1715" s="22">
        <f t="shared" si="313"/>
        <v>0</v>
      </c>
      <c r="AH1715" s="6"/>
      <c r="AJ1715" s="20">
        <f t="shared" si="315"/>
        <v>0</v>
      </c>
      <c r="AK1715" s="50"/>
      <c r="AL1715" s="6"/>
      <c r="AM1715" s="20">
        <f t="shared" si="314"/>
        <v>0</v>
      </c>
      <c r="AN1715" s="20">
        <f t="shared" si="318"/>
        <v>193280</v>
      </c>
      <c r="AP1715" s="20">
        <f t="shared" si="319"/>
        <v>193280</v>
      </c>
      <c r="AQ1715" s="7"/>
      <c r="AR1715" s="60"/>
      <c r="AS1715" s="128">
        <v>27</v>
      </c>
    </row>
    <row r="1716" spans="1:45" s="21" customFormat="1" ht="30" customHeight="1" x14ac:dyDescent="0.2">
      <c r="A1716" s="8">
        <v>1474</v>
      </c>
      <c r="B1716" s="46">
        <v>2</v>
      </c>
      <c r="C1716" s="16" t="s">
        <v>52</v>
      </c>
      <c r="D1716" s="48">
        <v>29253</v>
      </c>
      <c r="E1716" s="47">
        <v>105</v>
      </c>
      <c r="F1716" s="48">
        <v>5448</v>
      </c>
      <c r="G1716" s="49">
        <v>1</v>
      </c>
      <c r="H1716" s="48">
        <v>4</v>
      </c>
      <c r="I1716" s="48">
        <v>2</v>
      </c>
      <c r="J1716" s="48">
        <v>17</v>
      </c>
      <c r="K1716" s="3">
        <f>1600+217</f>
        <v>1817</v>
      </c>
      <c r="L1716" s="16"/>
      <c r="M1716" s="57"/>
      <c r="N1716" s="58"/>
      <c r="P1716" s="16">
        <v>1</v>
      </c>
      <c r="Q1716" s="20">
        <f t="shared" si="316"/>
        <v>1817</v>
      </c>
      <c r="R1716" s="14">
        <v>160</v>
      </c>
      <c r="S1716" s="19">
        <f t="shared" si="317"/>
        <v>290720</v>
      </c>
      <c r="T1716" s="16"/>
      <c r="U1716" s="17"/>
      <c r="V1716" s="17"/>
      <c r="W1716" s="4"/>
      <c r="X1716" s="16"/>
      <c r="Y1716" s="5"/>
      <c r="Z1716" s="16"/>
      <c r="AA1716" s="16"/>
      <c r="AB1716" s="16"/>
      <c r="AE1716" s="16"/>
      <c r="AG1716" s="22">
        <f t="shared" si="313"/>
        <v>0</v>
      </c>
      <c r="AH1716" s="6"/>
      <c r="AJ1716" s="20">
        <f t="shared" si="315"/>
        <v>0</v>
      </c>
      <c r="AK1716" s="50"/>
      <c r="AL1716" s="6"/>
      <c r="AM1716" s="20">
        <f t="shared" si="314"/>
        <v>0</v>
      </c>
      <c r="AN1716" s="20">
        <f t="shared" si="318"/>
        <v>290720</v>
      </c>
      <c r="AP1716" s="20">
        <f t="shared" si="319"/>
        <v>290720</v>
      </c>
      <c r="AQ1716" s="7"/>
      <c r="AR1716" s="24"/>
      <c r="AS1716" s="129"/>
    </row>
    <row r="1717" spans="1:45" s="21" customFormat="1" ht="30" customHeight="1" x14ac:dyDescent="0.2">
      <c r="A1717" s="2">
        <v>1475</v>
      </c>
      <c r="B1717" s="46">
        <v>3</v>
      </c>
      <c r="C1717" s="16" t="s">
        <v>52</v>
      </c>
      <c r="D1717" s="48">
        <v>31623</v>
      </c>
      <c r="E1717" s="47">
        <v>127</v>
      </c>
      <c r="F1717" s="48">
        <v>6223</v>
      </c>
      <c r="G1717" s="49">
        <v>1</v>
      </c>
      <c r="H1717" s="48">
        <v>1</v>
      </c>
      <c r="I1717" s="48">
        <v>0</v>
      </c>
      <c r="J1717" s="48">
        <v>15</v>
      </c>
      <c r="K1717" s="3">
        <f>415-L1717</f>
        <v>385.75</v>
      </c>
      <c r="L1717" s="16">
        <f>117/4</f>
        <v>29.25</v>
      </c>
      <c r="M1717" s="57"/>
      <c r="N1717" s="58"/>
      <c r="P1717" s="16">
        <v>2</v>
      </c>
      <c r="Q1717" s="20">
        <f t="shared" si="316"/>
        <v>415</v>
      </c>
      <c r="R1717" s="14">
        <v>250</v>
      </c>
      <c r="S1717" s="20">
        <f t="shared" si="317"/>
        <v>103750</v>
      </c>
      <c r="T1717" s="16"/>
      <c r="U1717" s="17" t="s">
        <v>57</v>
      </c>
      <c r="V1717" s="17" t="s">
        <v>56</v>
      </c>
      <c r="W1717" s="4"/>
      <c r="X1717" s="16"/>
      <c r="Y1717" s="5">
        <v>117</v>
      </c>
      <c r="Z1717" s="16"/>
      <c r="AA1717" s="16"/>
      <c r="AB1717" s="16">
        <f>62-34</f>
        <v>28</v>
      </c>
      <c r="AE1717" s="16"/>
      <c r="AG1717" s="22">
        <f t="shared" si="313"/>
        <v>117</v>
      </c>
      <c r="AH1717" s="6"/>
      <c r="AJ1717" s="20">
        <f t="shared" si="315"/>
        <v>0</v>
      </c>
      <c r="AK1717" s="50">
        <v>28</v>
      </c>
      <c r="AL1717" s="6"/>
      <c r="AM1717" s="20">
        <f t="shared" si="314"/>
        <v>0</v>
      </c>
      <c r="AN1717" s="20">
        <f t="shared" si="318"/>
        <v>103750</v>
      </c>
      <c r="AP1717" s="20">
        <f t="shared" si="319"/>
        <v>103750</v>
      </c>
      <c r="AQ1717" s="7"/>
      <c r="AR1717" s="24"/>
      <c r="AS1717" s="129"/>
    </row>
    <row r="1718" spans="1:45" s="21" customFormat="1" ht="30" customHeight="1" x14ac:dyDescent="0.2">
      <c r="A1718" s="8">
        <v>1476</v>
      </c>
      <c r="B1718" s="46">
        <v>4</v>
      </c>
      <c r="C1718" s="16" t="s">
        <v>52</v>
      </c>
      <c r="D1718" s="48">
        <v>31624</v>
      </c>
      <c r="E1718" s="47">
        <v>128</v>
      </c>
      <c r="F1718" s="48">
        <v>6224</v>
      </c>
      <c r="G1718" s="49">
        <v>1</v>
      </c>
      <c r="H1718" s="48">
        <v>0</v>
      </c>
      <c r="I1718" s="48">
        <v>0</v>
      </c>
      <c r="J1718" s="48">
        <v>45</v>
      </c>
      <c r="K1718" s="3">
        <v>45</v>
      </c>
      <c r="L1718" s="16"/>
      <c r="M1718" s="57"/>
      <c r="N1718" s="58"/>
      <c r="P1718" s="16">
        <v>1</v>
      </c>
      <c r="Q1718" s="20">
        <f t="shared" si="316"/>
        <v>45</v>
      </c>
      <c r="R1718" s="14">
        <v>250</v>
      </c>
      <c r="S1718" s="19">
        <f t="shared" si="317"/>
        <v>11250</v>
      </c>
      <c r="T1718" s="16"/>
      <c r="U1718" s="16"/>
      <c r="V1718" s="16"/>
      <c r="W1718" s="5"/>
      <c r="X1718" s="16"/>
      <c r="Y1718" s="5"/>
      <c r="Z1718" s="16"/>
      <c r="AA1718" s="16"/>
      <c r="AB1718" s="16"/>
      <c r="AE1718" s="16"/>
      <c r="AG1718" s="22">
        <f t="shared" si="313"/>
        <v>0</v>
      </c>
      <c r="AH1718" s="6"/>
      <c r="AJ1718" s="20">
        <f t="shared" si="315"/>
        <v>0</v>
      </c>
      <c r="AK1718" s="50"/>
      <c r="AL1718" s="6"/>
      <c r="AM1718" s="20">
        <f t="shared" si="314"/>
        <v>0</v>
      </c>
      <c r="AN1718" s="20">
        <f t="shared" si="318"/>
        <v>11250</v>
      </c>
      <c r="AP1718" s="20">
        <f t="shared" si="319"/>
        <v>11250</v>
      </c>
      <c r="AQ1718" s="7"/>
      <c r="AR1718" s="24"/>
      <c r="AS1718" s="129"/>
    </row>
    <row r="1719" spans="1:45" ht="30" customHeight="1" x14ac:dyDescent="0.2">
      <c r="A1719" s="2">
        <v>1477</v>
      </c>
      <c r="B1719" s="13">
        <v>5</v>
      </c>
      <c r="C1719" s="16" t="s">
        <v>69</v>
      </c>
      <c r="E1719" s="17">
        <v>162</v>
      </c>
      <c r="F1719" s="17">
        <v>13</v>
      </c>
      <c r="G1719" s="13">
        <v>1</v>
      </c>
      <c r="H1719" s="17">
        <v>8</v>
      </c>
      <c r="I1719" s="17">
        <v>3</v>
      </c>
      <c r="J1719" s="17">
        <v>22</v>
      </c>
      <c r="K1719" s="10">
        <v>3522</v>
      </c>
      <c r="P1719" s="17">
        <v>1</v>
      </c>
      <c r="Q1719" s="20">
        <f t="shared" si="316"/>
        <v>3522</v>
      </c>
      <c r="R1719" s="14">
        <v>160</v>
      </c>
      <c r="S1719" s="19">
        <f t="shared" si="317"/>
        <v>563520</v>
      </c>
      <c r="AG1719" s="22">
        <f t="shared" si="313"/>
        <v>0</v>
      </c>
      <c r="AJ1719" s="20">
        <f t="shared" si="315"/>
        <v>0</v>
      </c>
      <c r="AM1719" s="20">
        <f t="shared" si="314"/>
        <v>0</v>
      </c>
      <c r="AN1719" s="20">
        <f t="shared" si="318"/>
        <v>563520</v>
      </c>
      <c r="AP1719" s="20">
        <f t="shared" si="319"/>
        <v>563520</v>
      </c>
      <c r="AQ1719" s="12">
        <v>1E-4</v>
      </c>
      <c r="AR1719" s="25"/>
      <c r="AS1719" s="130"/>
    </row>
    <row r="1720" spans="1:45" s="21" customFormat="1" ht="30" customHeight="1" x14ac:dyDescent="0.2">
      <c r="A1720" s="8">
        <v>1478</v>
      </c>
      <c r="B1720" s="46">
        <v>1</v>
      </c>
      <c r="C1720" s="16" t="s">
        <v>52</v>
      </c>
      <c r="D1720" s="48">
        <v>29254</v>
      </c>
      <c r="E1720" s="47">
        <v>106</v>
      </c>
      <c r="F1720" s="48">
        <v>5449</v>
      </c>
      <c r="G1720" s="49">
        <v>1</v>
      </c>
      <c r="H1720" s="48">
        <v>4</v>
      </c>
      <c r="I1720" s="48">
        <v>0</v>
      </c>
      <c r="J1720" s="48">
        <v>35</v>
      </c>
      <c r="K1720" s="3">
        <v>1635</v>
      </c>
      <c r="L1720" s="16"/>
      <c r="M1720" s="57"/>
      <c r="N1720" s="58"/>
      <c r="P1720" s="16">
        <v>1</v>
      </c>
      <c r="Q1720" s="20">
        <f t="shared" si="316"/>
        <v>1635</v>
      </c>
      <c r="R1720" s="14">
        <v>160</v>
      </c>
      <c r="S1720" s="20">
        <f t="shared" si="317"/>
        <v>261600</v>
      </c>
      <c r="T1720" s="16"/>
      <c r="U1720" s="17"/>
      <c r="V1720" s="16"/>
      <c r="W1720" s="5"/>
      <c r="X1720" s="16"/>
      <c r="Y1720" s="5"/>
      <c r="Z1720" s="16"/>
      <c r="AA1720" s="16"/>
      <c r="AB1720" s="16"/>
      <c r="AE1720" s="16"/>
      <c r="AG1720" s="22">
        <f t="shared" si="313"/>
        <v>0</v>
      </c>
      <c r="AH1720" s="6"/>
      <c r="AJ1720" s="20">
        <f t="shared" si="315"/>
        <v>0</v>
      </c>
      <c r="AK1720" s="50"/>
      <c r="AL1720" s="6"/>
      <c r="AM1720" s="20">
        <f t="shared" si="314"/>
        <v>0</v>
      </c>
      <c r="AN1720" s="20">
        <f t="shared" si="318"/>
        <v>261600</v>
      </c>
      <c r="AP1720" s="20">
        <f t="shared" si="319"/>
        <v>261600</v>
      </c>
      <c r="AQ1720" s="7"/>
      <c r="AR1720" s="20"/>
      <c r="AS1720" s="51"/>
    </row>
    <row r="1721" spans="1:45" s="21" customFormat="1" ht="30" customHeight="1" x14ac:dyDescent="0.2">
      <c r="A1721" s="2">
        <v>1479</v>
      </c>
      <c r="B1721" s="46">
        <v>2</v>
      </c>
      <c r="C1721" s="16" t="s">
        <v>52</v>
      </c>
      <c r="D1721" s="48">
        <v>31628</v>
      </c>
      <c r="E1721" s="47">
        <v>132</v>
      </c>
      <c r="F1721" s="48">
        <v>6228</v>
      </c>
      <c r="G1721" s="49">
        <v>1</v>
      </c>
      <c r="H1721" s="48">
        <v>0</v>
      </c>
      <c r="I1721" s="48">
        <v>1</v>
      </c>
      <c r="J1721" s="48">
        <v>62</v>
      </c>
      <c r="K1721" s="3"/>
      <c r="L1721" s="16"/>
      <c r="M1721" s="57"/>
      <c r="N1721" s="58"/>
      <c r="P1721" s="16">
        <v>2</v>
      </c>
      <c r="Q1721" s="20">
        <f t="shared" si="316"/>
        <v>162</v>
      </c>
      <c r="R1721" s="14">
        <v>250</v>
      </c>
      <c r="S1721" s="19">
        <f t="shared" si="317"/>
        <v>40500</v>
      </c>
      <c r="T1721" s="16"/>
      <c r="U1721" s="17" t="s">
        <v>57</v>
      </c>
      <c r="V1721" s="17" t="s">
        <v>56</v>
      </c>
      <c r="W1721" s="4"/>
      <c r="X1721" s="16"/>
      <c r="Y1721" s="5">
        <v>84</v>
      </c>
      <c r="Z1721" s="16"/>
      <c r="AA1721" s="16"/>
      <c r="AB1721" s="16">
        <f>62-36</f>
        <v>26</v>
      </c>
      <c r="AE1721" s="16"/>
      <c r="AG1721" s="22">
        <f t="shared" si="313"/>
        <v>84</v>
      </c>
      <c r="AH1721" s="6"/>
      <c r="AJ1721" s="20">
        <f t="shared" si="315"/>
        <v>0</v>
      </c>
      <c r="AK1721" s="50">
        <v>26</v>
      </c>
      <c r="AL1721" s="6"/>
      <c r="AM1721" s="20">
        <f t="shared" si="314"/>
        <v>0</v>
      </c>
      <c r="AN1721" s="20">
        <f t="shared" si="318"/>
        <v>40500</v>
      </c>
      <c r="AP1721" s="20">
        <f t="shared" si="319"/>
        <v>40500</v>
      </c>
      <c r="AQ1721" s="7"/>
      <c r="AR1721" s="20"/>
      <c r="AS1721" s="51"/>
    </row>
    <row r="1722" spans="1:45" s="21" customFormat="1" ht="30" customHeight="1" x14ac:dyDescent="0.2">
      <c r="A1722" s="8">
        <v>1480</v>
      </c>
      <c r="B1722" s="46">
        <v>1</v>
      </c>
      <c r="C1722" s="16" t="s">
        <v>52</v>
      </c>
      <c r="D1722" s="48">
        <v>1144</v>
      </c>
      <c r="E1722" s="47">
        <v>82</v>
      </c>
      <c r="F1722" s="48">
        <v>956</v>
      </c>
      <c r="G1722" s="49">
        <v>1</v>
      </c>
      <c r="H1722" s="48">
        <v>2</v>
      </c>
      <c r="I1722" s="48">
        <v>2</v>
      </c>
      <c r="J1722" s="48">
        <v>87</v>
      </c>
      <c r="K1722" s="3">
        <f>1000+87</f>
        <v>1087</v>
      </c>
      <c r="L1722" s="16"/>
      <c r="M1722" s="57"/>
      <c r="N1722" s="58"/>
      <c r="P1722" s="16">
        <v>1</v>
      </c>
      <c r="Q1722" s="20">
        <f t="shared" si="316"/>
        <v>1087</v>
      </c>
      <c r="R1722" s="14">
        <v>160</v>
      </c>
      <c r="S1722" s="19">
        <f t="shared" si="317"/>
        <v>173920</v>
      </c>
      <c r="T1722" s="16"/>
      <c r="U1722" s="17"/>
      <c r="V1722" s="17"/>
      <c r="W1722" s="4"/>
      <c r="X1722" s="16"/>
      <c r="Y1722" s="5"/>
      <c r="Z1722" s="16"/>
      <c r="AA1722" s="16"/>
      <c r="AB1722" s="16"/>
      <c r="AE1722" s="16"/>
      <c r="AG1722" s="22">
        <f t="shared" si="313"/>
        <v>0</v>
      </c>
      <c r="AH1722" s="6"/>
      <c r="AJ1722" s="20">
        <f t="shared" si="315"/>
        <v>0</v>
      </c>
      <c r="AK1722" s="50"/>
      <c r="AL1722" s="6"/>
      <c r="AM1722" s="20">
        <f t="shared" si="314"/>
        <v>0</v>
      </c>
      <c r="AN1722" s="20">
        <f t="shared" si="318"/>
        <v>173920</v>
      </c>
      <c r="AP1722" s="20">
        <f t="shared" si="319"/>
        <v>173920</v>
      </c>
      <c r="AQ1722" s="7"/>
      <c r="AR1722" s="20"/>
      <c r="AS1722" s="51"/>
    </row>
    <row r="1723" spans="1:45" s="21" customFormat="1" ht="30" customHeight="1" x14ac:dyDescent="0.2">
      <c r="A1723" s="2">
        <v>1481</v>
      </c>
      <c r="B1723" s="46">
        <v>2</v>
      </c>
      <c r="C1723" s="16" t="s">
        <v>52</v>
      </c>
      <c r="D1723" s="48">
        <v>29190</v>
      </c>
      <c r="E1723" s="47">
        <v>103</v>
      </c>
      <c r="F1723" s="48">
        <v>5385</v>
      </c>
      <c r="G1723" s="49">
        <v>1</v>
      </c>
      <c r="H1723" s="48">
        <v>1</v>
      </c>
      <c r="I1723" s="48">
        <v>0</v>
      </c>
      <c r="J1723" s="48">
        <v>45</v>
      </c>
      <c r="K1723" s="3">
        <v>445</v>
      </c>
      <c r="L1723" s="16"/>
      <c r="M1723" s="57"/>
      <c r="N1723" s="58"/>
      <c r="P1723" s="16">
        <v>1</v>
      </c>
      <c r="Q1723" s="20">
        <f t="shared" si="316"/>
        <v>445</v>
      </c>
      <c r="R1723" s="14">
        <v>250</v>
      </c>
      <c r="S1723" s="20">
        <f t="shared" si="317"/>
        <v>111250</v>
      </c>
      <c r="T1723" s="16"/>
      <c r="U1723" s="17"/>
      <c r="V1723" s="17"/>
      <c r="W1723" s="4"/>
      <c r="X1723" s="16"/>
      <c r="Y1723" s="5"/>
      <c r="Z1723" s="16"/>
      <c r="AA1723" s="16"/>
      <c r="AB1723" s="16"/>
      <c r="AC1723" s="14"/>
      <c r="AD1723" s="14"/>
      <c r="AE1723" s="16"/>
      <c r="AG1723" s="22">
        <f t="shared" si="313"/>
        <v>0</v>
      </c>
      <c r="AH1723" s="6"/>
      <c r="AJ1723" s="20">
        <f t="shared" si="315"/>
        <v>0</v>
      </c>
      <c r="AK1723" s="50"/>
      <c r="AL1723" s="6"/>
      <c r="AM1723" s="20">
        <f t="shared" si="314"/>
        <v>0</v>
      </c>
      <c r="AN1723" s="20">
        <f t="shared" si="318"/>
        <v>111250</v>
      </c>
      <c r="AP1723" s="20">
        <f t="shared" si="319"/>
        <v>111250</v>
      </c>
      <c r="AQ1723" s="7"/>
      <c r="AR1723" s="20"/>
      <c r="AS1723" s="51"/>
    </row>
    <row r="1724" spans="1:45" s="21" customFormat="1" ht="30" customHeight="1" x14ac:dyDescent="0.2">
      <c r="A1724" s="8">
        <v>1482</v>
      </c>
      <c r="B1724" s="46">
        <v>3</v>
      </c>
      <c r="C1724" s="16" t="s">
        <v>52</v>
      </c>
      <c r="D1724" s="48">
        <v>29191</v>
      </c>
      <c r="E1724" s="47">
        <v>104</v>
      </c>
      <c r="F1724" s="48">
        <v>5386</v>
      </c>
      <c r="G1724" s="49">
        <v>1</v>
      </c>
      <c r="H1724" s="48">
        <v>0</v>
      </c>
      <c r="I1724" s="48">
        <v>0</v>
      </c>
      <c r="J1724" s="48">
        <v>90</v>
      </c>
      <c r="K1724" s="3">
        <v>90</v>
      </c>
      <c r="L1724" s="16"/>
      <c r="M1724" s="57"/>
      <c r="N1724" s="58"/>
      <c r="P1724" s="16">
        <v>1</v>
      </c>
      <c r="Q1724" s="20">
        <f t="shared" si="316"/>
        <v>90</v>
      </c>
      <c r="R1724" s="14">
        <v>250</v>
      </c>
      <c r="S1724" s="19">
        <f t="shared" si="317"/>
        <v>22500</v>
      </c>
      <c r="T1724" s="16"/>
      <c r="U1724" s="17"/>
      <c r="V1724" s="17"/>
      <c r="W1724" s="4"/>
      <c r="X1724" s="16"/>
      <c r="Y1724" s="5"/>
      <c r="Z1724" s="16"/>
      <c r="AA1724" s="16"/>
      <c r="AB1724" s="16"/>
      <c r="AE1724" s="16"/>
      <c r="AG1724" s="22">
        <f t="shared" si="313"/>
        <v>0</v>
      </c>
      <c r="AH1724" s="6"/>
      <c r="AJ1724" s="20">
        <f t="shared" si="315"/>
        <v>0</v>
      </c>
      <c r="AK1724" s="50"/>
      <c r="AL1724" s="6"/>
      <c r="AM1724" s="20">
        <f t="shared" si="314"/>
        <v>0</v>
      </c>
      <c r="AN1724" s="20">
        <f t="shared" si="318"/>
        <v>22500</v>
      </c>
      <c r="AP1724" s="20">
        <f t="shared" si="319"/>
        <v>22500</v>
      </c>
      <c r="AQ1724" s="7"/>
      <c r="AR1724" s="20"/>
      <c r="AS1724" s="51"/>
    </row>
    <row r="1725" spans="1:45" s="21" customFormat="1" ht="30" customHeight="1" x14ac:dyDescent="0.2">
      <c r="A1725" s="2">
        <v>1483</v>
      </c>
      <c r="B1725" s="46">
        <v>4</v>
      </c>
      <c r="C1725" s="16" t="s">
        <v>52</v>
      </c>
      <c r="D1725" s="48">
        <v>29255</v>
      </c>
      <c r="E1725" s="47">
        <v>107</v>
      </c>
      <c r="F1725" s="48">
        <v>5450</v>
      </c>
      <c r="G1725" s="49">
        <v>1</v>
      </c>
      <c r="H1725" s="48">
        <v>4</v>
      </c>
      <c r="I1725" s="48">
        <v>2</v>
      </c>
      <c r="J1725" s="48">
        <v>92</v>
      </c>
      <c r="K1725" s="3">
        <v>1892</v>
      </c>
      <c r="L1725" s="16"/>
      <c r="M1725" s="57"/>
      <c r="N1725" s="58"/>
      <c r="P1725" s="16">
        <v>1</v>
      </c>
      <c r="Q1725" s="20">
        <f t="shared" si="316"/>
        <v>1892</v>
      </c>
      <c r="R1725" s="14">
        <v>160</v>
      </c>
      <c r="S1725" s="19">
        <f t="shared" si="317"/>
        <v>302720</v>
      </c>
      <c r="T1725" s="16"/>
      <c r="U1725" s="17"/>
      <c r="V1725" s="17"/>
      <c r="W1725" s="4"/>
      <c r="X1725" s="16"/>
      <c r="Y1725" s="5"/>
      <c r="Z1725" s="16"/>
      <c r="AA1725" s="16"/>
      <c r="AB1725" s="16"/>
      <c r="AC1725" s="14"/>
      <c r="AD1725" s="14"/>
      <c r="AE1725" s="16"/>
      <c r="AG1725" s="22">
        <f t="shared" si="313"/>
        <v>0</v>
      </c>
      <c r="AH1725" s="6"/>
      <c r="AJ1725" s="20">
        <f t="shared" si="315"/>
        <v>0</v>
      </c>
      <c r="AK1725" s="50"/>
      <c r="AL1725" s="6"/>
      <c r="AM1725" s="20">
        <f t="shared" si="314"/>
        <v>0</v>
      </c>
      <c r="AN1725" s="20">
        <f t="shared" si="318"/>
        <v>302720</v>
      </c>
      <c r="AP1725" s="20">
        <f t="shared" si="319"/>
        <v>302720</v>
      </c>
      <c r="AQ1725" s="7"/>
      <c r="AR1725" s="20"/>
      <c r="AS1725" s="51"/>
    </row>
    <row r="1726" spans="1:45" s="21" customFormat="1" ht="30" customHeight="1" x14ac:dyDescent="0.2">
      <c r="A1726" s="2">
        <v>1484</v>
      </c>
      <c r="B1726" s="46">
        <v>1</v>
      </c>
      <c r="C1726" s="16" t="s">
        <v>52</v>
      </c>
      <c r="D1726" s="48">
        <v>2795</v>
      </c>
      <c r="E1726" s="47">
        <v>13</v>
      </c>
      <c r="F1726" s="48">
        <v>1988</v>
      </c>
      <c r="G1726" s="49">
        <v>1</v>
      </c>
      <c r="H1726" s="48">
        <v>4</v>
      </c>
      <c r="I1726" s="48">
        <v>1</v>
      </c>
      <c r="J1726" s="48">
        <v>43</v>
      </c>
      <c r="K1726" s="3">
        <v>1743</v>
      </c>
      <c r="L1726" s="16"/>
      <c r="M1726" s="57"/>
      <c r="N1726" s="58"/>
      <c r="P1726" s="16">
        <v>1</v>
      </c>
      <c r="Q1726" s="20">
        <f t="shared" si="316"/>
        <v>1743</v>
      </c>
      <c r="R1726" s="14">
        <v>160</v>
      </c>
      <c r="S1726" s="20">
        <f t="shared" si="317"/>
        <v>278880</v>
      </c>
      <c r="T1726" s="16"/>
      <c r="U1726" s="16"/>
      <c r="V1726" s="16"/>
      <c r="W1726" s="5"/>
      <c r="X1726" s="16"/>
      <c r="Y1726" s="5"/>
      <c r="Z1726" s="16"/>
      <c r="AA1726" s="16"/>
      <c r="AB1726" s="16"/>
      <c r="AC1726" s="14"/>
      <c r="AD1726" s="14"/>
      <c r="AE1726" s="16"/>
      <c r="AG1726" s="22">
        <f t="shared" si="313"/>
        <v>0</v>
      </c>
      <c r="AH1726" s="6"/>
      <c r="AJ1726" s="20">
        <f t="shared" si="315"/>
        <v>0</v>
      </c>
      <c r="AK1726" s="50"/>
      <c r="AL1726" s="6"/>
      <c r="AM1726" s="20">
        <f t="shared" si="314"/>
        <v>0</v>
      </c>
      <c r="AN1726" s="20">
        <f t="shared" si="318"/>
        <v>278880</v>
      </c>
      <c r="AP1726" s="20">
        <f t="shared" si="319"/>
        <v>278880</v>
      </c>
      <c r="AQ1726" s="7"/>
      <c r="AR1726" s="20"/>
      <c r="AS1726" s="51"/>
    </row>
    <row r="1727" spans="1:45" s="21" customFormat="1" ht="30" customHeight="1" x14ac:dyDescent="0.2">
      <c r="A1727" s="131">
        <v>1485</v>
      </c>
      <c r="B1727" s="46">
        <v>2</v>
      </c>
      <c r="C1727" s="16" t="s">
        <v>52</v>
      </c>
      <c r="D1727" s="48">
        <v>431</v>
      </c>
      <c r="E1727" s="47">
        <v>504</v>
      </c>
      <c r="F1727" s="48">
        <v>6</v>
      </c>
      <c r="G1727" s="49">
        <v>2</v>
      </c>
      <c r="H1727" s="48">
        <v>2</v>
      </c>
      <c r="I1727" s="48">
        <v>0</v>
      </c>
      <c r="J1727" s="48">
        <v>75.09</v>
      </c>
      <c r="K1727" s="3">
        <f>875.09-L1727</f>
        <v>836.09</v>
      </c>
      <c r="L1727" s="16">
        <f>+(108+48)/4</f>
        <v>39</v>
      </c>
      <c r="M1727" s="57"/>
      <c r="N1727" s="58"/>
      <c r="P1727" s="16">
        <v>2</v>
      </c>
      <c r="Q1727" s="20">
        <f t="shared" si="316"/>
        <v>875.09</v>
      </c>
      <c r="R1727" s="14">
        <v>160</v>
      </c>
      <c r="S1727" s="19">
        <f t="shared" si="317"/>
        <v>140014.39999999999</v>
      </c>
      <c r="T1727" s="16">
        <v>1</v>
      </c>
      <c r="U1727" s="17" t="s">
        <v>57</v>
      </c>
      <c r="V1727" s="17" t="s">
        <v>56</v>
      </c>
      <c r="W1727" s="4"/>
      <c r="X1727" s="16"/>
      <c r="Y1727" s="5">
        <v>108</v>
      </c>
      <c r="Z1727" s="16"/>
      <c r="AA1727" s="16"/>
      <c r="AB1727" s="16">
        <f>62-55</f>
        <v>7</v>
      </c>
      <c r="AC1727" s="14"/>
      <c r="AD1727" s="14"/>
      <c r="AE1727" s="16"/>
      <c r="AG1727" s="22">
        <f t="shared" si="313"/>
        <v>108</v>
      </c>
      <c r="AH1727" s="6"/>
      <c r="AJ1727" s="20">
        <f t="shared" si="315"/>
        <v>0</v>
      </c>
      <c r="AK1727" s="50">
        <v>7</v>
      </c>
      <c r="AL1727" s="6"/>
      <c r="AM1727" s="20">
        <f t="shared" si="314"/>
        <v>0</v>
      </c>
      <c r="AN1727" s="20">
        <f t="shared" si="318"/>
        <v>140014.39999999999</v>
      </c>
      <c r="AP1727" s="20">
        <f t="shared" si="319"/>
        <v>140014.39999999999</v>
      </c>
      <c r="AQ1727" s="7"/>
      <c r="AR1727" s="20"/>
      <c r="AS1727" s="51"/>
    </row>
    <row r="1728" spans="1:45" s="21" customFormat="1" ht="30" customHeight="1" x14ac:dyDescent="0.2">
      <c r="A1728" s="131"/>
      <c r="B1728" s="46"/>
      <c r="C1728" s="16"/>
      <c r="D1728" s="48"/>
      <c r="E1728" s="47"/>
      <c r="F1728" s="48"/>
      <c r="G1728" s="49"/>
      <c r="H1728" s="48"/>
      <c r="I1728" s="48"/>
      <c r="J1728" s="48"/>
      <c r="K1728" s="3"/>
      <c r="L1728" s="16"/>
      <c r="M1728" s="57"/>
      <c r="N1728" s="58"/>
      <c r="P1728" s="16"/>
      <c r="Q1728" s="20">
        <f t="shared" si="316"/>
        <v>0</v>
      </c>
      <c r="R1728" s="14" t="e">
        <v>#N/A</v>
      </c>
      <c r="S1728" s="20" t="e">
        <f t="shared" si="317"/>
        <v>#N/A</v>
      </c>
      <c r="T1728" s="16">
        <v>2</v>
      </c>
      <c r="U1728" s="17" t="s">
        <v>57</v>
      </c>
      <c r="V1728" s="17" t="s">
        <v>56</v>
      </c>
      <c r="W1728" s="4"/>
      <c r="X1728" s="16"/>
      <c r="Y1728" s="5">
        <v>48</v>
      </c>
      <c r="Z1728" s="16"/>
      <c r="AA1728" s="16"/>
      <c r="AB1728" s="16">
        <f>62-56</f>
        <v>6</v>
      </c>
      <c r="AC1728" s="14"/>
      <c r="AD1728" s="14"/>
      <c r="AE1728" s="16"/>
      <c r="AG1728" s="22">
        <f t="shared" si="313"/>
        <v>48</v>
      </c>
      <c r="AH1728" s="6"/>
      <c r="AJ1728" s="20">
        <f t="shared" si="315"/>
        <v>0</v>
      </c>
      <c r="AK1728" s="50">
        <v>6</v>
      </c>
      <c r="AL1728" s="6"/>
      <c r="AM1728" s="20">
        <f t="shared" si="314"/>
        <v>0</v>
      </c>
      <c r="AN1728" s="20" t="e">
        <f t="shared" si="318"/>
        <v>#N/A</v>
      </c>
      <c r="AP1728" s="20" t="e">
        <f t="shared" si="319"/>
        <v>#N/A</v>
      </c>
      <c r="AQ1728" s="7"/>
      <c r="AR1728" s="20"/>
      <c r="AS1728" s="51"/>
    </row>
    <row r="1729" spans="1:45" s="21" customFormat="1" ht="30" customHeight="1" x14ac:dyDescent="0.2">
      <c r="A1729" s="8">
        <v>1486</v>
      </c>
      <c r="B1729" s="46">
        <v>1</v>
      </c>
      <c r="C1729" s="16" t="s">
        <v>52</v>
      </c>
      <c r="D1729" s="48">
        <v>29188</v>
      </c>
      <c r="E1729" s="47">
        <v>101</v>
      </c>
      <c r="F1729" s="48">
        <v>5383</v>
      </c>
      <c r="G1729" s="49">
        <v>1</v>
      </c>
      <c r="H1729" s="48">
        <v>0</v>
      </c>
      <c r="I1729" s="48">
        <v>2</v>
      </c>
      <c r="J1729" s="48">
        <v>38</v>
      </c>
      <c r="K1729" s="3"/>
      <c r="L1729" s="16">
        <v>46</v>
      </c>
      <c r="M1729" s="57"/>
      <c r="N1729" s="58"/>
      <c r="P1729" s="16">
        <v>2</v>
      </c>
      <c r="Q1729" s="20">
        <f t="shared" si="316"/>
        <v>238</v>
      </c>
      <c r="R1729" s="14">
        <v>250</v>
      </c>
      <c r="S1729" s="19">
        <f t="shared" si="317"/>
        <v>59500</v>
      </c>
      <c r="T1729" s="16">
        <v>1</v>
      </c>
      <c r="U1729" s="17" t="s">
        <v>57</v>
      </c>
      <c r="V1729" s="17" t="s">
        <v>56</v>
      </c>
      <c r="W1729" s="4"/>
      <c r="X1729" s="16"/>
      <c r="Y1729" s="5">
        <v>184</v>
      </c>
      <c r="Z1729" s="16"/>
      <c r="AA1729" s="16"/>
      <c r="AB1729" s="16">
        <f>62-44</f>
        <v>18</v>
      </c>
      <c r="AC1729" s="14"/>
      <c r="AD1729" s="14"/>
      <c r="AE1729" s="16"/>
      <c r="AG1729" s="22">
        <f t="shared" si="313"/>
        <v>184</v>
      </c>
      <c r="AH1729" s="6"/>
      <c r="AJ1729" s="20">
        <f t="shared" si="315"/>
        <v>0</v>
      </c>
      <c r="AK1729" s="50">
        <v>18</v>
      </c>
      <c r="AL1729" s="6"/>
      <c r="AM1729" s="20">
        <f t="shared" si="314"/>
        <v>0</v>
      </c>
      <c r="AN1729" s="20">
        <f t="shared" si="318"/>
        <v>59500</v>
      </c>
      <c r="AP1729" s="20">
        <f t="shared" si="319"/>
        <v>59500</v>
      </c>
      <c r="AQ1729" s="7"/>
      <c r="AR1729" s="20"/>
      <c r="AS1729" s="51"/>
    </row>
    <row r="1730" spans="1:45" s="21" customFormat="1" ht="30" customHeight="1" x14ac:dyDescent="0.2">
      <c r="A1730" s="8">
        <v>1487</v>
      </c>
      <c r="B1730" s="46">
        <v>2</v>
      </c>
      <c r="C1730" s="16" t="s">
        <v>52</v>
      </c>
      <c r="D1730" s="48">
        <v>31625</v>
      </c>
      <c r="E1730" s="47">
        <v>129</v>
      </c>
      <c r="F1730" s="48">
        <v>6225</v>
      </c>
      <c r="G1730" s="49">
        <v>1</v>
      </c>
      <c r="H1730" s="48">
        <v>0</v>
      </c>
      <c r="I1730" s="48">
        <v>0</v>
      </c>
      <c r="J1730" s="48">
        <v>43</v>
      </c>
      <c r="K1730" s="3">
        <v>43</v>
      </c>
      <c r="L1730" s="16"/>
      <c r="M1730" s="57"/>
      <c r="N1730" s="58"/>
      <c r="P1730" s="16">
        <v>1</v>
      </c>
      <c r="Q1730" s="20">
        <f t="shared" si="316"/>
        <v>43</v>
      </c>
      <c r="R1730" s="14">
        <v>250</v>
      </c>
      <c r="S1730" s="19">
        <f t="shared" si="317"/>
        <v>10750</v>
      </c>
      <c r="T1730" s="16"/>
      <c r="U1730" s="17"/>
      <c r="V1730" s="17"/>
      <c r="W1730" s="4"/>
      <c r="X1730" s="16"/>
      <c r="Y1730" s="5"/>
      <c r="Z1730" s="16"/>
      <c r="AA1730" s="16"/>
      <c r="AB1730" s="16"/>
      <c r="AE1730" s="16"/>
      <c r="AG1730" s="22">
        <f t="shared" si="313"/>
        <v>0</v>
      </c>
      <c r="AH1730" s="6"/>
      <c r="AJ1730" s="20">
        <f t="shared" si="315"/>
        <v>0</v>
      </c>
      <c r="AK1730" s="50"/>
      <c r="AL1730" s="6"/>
      <c r="AM1730" s="20">
        <f t="shared" si="314"/>
        <v>0</v>
      </c>
      <c r="AN1730" s="20">
        <f t="shared" si="318"/>
        <v>10750</v>
      </c>
      <c r="AP1730" s="20">
        <f t="shared" si="319"/>
        <v>10750</v>
      </c>
      <c r="AQ1730" s="7"/>
      <c r="AR1730" s="20"/>
      <c r="AS1730" s="51"/>
    </row>
    <row r="1731" spans="1:45" s="21" customFormat="1" ht="30" customHeight="1" x14ac:dyDescent="0.2">
      <c r="A1731" s="8">
        <v>1488</v>
      </c>
      <c r="B1731" s="46">
        <v>1</v>
      </c>
      <c r="C1731" s="16" t="s">
        <v>52</v>
      </c>
      <c r="D1731" s="48">
        <v>979</v>
      </c>
      <c r="E1731" s="47">
        <v>25</v>
      </c>
      <c r="F1731" s="48">
        <v>223</v>
      </c>
      <c r="G1731" s="49">
        <v>1</v>
      </c>
      <c r="H1731" s="48">
        <v>2</v>
      </c>
      <c r="I1731" s="48">
        <v>2</v>
      </c>
      <c r="J1731" s="48">
        <v>68</v>
      </c>
      <c r="K1731" s="3">
        <v>1068</v>
      </c>
      <c r="L1731" s="16"/>
      <c r="M1731" s="57"/>
      <c r="N1731" s="58"/>
      <c r="P1731" s="16">
        <v>1</v>
      </c>
      <c r="Q1731" s="20">
        <f t="shared" si="316"/>
        <v>1068</v>
      </c>
      <c r="R1731" s="14">
        <v>160</v>
      </c>
      <c r="S1731" s="20">
        <f t="shared" si="317"/>
        <v>170880</v>
      </c>
      <c r="T1731" s="16"/>
      <c r="U1731" s="17"/>
      <c r="V1731" s="17"/>
      <c r="W1731" s="4"/>
      <c r="X1731" s="16"/>
      <c r="Y1731" s="5"/>
      <c r="Z1731" s="16"/>
      <c r="AA1731" s="16"/>
      <c r="AB1731" s="16"/>
      <c r="AE1731" s="16"/>
      <c r="AG1731" s="22">
        <f t="shared" si="313"/>
        <v>0</v>
      </c>
      <c r="AH1731" s="6"/>
      <c r="AJ1731" s="20">
        <f t="shared" si="315"/>
        <v>0</v>
      </c>
      <c r="AK1731" s="50"/>
      <c r="AL1731" s="6"/>
      <c r="AM1731" s="20">
        <f t="shared" si="314"/>
        <v>0</v>
      </c>
      <c r="AN1731" s="20">
        <f t="shared" si="318"/>
        <v>170880</v>
      </c>
      <c r="AP1731" s="20">
        <f t="shared" si="319"/>
        <v>170880</v>
      </c>
      <c r="AQ1731" s="7"/>
      <c r="AR1731" s="60"/>
      <c r="AS1731" s="128">
        <v>76</v>
      </c>
    </row>
    <row r="1732" spans="1:45" s="21" customFormat="1" ht="30" customHeight="1" x14ac:dyDescent="0.2">
      <c r="A1732" s="8">
        <v>1489</v>
      </c>
      <c r="B1732" s="46">
        <v>2</v>
      </c>
      <c r="C1732" s="16" t="s">
        <v>52</v>
      </c>
      <c r="D1732" s="48">
        <v>4656</v>
      </c>
      <c r="E1732" s="47">
        <v>48</v>
      </c>
      <c r="F1732" s="48">
        <v>2482</v>
      </c>
      <c r="G1732" s="49">
        <v>1</v>
      </c>
      <c r="H1732" s="48">
        <v>7</v>
      </c>
      <c r="I1732" s="48">
        <v>1</v>
      </c>
      <c r="J1732" s="48">
        <v>60</v>
      </c>
      <c r="K1732" s="3">
        <f>7*400+160</f>
        <v>2960</v>
      </c>
      <c r="L1732" s="16"/>
      <c r="M1732" s="57"/>
      <c r="N1732" s="58"/>
      <c r="P1732" s="16">
        <v>1</v>
      </c>
      <c r="Q1732" s="20">
        <f t="shared" si="316"/>
        <v>2960</v>
      </c>
      <c r="R1732" s="14">
        <v>160</v>
      </c>
      <c r="S1732" s="19">
        <f t="shared" si="317"/>
        <v>473600</v>
      </c>
      <c r="T1732" s="16"/>
      <c r="U1732" s="17"/>
      <c r="V1732" s="17"/>
      <c r="W1732" s="4"/>
      <c r="X1732" s="16"/>
      <c r="Y1732" s="5"/>
      <c r="Z1732" s="16"/>
      <c r="AA1732" s="16"/>
      <c r="AB1732" s="16"/>
      <c r="AE1732" s="16"/>
      <c r="AG1732" s="22">
        <f t="shared" si="313"/>
        <v>0</v>
      </c>
      <c r="AH1732" s="6"/>
      <c r="AJ1732" s="20">
        <f t="shared" si="315"/>
        <v>0</v>
      </c>
      <c r="AK1732" s="50"/>
      <c r="AL1732" s="6"/>
      <c r="AM1732" s="20">
        <f t="shared" si="314"/>
        <v>0</v>
      </c>
      <c r="AN1732" s="20">
        <f t="shared" si="318"/>
        <v>473600</v>
      </c>
      <c r="AP1732" s="20">
        <f t="shared" si="319"/>
        <v>473600</v>
      </c>
      <c r="AQ1732" s="7"/>
      <c r="AR1732" s="24"/>
      <c r="AS1732" s="129"/>
    </row>
    <row r="1733" spans="1:45" s="21" customFormat="1" ht="30" customHeight="1" x14ac:dyDescent="0.2">
      <c r="A1733" s="8">
        <v>1490</v>
      </c>
      <c r="B1733" s="46">
        <v>3</v>
      </c>
      <c r="C1733" s="16" t="s">
        <v>52</v>
      </c>
      <c r="D1733" s="48">
        <v>31626</v>
      </c>
      <c r="E1733" s="47">
        <v>130</v>
      </c>
      <c r="F1733" s="48">
        <v>6226</v>
      </c>
      <c r="G1733" s="49">
        <v>1</v>
      </c>
      <c r="H1733" s="48">
        <v>0</v>
      </c>
      <c r="I1733" s="48">
        <v>0</v>
      </c>
      <c r="J1733" s="48">
        <v>83</v>
      </c>
      <c r="K1733" s="3">
        <v>83</v>
      </c>
      <c r="L1733" s="16"/>
      <c r="M1733" s="57"/>
      <c r="N1733" s="58"/>
      <c r="P1733" s="16">
        <v>1</v>
      </c>
      <c r="Q1733" s="20">
        <f t="shared" si="316"/>
        <v>83</v>
      </c>
      <c r="R1733" s="14">
        <v>250</v>
      </c>
      <c r="S1733" s="19">
        <f t="shared" si="317"/>
        <v>20750</v>
      </c>
      <c r="T1733" s="16"/>
      <c r="U1733" s="16"/>
      <c r="V1733" s="16"/>
      <c r="W1733" s="5"/>
      <c r="X1733" s="16"/>
      <c r="Y1733" s="5"/>
      <c r="Z1733" s="16"/>
      <c r="AA1733" s="16"/>
      <c r="AB1733" s="16"/>
      <c r="AE1733" s="16"/>
      <c r="AG1733" s="22">
        <f t="shared" si="313"/>
        <v>0</v>
      </c>
      <c r="AH1733" s="6"/>
      <c r="AJ1733" s="20">
        <f t="shared" si="315"/>
        <v>0</v>
      </c>
      <c r="AK1733" s="50"/>
      <c r="AL1733" s="6"/>
      <c r="AM1733" s="20">
        <f t="shared" si="314"/>
        <v>0</v>
      </c>
      <c r="AN1733" s="20">
        <f t="shared" si="318"/>
        <v>20750</v>
      </c>
      <c r="AP1733" s="20">
        <f t="shared" si="319"/>
        <v>20750</v>
      </c>
      <c r="AQ1733" s="7"/>
      <c r="AR1733" s="24"/>
      <c r="AS1733" s="129"/>
    </row>
    <row r="1734" spans="1:45" s="21" customFormat="1" ht="30" customHeight="1" x14ac:dyDescent="0.2">
      <c r="A1734" s="8">
        <v>1491</v>
      </c>
      <c r="B1734" s="46">
        <v>4</v>
      </c>
      <c r="C1734" s="16" t="s">
        <v>52</v>
      </c>
      <c r="D1734" s="48">
        <v>31640</v>
      </c>
      <c r="E1734" s="47">
        <v>317</v>
      </c>
      <c r="F1734" s="48">
        <v>6210</v>
      </c>
      <c r="G1734" s="49">
        <v>1</v>
      </c>
      <c r="H1734" s="48">
        <v>0</v>
      </c>
      <c r="I1734" s="48">
        <v>0</v>
      </c>
      <c r="J1734" s="48">
        <v>46</v>
      </c>
      <c r="K1734" s="3"/>
      <c r="L1734" s="16">
        <v>46</v>
      </c>
      <c r="M1734" s="57"/>
      <c r="N1734" s="58"/>
      <c r="P1734" s="16">
        <v>2</v>
      </c>
      <c r="Q1734" s="20">
        <f t="shared" si="316"/>
        <v>46</v>
      </c>
      <c r="R1734" s="14">
        <v>3000</v>
      </c>
      <c r="S1734" s="20">
        <f t="shared" si="317"/>
        <v>138000</v>
      </c>
      <c r="T1734" s="16">
        <v>1</v>
      </c>
      <c r="U1734" s="17" t="s">
        <v>57</v>
      </c>
      <c r="V1734" s="16" t="s">
        <v>56</v>
      </c>
      <c r="W1734" s="5">
        <v>114</v>
      </c>
      <c r="X1734" s="16"/>
      <c r="Y1734" s="5">
        <v>78</v>
      </c>
      <c r="Z1734" s="16"/>
      <c r="AA1734" s="16"/>
      <c r="AB1734" s="16">
        <v>35</v>
      </c>
      <c r="AE1734" s="16">
        <f>36/114</f>
        <v>0.31578947368421051</v>
      </c>
      <c r="AF1734" s="21">
        <v>2</v>
      </c>
      <c r="AG1734" s="22">
        <v>114</v>
      </c>
      <c r="AH1734" s="6">
        <v>0.69</v>
      </c>
      <c r="AI1734" s="21">
        <v>7250</v>
      </c>
      <c r="AJ1734" s="20">
        <f t="shared" si="315"/>
        <v>570285</v>
      </c>
      <c r="AK1734" s="50">
        <v>35</v>
      </c>
      <c r="AL1734" s="6">
        <v>0.6</v>
      </c>
      <c r="AM1734" s="20">
        <f t="shared" si="314"/>
        <v>228114</v>
      </c>
      <c r="AN1734" s="20">
        <f>+(S1734*AH1734)+AM1734</f>
        <v>323334</v>
      </c>
      <c r="AP1734" s="20">
        <f t="shared" si="319"/>
        <v>323334</v>
      </c>
      <c r="AQ1734" s="7"/>
      <c r="AR1734" s="24"/>
      <c r="AS1734" s="129"/>
    </row>
    <row r="1735" spans="1:45" s="21" customFormat="1" ht="30" customHeight="1" x14ac:dyDescent="0.2">
      <c r="A1735" s="8"/>
      <c r="B1735" s="46"/>
      <c r="C1735" s="16"/>
      <c r="D1735" s="48"/>
      <c r="E1735" s="47"/>
      <c r="F1735" s="48"/>
      <c r="G1735" s="49"/>
      <c r="H1735" s="48"/>
      <c r="I1735" s="48"/>
      <c r="J1735" s="48"/>
      <c r="K1735" s="3"/>
      <c r="L1735" s="16"/>
      <c r="M1735" s="57"/>
      <c r="N1735" s="58"/>
      <c r="P1735" s="16"/>
      <c r="Q1735" s="20"/>
      <c r="R1735" s="14"/>
      <c r="S1735" s="20"/>
      <c r="T1735" s="16"/>
      <c r="U1735" s="17"/>
      <c r="V1735" s="16"/>
      <c r="W1735" s="5"/>
      <c r="X1735" s="16"/>
      <c r="Y1735" s="5"/>
      <c r="Z1735" s="16">
        <v>36</v>
      </c>
      <c r="AA1735" s="16"/>
      <c r="AB1735" s="16"/>
      <c r="AE1735" s="16"/>
      <c r="AF1735" s="21">
        <v>3</v>
      </c>
      <c r="AG1735" s="22">
        <v>114</v>
      </c>
      <c r="AH1735" s="6">
        <v>0.31</v>
      </c>
      <c r="AI1735" s="21">
        <v>7250</v>
      </c>
      <c r="AJ1735" s="20">
        <f t="shared" si="315"/>
        <v>256214.99999999997</v>
      </c>
      <c r="AK1735" s="50">
        <v>35</v>
      </c>
      <c r="AL1735" s="6">
        <v>0.6</v>
      </c>
      <c r="AM1735" s="20">
        <f t="shared" si="314"/>
        <v>102486</v>
      </c>
      <c r="AN1735" s="20">
        <f>+(S1734*AH1735)+AM1735</f>
        <v>145266</v>
      </c>
      <c r="AP1735" s="20">
        <f t="shared" si="319"/>
        <v>145266</v>
      </c>
      <c r="AQ1735" s="7">
        <v>3.0000000000000001E-3</v>
      </c>
      <c r="AR1735" s="24"/>
      <c r="AS1735" s="129"/>
    </row>
    <row r="1736" spans="1:45" s="21" customFormat="1" ht="30" customHeight="1" x14ac:dyDescent="0.2">
      <c r="A1736" s="8">
        <v>1492</v>
      </c>
      <c r="B1736" s="46">
        <v>5</v>
      </c>
      <c r="C1736" s="16" t="s">
        <v>52</v>
      </c>
      <c r="D1736" s="48">
        <v>34027</v>
      </c>
      <c r="E1736" s="47">
        <v>348</v>
      </c>
      <c r="F1736" s="48">
        <v>6763</v>
      </c>
      <c r="G1736" s="49">
        <v>1</v>
      </c>
      <c r="H1736" s="48">
        <v>0</v>
      </c>
      <c r="I1736" s="48">
        <v>0</v>
      </c>
      <c r="J1736" s="48">
        <v>95</v>
      </c>
      <c r="K1736" s="3"/>
      <c r="L1736" s="16"/>
      <c r="M1736" s="57"/>
      <c r="N1736" s="58">
        <v>95</v>
      </c>
      <c r="P1736" s="16">
        <v>4</v>
      </c>
      <c r="Q1736" s="20">
        <f t="shared" si="316"/>
        <v>95</v>
      </c>
      <c r="R1736" s="14">
        <v>4500</v>
      </c>
      <c r="S1736" s="19">
        <f t="shared" si="317"/>
        <v>427500</v>
      </c>
      <c r="T1736" s="16"/>
      <c r="U1736" s="17"/>
      <c r="V1736" s="17"/>
      <c r="W1736" s="4"/>
      <c r="X1736" s="16"/>
      <c r="Y1736" s="5"/>
      <c r="Z1736" s="16"/>
      <c r="AA1736" s="16"/>
      <c r="AB1736" s="16"/>
      <c r="AE1736" s="16"/>
      <c r="AG1736" s="22">
        <f t="shared" si="313"/>
        <v>0</v>
      </c>
      <c r="AH1736" s="6"/>
      <c r="AJ1736" s="20">
        <f t="shared" si="315"/>
        <v>0</v>
      </c>
      <c r="AK1736" s="50"/>
      <c r="AL1736" s="6"/>
      <c r="AM1736" s="20">
        <f t="shared" si="314"/>
        <v>0</v>
      </c>
      <c r="AN1736" s="20">
        <f t="shared" ref="AN1736:AN1743" si="320">+S1736+AM1736</f>
        <v>427500</v>
      </c>
      <c r="AP1736" s="20">
        <f t="shared" si="319"/>
        <v>427500</v>
      </c>
      <c r="AQ1736" s="7">
        <v>3.0000000000000001E-3</v>
      </c>
      <c r="AR1736" s="24"/>
      <c r="AS1736" s="129"/>
    </row>
    <row r="1737" spans="1:45" ht="30" customHeight="1" x14ac:dyDescent="0.2">
      <c r="A1737" s="8">
        <v>1493</v>
      </c>
      <c r="B1737" s="13">
        <v>6</v>
      </c>
      <c r="C1737" s="16" t="s">
        <v>65</v>
      </c>
      <c r="D1737" s="17">
        <v>1491</v>
      </c>
      <c r="E1737" s="17">
        <v>71</v>
      </c>
      <c r="G1737" s="13">
        <v>1</v>
      </c>
      <c r="H1737" s="17">
        <v>6</v>
      </c>
      <c r="I1737" s="17">
        <v>1</v>
      </c>
      <c r="J1737" s="17">
        <v>53</v>
      </c>
      <c r="K1737" s="10">
        <f>6*400+153</f>
        <v>2553</v>
      </c>
      <c r="P1737" s="17">
        <v>1</v>
      </c>
      <c r="Q1737" s="20">
        <f t="shared" si="316"/>
        <v>2553</v>
      </c>
      <c r="R1737" s="14">
        <v>160</v>
      </c>
      <c r="S1737" s="19">
        <f t="shared" si="317"/>
        <v>408480</v>
      </c>
      <c r="AG1737" s="22">
        <f t="shared" si="313"/>
        <v>0</v>
      </c>
      <c r="AJ1737" s="20">
        <f t="shared" si="315"/>
        <v>0</v>
      </c>
      <c r="AM1737" s="20">
        <f t="shared" si="314"/>
        <v>0</v>
      </c>
      <c r="AN1737" s="20">
        <f t="shared" si="320"/>
        <v>408480</v>
      </c>
      <c r="AP1737" s="20">
        <f t="shared" si="319"/>
        <v>408480</v>
      </c>
      <c r="AQ1737" s="12">
        <v>1E-4</v>
      </c>
      <c r="AR1737" s="25"/>
      <c r="AS1737" s="130"/>
    </row>
    <row r="1738" spans="1:45" s="21" customFormat="1" ht="30" customHeight="1" x14ac:dyDescent="0.2">
      <c r="A1738" s="8">
        <v>1494</v>
      </c>
      <c r="B1738" s="46">
        <v>1</v>
      </c>
      <c r="C1738" s="16" t="s">
        <v>52</v>
      </c>
      <c r="D1738" s="48">
        <v>1173</v>
      </c>
      <c r="E1738" s="47">
        <v>5</v>
      </c>
      <c r="F1738" s="48">
        <v>1012</v>
      </c>
      <c r="G1738" s="49">
        <v>1</v>
      </c>
      <c r="H1738" s="48">
        <v>11</v>
      </c>
      <c r="I1738" s="48">
        <v>0</v>
      </c>
      <c r="J1738" s="48">
        <v>43</v>
      </c>
      <c r="K1738" s="3">
        <f>11*400+43</f>
        <v>4443</v>
      </c>
      <c r="L1738" s="16"/>
      <c r="M1738" s="57"/>
      <c r="N1738" s="58"/>
      <c r="P1738" s="16">
        <v>1</v>
      </c>
      <c r="Q1738" s="20">
        <f t="shared" si="316"/>
        <v>4443</v>
      </c>
      <c r="R1738" s="14">
        <v>160</v>
      </c>
      <c r="S1738" s="20">
        <f t="shared" si="317"/>
        <v>710880</v>
      </c>
      <c r="T1738" s="16"/>
      <c r="U1738" s="17"/>
      <c r="V1738" s="17"/>
      <c r="W1738" s="4"/>
      <c r="X1738" s="16"/>
      <c r="Y1738" s="5"/>
      <c r="Z1738" s="16"/>
      <c r="AA1738" s="16"/>
      <c r="AB1738" s="16"/>
      <c r="AE1738" s="16"/>
      <c r="AG1738" s="22">
        <f t="shared" si="313"/>
        <v>0</v>
      </c>
      <c r="AH1738" s="6"/>
      <c r="AJ1738" s="20">
        <f t="shared" si="315"/>
        <v>0</v>
      </c>
      <c r="AK1738" s="50"/>
      <c r="AL1738" s="6"/>
      <c r="AM1738" s="20">
        <f t="shared" si="314"/>
        <v>0</v>
      </c>
      <c r="AN1738" s="20">
        <f t="shared" si="320"/>
        <v>710880</v>
      </c>
      <c r="AP1738" s="20">
        <f t="shared" si="319"/>
        <v>710880</v>
      </c>
      <c r="AQ1738" s="7"/>
      <c r="AR1738" s="20"/>
      <c r="AS1738" s="51">
        <v>33</v>
      </c>
    </row>
    <row r="1739" spans="1:45" s="21" customFormat="1" ht="30" customHeight="1" x14ac:dyDescent="0.2">
      <c r="A1739" s="131">
        <v>1495</v>
      </c>
      <c r="B1739" s="46">
        <v>1</v>
      </c>
      <c r="C1739" s="16" t="s">
        <v>52</v>
      </c>
      <c r="D1739" s="48">
        <v>1059</v>
      </c>
      <c r="E1739" s="47">
        <v>70</v>
      </c>
      <c r="F1739" s="48">
        <v>673</v>
      </c>
      <c r="G1739" s="49">
        <v>1</v>
      </c>
      <c r="H1739" s="48">
        <v>3</v>
      </c>
      <c r="I1739" s="48">
        <v>0</v>
      </c>
      <c r="J1739" s="48">
        <v>18</v>
      </c>
      <c r="K1739" s="3">
        <f>1218-L1739</f>
        <v>1218</v>
      </c>
      <c r="L1739" s="16"/>
      <c r="M1739" s="57"/>
      <c r="N1739" s="58"/>
      <c r="P1739" s="16">
        <v>1</v>
      </c>
      <c r="Q1739" s="20">
        <f t="shared" si="316"/>
        <v>1218</v>
      </c>
      <c r="R1739" s="14">
        <v>160</v>
      </c>
      <c r="S1739" s="19">
        <f t="shared" si="317"/>
        <v>194880</v>
      </c>
      <c r="T1739" s="16">
        <v>1</v>
      </c>
      <c r="U1739" s="17" t="s">
        <v>57</v>
      </c>
      <c r="V1739" s="17" t="s">
        <v>56</v>
      </c>
      <c r="W1739" s="4"/>
      <c r="X1739" s="16"/>
      <c r="Y1739" s="5">
        <v>180</v>
      </c>
      <c r="Z1739" s="16"/>
      <c r="AA1739" s="16"/>
      <c r="AB1739" s="16">
        <f>62-55</f>
        <v>7</v>
      </c>
      <c r="AE1739" s="16"/>
      <c r="AG1739" s="22">
        <f t="shared" si="313"/>
        <v>180</v>
      </c>
      <c r="AH1739" s="6"/>
      <c r="AJ1739" s="20">
        <f t="shared" si="315"/>
        <v>0</v>
      </c>
      <c r="AK1739" s="50">
        <v>7</v>
      </c>
      <c r="AL1739" s="6"/>
      <c r="AM1739" s="20">
        <f t="shared" si="314"/>
        <v>0</v>
      </c>
      <c r="AN1739" s="20">
        <f t="shared" si="320"/>
        <v>194880</v>
      </c>
      <c r="AP1739" s="20">
        <f t="shared" si="319"/>
        <v>194880</v>
      </c>
      <c r="AQ1739" s="7"/>
      <c r="AR1739" s="60"/>
      <c r="AS1739" s="128">
        <v>6</v>
      </c>
    </row>
    <row r="1740" spans="1:45" s="21" customFormat="1" ht="30" customHeight="1" x14ac:dyDescent="0.2">
      <c r="A1740" s="131"/>
      <c r="B1740" s="46"/>
      <c r="C1740" s="16"/>
      <c r="D1740" s="48"/>
      <c r="E1740" s="47"/>
      <c r="F1740" s="48"/>
      <c r="G1740" s="49"/>
      <c r="H1740" s="48"/>
      <c r="I1740" s="48"/>
      <c r="J1740" s="48"/>
      <c r="K1740" s="3"/>
      <c r="L1740" s="16"/>
      <c r="M1740" s="57"/>
      <c r="N1740" s="58"/>
      <c r="P1740" s="16"/>
      <c r="Q1740" s="20">
        <f t="shared" si="316"/>
        <v>0</v>
      </c>
      <c r="R1740" s="14" t="e">
        <v>#N/A</v>
      </c>
      <c r="S1740" s="19" t="e">
        <f t="shared" si="317"/>
        <v>#N/A</v>
      </c>
      <c r="T1740" s="16">
        <v>2</v>
      </c>
      <c r="U1740" s="17" t="s">
        <v>57</v>
      </c>
      <c r="V1740" s="17" t="s">
        <v>56</v>
      </c>
      <c r="W1740" s="4"/>
      <c r="X1740" s="16"/>
      <c r="Y1740" s="5">
        <v>87</v>
      </c>
      <c r="Z1740" s="16"/>
      <c r="AA1740" s="16"/>
      <c r="AB1740" s="16">
        <f>62-53</f>
        <v>9</v>
      </c>
      <c r="AE1740" s="16"/>
      <c r="AG1740" s="22">
        <f t="shared" si="313"/>
        <v>87</v>
      </c>
      <c r="AH1740" s="6"/>
      <c r="AJ1740" s="20">
        <f t="shared" si="315"/>
        <v>0</v>
      </c>
      <c r="AK1740" s="50">
        <v>9</v>
      </c>
      <c r="AL1740" s="6"/>
      <c r="AM1740" s="20">
        <f t="shared" si="314"/>
        <v>0</v>
      </c>
      <c r="AN1740" s="20" t="e">
        <f t="shared" si="320"/>
        <v>#N/A</v>
      </c>
      <c r="AP1740" s="20" t="e">
        <f t="shared" si="319"/>
        <v>#N/A</v>
      </c>
      <c r="AQ1740" s="7"/>
      <c r="AR1740" s="24"/>
      <c r="AS1740" s="129"/>
    </row>
    <row r="1741" spans="1:45" s="21" customFormat="1" ht="30" customHeight="1" x14ac:dyDescent="0.2">
      <c r="A1741" s="131"/>
      <c r="B1741" s="46"/>
      <c r="C1741" s="16"/>
      <c r="D1741" s="48"/>
      <c r="E1741" s="47"/>
      <c r="F1741" s="48"/>
      <c r="G1741" s="49"/>
      <c r="H1741" s="48"/>
      <c r="I1741" s="48"/>
      <c r="J1741" s="48"/>
      <c r="K1741" s="3"/>
      <c r="L1741" s="16"/>
      <c r="M1741" s="57"/>
      <c r="N1741" s="58"/>
      <c r="P1741" s="16"/>
      <c r="Q1741" s="20">
        <f t="shared" si="316"/>
        <v>0</v>
      </c>
      <c r="R1741" s="14" t="e">
        <v>#N/A</v>
      </c>
      <c r="S1741" s="20" t="e">
        <f t="shared" si="317"/>
        <v>#N/A</v>
      </c>
      <c r="T1741" s="16">
        <v>3</v>
      </c>
      <c r="U1741" s="17" t="s">
        <v>57</v>
      </c>
      <c r="V1741" s="17" t="s">
        <v>56</v>
      </c>
      <c r="W1741" s="4"/>
      <c r="X1741" s="16"/>
      <c r="Y1741" s="5">
        <v>42</v>
      </c>
      <c r="Z1741" s="16"/>
      <c r="AA1741" s="16"/>
      <c r="AB1741" s="16">
        <f>62-53</f>
        <v>9</v>
      </c>
      <c r="AE1741" s="16"/>
      <c r="AG1741" s="22">
        <f t="shared" si="313"/>
        <v>42</v>
      </c>
      <c r="AH1741" s="6"/>
      <c r="AJ1741" s="20">
        <f t="shared" si="315"/>
        <v>0</v>
      </c>
      <c r="AK1741" s="50">
        <v>9</v>
      </c>
      <c r="AL1741" s="6"/>
      <c r="AM1741" s="20">
        <f t="shared" si="314"/>
        <v>0</v>
      </c>
      <c r="AN1741" s="20" t="e">
        <f t="shared" si="320"/>
        <v>#N/A</v>
      </c>
      <c r="AP1741" s="20" t="e">
        <f t="shared" si="319"/>
        <v>#N/A</v>
      </c>
      <c r="AQ1741" s="7"/>
      <c r="AR1741" s="24"/>
      <c r="AS1741" s="129"/>
    </row>
    <row r="1742" spans="1:45" s="21" customFormat="1" ht="30" customHeight="1" x14ac:dyDescent="0.2">
      <c r="A1742" s="131"/>
      <c r="B1742" s="46"/>
      <c r="C1742" s="16"/>
      <c r="D1742" s="48"/>
      <c r="E1742" s="47"/>
      <c r="F1742" s="48"/>
      <c r="G1742" s="49"/>
      <c r="H1742" s="48"/>
      <c r="I1742" s="48"/>
      <c r="J1742" s="48"/>
      <c r="K1742" s="3"/>
      <c r="L1742" s="16"/>
      <c r="M1742" s="57"/>
      <c r="N1742" s="58"/>
      <c r="P1742" s="16"/>
      <c r="Q1742" s="20">
        <f t="shared" si="316"/>
        <v>0</v>
      </c>
      <c r="R1742" s="14" t="e">
        <v>#N/A</v>
      </c>
      <c r="S1742" s="19" t="e">
        <f t="shared" si="317"/>
        <v>#N/A</v>
      </c>
      <c r="T1742" s="16">
        <v>4</v>
      </c>
      <c r="U1742" s="17" t="s">
        <v>57</v>
      </c>
      <c r="V1742" s="17" t="s">
        <v>56</v>
      </c>
      <c r="W1742" s="4"/>
      <c r="X1742" s="16"/>
      <c r="Y1742" s="5">
        <v>37.5</v>
      </c>
      <c r="Z1742" s="16"/>
      <c r="AA1742" s="16"/>
      <c r="AB1742" s="16">
        <f>62-53</f>
        <v>9</v>
      </c>
      <c r="AE1742" s="16"/>
      <c r="AG1742" s="22">
        <f t="shared" si="313"/>
        <v>37.5</v>
      </c>
      <c r="AH1742" s="6"/>
      <c r="AJ1742" s="20">
        <f t="shared" si="315"/>
        <v>0</v>
      </c>
      <c r="AK1742" s="50">
        <v>9</v>
      </c>
      <c r="AL1742" s="6"/>
      <c r="AM1742" s="20">
        <f t="shared" si="314"/>
        <v>0</v>
      </c>
      <c r="AN1742" s="20" t="e">
        <f t="shared" si="320"/>
        <v>#N/A</v>
      </c>
      <c r="AP1742" s="20" t="e">
        <f t="shared" si="319"/>
        <v>#N/A</v>
      </c>
      <c r="AQ1742" s="7"/>
      <c r="AR1742" s="25"/>
      <c r="AS1742" s="130"/>
    </row>
    <row r="1743" spans="1:45" s="21" customFormat="1" ht="30" customHeight="1" x14ac:dyDescent="0.2">
      <c r="A1743" s="8">
        <v>1496</v>
      </c>
      <c r="B1743" s="46">
        <v>1</v>
      </c>
      <c r="C1743" s="16" t="s">
        <v>52</v>
      </c>
      <c r="D1743" s="48">
        <v>1097</v>
      </c>
      <c r="E1743" s="47">
        <v>13</v>
      </c>
      <c r="F1743" s="48">
        <v>986</v>
      </c>
      <c r="G1743" s="49">
        <v>1</v>
      </c>
      <c r="H1743" s="48">
        <v>4</v>
      </c>
      <c r="I1743" s="48">
        <v>1</v>
      </c>
      <c r="J1743" s="48">
        <v>10</v>
      </c>
      <c r="K1743" s="3">
        <v>1310</v>
      </c>
      <c r="L1743" s="16"/>
      <c r="M1743" s="57"/>
      <c r="N1743" s="58"/>
      <c r="P1743" s="16">
        <v>1</v>
      </c>
      <c r="Q1743" s="20">
        <f t="shared" si="316"/>
        <v>1710</v>
      </c>
      <c r="R1743" s="14">
        <v>250</v>
      </c>
      <c r="S1743" s="19">
        <f t="shared" si="317"/>
        <v>427500</v>
      </c>
      <c r="T1743" s="16"/>
      <c r="U1743" s="17"/>
      <c r="V1743" s="17"/>
      <c r="W1743" s="4"/>
      <c r="X1743" s="16"/>
      <c r="Y1743" s="5"/>
      <c r="Z1743" s="16"/>
      <c r="AA1743" s="16"/>
      <c r="AB1743" s="16"/>
      <c r="AE1743" s="16"/>
      <c r="AG1743" s="22">
        <f t="shared" si="313"/>
        <v>0</v>
      </c>
      <c r="AH1743" s="6"/>
      <c r="AJ1743" s="20">
        <f t="shared" si="315"/>
        <v>0</v>
      </c>
      <c r="AK1743" s="50"/>
      <c r="AL1743" s="6"/>
      <c r="AM1743" s="20">
        <f t="shared" si="314"/>
        <v>0</v>
      </c>
      <c r="AN1743" s="20">
        <f t="shared" si="320"/>
        <v>427500</v>
      </c>
      <c r="AP1743" s="20">
        <f t="shared" si="319"/>
        <v>427500</v>
      </c>
      <c r="AQ1743" s="7"/>
      <c r="AR1743" s="60"/>
      <c r="AS1743" s="128">
        <v>44</v>
      </c>
    </row>
    <row r="1744" spans="1:45" ht="30" customHeight="1" x14ac:dyDescent="0.2">
      <c r="A1744" s="132">
        <v>1497</v>
      </c>
      <c r="B1744" s="13">
        <v>2</v>
      </c>
      <c r="C1744" s="16" t="s">
        <v>65</v>
      </c>
      <c r="D1744" s="17">
        <v>769</v>
      </c>
      <c r="E1744" s="17">
        <v>158</v>
      </c>
      <c r="H1744" s="17">
        <v>2</v>
      </c>
      <c r="I1744" s="17">
        <v>0</v>
      </c>
      <c r="J1744" s="17">
        <v>7</v>
      </c>
      <c r="K1744" s="10">
        <f>807-L1744</f>
        <v>697.125</v>
      </c>
      <c r="L1744" s="17">
        <f>+(313.5+126)/4</f>
        <v>109.875</v>
      </c>
      <c r="P1744" s="17">
        <v>5</v>
      </c>
      <c r="Q1744" s="20">
        <f t="shared" si="316"/>
        <v>807</v>
      </c>
      <c r="R1744" s="14">
        <v>250</v>
      </c>
      <c r="S1744" s="20">
        <f t="shared" si="317"/>
        <v>201750</v>
      </c>
      <c r="AG1744" s="22"/>
      <c r="AJ1744" s="20"/>
      <c r="AM1744" s="20"/>
      <c r="AN1744" s="20"/>
      <c r="AP1744" s="20"/>
      <c r="AR1744" s="24"/>
      <c r="AS1744" s="129"/>
    </row>
    <row r="1745" spans="1:45" ht="30" customHeight="1" x14ac:dyDescent="0.2">
      <c r="A1745" s="132"/>
      <c r="C1745" s="16"/>
      <c r="P1745" s="17">
        <v>1</v>
      </c>
      <c r="Q1745" s="20">
        <v>697.125</v>
      </c>
      <c r="R1745" s="14">
        <v>250</v>
      </c>
      <c r="S1745" s="20">
        <f t="shared" si="317"/>
        <v>174281.25</v>
      </c>
      <c r="AG1745" s="22"/>
      <c r="AJ1745" s="20"/>
      <c r="AM1745" s="20">
        <f>+AJ1745-(AL1745*AJ1745)</f>
        <v>0</v>
      </c>
      <c r="AN1745" s="20">
        <f>+S1745+AM1745</f>
        <v>174281.25</v>
      </c>
      <c r="AP1745" s="20">
        <f>AN1745</f>
        <v>174281.25</v>
      </c>
      <c r="AQ1745" s="12">
        <v>1E-4</v>
      </c>
      <c r="AR1745" s="24"/>
      <c r="AS1745" s="129"/>
    </row>
    <row r="1746" spans="1:45" ht="30" customHeight="1" x14ac:dyDescent="0.2">
      <c r="A1746" s="132"/>
      <c r="C1746" s="16"/>
      <c r="P1746" s="17">
        <v>2</v>
      </c>
      <c r="Q1746" s="20">
        <v>109.9</v>
      </c>
      <c r="R1746" s="14">
        <v>250</v>
      </c>
      <c r="S1746" s="20">
        <f t="shared" si="317"/>
        <v>27475</v>
      </c>
      <c r="AG1746" s="22"/>
      <c r="AJ1746" s="20"/>
      <c r="AM1746" s="20">
        <f>+AJ1746-(AL1746*AJ1746)</f>
        <v>0</v>
      </c>
      <c r="AN1746" s="20">
        <f>+S1746+AM1746</f>
        <v>27475</v>
      </c>
      <c r="AP1746" s="20">
        <f>AN1746</f>
        <v>27475</v>
      </c>
      <c r="AQ1746" s="12">
        <v>2.0000000000000001E-4</v>
      </c>
      <c r="AR1746" s="24"/>
      <c r="AS1746" s="129"/>
    </row>
    <row r="1747" spans="1:45" ht="30" customHeight="1" x14ac:dyDescent="0.2">
      <c r="A1747" s="132"/>
      <c r="C1747" s="16"/>
      <c r="Q1747" s="20"/>
      <c r="S1747" s="20"/>
      <c r="T1747" s="17">
        <v>1</v>
      </c>
      <c r="U1747" s="17" t="s">
        <v>57</v>
      </c>
      <c r="V1747" s="17" t="s">
        <v>56</v>
      </c>
      <c r="Y1747" s="4">
        <v>313.5</v>
      </c>
      <c r="AB1747" s="17">
        <f>62-31</f>
        <v>31</v>
      </c>
      <c r="AG1747" s="22"/>
      <c r="AJ1747" s="20"/>
      <c r="AM1747" s="20"/>
      <c r="AN1747" s="20"/>
      <c r="AP1747" s="20"/>
      <c r="AR1747" s="24"/>
      <c r="AS1747" s="129"/>
    </row>
    <row r="1748" spans="1:45" ht="30" customHeight="1" x14ac:dyDescent="0.2">
      <c r="A1748" s="132"/>
      <c r="C1748" s="16"/>
      <c r="Q1748" s="20">
        <f t="shared" si="316"/>
        <v>0</v>
      </c>
      <c r="R1748" s="14" t="e">
        <v>#N/A</v>
      </c>
      <c r="S1748" s="19" t="e">
        <f t="shared" si="317"/>
        <v>#N/A</v>
      </c>
      <c r="T1748" s="17">
        <v>2</v>
      </c>
      <c r="U1748" s="17" t="s">
        <v>57</v>
      </c>
      <c r="V1748" s="17" t="s">
        <v>56</v>
      </c>
      <c r="Y1748" s="4">
        <v>126</v>
      </c>
      <c r="AB1748" s="17">
        <f>62-53</f>
        <v>9</v>
      </c>
      <c r="AG1748" s="22">
        <f t="shared" si="313"/>
        <v>126</v>
      </c>
      <c r="AJ1748" s="20">
        <f t="shared" si="315"/>
        <v>0</v>
      </c>
      <c r="AK1748" s="23">
        <v>9</v>
      </c>
      <c r="AM1748" s="20">
        <f t="shared" si="314"/>
        <v>0</v>
      </c>
      <c r="AN1748" s="20" t="e">
        <f t="shared" ref="AN1748:AN1779" si="321">+S1748+AM1748</f>
        <v>#N/A</v>
      </c>
      <c r="AP1748" s="20" t="e">
        <f t="shared" si="319"/>
        <v>#N/A</v>
      </c>
      <c r="AR1748" s="24"/>
      <c r="AS1748" s="129"/>
    </row>
    <row r="1749" spans="1:45" ht="30" customHeight="1" x14ac:dyDescent="0.2">
      <c r="A1749" s="2">
        <v>1498</v>
      </c>
      <c r="B1749" s="13">
        <v>3</v>
      </c>
      <c r="C1749" s="16" t="s">
        <v>65</v>
      </c>
      <c r="D1749" s="17">
        <v>2303</v>
      </c>
      <c r="E1749" s="17">
        <v>280</v>
      </c>
      <c r="H1749" s="17">
        <v>5</v>
      </c>
      <c r="I1749" s="17">
        <v>2</v>
      </c>
      <c r="J1749" s="17">
        <v>76</v>
      </c>
      <c r="K1749" s="10">
        <v>2276</v>
      </c>
      <c r="Q1749" s="20">
        <f t="shared" si="316"/>
        <v>2276</v>
      </c>
      <c r="R1749" s="14">
        <v>2000</v>
      </c>
      <c r="S1749" s="19">
        <f t="shared" si="317"/>
        <v>4552000</v>
      </c>
      <c r="AC1749" s="21"/>
      <c r="AD1749" s="21"/>
      <c r="AE1749" s="17" t="s">
        <v>94</v>
      </c>
      <c r="AG1749" s="22">
        <f t="shared" si="313"/>
        <v>0</v>
      </c>
      <c r="AJ1749" s="20">
        <f t="shared" si="315"/>
        <v>0</v>
      </c>
      <c r="AM1749" s="20">
        <f t="shared" si="314"/>
        <v>0</v>
      </c>
      <c r="AN1749" s="20">
        <f t="shared" si="321"/>
        <v>4552000</v>
      </c>
      <c r="AP1749" s="20">
        <f t="shared" si="319"/>
        <v>4552000</v>
      </c>
      <c r="AQ1749" s="12">
        <v>1E-4</v>
      </c>
      <c r="AR1749" s="25"/>
      <c r="AS1749" s="130"/>
    </row>
    <row r="1750" spans="1:45" s="21" customFormat="1" ht="30" customHeight="1" x14ac:dyDescent="0.2">
      <c r="A1750" s="8">
        <v>1499</v>
      </c>
      <c r="B1750" s="46">
        <v>1</v>
      </c>
      <c r="C1750" s="16" t="s">
        <v>52</v>
      </c>
      <c r="D1750" s="48">
        <v>32449</v>
      </c>
      <c r="E1750" s="47">
        <v>327</v>
      </c>
      <c r="F1750" s="48">
        <v>6421</v>
      </c>
      <c r="G1750" s="49">
        <v>1</v>
      </c>
      <c r="H1750" s="48">
        <v>0</v>
      </c>
      <c r="I1750" s="48">
        <v>0</v>
      </c>
      <c r="J1750" s="48">
        <v>39</v>
      </c>
      <c r="K1750" s="3"/>
      <c r="L1750" s="16">
        <v>39</v>
      </c>
      <c r="M1750" s="57"/>
      <c r="N1750" s="58"/>
      <c r="P1750" s="16">
        <v>2</v>
      </c>
      <c r="Q1750" s="20">
        <f t="shared" si="316"/>
        <v>39</v>
      </c>
      <c r="R1750" s="14">
        <v>250</v>
      </c>
      <c r="S1750" s="20">
        <f t="shared" si="317"/>
        <v>9750</v>
      </c>
      <c r="T1750" s="16"/>
      <c r="U1750" s="17"/>
      <c r="V1750" s="17"/>
      <c r="W1750" s="4"/>
      <c r="X1750" s="16"/>
      <c r="Y1750" s="5"/>
      <c r="Z1750" s="16"/>
      <c r="AA1750" s="16"/>
      <c r="AB1750" s="16"/>
      <c r="AE1750" s="16"/>
      <c r="AG1750" s="22">
        <f t="shared" si="313"/>
        <v>0</v>
      </c>
      <c r="AH1750" s="6"/>
      <c r="AJ1750" s="20">
        <f t="shared" si="315"/>
        <v>0</v>
      </c>
      <c r="AK1750" s="50"/>
      <c r="AL1750" s="6"/>
      <c r="AM1750" s="20">
        <f t="shared" si="314"/>
        <v>0</v>
      </c>
      <c r="AN1750" s="20">
        <f t="shared" si="321"/>
        <v>9750</v>
      </c>
      <c r="AP1750" s="20">
        <f t="shared" si="319"/>
        <v>9750</v>
      </c>
      <c r="AQ1750" s="7"/>
      <c r="AR1750" s="60"/>
      <c r="AS1750" s="128">
        <v>1</v>
      </c>
    </row>
    <row r="1751" spans="1:45" ht="30" customHeight="1" x14ac:dyDescent="0.2">
      <c r="A1751" s="2">
        <v>1500</v>
      </c>
      <c r="B1751" s="13">
        <v>2</v>
      </c>
      <c r="C1751" s="16" t="s">
        <v>69</v>
      </c>
      <c r="E1751" s="17">
        <v>2328</v>
      </c>
      <c r="F1751" s="17">
        <v>14</v>
      </c>
      <c r="G1751" s="13">
        <v>1</v>
      </c>
      <c r="H1751" s="17">
        <v>7</v>
      </c>
      <c r="I1751" s="17">
        <v>2</v>
      </c>
      <c r="J1751" s="17">
        <v>74</v>
      </c>
      <c r="K1751" s="10">
        <v>3074</v>
      </c>
      <c r="P1751" s="17">
        <v>1</v>
      </c>
      <c r="Q1751" s="20">
        <f t="shared" si="316"/>
        <v>3074</v>
      </c>
      <c r="R1751" s="14">
        <v>160</v>
      </c>
      <c r="S1751" s="19">
        <f t="shared" si="317"/>
        <v>491840</v>
      </c>
      <c r="AG1751" s="22">
        <f t="shared" ref="AG1751:AG1800" si="322">Y1751</f>
        <v>0</v>
      </c>
      <c r="AJ1751" s="20">
        <f t="shared" si="315"/>
        <v>0</v>
      </c>
      <c r="AM1751" s="20">
        <f t="shared" si="314"/>
        <v>0</v>
      </c>
      <c r="AN1751" s="20">
        <f t="shared" si="321"/>
        <v>491840</v>
      </c>
      <c r="AP1751" s="20">
        <f t="shared" si="319"/>
        <v>491840</v>
      </c>
      <c r="AQ1751" s="12">
        <v>1E-4</v>
      </c>
      <c r="AR1751" s="25"/>
      <c r="AS1751" s="130"/>
    </row>
    <row r="1752" spans="1:45" s="21" customFormat="1" ht="30" customHeight="1" x14ac:dyDescent="0.2">
      <c r="A1752" s="8">
        <v>1501</v>
      </c>
      <c r="B1752" s="46">
        <v>1</v>
      </c>
      <c r="C1752" s="16" t="s">
        <v>52</v>
      </c>
      <c r="D1752" s="48">
        <v>1336</v>
      </c>
      <c r="E1752" s="47">
        <v>125</v>
      </c>
      <c r="F1752" s="48">
        <v>624</v>
      </c>
      <c r="G1752" s="49">
        <v>1</v>
      </c>
      <c r="H1752" s="48">
        <v>0</v>
      </c>
      <c r="I1752" s="48">
        <v>0</v>
      </c>
      <c r="J1752" s="48">
        <v>42.02</v>
      </c>
      <c r="K1752" s="3"/>
      <c r="L1752" s="16">
        <v>42.02</v>
      </c>
      <c r="M1752" s="57"/>
      <c r="N1752" s="58"/>
      <c r="P1752" s="16">
        <v>2</v>
      </c>
      <c r="Q1752" s="20">
        <f t="shared" si="316"/>
        <v>42.02</v>
      </c>
      <c r="R1752" s="14">
        <v>160</v>
      </c>
      <c r="S1752" s="19">
        <f t="shared" si="317"/>
        <v>6723.2000000000007</v>
      </c>
      <c r="T1752" s="16"/>
      <c r="U1752" s="16" t="s">
        <v>63</v>
      </c>
      <c r="V1752" s="16" t="s">
        <v>56</v>
      </c>
      <c r="W1752" s="5"/>
      <c r="X1752" s="16"/>
      <c r="Y1752" s="5">
        <v>262.5</v>
      </c>
      <c r="Z1752" s="16"/>
      <c r="AA1752" s="16"/>
      <c r="AB1752" s="16">
        <f>62-41</f>
        <v>21</v>
      </c>
      <c r="AE1752" s="16"/>
      <c r="AG1752" s="22">
        <f t="shared" si="322"/>
        <v>262.5</v>
      </c>
      <c r="AH1752" s="6"/>
      <c r="AJ1752" s="20">
        <f t="shared" si="315"/>
        <v>0</v>
      </c>
      <c r="AK1752" s="50">
        <v>21</v>
      </c>
      <c r="AL1752" s="6"/>
      <c r="AM1752" s="20">
        <f t="shared" si="314"/>
        <v>0</v>
      </c>
      <c r="AN1752" s="20">
        <f t="shared" si="321"/>
        <v>6723.2000000000007</v>
      </c>
      <c r="AP1752" s="20">
        <f t="shared" si="319"/>
        <v>6723.2000000000007</v>
      </c>
      <c r="AQ1752" s="7"/>
      <c r="AR1752" s="20"/>
      <c r="AS1752" s="51"/>
    </row>
    <row r="1753" spans="1:45" s="21" customFormat="1" ht="30" customHeight="1" x14ac:dyDescent="0.2">
      <c r="A1753" s="2">
        <v>1502</v>
      </c>
      <c r="B1753" s="46">
        <v>1</v>
      </c>
      <c r="C1753" s="16" t="s">
        <v>52</v>
      </c>
      <c r="D1753" s="48">
        <v>4874</v>
      </c>
      <c r="E1753" s="47">
        <v>46</v>
      </c>
      <c r="F1753" s="48">
        <v>2504</v>
      </c>
      <c r="G1753" s="49">
        <v>1</v>
      </c>
      <c r="H1753" s="48">
        <v>6</v>
      </c>
      <c r="I1753" s="48">
        <v>1</v>
      </c>
      <c r="J1753" s="48">
        <v>94</v>
      </c>
      <c r="K1753" s="3">
        <v>2594</v>
      </c>
      <c r="L1753" s="16"/>
      <c r="M1753" s="57"/>
      <c r="N1753" s="58"/>
      <c r="P1753" s="16">
        <v>1</v>
      </c>
      <c r="Q1753" s="20">
        <f t="shared" si="316"/>
        <v>2594</v>
      </c>
      <c r="R1753" s="14">
        <v>160</v>
      </c>
      <c r="S1753" s="20">
        <f t="shared" si="317"/>
        <v>415040</v>
      </c>
      <c r="T1753" s="16"/>
      <c r="U1753" s="17"/>
      <c r="V1753" s="16"/>
      <c r="W1753" s="5"/>
      <c r="X1753" s="16"/>
      <c r="Y1753" s="5"/>
      <c r="Z1753" s="16"/>
      <c r="AA1753" s="16"/>
      <c r="AB1753" s="16"/>
      <c r="AC1753" s="14"/>
      <c r="AD1753" s="14"/>
      <c r="AE1753" s="16"/>
      <c r="AG1753" s="22">
        <f t="shared" si="322"/>
        <v>0</v>
      </c>
      <c r="AH1753" s="6"/>
      <c r="AJ1753" s="20">
        <f t="shared" si="315"/>
        <v>0</v>
      </c>
      <c r="AK1753" s="50"/>
      <c r="AL1753" s="6"/>
      <c r="AM1753" s="20">
        <f t="shared" ref="AM1753:AM1800" si="323">+AJ1753-(AL1753*AJ1753)</f>
        <v>0</v>
      </c>
      <c r="AN1753" s="20">
        <f t="shared" si="321"/>
        <v>415040</v>
      </c>
      <c r="AP1753" s="20">
        <f t="shared" si="319"/>
        <v>415040</v>
      </c>
      <c r="AQ1753" s="7"/>
      <c r="AR1753" s="20"/>
      <c r="AS1753" s="51"/>
    </row>
    <row r="1754" spans="1:45" s="21" customFormat="1" ht="30" customHeight="1" x14ac:dyDescent="0.2">
      <c r="A1754" s="8">
        <v>1503</v>
      </c>
      <c r="B1754" s="46">
        <v>1</v>
      </c>
      <c r="C1754" s="16" t="s">
        <v>52</v>
      </c>
      <c r="D1754" s="48">
        <v>1100</v>
      </c>
      <c r="E1754" s="47">
        <v>16</v>
      </c>
      <c r="F1754" s="48">
        <v>989</v>
      </c>
      <c r="G1754" s="49">
        <v>1</v>
      </c>
      <c r="H1754" s="48">
        <v>6</v>
      </c>
      <c r="I1754" s="48">
        <v>0</v>
      </c>
      <c r="J1754" s="48">
        <v>81</v>
      </c>
      <c r="K1754" s="3">
        <v>2481</v>
      </c>
      <c r="L1754" s="16"/>
      <c r="M1754" s="57"/>
      <c r="N1754" s="58"/>
      <c r="P1754" s="16">
        <v>1</v>
      </c>
      <c r="Q1754" s="20">
        <f t="shared" si="316"/>
        <v>2481</v>
      </c>
      <c r="R1754" s="14">
        <v>160</v>
      </c>
      <c r="S1754" s="19">
        <f t="shared" si="317"/>
        <v>396960</v>
      </c>
      <c r="T1754" s="16"/>
      <c r="U1754" s="17"/>
      <c r="V1754" s="17"/>
      <c r="W1754" s="4"/>
      <c r="X1754" s="16"/>
      <c r="Y1754" s="5"/>
      <c r="Z1754" s="16"/>
      <c r="AA1754" s="16"/>
      <c r="AB1754" s="16"/>
      <c r="AE1754" s="16"/>
      <c r="AG1754" s="22">
        <f t="shared" si="322"/>
        <v>0</v>
      </c>
      <c r="AH1754" s="6"/>
      <c r="AJ1754" s="20">
        <f t="shared" si="315"/>
        <v>0</v>
      </c>
      <c r="AK1754" s="50"/>
      <c r="AL1754" s="6"/>
      <c r="AM1754" s="20">
        <f t="shared" si="323"/>
        <v>0</v>
      </c>
      <c r="AN1754" s="20">
        <f t="shared" si="321"/>
        <v>396960</v>
      </c>
      <c r="AP1754" s="20">
        <f t="shared" si="319"/>
        <v>396960</v>
      </c>
      <c r="AQ1754" s="7"/>
      <c r="AR1754" s="20"/>
      <c r="AS1754" s="51"/>
    </row>
    <row r="1755" spans="1:45" s="21" customFormat="1" ht="30" customHeight="1" x14ac:dyDescent="0.2">
      <c r="A1755" s="2">
        <v>1504</v>
      </c>
      <c r="B1755" s="46">
        <v>1</v>
      </c>
      <c r="C1755" s="16" t="s">
        <v>52</v>
      </c>
      <c r="D1755" s="48">
        <v>1099</v>
      </c>
      <c r="E1755" s="47">
        <v>15</v>
      </c>
      <c r="F1755" s="48">
        <v>988</v>
      </c>
      <c r="G1755" s="49">
        <v>1</v>
      </c>
      <c r="H1755" s="48">
        <v>5</v>
      </c>
      <c r="I1755" s="48">
        <v>1</v>
      </c>
      <c r="J1755" s="48">
        <v>22</v>
      </c>
      <c r="K1755" s="3">
        <v>2122</v>
      </c>
      <c r="L1755" s="16"/>
      <c r="M1755" s="57"/>
      <c r="N1755" s="58"/>
      <c r="P1755" s="16">
        <v>1</v>
      </c>
      <c r="Q1755" s="20">
        <f t="shared" si="316"/>
        <v>2122</v>
      </c>
      <c r="R1755" s="14">
        <v>160</v>
      </c>
      <c r="S1755" s="19">
        <f t="shared" si="317"/>
        <v>339520</v>
      </c>
      <c r="T1755" s="16"/>
      <c r="U1755" s="17"/>
      <c r="V1755" s="17"/>
      <c r="W1755" s="4"/>
      <c r="X1755" s="16"/>
      <c r="Y1755" s="5"/>
      <c r="Z1755" s="16"/>
      <c r="AA1755" s="16"/>
      <c r="AB1755" s="16"/>
      <c r="AC1755" s="14"/>
      <c r="AD1755" s="14"/>
      <c r="AE1755" s="16"/>
      <c r="AG1755" s="22">
        <f t="shared" si="322"/>
        <v>0</v>
      </c>
      <c r="AH1755" s="6"/>
      <c r="AJ1755" s="20">
        <f t="shared" si="315"/>
        <v>0</v>
      </c>
      <c r="AK1755" s="50"/>
      <c r="AL1755" s="6"/>
      <c r="AM1755" s="20">
        <f t="shared" si="323"/>
        <v>0</v>
      </c>
      <c r="AN1755" s="20">
        <f t="shared" si="321"/>
        <v>339520</v>
      </c>
      <c r="AP1755" s="20">
        <f t="shared" si="319"/>
        <v>339520</v>
      </c>
      <c r="AQ1755" s="7"/>
      <c r="AR1755" s="20"/>
      <c r="AS1755" s="51">
        <v>16</v>
      </c>
    </row>
    <row r="1756" spans="1:45" s="21" customFormat="1" ht="30" customHeight="1" x14ac:dyDescent="0.2">
      <c r="A1756" s="8">
        <v>1505</v>
      </c>
      <c r="B1756" s="46">
        <v>1</v>
      </c>
      <c r="C1756" s="16" t="s">
        <v>52</v>
      </c>
      <c r="D1756" s="48">
        <v>4194</v>
      </c>
      <c r="E1756" s="47">
        <v>47</v>
      </c>
      <c r="F1756" s="48">
        <v>2535</v>
      </c>
      <c r="G1756" s="49">
        <v>1</v>
      </c>
      <c r="H1756" s="48">
        <v>5</v>
      </c>
      <c r="I1756" s="48">
        <v>1</v>
      </c>
      <c r="J1756" s="48">
        <v>73</v>
      </c>
      <c r="K1756" s="3">
        <v>2173</v>
      </c>
      <c r="L1756" s="16"/>
      <c r="M1756" s="57"/>
      <c r="N1756" s="58"/>
      <c r="P1756" s="16">
        <v>1</v>
      </c>
      <c r="Q1756" s="20">
        <f t="shared" si="316"/>
        <v>2173</v>
      </c>
      <c r="R1756" s="14">
        <v>160</v>
      </c>
      <c r="S1756" s="20">
        <f t="shared" si="317"/>
        <v>347680</v>
      </c>
      <c r="T1756" s="16"/>
      <c r="U1756" s="17"/>
      <c r="V1756" s="17"/>
      <c r="W1756" s="4"/>
      <c r="X1756" s="16"/>
      <c r="Y1756" s="5"/>
      <c r="Z1756" s="16"/>
      <c r="AA1756" s="16"/>
      <c r="AB1756" s="16"/>
      <c r="AC1756" s="14"/>
      <c r="AD1756" s="14"/>
      <c r="AE1756" s="16"/>
      <c r="AG1756" s="22">
        <f t="shared" si="322"/>
        <v>0</v>
      </c>
      <c r="AH1756" s="6"/>
      <c r="AJ1756" s="20">
        <f t="shared" si="315"/>
        <v>0</v>
      </c>
      <c r="AK1756" s="50"/>
      <c r="AL1756" s="6"/>
      <c r="AM1756" s="20">
        <f t="shared" si="323"/>
        <v>0</v>
      </c>
      <c r="AN1756" s="20">
        <f t="shared" si="321"/>
        <v>347680</v>
      </c>
      <c r="AP1756" s="20">
        <f t="shared" si="319"/>
        <v>347680</v>
      </c>
      <c r="AQ1756" s="7"/>
      <c r="AR1756" s="20"/>
      <c r="AS1756" s="51"/>
    </row>
    <row r="1757" spans="1:45" s="21" customFormat="1" ht="30" customHeight="1" x14ac:dyDescent="0.2">
      <c r="A1757" s="2">
        <v>1506</v>
      </c>
      <c r="B1757" s="46">
        <v>1</v>
      </c>
      <c r="C1757" s="16" t="s">
        <v>52</v>
      </c>
      <c r="D1757" s="48">
        <v>1175</v>
      </c>
      <c r="E1757" s="47">
        <v>11</v>
      </c>
      <c r="F1757" s="48">
        <v>1014</v>
      </c>
      <c r="G1757" s="49">
        <v>1</v>
      </c>
      <c r="H1757" s="48">
        <v>6</v>
      </c>
      <c r="I1757" s="48">
        <v>1</v>
      </c>
      <c r="J1757" s="48">
        <v>91</v>
      </c>
      <c r="K1757" s="3">
        <v>2591</v>
      </c>
      <c r="L1757" s="16"/>
      <c r="M1757" s="57"/>
      <c r="N1757" s="58"/>
      <c r="P1757" s="16">
        <v>1</v>
      </c>
      <c r="Q1757" s="20">
        <f t="shared" si="316"/>
        <v>2591</v>
      </c>
      <c r="R1757" s="14">
        <v>160</v>
      </c>
      <c r="S1757" s="19">
        <f t="shared" si="317"/>
        <v>414560</v>
      </c>
      <c r="T1757" s="16"/>
      <c r="U1757" s="17"/>
      <c r="V1757" s="17"/>
      <c r="W1757" s="4"/>
      <c r="X1757" s="16"/>
      <c r="Y1757" s="5"/>
      <c r="Z1757" s="16"/>
      <c r="AA1757" s="16"/>
      <c r="AB1757" s="16"/>
      <c r="AC1757" s="14"/>
      <c r="AD1757" s="14"/>
      <c r="AE1757" s="16"/>
      <c r="AG1757" s="22">
        <f t="shared" si="322"/>
        <v>0</v>
      </c>
      <c r="AH1757" s="6"/>
      <c r="AJ1757" s="20">
        <f t="shared" si="315"/>
        <v>0</v>
      </c>
      <c r="AK1757" s="50"/>
      <c r="AL1757" s="6"/>
      <c r="AM1757" s="20">
        <f t="shared" si="323"/>
        <v>0</v>
      </c>
      <c r="AN1757" s="20">
        <f t="shared" si="321"/>
        <v>414560</v>
      </c>
      <c r="AP1757" s="20">
        <f t="shared" si="319"/>
        <v>414560</v>
      </c>
      <c r="AQ1757" s="7"/>
      <c r="AR1757" s="20"/>
      <c r="AS1757" s="51"/>
    </row>
    <row r="1758" spans="1:45" s="21" customFormat="1" ht="30" customHeight="1" x14ac:dyDescent="0.2">
      <c r="A1758" s="8">
        <v>1507</v>
      </c>
      <c r="B1758" s="46">
        <v>2</v>
      </c>
      <c r="C1758" s="16" t="s">
        <v>52</v>
      </c>
      <c r="D1758" s="48">
        <v>39814</v>
      </c>
      <c r="E1758" s="47">
        <v>400</v>
      </c>
      <c r="F1758" s="48">
        <v>7834</v>
      </c>
      <c r="G1758" s="49">
        <v>1</v>
      </c>
      <c r="H1758" s="48">
        <v>0</v>
      </c>
      <c r="I1758" s="48">
        <v>0</v>
      </c>
      <c r="J1758" s="48">
        <v>62</v>
      </c>
      <c r="K1758" s="3"/>
      <c r="L1758" s="16"/>
      <c r="M1758" s="57"/>
      <c r="N1758" s="58"/>
      <c r="P1758" s="16"/>
      <c r="Q1758" s="20">
        <f t="shared" si="316"/>
        <v>62</v>
      </c>
      <c r="R1758" s="14">
        <v>250</v>
      </c>
      <c r="S1758" s="19">
        <f t="shared" si="317"/>
        <v>15500</v>
      </c>
      <c r="T1758" s="16"/>
      <c r="U1758" s="17"/>
      <c r="V1758" s="17"/>
      <c r="W1758" s="4"/>
      <c r="X1758" s="16"/>
      <c r="Y1758" s="5"/>
      <c r="Z1758" s="16"/>
      <c r="AA1758" s="16"/>
      <c r="AB1758" s="16"/>
      <c r="AC1758" s="14"/>
      <c r="AD1758" s="14"/>
      <c r="AE1758" s="16"/>
      <c r="AG1758" s="22">
        <f t="shared" si="322"/>
        <v>0</v>
      </c>
      <c r="AH1758" s="6"/>
      <c r="AJ1758" s="20">
        <f t="shared" si="315"/>
        <v>0</v>
      </c>
      <c r="AK1758" s="50"/>
      <c r="AL1758" s="6"/>
      <c r="AM1758" s="20">
        <f t="shared" si="323"/>
        <v>0</v>
      </c>
      <c r="AN1758" s="20">
        <f t="shared" si="321"/>
        <v>15500</v>
      </c>
      <c r="AP1758" s="20">
        <f t="shared" si="319"/>
        <v>15500</v>
      </c>
      <c r="AQ1758" s="7"/>
      <c r="AR1758" s="20"/>
      <c r="AS1758" s="51"/>
    </row>
    <row r="1759" spans="1:45" s="21" customFormat="1" ht="30" customHeight="1" x14ac:dyDescent="0.2">
      <c r="A1759" s="2">
        <v>1508</v>
      </c>
      <c r="B1759" s="46">
        <v>1</v>
      </c>
      <c r="C1759" s="16" t="s">
        <v>52</v>
      </c>
      <c r="D1759" s="48">
        <v>1103</v>
      </c>
      <c r="E1759" s="47">
        <v>9</v>
      </c>
      <c r="F1759" s="48">
        <v>992</v>
      </c>
      <c r="G1759" s="49">
        <v>1</v>
      </c>
      <c r="H1759" s="48">
        <v>4</v>
      </c>
      <c r="I1759" s="48">
        <v>3</v>
      </c>
      <c r="J1759" s="48">
        <v>4</v>
      </c>
      <c r="K1759" s="3">
        <f>4*400+304</f>
        <v>1904</v>
      </c>
      <c r="L1759" s="16"/>
      <c r="M1759" s="57"/>
      <c r="N1759" s="58"/>
      <c r="P1759" s="16">
        <v>1</v>
      </c>
      <c r="Q1759" s="20">
        <f t="shared" si="316"/>
        <v>1904</v>
      </c>
      <c r="R1759" s="14">
        <v>160</v>
      </c>
      <c r="S1759" s="20">
        <f t="shared" si="317"/>
        <v>304640</v>
      </c>
      <c r="T1759" s="16"/>
      <c r="U1759" s="16"/>
      <c r="V1759" s="16"/>
      <c r="W1759" s="5"/>
      <c r="X1759" s="16"/>
      <c r="Y1759" s="5"/>
      <c r="Z1759" s="16"/>
      <c r="AA1759" s="16"/>
      <c r="AB1759" s="16"/>
      <c r="AC1759" s="14"/>
      <c r="AD1759" s="14"/>
      <c r="AE1759" s="16"/>
      <c r="AG1759" s="22">
        <f t="shared" si="322"/>
        <v>0</v>
      </c>
      <c r="AH1759" s="6"/>
      <c r="AJ1759" s="20">
        <f t="shared" si="315"/>
        <v>0</v>
      </c>
      <c r="AK1759" s="50"/>
      <c r="AL1759" s="6"/>
      <c r="AM1759" s="20">
        <f t="shared" si="323"/>
        <v>0</v>
      </c>
      <c r="AN1759" s="20">
        <f t="shared" si="321"/>
        <v>304640</v>
      </c>
      <c r="AP1759" s="20">
        <f t="shared" si="319"/>
        <v>304640</v>
      </c>
      <c r="AQ1759" s="7"/>
      <c r="AR1759" s="20"/>
      <c r="AS1759" s="51"/>
    </row>
    <row r="1760" spans="1:45" s="21" customFormat="1" ht="30" customHeight="1" x14ac:dyDescent="0.2">
      <c r="A1760" s="8">
        <v>1509</v>
      </c>
      <c r="B1760" s="46">
        <v>1</v>
      </c>
      <c r="C1760" s="16" t="s">
        <v>52</v>
      </c>
      <c r="D1760" s="48">
        <v>2594</v>
      </c>
      <c r="E1760" s="47">
        <v>42</v>
      </c>
      <c r="F1760" s="48">
        <v>1850</v>
      </c>
      <c r="G1760" s="49">
        <v>1</v>
      </c>
      <c r="H1760" s="48">
        <v>0</v>
      </c>
      <c r="I1760" s="48">
        <v>0</v>
      </c>
      <c r="J1760" s="48">
        <v>87</v>
      </c>
      <c r="K1760" s="3"/>
      <c r="L1760" s="16">
        <v>87</v>
      </c>
      <c r="M1760" s="57"/>
      <c r="N1760" s="58"/>
      <c r="P1760" s="16">
        <v>2</v>
      </c>
      <c r="Q1760" s="20">
        <f t="shared" si="316"/>
        <v>87</v>
      </c>
      <c r="R1760" s="14">
        <v>200</v>
      </c>
      <c r="S1760" s="19">
        <f t="shared" si="317"/>
        <v>17400</v>
      </c>
      <c r="T1760" s="16"/>
      <c r="U1760" s="17"/>
      <c r="V1760" s="16"/>
      <c r="W1760" s="5"/>
      <c r="X1760" s="16"/>
      <c r="Y1760" s="5"/>
      <c r="Z1760" s="16"/>
      <c r="AA1760" s="16"/>
      <c r="AB1760" s="16"/>
      <c r="AE1760" s="16"/>
      <c r="AG1760" s="22">
        <f t="shared" si="322"/>
        <v>0</v>
      </c>
      <c r="AH1760" s="6"/>
      <c r="AJ1760" s="20">
        <f t="shared" si="315"/>
        <v>0</v>
      </c>
      <c r="AK1760" s="50"/>
      <c r="AL1760" s="6"/>
      <c r="AM1760" s="20">
        <f t="shared" si="323"/>
        <v>0</v>
      </c>
      <c r="AN1760" s="20">
        <f t="shared" si="321"/>
        <v>17400</v>
      </c>
      <c r="AP1760" s="20">
        <f t="shared" si="319"/>
        <v>17400</v>
      </c>
      <c r="AQ1760" s="7"/>
      <c r="AR1760" s="20"/>
      <c r="AS1760" s="51"/>
    </row>
    <row r="1761" spans="1:45" s="21" customFormat="1" ht="30" customHeight="1" x14ac:dyDescent="0.2">
      <c r="A1761" s="2">
        <v>1510</v>
      </c>
      <c r="B1761" s="46">
        <v>1</v>
      </c>
      <c r="C1761" s="16" t="s">
        <v>52</v>
      </c>
      <c r="D1761" s="48">
        <v>1383</v>
      </c>
      <c r="E1761" s="47">
        <v>86</v>
      </c>
      <c r="F1761" s="48">
        <v>953</v>
      </c>
      <c r="G1761" s="49">
        <v>1</v>
      </c>
      <c r="H1761" s="48">
        <v>4</v>
      </c>
      <c r="I1761" s="48">
        <v>1</v>
      </c>
      <c r="J1761" s="48">
        <v>15</v>
      </c>
      <c r="K1761" s="3">
        <v>1715</v>
      </c>
      <c r="L1761" s="16"/>
      <c r="M1761" s="57"/>
      <c r="N1761" s="58"/>
      <c r="P1761" s="16">
        <v>1</v>
      </c>
      <c r="Q1761" s="20">
        <f t="shared" si="316"/>
        <v>1715</v>
      </c>
      <c r="R1761" s="14">
        <v>160</v>
      </c>
      <c r="S1761" s="19">
        <f t="shared" si="317"/>
        <v>274400</v>
      </c>
      <c r="T1761" s="16"/>
      <c r="U1761" s="17"/>
      <c r="V1761" s="17"/>
      <c r="W1761" s="4"/>
      <c r="X1761" s="16"/>
      <c r="Y1761" s="5"/>
      <c r="Z1761" s="16"/>
      <c r="AA1761" s="16"/>
      <c r="AB1761" s="16"/>
      <c r="AE1761" s="16"/>
      <c r="AG1761" s="22">
        <f t="shared" si="322"/>
        <v>0</v>
      </c>
      <c r="AH1761" s="6"/>
      <c r="AJ1761" s="20">
        <f t="shared" si="315"/>
        <v>0</v>
      </c>
      <c r="AK1761" s="50"/>
      <c r="AL1761" s="6"/>
      <c r="AM1761" s="20">
        <f t="shared" si="323"/>
        <v>0</v>
      </c>
      <c r="AN1761" s="20">
        <f t="shared" si="321"/>
        <v>274400</v>
      </c>
      <c r="AP1761" s="20">
        <f t="shared" si="319"/>
        <v>274400</v>
      </c>
      <c r="AQ1761" s="7"/>
      <c r="AR1761" s="20"/>
      <c r="AS1761" s="51"/>
    </row>
    <row r="1762" spans="1:45" s="21" customFormat="1" ht="30" customHeight="1" x14ac:dyDescent="0.2">
      <c r="A1762" s="8">
        <v>1511</v>
      </c>
      <c r="B1762" s="46">
        <v>2</v>
      </c>
      <c r="C1762" s="16" t="s">
        <v>52</v>
      </c>
      <c r="D1762" s="48">
        <v>2593</v>
      </c>
      <c r="E1762" s="47">
        <v>41</v>
      </c>
      <c r="F1762" s="48">
        <v>1849</v>
      </c>
      <c r="G1762" s="49">
        <v>1</v>
      </c>
      <c r="H1762" s="48">
        <v>0</v>
      </c>
      <c r="I1762" s="48">
        <v>0</v>
      </c>
      <c r="J1762" s="48">
        <v>76</v>
      </c>
      <c r="K1762" s="3"/>
      <c r="L1762" s="16">
        <v>76</v>
      </c>
      <c r="M1762" s="57"/>
      <c r="N1762" s="58"/>
      <c r="P1762" s="16">
        <v>2</v>
      </c>
      <c r="Q1762" s="20">
        <f t="shared" si="316"/>
        <v>76</v>
      </c>
      <c r="R1762" s="14">
        <v>250</v>
      </c>
      <c r="S1762" s="20">
        <f t="shared" si="317"/>
        <v>19000</v>
      </c>
      <c r="T1762" s="16"/>
      <c r="U1762" s="17"/>
      <c r="V1762" s="17"/>
      <c r="W1762" s="4"/>
      <c r="X1762" s="16"/>
      <c r="Y1762" s="5"/>
      <c r="Z1762" s="16"/>
      <c r="AA1762" s="16"/>
      <c r="AB1762" s="16"/>
      <c r="AE1762" s="16"/>
      <c r="AG1762" s="22">
        <f t="shared" si="322"/>
        <v>0</v>
      </c>
      <c r="AH1762" s="6"/>
      <c r="AJ1762" s="20">
        <f t="shared" si="315"/>
        <v>0</v>
      </c>
      <c r="AK1762" s="50"/>
      <c r="AL1762" s="6"/>
      <c r="AM1762" s="20">
        <f t="shared" si="323"/>
        <v>0</v>
      </c>
      <c r="AN1762" s="20">
        <f t="shared" si="321"/>
        <v>19000</v>
      </c>
      <c r="AP1762" s="20">
        <f t="shared" si="319"/>
        <v>19000</v>
      </c>
      <c r="AQ1762" s="7"/>
      <c r="AR1762" s="20"/>
      <c r="AS1762" s="51"/>
    </row>
    <row r="1763" spans="1:45" ht="30" customHeight="1" x14ac:dyDescent="0.2">
      <c r="A1763" s="2">
        <v>1512</v>
      </c>
      <c r="B1763" s="13">
        <v>3</v>
      </c>
      <c r="C1763" s="16" t="s">
        <v>69</v>
      </c>
      <c r="E1763" s="17">
        <v>162</v>
      </c>
      <c r="F1763" s="17">
        <v>19</v>
      </c>
      <c r="G1763" s="13">
        <v>1</v>
      </c>
      <c r="H1763" s="17">
        <v>4</v>
      </c>
      <c r="I1763" s="17">
        <v>1</v>
      </c>
      <c r="J1763" s="17">
        <v>58</v>
      </c>
      <c r="K1763" s="10">
        <v>1758</v>
      </c>
      <c r="P1763" s="17">
        <v>1</v>
      </c>
      <c r="Q1763" s="20">
        <f t="shared" si="316"/>
        <v>1758</v>
      </c>
      <c r="R1763" s="14">
        <v>160</v>
      </c>
      <c r="S1763" s="19">
        <f t="shared" si="317"/>
        <v>281280</v>
      </c>
      <c r="AG1763" s="22">
        <f t="shared" si="322"/>
        <v>0</v>
      </c>
      <c r="AJ1763" s="20">
        <f t="shared" si="315"/>
        <v>0</v>
      </c>
      <c r="AM1763" s="20">
        <f t="shared" si="323"/>
        <v>0</v>
      </c>
      <c r="AN1763" s="20">
        <f t="shared" si="321"/>
        <v>281280</v>
      </c>
      <c r="AP1763" s="20">
        <f t="shared" si="319"/>
        <v>281280</v>
      </c>
      <c r="AQ1763" s="12">
        <v>1E-4</v>
      </c>
      <c r="AR1763" s="20"/>
    </row>
    <row r="1764" spans="1:45" s="21" customFormat="1" ht="30" customHeight="1" x14ac:dyDescent="0.2">
      <c r="A1764" s="8">
        <v>1513</v>
      </c>
      <c r="B1764" s="46">
        <v>1</v>
      </c>
      <c r="C1764" s="16" t="s">
        <v>52</v>
      </c>
      <c r="D1764" s="48">
        <v>2592</v>
      </c>
      <c r="E1764" s="47">
        <v>40</v>
      </c>
      <c r="F1764" s="48">
        <v>1848</v>
      </c>
      <c r="G1764" s="49">
        <v>1</v>
      </c>
      <c r="H1764" s="48">
        <v>0</v>
      </c>
      <c r="I1764" s="48">
        <v>0</v>
      </c>
      <c r="J1764" s="48">
        <v>72</v>
      </c>
      <c r="K1764" s="3"/>
      <c r="L1764" s="16">
        <v>72</v>
      </c>
      <c r="M1764" s="57"/>
      <c r="N1764" s="58"/>
      <c r="P1764" s="16">
        <v>2</v>
      </c>
      <c r="Q1764" s="20">
        <f t="shared" si="316"/>
        <v>72</v>
      </c>
      <c r="R1764" s="14">
        <v>250</v>
      </c>
      <c r="S1764" s="19">
        <f t="shared" si="317"/>
        <v>18000</v>
      </c>
      <c r="T1764" s="16"/>
      <c r="U1764" s="17" t="s">
        <v>57</v>
      </c>
      <c r="V1764" s="17" t="s">
        <v>56</v>
      </c>
      <c r="W1764" s="4"/>
      <c r="X1764" s="16"/>
      <c r="Y1764" s="5">
        <v>81</v>
      </c>
      <c r="Z1764" s="16"/>
      <c r="AA1764" s="16"/>
      <c r="AB1764" s="16">
        <f>62-21</f>
        <v>41</v>
      </c>
      <c r="AE1764" s="16"/>
      <c r="AG1764" s="22">
        <f t="shared" si="322"/>
        <v>81</v>
      </c>
      <c r="AH1764" s="6"/>
      <c r="AJ1764" s="20">
        <f t="shared" si="315"/>
        <v>0</v>
      </c>
      <c r="AK1764" s="50">
        <v>41</v>
      </c>
      <c r="AL1764" s="6"/>
      <c r="AM1764" s="20">
        <f t="shared" si="323"/>
        <v>0</v>
      </c>
      <c r="AN1764" s="20">
        <f t="shared" si="321"/>
        <v>18000</v>
      </c>
      <c r="AP1764" s="20">
        <f t="shared" si="319"/>
        <v>18000</v>
      </c>
      <c r="AQ1764" s="7"/>
      <c r="AR1764" s="20"/>
      <c r="AS1764" s="51"/>
    </row>
    <row r="1765" spans="1:45" s="21" customFormat="1" ht="30" customHeight="1" x14ac:dyDescent="0.2">
      <c r="A1765" s="2">
        <v>1514</v>
      </c>
      <c r="B1765" s="46">
        <v>1</v>
      </c>
      <c r="C1765" s="16" t="s">
        <v>52</v>
      </c>
      <c r="D1765" s="48">
        <v>1140</v>
      </c>
      <c r="E1765" s="47">
        <v>77</v>
      </c>
      <c r="F1765" s="48">
        <v>720</v>
      </c>
      <c r="G1765" s="49">
        <v>1</v>
      </c>
      <c r="H1765" s="48">
        <v>0</v>
      </c>
      <c r="I1765" s="48">
        <v>2</v>
      </c>
      <c r="J1765" s="48">
        <v>58</v>
      </c>
      <c r="K1765" s="3">
        <v>258</v>
      </c>
      <c r="L1765" s="16"/>
      <c r="M1765" s="57"/>
      <c r="N1765" s="58"/>
      <c r="P1765" s="16">
        <v>1</v>
      </c>
      <c r="Q1765" s="20">
        <f t="shared" si="316"/>
        <v>258</v>
      </c>
      <c r="R1765" s="14">
        <v>160</v>
      </c>
      <c r="S1765" s="20">
        <f t="shared" si="317"/>
        <v>41280</v>
      </c>
      <c r="T1765" s="16"/>
      <c r="U1765" s="17"/>
      <c r="V1765" s="17"/>
      <c r="W1765" s="4"/>
      <c r="X1765" s="16"/>
      <c r="Y1765" s="5"/>
      <c r="Z1765" s="16"/>
      <c r="AA1765" s="16"/>
      <c r="AB1765" s="16"/>
      <c r="AE1765" s="16"/>
      <c r="AG1765" s="22">
        <f t="shared" si="322"/>
        <v>0</v>
      </c>
      <c r="AH1765" s="6"/>
      <c r="AJ1765" s="20">
        <f t="shared" ref="AJ1765:AJ1800" si="324">+AG1765*AH1765*AI1765</f>
        <v>0</v>
      </c>
      <c r="AK1765" s="50"/>
      <c r="AL1765" s="6"/>
      <c r="AM1765" s="20">
        <f t="shared" si="323"/>
        <v>0</v>
      </c>
      <c r="AN1765" s="20">
        <f t="shared" si="321"/>
        <v>41280</v>
      </c>
      <c r="AP1765" s="20">
        <f t="shared" si="319"/>
        <v>41280</v>
      </c>
      <c r="AQ1765" s="7"/>
      <c r="AR1765" s="60"/>
      <c r="AS1765" s="128">
        <v>45</v>
      </c>
    </row>
    <row r="1766" spans="1:45" s="21" customFormat="1" ht="30" customHeight="1" x14ac:dyDescent="0.2">
      <c r="A1766" s="8">
        <v>1515</v>
      </c>
      <c r="B1766" s="46">
        <v>2</v>
      </c>
      <c r="C1766" s="16" t="s">
        <v>52</v>
      </c>
      <c r="D1766" s="48">
        <v>4667</v>
      </c>
      <c r="E1766" s="47">
        <v>55</v>
      </c>
      <c r="F1766" s="48">
        <v>2493</v>
      </c>
      <c r="G1766" s="49">
        <v>1</v>
      </c>
      <c r="H1766" s="48">
        <v>8</v>
      </c>
      <c r="I1766" s="48">
        <v>0</v>
      </c>
      <c r="J1766" s="48">
        <v>45</v>
      </c>
      <c r="K1766" s="3">
        <f>8*400+45</f>
        <v>3245</v>
      </c>
      <c r="L1766" s="16"/>
      <c r="M1766" s="57"/>
      <c r="N1766" s="58"/>
      <c r="P1766" s="16">
        <v>1</v>
      </c>
      <c r="Q1766" s="20">
        <f t="shared" ref="Q1766:Q1800" si="325">+(H1766*400)+(I1766*100)+J1766</f>
        <v>3245</v>
      </c>
      <c r="R1766" s="14">
        <v>200</v>
      </c>
      <c r="S1766" s="19">
        <f t="shared" ref="S1766:S1800" si="326">+Q1766*R1766</f>
        <v>649000</v>
      </c>
      <c r="T1766" s="16"/>
      <c r="U1766" s="17"/>
      <c r="V1766" s="17"/>
      <c r="W1766" s="4"/>
      <c r="X1766" s="16"/>
      <c r="Y1766" s="5"/>
      <c r="Z1766" s="16"/>
      <c r="AA1766" s="16"/>
      <c r="AB1766" s="16"/>
      <c r="AE1766" s="16"/>
      <c r="AG1766" s="22">
        <f t="shared" si="322"/>
        <v>0</v>
      </c>
      <c r="AH1766" s="6"/>
      <c r="AJ1766" s="20">
        <f t="shared" si="324"/>
        <v>0</v>
      </c>
      <c r="AK1766" s="50"/>
      <c r="AL1766" s="6"/>
      <c r="AM1766" s="20">
        <f t="shared" si="323"/>
        <v>0</v>
      </c>
      <c r="AN1766" s="20">
        <f t="shared" si="321"/>
        <v>649000</v>
      </c>
      <c r="AP1766" s="20">
        <f t="shared" ref="AP1766:AP1800" si="327">AN1766</f>
        <v>649000</v>
      </c>
      <c r="AQ1766" s="7"/>
      <c r="AR1766" s="24"/>
      <c r="AS1766" s="129"/>
    </row>
    <row r="1767" spans="1:45" s="21" customFormat="1" ht="30" customHeight="1" x14ac:dyDescent="0.2">
      <c r="A1767" s="2">
        <v>1516</v>
      </c>
      <c r="B1767" s="46">
        <v>3</v>
      </c>
      <c r="C1767" s="16" t="s">
        <v>52</v>
      </c>
      <c r="D1767" s="48">
        <v>29243</v>
      </c>
      <c r="E1767" s="47">
        <v>131</v>
      </c>
      <c r="F1767" s="48">
        <v>5438</v>
      </c>
      <c r="G1767" s="49">
        <v>1</v>
      </c>
      <c r="H1767" s="48">
        <v>0</v>
      </c>
      <c r="I1767" s="48">
        <v>0</v>
      </c>
      <c r="J1767" s="48">
        <v>76</v>
      </c>
      <c r="K1767" s="3"/>
      <c r="L1767" s="16">
        <v>76</v>
      </c>
      <c r="M1767" s="57"/>
      <c r="N1767" s="58"/>
      <c r="P1767" s="16">
        <v>2</v>
      </c>
      <c r="Q1767" s="20">
        <f t="shared" si="325"/>
        <v>76</v>
      </c>
      <c r="R1767" s="14">
        <v>250</v>
      </c>
      <c r="S1767" s="19">
        <f t="shared" si="326"/>
        <v>19000</v>
      </c>
      <c r="T1767" s="16"/>
      <c r="U1767" s="16" t="s">
        <v>57</v>
      </c>
      <c r="V1767" s="16" t="s">
        <v>56</v>
      </c>
      <c r="W1767" s="5"/>
      <c r="X1767" s="16"/>
      <c r="Y1767" s="5">
        <v>135</v>
      </c>
      <c r="Z1767" s="16"/>
      <c r="AA1767" s="16"/>
      <c r="AB1767" s="16">
        <f>62-35</f>
        <v>27</v>
      </c>
      <c r="AE1767" s="16"/>
      <c r="AG1767" s="22">
        <f t="shared" si="322"/>
        <v>135</v>
      </c>
      <c r="AH1767" s="6"/>
      <c r="AJ1767" s="20">
        <f t="shared" si="324"/>
        <v>0</v>
      </c>
      <c r="AK1767" s="50">
        <v>27</v>
      </c>
      <c r="AL1767" s="6"/>
      <c r="AM1767" s="20">
        <f t="shared" si="323"/>
        <v>0</v>
      </c>
      <c r="AN1767" s="20">
        <f t="shared" si="321"/>
        <v>19000</v>
      </c>
      <c r="AP1767" s="20">
        <f t="shared" si="327"/>
        <v>19000</v>
      </c>
      <c r="AQ1767" s="7"/>
      <c r="AR1767" s="25"/>
      <c r="AS1767" s="130"/>
    </row>
    <row r="1768" spans="1:45" s="21" customFormat="1" ht="30" customHeight="1" x14ac:dyDescent="0.2">
      <c r="A1768" s="8">
        <v>1517</v>
      </c>
      <c r="B1768" s="46">
        <v>1</v>
      </c>
      <c r="C1768" s="16" t="s">
        <v>52</v>
      </c>
      <c r="D1768" s="48">
        <v>4663</v>
      </c>
      <c r="E1768" s="47">
        <v>51</v>
      </c>
      <c r="F1768" s="48">
        <v>2489</v>
      </c>
      <c r="G1768" s="49">
        <v>1</v>
      </c>
      <c r="H1768" s="48">
        <v>1</v>
      </c>
      <c r="I1768" s="48">
        <v>1</v>
      </c>
      <c r="J1768" s="48">
        <v>2</v>
      </c>
      <c r="K1768" s="3">
        <v>502</v>
      </c>
      <c r="L1768" s="16"/>
      <c r="M1768" s="57"/>
      <c r="N1768" s="58"/>
      <c r="P1768" s="16">
        <v>1</v>
      </c>
      <c r="Q1768" s="20">
        <f t="shared" si="325"/>
        <v>502</v>
      </c>
      <c r="R1768" s="14">
        <v>160</v>
      </c>
      <c r="S1768" s="20">
        <f t="shared" si="326"/>
        <v>80320</v>
      </c>
      <c r="T1768" s="16"/>
      <c r="U1768" s="17"/>
      <c r="V1768" s="16"/>
      <c r="W1768" s="5"/>
      <c r="X1768" s="16"/>
      <c r="Y1768" s="5"/>
      <c r="Z1768" s="16"/>
      <c r="AA1768" s="16"/>
      <c r="AB1768" s="16"/>
      <c r="AE1768" s="16"/>
      <c r="AG1768" s="22">
        <f t="shared" si="322"/>
        <v>0</v>
      </c>
      <c r="AH1768" s="6"/>
      <c r="AJ1768" s="20">
        <f t="shared" si="324"/>
        <v>0</v>
      </c>
      <c r="AK1768" s="50"/>
      <c r="AL1768" s="6"/>
      <c r="AM1768" s="20">
        <f t="shared" si="323"/>
        <v>0</v>
      </c>
      <c r="AN1768" s="20">
        <f t="shared" si="321"/>
        <v>80320</v>
      </c>
      <c r="AP1768" s="20">
        <f t="shared" si="327"/>
        <v>80320</v>
      </c>
      <c r="AQ1768" s="7"/>
      <c r="AR1768" s="20"/>
      <c r="AS1768" s="51"/>
    </row>
    <row r="1769" spans="1:45" s="21" customFormat="1" ht="30" customHeight="1" x14ac:dyDescent="0.2">
      <c r="A1769" s="2">
        <v>1518</v>
      </c>
      <c r="B1769" s="46">
        <v>2</v>
      </c>
      <c r="C1769" s="16" t="s">
        <v>52</v>
      </c>
      <c r="D1769" s="48">
        <v>4666</v>
      </c>
      <c r="E1769" s="47">
        <v>52</v>
      </c>
      <c r="F1769" s="48">
        <v>2492</v>
      </c>
      <c r="G1769" s="49">
        <v>1</v>
      </c>
      <c r="H1769" s="48">
        <v>1</v>
      </c>
      <c r="I1769" s="48">
        <v>0</v>
      </c>
      <c r="J1769" s="48">
        <v>3</v>
      </c>
      <c r="K1769" s="3">
        <v>403</v>
      </c>
      <c r="L1769" s="16"/>
      <c r="M1769" s="57"/>
      <c r="N1769" s="58"/>
      <c r="P1769" s="16">
        <v>1</v>
      </c>
      <c r="Q1769" s="20">
        <f t="shared" si="325"/>
        <v>403</v>
      </c>
      <c r="R1769" s="14">
        <v>160</v>
      </c>
      <c r="S1769" s="19">
        <f t="shared" si="326"/>
        <v>64480</v>
      </c>
      <c r="T1769" s="16"/>
      <c r="U1769" s="17"/>
      <c r="V1769" s="17"/>
      <c r="W1769" s="4"/>
      <c r="X1769" s="16"/>
      <c r="Y1769" s="5"/>
      <c r="Z1769" s="16"/>
      <c r="AA1769" s="16"/>
      <c r="AB1769" s="16"/>
      <c r="AE1769" s="16"/>
      <c r="AG1769" s="22">
        <f t="shared" si="322"/>
        <v>0</v>
      </c>
      <c r="AH1769" s="6"/>
      <c r="AJ1769" s="20">
        <f t="shared" si="324"/>
        <v>0</v>
      </c>
      <c r="AK1769" s="50"/>
      <c r="AL1769" s="6"/>
      <c r="AM1769" s="20">
        <f t="shared" si="323"/>
        <v>0</v>
      </c>
      <c r="AN1769" s="20">
        <f t="shared" si="321"/>
        <v>64480</v>
      </c>
      <c r="AP1769" s="20">
        <f t="shared" si="327"/>
        <v>64480</v>
      </c>
      <c r="AQ1769" s="7"/>
      <c r="AR1769" s="20"/>
      <c r="AS1769" s="51"/>
    </row>
    <row r="1770" spans="1:45" s="21" customFormat="1" ht="30" customHeight="1" x14ac:dyDescent="0.2">
      <c r="A1770" s="8">
        <v>1519</v>
      </c>
      <c r="B1770" s="46">
        <v>3</v>
      </c>
      <c r="C1770" s="16" t="s">
        <v>52</v>
      </c>
      <c r="D1770" s="48">
        <v>29244</v>
      </c>
      <c r="E1770" s="47">
        <v>285</v>
      </c>
      <c r="F1770" s="48">
        <v>5439</v>
      </c>
      <c r="G1770" s="49">
        <v>1</v>
      </c>
      <c r="H1770" s="48">
        <v>0</v>
      </c>
      <c r="I1770" s="48">
        <v>2</v>
      </c>
      <c r="J1770" s="48">
        <v>5</v>
      </c>
      <c r="K1770" s="3"/>
      <c r="L1770" s="16">
        <v>205</v>
      </c>
      <c r="M1770" s="57"/>
      <c r="N1770" s="58"/>
      <c r="P1770" s="16">
        <v>2</v>
      </c>
      <c r="Q1770" s="20">
        <f t="shared" si="325"/>
        <v>205</v>
      </c>
      <c r="R1770" s="14">
        <v>160</v>
      </c>
      <c r="S1770" s="19">
        <f t="shared" si="326"/>
        <v>32800</v>
      </c>
      <c r="T1770" s="16"/>
      <c r="U1770" s="17" t="s">
        <v>57</v>
      </c>
      <c r="V1770" s="17" t="s">
        <v>84</v>
      </c>
      <c r="W1770" s="4"/>
      <c r="X1770" s="16"/>
      <c r="Y1770" s="5">
        <f>143*2</f>
        <v>286</v>
      </c>
      <c r="Z1770" s="16"/>
      <c r="AA1770" s="16"/>
      <c r="AB1770" s="16">
        <f>62-21</f>
        <v>41</v>
      </c>
      <c r="AE1770" s="16"/>
      <c r="AG1770" s="22">
        <f t="shared" si="322"/>
        <v>286</v>
      </c>
      <c r="AH1770" s="6"/>
      <c r="AJ1770" s="20">
        <f t="shared" si="324"/>
        <v>0</v>
      </c>
      <c r="AK1770" s="50">
        <v>41</v>
      </c>
      <c r="AL1770" s="6"/>
      <c r="AM1770" s="20">
        <f t="shared" si="323"/>
        <v>0</v>
      </c>
      <c r="AN1770" s="20">
        <f t="shared" si="321"/>
        <v>32800</v>
      </c>
      <c r="AP1770" s="20">
        <f t="shared" si="327"/>
        <v>32800</v>
      </c>
      <c r="AQ1770" s="7"/>
      <c r="AR1770" s="20"/>
      <c r="AS1770" s="51"/>
    </row>
    <row r="1771" spans="1:45" s="21" customFormat="1" ht="30" customHeight="1" x14ac:dyDescent="0.2">
      <c r="A1771" s="2">
        <v>1520</v>
      </c>
      <c r="B1771" s="46">
        <v>4</v>
      </c>
      <c r="C1771" s="16" t="s">
        <v>52</v>
      </c>
      <c r="D1771" s="48">
        <v>29245</v>
      </c>
      <c r="E1771" s="47">
        <v>286</v>
      </c>
      <c r="F1771" s="48">
        <v>5440</v>
      </c>
      <c r="G1771" s="49">
        <v>1</v>
      </c>
      <c r="H1771" s="48">
        <v>0</v>
      </c>
      <c r="I1771" s="48">
        <v>1</v>
      </c>
      <c r="J1771" s="48">
        <v>77</v>
      </c>
      <c r="K1771" s="3">
        <v>177</v>
      </c>
      <c r="L1771" s="16"/>
      <c r="M1771" s="57"/>
      <c r="N1771" s="58"/>
      <c r="P1771" s="16">
        <v>1</v>
      </c>
      <c r="Q1771" s="20">
        <f t="shared" si="325"/>
        <v>177</v>
      </c>
      <c r="R1771" s="14">
        <v>160</v>
      </c>
      <c r="S1771" s="20">
        <f t="shared" si="326"/>
        <v>28320</v>
      </c>
      <c r="T1771" s="16"/>
      <c r="U1771" s="17"/>
      <c r="V1771" s="17"/>
      <c r="W1771" s="4"/>
      <c r="X1771" s="16"/>
      <c r="Y1771" s="5"/>
      <c r="Z1771" s="16"/>
      <c r="AA1771" s="16"/>
      <c r="AB1771" s="16"/>
      <c r="AE1771" s="16"/>
      <c r="AG1771" s="22">
        <f t="shared" si="322"/>
        <v>0</v>
      </c>
      <c r="AH1771" s="6"/>
      <c r="AJ1771" s="20">
        <f t="shared" si="324"/>
        <v>0</v>
      </c>
      <c r="AK1771" s="50"/>
      <c r="AL1771" s="6"/>
      <c r="AM1771" s="20">
        <f t="shared" si="323"/>
        <v>0</v>
      </c>
      <c r="AN1771" s="20">
        <f t="shared" si="321"/>
        <v>28320</v>
      </c>
      <c r="AP1771" s="20">
        <f t="shared" si="327"/>
        <v>28320</v>
      </c>
      <c r="AQ1771" s="7"/>
      <c r="AR1771" s="20"/>
      <c r="AS1771" s="51"/>
    </row>
    <row r="1772" spans="1:45" s="21" customFormat="1" ht="30" customHeight="1" x14ac:dyDescent="0.2">
      <c r="A1772" s="8">
        <v>1521</v>
      </c>
      <c r="B1772" s="46">
        <v>5</v>
      </c>
      <c r="C1772" s="16" t="s">
        <v>52</v>
      </c>
      <c r="D1772" s="48">
        <v>29246</v>
      </c>
      <c r="E1772" s="47">
        <v>248</v>
      </c>
      <c r="F1772" s="48">
        <v>5441</v>
      </c>
      <c r="G1772" s="49">
        <v>1</v>
      </c>
      <c r="H1772" s="48">
        <v>0</v>
      </c>
      <c r="I1772" s="48">
        <v>1</v>
      </c>
      <c r="J1772" s="48">
        <v>74</v>
      </c>
      <c r="K1772" s="3">
        <v>174</v>
      </c>
      <c r="L1772" s="16"/>
      <c r="M1772" s="57"/>
      <c r="N1772" s="58"/>
      <c r="P1772" s="16">
        <v>1</v>
      </c>
      <c r="Q1772" s="20">
        <f t="shared" si="325"/>
        <v>174</v>
      </c>
      <c r="R1772" s="14">
        <v>160</v>
      </c>
      <c r="S1772" s="19">
        <f t="shared" si="326"/>
        <v>27840</v>
      </c>
      <c r="T1772" s="16"/>
      <c r="U1772" s="17"/>
      <c r="V1772" s="17"/>
      <c r="W1772" s="4"/>
      <c r="X1772" s="16"/>
      <c r="Y1772" s="5"/>
      <c r="Z1772" s="16"/>
      <c r="AA1772" s="16"/>
      <c r="AB1772" s="16"/>
      <c r="AC1772" s="14"/>
      <c r="AD1772" s="14"/>
      <c r="AE1772" s="16"/>
      <c r="AG1772" s="22">
        <f t="shared" si="322"/>
        <v>0</v>
      </c>
      <c r="AH1772" s="6"/>
      <c r="AJ1772" s="20">
        <f t="shared" si="324"/>
        <v>0</v>
      </c>
      <c r="AK1772" s="50"/>
      <c r="AL1772" s="6"/>
      <c r="AM1772" s="20">
        <f t="shared" si="323"/>
        <v>0</v>
      </c>
      <c r="AN1772" s="20">
        <f t="shared" si="321"/>
        <v>27840</v>
      </c>
      <c r="AP1772" s="20">
        <f t="shared" si="327"/>
        <v>27840</v>
      </c>
      <c r="AQ1772" s="7"/>
      <c r="AR1772" s="20"/>
      <c r="AS1772" s="51"/>
    </row>
    <row r="1773" spans="1:45" s="21" customFormat="1" ht="30" customHeight="1" x14ac:dyDescent="0.2">
      <c r="A1773" s="2">
        <v>1522</v>
      </c>
      <c r="B1773" s="46">
        <v>6</v>
      </c>
      <c r="C1773" s="16" t="s">
        <v>52</v>
      </c>
      <c r="D1773" s="48">
        <v>34561</v>
      </c>
      <c r="E1773" s="47">
        <v>153</v>
      </c>
      <c r="F1773" s="48">
        <v>6903</v>
      </c>
      <c r="G1773" s="49">
        <v>1</v>
      </c>
      <c r="H1773" s="48">
        <v>2</v>
      </c>
      <c r="I1773" s="48">
        <v>3</v>
      </c>
      <c r="J1773" s="48">
        <v>26.02</v>
      </c>
      <c r="K1773" s="3">
        <f>800+326.02</f>
        <v>1126.02</v>
      </c>
      <c r="L1773" s="16"/>
      <c r="M1773" s="57"/>
      <c r="N1773" s="58"/>
      <c r="P1773" s="16">
        <v>1</v>
      </c>
      <c r="Q1773" s="20">
        <f t="shared" si="325"/>
        <v>1126.02</v>
      </c>
      <c r="R1773" s="14">
        <v>160</v>
      </c>
      <c r="S1773" s="19">
        <f t="shared" si="326"/>
        <v>180163.20000000001</v>
      </c>
      <c r="T1773" s="16"/>
      <c r="U1773" s="17"/>
      <c r="V1773" s="17"/>
      <c r="W1773" s="4"/>
      <c r="X1773" s="16"/>
      <c r="Y1773" s="5"/>
      <c r="Z1773" s="16"/>
      <c r="AA1773" s="16"/>
      <c r="AB1773" s="16"/>
      <c r="AE1773" s="16"/>
      <c r="AG1773" s="22">
        <f t="shared" si="322"/>
        <v>0</v>
      </c>
      <c r="AH1773" s="6"/>
      <c r="AJ1773" s="20">
        <f t="shared" si="324"/>
        <v>0</v>
      </c>
      <c r="AK1773" s="50"/>
      <c r="AL1773" s="6"/>
      <c r="AM1773" s="20">
        <f t="shared" si="323"/>
        <v>0</v>
      </c>
      <c r="AN1773" s="20">
        <f t="shared" si="321"/>
        <v>180163.20000000001</v>
      </c>
      <c r="AP1773" s="20">
        <f t="shared" si="327"/>
        <v>180163.20000000001</v>
      </c>
      <c r="AQ1773" s="7"/>
      <c r="AR1773" s="20"/>
      <c r="AS1773" s="51"/>
    </row>
    <row r="1774" spans="1:45" s="21" customFormat="1" ht="30" customHeight="1" x14ac:dyDescent="0.2">
      <c r="A1774" s="8">
        <v>1523</v>
      </c>
      <c r="B1774" s="46">
        <v>1</v>
      </c>
      <c r="C1774" s="16" t="s">
        <v>52</v>
      </c>
      <c r="D1774" s="48">
        <v>4661</v>
      </c>
      <c r="E1774" s="47">
        <v>49</v>
      </c>
      <c r="F1774" s="48">
        <v>2487</v>
      </c>
      <c r="G1774" s="49">
        <v>1</v>
      </c>
      <c r="H1774" s="48">
        <v>1</v>
      </c>
      <c r="I1774" s="48">
        <v>1</v>
      </c>
      <c r="J1774" s="48">
        <v>27</v>
      </c>
      <c r="K1774" s="3">
        <v>527</v>
      </c>
      <c r="L1774" s="16"/>
      <c r="M1774" s="57"/>
      <c r="N1774" s="58"/>
      <c r="P1774" s="16">
        <v>1</v>
      </c>
      <c r="Q1774" s="20">
        <f t="shared" si="325"/>
        <v>527</v>
      </c>
      <c r="R1774" s="14">
        <v>160</v>
      </c>
      <c r="S1774" s="20">
        <f t="shared" si="326"/>
        <v>84320</v>
      </c>
      <c r="T1774" s="16"/>
      <c r="U1774" s="16"/>
      <c r="V1774" s="16"/>
      <c r="W1774" s="5"/>
      <c r="X1774" s="16"/>
      <c r="Y1774" s="5"/>
      <c r="Z1774" s="16"/>
      <c r="AA1774" s="16"/>
      <c r="AB1774" s="16"/>
      <c r="AC1774" s="14"/>
      <c r="AD1774" s="14"/>
      <c r="AE1774" s="16"/>
      <c r="AG1774" s="22">
        <f t="shared" si="322"/>
        <v>0</v>
      </c>
      <c r="AH1774" s="6"/>
      <c r="AJ1774" s="20">
        <f t="shared" si="324"/>
        <v>0</v>
      </c>
      <c r="AK1774" s="50"/>
      <c r="AL1774" s="6"/>
      <c r="AM1774" s="20">
        <f t="shared" si="323"/>
        <v>0</v>
      </c>
      <c r="AN1774" s="20">
        <f t="shared" si="321"/>
        <v>84320</v>
      </c>
      <c r="AP1774" s="20">
        <f t="shared" si="327"/>
        <v>84320</v>
      </c>
      <c r="AQ1774" s="7"/>
      <c r="AR1774" s="60"/>
      <c r="AS1774" s="128">
        <v>7</v>
      </c>
    </row>
    <row r="1775" spans="1:45" s="21" customFormat="1" ht="30" customHeight="1" x14ac:dyDescent="0.2">
      <c r="A1775" s="2">
        <v>1524</v>
      </c>
      <c r="B1775" s="46">
        <v>2</v>
      </c>
      <c r="C1775" s="16" t="s">
        <v>52</v>
      </c>
      <c r="D1775" s="48">
        <v>4664</v>
      </c>
      <c r="E1775" s="47">
        <v>54</v>
      </c>
      <c r="F1775" s="48">
        <v>2490</v>
      </c>
      <c r="G1775" s="49">
        <v>1</v>
      </c>
      <c r="H1775" s="48">
        <v>1</v>
      </c>
      <c r="I1775" s="48">
        <v>0</v>
      </c>
      <c r="J1775" s="48">
        <v>22</v>
      </c>
      <c r="K1775" s="3">
        <v>422</v>
      </c>
      <c r="L1775" s="16"/>
      <c r="M1775" s="57"/>
      <c r="N1775" s="58"/>
      <c r="P1775" s="16">
        <v>1</v>
      </c>
      <c r="Q1775" s="20">
        <f t="shared" si="325"/>
        <v>422</v>
      </c>
      <c r="R1775" s="14">
        <v>160</v>
      </c>
      <c r="S1775" s="19">
        <f t="shared" si="326"/>
        <v>67520</v>
      </c>
      <c r="T1775" s="16"/>
      <c r="U1775" s="17"/>
      <c r="V1775" s="16"/>
      <c r="W1775" s="5"/>
      <c r="X1775" s="16"/>
      <c r="Y1775" s="5"/>
      <c r="Z1775" s="16"/>
      <c r="AA1775" s="16"/>
      <c r="AB1775" s="16"/>
      <c r="AC1775" s="14"/>
      <c r="AD1775" s="14"/>
      <c r="AE1775" s="16"/>
      <c r="AG1775" s="22">
        <f t="shared" si="322"/>
        <v>0</v>
      </c>
      <c r="AH1775" s="6"/>
      <c r="AJ1775" s="20">
        <f t="shared" si="324"/>
        <v>0</v>
      </c>
      <c r="AK1775" s="50"/>
      <c r="AL1775" s="6"/>
      <c r="AM1775" s="20">
        <f t="shared" si="323"/>
        <v>0</v>
      </c>
      <c r="AN1775" s="20">
        <f t="shared" si="321"/>
        <v>67520</v>
      </c>
      <c r="AP1775" s="20">
        <f t="shared" si="327"/>
        <v>67520</v>
      </c>
      <c r="AQ1775" s="7"/>
      <c r="AR1775" s="25"/>
      <c r="AS1775" s="130"/>
    </row>
    <row r="1776" spans="1:45" s="21" customFormat="1" ht="30" customHeight="1" x14ac:dyDescent="0.2">
      <c r="A1776" s="8">
        <v>1525</v>
      </c>
      <c r="B1776" s="46">
        <v>1</v>
      </c>
      <c r="C1776" s="16" t="s">
        <v>52</v>
      </c>
      <c r="D1776" s="48">
        <v>4662</v>
      </c>
      <c r="E1776" s="47">
        <v>50</v>
      </c>
      <c r="F1776" s="48">
        <v>2488</v>
      </c>
      <c r="G1776" s="49">
        <v>1</v>
      </c>
      <c r="H1776" s="48">
        <v>1</v>
      </c>
      <c r="I1776" s="48">
        <v>1</v>
      </c>
      <c r="J1776" s="48">
        <v>69</v>
      </c>
      <c r="K1776" s="3">
        <v>569</v>
      </c>
      <c r="L1776" s="16"/>
      <c r="M1776" s="57"/>
      <c r="N1776" s="58"/>
      <c r="P1776" s="16">
        <v>1</v>
      </c>
      <c r="Q1776" s="20">
        <f t="shared" si="325"/>
        <v>569</v>
      </c>
      <c r="R1776" s="14">
        <v>160</v>
      </c>
      <c r="S1776" s="19">
        <f t="shared" si="326"/>
        <v>91040</v>
      </c>
      <c r="T1776" s="16"/>
      <c r="U1776" s="17"/>
      <c r="V1776" s="17"/>
      <c r="W1776" s="4"/>
      <c r="X1776" s="16"/>
      <c r="Y1776" s="5"/>
      <c r="Z1776" s="16"/>
      <c r="AA1776" s="16"/>
      <c r="AB1776" s="16"/>
      <c r="AC1776" s="14"/>
      <c r="AD1776" s="14"/>
      <c r="AE1776" s="16"/>
      <c r="AG1776" s="22">
        <f t="shared" si="322"/>
        <v>0</v>
      </c>
      <c r="AH1776" s="6"/>
      <c r="AJ1776" s="20">
        <f t="shared" si="324"/>
        <v>0</v>
      </c>
      <c r="AK1776" s="50"/>
      <c r="AL1776" s="6"/>
      <c r="AM1776" s="20">
        <f t="shared" si="323"/>
        <v>0</v>
      </c>
      <c r="AN1776" s="20">
        <f t="shared" si="321"/>
        <v>91040</v>
      </c>
      <c r="AP1776" s="20">
        <f t="shared" si="327"/>
        <v>91040</v>
      </c>
      <c r="AQ1776" s="7"/>
      <c r="AR1776" s="60"/>
      <c r="AS1776" s="128">
        <v>9</v>
      </c>
    </row>
    <row r="1777" spans="1:45" s="21" customFormat="1" ht="30" customHeight="1" x14ac:dyDescent="0.2">
      <c r="A1777" s="2">
        <v>1526</v>
      </c>
      <c r="B1777" s="46">
        <v>2</v>
      </c>
      <c r="C1777" s="16" t="s">
        <v>52</v>
      </c>
      <c r="D1777" s="48">
        <v>4665</v>
      </c>
      <c r="E1777" s="47">
        <v>53</v>
      </c>
      <c r="F1777" s="48">
        <v>2491</v>
      </c>
      <c r="G1777" s="49">
        <v>1</v>
      </c>
      <c r="H1777" s="48">
        <v>1</v>
      </c>
      <c r="I1777" s="48">
        <v>0</v>
      </c>
      <c r="J1777" s="48">
        <v>72</v>
      </c>
      <c r="K1777" s="3">
        <v>472</v>
      </c>
      <c r="L1777" s="16"/>
      <c r="M1777" s="57"/>
      <c r="N1777" s="58"/>
      <c r="P1777" s="16">
        <v>1</v>
      </c>
      <c r="Q1777" s="20">
        <f t="shared" si="325"/>
        <v>472</v>
      </c>
      <c r="R1777" s="14">
        <v>160</v>
      </c>
      <c r="S1777" s="20">
        <f t="shared" si="326"/>
        <v>75520</v>
      </c>
      <c r="T1777" s="16"/>
      <c r="U1777" s="17"/>
      <c r="V1777" s="17"/>
      <c r="W1777" s="4"/>
      <c r="X1777" s="16"/>
      <c r="Y1777" s="5"/>
      <c r="Z1777" s="16"/>
      <c r="AA1777" s="16"/>
      <c r="AB1777" s="16"/>
      <c r="AC1777" s="14"/>
      <c r="AD1777" s="14"/>
      <c r="AE1777" s="16"/>
      <c r="AG1777" s="22">
        <f t="shared" si="322"/>
        <v>0</v>
      </c>
      <c r="AH1777" s="6"/>
      <c r="AJ1777" s="20">
        <f t="shared" si="324"/>
        <v>0</v>
      </c>
      <c r="AK1777" s="50"/>
      <c r="AL1777" s="6"/>
      <c r="AM1777" s="20">
        <f t="shared" si="323"/>
        <v>0</v>
      </c>
      <c r="AN1777" s="20">
        <f t="shared" si="321"/>
        <v>75520</v>
      </c>
      <c r="AP1777" s="20">
        <f t="shared" si="327"/>
        <v>75520</v>
      </c>
      <c r="AQ1777" s="7"/>
      <c r="AR1777" s="24"/>
      <c r="AS1777" s="129"/>
    </row>
    <row r="1778" spans="1:45" s="21" customFormat="1" ht="30" customHeight="1" x14ac:dyDescent="0.2">
      <c r="A1778" s="8">
        <v>1527</v>
      </c>
      <c r="B1778" s="46">
        <v>3</v>
      </c>
      <c r="C1778" s="16" t="s">
        <v>52</v>
      </c>
      <c r="D1778" s="48">
        <v>29242</v>
      </c>
      <c r="E1778" s="47">
        <v>130</v>
      </c>
      <c r="F1778" s="48">
        <v>5437</v>
      </c>
      <c r="G1778" s="49">
        <v>1</v>
      </c>
      <c r="H1778" s="48">
        <v>0</v>
      </c>
      <c r="I1778" s="48">
        <v>1</v>
      </c>
      <c r="J1778" s="48">
        <v>26</v>
      </c>
      <c r="K1778" s="3">
        <v>126</v>
      </c>
      <c r="L1778" s="16"/>
      <c r="M1778" s="57"/>
      <c r="N1778" s="58"/>
      <c r="P1778" s="16">
        <v>1</v>
      </c>
      <c r="Q1778" s="20">
        <f t="shared" si="325"/>
        <v>126</v>
      </c>
      <c r="R1778" s="14">
        <v>250</v>
      </c>
      <c r="S1778" s="19">
        <f t="shared" si="326"/>
        <v>31500</v>
      </c>
      <c r="T1778" s="16"/>
      <c r="U1778" s="17"/>
      <c r="V1778" s="17"/>
      <c r="W1778" s="4"/>
      <c r="X1778" s="16"/>
      <c r="Y1778" s="5"/>
      <c r="Z1778" s="16"/>
      <c r="AA1778" s="16"/>
      <c r="AB1778" s="16"/>
      <c r="AC1778" s="14"/>
      <c r="AD1778" s="14"/>
      <c r="AE1778" s="16"/>
      <c r="AG1778" s="22">
        <f t="shared" si="322"/>
        <v>0</v>
      </c>
      <c r="AH1778" s="6"/>
      <c r="AJ1778" s="20">
        <f t="shared" si="324"/>
        <v>0</v>
      </c>
      <c r="AK1778" s="50"/>
      <c r="AL1778" s="6"/>
      <c r="AM1778" s="20">
        <f t="shared" si="323"/>
        <v>0</v>
      </c>
      <c r="AN1778" s="20">
        <f t="shared" si="321"/>
        <v>31500</v>
      </c>
      <c r="AP1778" s="20">
        <f t="shared" si="327"/>
        <v>31500</v>
      </c>
      <c r="AQ1778" s="7"/>
      <c r="AR1778" s="25"/>
      <c r="AS1778" s="130"/>
    </row>
    <row r="1779" spans="1:45" s="21" customFormat="1" ht="30" customHeight="1" x14ac:dyDescent="0.2">
      <c r="A1779" s="2">
        <v>1528</v>
      </c>
      <c r="B1779" s="46">
        <v>1</v>
      </c>
      <c r="C1779" s="16" t="s">
        <v>52</v>
      </c>
      <c r="D1779" s="48">
        <v>29241</v>
      </c>
      <c r="E1779" s="47">
        <v>129</v>
      </c>
      <c r="F1779" s="48">
        <v>5436</v>
      </c>
      <c r="G1779" s="49">
        <v>1</v>
      </c>
      <c r="H1779" s="48">
        <v>0</v>
      </c>
      <c r="I1779" s="48">
        <v>0</v>
      </c>
      <c r="J1779" s="48">
        <v>81</v>
      </c>
      <c r="K1779" s="3"/>
      <c r="L1779" s="16">
        <v>81</v>
      </c>
      <c r="M1779" s="57"/>
      <c r="N1779" s="58"/>
      <c r="P1779" s="16">
        <v>2</v>
      </c>
      <c r="Q1779" s="20">
        <f t="shared" si="325"/>
        <v>81</v>
      </c>
      <c r="R1779" s="14">
        <v>250</v>
      </c>
      <c r="S1779" s="19">
        <f t="shared" si="326"/>
        <v>20250</v>
      </c>
      <c r="T1779" s="16"/>
      <c r="U1779" s="17"/>
      <c r="V1779" s="17"/>
      <c r="W1779" s="4"/>
      <c r="X1779" s="16"/>
      <c r="Y1779" s="5"/>
      <c r="Z1779" s="16"/>
      <c r="AA1779" s="16"/>
      <c r="AB1779" s="16"/>
      <c r="AE1779" s="16"/>
      <c r="AG1779" s="22">
        <f t="shared" si="322"/>
        <v>0</v>
      </c>
      <c r="AH1779" s="6"/>
      <c r="AJ1779" s="20">
        <f t="shared" si="324"/>
        <v>0</v>
      </c>
      <c r="AK1779" s="50"/>
      <c r="AL1779" s="6"/>
      <c r="AM1779" s="20">
        <f t="shared" si="323"/>
        <v>0</v>
      </c>
      <c r="AN1779" s="20">
        <f t="shared" si="321"/>
        <v>20250</v>
      </c>
      <c r="AP1779" s="20">
        <f t="shared" si="327"/>
        <v>20250</v>
      </c>
      <c r="AQ1779" s="7"/>
      <c r="AR1779" s="60"/>
      <c r="AS1779" s="128" t="s">
        <v>177</v>
      </c>
    </row>
    <row r="1780" spans="1:45" s="21" customFormat="1" ht="30" customHeight="1" x14ac:dyDescent="0.2">
      <c r="A1780" s="8">
        <v>1529</v>
      </c>
      <c r="B1780" s="46">
        <v>2</v>
      </c>
      <c r="C1780" s="16" t="s">
        <v>52</v>
      </c>
      <c r="D1780" s="48">
        <v>29248</v>
      </c>
      <c r="E1780" s="47">
        <v>134</v>
      </c>
      <c r="F1780" s="48">
        <v>5443</v>
      </c>
      <c r="G1780" s="49">
        <v>1</v>
      </c>
      <c r="H1780" s="48">
        <v>0</v>
      </c>
      <c r="I1780" s="48">
        <v>1</v>
      </c>
      <c r="J1780" s="48">
        <v>97</v>
      </c>
      <c r="K1780" s="3"/>
      <c r="L1780" s="16">
        <v>197</v>
      </c>
      <c r="M1780" s="57"/>
      <c r="N1780" s="58"/>
      <c r="P1780" s="16">
        <v>2</v>
      </c>
      <c r="Q1780" s="20">
        <f t="shared" si="325"/>
        <v>197</v>
      </c>
      <c r="R1780" s="14">
        <v>250</v>
      </c>
      <c r="S1780" s="20">
        <f t="shared" si="326"/>
        <v>49250</v>
      </c>
      <c r="T1780" s="16"/>
      <c r="U1780" s="17" t="s">
        <v>57</v>
      </c>
      <c r="V1780" s="17" t="s">
        <v>56</v>
      </c>
      <c r="W1780" s="4"/>
      <c r="X1780" s="16"/>
      <c r="Y1780" s="5">
        <v>90</v>
      </c>
      <c r="Z1780" s="16"/>
      <c r="AA1780" s="16"/>
      <c r="AB1780" s="16">
        <f>62-31</f>
        <v>31</v>
      </c>
      <c r="AE1780" s="16"/>
      <c r="AG1780" s="22">
        <f t="shared" si="322"/>
        <v>90</v>
      </c>
      <c r="AH1780" s="6"/>
      <c r="AJ1780" s="20">
        <f t="shared" si="324"/>
        <v>0</v>
      </c>
      <c r="AK1780" s="50">
        <v>31</v>
      </c>
      <c r="AL1780" s="6"/>
      <c r="AM1780" s="20">
        <f t="shared" si="323"/>
        <v>0</v>
      </c>
      <c r="AN1780" s="20">
        <f t="shared" ref="AN1780:AN1800" si="328">+S1780+AM1780</f>
        <v>49250</v>
      </c>
      <c r="AP1780" s="20">
        <f t="shared" si="327"/>
        <v>49250</v>
      </c>
      <c r="AQ1780" s="7"/>
      <c r="AR1780" s="24"/>
      <c r="AS1780" s="129"/>
    </row>
    <row r="1781" spans="1:45" s="21" customFormat="1" ht="30" customHeight="1" x14ac:dyDescent="0.2">
      <c r="A1781" s="2">
        <v>1530</v>
      </c>
      <c r="B1781" s="46">
        <v>3</v>
      </c>
      <c r="C1781" s="16" t="s">
        <v>52</v>
      </c>
      <c r="D1781" s="48">
        <v>31904</v>
      </c>
      <c r="E1781" s="47">
        <v>249</v>
      </c>
      <c r="F1781" s="48">
        <v>6131</v>
      </c>
      <c r="G1781" s="49">
        <v>2</v>
      </c>
      <c r="H1781" s="48">
        <v>1</v>
      </c>
      <c r="I1781" s="48">
        <v>2</v>
      </c>
      <c r="J1781" s="48">
        <v>18.04</v>
      </c>
      <c r="K1781" s="3">
        <v>618.04</v>
      </c>
      <c r="L1781" s="16"/>
      <c r="M1781" s="57"/>
      <c r="N1781" s="58"/>
      <c r="P1781" s="16">
        <v>1</v>
      </c>
      <c r="Q1781" s="20">
        <f t="shared" si="325"/>
        <v>618.04</v>
      </c>
      <c r="R1781" s="14">
        <v>160</v>
      </c>
      <c r="S1781" s="19">
        <f t="shared" si="326"/>
        <v>98886.399999999994</v>
      </c>
      <c r="T1781" s="16"/>
      <c r="U1781" s="16"/>
      <c r="V1781" s="16"/>
      <c r="W1781" s="5"/>
      <c r="X1781" s="16"/>
      <c r="Y1781" s="5"/>
      <c r="Z1781" s="16"/>
      <c r="AA1781" s="16"/>
      <c r="AB1781" s="16"/>
      <c r="AE1781" s="16"/>
      <c r="AG1781" s="22">
        <f t="shared" si="322"/>
        <v>0</v>
      </c>
      <c r="AH1781" s="6"/>
      <c r="AJ1781" s="20">
        <f t="shared" si="324"/>
        <v>0</v>
      </c>
      <c r="AK1781" s="50"/>
      <c r="AL1781" s="6"/>
      <c r="AM1781" s="20">
        <f t="shared" si="323"/>
        <v>0</v>
      </c>
      <c r="AN1781" s="20">
        <f t="shared" si="328"/>
        <v>98886.399999999994</v>
      </c>
      <c r="AP1781" s="20">
        <f t="shared" si="327"/>
        <v>98886.399999999994</v>
      </c>
      <c r="AQ1781" s="7"/>
      <c r="AR1781" s="24"/>
      <c r="AS1781" s="129"/>
    </row>
    <row r="1782" spans="1:45" ht="30" customHeight="1" x14ac:dyDescent="0.2">
      <c r="A1782" s="8">
        <v>1531</v>
      </c>
      <c r="B1782" s="13">
        <v>4</v>
      </c>
      <c r="C1782" s="16" t="s">
        <v>69</v>
      </c>
      <c r="E1782" s="17">
        <v>2328</v>
      </c>
      <c r="F1782" s="17">
        <v>25</v>
      </c>
      <c r="G1782" s="13">
        <v>1</v>
      </c>
      <c r="H1782" s="17">
        <v>3</v>
      </c>
      <c r="I1782" s="17">
        <v>2</v>
      </c>
      <c r="J1782" s="17">
        <v>65</v>
      </c>
      <c r="K1782" s="10">
        <v>1465</v>
      </c>
      <c r="P1782" s="17">
        <v>1</v>
      </c>
      <c r="Q1782" s="20">
        <f t="shared" si="325"/>
        <v>1465</v>
      </c>
      <c r="R1782" s="14">
        <v>200</v>
      </c>
      <c r="S1782" s="19">
        <f t="shared" si="326"/>
        <v>293000</v>
      </c>
      <c r="AG1782" s="22">
        <f t="shared" si="322"/>
        <v>0</v>
      </c>
      <c r="AJ1782" s="20">
        <f t="shared" si="324"/>
        <v>0</v>
      </c>
      <c r="AM1782" s="20">
        <f t="shared" si="323"/>
        <v>0</v>
      </c>
      <c r="AN1782" s="20">
        <f t="shared" si="328"/>
        <v>293000</v>
      </c>
      <c r="AP1782" s="20">
        <f t="shared" si="327"/>
        <v>293000</v>
      </c>
      <c r="AQ1782" s="12">
        <v>1E-4</v>
      </c>
      <c r="AR1782" s="24"/>
      <c r="AS1782" s="129"/>
    </row>
    <row r="1783" spans="1:45" ht="30" customHeight="1" x14ac:dyDescent="0.2">
      <c r="C1783" s="16"/>
      <c r="Q1783" s="20"/>
      <c r="S1783" s="20"/>
      <c r="AC1783" s="21"/>
      <c r="AD1783" s="21"/>
      <c r="AG1783" s="22"/>
      <c r="AJ1783" s="20"/>
      <c r="AM1783" s="20"/>
      <c r="AN1783" s="20"/>
      <c r="AP1783" s="20"/>
      <c r="AR1783" s="25"/>
      <c r="AS1783" s="130"/>
    </row>
    <row r="1784" spans="1:45" s="21" customFormat="1" ht="30" customHeight="1" x14ac:dyDescent="0.2">
      <c r="A1784" s="8">
        <v>1532</v>
      </c>
      <c r="B1784" s="46">
        <v>1</v>
      </c>
      <c r="C1784" s="16" t="s">
        <v>52</v>
      </c>
      <c r="D1784" s="48">
        <v>4193</v>
      </c>
      <c r="E1784" s="47">
        <v>48</v>
      </c>
      <c r="F1784" s="48">
        <v>2534</v>
      </c>
      <c r="G1784" s="49">
        <v>1</v>
      </c>
      <c r="H1784" s="48">
        <v>5</v>
      </c>
      <c r="I1784" s="48">
        <v>2</v>
      </c>
      <c r="J1784" s="48">
        <v>76</v>
      </c>
      <c r="K1784" s="3">
        <v>2276</v>
      </c>
      <c r="L1784" s="16"/>
      <c r="M1784" s="57"/>
      <c r="N1784" s="58"/>
      <c r="P1784" s="16">
        <v>1</v>
      </c>
      <c r="Q1784" s="20">
        <f t="shared" si="325"/>
        <v>2276</v>
      </c>
      <c r="R1784" s="14">
        <v>160</v>
      </c>
      <c r="S1784" s="19">
        <f t="shared" si="326"/>
        <v>364160</v>
      </c>
      <c r="T1784" s="16"/>
      <c r="U1784" s="17"/>
      <c r="V1784" s="16"/>
      <c r="W1784" s="5"/>
      <c r="X1784" s="16"/>
      <c r="Y1784" s="5"/>
      <c r="Z1784" s="16"/>
      <c r="AA1784" s="16"/>
      <c r="AB1784" s="16"/>
      <c r="AE1784" s="16" t="s">
        <v>74</v>
      </c>
      <c r="AG1784" s="22">
        <f t="shared" si="322"/>
        <v>0</v>
      </c>
      <c r="AH1784" s="6"/>
      <c r="AJ1784" s="20">
        <f t="shared" si="324"/>
        <v>0</v>
      </c>
      <c r="AK1784" s="50"/>
      <c r="AL1784" s="6"/>
      <c r="AM1784" s="20">
        <f t="shared" si="323"/>
        <v>0</v>
      </c>
      <c r="AN1784" s="20">
        <f t="shared" si="328"/>
        <v>364160</v>
      </c>
      <c r="AP1784" s="20">
        <f t="shared" si="327"/>
        <v>364160</v>
      </c>
      <c r="AQ1784" s="7"/>
      <c r="AR1784" s="20"/>
      <c r="AS1784" s="51"/>
    </row>
    <row r="1785" spans="1:45" s="21" customFormat="1" ht="30" customHeight="1" x14ac:dyDescent="0.2">
      <c r="A1785" s="2">
        <v>1533</v>
      </c>
      <c r="B1785" s="46">
        <v>2</v>
      </c>
      <c r="C1785" s="16" t="s">
        <v>52</v>
      </c>
      <c r="D1785" s="48">
        <v>29239</v>
      </c>
      <c r="E1785" s="47">
        <v>127</v>
      </c>
      <c r="F1785" s="48">
        <v>5434</v>
      </c>
      <c r="G1785" s="49">
        <v>1</v>
      </c>
      <c r="H1785" s="48">
        <v>1</v>
      </c>
      <c r="I1785" s="48">
        <v>0</v>
      </c>
      <c r="J1785" s="48">
        <v>45</v>
      </c>
      <c r="K1785" s="3">
        <v>445</v>
      </c>
      <c r="L1785" s="16"/>
      <c r="M1785" s="57"/>
      <c r="N1785" s="58"/>
      <c r="P1785" s="16">
        <v>1</v>
      </c>
      <c r="Q1785" s="20">
        <f t="shared" si="325"/>
        <v>445</v>
      </c>
      <c r="R1785" s="14">
        <v>250</v>
      </c>
      <c r="S1785" s="19">
        <f t="shared" si="326"/>
        <v>111250</v>
      </c>
      <c r="T1785" s="16"/>
      <c r="U1785" s="17"/>
      <c r="V1785" s="17"/>
      <c r="W1785" s="4"/>
      <c r="X1785" s="16"/>
      <c r="Y1785" s="5"/>
      <c r="Z1785" s="16"/>
      <c r="AA1785" s="16"/>
      <c r="AB1785" s="16"/>
      <c r="AE1785" s="16"/>
      <c r="AG1785" s="22">
        <f t="shared" si="322"/>
        <v>0</v>
      </c>
      <c r="AH1785" s="6"/>
      <c r="AJ1785" s="20">
        <f t="shared" si="324"/>
        <v>0</v>
      </c>
      <c r="AK1785" s="50"/>
      <c r="AL1785" s="6"/>
      <c r="AM1785" s="20">
        <f t="shared" si="323"/>
        <v>0</v>
      </c>
      <c r="AN1785" s="20">
        <f t="shared" si="328"/>
        <v>111250</v>
      </c>
      <c r="AP1785" s="20">
        <f t="shared" si="327"/>
        <v>111250</v>
      </c>
      <c r="AQ1785" s="7"/>
      <c r="AR1785" s="20"/>
      <c r="AS1785" s="51"/>
    </row>
    <row r="1786" spans="1:45" s="21" customFormat="1" ht="30" customHeight="1" x14ac:dyDescent="0.2">
      <c r="A1786" s="8">
        <v>1534</v>
      </c>
      <c r="B1786" s="46">
        <v>3</v>
      </c>
      <c r="C1786" s="16" t="s">
        <v>52</v>
      </c>
      <c r="D1786" s="48">
        <v>29240</v>
      </c>
      <c r="E1786" s="47">
        <v>128</v>
      </c>
      <c r="F1786" s="48">
        <v>5435</v>
      </c>
      <c r="G1786" s="49">
        <v>1</v>
      </c>
      <c r="H1786" s="48">
        <v>2</v>
      </c>
      <c r="I1786" s="48">
        <v>0</v>
      </c>
      <c r="J1786" s="48">
        <v>15</v>
      </c>
      <c r="K1786" s="3"/>
      <c r="L1786" s="16">
        <v>815</v>
      </c>
      <c r="M1786" s="57"/>
      <c r="N1786" s="58"/>
      <c r="P1786" s="16">
        <v>2</v>
      </c>
      <c r="Q1786" s="20">
        <f t="shared" si="325"/>
        <v>815</v>
      </c>
      <c r="R1786" s="14">
        <v>250</v>
      </c>
      <c r="S1786" s="20">
        <f t="shared" si="326"/>
        <v>203750</v>
      </c>
      <c r="T1786" s="16"/>
      <c r="U1786" s="17"/>
      <c r="V1786" s="17"/>
      <c r="W1786" s="4"/>
      <c r="X1786" s="16"/>
      <c r="Y1786" s="5"/>
      <c r="Z1786" s="16"/>
      <c r="AA1786" s="16"/>
      <c r="AB1786" s="16"/>
      <c r="AE1786" s="16"/>
      <c r="AG1786" s="22">
        <f t="shared" si="322"/>
        <v>0</v>
      </c>
      <c r="AH1786" s="6"/>
      <c r="AJ1786" s="20">
        <f t="shared" si="324"/>
        <v>0</v>
      </c>
      <c r="AK1786" s="50"/>
      <c r="AL1786" s="6"/>
      <c r="AM1786" s="20">
        <f t="shared" si="323"/>
        <v>0</v>
      </c>
      <c r="AN1786" s="20">
        <f t="shared" si="328"/>
        <v>203750</v>
      </c>
      <c r="AP1786" s="20">
        <f t="shared" si="327"/>
        <v>203750</v>
      </c>
      <c r="AQ1786" s="7"/>
      <c r="AR1786" s="20"/>
      <c r="AS1786" s="51"/>
    </row>
    <row r="1787" spans="1:45" ht="30" customHeight="1" x14ac:dyDescent="0.2">
      <c r="A1787" s="2">
        <v>1535</v>
      </c>
      <c r="B1787" s="13">
        <v>4</v>
      </c>
      <c r="C1787" s="16" t="s">
        <v>69</v>
      </c>
      <c r="E1787" s="17">
        <v>2328</v>
      </c>
      <c r="F1787" s="17">
        <v>24</v>
      </c>
      <c r="G1787" s="13">
        <v>1</v>
      </c>
      <c r="H1787" s="17">
        <v>3</v>
      </c>
      <c r="I1787" s="17">
        <v>3</v>
      </c>
      <c r="J1787" s="17">
        <v>58</v>
      </c>
      <c r="K1787" s="10">
        <v>1558</v>
      </c>
      <c r="P1787" s="17">
        <v>1</v>
      </c>
      <c r="Q1787" s="20">
        <f t="shared" si="325"/>
        <v>1558</v>
      </c>
      <c r="R1787" s="14">
        <v>200</v>
      </c>
      <c r="S1787" s="19">
        <f t="shared" si="326"/>
        <v>311600</v>
      </c>
      <c r="AG1787" s="22">
        <f t="shared" si="322"/>
        <v>0</v>
      </c>
      <c r="AJ1787" s="20">
        <f t="shared" si="324"/>
        <v>0</v>
      </c>
      <c r="AM1787" s="20">
        <f t="shared" si="323"/>
        <v>0</v>
      </c>
      <c r="AN1787" s="20">
        <f t="shared" si="328"/>
        <v>311600</v>
      </c>
      <c r="AP1787" s="20">
        <f t="shared" si="327"/>
        <v>311600</v>
      </c>
      <c r="AQ1787" s="12">
        <v>1E-4</v>
      </c>
      <c r="AR1787" s="20"/>
    </row>
    <row r="1788" spans="1:45" s="21" customFormat="1" ht="30" customHeight="1" x14ac:dyDescent="0.2">
      <c r="A1788" s="8">
        <v>1536</v>
      </c>
      <c r="B1788" s="46">
        <v>1</v>
      </c>
      <c r="C1788" s="16" t="s">
        <v>52</v>
      </c>
      <c r="D1788" s="48">
        <v>11680</v>
      </c>
      <c r="E1788" s="47">
        <v>65</v>
      </c>
      <c r="F1788" s="48">
        <v>3157</v>
      </c>
      <c r="G1788" s="49">
        <v>1</v>
      </c>
      <c r="H1788" s="48">
        <v>0</v>
      </c>
      <c r="I1788" s="48">
        <v>1</v>
      </c>
      <c r="J1788" s="48">
        <v>21.06</v>
      </c>
      <c r="K1788" s="3"/>
      <c r="L1788" s="16">
        <v>121.06</v>
      </c>
      <c r="M1788" s="57"/>
      <c r="N1788" s="58"/>
      <c r="P1788" s="16">
        <v>2</v>
      </c>
      <c r="Q1788" s="20">
        <f t="shared" si="325"/>
        <v>121.06</v>
      </c>
      <c r="R1788" s="14">
        <v>250</v>
      </c>
      <c r="S1788" s="19">
        <f t="shared" si="326"/>
        <v>30265</v>
      </c>
      <c r="T1788" s="16"/>
      <c r="U1788" s="17" t="s">
        <v>57</v>
      </c>
      <c r="V1788" s="17" t="s">
        <v>56</v>
      </c>
      <c r="W1788" s="4"/>
      <c r="X1788" s="16"/>
      <c r="Y1788" s="5">
        <v>63</v>
      </c>
      <c r="Z1788" s="16"/>
      <c r="AA1788" s="16"/>
      <c r="AB1788" s="16">
        <f>62-21</f>
        <v>41</v>
      </c>
      <c r="AE1788" s="16"/>
      <c r="AG1788" s="22">
        <f t="shared" si="322"/>
        <v>63</v>
      </c>
      <c r="AH1788" s="6"/>
      <c r="AJ1788" s="20">
        <f t="shared" si="324"/>
        <v>0</v>
      </c>
      <c r="AK1788" s="50">
        <v>41</v>
      </c>
      <c r="AL1788" s="6"/>
      <c r="AM1788" s="20">
        <f t="shared" si="323"/>
        <v>0</v>
      </c>
      <c r="AN1788" s="20">
        <f t="shared" si="328"/>
        <v>30265</v>
      </c>
      <c r="AP1788" s="20">
        <f t="shared" si="327"/>
        <v>30265</v>
      </c>
      <c r="AQ1788" s="7"/>
      <c r="AR1788" s="20"/>
      <c r="AS1788" s="51"/>
    </row>
    <row r="1789" spans="1:45" s="21" customFormat="1" ht="30" customHeight="1" x14ac:dyDescent="0.2">
      <c r="A1789" s="2">
        <v>1537</v>
      </c>
      <c r="B1789" s="46">
        <v>1</v>
      </c>
      <c r="C1789" s="16" t="s">
        <v>52</v>
      </c>
      <c r="D1789" s="48">
        <v>24439</v>
      </c>
      <c r="E1789" s="47">
        <v>99</v>
      </c>
      <c r="F1789" s="48">
        <v>4754</v>
      </c>
      <c r="G1789" s="49">
        <v>1</v>
      </c>
      <c r="H1789" s="48">
        <v>0</v>
      </c>
      <c r="I1789" s="48">
        <v>0</v>
      </c>
      <c r="J1789" s="48">
        <v>46.03</v>
      </c>
      <c r="K1789" s="3"/>
      <c r="L1789" s="16">
        <v>46.03</v>
      </c>
      <c r="M1789" s="57"/>
      <c r="N1789" s="58"/>
      <c r="P1789" s="16">
        <v>2</v>
      </c>
      <c r="Q1789" s="20">
        <f t="shared" si="325"/>
        <v>46.03</v>
      </c>
      <c r="R1789" s="14">
        <v>250</v>
      </c>
      <c r="S1789" s="20">
        <f t="shared" si="326"/>
        <v>11507.5</v>
      </c>
      <c r="T1789" s="16"/>
      <c r="U1789" s="17"/>
      <c r="V1789" s="17"/>
      <c r="W1789" s="4"/>
      <c r="X1789" s="16"/>
      <c r="Y1789" s="5"/>
      <c r="Z1789" s="16"/>
      <c r="AA1789" s="16"/>
      <c r="AB1789" s="16"/>
      <c r="AE1789" s="16"/>
      <c r="AG1789" s="22">
        <f t="shared" si="322"/>
        <v>0</v>
      </c>
      <c r="AH1789" s="6"/>
      <c r="AJ1789" s="20">
        <f t="shared" si="324"/>
        <v>0</v>
      </c>
      <c r="AK1789" s="50"/>
      <c r="AL1789" s="6"/>
      <c r="AM1789" s="20">
        <f t="shared" si="323"/>
        <v>0</v>
      </c>
      <c r="AN1789" s="20">
        <f t="shared" si="328"/>
        <v>11507.5</v>
      </c>
      <c r="AP1789" s="20">
        <f t="shared" si="327"/>
        <v>11507.5</v>
      </c>
      <c r="AQ1789" s="7"/>
      <c r="AR1789" s="20"/>
      <c r="AS1789" s="51"/>
    </row>
    <row r="1790" spans="1:45" s="21" customFormat="1" ht="30" customHeight="1" x14ac:dyDescent="0.2">
      <c r="A1790" s="8">
        <v>1538</v>
      </c>
      <c r="B1790" s="46">
        <v>1</v>
      </c>
      <c r="C1790" s="16" t="s">
        <v>52</v>
      </c>
      <c r="D1790" s="48">
        <v>1132</v>
      </c>
      <c r="E1790" s="47">
        <v>30</v>
      </c>
      <c r="F1790" s="48">
        <v>712</v>
      </c>
      <c r="G1790" s="49">
        <v>1</v>
      </c>
      <c r="H1790" s="48">
        <v>10</v>
      </c>
      <c r="I1790" s="48">
        <v>3</v>
      </c>
      <c r="J1790" s="48">
        <v>82</v>
      </c>
      <c r="K1790" s="3">
        <f>10*400+382</f>
        <v>4382</v>
      </c>
      <c r="L1790" s="16"/>
      <c r="M1790" s="57"/>
      <c r="N1790" s="58"/>
      <c r="P1790" s="16">
        <v>1</v>
      </c>
      <c r="Q1790" s="20">
        <f t="shared" si="325"/>
        <v>4382</v>
      </c>
      <c r="R1790" s="14">
        <v>1500</v>
      </c>
      <c r="S1790" s="19">
        <f t="shared" si="326"/>
        <v>6573000</v>
      </c>
      <c r="T1790" s="16"/>
      <c r="U1790" s="17"/>
      <c r="V1790" s="17"/>
      <c r="W1790" s="4"/>
      <c r="X1790" s="16"/>
      <c r="Y1790" s="5"/>
      <c r="Z1790" s="16"/>
      <c r="AA1790" s="16"/>
      <c r="AB1790" s="16"/>
      <c r="AE1790" s="16"/>
      <c r="AG1790" s="22">
        <f t="shared" si="322"/>
        <v>0</v>
      </c>
      <c r="AH1790" s="6"/>
      <c r="AJ1790" s="20">
        <f t="shared" si="324"/>
        <v>0</v>
      </c>
      <c r="AK1790" s="50"/>
      <c r="AL1790" s="6"/>
      <c r="AM1790" s="20">
        <f t="shared" si="323"/>
        <v>0</v>
      </c>
      <c r="AN1790" s="20">
        <f t="shared" si="328"/>
        <v>6573000</v>
      </c>
      <c r="AP1790" s="20">
        <f t="shared" si="327"/>
        <v>6573000</v>
      </c>
      <c r="AQ1790" s="7"/>
      <c r="AR1790" s="60"/>
      <c r="AS1790" s="128">
        <v>87</v>
      </c>
    </row>
    <row r="1791" spans="1:45" s="21" customFormat="1" ht="30" customHeight="1" x14ac:dyDescent="0.2">
      <c r="A1791" s="2">
        <v>1539</v>
      </c>
      <c r="B1791" s="46">
        <v>2</v>
      </c>
      <c r="C1791" s="16" t="s">
        <v>52</v>
      </c>
      <c r="D1791" s="48">
        <v>1335</v>
      </c>
      <c r="E1791" s="47">
        <v>124</v>
      </c>
      <c r="F1791" s="48">
        <v>623</v>
      </c>
      <c r="G1791" s="49">
        <v>1</v>
      </c>
      <c r="H1791" s="48">
        <v>2</v>
      </c>
      <c r="I1791" s="48">
        <v>3</v>
      </c>
      <c r="J1791" s="48">
        <v>77</v>
      </c>
      <c r="K1791" s="3">
        <f>(800+377)-L1791</f>
        <v>1136.625</v>
      </c>
      <c r="L1791" s="16">
        <f>161.5/4</f>
        <v>40.375</v>
      </c>
      <c r="M1791" s="57"/>
      <c r="N1791" s="58"/>
      <c r="P1791" s="16">
        <v>5</v>
      </c>
      <c r="Q1791" s="20">
        <f t="shared" si="325"/>
        <v>1177</v>
      </c>
      <c r="R1791" s="14">
        <v>160</v>
      </c>
      <c r="S1791" s="19">
        <f t="shared" si="326"/>
        <v>188320</v>
      </c>
      <c r="T1791" s="16"/>
      <c r="U1791" s="16" t="s">
        <v>57</v>
      </c>
      <c r="V1791" s="16" t="s">
        <v>56</v>
      </c>
      <c r="W1791" s="5"/>
      <c r="X1791" s="16"/>
      <c r="Y1791" s="5">
        <v>161.5</v>
      </c>
      <c r="Z1791" s="16"/>
      <c r="AA1791" s="16"/>
      <c r="AB1791" s="16">
        <f>62-24</f>
        <v>38</v>
      </c>
      <c r="AE1791" s="16"/>
      <c r="AG1791" s="22">
        <f t="shared" si="322"/>
        <v>161.5</v>
      </c>
      <c r="AH1791" s="6"/>
      <c r="AJ1791" s="20">
        <f t="shared" si="324"/>
        <v>0</v>
      </c>
      <c r="AK1791" s="50">
        <v>38</v>
      </c>
      <c r="AL1791" s="6"/>
      <c r="AM1791" s="20">
        <f t="shared" si="323"/>
        <v>0</v>
      </c>
      <c r="AN1791" s="20">
        <f t="shared" si="328"/>
        <v>188320</v>
      </c>
      <c r="AP1791" s="20">
        <f t="shared" si="327"/>
        <v>188320</v>
      </c>
      <c r="AQ1791" s="7"/>
      <c r="AR1791" s="24"/>
      <c r="AS1791" s="129"/>
    </row>
    <row r="1792" spans="1:45" ht="30" customHeight="1" x14ac:dyDescent="0.2">
      <c r="A1792" s="8">
        <v>1540</v>
      </c>
      <c r="B1792" s="13">
        <v>3</v>
      </c>
      <c r="C1792" s="16" t="s">
        <v>69</v>
      </c>
      <c r="E1792" s="17">
        <v>159</v>
      </c>
      <c r="F1792" s="17">
        <v>2</v>
      </c>
      <c r="G1792" s="13">
        <v>1</v>
      </c>
      <c r="H1792" s="17">
        <v>1</v>
      </c>
      <c r="I1792" s="17">
        <v>2</v>
      </c>
      <c r="J1792" s="17">
        <v>32</v>
      </c>
      <c r="K1792" s="10">
        <v>632</v>
      </c>
      <c r="P1792" s="17">
        <v>1</v>
      </c>
      <c r="Q1792" s="20">
        <f t="shared" si="325"/>
        <v>632</v>
      </c>
      <c r="R1792" s="14">
        <v>160</v>
      </c>
      <c r="S1792" s="20">
        <f t="shared" si="326"/>
        <v>101120</v>
      </c>
      <c r="AG1792" s="22">
        <f t="shared" si="322"/>
        <v>0</v>
      </c>
      <c r="AJ1792" s="20">
        <f t="shared" si="324"/>
        <v>0</v>
      </c>
      <c r="AM1792" s="20">
        <f t="shared" si="323"/>
        <v>0</v>
      </c>
      <c r="AN1792" s="20">
        <f t="shared" si="328"/>
        <v>101120</v>
      </c>
      <c r="AP1792" s="20">
        <f t="shared" si="327"/>
        <v>101120</v>
      </c>
      <c r="AQ1792" s="12">
        <v>1E-4</v>
      </c>
      <c r="AR1792" s="25"/>
      <c r="AS1792" s="130"/>
    </row>
    <row r="1793" spans="1:45" s="21" customFormat="1" ht="30" customHeight="1" x14ac:dyDescent="0.2">
      <c r="A1793" s="2">
        <v>1541</v>
      </c>
      <c r="B1793" s="46">
        <v>1</v>
      </c>
      <c r="C1793" s="16" t="s">
        <v>52</v>
      </c>
      <c r="D1793" s="48">
        <v>4192</v>
      </c>
      <c r="E1793" s="47">
        <v>46</v>
      </c>
      <c r="F1793" s="48">
        <v>2533</v>
      </c>
      <c r="G1793" s="49">
        <v>1</v>
      </c>
      <c r="H1793" s="48">
        <v>6</v>
      </c>
      <c r="I1793" s="48">
        <v>0</v>
      </c>
      <c r="J1793" s="48">
        <v>89</v>
      </c>
      <c r="K1793" s="3">
        <f>6*400+89</f>
        <v>2489</v>
      </c>
      <c r="L1793" s="16"/>
      <c r="M1793" s="57"/>
      <c r="N1793" s="58"/>
      <c r="P1793" s="16">
        <v>1</v>
      </c>
      <c r="Q1793" s="20">
        <f t="shared" si="325"/>
        <v>2489</v>
      </c>
      <c r="R1793" s="14">
        <v>200</v>
      </c>
      <c r="S1793" s="19">
        <f t="shared" si="326"/>
        <v>497800</v>
      </c>
      <c r="T1793" s="16"/>
      <c r="U1793" s="17"/>
      <c r="V1793" s="16"/>
      <c r="W1793" s="5"/>
      <c r="X1793" s="16"/>
      <c r="Y1793" s="5"/>
      <c r="Z1793" s="16"/>
      <c r="AA1793" s="16"/>
      <c r="AB1793" s="16"/>
      <c r="AE1793" s="16"/>
      <c r="AG1793" s="22">
        <f t="shared" si="322"/>
        <v>0</v>
      </c>
      <c r="AH1793" s="6"/>
      <c r="AJ1793" s="20">
        <f t="shared" si="324"/>
        <v>0</v>
      </c>
      <c r="AK1793" s="50"/>
      <c r="AL1793" s="6"/>
      <c r="AM1793" s="20">
        <f t="shared" si="323"/>
        <v>0</v>
      </c>
      <c r="AN1793" s="20">
        <f t="shared" si="328"/>
        <v>497800</v>
      </c>
      <c r="AP1793" s="20">
        <f t="shared" si="327"/>
        <v>497800</v>
      </c>
      <c r="AQ1793" s="7"/>
      <c r="AR1793" s="20"/>
      <c r="AS1793" s="51"/>
    </row>
    <row r="1794" spans="1:45" ht="30" customHeight="1" x14ac:dyDescent="0.2">
      <c r="A1794" s="8">
        <v>1542</v>
      </c>
      <c r="B1794" s="13">
        <v>2</v>
      </c>
      <c r="C1794" s="16" t="s">
        <v>69</v>
      </c>
      <c r="E1794" s="17">
        <v>2328</v>
      </c>
      <c r="F1794" s="17">
        <v>22</v>
      </c>
      <c r="G1794" s="13">
        <v>1</v>
      </c>
      <c r="H1794" s="17">
        <v>5</v>
      </c>
      <c r="I1794" s="17">
        <v>1</v>
      </c>
      <c r="J1794" s="17">
        <v>83</v>
      </c>
      <c r="K1794" s="10">
        <v>2183</v>
      </c>
      <c r="P1794" s="17">
        <v>1</v>
      </c>
      <c r="Q1794" s="20">
        <f t="shared" si="325"/>
        <v>2183</v>
      </c>
      <c r="R1794" s="14">
        <v>200</v>
      </c>
      <c r="S1794" s="19">
        <f t="shared" si="326"/>
        <v>436600</v>
      </c>
      <c r="AG1794" s="22">
        <f t="shared" si="322"/>
        <v>0</v>
      </c>
      <c r="AJ1794" s="20">
        <f t="shared" si="324"/>
        <v>0</v>
      </c>
      <c r="AM1794" s="20">
        <f t="shared" si="323"/>
        <v>0</v>
      </c>
      <c r="AN1794" s="20">
        <f t="shared" si="328"/>
        <v>436600</v>
      </c>
      <c r="AP1794" s="20">
        <f t="shared" si="327"/>
        <v>436600</v>
      </c>
      <c r="AQ1794" s="12">
        <v>1E-4</v>
      </c>
      <c r="AR1794" s="20"/>
    </row>
    <row r="1795" spans="1:45" ht="30" customHeight="1" x14ac:dyDescent="0.2">
      <c r="A1795" s="2">
        <v>1543</v>
      </c>
      <c r="B1795" s="13">
        <v>3</v>
      </c>
      <c r="C1795" s="16" t="s">
        <v>69</v>
      </c>
      <c r="E1795" s="17">
        <v>2328</v>
      </c>
      <c r="F1795" s="17">
        <v>23</v>
      </c>
      <c r="G1795" s="13">
        <v>1</v>
      </c>
      <c r="H1795" s="17">
        <v>1</v>
      </c>
      <c r="I1795" s="17">
        <v>3</v>
      </c>
      <c r="J1795" s="17">
        <v>10</v>
      </c>
      <c r="K1795" s="10">
        <v>710</v>
      </c>
      <c r="P1795" s="17">
        <v>1</v>
      </c>
      <c r="Q1795" s="20">
        <f t="shared" si="325"/>
        <v>710</v>
      </c>
      <c r="R1795" s="14">
        <v>200</v>
      </c>
      <c r="S1795" s="20">
        <f t="shared" si="326"/>
        <v>142000</v>
      </c>
      <c r="AG1795" s="22">
        <f t="shared" si="322"/>
        <v>0</v>
      </c>
      <c r="AJ1795" s="20">
        <f t="shared" si="324"/>
        <v>0</v>
      </c>
      <c r="AM1795" s="20">
        <f t="shared" si="323"/>
        <v>0</v>
      </c>
      <c r="AN1795" s="20">
        <f t="shared" si="328"/>
        <v>142000</v>
      </c>
      <c r="AP1795" s="20">
        <f t="shared" si="327"/>
        <v>142000</v>
      </c>
      <c r="AQ1795" s="12">
        <v>1E-4</v>
      </c>
      <c r="AR1795" s="20"/>
    </row>
    <row r="1796" spans="1:45" s="21" customFormat="1" ht="30" customHeight="1" x14ac:dyDescent="0.2">
      <c r="A1796" s="8">
        <v>1544</v>
      </c>
      <c r="B1796" s="46">
        <v>1</v>
      </c>
      <c r="C1796" s="16" t="s">
        <v>52</v>
      </c>
      <c r="D1796" s="48">
        <v>32805</v>
      </c>
      <c r="E1796" s="47">
        <v>503</v>
      </c>
      <c r="F1796" s="48">
        <v>6462</v>
      </c>
      <c r="G1796" s="49">
        <v>2</v>
      </c>
      <c r="H1796" s="48">
        <v>3</v>
      </c>
      <c r="I1796" s="48">
        <v>0</v>
      </c>
      <c r="J1796" s="48">
        <v>25.01</v>
      </c>
      <c r="K1796" s="3">
        <v>1225.01</v>
      </c>
      <c r="L1796" s="16"/>
      <c r="M1796" s="57"/>
      <c r="N1796" s="58"/>
      <c r="P1796" s="16">
        <v>1</v>
      </c>
      <c r="Q1796" s="20">
        <f t="shared" si="325"/>
        <v>1225.01</v>
      </c>
      <c r="R1796" s="14">
        <v>160</v>
      </c>
      <c r="S1796" s="19">
        <f t="shared" si="326"/>
        <v>196001.6</v>
      </c>
      <c r="T1796" s="16"/>
      <c r="U1796" s="17"/>
      <c r="V1796" s="17"/>
      <c r="W1796" s="4"/>
      <c r="X1796" s="16"/>
      <c r="Y1796" s="5"/>
      <c r="Z1796" s="16"/>
      <c r="AA1796" s="16"/>
      <c r="AB1796" s="16"/>
      <c r="AC1796" s="14"/>
      <c r="AD1796" s="14"/>
      <c r="AE1796" s="16"/>
      <c r="AG1796" s="22">
        <f t="shared" si="322"/>
        <v>0</v>
      </c>
      <c r="AH1796" s="6"/>
      <c r="AJ1796" s="20">
        <f t="shared" si="324"/>
        <v>0</v>
      </c>
      <c r="AK1796" s="50"/>
      <c r="AL1796" s="6"/>
      <c r="AM1796" s="20">
        <f t="shared" si="323"/>
        <v>0</v>
      </c>
      <c r="AN1796" s="20">
        <f t="shared" si="328"/>
        <v>196001.6</v>
      </c>
      <c r="AP1796" s="20">
        <f t="shared" si="327"/>
        <v>196001.6</v>
      </c>
      <c r="AQ1796" s="7"/>
      <c r="AR1796" s="60"/>
      <c r="AS1796" s="128">
        <v>9</v>
      </c>
    </row>
    <row r="1797" spans="1:45" ht="30" customHeight="1" x14ac:dyDescent="0.2">
      <c r="A1797" s="2">
        <v>1545</v>
      </c>
      <c r="B1797" s="13">
        <v>2</v>
      </c>
      <c r="C1797" s="16" t="s">
        <v>69</v>
      </c>
      <c r="E1797" s="17">
        <v>2328</v>
      </c>
      <c r="F1797" s="17">
        <v>26</v>
      </c>
      <c r="G1797" s="13">
        <v>1</v>
      </c>
      <c r="H1797" s="17">
        <v>5</v>
      </c>
      <c r="I1797" s="17">
        <v>2</v>
      </c>
      <c r="J1797" s="17">
        <v>70</v>
      </c>
      <c r="K1797" s="10">
        <v>2270</v>
      </c>
      <c r="P1797" s="17">
        <v>1</v>
      </c>
      <c r="Q1797" s="20">
        <f t="shared" si="325"/>
        <v>2270</v>
      </c>
      <c r="R1797" s="14">
        <v>200</v>
      </c>
      <c r="S1797" s="19">
        <f t="shared" si="326"/>
        <v>454000</v>
      </c>
      <c r="AG1797" s="22">
        <f t="shared" si="322"/>
        <v>0</v>
      </c>
      <c r="AJ1797" s="20">
        <f t="shared" si="324"/>
        <v>0</v>
      </c>
      <c r="AM1797" s="20">
        <f t="shared" si="323"/>
        <v>0</v>
      </c>
      <c r="AN1797" s="20">
        <f t="shared" si="328"/>
        <v>454000</v>
      </c>
      <c r="AP1797" s="20">
        <f t="shared" si="327"/>
        <v>454000</v>
      </c>
      <c r="AQ1797" s="12">
        <v>1E-4</v>
      </c>
      <c r="AR1797" s="25"/>
      <c r="AS1797" s="130"/>
    </row>
    <row r="1798" spans="1:45" s="21" customFormat="1" ht="30" customHeight="1" x14ac:dyDescent="0.2">
      <c r="A1798" s="131">
        <v>1546</v>
      </c>
      <c r="B1798" s="46">
        <v>1</v>
      </c>
      <c r="C1798" s="16" t="s">
        <v>52</v>
      </c>
      <c r="D1798" s="48">
        <v>1045</v>
      </c>
      <c r="E1798" s="47">
        <v>45</v>
      </c>
      <c r="F1798" s="48">
        <v>403</v>
      </c>
      <c r="G1798" s="49">
        <v>1</v>
      </c>
      <c r="H1798" s="48">
        <v>10</v>
      </c>
      <c r="I1798" s="48">
        <v>3</v>
      </c>
      <c r="J1798" s="48">
        <v>41</v>
      </c>
      <c r="K1798" s="3">
        <f>+(10*400+341)-L1798</f>
        <v>4269.75</v>
      </c>
      <c r="L1798" s="16">
        <f>+(132+117+36)/4</f>
        <v>71.25</v>
      </c>
      <c r="M1798" s="57"/>
      <c r="N1798" s="58"/>
      <c r="P1798" s="16">
        <v>5</v>
      </c>
      <c r="Q1798" s="20">
        <f t="shared" si="325"/>
        <v>4341</v>
      </c>
      <c r="R1798" s="14">
        <v>200</v>
      </c>
      <c r="S1798" s="20">
        <f t="shared" si="326"/>
        <v>868200</v>
      </c>
      <c r="T1798" s="16">
        <v>1</v>
      </c>
      <c r="U1798" s="17" t="s">
        <v>57</v>
      </c>
      <c r="V1798" s="17" t="s">
        <v>56</v>
      </c>
      <c r="W1798" s="4"/>
      <c r="X1798" s="16"/>
      <c r="Y1798" s="5">
        <v>132</v>
      </c>
      <c r="Z1798" s="16"/>
      <c r="AA1798" s="16"/>
      <c r="AB1798" s="16">
        <f>62-44</f>
        <v>18</v>
      </c>
      <c r="AE1798" s="21" t="s">
        <v>178</v>
      </c>
      <c r="AG1798" s="22">
        <f t="shared" si="322"/>
        <v>132</v>
      </c>
      <c r="AH1798" s="6"/>
      <c r="AJ1798" s="20">
        <f t="shared" si="324"/>
        <v>0</v>
      </c>
      <c r="AK1798" s="50">
        <v>18</v>
      </c>
      <c r="AL1798" s="6"/>
      <c r="AM1798" s="20">
        <f t="shared" si="323"/>
        <v>0</v>
      </c>
      <c r="AN1798" s="20">
        <f t="shared" si="328"/>
        <v>868200</v>
      </c>
      <c r="AP1798" s="20">
        <f t="shared" si="327"/>
        <v>868200</v>
      </c>
      <c r="AQ1798" s="7"/>
      <c r="AR1798" s="60"/>
    </row>
    <row r="1799" spans="1:45" s="21" customFormat="1" ht="30" customHeight="1" x14ac:dyDescent="0.2">
      <c r="A1799" s="131"/>
      <c r="B1799" s="46"/>
      <c r="C1799" s="16"/>
      <c r="D1799" s="48"/>
      <c r="E1799" s="47"/>
      <c r="F1799" s="48"/>
      <c r="G1799" s="49"/>
      <c r="H1799" s="48"/>
      <c r="I1799" s="48"/>
      <c r="J1799" s="48"/>
      <c r="K1799" s="3"/>
      <c r="L1799" s="16"/>
      <c r="M1799" s="57"/>
      <c r="N1799" s="58"/>
      <c r="P1799" s="16"/>
      <c r="Q1799" s="20">
        <f t="shared" si="325"/>
        <v>0</v>
      </c>
      <c r="R1799" s="14" t="e">
        <v>#N/A</v>
      </c>
      <c r="S1799" s="19" t="e">
        <f t="shared" si="326"/>
        <v>#N/A</v>
      </c>
      <c r="T1799" s="16">
        <v>2</v>
      </c>
      <c r="U1799" s="17" t="s">
        <v>57</v>
      </c>
      <c r="V1799" s="17" t="s">
        <v>56</v>
      </c>
      <c r="W1799" s="4"/>
      <c r="X1799" s="16"/>
      <c r="Y1799" s="5">
        <v>117</v>
      </c>
      <c r="Z1799" s="16"/>
      <c r="AA1799" s="16"/>
      <c r="AB1799" s="16">
        <f>62-38</f>
        <v>24</v>
      </c>
      <c r="AE1799" s="16"/>
      <c r="AG1799" s="22">
        <f t="shared" si="322"/>
        <v>117</v>
      </c>
      <c r="AH1799" s="6"/>
      <c r="AJ1799" s="20">
        <f t="shared" si="324"/>
        <v>0</v>
      </c>
      <c r="AK1799" s="50">
        <v>24</v>
      </c>
      <c r="AL1799" s="6"/>
      <c r="AM1799" s="20">
        <f t="shared" si="323"/>
        <v>0</v>
      </c>
      <c r="AN1799" s="20" t="e">
        <f t="shared" si="328"/>
        <v>#N/A</v>
      </c>
      <c r="AP1799" s="20" t="e">
        <f t="shared" si="327"/>
        <v>#N/A</v>
      </c>
      <c r="AQ1799" s="7"/>
      <c r="AR1799" s="24"/>
      <c r="AS1799" s="97"/>
    </row>
    <row r="1800" spans="1:45" s="21" customFormat="1" ht="30" customHeight="1" x14ac:dyDescent="0.2">
      <c r="A1800" s="131"/>
      <c r="B1800" s="46"/>
      <c r="C1800" s="16"/>
      <c r="D1800" s="48"/>
      <c r="E1800" s="47"/>
      <c r="F1800" s="48"/>
      <c r="G1800" s="49"/>
      <c r="H1800" s="48"/>
      <c r="I1800" s="48"/>
      <c r="J1800" s="48"/>
      <c r="K1800" s="3"/>
      <c r="L1800" s="16"/>
      <c r="M1800" s="57"/>
      <c r="N1800" s="58"/>
      <c r="P1800" s="16"/>
      <c r="Q1800" s="20">
        <f t="shared" si="325"/>
        <v>0</v>
      </c>
      <c r="R1800" s="14" t="e">
        <v>#N/A</v>
      </c>
      <c r="S1800" s="19" t="e">
        <f t="shared" si="326"/>
        <v>#N/A</v>
      </c>
      <c r="T1800" s="16">
        <v>3</v>
      </c>
      <c r="U1800" s="17" t="s">
        <v>57</v>
      </c>
      <c r="V1800" s="17" t="s">
        <v>88</v>
      </c>
      <c r="W1800" s="4"/>
      <c r="X1800" s="16"/>
      <c r="Y1800" s="5">
        <v>36</v>
      </c>
      <c r="Z1800" s="16"/>
      <c r="AA1800" s="16"/>
      <c r="AB1800" s="16">
        <f>62-59</f>
        <v>3</v>
      </c>
      <c r="AE1800" s="16"/>
      <c r="AG1800" s="22">
        <f t="shared" si="322"/>
        <v>36</v>
      </c>
      <c r="AH1800" s="6"/>
      <c r="AJ1800" s="20">
        <f t="shared" si="324"/>
        <v>0</v>
      </c>
      <c r="AK1800" s="50">
        <v>3</v>
      </c>
      <c r="AL1800" s="6"/>
      <c r="AM1800" s="20">
        <f t="shared" si="323"/>
        <v>0</v>
      </c>
      <c r="AN1800" s="20" t="e">
        <f t="shared" si="328"/>
        <v>#N/A</v>
      </c>
      <c r="AP1800" s="20" t="e">
        <f t="shared" si="327"/>
        <v>#N/A</v>
      </c>
      <c r="AQ1800" s="7"/>
      <c r="AR1800" s="24"/>
      <c r="AS1800" s="97"/>
    </row>
    <row r="1801" spans="1:45" ht="30" customHeight="1" x14ac:dyDescent="0.2">
      <c r="R1801" s="14" t="e">
        <v>#N/A</v>
      </c>
    </row>
    <row r="1802" spans="1:45" ht="30" customHeight="1" x14ac:dyDescent="0.2">
      <c r="A1802" s="2">
        <v>1547</v>
      </c>
      <c r="B1802" s="13">
        <v>1</v>
      </c>
      <c r="C1802" s="16" t="s">
        <v>69</v>
      </c>
      <c r="E1802" s="17">
        <v>153</v>
      </c>
      <c r="F1802" s="17">
        <v>2</v>
      </c>
      <c r="G1802" s="13">
        <v>1</v>
      </c>
      <c r="H1802" s="17">
        <v>3</v>
      </c>
      <c r="I1802" s="17">
        <v>3</v>
      </c>
      <c r="J1802" s="17">
        <v>10</v>
      </c>
      <c r="K1802" s="10">
        <v>1510</v>
      </c>
      <c r="P1802" s="17">
        <v>1</v>
      </c>
      <c r="Q1802" s="20">
        <f t="shared" ref="Q1802:Q1867" si="329">+(H1802*400)+(I1802*100)+J1802</f>
        <v>1510</v>
      </c>
      <c r="R1802" s="14">
        <v>160</v>
      </c>
      <c r="S1802" s="19">
        <f t="shared" ref="S1802:S1865" si="330">+Q1802*R1802</f>
        <v>241600</v>
      </c>
      <c r="AG1802" s="22">
        <f t="shared" ref="AG1802:AG1850" si="331">Y1802</f>
        <v>0</v>
      </c>
      <c r="AJ1802" s="20">
        <f t="shared" ref="AJ1802:AJ1850" si="332">+AG1802*AH1802*AI1802</f>
        <v>0</v>
      </c>
      <c r="AM1802" s="20">
        <f t="shared" ref="AM1802:AM1850" si="333">+AJ1802-(AL1802*AJ1802)</f>
        <v>0</v>
      </c>
      <c r="AN1802" s="20">
        <f t="shared" ref="AN1802:AN1833" si="334">+S1802+AM1802</f>
        <v>241600</v>
      </c>
      <c r="AP1802" s="20">
        <f t="shared" ref="AP1802:AP1850" si="335">AN1802</f>
        <v>241600</v>
      </c>
      <c r="AQ1802" s="12">
        <v>1E-4</v>
      </c>
      <c r="AR1802" s="24"/>
      <c r="AS1802" s="97"/>
    </row>
    <row r="1803" spans="1:45" ht="30" customHeight="1" x14ac:dyDescent="0.2">
      <c r="A1803" s="8">
        <v>1548</v>
      </c>
      <c r="B1803" s="13">
        <v>2</v>
      </c>
      <c r="C1803" s="16" t="s">
        <v>65</v>
      </c>
      <c r="D1803" s="17">
        <v>1799</v>
      </c>
      <c r="E1803" s="17">
        <v>102</v>
      </c>
      <c r="H1803" s="17">
        <v>1</v>
      </c>
      <c r="I1803" s="17">
        <v>2</v>
      </c>
      <c r="J1803" s="17">
        <v>20</v>
      </c>
      <c r="K1803" s="10">
        <v>620</v>
      </c>
      <c r="P1803" s="17">
        <v>1</v>
      </c>
      <c r="Q1803" s="20">
        <f t="shared" si="329"/>
        <v>620</v>
      </c>
      <c r="R1803" s="14">
        <v>160</v>
      </c>
      <c r="S1803" s="19">
        <f t="shared" si="330"/>
        <v>99200</v>
      </c>
      <c r="AG1803" s="22">
        <f t="shared" si="331"/>
        <v>0</v>
      </c>
      <c r="AJ1803" s="20">
        <f t="shared" si="332"/>
        <v>0</v>
      </c>
      <c r="AM1803" s="20">
        <f t="shared" si="333"/>
        <v>0</v>
      </c>
      <c r="AN1803" s="20">
        <f t="shared" si="334"/>
        <v>99200</v>
      </c>
      <c r="AP1803" s="20">
        <f t="shared" si="335"/>
        <v>99200</v>
      </c>
      <c r="AQ1803" s="12">
        <v>1E-4</v>
      </c>
      <c r="AR1803" s="25"/>
      <c r="AS1803" s="98"/>
    </row>
    <row r="1804" spans="1:45" s="21" customFormat="1" ht="30" customHeight="1" x14ac:dyDescent="0.2">
      <c r="A1804" s="2">
        <v>1549</v>
      </c>
      <c r="B1804" s="46">
        <v>1</v>
      </c>
      <c r="C1804" s="16" t="s">
        <v>52</v>
      </c>
      <c r="D1804" s="48">
        <v>839</v>
      </c>
      <c r="E1804" s="47">
        <v>48</v>
      </c>
      <c r="F1804" s="48">
        <v>128</v>
      </c>
      <c r="G1804" s="49">
        <v>1</v>
      </c>
      <c r="H1804" s="48">
        <v>0</v>
      </c>
      <c r="I1804" s="48">
        <v>0</v>
      </c>
      <c r="J1804" s="48">
        <v>46</v>
      </c>
      <c r="K1804" s="3"/>
      <c r="L1804" s="16">
        <v>46</v>
      </c>
      <c r="M1804" s="57"/>
      <c r="N1804" s="58"/>
      <c r="P1804" s="16">
        <v>2</v>
      </c>
      <c r="Q1804" s="20">
        <f t="shared" si="329"/>
        <v>46</v>
      </c>
      <c r="R1804" s="14">
        <v>3000</v>
      </c>
      <c r="S1804" s="20">
        <f t="shared" si="330"/>
        <v>138000</v>
      </c>
      <c r="T1804" s="16">
        <v>1</v>
      </c>
      <c r="U1804" s="17" t="s">
        <v>57</v>
      </c>
      <c r="V1804" s="17" t="s">
        <v>56</v>
      </c>
      <c r="W1804" s="4"/>
      <c r="X1804" s="16"/>
      <c r="Y1804" s="5">
        <v>165</v>
      </c>
      <c r="Z1804" s="16"/>
      <c r="AA1804" s="16"/>
      <c r="AB1804" s="16">
        <f>62-41</f>
        <v>21</v>
      </c>
      <c r="AC1804" s="14"/>
      <c r="AD1804" s="14"/>
      <c r="AE1804" s="16"/>
      <c r="AG1804" s="22">
        <f t="shared" si="331"/>
        <v>165</v>
      </c>
      <c r="AH1804" s="6"/>
      <c r="AJ1804" s="20">
        <f t="shared" si="332"/>
        <v>0</v>
      </c>
      <c r="AK1804" s="50">
        <v>21</v>
      </c>
      <c r="AL1804" s="6"/>
      <c r="AM1804" s="20">
        <f t="shared" si="333"/>
        <v>0</v>
      </c>
      <c r="AN1804" s="20">
        <f t="shared" si="334"/>
        <v>138000</v>
      </c>
      <c r="AP1804" s="20">
        <f t="shared" si="335"/>
        <v>138000</v>
      </c>
      <c r="AQ1804" s="7"/>
      <c r="AR1804" s="60"/>
      <c r="AS1804" s="128">
        <v>31</v>
      </c>
    </row>
    <row r="1805" spans="1:45" s="21" customFormat="1" ht="30" customHeight="1" x14ac:dyDescent="0.2">
      <c r="A1805" s="8">
        <v>1550</v>
      </c>
      <c r="B1805" s="46">
        <v>2</v>
      </c>
      <c r="C1805" s="16" t="s">
        <v>52</v>
      </c>
      <c r="D1805" s="48">
        <v>4641</v>
      </c>
      <c r="E1805" s="47">
        <v>64</v>
      </c>
      <c r="F1805" s="48">
        <v>2464</v>
      </c>
      <c r="G1805" s="49">
        <v>1</v>
      </c>
      <c r="H1805" s="48">
        <v>5</v>
      </c>
      <c r="I1805" s="48">
        <v>2</v>
      </c>
      <c r="J1805" s="48">
        <v>81</v>
      </c>
      <c r="K1805" s="3">
        <v>2281</v>
      </c>
      <c r="L1805" s="16"/>
      <c r="M1805" s="57"/>
      <c r="N1805" s="58"/>
      <c r="P1805" s="16">
        <v>1</v>
      </c>
      <c r="Q1805" s="20">
        <f t="shared" si="329"/>
        <v>2281</v>
      </c>
      <c r="R1805" s="14">
        <v>200</v>
      </c>
      <c r="S1805" s="19">
        <f t="shared" si="330"/>
        <v>456200</v>
      </c>
      <c r="T1805" s="16"/>
      <c r="U1805" s="17"/>
      <c r="V1805" s="17"/>
      <c r="W1805" s="4"/>
      <c r="X1805" s="16"/>
      <c r="Y1805" s="5"/>
      <c r="Z1805" s="16"/>
      <c r="AA1805" s="16"/>
      <c r="AB1805" s="16"/>
      <c r="AC1805" s="14"/>
      <c r="AD1805" s="14"/>
      <c r="AE1805" s="16"/>
      <c r="AG1805" s="22">
        <f t="shared" si="331"/>
        <v>0</v>
      </c>
      <c r="AH1805" s="6"/>
      <c r="AJ1805" s="20">
        <f t="shared" si="332"/>
        <v>0</v>
      </c>
      <c r="AK1805" s="50"/>
      <c r="AL1805" s="6"/>
      <c r="AM1805" s="20">
        <f t="shared" si="333"/>
        <v>0</v>
      </c>
      <c r="AN1805" s="20">
        <f t="shared" si="334"/>
        <v>456200</v>
      </c>
      <c r="AP1805" s="20">
        <f t="shared" si="335"/>
        <v>456200</v>
      </c>
      <c r="AQ1805" s="7"/>
      <c r="AR1805" s="25"/>
      <c r="AS1805" s="130"/>
    </row>
    <row r="1806" spans="1:45" s="21" customFormat="1" ht="30" customHeight="1" x14ac:dyDescent="0.2">
      <c r="A1806" s="131">
        <v>1551</v>
      </c>
      <c r="B1806" s="46">
        <v>1</v>
      </c>
      <c r="C1806" s="16" t="s">
        <v>52</v>
      </c>
      <c r="D1806" s="48">
        <v>1379</v>
      </c>
      <c r="E1806" s="47">
        <v>15</v>
      </c>
      <c r="F1806" s="48">
        <v>948</v>
      </c>
      <c r="G1806" s="49">
        <v>1</v>
      </c>
      <c r="H1806" s="48">
        <v>7</v>
      </c>
      <c r="I1806" s="48">
        <v>0</v>
      </c>
      <c r="J1806" s="48">
        <v>96</v>
      </c>
      <c r="K1806" s="3">
        <f>2896-L1806</f>
        <v>2801.875</v>
      </c>
      <c r="L1806" s="16">
        <f>+(172.5+105+54+45)/4</f>
        <v>94.125</v>
      </c>
      <c r="M1806" s="57"/>
      <c r="N1806" s="58"/>
      <c r="P1806" s="16">
        <v>5</v>
      </c>
      <c r="Q1806" s="20">
        <f t="shared" si="329"/>
        <v>2896</v>
      </c>
      <c r="R1806" s="14">
        <v>160</v>
      </c>
      <c r="S1806" s="19">
        <f t="shared" si="330"/>
        <v>463360</v>
      </c>
      <c r="T1806" s="16">
        <v>1</v>
      </c>
      <c r="U1806" s="16" t="s">
        <v>57</v>
      </c>
      <c r="V1806" s="16" t="s">
        <v>56</v>
      </c>
      <c r="W1806" s="5"/>
      <c r="X1806" s="16"/>
      <c r="Y1806" s="5">
        <v>172.5</v>
      </c>
      <c r="Z1806" s="16"/>
      <c r="AA1806" s="16"/>
      <c r="AB1806" s="16">
        <f>62-32</f>
        <v>30</v>
      </c>
      <c r="AC1806" s="14"/>
      <c r="AD1806" s="14"/>
      <c r="AE1806" s="16"/>
      <c r="AG1806" s="22">
        <f t="shared" si="331"/>
        <v>172.5</v>
      </c>
      <c r="AH1806" s="6"/>
      <c r="AJ1806" s="20">
        <f t="shared" si="332"/>
        <v>0</v>
      </c>
      <c r="AK1806" s="50">
        <v>30</v>
      </c>
      <c r="AL1806" s="6"/>
      <c r="AM1806" s="20">
        <f t="shared" si="333"/>
        <v>0</v>
      </c>
      <c r="AN1806" s="20">
        <f t="shared" si="334"/>
        <v>463360</v>
      </c>
      <c r="AP1806" s="20">
        <f t="shared" si="335"/>
        <v>463360</v>
      </c>
      <c r="AQ1806" s="7"/>
      <c r="AR1806" s="20"/>
      <c r="AS1806" s="51"/>
    </row>
    <row r="1807" spans="1:45" s="21" customFormat="1" ht="30" customHeight="1" x14ac:dyDescent="0.2">
      <c r="A1807" s="131"/>
      <c r="B1807" s="46"/>
      <c r="C1807" s="16"/>
      <c r="D1807" s="48"/>
      <c r="E1807" s="47"/>
      <c r="F1807" s="48"/>
      <c r="G1807" s="49"/>
      <c r="H1807" s="48"/>
      <c r="I1807" s="48"/>
      <c r="J1807" s="48"/>
      <c r="K1807" s="3"/>
      <c r="L1807" s="16"/>
      <c r="M1807" s="57"/>
      <c r="N1807" s="58"/>
      <c r="P1807" s="16"/>
      <c r="Q1807" s="20">
        <f t="shared" si="329"/>
        <v>0</v>
      </c>
      <c r="R1807" s="14" t="e">
        <v>#N/A</v>
      </c>
      <c r="S1807" s="20" t="e">
        <f t="shared" si="330"/>
        <v>#N/A</v>
      </c>
      <c r="T1807" s="16">
        <v>2</v>
      </c>
      <c r="U1807" s="16" t="s">
        <v>57</v>
      </c>
      <c r="V1807" s="16" t="s">
        <v>56</v>
      </c>
      <c r="W1807" s="5"/>
      <c r="X1807" s="16"/>
      <c r="Y1807" s="5">
        <v>105</v>
      </c>
      <c r="Z1807" s="16"/>
      <c r="AA1807" s="16"/>
      <c r="AB1807" s="16">
        <f>62-31</f>
        <v>31</v>
      </c>
      <c r="AC1807" s="14"/>
      <c r="AD1807" s="14"/>
      <c r="AE1807" s="16"/>
      <c r="AG1807" s="22">
        <f t="shared" si="331"/>
        <v>105</v>
      </c>
      <c r="AH1807" s="6"/>
      <c r="AJ1807" s="20">
        <f t="shared" si="332"/>
        <v>0</v>
      </c>
      <c r="AK1807" s="50">
        <v>31</v>
      </c>
      <c r="AL1807" s="6"/>
      <c r="AM1807" s="20">
        <f t="shared" si="333"/>
        <v>0</v>
      </c>
      <c r="AN1807" s="20" t="e">
        <f t="shared" si="334"/>
        <v>#N/A</v>
      </c>
      <c r="AP1807" s="20" t="e">
        <f t="shared" si="335"/>
        <v>#N/A</v>
      </c>
      <c r="AQ1807" s="7"/>
      <c r="AR1807" s="20"/>
      <c r="AS1807" s="51"/>
    </row>
    <row r="1808" spans="1:45" s="21" customFormat="1" ht="30" customHeight="1" x14ac:dyDescent="0.2">
      <c r="A1808" s="131"/>
      <c r="B1808" s="46"/>
      <c r="C1808" s="16"/>
      <c r="D1808" s="48"/>
      <c r="E1808" s="47"/>
      <c r="F1808" s="48"/>
      <c r="G1808" s="49"/>
      <c r="H1808" s="48"/>
      <c r="I1808" s="48"/>
      <c r="J1808" s="48"/>
      <c r="K1808" s="3"/>
      <c r="L1808" s="16"/>
      <c r="M1808" s="57"/>
      <c r="N1808" s="58"/>
      <c r="P1808" s="16"/>
      <c r="Q1808" s="20">
        <f t="shared" si="329"/>
        <v>0</v>
      </c>
      <c r="R1808" s="14" t="e">
        <v>#N/A</v>
      </c>
      <c r="S1808" s="19" t="e">
        <f t="shared" si="330"/>
        <v>#N/A</v>
      </c>
      <c r="T1808" s="16">
        <v>3</v>
      </c>
      <c r="U1808" s="16" t="s">
        <v>57</v>
      </c>
      <c r="V1808" s="16" t="s">
        <v>56</v>
      </c>
      <c r="W1808" s="5"/>
      <c r="X1808" s="16"/>
      <c r="Y1808" s="5">
        <v>54</v>
      </c>
      <c r="Z1808" s="16"/>
      <c r="AA1808" s="16"/>
      <c r="AB1808" s="16">
        <v>7</v>
      </c>
      <c r="AC1808" s="14"/>
      <c r="AD1808" s="14"/>
      <c r="AE1808" s="16"/>
      <c r="AG1808" s="22">
        <f t="shared" si="331"/>
        <v>54</v>
      </c>
      <c r="AH1808" s="6"/>
      <c r="AJ1808" s="20">
        <f t="shared" si="332"/>
        <v>0</v>
      </c>
      <c r="AK1808" s="50">
        <v>7</v>
      </c>
      <c r="AL1808" s="6"/>
      <c r="AM1808" s="20">
        <f t="shared" si="333"/>
        <v>0</v>
      </c>
      <c r="AN1808" s="20" t="e">
        <f t="shared" si="334"/>
        <v>#N/A</v>
      </c>
      <c r="AP1808" s="20" t="e">
        <f t="shared" si="335"/>
        <v>#N/A</v>
      </c>
      <c r="AQ1808" s="7"/>
      <c r="AR1808" s="20"/>
      <c r="AS1808" s="51"/>
    </row>
    <row r="1809" spans="1:48" s="21" customFormat="1" ht="30" customHeight="1" x14ac:dyDescent="0.2">
      <c r="A1809" s="131"/>
      <c r="B1809" s="46"/>
      <c r="C1809" s="16"/>
      <c r="D1809" s="48"/>
      <c r="E1809" s="47"/>
      <c r="F1809" s="48"/>
      <c r="G1809" s="49"/>
      <c r="H1809" s="48"/>
      <c r="I1809" s="48"/>
      <c r="J1809" s="48"/>
      <c r="K1809" s="3"/>
      <c r="L1809" s="16"/>
      <c r="M1809" s="57"/>
      <c r="N1809" s="58"/>
      <c r="P1809" s="16"/>
      <c r="Q1809" s="20">
        <f t="shared" si="329"/>
        <v>0</v>
      </c>
      <c r="R1809" s="14" t="e">
        <v>#N/A</v>
      </c>
      <c r="S1809" s="19" t="e">
        <f t="shared" si="330"/>
        <v>#N/A</v>
      </c>
      <c r="T1809" s="16">
        <v>4</v>
      </c>
      <c r="U1809" s="16" t="s">
        <v>57</v>
      </c>
      <c r="V1809" s="16" t="s">
        <v>56</v>
      </c>
      <c r="W1809" s="5"/>
      <c r="X1809" s="16"/>
      <c r="Y1809" s="5">
        <v>45</v>
      </c>
      <c r="Z1809" s="16"/>
      <c r="AA1809" s="16"/>
      <c r="AB1809" s="16">
        <f>62-11</f>
        <v>51</v>
      </c>
      <c r="AC1809" s="14"/>
      <c r="AD1809" s="14"/>
      <c r="AE1809" s="16"/>
      <c r="AG1809" s="22">
        <f t="shared" si="331"/>
        <v>45</v>
      </c>
      <c r="AH1809" s="6"/>
      <c r="AJ1809" s="20">
        <f t="shared" si="332"/>
        <v>0</v>
      </c>
      <c r="AK1809" s="50">
        <v>51</v>
      </c>
      <c r="AL1809" s="6"/>
      <c r="AM1809" s="20">
        <f t="shared" si="333"/>
        <v>0</v>
      </c>
      <c r="AN1809" s="20" t="e">
        <f t="shared" si="334"/>
        <v>#N/A</v>
      </c>
      <c r="AP1809" s="20" t="e">
        <f t="shared" si="335"/>
        <v>#N/A</v>
      </c>
      <c r="AQ1809" s="7"/>
      <c r="AR1809" s="20"/>
      <c r="AS1809" s="51"/>
    </row>
    <row r="1810" spans="1:48" ht="30" customHeight="1" x14ac:dyDescent="0.2">
      <c r="A1810" s="2">
        <v>1552</v>
      </c>
      <c r="B1810" s="13">
        <v>1</v>
      </c>
      <c r="C1810" s="16" t="s">
        <v>69</v>
      </c>
      <c r="E1810" s="17">
        <v>157</v>
      </c>
      <c r="F1810" s="17">
        <v>13</v>
      </c>
      <c r="G1810" s="13">
        <v>1</v>
      </c>
      <c r="H1810" s="17">
        <v>6</v>
      </c>
      <c r="I1810" s="17">
        <v>3</v>
      </c>
      <c r="J1810" s="17">
        <v>72</v>
      </c>
      <c r="K1810" s="10">
        <v>2772</v>
      </c>
      <c r="P1810" s="17">
        <v>1</v>
      </c>
      <c r="Q1810" s="20">
        <f t="shared" si="329"/>
        <v>2772</v>
      </c>
      <c r="R1810" s="14">
        <v>200</v>
      </c>
      <c r="S1810" s="20">
        <f t="shared" si="330"/>
        <v>554400</v>
      </c>
      <c r="AG1810" s="22">
        <f t="shared" si="331"/>
        <v>0</v>
      </c>
      <c r="AJ1810" s="20">
        <f t="shared" si="332"/>
        <v>0</v>
      </c>
      <c r="AM1810" s="20">
        <f t="shared" si="333"/>
        <v>0</v>
      </c>
      <c r="AN1810" s="20">
        <f t="shared" si="334"/>
        <v>554400</v>
      </c>
      <c r="AP1810" s="20">
        <f t="shared" si="335"/>
        <v>554400</v>
      </c>
      <c r="AQ1810" s="12">
        <v>1E-4</v>
      </c>
      <c r="AR1810" s="20"/>
    </row>
    <row r="1811" spans="1:48" s="29" customFormat="1" ht="27.75" customHeight="1" x14ac:dyDescent="0.2">
      <c r="A1811" s="17">
        <v>1553</v>
      </c>
      <c r="B1811" s="13">
        <v>1</v>
      </c>
      <c r="C1811" s="16" t="s">
        <v>69</v>
      </c>
      <c r="D1811" s="17"/>
      <c r="E1811" s="17">
        <v>2329</v>
      </c>
      <c r="F1811" s="17">
        <v>2</v>
      </c>
      <c r="G1811" s="13">
        <v>2</v>
      </c>
      <c r="H1811" s="17">
        <v>1</v>
      </c>
      <c r="I1811" s="17">
        <v>2</v>
      </c>
      <c r="J1811" s="17">
        <v>68</v>
      </c>
      <c r="K1811" s="28">
        <v>668</v>
      </c>
      <c r="L1811" s="63"/>
      <c r="M1811" s="63"/>
      <c r="N1811" s="63"/>
      <c r="O1811" s="63"/>
      <c r="P1811" s="21">
        <v>1</v>
      </c>
      <c r="Q1811" s="19">
        <f>+(H1811*400)+(I1811*100)+J1811</f>
        <v>668</v>
      </c>
      <c r="R1811" s="14">
        <v>160</v>
      </c>
      <c r="S1811" s="19">
        <f>+Q1811*R1811</f>
        <v>106880</v>
      </c>
      <c r="T1811" s="63"/>
      <c r="U1811" s="63"/>
      <c r="V1811" s="63"/>
      <c r="W1811" s="28"/>
      <c r="X1811" s="63"/>
      <c r="Y1811" s="28"/>
      <c r="Z1811" s="63"/>
      <c r="AA1811" s="63"/>
      <c r="AB1811" s="17"/>
      <c r="AC1811" s="14"/>
      <c r="AD1811" s="93"/>
      <c r="AF1811" s="21"/>
      <c r="AG1811" s="21"/>
      <c r="AH1811" s="6"/>
      <c r="AI1811" s="21"/>
      <c r="AJ1811" s="20">
        <f>+AG1811*AH1811*AI1811</f>
        <v>0</v>
      </c>
      <c r="AK1811" s="50">
        <f>AB1811</f>
        <v>0</v>
      </c>
      <c r="AL1811" s="6"/>
      <c r="AM1811" s="20">
        <f>+AJ1811-(AL1811*AJ1811)</f>
        <v>0</v>
      </c>
      <c r="AN1811" s="20">
        <f t="shared" si="334"/>
        <v>106880</v>
      </c>
      <c r="AO1811" s="21"/>
      <c r="AP1811" s="20">
        <f>AN1811</f>
        <v>106880</v>
      </c>
      <c r="AQ1811" s="12">
        <v>1E-4</v>
      </c>
      <c r="AR1811" s="20"/>
      <c r="AS1811" s="51"/>
      <c r="AT1811" s="21"/>
      <c r="AU1811" s="21"/>
      <c r="AV1811" s="21"/>
    </row>
    <row r="1812" spans="1:48" s="29" customFormat="1" ht="27.75" customHeight="1" x14ac:dyDescent="0.2">
      <c r="A1812" s="17">
        <v>1554</v>
      </c>
      <c r="B1812" s="13">
        <v>2</v>
      </c>
      <c r="C1812" s="16" t="s">
        <v>69</v>
      </c>
      <c r="D1812" s="17"/>
      <c r="E1812" s="17">
        <v>2329</v>
      </c>
      <c r="F1812" s="17">
        <v>26</v>
      </c>
      <c r="G1812" s="13">
        <v>2</v>
      </c>
      <c r="H1812" s="17">
        <v>9</v>
      </c>
      <c r="I1812" s="17">
        <v>0</v>
      </c>
      <c r="J1812" s="17">
        <v>66</v>
      </c>
      <c r="K1812" s="28">
        <v>3666</v>
      </c>
      <c r="L1812" s="63"/>
      <c r="M1812" s="63"/>
      <c r="N1812" s="63"/>
      <c r="O1812" s="63"/>
      <c r="P1812" s="21">
        <v>1</v>
      </c>
      <c r="Q1812" s="19">
        <f>+(H1812*400)+(I1812*100)+J1812</f>
        <v>3666</v>
      </c>
      <c r="R1812" s="14">
        <v>200</v>
      </c>
      <c r="S1812" s="19">
        <f>+Q1812*R1812</f>
        <v>733200</v>
      </c>
      <c r="T1812" s="63"/>
      <c r="U1812" s="63"/>
      <c r="V1812" s="63"/>
      <c r="W1812" s="28"/>
      <c r="X1812" s="63"/>
      <c r="Y1812" s="28"/>
      <c r="Z1812" s="63"/>
      <c r="AA1812" s="63"/>
      <c r="AB1812" s="17"/>
      <c r="AC1812" s="14"/>
      <c r="AD1812" s="93"/>
      <c r="AF1812" s="21"/>
      <c r="AG1812" s="21"/>
      <c r="AH1812" s="6"/>
      <c r="AI1812" s="21"/>
      <c r="AJ1812" s="20">
        <f>+AG1812*AH1812*AI1812</f>
        <v>0</v>
      </c>
      <c r="AK1812" s="50">
        <f>AB1812</f>
        <v>0</v>
      </c>
      <c r="AL1812" s="6"/>
      <c r="AM1812" s="20">
        <f>+AJ1812-(AL1812*AJ1812)</f>
        <v>0</v>
      </c>
      <c r="AN1812" s="20">
        <f t="shared" si="334"/>
        <v>733200</v>
      </c>
      <c r="AO1812" s="21"/>
      <c r="AP1812" s="20">
        <f>AN1812</f>
        <v>733200</v>
      </c>
      <c r="AQ1812" s="12">
        <v>1E-4</v>
      </c>
      <c r="AR1812" s="20"/>
      <c r="AS1812" s="51"/>
      <c r="AT1812" s="21"/>
      <c r="AU1812" s="21"/>
      <c r="AV1812" s="21"/>
    </row>
    <row r="1813" spans="1:48" s="21" customFormat="1" ht="30" customHeight="1" x14ac:dyDescent="0.2">
      <c r="A1813" s="8">
        <v>1555</v>
      </c>
      <c r="B1813" s="46">
        <v>1</v>
      </c>
      <c r="C1813" s="16" t="s">
        <v>52</v>
      </c>
      <c r="D1813" s="48">
        <v>2730</v>
      </c>
      <c r="E1813" s="47">
        <v>25</v>
      </c>
      <c r="F1813" s="48">
        <v>1902</v>
      </c>
      <c r="G1813" s="49">
        <v>1</v>
      </c>
      <c r="H1813" s="48">
        <v>0</v>
      </c>
      <c r="I1813" s="48">
        <v>0</v>
      </c>
      <c r="J1813" s="48">
        <v>65</v>
      </c>
      <c r="K1813" s="3"/>
      <c r="L1813" s="16">
        <v>65</v>
      </c>
      <c r="M1813" s="57"/>
      <c r="N1813" s="58"/>
      <c r="P1813" s="16">
        <v>2</v>
      </c>
      <c r="Q1813" s="20">
        <f t="shared" si="329"/>
        <v>65</v>
      </c>
      <c r="R1813" s="14">
        <v>250</v>
      </c>
      <c r="S1813" s="19">
        <f t="shared" si="330"/>
        <v>16250</v>
      </c>
      <c r="T1813" s="16"/>
      <c r="U1813" s="17" t="s">
        <v>57</v>
      </c>
      <c r="V1813" s="16" t="s">
        <v>56</v>
      </c>
      <c r="W1813" s="5"/>
      <c r="X1813" s="16"/>
      <c r="Y1813" s="5">
        <v>80</v>
      </c>
      <c r="Z1813" s="16"/>
      <c r="AA1813" s="16"/>
      <c r="AB1813" s="16">
        <f>62-32</f>
        <v>30</v>
      </c>
      <c r="AC1813" s="14"/>
      <c r="AD1813" s="14"/>
      <c r="AE1813" s="16"/>
      <c r="AG1813" s="22">
        <f t="shared" si="331"/>
        <v>80</v>
      </c>
      <c r="AH1813" s="6"/>
      <c r="AJ1813" s="20">
        <f t="shared" si="332"/>
        <v>0</v>
      </c>
      <c r="AK1813" s="50">
        <v>30</v>
      </c>
      <c r="AL1813" s="6"/>
      <c r="AM1813" s="20">
        <f t="shared" si="333"/>
        <v>0</v>
      </c>
      <c r="AN1813" s="20">
        <f t="shared" si="334"/>
        <v>16250</v>
      </c>
      <c r="AP1813" s="20">
        <f t="shared" si="335"/>
        <v>16250</v>
      </c>
      <c r="AQ1813" s="7"/>
      <c r="AR1813" s="20"/>
      <c r="AS1813" s="51"/>
    </row>
    <row r="1814" spans="1:48" ht="30" customHeight="1" x14ac:dyDescent="0.2">
      <c r="A1814" s="2">
        <v>1556</v>
      </c>
      <c r="B1814" s="13">
        <v>1</v>
      </c>
      <c r="C1814" s="16" t="s">
        <v>69</v>
      </c>
      <c r="E1814" s="17">
        <v>2329</v>
      </c>
      <c r="F1814" s="17">
        <v>12</v>
      </c>
      <c r="G1814" s="13">
        <v>1</v>
      </c>
      <c r="H1814" s="17">
        <v>8</v>
      </c>
      <c r="I1814" s="17">
        <v>3</v>
      </c>
      <c r="J1814" s="17">
        <v>31</v>
      </c>
      <c r="K1814" s="10">
        <v>3531</v>
      </c>
      <c r="P1814" s="17">
        <v>1</v>
      </c>
      <c r="Q1814" s="20">
        <f t="shared" si="329"/>
        <v>3531</v>
      </c>
      <c r="R1814" s="14">
        <v>160</v>
      </c>
      <c r="S1814" s="19">
        <f t="shared" si="330"/>
        <v>564960</v>
      </c>
      <c r="AG1814" s="22">
        <f t="shared" si="331"/>
        <v>0</v>
      </c>
      <c r="AJ1814" s="20">
        <f t="shared" si="332"/>
        <v>0</v>
      </c>
      <c r="AM1814" s="20">
        <f t="shared" si="333"/>
        <v>0</v>
      </c>
      <c r="AN1814" s="20">
        <f t="shared" si="334"/>
        <v>564960</v>
      </c>
      <c r="AP1814" s="20">
        <f t="shared" si="335"/>
        <v>564960</v>
      </c>
      <c r="AQ1814" s="12">
        <v>1E-4</v>
      </c>
      <c r="AR1814" s="20"/>
    </row>
    <row r="1815" spans="1:48" ht="30" customHeight="1" x14ac:dyDescent="0.2">
      <c r="A1815" s="8">
        <v>1557</v>
      </c>
      <c r="B1815" s="13">
        <v>1</v>
      </c>
      <c r="C1815" s="16" t="s">
        <v>69</v>
      </c>
      <c r="E1815" s="17">
        <v>2329</v>
      </c>
      <c r="F1815" s="17">
        <v>25</v>
      </c>
      <c r="G1815" s="13">
        <v>1</v>
      </c>
      <c r="H1815" s="17">
        <v>5</v>
      </c>
      <c r="I1815" s="17">
        <v>1</v>
      </c>
      <c r="J1815" s="17">
        <v>16</v>
      </c>
      <c r="K1815" s="10">
        <v>2116</v>
      </c>
      <c r="P1815" s="17">
        <v>1</v>
      </c>
      <c r="Q1815" s="20">
        <f t="shared" si="329"/>
        <v>2116</v>
      </c>
      <c r="R1815" s="14">
        <v>200</v>
      </c>
      <c r="S1815" s="20">
        <f t="shared" si="330"/>
        <v>423200</v>
      </c>
      <c r="AG1815" s="22">
        <f t="shared" si="331"/>
        <v>0</v>
      </c>
      <c r="AJ1815" s="20">
        <f t="shared" si="332"/>
        <v>0</v>
      </c>
      <c r="AM1815" s="20">
        <f t="shared" si="333"/>
        <v>0</v>
      </c>
      <c r="AN1815" s="20">
        <f t="shared" si="334"/>
        <v>423200</v>
      </c>
      <c r="AP1815" s="20">
        <f t="shared" si="335"/>
        <v>423200</v>
      </c>
      <c r="AQ1815" s="12">
        <v>1E-4</v>
      </c>
      <c r="AR1815" s="20"/>
    </row>
    <row r="1816" spans="1:48" ht="30" customHeight="1" x14ac:dyDescent="0.2">
      <c r="A1816" s="2">
        <v>1558</v>
      </c>
      <c r="B1816" s="13">
        <v>1</v>
      </c>
      <c r="C1816" s="16" t="s">
        <v>69</v>
      </c>
      <c r="E1816" s="17">
        <v>2329</v>
      </c>
      <c r="F1816" s="17">
        <v>24</v>
      </c>
      <c r="G1816" s="13">
        <v>1</v>
      </c>
      <c r="H1816" s="17">
        <v>4</v>
      </c>
      <c r="I1816" s="17">
        <v>0</v>
      </c>
      <c r="J1816" s="17">
        <v>71</v>
      </c>
      <c r="K1816" s="10">
        <v>1671</v>
      </c>
      <c r="P1816" s="17">
        <v>1</v>
      </c>
      <c r="Q1816" s="20">
        <f t="shared" si="329"/>
        <v>1671</v>
      </c>
      <c r="R1816" s="14">
        <v>200</v>
      </c>
      <c r="S1816" s="19">
        <f t="shared" si="330"/>
        <v>334200</v>
      </c>
      <c r="AG1816" s="22">
        <f t="shared" si="331"/>
        <v>0</v>
      </c>
      <c r="AJ1816" s="20">
        <f t="shared" si="332"/>
        <v>0</v>
      </c>
      <c r="AM1816" s="20">
        <f t="shared" si="333"/>
        <v>0</v>
      </c>
      <c r="AN1816" s="20">
        <f t="shared" si="334"/>
        <v>334200</v>
      </c>
      <c r="AP1816" s="20">
        <f t="shared" si="335"/>
        <v>334200</v>
      </c>
      <c r="AQ1816" s="12">
        <v>1E-4</v>
      </c>
      <c r="AR1816" s="20"/>
    </row>
    <row r="1817" spans="1:48" s="21" customFormat="1" ht="30" customHeight="1" x14ac:dyDescent="0.2">
      <c r="A1817" s="8">
        <v>1559</v>
      </c>
      <c r="B1817" s="46">
        <v>1</v>
      </c>
      <c r="C1817" s="16" t="s">
        <v>52</v>
      </c>
      <c r="D1817" s="48">
        <v>2596</v>
      </c>
      <c r="E1817" s="47">
        <v>44</v>
      </c>
      <c r="F1817" s="48">
        <v>1852</v>
      </c>
      <c r="G1817" s="49">
        <v>1</v>
      </c>
      <c r="H1817" s="48">
        <v>0</v>
      </c>
      <c r="I1817" s="48">
        <v>1</v>
      </c>
      <c r="J1817" s="48">
        <v>49</v>
      </c>
      <c r="K1817" s="3"/>
      <c r="L1817" s="16"/>
      <c r="M1817" s="57"/>
      <c r="N1817" s="58"/>
      <c r="P1817" s="16">
        <v>2</v>
      </c>
      <c r="Q1817" s="20">
        <f t="shared" si="329"/>
        <v>149</v>
      </c>
      <c r="R1817" s="14">
        <v>200</v>
      </c>
      <c r="S1817" s="19">
        <f t="shared" si="330"/>
        <v>29800</v>
      </c>
      <c r="T1817" s="16"/>
      <c r="U1817" s="17" t="s">
        <v>57</v>
      </c>
      <c r="V1817" s="17" t="s">
        <v>56</v>
      </c>
      <c r="W1817" s="4"/>
      <c r="X1817" s="16"/>
      <c r="Y1817" s="5">
        <v>70</v>
      </c>
      <c r="Z1817" s="16"/>
      <c r="AA1817" s="16"/>
      <c r="AB1817" s="16">
        <f>62-34</f>
        <v>28</v>
      </c>
      <c r="AE1817" s="16"/>
      <c r="AG1817" s="22">
        <f t="shared" si="331"/>
        <v>70</v>
      </c>
      <c r="AH1817" s="6"/>
      <c r="AJ1817" s="20">
        <f t="shared" si="332"/>
        <v>0</v>
      </c>
      <c r="AK1817" s="50">
        <v>28</v>
      </c>
      <c r="AL1817" s="6"/>
      <c r="AM1817" s="20">
        <f t="shared" si="333"/>
        <v>0</v>
      </c>
      <c r="AN1817" s="20">
        <f t="shared" si="334"/>
        <v>29800</v>
      </c>
      <c r="AP1817" s="20">
        <f t="shared" si="335"/>
        <v>29800</v>
      </c>
      <c r="AQ1817" s="7"/>
      <c r="AR1817" s="20"/>
      <c r="AS1817" s="51"/>
    </row>
    <row r="1818" spans="1:48" s="21" customFormat="1" ht="30" customHeight="1" x14ac:dyDescent="0.2">
      <c r="A1818" s="2">
        <v>1560</v>
      </c>
      <c r="B1818" s="46">
        <v>2</v>
      </c>
      <c r="C1818" s="16" t="s">
        <v>52</v>
      </c>
      <c r="D1818" s="48">
        <v>2599</v>
      </c>
      <c r="E1818" s="47">
        <v>9</v>
      </c>
      <c r="F1818" s="48">
        <v>1855</v>
      </c>
      <c r="G1818" s="49">
        <v>1</v>
      </c>
      <c r="H1818" s="48">
        <v>0</v>
      </c>
      <c r="I1818" s="48">
        <v>2</v>
      </c>
      <c r="J1818" s="48">
        <v>5</v>
      </c>
      <c r="K1818" s="3">
        <v>205</v>
      </c>
      <c r="L1818" s="16"/>
      <c r="M1818" s="57"/>
      <c r="N1818" s="58"/>
      <c r="P1818" s="16">
        <v>1</v>
      </c>
      <c r="Q1818" s="20">
        <f t="shared" si="329"/>
        <v>205</v>
      </c>
      <c r="R1818" s="14">
        <v>200</v>
      </c>
      <c r="S1818" s="20">
        <f t="shared" si="330"/>
        <v>41000</v>
      </c>
      <c r="T1818" s="16"/>
      <c r="U1818" s="17"/>
      <c r="V1818" s="17"/>
      <c r="W1818" s="4"/>
      <c r="X1818" s="16"/>
      <c r="Y1818" s="5"/>
      <c r="Z1818" s="16"/>
      <c r="AA1818" s="16"/>
      <c r="AB1818" s="16"/>
      <c r="AE1818" s="16"/>
      <c r="AG1818" s="22">
        <f t="shared" si="331"/>
        <v>0</v>
      </c>
      <c r="AH1818" s="6"/>
      <c r="AJ1818" s="20">
        <f t="shared" si="332"/>
        <v>0</v>
      </c>
      <c r="AK1818" s="50"/>
      <c r="AL1818" s="6"/>
      <c r="AM1818" s="20">
        <f t="shared" si="333"/>
        <v>0</v>
      </c>
      <c r="AN1818" s="20">
        <f t="shared" si="334"/>
        <v>41000</v>
      </c>
      <c r="AP1818" s="20">
        <f t="shared" si="335"/>
        <v>41000</v>
      </c>
      <c r="AQ1818" s="7"/>
      <c r="AR1818" s="20"/>
      <c r="AS1818" s="51"/>
    </row>
    <row r="1819" spans="1:48" s="21" customFormat="1" ht="30" customHeight="1" x14ac:dyDescent="0.2">
      <c r="A1819" s="8">
        <v>1561</v>
      </c>
      <c r="B1819" s="46">
        <v>3</v>
      </c>
      <c r="C1819" s="16" t="s">
        <v>52</v>
      </c>
      <c r="D1819" s="48">
        <v>2600</v>
      </c>
      <c r="E1819" s="47">
        <v>10</v>
      </c>
      <c r="F1819" s="48">
        <v>1856</v>
      </c>
      <c r="G1819" s="49">
        <v>1</v>
      </c>
      <c r="H1819" s="48">
        <v>0</v>
      </c>
      <c r="I1819" s="48">
        <v>2</v>
      </c>
      <c r="J1819" s="48">
        <v>59</v>
      </c>
      <c r="K1819" s="3"/>
      <c r="L1819" s="16">
        <v>259</v>
      </c>
      <c r="M1819" s="57"/>
      <c r="N1819" s="58"/>
      <c r="P1819" s="16">
        <v>2</v>
      </c>
      <c r="Q1819" s="20">
        <f t="shared" si="329"/>
        <v>259</v>
      </c>
      <c r="R1819" s="14">
        <v>200</v>
      </c>
      <c r="S1819" s="19">
        <f t="shared" si="330"/>
        <v>51800</v>
      </c>
      <c r="T1819" s="16"/>
      <c r="U1819" s="17" t="s">
        <v>57</v>
      </c>
      <c r="V1819" s="17" t="s">
        <v>56</v>
      </c>
      <c r="W1819" s="4"/>
      <c r="X1819" s="16"/>
      <c r="Y1819" s="5">
        <v>90</v>
      </c>
      <c r="Z1819" s="16"/>
      <c r="AA1819" s="16"/>
      <c r="AB1819" s="16">
        <f>62-23</f>
        <v>39</v>
      </c>
      <c r="AE1819" s="16"/>
      <c r="AG1819" s="22">
        <f t="shared" si="331"/>
        <v>90</v>
      </c>
      <c r="AH1819" s="6"/>
      <c r="AJ1819" s="20">
        <f t="shared" si="332"/>
        <v>0</v>
      </c>
      <c r="AK1819" s="50">
        <v>39</v>
      </c>
      <c r="AL1819" s="6"/>
      <c r="AM1819" s="20">
        <f t="shared" si="333"/>
        <v>0</v>
      </c>
      <c r="AN1819" s="20">
        <f t="shared" si="334"/>
        <v>51800</v>
      </c>
      <c r="AP1819" s="20">
        <f t="shared" si="335"/>
        <v>51800</v>
      </c>
      <c r="AQ1819" s="7"/>
      <c r="AR1819" s="20"/>
      <c r="AS1819" s="51"/>
    </row>
    <row r="1820" spans="1:48" s="21" customFormat="1" ht="30" customHeight="1" x14ac:dyDescent="0.2">
      <c r="A1820" s="2">
        <v>1562</v>
      </c>
      <c r="B1820" s="46">
        <v>4</v>
      </c>
      <c r="C1820" s="16" t="s">
        <v>52</v>
      </c>
      <c r="D1820" s="48">
        <v>2602</v>
      </c>
      <c r="E1820" s="47">
        <v>12</v>
      </c>
      <c r="F1820" s="48">
        <v>1858</v>
      </c>
      <c r="G1820" s="49">
        <v>1</v>
      </c>
      <c r="H1820" s="48">
        <v>0</v>
      </c>
      <c r="I1820" s="48">
        <v>1</v>
      </c>
      <c r="J1820" s="48">
        <v>63</v>
      </c>
      <c r="K1820" s="3">
        <v>163</v>
      </c>
      <c r="L1820" s="16"/>
      <c r="M1820" s="57"/>
      <c r="N1820" s="58"/>
      <c r="P1820" s="16">
        <v>1</v>
      </c>
      <c r="Q1820" s="20">
        <f t="shared" si="329"/>
        <v>163</v>
      </c>
      <c r="R1820" s="14">
        <v>200</v>
      </c>
      <c r="S1820" s="19">
        <f t="shared" si="330"/>
        <v>32600</v>
      </c>
      <c r="T1820" s="16"/>
      <c r="U1820" s="17"/>
      <c r="V1820" s="17"/>
      <c r="W1820" s="4"/>
      <c r="X1820" s="16"/>
      <c r="Y1820" s="5"/>
      <c r="Z1820" s="16"/>
      <c r="AA1820" s="16"/>
      <c r="AB1820" s="16"/>
      <c r="AE1820" s="16"/>
      <c r="AG1820" s="22">
        <f t="shared" si="331"/>
        <v>0</v>
      </c>
      <c r="AH1820" s="6"/>
      <c r="AJ1820" s="20">
        <f t="shared" si="332"/>
        <v>0</v>
      </c>
      <c r="AK1820" s="50"/>
      <c r="AL1820" s="6"/>
      <c r="AM1820" s="20">
        <f t="shared" si="333"/>
        <v>0</v>
      </c>
      <c r="AN1820" s="20">
        <f t="shared" si="334"/>
        <v>32600</v>
      </c>
      <c r="AP1820" s="20">
        <f t="shared" si="335"/>
        <v>32600</v>
      </c>
      <c r="AQ1820" s="7"/>
      <c r="AR1820" s="20"/>
      <c r="AS1820" s="51"/>
    </row>
    <row r="1821" spans="1:48" s="21" customFormat="1" ht="30" customHeight="1" x14ac:dyDescent="0.2">
      <c r="A1821" s="8">
        <v>1563</v>
      </c>
      <c r="B1821" s="46">
        <v>5</v>
      </c>
      <c r="C1821" s="16" t="s">
        <v>52</v>
      </c>
      <c r="D1821" s="48">
        <v>2604</v>
      </c>
      <c r="E1821" s="47">
        <v>14</v>
      </c>
      <c r="F1821" s="48">
        <v>1860</v>
      </c>
      <c r="G1821" s="49">
        <v>1</v>
      </c>
      <c r="H1821" s="48">
        <v>1</v>
      </c>
      <c r="I1821" s="48">
        <v>1</v>
      </c>
      <c r="J1821" s="48">
        <v>27</v>
      </c>
      <c r="K1821" s="3">
        <v>527</v>
      </c>
      <c r="L1821" s="16"/>
      <c r="M1821" s="57"/>
      <c r="N1821" s="58"/>
      <c r="P1821" s="16">
        <v>1</v>
      </c>
      <c r="Q1821" s="20">
        <f t="shared" si="329"/>
        <v>527</v>
      </c>
      <c r="R1821" s="14">
        <v>250</v>
      </c>
      <c r="S1821" s="20">
        <f t="shared" si="330"/>
        <v>131750</v>
      </c>
      <c r="T1821" s="16"/>
      <c r="U1821" s="17"/>
      <c r="V1821" s="17"/>
      <c r="W1821" s="4"/>
      <c r="X1821" s="16"/>
      <c r="Y1821" s="5"/>
      <c r="Z1821" s="16"/>
      <c r="AA1821" s="16"/>
      <c r="AB1821" s="16"/>
      <c r="AE1821" s="16"/>
      <c r="AG1821" s="22">
        <f t="shared" si="331"/>
        <v>0</v>
      </c>
      <c r="AH1821" s="6"/>
      <c r="AJ1821" s="20">
        <f t="shared" si="332"/>
        <v>0</v>
      </c>
      <c r="AK1821" s="50"/>
      <c r="AL1821" s="6"/>
      <c r="AM1821" s="20">
        <f t="shared" si="333"/>
        <v>0</v>
      </c>
      <c r="AN1821" s="20">
        <f t="shared" si="334"/>
        <v>131750</v>
      </c>
      <c r="AP1821" s="20">
        <f t="shared" si="335"/>
        <v>131750</v>
      </c>
      <c r="AQ1821" s="7"/>
      <c r="AR1821" s="20"/>
      <c r="AS1821" s="51"/>
    </row>
    <row r="1822" spans="1:48" s="21" customFormat="1" ht="30" customHeight="1" x14ac:dyDescent="0.2">
      <c r="A1822" s="2">
        <v>1564</v>
      </c>
      <c r="B1822" s="46">
        <v>6</v>
      </c>
      <c r="C1822" s="16" t="s">
        <v>52</v>
      </c>
      <c r="D1822" s="48">
        <v>2606</v>
      </c>
      <c r="E1822" s="47">
        <v>16</v>
      </c>
      <c r="F1822" s="48">
        <v>1862</v>
      </c>
      <c r="G1822" s="49">
        <v>1</v>
      </c>
      <c r="H1822" s="48">
        <v>0</v>
      </c>
      <c r="I1822" s="48">
        <v>0</v>
      </c>
      <c r="J1822" s="48">
        <v>25</v>
      </c>
      <c r="K1822" s="3">
        <v>25</v>
      </c>
      <c r="L1822" s="16"/>
      <c r="M1822" s="57"/>
      <c r="N1822" s="58"/>
      <c r="P1822" s="16">
        <v>1</v>
      </c>
      <c r="Q1822" s="20">
        <f t="shared" si="329"/>
        <v>25</v>
      </c>
      <c r="R1822" s="14">
        <v>250</v>
      </c>
      <c r="S1822" s="19">
        <f t="shared" si="330"/>
        <v>6250</v>
      </c>
      <c r="T1822" s="16"/>
      <c r="U1822" s="16"/>
      <c r="V1822" s="16"/>
      <c r="W1822" s="5"/>
      <c r="X1822" s="16"/>
      <c r="Y1822" s="5"/>
      <c r="Z1822" s="16"/>
      <c r="AA1822" s="16"/>
      <c r="AB1822" s="16"/>
      <c r="AE1822" s="16"/>
      <c r="AG1822" s="22">
        <f t="shared" si="331"/>
        <v>0</v>
      </c>
      <c r="AH1822" s="6"/>
      <c r="AJ1822" s="20">
        <f t="shared" si="332"/>
        <v>0</v>
      </c>
      <c r="AK1822" s="50"/>
      <c r="AL1822" s="6"/>
      <c r="AM1822" s="20">
        <f t="shared" si="333"/>
        <v>0</v>
      </c>
      <c r="AN1822" s="20">
        <f t="shared" si="334"/>
        <v>6250</v>
      </c>
      <c r="AP1822" s="20">
        <f t="shared" si="335"/>
        <v>6250</v>
      </c>
      <c r="AQ1822" s="7"/>
      <c r="AR1822" s="20"/>
      <c r="AS1822" s="51"/>
    </row>
    <row r="1823" spans="1:48" s="21" customFormat="1" ht="30" customHeight="1" x14ac:dyDescent="0.2">
      <c r="A1823" s="8">
        <v>1565</v>
      </c>
      <c r="B1823" s="46">
        <v>7</v>
      </c>
      <c r="C1823" s="16" t="s">
        <v>52</v>
      </c>
      <c r="D1823" s="48">
        <v>2609</v>
      </c>
      <c r="E1823" s="47">
        <v>6</v>
      </c>
      <c r="F1823" s="48">
        <v>1866</v>
      </c>
      <c r="G1823" s="49">
        <v>1</v>
      </c>
      <c r="H1823" s="48">
        <v>7</v>
      </c>
      <c r="I1823" s="48">
        <v>0</v>
      </c>
      <c r="J1823" s="48">
        <v>24</v>
      </c>
      <c r="K1823" s="3">
        <v>2824</v>
      </c>
      <c r="L1823" s="16"/>
      <c r="M1823" s="57"/>
      <c r="N1823" s="58"/>
      <c r="P1823" s="16">
        <v>1</v>
      </c>
      <c r="Q1823" s="20">
        <f t="shared" si="329"/>
        <v>2824</v>
      </c>
      <c r="R1823" s="14">
        <v>160</v>
      </c>
      <c r="S1823" s="19">
        <f t="shared" si="330"/>
        <v>451840</v>
      </c>
      <c r="T1823" s="16"/>
      <c r="U1823" s="17"/>
      <c r="V1823" s="16"/>
      <c r="W1823" s="5"/>
      <c r="X1823" s="16"/>
      <c r="Y1823" s="5"/>
      <c r="Z1823" s="16"/>
      <c r="AA1823" s="16"/>
      <c r="AB1823" s="16"/>
      <c r="AE1823" s="16"/>
      <c r="AG1823" s="22">
        <f t="shared" si="331"/>
        <v>0</v>
      </c>
      <c r="AH1823" s="6"/>
      <c r="AJ1823" s="20">
        <f t="shared" si="332"/>
        <v>0</v>
      </c>
      <c r="AK1823" s="50"/>
      <c r="AL1823" s="6"/>
      <c r="AM1823" s="20">
        <f t="shared" si="333"/>
        <v>0</v>
      </c>
      <c r="AN1823" s="20">
        <f t="shared" si="334"/>
        <v>451840</v>
      </c>
      <c r="AP1823" s="20">
        <f t="shared" si="335"/>
        <v>451840</v>
      </c>
      <c r="AQ1823" s="7"/>
      <c r="AR1823" s="20"/>
      <c r="AS1823" s="51"/>
    </row>
    <row r="1824" spans="1:48" s="21" customFormat="1" ht="30" customHeight="1" x14ac:dyDescent="0.2">
      <c r="A1824" s="2">
        <v>1566</v>
      </c>
      <c r="B1824" s="46">
        <v>8</v>
      </c>
      <c r="C1824" s="16" t="s">
        <v>52</v>
      </c>
      <c r="D1824" s="48">
        <v>2621</v>
      </c>
      <c r="E1824" s="47">
        <v>5</v>
      </c>
      <c r="F1824" s="48">
        <v>1867</v>
      </c>
      <c r="G1824" s="49">
        <v>1</v>
      </c>
      <c r="H1824" s="48">
        <v>6</v>
      </c>
      <c r="I1824" s="48">
        <v>3</v>
      </c>
      <c r="J1824" s="48">
        <v>32</v>
      </c>
      <c r="K1824" s="3">
        <v>2732</v>
      </c>
      <c r="L1824" s="16"/>
      <c r="M1824" s="57"/>
      <c r="N1824" s="58"/>
      <c r="P1824" s="16">
        <v>1</v>
      </c>
      <c r="Q1824" s="20">
        <f t="shared" si="329"/>
        <v>2732</v>
      </c>
      <c r="R1824" s="14">
        <v>160</v>
      </c>
      <c r="S1824" s="20">
        <f t="shared" si="330"/>
        <v>437120</v>
      </c>
      <c r="T1824" s="16"/>
      <c r="U1824" s="17"/>
      <c r="V1824" s="17"/>
      <c r="W1824" s="4"/>
      <c r="X1824" s="16"/>
      <c r="Y1824" s="5"/>
      <c r="Z1824" s="16"/>
      <c r="AA1824" s="16"/>
      <c r="AB1824" s="16"/>
      <c r="AE1824" s="16"/>
      <c r="AG1824" s="22">
        <f t="shared" si="331"/>
        <v>0</v>
      </c>
      <c r="AH1824" s="6"/>
      <c r="AJ1824" s="20">
        <f t="shared" si="332"/>
        <v>0</v>
      </c>
      <c r="AK1824" s="50"/>
      <c r="AL1824" s="6"/>
      <c r="AM1824" s="20">
        <f t="shared" si="333"/>
        <v>0</v>
      </c>
      <c r="AN1824" s="20">
        <f t="shared" si="334"/>
        <v>437120</v>
      </c>
      <c r="AP1824" s="20">
        <f t="shared" si="335"/>
        <v>437120</v>
      </c>
      <c r="AQ1824" s="7"/>
      <c r="AR1824" s="20"/>
      <c r="AS1824" s="51"/>
    </row>
    <row r="1825" spans="1:45" s="21" customFormat="1" ht="30" customHeight="1" x14ac:dyDescent="0.2">
      <c r="A1825" s="8">
        <v>1567</v>
      </c>
      <c r="B1825" s="46">
        <v>1</v>
      </c>
      <c r="C1825" s="16" t="s">
        <v>52</v>
      </c>
      <c r="D1825" s="48">
        <v>37216</v>
      </c>
      <c r="E1825" s="47">
        <v>91</v>
      </c>
      <c r="F1825" s="48">
        <v>7284</v>
      </c>
      <c r="G1825" s="49">
        <v>1</v>
      </c>
      <c r="H1825" s="48">
        <v>0</v>
      </c>
      <c r="I1825" s="48">
        <v>1</v>
      </c>
      <c r="J1825" s="48">
        <v>74</v>
      </c>
      <c r="K1825" s="3"/>
      <c r="L1825" s="16">
        <v>174</v>
      </c>
      <c r="M1825" s="57"/>
      <c r="N1825" s="58"/>
      <c r="P1825" s="16">
        <v>2</v>
      </c>
      <c r="Q1825" s="20">
        <f t="shared" si="329"/>
        <v>174</v>
      </c>
      <c r="R1825" s="14">
        <v>200</v>
      </c>
      <c r="S1825" s="19">
        <f t="shared" si="330"/>
        <v>34800</v>
      </c>
      <c r="T1825" s="16"/>
      <c r="U1825" s="17"/>
      <c r="V1825" s="17"/>
      <c r="W1825" s="4"/>
      <c r="X1825" s="16"/>
      <c r="Y1825" s="5"/>
      <c r="Z1825" s="16"/>
      <c r="AA1825" s="16"/>
      <c r="AB1825" s="16"/>
      <c r="AE1825" s="16"/>
      <c r="AG1825" s="22">
        <f t="shared" si="331"/>
        <v>0</v>
      </c>
      <c r="AH1825" s="6"/>
      <c r="AJ1825" s="20">
        <f t="shared" si="332"/>
        <v>0</v>
      </c>
      <c r="AK1825" s="50"/>
      <c r="AL1825" s="6"/>
      <c r="AM1825" s="20">
        <f t="shared" si="333"/>
        <v>0</v>
      </c>
      <c r="AN1825" s="20">
        <f t="shared" si="334"/>
        <v>34800</v>
      </c>
      <c r="AP1825" s="20">
        <f t="shared" si="335"/>
        <v>34800</v>
      </c>
      <c r="AQ1825" s="7"/>
      <c r="AR1825" s="20"/>
      <c r="AS1825" s="51"/>
    </row>
    <row r="1826" spans="1:45" ht="30" customHeight="1" x14ac:dyDescent="0.2">
      <c r="A1826" s="2">
        <v>1568</v>
      </c>
      <c r="B1826" s="13">
        <v>2</v>
      </c>
      <c r="C1826" s="16" t="s">
        <v>69</v>
      </c>
      <c r="E1826" s="17">
        <v>163</v>
      </c>
      <c r="F1826" s="17">
        <v>1</v>
      </c>
      <c r="G1826" s="13">
        <v>2</v>
      </c>
      <c r="H1826" s="17">
        <v>5</v>
      </c>
      <c r="I1826" s="17">
        <v>1</v>
      </c>
      <c r="J1826" s="17">
        <v>98</v>
      </c>
      <c r="K1826" s="10">
        <v>2198</v>
      </c>
      <c r="P1826" s="17">
        <v>1</v>
      </c>
      <c r="Q1826" s="20">
        <f t="shared" si="329"/>
        <v>2198</v>
      </c>
      <c r="R1826" s="14">
        <v>200</v>
      </c>
      <c r="S1826" s="19">
        <f t="shared" si="330"/>
        <v>439600</v>
      </c>
      <c r="AG1826" s="22">
        <f t="shared" si="331"/>
        <v>0</v>
      </c>
      <c r="AJ1826" s="20">
        <f t="shared" si="332"/>
        <v>0</v>
      </c>
      <c r="AM1826" s="20">
        <f t="shared" si="333"/>
        <v>0</v>
      </c>
      <c r="AN1826" s="20">
        <f t="shared" si="334"/>
        <v>439600</v>
      </c>
      <c r="AP1826" s="20">
        <f t="shared" si="335"/>
        <v>439600</v>
      </c>
      <c r="AQ1826" s="12">
        <v>1E-4</v>
      </c>
      <c r="AR1826" s="20"/>
    </row>
    <row r="1827" spans="1:45" s="21" customFormat="1" ht="30" customHeight="1" x14ac:dyDescent="0.2">
      <c r="A1827" s="8">
        <v>1569</v>
      </c>
      <c r="B1827" s="46">
        <v>1</v>
      </c>
      <c r="C1827" s="16" t="s">
        <v>52</v>
      </c>
      <c r="D1827" s="48">
        <v>2800</v>
      </c>
      <c r="E1827" s="47">
        <v>19</v>
      </c>
      <c r="F1827" s="48">
        <v>1916</v>
      </c>
      <c r="G1827" s="49">
        <v>1</v>
      </c>
      <c r="H1827" s="48">
        <v>5</v>
      </c>
      <c r="I1827" s="48">
        <v>3</v>
      </c>
      <c r="J1827" s="48">
        <v>76</v>
      </c>
      <c r="K1827" s="3">
        <v>2376</v>
      </c>
      <c r="L1827" s="16"/>
      <c r="M1827" s="57"/>
      <c r="N1827" s="58"/>
      <c r="P1827" s="16"/>
      <c r="Q1827" s="20">
        <f t="shared" si="329"/>
        <v>2376</v>
      </c>
      <c r="R1827" s="14">
        <v>200</v>
      </c>
      <c r="S1827" s="20">
        <f t="shared" si="330"/>
        <v>475200</v>
      </c>
      <c r="T1827" s="16"/>
      <c r="U1827" s="17"/>
      <c r="V1827" s="17"/>
      <c r="W1827" s="4"/>
      <c r="X1827" s="16"/>
      <c r="Y1827" s="5"/>
      <c r="Z1827" s="16"/>
      <c r="AA1827" s="16"/>
      <c r="AB1827" s="16"/>
      <c r="AE1827" s="16"/>
      <c r="AG1827" s="22">
        <f t="shared" si="331"/>
        <v>0</v>
      </c>
      <c r="AH1827" s="6"/>
      <c r="AJ1827" s="20">
        <f t="shared" si="332"/>
        <v>0</v>
      </c>
      <c r="AK1827" s="50"/>
      <c r="AL1827" s="6"/>
      <c r="AM1827" s="20">
        <f t="shared" si="333"/>
        <v>0</v>
      </c>
      <c r="AN1827" s="20">
        <f t="shared" si="334"/>
        <v>475200</v>
      </c>
      <c r="AP1827" s="20">
        <f t="shared" si="335"/>
        <v>475200</v>
      </c>
      <c r="AQ1827" s="7"/>
      <c r="AR1827" s="20"/>
      <c r="AS1827" s="51"/>
    </row>
    <row r="1828" spans="1:45" s="21" customFormat="1" ht="30" customHeight="1" x14ac:dyDescent="0.2">
      <c r="A1828" s="2">
        <v>1570</v>
      </c>
      <c r="B1828" s="46">
        <v>2</v>
      </c>
      <c r="C1828" s="16" t="s">
        <v>52</v>
      </c>
      <c r="D1828" s="48">
        <v>2927</v>
      </c>
      <c r="E1828" s="47">
        <v>145</v>
      </c>
      <c r="F1828" s="48">
        <v>1926</v>
      </c>
      <c r="G1828" s="49">
        <v>1</v>
      </c>
      <c r="H1828" s="48">
        <v>0</v>
      </c>
      <c r="I1828" s="48">
        <v>0</v>
      </c>
      <c r="J1828" s="48">
        <v>75</v>
      </c>
      <c r="K1828" s="3"/>
      <c r="L1828" s="16"/>
      <c r="M1828" s="57"/>
      <c r="N1828" s="58">
        <v>75</v>
      </c>
      <c r="P1828" s="16">
        <v>4</v>
      </c>
      <c r="Q1828" s="20">
        <f t="shared" si="329"/>
        <v>75</v>
      </c>
      <c r="R1828" s="14">
        <v>3000</v>
      </c>
      <c r="S1828" s="19">
        <f t="shared" si="330"/>
        <v>225000</v>
      </c>
      <c r="T1828" s="16"/>
      <c r="U1828" s="17"/>
      <c r="V1828" s="17"/>
      <c r="W1828" s="4"/>
      <c r="X1828" s="16"/>
      <c r="Y1828" s="5"/>
      <c r="Z1828" s="16"/>
      <c r="AA1828" s="16"/>
      <c r="AB1828" s="16"/>
      <c r="AE1828" s="16"/>
      <c r="AG1828" s="22">
        <f t="shared" si="331"/>
        <v>0</v>
      </c>
      <c r="AH1828" s="6"/>
      <c r="AJ1828" s="20">
        <f t="shared" si="332"/>
        <v>0</v>
      </c>
      <c r="AK1828" s="50"/>
      <c r="AL1828" s="6"/>
      <c r="AM1828" s="20">
        <f t="shared" si="333"/>
        <v>0</v>
      </c>
      <c r="AN1828" s="20">
        <f t="shared" si="334"/>
        <v>225000</v>
      </c>
      <c r="AP1828" s="20">
        <f t="shared" si="335"/>
        <v>225000</v>
      </c>
      <c r="AQ1828" s="7">
        <v>3.0000000000000001E-3</v>
      </c>
      <c r="AR1828" s="20"/>
      <c r="AS1828" s="51"/>
    </row>
    <row r="1829" spans="1:45" s="21" customFormat="1" ht="30" customHeight="1" x14ac:dyDescent="0.2">
      <c r="A1829" s="8">
        <v>1571</v>
      </c>
      <c r="B1829" s="46">
        <v>1</v>
      </c>
      <c r="C1829" s="16" t="s">
        <v>52</v>
      </c>
      <c r="D1829" s="48">
        <v>2595</v>
      </c>
      <c r="E1829" s="47">
        <v>43</v>
      </c>
      <c r="F1829" s="48">
        <v>1851</v>
      </c>
      <c r="G1829" s="49">
        <v>1</v>
      </c>
      <c r="H1829" s="48">
        <v>0</v>
      </c>
      <c r="I1829" s="48">
        <v>1</v>
      </c>
      <c r="J1829" s="48">
        <v>35</v>
      </c>
      <c r="K1829" s="3"/>
      <c r="L1829" s="16">
        <v>135</v>
      </c>
      <c r="M1829" s="57"/>
      <c r="N1829" s="58"/>
      <c r="P1829" s="16">
        <v>2</v>
      </c>
      <c r="Q1829" s="20">
        <f t="shared" si="329"/>
        <v>135</v>
      </c>
      <c r="R1829" s="14">
        <v>200</v>
      </c>
      <c r="S1829" s="19">
        <f t="shared" si="330"/>
        <v>27000</v>
      </c>
      <c r="T1829" s="16"/>
      <c r="U1829" s="17" t="s">
        <v>57</v>
      </c>
      <c r="V1829" s="17" t="s">
        <v>56</v>
      </c>
      <c r="W1829" s="4"/>
      <c r="X1829" s="16"/>
      <c r="Y1829" s="5">
        <v>112</v>
      </c>
      <c r="Z1829" s="16"/>
      <c r="AA1829" s="16"/>
      <c r="AB1829" s="16">
        <f>62-41</f>
        <v>21</v>
      </c>
      <c r="AC1829" s="14"/>
      <c r="AD1829" s="14"/>
      <c r="AE1829" s="16"/>
      <c r="AG1829" s="22">
        <f t="shared" si="331"/>
        <v>112</v>
      </c>
      <c r="AH1829" s="6"/>
      <c r="AJ1829" s="20">
        <f t="shared" si="332"/>
        <v>0</v>
      </c>
      <c r="AK1829" s="50">
        <v>21</v>
      </c>
      <c r="AL1829" s="6"/>
      <c r="AM1829" s="20">
        <f t="shared" si="333"/>
        <v>0</v>
      </c>
      <c r="AN1829" s="20">
        <f t="shared" si="334"/>
        <v>27000</v>
      </c>
      <c r="AP1829" s="20">
        <f t="shared" si="335"/>
        <v>27000</v>
      </c>
      <c r="AQ1829" s="7"/>
      <c r="AR1829" s="20"/>
      <c r="AS1829" s="51"/>
    </row>
    <row r="1830" spans="1:45" s="21" customFormat="1" ht="30" customHeight="1" x14ac:dyDescent="0.2">
      <c r="A1830" s="2">
        <v>1572</v>
      </c>
      <c r="B1830" s="46">
        <v>2</v>
      </c>
      <c r="C1830" s="16" t="s">
        <v>52</v>
      </c>
      <c r="D1830" s="48">
        <v>2603</v>
      </c>
      <c r="E1830" s="47">
        <v>13</v>
      </c>
      <c r="F1830" s="48">
        <v>1859</v>
      </c>
      <c r="G1830" s="49">
        <v>1</v>
      </c>
      <c r="H1830" s="48">
        <v>0</v>
      </c>
      <c r="I1830" s="48">
        <v>1</v>
      </c>
      <c r="J1830" s="48">
        <v>4</v>
      </c>
      <c r="K1830" s="3">
        <v>104</v>
      </c>
      <c r="L1830" s="16"/>
      <c r="M1830" s="57"/>
      <c r="N1830" s="58"/>
      <c r="P1830" s="16">
        <v>1</v>
      </c>
      <c r="Q1830" s="20">
        <f t="shared" si="329"/>
        <v>104</v>
      </c>
      <c r="R1830" s="14">
        <v>200</v>
      </c>
      <c r="S1830" s="20">
        <f t="shared" si="330"/>
        <v>20800</v>
      </c>
      <c r="T1830" s="16"/>
      <c r="U1830" s="16"/>
      <c r="V1830" s="16"/>
      <c r="W1830" s="5"/>
      <c r="X1830" s="16"/>
      <c r="Y1830" s="5"/>
      <c r="Z1830" s="16"/>
      <c r="AA1830" s="16"/>
      <c r="AB1830" s="16"/>
      <c r="AE1830" s="16"/>
      <c r="AG1830" s="22">
        <f t="shared" si="331"/>
        <v>0</v>
      </c>
      <c r="AH1830" s="6"/>
      <c r="AJ1830" s="20">
        <f t="shared" si="332"/>
        <v>0</v>
      </c>
      <c r="AK1830" s="50"/>
      <c r="AL1830" s="6"/>
      <c r="AM1830" s="20">
        <f t="shared" si="333"/>
        <v>0</v>
      </c>
      <c r="AN1830" s="20">
        <f t="shared" si="334"/>
        <v>20800</v>
      </c>
      <c r="AP1830" s="20">
        <f t="shared" si="335"/>
        <v>20800</v>
      </c>
      <c r="AQ1830" s="7"/>
      <c r="AR1830" s="20"/>
      <c r="AS1830" s="51"/>
    </row>
    <row r="1831" spans="1:45" s="21" customFormat="1" ht="30" customHeight="1" x14ac:dyDescent="0.2">
      <c r="A1831" s="8">
        <v>1573</v>
      </c>
      <c r="B1831" s="46">
        <v>1</v>
      </c>
      <c r="C1831" s="16" t="s">
        <v>52</v>
      </c>
      <c r="D1831" s="48">
        <v>2597</v>
      </c>
      <c r="E1831" s="47">
        <v>7</v>
      </c>
      <c r="F1831" s="48">
        <v>1853</v>
      </c>
      <c r="G1831" s="49">
        <v>1</v>
      </c>
      <c r="H1831" s="48">
        <v>0</v>
      </c>
      <c r="I1831" s="48">
        <v>1</v>
      </c>
      <c r="J1831" s="48">
        <v>88</v>
      </c>
      <c r="K1831" s="3">
        <v>188</v>
      </c>
      <c r="L1831" s="16"/>
      <c r="M1831" s="57"/>
      <c r="N1831" s="58"/>
      <c r="P1831" s="16">
        <v>1</v>
      </c>
      <c r="Q1831" s="20">
        <f t="shared" si="329"/>
        <v>188</v>
      </c>
      <c r="R1831" s="14">
        <v>200</v>
      </c>
      <c r="S1831" s="19">
        <f t="shared" si="330"/>
        <v>37600</v>
      </c>
      <c r="T1831" s="16"/>
      <c r="U1831" s="17"/>
      <c r="V1831" s="16"/>
      <c r="W1831" s="5"/>
      <c r="X1831" s="16"/>
      <c r="Y1831" s="5"/>
      <c r="Z1831" s="16"/>
      <c r="AA1831" s="16"/>
      <c r="AB1831" s="16"/>
      <c r="AC1831" s="14"/>
      <c r="AD1831" s="14"/>
      <c r="AE1831" s="16"/>
      <c r="AG1831" s="22">
        <f t="shared" si="331"/>
        <v>0</v>
      </c>
      <c r="AH1831" s="6"/>
      <c r="AJ1831" s="20">
        <f t="shared" si="332"/>
        <v>0</v>
      </c>
      <c r="AK1831" s="50"/>
      <c r="AL1831" s="6"/>
      <c r="AM1831" s="20">
        <f t="shared" si="333"/>
        <v>0</v>
      </c>
      <c r="AN1831" s="20">
        <f t="shared" si="334"/>
        <v>37600</v>
      </c>
      <c r="AP1831" s="20">
        <f t="shared" si="335"/>
        <v>37600</v>
      </c>
      <c r="AQ1831" s="7"/>
      <c r="AR1831" s="20"/>
      <c r="AS1831" s="51"/>
    </row>
    <row r="1832" spans="1:45" s="21" customFormat="1" ht="30" customHeight="1" x14ac:dyDescent="0.2">
      <c r="A1832" s="2">
        <v>1574</v>
      </c>
      <c r="B1832" s="46">
        <v>1</v>
      </c>
      <c r="C1832" s="16" t="s">
        <v>52</v>
      </c>
      <c r="D1832" s="48">
        <v>16468</v>
      </c>
      <c r="E1832" s="47">
        <v>65</v>
      </c>
      <c r="F1832" s="48">
        <v>3571</v>
      </c>
      <c r="G1832" s="49">
        <v>3</v>
      </c>
      <c r="H1832" s="48">
        <v>17</v>
      </c>
      <c r="I1832" s="48">
        <v>3</v>
      </c>
      <c r="J1832" s="48">
        <v>41</v>
      </c>
      <c r="K1832" s="3">
        <f>17*400+341</f>
        <v>7141</v>
      </c>
      <c r="L1832" s="16"/>
      <c r="M1832" s="57"/>
      <c r="N1832" s="58"/>
      <c r="P1832" s="16">
        <v>1</v>
      </c>
      <c r="Q1832" s="20">
        <f t="shared" si="329"/>
        <v>7141</v>
      </c>
      <c r="R1832" s="14">
        <v>500</v>
      </c>
      <c r="S1832" s="19">
        <f t="shared" si="330"/>
        <v>3570500</v>
      </c>
      <c r="T1832" s="16"/>
      <c r="U1832" s="17"/>
      <c r="V1832" s="17"/>
      <c r="W1832" s="4"/>
      <c r="X1832" s="16"/>
      <c r="Y1832" s="5"/>
      <c r="Z1832" s="16"/>
      <c r="AA1832" s="16"/>
      <c r="AB1832" s="16"/>
      <c r="AC1832" s="14"/>
      <c r="AD1832" s="14"/>
      <c r="AE1832" s="16"/>
      <c r="AG1832" s="22">
        <f t="shared" si="331"/>
        <v>0</v>
      </c>
      <c r="AH1832" s="6"/>
      <c r="AJ1832" s="20">
        <f t="shared" si="332"/>
        <v>0</v>
      </c>
      <c r="AK1832" s="50"/>
      <c r="AL1832" s="6"/>
      <c r="AM1832" s="20">
        <f t="shared" si="333"/>
        <v>0</v>
      </c>
      <c r="AN1832" s="20">
        <f t="shared" si="334"/>
        <v>3570500</v>
      </c>
      <c r="AP1832" s="20">
        <f t="shared" si="335"/>
        <v>3570500</v>
      </c>
      <c r="AQ1832" s="7"/>
      <c r="AR1832" s="20"/>
      <c r="AS1832" s="51"/>
    </row>
    <row r="1833" spans="1:45" s="21" customFormat="1" ht="30" customHeight="1" x14ac:dyDescent="0.2">
      <c r="A1833" s="8">
        <v>1575</v>
      </c>
      <c r="B1833" s="46">
        <v>1</v>
      </c>
      <c r="C1833" s="16" t="s">
        <v>52</v>
      </c>
      <c r="D1833" s="48">
        <v>2598</v>
      </c>
      <c r="E1833" s="47">
        <v>8</v>
      </c>
      <c r="F1833" s="48">
        <v>1854</v>
      </c>
      <c r="G1833" s="49">
        <v>1</v>
      </c>
      <c r="H1833" s="48">
        <v>0</v>
      </c>
      <c r="I1833" s="48">
        <v>1</v>
      </c>
      <c r="J1833" s="48">
        <v>87</v>
      </c>
      <c r="K1833" s="3">
        <v>187</v>
      </c>
      <c r="L1833" s="16"/>
      <c r="M1833" s="57"/>
      <c r="N1833" s="58"/>
      <c r="P1833" s="16">
        <v>1</v>
      </c>
      <c r="Q1833" s="20">
        <f t="shared" si="329"/>
        <v>187</v>
      </c>
      <c r="R1833" s="14">
        <v>200</v>
      </c>
      <c r="S1833" s="20">
        <f t="shared" si="330"/>
        <v>37400</v>
      </c>
      <c r="T1833" s="16"/>
      <c r="U1833" s="17"/>
      <c r="V1833" s="17"/>
      <c r="W1833" s="4"/>
      <c r="X1833" s="16"/>
      <c r="Y1833" s="5"/>
      <c r="Z1833" s="16"/>
      <c r="AA1833" s="16"/>
      <c r="AB1833" s="16"/>
      <c r="AC1833" s="14"/>
      <c r="AD1833" s="14"/>
      <c r="AE1833" s="16"/>
      <c r="AG1833" s="22">
        <f t="shared" si="331"/>
        <v>0</v>
      </c>
      <c r="AH1833" s="6"/>
      <c r="AJ1833" s="20">
        <f t="shared" si="332"/>
        <v>0</v>
      </c>
      <c r="AK1833" s="50"/>
      <c r="AL1833" s="6"/>
      <c r="AM1833" s="20">
        <f t="shared" si="333"/>
        <v>0</v>
      </c>
      <c r="AN1833" s="20">
        <f t="shared" si="334"/>
        <v>37400</v>
      </c>
      <c r="AP1833" s="20">
        <f t="shared" si="335"/>
        <v>37400</v>
      </c>
      <c r="AQ1833" s="7"/>
      <c r="AR1833" s="20"/>
      <c r="AS1833" s="51"/>
    </row>
    <row r="1834" spans="1:45" s="21" customFormat="1" ht="30" customHeight="1" x14ac:dyDescent="0.2">
      <c r="A1834" s="2">
        <v>1576</v>
      </c>
      <c r="B1834" s="46">
        <v>1</v>
      </c>
      <c r="C1834" s="16" t="s">
        <v>52</v>
      </c>
      <c r="D1834" s="48">
        <v>1147</v>
      </c>
      <c r="E1834" s="47">
        <v>37</v>
      </c>
      <c r="F1834" s="48">
        <v>962</v>
      </c>
      <c r="G1834" s="49">
        <v>1</v>
      </c>
      <c r="H1834" s="48">
        <v>3</v>
      </c>
      <c r="I1834" s="48">
        <v>2</v>
      </c>
      <c r="J1834" s="48">
        <v>73</v>
      </c>
      <c r="K1834" s="3">
        <v>1473</v>
      </c>
      <c r="L1834" s="16"/>
      <c r="M1834" s="57"/>
      <c r="N1834" s="58"/>
      <c r="P1834" s="16">
        <v>1</v>
      </c>
      <c r="Q1834" s="20">
        <f t="shared" si="329"/>
        <v>1473</v>
      </c>
      <c r="R1834" s="14">
        <v>160</v>
      </c>
      <c r="S1834" s="19">
        <f t="shared" si="330"/>
        <v>235680</v>
      </c>
      <c r="T1834" s="16"/>
      <c r="U1834" s="17"/>
      <c r="V1834" s="17"/>
      <c r="W1834" s="4"/>
      <c r="X1834" s="16"/>
      <c r="Y1834" s="5"/>
      <c r="Z1834" s="16"/>
      <c r="AA1834" s="16"/>
      <c r="AB1834" s="16"/>
      <c r="AC1834" s="14"/>
      <c r="AD1834" s="14"/>
      <c r="AE1834" s="16"/>
      <c r="AG1834" s="22">
        <f t="shared" si="331"/>
        <v>0</v>
      </c>
      <c r="AH1834" s="6"/>
      <c r="AJ1834" s="20">
        <f t="shared" si="332"/>
        <v>0</v>
      </c>
      <c r="AK1834" s="50"/>
      <c r="AL1834" s="6"/>
      <c r="AM1834" s="20">
        <f t="shared" si="333"/>
        <v>0</v>
      </c>
      <c r="AN1834" s="20">
        <f t="shared" ref="AN1834:AN1850" si="336">+S1834+AM1834</f>
        <v>235680</v>
      </c>
      <c r="AP1834" s="20">
        <f t="shared" si="335"/>
        <v>235680</v>
      </c>
      <c r="AQ1834" s="7"/>
      <c r="AR1834" s="20"/>
      <c r="AS1834" s="51"/>
    </row>
    <row r="1835" spans="1:45" s="21" customFormat="1" ht="30" customHeight="1" x14ac:dyDescent="0.2">
      <c r="A1835" s="8">
        <v>1577</v>
      </c>
      <c r="B1835" s="46">
        <v>2</v>
      </c>
      <c r="C1835" s="16" t="s">
        <v>52</v>
      </c>
      <c r="D1835" s="48">
        <v>32589</v>
      </c>
      <c r="E1835" s="47">
        <v>142</v>
      </c>
      <c r="F1835" s="48">
        <v>6427</v>
      </c>
      <c r="G1835" s="49">
        <v>1</v>
      </c>
      <c r="H1835" s="48">
        <v>0</v>
      </c>
      <c r="I1835" s="48">
        <v>2</v>
      </c>
      <c r="J1835" s="48">
        <v>91</v>
      </c>
      <c r="K1835" s="3"/>
      <c r="L1835" s="16">
        <v>291</v>
      </c>
      <c r="M1835" s="57"/>
      <c r="N1835" s="58"/>
      <c r="P1835" s="16">
        <v>2</v>
      </c>
      <c r="Q1835" s="20">
        <f t="shared" si="329"/>
        <v>291</v>
      </c>
      <c r="R1835" s="14">
        <v>250</v>
      </c>
      <c r="S1835" s="19">
        <f t="shared" si="330"/>
        <v>72750</v>
      </c>
      <c r="T1835" s="16"/>
      <c r="U1835" s="17" t="s">
        <v>57</v>
      </c>
      <c r="V1835" s="17" t="s">
        <v>56</v>
      </c>
      <c r="W1835" s="4"/>
      <c r="X1835" s="16"/>
      <c r="Y1835" s="5">
        <v>70</v>
      </c>
      <c r="Z1835" s="16"/>
      <c r="AA1835" s="16"/>
      <c r="AB1835" s="16">
        <f>62-45</f>
        <v>17</v>
      </c>
      <c r="AC1835" s="14"/>
      <c r="AD1835" s="14"/>
      <c r="AE1835" s="16"/>
      <c r="AG1835" s="22">
        <f t="shared" si="331"/>
        <v>70</v>
      </c>
      <c r="AH1835" s="6"/>
      <c r="AJ1835" s="20">
        <f t="shared" si="332"/>
        <v>0</v>
      </c>
      <c r="AK1835" s="50">
        <v>17</v>
      </c>
      <c r="AL1835" s="6"/>
      <c r="AM1835" s="20">
        <f t="shared" si="333"/>
        <v>0</v>
      </c>
      <c r="AN1835" s="20">
        <f t="shared" si="336"/>
        <v>72750</v>
      </c>
      <c r="AP1835" s="20">
        <f t="shared" si="335"/>
        <v>72750</v>
      </c>
      <c r="AQ1835" s="7"/>
      <c r="AR1835" s="20"/>
      <c r="AS1835" s="51"/>
    </row>
    <row r="1836" spans="1:45" s="21" customFormat="1" ht="30" customHeight="1" x14ac:dyDescent="0.2">
      <c r="A1836" s="2">
        <v>1578</v>
      </c>
      <c r="B1836" s="46">
        <v>1</v>
      </c>
      <c r="C1836" s="16" t="s">
        <v>52</v>
      </c>
      <c r="D1836" s="48">
        <v>1120</v>
      </c>
      <c r="E1836" s="47">
        <v>41</v>
      </c>
      <c r="F1836" s="48">
        <v>700</v>
      </c>
      <c r="G1836" s="49">
        <v>1</v>
      </c>
      <c r="H1836" s="48">
        <v>5</v>
      </c>
      <c r="I1836" s="48">
        <v>1</v>
      </c>
      <c r="J1836" s="48">
        <v>61</v>
      </c>
      <c r="K1836" s="3">
        <v>2161</v>
      </c>
      <c r="L1836" s="16"/>
      <c r="M1836" s="57"/>
      <c r="N1836" s="58"/>
      <c r="P1836" s="16">
        <v>1</v>
      </c>
      <c r="Q1836" s="20">
        <f t="shared" si="329"/>
        <v>2161</v>
      </c>
      <c r="R1836" s="14">
        <v>200</v>
      </c>
      <c r="S1836" s="20">
        <f t="shared" si="330"/>
        <v>432200</v>
      </c>
      <c r="T1836" s="16"/>
      <c r="U1836" s="17"/>
      <c r="V1836" s="17"/>
      <c r="W1836" s="4"/>
      <c r="X1836" s="16"/>
      <c r="Y1836" s="5"/>
      <c r="Z1836" s="16"/>
      <c r="AA1836" s="16"/>
      <c r="AB1836" s="16"/>
      <c r="AE1836" s="16"/>
      <c r="AG1836" s="22">
        <f t="shared" si="331"/>
        <v>0</v>
      </c>
      <c r="AH1836" s="6"/>
      <c r="AJ1836" s="20">
        <f t="shared" si="332"/>
        <v>0</v>
      </c>
      <c r="AK1836" s="50"/>
      <c r="AL1836" s="6"/>
      <c r="AM1836" s="20">
        <f t="shared" si="333"/>
        <v>0</v>
      </c>
      <c r="AN1836" s="20">
        <f t="shared" si="336"/>
        <v>432200</v>
      </c>
      <c r="AP1836" s="20">
        <f t="shared" si="335"/>
        <v>432200</v>
      </c>
      <c r="AQ1836" s="7"/>
      <c r="AR1836" s="60"/>
      <c r="AS1836" s="128">
        <v>30</v>
      </c>
    </row>
    <row r="1837" spans="1:45" s="21" customFormat="1" ht="30" customHeight="1" x14ac:dyDescent="0.2">
      <c r="A1837" s="8">
        <v>1579</v>
      </c>
      <c r="B1837" s="46">
        <v>2</v>
      </c>
      <c r="C1837" s="16" t="s">
        <v>52</v>
      </c>
      <c r="D1837" s="48">
        <v>1130</v>
      </c>
      <c r="E1837" s="47">
        <v>39</v>
      </c>
      <c r="F1837" s="48">
        <v>710</v>
      </c>
      <c r="G1837" s="49">
        <v>1</v>
      </c>
      <c r="H1837" s="48">
        <v>7</v>
      </c>
      <c r="I1837" s="48">
        <v>3</v>
      </c>
      <c r="J1837" s="48">
        <v>14</v>
      </c>
      <c r="K1837" s="3">
        <f>2800+314</f>
        <v>3114</v>
      </c>
      <c r="L1837" s="16"/>
      <c r="M1837" s="57"/>
      <c r="N1837" s="58"/>
      <c r="P1837" s="16">
        <v>1</v>
      </c>
      <c r="Q1837" s="20">
        <f t="shared" si="329"/>
        <v>3114</v>
      </c>
      <c r="R1837" s="14">
        <v>160</v>
      </c>
      <c r="S1837" s="19">
        <f t="shared" si="330"/>
        <v>498240</v>
      </c>
      <c r="T1837" s="16"/>
      <c r="U1837" s="16"/>
      <c r="V1837" s="16"/>
      <c r="W1837" s="5"/>
      <c r="X1837" s="16"/>
      <c r="Y1837" s="5"/>
      <c r="Z1837" s="16"/>
      <c r="AA1837" s="16"/>
      <c r="AB1837" s="16"/>
      <c r="AE1837" s="16"/>
      <c r="AG1837" s="22">
        <f t="shared" si="331"/>
        <v>0</v>
      </c>
      <c r="AH1837" s="6"/>
      <c r="AJ1837" s="20">
        <f t="shared" si="332"/>
        <v>0</v>
      </c>
      <c r="AK1837" s="50"/>
      <c r="AL1837" s="6"/>
      <c r="AM1837" s="20">
        <f t="shared" si="333"/>
        <v>0</v>
      </c>
      <c r="AN1837" s="20">
        <f t="shared" si="336"/>
        <v>498240</v>
      </c>
      <c r="AP1837" s="20">
        <f t="shared" si="335"/>
        <v>498240</v>
      </c>
      <c r="AQ1837" s="7"/>
      <c r="AR1837" s="24"/>
      <c r="AS1837" s="129"/>
    </row>
    <row r="1838" spans="1:45" s="21" customFormat="1" ht="30" customHeight="1" x14ac:dyDescent="0.2">
      <c r="A1838" s="2">
        <v>1580</v>
      </c>
      <c r="B1838" s="46">
        <v>3</v>
      </c>
      <c r="C1838" s="16" t="s">
        <v>52</v>
      </c>
      <c r="D1838" s="48">
        <v>32591</v>
      </c>
      <c r="E1838" s="47">
        <v>144</v>
      </c>
      <c r="F1838" s="48">
        <v>6429</v>
      </c>
      <c r="G1838" s="49">
        <v>1</v>
      </c>
      <c r="H1838" s="48">
        <v>0</v>
      </c>
      <c r="I1838" s="48">
        <v>1</v>
      </c>
      <c r="J1838" s="48">
        <v>49</v>
      </c>
      <c r="K1838" s="3"/>
      <c r="L1838" s="16">
        <v>149</v>
      </c>
      <c r="M1838" s="57"/>
      <c r="N1838" s="58"/>
      <c r="P1838" s="16">
        <v>2</v>
      </c>
      <c r="Q1838" s="20">
        <f t="shared" si="329"/>
        <v>149</v>
      </c>
      <c r="R1838" s="14">
        <v>250</v>
      </c>
      <c r="S1838" s="19">
        <f t="shared" si="330"/>
        <v>37250</v>
      </c>
      <c r="T1838" s="16"/>
      <c r="U1838" s="17" t="s">
        <v>57</v>
      </c>
      <c r="V1838" s="16" t="s">
        <v>56</v>
      </c>
      <c r="W1838" s="5"/>
      <c r="X1838" s="16"/>
      <c r="Y1838" s="5">
        <v>165</v>
      </c>
      <c r="Z1838" s="16"/>
      <c r="AA1838" s="16"/>
      <c r="AB1838" s="16">
        <f>62-21</f>
        <v>41</v>
      </c>
      <c r="AE1838" s="16"/>
      <c r="AG1838" s="22">
        <f t="shared" si="331"/>
        <v>165</v>
      </c>
      <c r="AH1838" s="6"/>
      <c r="AJ1838" s="20">
        <f t="shared" si="332"/>
        <v>0</v>
      </c>
      <c r="AK1838" s="50">
        <v>41</v>
      </c>
      <c r="AL1838" s="6"/>
      <c r="AM1838" s="20">
        <f t="shared" si="333"/>
        <v>0</v>
      </c>
      <c r="AN1838" s="20">
        <f t="shared" si="336"/>
        <v>37250</v>
      </c>
      <c r="AP1838" s="20">
        <f t="shared" si="335"/>
        <v>37250</v>
      </c>
      <c r="AQ1838" s="7"/>
      <c r="AR1838" s="25"/>
      <c r="AS1838" s="130"/>
    </row>
    <row r="1839" spans="1:45" s="21" customFormat="1" ht="30" customHeight="1" x14ac:dyDescent="0.2">
      <c r="A1839" s="2">
        <v>1581</v>
      </c>
      <c r="B1839" s="46">
        <v>1</v>
      </c>
      <c r="C1839" s="16" t="s">
        <v>52</v>
      </c>
      <c r="D1839" s="48">
        <v>1131</v>
      </c>
      <c r="E1839" s="47">
        <v>38</v>
      </c>
      <c r="F1839" s="48">
        <v>711</v>
      </c>
      <c r="G1839" s="49">
        <v>1</v>
      </c>
      <c r="H1839" s="48">
        <v>4</v>
      </c>
      <c r="I1839" s="48">
        <v>1</v>
      </c>
      <c r="J1839" s="48">
        <v>28.07</v>
      </c>
      <c r="K1839" s="3">
        <v>1728.07</v>
      </c>
      <c r="L1839" s="16"/>
      <c r="M1839" s="57"/>
      <c r="N1839" s="58"/>
      <c r="P1839" s="16">
        <v>1</v>
      </c>
      <c r="Q1839" s="20">
        <f t="shared" si="329"/>
        <v>1728.07</v>
      </c>
      <c r="R1839" s="14">
        <v>160</v>
      </c>
      <c r="S1839" s="20">
        <f t="shared" si="330"/>
        <v>276491.2</v>
      </c>
      <c r="T1839" s="16"/>
      <c r="U1839" s="17"/>
      <c r="V1839" s="17"/>
      <c r="W1839" s="4"/>
      <c r="X1839" s="16"/>
      <c r="Y1839" s="5"/>
      <c r="Z1839" s="16"/>
      <c r="AA1839" s="16"/>
      <c r="AB1839" s="16"/>
      <c r="AE1839" s="16"/>
      <c r="AG1839" s="22">
        <f t="shared" si="331"/>
        <v>0</v>
      </c>
      <c r="AH1839" s="6"/>
      <c r="AJ1839" s="20">
        <f t="shared" si="332"/>
        <v>0</v>
      </c>
      <c r="AK1839" s="50"/>
      <c r="AL1839" s="6"/>
      <c r="AM1839" s="20">
        <f t="shared" si="333"/>
        <v>0</v>
      </c>
      <c r="AN1839" s="20">
        <f t="shared" si="336"/>
        <v>276491.2</v>
      </c>
      <c r="AP1839" s="20">
        <f t="shared" si="335"/>
        <v>276491.2</v>
      </c>
      <c r="AQ1839" s="7"/>
      <c r="AR1839" s="60"/>
      <c r="AS1839" s="128">
        <v>14</v>
      </c>
    </row>
    <row r="1840" spans="1:45" s="21" customFormat="1" ht="30" customHeight="1" x14ac:dyDescent="0.2">
      <c r="A1840" s="8">
        <v>1582</v>
      </c>
      <c r="B1840" s="46">
        <v>2</v>
      </c>
      <c r="C1840" s="16" t="s">
        <v>52</v>
      </c>
      <c r="D1840" s="48">
        <v>32593</v>
      </c>
      <c r="E1840" s="47">
        <v>146</v>
      </c>
      <c r="F1840" s="48">
        <v>6431</v>
      </c>
      <c r="G1840" s="49">
        <v>1</v>
      </c>
      <c r="H1840" s="48">
        <v>0</v>
      </c>
      <c r="I1840" s="48">
        <v>0</v>
      </c>
      <c r="J1840" s="48">
        <v>81</v>
      </c>
      <c r="K1840" s="3"/>
      <c r="L1840" s="16"/>
      <c r="M1840" s="57"/>
      <c r="N1840" s="58">
        <v>81</v>
      </c>
      <c r="P1840" s="16">
        <v>4</v>
      </c>
      <c r="Q1840" s="20">
        <f t="shared" si="329"/>
        <v>81</v>
      </c>
      <c r="R1840" s="14">
        <v>250</v>
      </c>
      <c r="S1840" s="19">
        <f t="shared" si="330"/>
        <v>20250</v>
      </c>
      <c r="T1840" s="16"/>
      <c r="U1840" s="17"/>
      <c r="V1840" s="17"/>
      <c r="W1840" s="4"/>
      <c r="X1840" s="16"/>
      <c r="Y1840" s="5"/>
      <c r="Z1840" s="16"/>
      <c r="AA1840" s="16"/>
      <c r="AB1840" s="16"/>
      <c r="AE1840" s="16"/>
      <c r="AG1840" s="22">
        <f t="shared" si="331"/>
        <v>0</v>
      </c>
      <c r="AH1840" s="6"/>
      <c r="AJ1840" s="20">
        <f t="shared" si="332"/>
        <v>0</v>
      </c>
      <c r="AK1840" s="50"/>
      <c r="AL1840" s="6"/>
      <c r="AM1840" s="20">
        <f t="shared" si="333"/>
        <v>0</v>
      </c>
      <c r="AN1840" s="20">
        <f t="shared" si="336"/>
        <v>20250</v>
      </c>
      <c r="AP1840" s="20">
        <f t="shared" si="335"/>
        <v>20250</v>
      </c>
      <c r="AQ1840" s="7">
        <v>3.0000000000000001E-3</v>
      </c>
      <c r="AR1840" s="25"/>
      <c r="AS1840" s="130"/>
    </row>
    <row r="1841" spans="1:45" s="21" customFormat="1" ht="30" customHeight="1" x14ac:dyDescent="0.2">
      <c r="A1841" s="131">
        <v>1583</v>
      </c>
      <c r="B1841" s="46">
        <v>1</v>
      </c>
      <c r="C1841" s="16" t="s">
        <v>52</v>
      </c>
      <c r="D1841" s="48">
        <v>1205</v>
      </c>
      <c r="E1841" s="47">
        <v>7</v>
      </c>
      <c r="F1841" s="48">
        <v>937</v>
      </c>
      <c r="G1841" s="49">
        <v>2</v>
      </c>
      <c r="H1841" s="48">
        <v>0</v>
      </c>
      <c r="I1841" s="48">
        <v>2</v>
      </c>
      <c r="J1841" s="48">
        <v>32</v>
      </c>
      <c r="K1841" s="3"/>
      <c r="L1841" s="16">
        <v>232</v>
      </c>
      <c r="M1841" s="57"/>
      <c r="N1841" s="58"/>
      <c r="P1841" s="16">
        <v>2</v>
      </c>
      <c r="Q1841" s="20">
        <f t="shared" si="329"/>
        <v>232</v>
      </c>
      <c r="R1841" s="14">
        <v>3350</v>
      </c>
      <c r="S1841" s="19">
        <f t="shared" si="330"/>
        <v>777200</v>
      </c>
      <c r="T1841" s="16"/>
      <c r="U1841" s="17" t="s">
        <v>57</v>
      </c>
      <c r="V1841" s="17" t="s">
        <v>56</v>
      </c>
      <c r="W1841" s="4"/>
      <c r="X1841" s="16"/>
      <c r="Y1841" s="5">
        <v>165</v>
      </c>
      <c r="Z1841" s="16"/>
      <c r="AA1841" s="16"/>
      <c r="AB1841" s="16">
        <v>31</v>
      </c>
      <c r="AE1841" s="16"/>
      <c r="AG1841" s="22">
        <f t="shared" si="331"/>
        <v>165</v>
      </c>
      <c r="AH1841" s="6"/>
      <c r="AJ1841" s="20">
        <f t="shared" si="332"/>
        <v>0</v>
      </c>
      <c r="AK1841" s="50">
        <v>31</v>
      </c>
      <c r="AL1841" s="6"/>
      <c r="AM1841" s="20">
        <f t="shared" si="333"/>
        <v>0</v>
      </c>
      <c r="AN1841" s="20">
        <f t="shared" si="336"/>
        <v>777200</v>
      </c>
      <c r="AP1841" s="20">
        <f t="shared" si="335"/>
        <v>777200</v>
      </c>
      <c r="AQ1841" s="7"/>
      <c r="AR1841" s="20"/>
      <c r="AS1841" s="51"/>
    </row>
    <row r="1842" spans="1:45" s="21" customFormat="1" ht="30" customHeight="1" x14ac:dyDescent="0.2">
      <c r="A1842" s="131"/>
      <c r="B1842" s="46"/>
      <c r="C1842" s="16"/>
      <c r="D1842" s="48"/>
      <c r="E1842" s="47"/>
      <c r="F1842" s="48"/>
      <c r="G1842" s="49"/>
      <c r="H1842" s="48"/>
      <c r="I1842" s="48"/>
      <c r="J1842" s="48"/>
      <c r="K1842" s="3"/>
      <c r="L1842" s="16"/>
      <c r="M1842" s="57"/>
      <c r="N1842" s="58"/>
      <c r="P1842" s="16"/>
      <c r="Q1842" s="20">
        <f t="shared" si="329"/>
        <v>0</v>
      </c>
      <c r="R1842" s="14" t="e">
        <v>#N/A</v>
      </c>
      <c r="S1842" s="20" t="e">
        <f t="shared" si="330"/>
        <v>#N/A</v>
      </c>
      <c r="T1842" s="16"/>
      <c r="U1842" s="17" t="s">
        <v>57</v>
      </c>
      <c r="V1842" s="17" t="s">
        <v>56</v>
      </c>
      <c r="W1842" s="4"/>
      <c r="X1842" s="16"/>
      <c r="Y1842" s="5">
        <v>84</v>
      </c>
      <c r="Z1842" s="16"/>
      <c r="AA1842" s="16"/>
      <c r="AB1842" s="16">
        <f>62-31</f>
        <v>31</v>
      </c>
      <c r="AE1842" s="16"/>
      <c r="AG1842" s="22">
        <f t="shared" si="331"/>
        <v>84</v>
      </c>
      <c r="AH1842" s="6"/>
      <c r="AJ1842" s="20">
        <f t="shared" si="332"/>
        <v>0</v>
      </c>
      <c r="AK1842" s="50">
        <v>31</v>
      </c>
      <c r="AL1842" s="6"/>
      <c r="AM1842" s="20">
        <f t="shared" si="333"/>
        <v>0</v>
      </c>
      <c r="AN1842" s="20" t="e">
        <f t="shared" si="336"/>
        <v>#N/A</v>
      </c>
      <c r="AP1842" s="20" t="e">
        <f t="shared" si="335"/>
        <v>#N/A</v>
      </c>
      <c r="AQ1842" s="7"/>
      <c r="AR1842" s="20"/>
      <c r="AS1842" s="51"/>
    </row>
    <row r="1843" spans="1:45" s="21" customFormat="1" ht="30" customHeight="1" x14ac:dyDescent="0.2">
      <c r="A1843" s="8">
        <v>1584</v>
      </c>
      <c r="B1843" s="46">
        <v>2</v>
      </c>
      <c r="C1843" s="16" t="s">
        <v>52</v>
      </c>
      <c r="D1843" s="48">
        <v>3760</v>
      </c>
      <c r="E1843" s="47">
        <v>30</v>
      </c>
      <c r="F1843" s="48">
        <v>2282</v>
      </c>
      <c r="G1843" s="49">
        <v>2</v>
      </c>
      <c r="H1843" s="48">
        <v>10</v>
      </c>
      <c r="I1843" s="48">
        <v>3</v>
      </c>
      <c r="J1843" s="48">
        <v>96</v>
      </c>
      <c r="K1843" s="3">
        <v>4396</v>
      </c>
      <c r="L1843" s="16"/>
      <c r="M1843" s="57"/>
      <c r="N1843" s="58"/>
      <c r="P1843" s="16">
        <v>1</v>
      </c>
      <c r="Q1843" s="20">
        <f t="shared" si="329"/>
        <v>4396</v>
      </c>
      <c r="R1843" s="14">
        <v>200</v>
      </c>
      <c r="S1843" s="19">
        <f t="shared" si="330"/>
        <v>879200</v>
      </c>
      <c r="T1843" s="16"/>
      <c r="U1843" s="17"/>
      <c r="V1843" s="17"/>
      <c r="W1843" s="4"/>
      <c r="X1843" s="16"/>
      <c r="Y1843" s="5"/>
      <c r="Z1843" s="16"/>
      <c r="AA1843" s="16"/>
      <c r="AB1843" s="16"/>
      <c r="AE1843" s="16"/>
      <c r="AG1843" s="22">
        <f t="shared" si="331"/>
        <v>0</v>
      </c>
      <c r="AH1843" s="6"/>
      <c r="AJ1843" s="20">
        <f t="shared" si="332"/>
        <v>0</v>
      </c>
      <c r="AK1843" s="50"/>
      <c r="AL1843" s="6"/>
      <c r="AM1843" s="20">
        <f t="shared" si="333"/>
        <v>0</v>
      </c>
      <c r="AN1843" s="20">
        <f t="shared" si="336"/>
        <v>879200</v>
      </c>
      <c r="AP1843" s="20">
        <f t="shared" si="335"/>
        <v>879200</v>
      </c>
      <c r="AQ1843" s="7"/>
      <c r="AR1843" s="20"/>
      <c r="AS1843" s="51"/>
    </row>
    <row r="1844" spans="1:45" s="21" customFormat="1" ht="30" customHeight="1" x14ac:dyDescent="0.2">
      <c r="A1844" s="8">
        <v>1585</v>
      </c>
      <c r="B1844" s="46">
        <v>3</v>
      </c>
      <c r="C1844" s="16" t="s">
        <v>52</v>
      </c>
      <c r="D1844" s="48">
        <v>28834</v>
      </c>
      <c r="E1844" s="47">
        <v>148</v>
      </c>
      <c r="F1844" s="48">
        <v>5003</v>
      </c>
      <c r="G1844" s="49">
        <v>2</v>
      </c>
      <c r="H1844" s="48">
        <v>0</v>
      </c>
      <c r="I1844" s="48">
        <v>0</v>
      </c>
      <c r="J1844" s="48">
        <v>27</v>
      </c>
      <c r="K1844" s="3"/>
      <c r="L1844" s="16">
        <v>27</v>
      </c>
      <c r="M1844" s="57"/>
      <c r="N1844" s="58"/>
      <c r="P1844" s="16">
        <v>2</v>
      </c>
      <c r="Q1844" s="20">
        <f t="shared" si="329"/>
        <v>27</v>
      </c>
      <c r="R1844" s="14">
        <v>4500</v>
      </c>
      <c r="S1844" s="19">
        <f t="shared" si="330"/>
        <v>121500</v>
      </c>
      <c r="T1844" s="16"/>
      <c r="U1844" s="17"/>
      <c r="V1844" s="17"/>
      <c r="W1844" s="4"/>
      <c r="X1844" s="16"/>
      <c r="Y1844" s="5"/>
      <c r="Z1844" s="16"/>
      <c r="AA1844" s="16"/>
      <c r="AB1844" s="16"/>
      <c r="AE1844" s="16"/>
      <c r="AG1844" s="22">
        <f t="shared" si="331"/>
        <v>0</v>
      </c>
      <c r="AH1844" s="6"/>
      <c r="AJ1844" s="20">
        <f t="shared" si="332"/>
        <v>0</v>
      </c>
      <c r="AK1844" s="50"/>
      <c r="AL1844" s="6"/>
      <c r="AM1844" s="20">
        <f t="shared" si="333"/>
        <v>0</v>
      </c>
      <c r="AN1844" s="20">
        <f t="shared" si="336"/>
        <v>121500</v>
      </c>
      <c r="AP1844" s="20">
        <f t="shared" si="335"/>
        <v>121500</v>
      </c>
      <c r="AQ1844" s="7"/>
      <c r="AR1844" s="20"/>
      <c r="AS1844" s="51"/>
    </row>
    <row r="1845" spans="1:45" s="21" customFormat="1" ht="30" customHeight="1" x14ac:dyDescent="0.2">
      <c r="A1845" s="8">
        <v>1586</v>
      </c>
      <c r="B1845" s="46">
        <v>4</v>
      </c>
      <c r="C1845" s="16" t="s">
        <v>52</v>
      </c>
      <c r="D1845" s="48">
        <v>31939</v>
      </c>
      <c r="E1845" s="47">
        <v>235</v>
      </c>
      <c r="F1845" s="48">
        <v>6166</v>
      </c>
      <c r="G1845" s="49">
        <v>2</v>
      </c>
      <c r="H1845" s="48">
        <v>2</v>
      </c>
      <c r="I1845" s="48">
        <v>2</v>
      </c>
      <c r="J1845" s="48">
        <v>34.03</v>
      </c>
      <c r="K1845" s="3">
        <v>1034.03</v>
      </c>
      <c r="L1845" s="16"/>
      <c r="M1845" s="57"/>
      <c r="N1845" s="58"/>
      <c r="P1845" s="16">
        <v>1</v>
      </c>
      <c r="Q1845" s="20">
        <f t="shared" si="329"/>
        <v>1034.03</v>
      </c>
      <c r="R1845" s="14">
        <v>160</v>
      </c>
      <c r="S1845" s="20">
        <f t="shared" si="330"/>
        <v>165444.79999999999</v>
      </c>
      <c r="T1845" s="16"/>
      <c r="U1845" s="16"/>
      <c r="V1845" s="16"/>
      <c r="W1845" s="5"/>
      <c r="X1845" s="16"/>
      <c r="Y1845" s="5"/>
      <c r="Z1845" s="16"/>
      <c r="AA1845" s="16"/>
      <c r="AB1845" s="16"/>
      <c r="AE1845" s="16"/>
      <c r="AG1845" s="22">
        <f t="shared" si="331"/>
        <v>0</v>
      </c>
      <c r="AH1845" s="6"/>
      <c r="AJ1845" s="20">
        <f t="shared" si="332"/>
        <v>0</v>
      </c>
      <c r="AK1845" s="50"/>
      <c r="AL1845" s="6"/>
      <c r="AM1845" s="20">
        <f t="shared" si="333"/>
        <v>0</v>
      </c>
      <c r="AN1845" s="20">
        <f t="shared" si="336"/>
        <v>165444.79999999999</v>
      </c>
      <c r="AP1845" s="20">
        <f t="shared" si="335"/>
        <v>165444.79999999999</v>
      </c>
      <c r="AQ1845" s="7"/>
      <c r="AR1845" s="20"/>
      <c r="AS1845" s="51"/>
    </row>
    <row r="1846" spans="1:45" s="21" customFormat="1" ht="30" customHeight="1" x14ac:dyDescent="0.2">
      <c r="A1846" s="8">
        <v>1587</v>
      </c>
      <c r="B1846" s="46">
        <v>5</v>
      </c>
      <c r="C1846" s="16" t="s">
        <v>52</v>
      </c>
      <c r="D1846" s="48">
        <v>32116</v>
      </c>
      <c r="E1846" s="47">
        <v>236</v>
      </c>
      <c r="F1846" s="48">
        <v>6309</v>
      </c>
      <c r="G1846" s="49">
        <v>2</v>
      </c>
      <c r="H1846" s="48">
        <v>1</v>
      </c>
      <c r="I1846" s="48">
        <v>2</v>
      </c>
      <c r="J1846" s="48">
        <v>44.07</v>
      </c>
      <c r="K1846" s="3"/>
      <c r="L1846" s="16"/>
      <c r="M1846" s="57"/>
      <c r="N1846" s="58">
        <v>644.07000000000005</v>
      </c>
      <c r="P1846" s="16">
        <v>4</v>
      </c>
      <c r="Q1846" s="20">
        <f t="shared" si="329"/>
        <v>644.07000000000005</v>
      </c>
      <c r="R1846" s="14">
        <v>160</v>
      </c>
      <c r="S1846" s="19">
        <f t="shared" si="330"/>
        <v>103051.20000000001</v>
      </c>
      <c r="T1846" s="16"/>
      <c r="U1846" s="17"/>
      <c r="V1846" s="16"/>
      <c r="W1846" s="5"/>
      <c r="X1846" s="16"/>
      <c r="Y1846" s="5"/>
      <c r="Z1846" s="16"/>
      <c r="AA1846" s="16"/>
      <c r="AB1846" s="16"/>
      <c r="AE1846" s="16"/>
      <c r="AG1846" s="22">
        <f t="shared" si="331"/>
        <v>0</v>
      </c>
      <c r="AH1846" s="6"/>
      <c r="AJ1846" s="20">
        <f t="shared" si="332"/>
        <v>0</v>
      </c>
      <c r="AK1846" s="50"/>
      <c r="AL1846" s="6"/>
      <c r="AM1846" s="20">
        <f t="shared" si="333"/>
        <v>0</v>
      </c>
      <c r="AN1846" s="20">
        <f t="shared" si="336"/>
        <v>103051.20000000001</v>
      </c>
      <c r="AP1846" s="20">
        <f t="shared" si="335"/>
        <v>103051.20000000001</v>
      </c>
      <c r="AQ1846" s="7">
        <v>3.0000000000000001E-3</v>
      </c>
      <c r="AR1846" s="20"/>
      <c r="AS1846" s="51"/>
    </row>
    <row r="1847" spans="1:45" ht="30" customHeight="1" x14ac:dyDescent="0.2">
      <c r="A1847" s="8">
        <v>1588</v>
      </c>
      <c r="B1847" s="13">
        <v>6</v>
      </c>
      <c r="C1847" s="16" t="s">
        <v>65</v>
      </c>
      <c r="D1847" s="17">
        <v>3014</v>
      </c>
      <c r="E1847" s="17">
        <v>394</v>
      </c>
      <c r="H1847" s="17">
        <v>0</v>
      </c>
      <c r="I1847" s="17">
        <v>1</v>
      </c>
      <c r="J1847" s="17">
        <v>56</v>
      </c>
      <c r="K1847" s="10">
        <v>156</v>
      </c>
      <c r="P1847" s="17">
        <v>1</v>
      </c>
      <c r="Q1847" s="20">
        <f t="shared" si="329"/>
        <v>156</v>
      </c>
      <c r="R1847" s="14">
        <v>250</v>
      </c>
      <c r="S1847" s="19">
        <f t="shared" si="330"/>
        <v>39000</v>
      </c>
      <c r="AC1847" s="21"/>
      <c r="AD1847" s="21"/>
      <c r="AG1847" s="22">
        <f t="shared" si="331"/>
        <v>0</v>
      </c>
      <c r="AJ1847" s="20">
        <f t="shared" si="332"/>
        <v>0</v>
      </c>
      <c r="AM1847" s="20">
        <f t="shared" si="333"/>
        <v>0</v>
      </c>
      <c r="AN1847" s="20">
        <f t="shared" si="336"/>
        <v>39000</v>
      </c>
      <c r="AP1847" s="20">
        <f t="shared" si="335"/>
        <v>39000</v>
      </c>
      <c r="AQ1847" s="12">
        <v>1E-4</v>
      </c>
      <c r="AR1847" s="20"/>
    </row>
    <row r="1848" spans="1:45" ht="30" customHeight="1" x14ac:dyDescent="0.2">
      <c r="A1848" s="8"/>
      <c r="C1848" s="16"/>
      <c r="Q1848" s="20"/>
      <c r="S1848" s="20"/>
      <c r="AG1848" s="22"/>
      <c r="AJ1848" s="20"/>
      <c r="AM1848" s="20"/>
      <c r="AN1848" s="20"/>
      <c r="AP1848" s="20"/>
      <c r="AR1848" s="20"/>
    </row>
    <row r="1849" spans="1:45" s="21" customFormat="1" ht="30" customHeight="1" x14ac:dyDescent="0.2">
      <c r="A1849" s="8">
        <v>1589</v>
      </c>
      <c r="B1849" s="46">
        <v>1</v>
      </c>
      <c r="C1849" s="16" t="s">
        <v>52</v>
      </c>
      <c r="D1849" s="48">
        <v>2251</v>
      </c>
      <c r="E1849" s="47">
        <v>22</v>
      </c>
      <c r="F1849" s="48">
        <v>1644</v>
      </c>
      <c r="G1849" s="49">
        <v>3</v>
      </c>
      <c r="H1849" s="48">
        <v>0</v>
      </c>
      <c r="I1849" s="48">
        <v>1</v>
      </c>
      <c r="J1849" s="48">
        <v>9</v>
      </c>
      <c r="K1849" s="3"/>
      <c r="L1849" s="16">
        <v>109</v>
      </c>
      <c r="M1849" s="57"/>
      <c r="N1849" s="58"/>
      <c r="P1849" s="16">
        <v>2</v>
      </c>
      <c r="Q1849" s="20">
        <f t="shared" si="329"/>
        <v>109</v>
      </c>
      <c r="R1849" s="14">
        <v>250</v>
      </c>
      <c r="S1849" s="19">
        <f t="shared" si="330"/>
        <v>27250</v>
      </c>
      <c r="T1849" s="16"/>
      <c r="U1849" s="17" t="s">
        <v>57</v>
      </c>
      <c r="V1849" s="17" t="s">
        <v>56</v>
      </c>
      <c r="W1849" s="27">
        <f>6*23</f>
        <v>138</v>
      </c>
      <c r="X1849" s="16"/>
      <c r="Y1849" s="5">
        <v>138</v>
      </c>
      <c r="Z1849" s="16"/>
      <c r="AA1849" s="16"/>
      <c r="AB1849" s="16">
        <v>25</v>
      </c>
      <c r="AE1849" s="16"/>
      <c r="AG1849" s="22">
        <f t="shared" si="331"/>
        <v>138</v>
      </c>
      <c r="AH1849" s="6"/>
      <c r="AJ1849" s="20">
        <f t="shared" si="332"/>
        <v>0</v>
      </c>
      <c r="AK1849" s="50"/>
      <c r="AL1849" s="6"/>
      <c r="AM1849" s="20">
        <f t="shared" si="333"/>
        <v>0</v>
      </c>
      <c r="AN1849" s="20">
        <f t="shared" si="336"/>
        <v>27250</v>
      </c>
      <c r="AP1849" s="20">
        <f t="shared" si="335"/>
        <v>27250</v>
      </c>
      <c r="AQ1849" s="7"/>
      <c r="AR1849" s="60"/>
      <c r="AS1849" s="128">
        <v>69</v>
      </c>
    </row>
    <row r="1850" spans="1:45" s="21" customFormat="1" ht="30" customHeight="1" x14ac:dyDescent="0.2">
      <c r="A1850" s="8">
        <v>1590</v>
      </c>
      <c r="B1850" s="46">
        <v>2</v>
      </c>
      <c r="C1850" s="16" t="s">
        <v>52</v>
      </c>
      <c r="D1850" s="48">
        <v>34030</v>
      </c>
      <c r="E1850" s="47">
        <v>125</v>
      </c>
      <c r="F1850" s="48">
        <v>6757</v>
      </c>
      <c r="G1850" s="49">
        <v>3</v>
      </c>
      <c r="H1850" s="48">
        <v>0</v>
      </c>
      <c r="I1850" s="48">
        <v>0</v>
      </c>
      <c r="J1850" s="48">
        <v>89</v>
      </c>
      <c r="K1850" s="3"/>
      <c r="L1850" s="16"/>
      <c r="M1850" s="57"/>
      <c r="N1850" s="58">
        <v>89</v>
      </c>
      <c r="P1850" s="16">
        <v>4</v>
      </c>
      <c r="Q1850" s="20">
        <f t="shared" si="329"/>
        <v>89</v>
      </c>
      <c r="R1850" s="14">
        <v>250</v>
      </c>
      <c r="S1850" s="19">
        <f t="shared" si="330"/>
        <v>22250</v>
      </c>
      <c r="T1850" s="16"/>
      <c r="U1850" s="17"/>
      <c r="V1850" s="17"/>
      <c r="W1850" s="4"/>
      <c r="X1850" s="16"/>
      <c r="Y1850" s="5"/>
      <c r="Z1850" s="16"/>
      <c r="AA1850" s="16"/>
      <c r="AB1850" s="16"/>
      <c r="AC1850" s="14"/>
      <c r="AD1850" s="14"/>
      <c r="AE1850" s="16"/>
      <c r="AG1850" s="22">
        <f t="shared" si="331"/>
        <v>0</v>
      </c>
      <c r="AH1850" s="6"/>
      <c r="AJ1850" s="20">
        <f t="shared" si="332"/>
        <v>0</v>
      </c>
      <c r="AK1850" s="50"/>
      <c r="AL1850" s="6"/>
      <c r="AM1850" s="20">
        <f t="shared" si="333"/>
        <v>0</v>
      </c>
      <c r="AN1850" s="20">
        <f t="shared" si="336"/>
        <v>22250</v>
      </c>
      <c r="AP1850" s="20">
        <f t="shared" si="335"/>
        <v>22250</v>
      </c>
      <c r="AQ1850" s="7"/>
      <c r="AR1850" s="24"/>
      <c r="AS1850" s="129"/>
    </row>
    <row r="1851" spans="1:45" s="21" customFormat="1" ht="30" customHeight="1" x14ac:dyDescent="0.2">
      <c r="A1851" s="8">
        <v>1591</v>
      </c>
      <c r="B1851" s="46">
        <v>3</v>
      </c>
      <c r="C1851" s="16" t="s">
        <v>52</v>
      </c>
      <c r="D1851" s="48">
        <v>15855</v>
      </c>
      <c r="E1851" s="47">
        <v>32</v>
      </c>
      <c r="F1851" s="48">
        <v>3445</v>
      </c>
      <c r="G1851" s="49"/>
      <c r="H1851" s="48">
        <v>2</v>
      </c>
      <c r="I1851" s="48">
        <v>0</v>
      </c>
      <c r="J1851" s="48">
        <v>4</v>
      </c>
      <c r="K1851" s="3">
        <v>804</v>
      </c>
      <c r="L1851" s="16"/>
      <c r="M1851" s="57"/>
      <c r="N1851" s="58"/>
      <c r="P1851" s="16">
        <v>1</v>
      </c>
      <c r="Q1851" s="20">
        <f t="shared" si="329"/>
        <v>804</v>
      </c>
      <c r="R1851" s="14">
        <v>160</v>
      </c>
      <c r="S1851" s="19">
        <f t="shared" si="330"/>
        <v>128640</v>
      </c>
      <c r="T1851" s="16"/>
      <c r="U1851" s="17"/>
      <c r="V1851" s="17"/>
      <c r="W1851" s="4"/>
      <c r="X1851" s="16"/>
      <c r="Y1851" s="5"/>
      <c r="Z1851" s="16"/>
      <c r="AA1851" s="16"/>
      <c r="AB1851" s="16"/>
      <c r="AC1851" s="14"/>
      <c r="AD1851" s="14"/>
      <c r="AE1851" s="16"/>
      <c r="AG1851" s="22"/>
      <c r="AH1851" s="6"/>
      <c r="AJ1851" s="20"/>
      <c r="AK1851" s="50"/>
      <c r="AL1851" s="6"/>
      <c r="AM1851" s="20"/>
      <c r="AN1851" s="20"/>
      <c r="AP1851" s="20"/>
      <c r="AQ1851" s="7"/>
      <c r="AR1851" s="24"/>
      <c r="AS1851" s="129"/>
    </row>
    <row r="1852" spans="1:45" s="21" customFormat="1" ht="30" customHeight="1" x14ac:dyDescent="0.2">
      <c r="A1852" s="8">
        <v>1592</v>
      </c>
      <c r="B1852" s="46">
        <v>4</v>
      </c>
      <c r="C1852" s="16" t="s">
        <v>52</v>
      </c>
      <c r="D1852" s="48">
        <v>15958</v>
      </c>
      <c r="E1852" s="47">
        <v>44</v>
      </c>
      <c r="F1852" s="48">
        <v>3467</v>
      </c>
      <c r="G1852" s="49"/>
      <c r="H1852" s="48">
        <v>2</v>
      </c>
      <c r="I1852" s="48">
        <v>3</v>
      </c>
      <c r="J1852" s="48">
        <v>30</v>
      </c>
      <c r="K1852" s="3">
        <v>1130</v>
      </c>
      <c r="L1852" s="16"/>
      <c r="M1852" s="57"/>
      <c r="N1852" s="58"/>
      <c r="P1852" s="16">
        <v>1</v>
      </c>
      <c r="Q1852" s="20">
        <f t="shared" si="329"/>
        <v>1130</v>
      </c>
      <c r="R1852" s="14">
        <v>160</v>
      </c>
      <c r="S1852" s="19">
        <f t="shared" si="330"/>
        <v>180800</v>
      </c>
      <c r="T1852" s="16"/>
      <c r="U1852" s="17"/>
      <c r="V1852" s="17"/>
      <c r="W1852" s="4"/>
      <c r="X1852" s="16"/>
      <c r="Y1852" s="5"/>
      <c r="Z1852" s="16"/>
      <c r="AA1852" s="16"/>
      <c r="AB1852" s="16"/>
      <c r="AC1852" s="14"/>
      <c r="AD1852" s="14"/>
      <c r="AE1852" s="16"/>
      <c r="AG1852" s="22"/>
      <c r="AH1852" s="6"/>
      <c r="AJ1852" s="20"/>
      <c r="AK1852" s="50"/>
      <c r="AL1852" s="6"/>
      <c r="AM1852" s="20"/>
      <c r="AN1852" s="20"/>
      <c r="AP1852" s="20"/>
      <c r="AQ1852" s="7"/>
      <c r="AR1852" s="24"/>
      <c r="AS1852" s="129"/>
    </row>
    <row r="1853" spans="1:45" ht="30" customHeight="1" x14ac:dyDescent="0.2">
      <c r="A1853" s="8">
        <v>1593</v>
      </c>
      <c r="B1853" s="13">
        <v>5</v>
      </c>
      <c r="C1853" s="16" t="s">
        <v>65</v>
      </c>
      <c r="D1853" s="17">
        <v>3698</v>
      </c>
      <c r="E1853" s="17">
        <v>91</v>
      </c>
      <c r="H1853" s="17">
        <v>2</v>
      </c>
      <c r="I1853" s="17">
        <v>1</v>
      </c>
      <c r="J1853" s="17">
        <v>93</v>
      </c>
      <c r="K1853" s="10">
        <v>993</v>
      </c>
      <c r="P1853" s="17">
        <v>1</v>
      </c>
      <c r="Q1853" s="20">
        <f t="shared" si="329"/>
        <v>993</v>
      </c>
      <c r="R1853" s="14">
        <v>200</v>
      </c>
      <c r="S1853" s="20">
        <f t="shared" si="330"/>
        <v>198600</v>
      </c>
      <c r="AC1853" s="21"/>
      <c r="AD1853" s="21"/>
      <c r="AG1853" s="22">
        <f t="shared" ref="AG1853:AG1865" si="337">Y1853</f>
        <v>0</v>
      </c>
      <c r="AJ1853" s="20">
        <f t="shared" ref="AJ1853:AJ1910" si="338">+AG1853*AH1853*AI1853</f>
        <v>0</v>
      </c>
      <c r="AM1853" s="20">
        <f t="shared" ref="AM1853:AM1910" si="339">+AJ1853-(AL1853*AJ1853)</f>
        <v>0</v>
      </c>
      <c r="AN1853" s="20">
        <f t="shared" ref="AN1853:AN1867" si="340">+S1853+AM1853</f>
        <v>198600</v>
      </c>
      <c r="AP1853" s="20">
        <f t="shared" ref="AP1853:AP1910" si="341">AN1853</f>
        <v>198600</v>
      </c>
      <c r="AQ1853" s="12">
        <v>1E-4</v>
      </c>
      <c r="AR1853" s="25"/>
      <c r="AS1853" s="130"/>
    </row>
    <row r="1854" spans="1:45" s="21" customFormat="1" ht="30" customHeight="1" x14ac:dyDescent="0.2">
      <c r="A1854" s="8">
        <v>1594</v>
      </c>
      <c r="B1854" s="46">
        <v>1244</v>
      </c>
      <c r="C1854" s="16" t="s">
        <v>52</v>
      </c>
      <c r="D1854" s="48">
        <v>2976</v>
      </c>
      <c r="E1854" s="47">
        <v>144</v>
      </c>
      <c r="F1854" s="48">
        <v>2044</v>
      </c>
      <c r="G1854" s="49">
        <v>2</v>
      </c>
      <c r="H1854" s="48">
        <v>0</v>
      </c>
      <c r="I1854" s="48">
        <v>1</v>
      </c>
      <c r="J1854" s="48">
        <v>83</v>
      </c>
      <c r="K1854" s="3">
        <v>183</v>
      </c>
      <c r="L1854" s="16"/>
      <c r="M1854" s="57"/>
      <c r="N1854" s="58"/>
      <c r="P1854" s="16">
        <v>1</v>
      </c>
      <c r="Q1854" s="20">
        <f t="shared" si="329"/>
        <v>183</v>
      </c>
      <c r="R1854" s="14">
        <v>160</v>
      </c>
      <c r="S1854" s="19">
        <f t="shared" si="330"/>
        <v>29280</v>
      </c>
      <c r="T1854" s="16"/>
      <c r="U1854" s="17"/>
      <c r="V1854" s="17"/>
      <c r="W1854" s="4"/>
      <c r="X1854" s="16"/>
      <c r="Y1854" s="5"/>
      <c r="Z1854" s="16"/>
      <c r="AA1854" s="16"/>
      <c r="AB1854" s="16"/>
      <c r="AE1854" s="16"/>
      <c r="AG1854" s="22">
        <f t="shared" si="337"/>
        <v>0</v>
      </c>
      <c r="AH1854" s="6"/>
      <c r="AJ1854" s="20">
        <f t="shared" si="338"/>
        <v>0</v>
      </c>
      <c r="AK1854" s="50"/>
      <c r="AL1854" s="6"/>
      <c r="AM1854" s="20">
        <f t="shared" si="339"/>
        <v>0</v>
      </c>
      <c r="AN1854" s="20">
        <f t="shared" si="340"/>
        <v>29280</v>
      </c>
      <c r="AP1854" s="20">
        <f t="shared" si="341"/>
        <v>29280</v>
      </c>
      <c r="AQ1854" s="7"/>
      <c r="AR1854" s="20"/>
      <c r="AS1854" s="51"/>
    </row>
    <row r="1855" spans="1:45" s="21" customFormat="1" ht="30" customHeight="1" x14ac:dyDescent="0.2">
      <c r="A1855" s="8">
        <v>1595</v>
      </c>
      <c r="B1855" s="46">
        <v>1245</v>
      </c>
      <c r="C1855" s="16" t="s">
        <v>52</v>
      </c>
      <c r="D1855" s="48">
        <v>1204</v>
      </c>
      <c r="E1855" s="47">
        <v>5</v>
      </c>
      <c r="F1855" s="48">
        <v>934</v>
      </c>
      <c r="G1855" s="49">
        <v>2</v>
      </c>
      <c r="H1855" s="48">
        <v>0</v>
      </c>
      <c r="I1855" s="48">
        <v>1</v>
      </c>
      <c r="J1855" s="48">
        <v>35</v>
      </c>
      <c r="K1855" s="3"/>
      <c r="L1855" s="16">
        <v>135</v>
      </c>
      <c r="M1855" s="57"/>
      <c r="N1855" s="58"/>
      <c r="P1855" s="16">
        <v>2</v>
      </c>
      <c r="Q1855" s="20">
        <f t="shared" si="329"/>
        <v>135</v>
      </c>
      <c r="R1855" s="14">
        <v>3350</v>
      </c>
      <c r="S1855" s="19">
        <f t="shared" si="330"/>
        <v>452250</v>
      </c>
      <c r="T1855" s="16"/>
      <c r="U1855" s="17" t="s">
        <v>57</v>
      </c>
      <c r="V1855" s="17" t="s">
        <v>56</v>
      </c>
      <c r="W1855" s="4">
        <f>4*10</f>
        <v>40</v>
      </c>
      <c r="X1855" s="16"/>
      <c r="Y1855" s="5"/>
      <c r="Z1855" s="16"/>
      <c r="AA1855" s="16"/>
      <c r="AB1855" s="16">
        <v>10</v>
      </c>
      <c r="AC1855" s="14"/>
      <c r="AD1855" s="14"/>
      <c r="AE1855" s="16"/>
      <c r="AG1855" s="22">
        <f t="shared" si="337"/>
        <v>0</v>
      </c>
      <c r="AH1855" s="6"/>
      <c r="AJ1855" s="20">
        <f t="shared" si="338"/>
        <v>0</v>
      </c>
      <c r="AK1855" s="50"/>
      <c r="AL1855" s="6"/>
      <c r="AM1855" s="20">
        <f t="shared" si="339"/>
        <v>0</v>
      </c>
      <c r="AN1855" s="20">
        <f t="shared" si="340"/>
        <v>452250</v>
      </c>
      <c r="AP1855" s="20">
        <f t="shared" si="341"/>
        <v>452250</v>
      </c>
      <c r="AQ1855" s="7"/>
      <c r="AR1855" s="20"/>
      <c r="AS1855" s="51"/>
    </row>
    <row r="1856" spans="1:45" s="21" customFormat="1" ht="30" customHeight="1" x14ac:dyDescent="0.2">
      <c r="A1856" s="8">
        <v>1596</v>
      </c>
      <c r="B1856" s="46">
        <v>1246</v>
      </c>
      <c r="C1856" s="16" t="s">
        <v>52</v>
      </c>
      <c r="D1856" s="48">
        <v>11781</v>
      </c>
      <c r="E1856" s="47">
        <v>117</v>
      </c>
      <c r="F1856" s="48">
        <v>3212</v>
      </c>
      <c r="G1856" s="49">
        <v>2</v>
      </c>
      <c r="H1856" s="48">
        <v>1</v>
      </c>
      <c r="I1856" s="48">
        <v>1</v>
      </c>
      <c r="J1856" s="48">
        <v>25.06</v>
      </c>
      <c r="K1856" s="3">
        <v>525.05999999999995</v>
      </c>
      <c r="L1856" s="16"/>
      <c r="M1856" s="57"/>
      <c r="N1856" s="58"/>
      <c r="P1856" s="16">
        <v>1</v>
      </c>
      <c r="Q1856" s="20">
        <f t="shared" si="329"/>
        <v>525.05999999999995</v>
      </c>
      <c r="R1856" s="14">
        <v>4500</v>
      </c>
      <c r="S1856" s="20">
        <f t="shared" si="330"/>
        <v>2362769.9999999995</v>
      </c>
      <c r="T1856" s="16"/>
      <c r="U1856" s="17"/>
      <c r="V1856" s="17"/>
      <c r="W1856" s="4"/>
      <c r="X1856" s="16"/>
      <c r="Y1856" s="5"/>
      <c r="Z1856" s="16"/>
      <c r="AA1856" s="16"/>
      <c r="AB1856" s="16"/>
      <c r="AC1856" s="14"/>
      <c r="AD1856" s="14"/>
      <c r="AE1856" s="16"/>
      <c r="AG1856" s="22">
        <f t="shared" si="337"/>
        <v>0</v>
      </c>
      <c r="AH1856" s="6"/>
      <c r="AJ1856" s="20">
        <f t="shared" si="338"/>
        <v>0</v>
      </c>
      <c r="AK1856" s="50"/>
      <c r="AL1856" s="6"/>
      <c r="AM1856" s="20">
        <f t="shared" si="339"/>
        <v>0</v>
      </c>
      <c r="AN1856" s="20">
        <f t="shared" si="340"/>
        <v>2362769.9999999995</v>
      </c>
      <c r="AP1856" s="20">
        <f t="shared" si="341"/>
        <v>2362769.9999999995</v>
      </c>
      <c r="AQ1856" s="7"/>
      <c r="AR1856" s="20"/>
      <c r="AS1856" s="51"/>
    </row>
    <row r="1857" spans="1:45" s="21" customFormat="1" ht="30" customHeight="1" x14ac:dyDescent="0.2">
      <c r="A1857" s="8">
        <v>1597</v>
      </c>
      <c r="B1857" s="46">
        <v>1247</v>
      </c>
      <c r="C1857" s="16" t="s">
        <v>52</v>
      </c>
      <c r="D1857" s="48">
        <v>1729</v>
      </c>
      <c r="E1857" s="47">
        <v>12</v>
      </c>
      <c r="F1857" s="48">
        <v>941</v>
      </c>
      <c r="G1857" s="49">
        <v>2</v>
      </c>
      <c r="H1857" s="48">
        <v>0</v>
      </c>
      <c r="I1857" s="48">
        <v>1</v>
      </c>
      <c r="J1857" s="48">
        <v>2</v>
      </c>
      <c r="K1857" s="3"/>
      <c r="L1857" s="16">
        <v>102</v>
      </c>
      <c r="M1857" s="57"/>
      <c r="N1857" s="58"/>
      <c r="P1857" s="16">
        <v>2</v>
      </c>
      <c r="Q1857" s="20">
        <f t="shared" si="329"/>
        <v>102</v>
      </c>
      <c r="R1857" s="14">
        <v>200</v>
      </c>
      <c r="S1857" s="19">
        <f t="shared" si="330"/>
        <v>20400</v>
      </c>
      <c r="T1857" s="16"/>
      <c r="U1857" s="16" t="s">
        <v>57</v>
      </c>
      <c r="V1857" s="16" t="s">
        <v>56</v>
      </c>
      <c r="W1857" s="5">
        <v>210</v>
      </c>
      <c r="X1857" s="16"/>
      <c r="Y1857" s="5">
        <f>6*35</f>
        <v>210</v>
      </c>
      <c r="Z1857" s="16"/>
      <c r="AA1857" s="16"/>
      <c r="AB1857" s="16">
        <v>50</v>
      </c>
      <c r="AC1857" s="14"/>
      <c r="AD1857" s="14"/>
      <c r="AE1857" s="16"/>
      <c r="AG1857" s="22">
        <f t="shared" si="337"/>
        <v>210</v>
      </c>
      <c r="AH1857" s="6"/>
      <c r="AJ1857" s="20">
        <f t="shared" si="338"/>
        <v>0</v>
      </c>
      <c r="AK1857" s="50"/>
      <c r="AL1857" s="6"/>
      <c r="AM1857" s="20">
        <f t="shared" si="339"/>
        <v>0</v>
      </c>
      <c r="AN1857" s="20">
        <f t="shared" si="340"/>
        <v>20400</v>
      </c>
      <c r="AP1857" s="20">
        <f t="shared" si="341"/>
        <v>20400</v>
      </c>
      <c r="AQ1857" s="7"/>
      <c r="AR1857" s="20"/>
      <c r="AS1857" s="51"/>
    </row>
    <row r="1858" spans="1:45" s="21" customFormat="1" ht="30" customHeight="1" x14ac:dyDescent="0.2">
      <c r="A1858" s="8">
        <v>1598</v>
      </c>
      <c r="B1858" s="46">
        <v>1248</v>
      </c>
      <c r="C1858" s="16" t="s">
        <v>52</v>
      </c>
      <c r="D1858" s="48">
        <v>2505</v>
      </c>
      <c r="E1858" s="47">
        <v>53</v>
      </c>
      <c r="F1858" s="48">
        <v>1511</v>
      </c>
      <c r="G1858" s="49">
        <v>2</v>
      </c>
      <c r="H1858" s="48">
        <v>2</v>
      </c>
      <c r="I1858" s="48">
        <v>0</v>
      </c>
      <c r="J1858" s="48">
        <v>40</v>
      </c>
      <c r="K1858" s="3">
        <v>840</v>
      </c>
      <c r="L1858" s="16"/>
      <c r="M1858" s="57"/>
      <c r="N1858" s="58"/>
      <c r="P1858" s="16">
        <v>1</v>
      </c>
      <c r="Q1858" s="20">
        <f t="shared" si="329"/>
        <v>840</v>
      </c>
      <c r="R1858" s="14">
        <v>160</v>
      </c>
      <c r="S1858" s="19">
        <f t="shared" si="330"/>
        <v>134400</v>
      </c>
      <c r="T1858" s="16"/>
      <c r="U1858" s="17"/>
      <c r="V1858" s="16"/>
      <c r="W1858" s="5"/>
      <c r="X1858" s="16"/>
      <c r="Y1858" s="5"/>
      <c r="Z1858" s="16"/>
      <c r="AA1858" s="16"/>
      <c r="AB1858" s="16"/>
      <c r="AC1858" s="14"/>
      <c r="AD1858" s="14"/>
      <c r="AE1858" s="16"/>
      <c r="AG1858" s="22">
        <f t="shared" si="337"/>
        <v>0</v>
      </c>
      <c r="AH1858" s="6"/>
      <c r="AJ1858" s="20">
        <f t="shared" si="338"/>
        <v>0</v>
      </c>
      <c r="AK1858" s="50"/>
      <c r="AL1858" s="6"/>
      <c r="AM1858" s="20">
        <f t="shared" si="339"/>
        <v>0</v>
      </c>
      <c r="AN1858" s="20">
        <f t="shared" si="340"/>
        <v>134400</v>
      </c>
      <c r="AP1858" s="20">
        <f t="shared" si="341"/>
        <v>134400</v>
      </c>
      <c r="AQ1858" s="7"/>
      <c r="AR1858" s="20"/>
      <c r="AS1858" s="51"/>
    </row>
    <row r="1859" spans="1:45" s="21" customFormat="1" ht="30" customHeight="1" x14ac:dyDescent="0.2">
      <c r="A1859" s="8">
        <v>1599</v>
      </c>
      <c r="B1859" s="46">
        <v>1249</v>
      </c>
      <c r="C1859" s="16" t="s">
        <v>52</v>
      </c>
      <c r="D1859" s="48">
        <v>3758</v>
      </c>
      <c r="E1859" s="47">
        <v>28</v>
      </c>
      <c r="F1859" s="48">
        <v>2280</v>
      </c>
      <c r="G1859" s="49">
        <v>2</v>
      </c>
      <c r="H1859" s="48">
        <v>5</v>
      </c>
      <c r="I1859" s="48">
        <v>3</v>
      </c>
      <c r="J1859" s="48">
        <v>44</v>
      </c>
      <c r="K1859" s="3">
        <v>2344</v>
      </c>
      <c r="L1859" s="16"/>
      <c r="M1859" s="57"/>
      <c r="N1859" s="58"/>
      <c r="P1859" s="16">
        <v>1</v>
      </c>
      <c r="Q1859" s="20">
        <f t="shared" si="329"/>
        <v>2344</v>
      </c>
      <c r="R1859" s="14">
        <v>200</v>
      </c>
      <c r="S1859" s="20">
        <f t="shared" si="330"/>
        <v>468800</v>
      </c>
      <c r="T1859" s="16"/>
      <c r="U1859" s="17"/>
      <c r="V1859" s="17"/>
      <c r="W1859" s="4"/>
      <c r="X1859" s="16"/>
      <c r="Y1859" s="5"/>
      <c r="Z1859" s="16"/>
      <c r="AA1859" s="16"/>
      <c r="AB1859" s="16"/>
      <c r="AC1859" s="14"/>
      <c r="AD1859" s="14"/>
      <c r="AE1859" s="16"/>
      <c r="AG1859" s="22">
        <f t="shared" si="337"/>
        <v>0</v>
      </c>
      <c r="AH1859" s="6"/>
      <c r="AJ1859" s="20">
        <f t="shared" si="338"/>
        <v>0</v>
      </c>
      <c r="AK1859" s="50"/>
      <c r="AL1859" s="6"/>
      <c r="AM1859" s="20">
        <f t="shared" si="339"/>
        <v>0</v>
      </c>
      <c r="AN1859" s="20">
        <f t="shared" si="340"/>
        <v>468800</v>
      </c>
      <c r="AP1859" s="20">
        <f t="shared" si="341"/>
        <v>468800</v>
      </c>
      <c r="AQ1859" s="7"/>
      <c r="AR1859" s="20"/>
      <c r="AS1859" s="51"/>
    </row>
    <row r="1860" spans="1:45" s="21" customFormat="1" ht="30" customHeight="1" x14ac:dyDescent="0.2">
      <c r="A1860" s="8">
        <v>1600</v>
      </c>
      <c r="B1860" s="46">
        <v>1250</v>
      </c>
      <c r="C1860" s="16" t="s">
        <v>52</v>
      </c>
      <c r="D1860" s="48">
        <v>12620</v>
      </c>
      <c r="E1860" s="47">
        <v>92</v>
      </c>
      <c r="F1860" s="48">
        <v>3267</v>
      </c>
      <c r="G1860" s="49">
        <v>2</v>
      </c>
      <c r="H1860" s="48">
        <v>0</v>
      </c>
      <c r="I1860" s="48">
        <v>1</v>
      </c>
      <c r="J1860" s="48">
        <v>18</v>
      </c>
      <c r="K1860" s="3">
        <v>118</v>
      </c>
      <c r="L1860" s="16"/>
      <c r="M1860" s="57"/>
      <c r="N1860" s="58"/>
      <c r="P1860" s="16">
        <v>1</v>
      </c>
      <c r="Q1860" s="20">
        <f t="shared" si="329"/>
        <v>118</v>
      </c>
      <c r="R1860" s="14">
        <v>250</v>
      </c>
      <c r="S1860" s="19">
        <f t="shared" si="330"/>
        <v>29500</v>
      </c>
      <c r="T1860" s="16"/>
      <c r="U1860" s="17"/>
      <c r="V1860" s="17"/>
      <c r="W1860" s="4"/>
      <c r="X1860" s="16"/>
      <c r="Y1860" s="5"/>
      <c r="Z1860" s="16"/>
      <c r="AA1860" s="16"/>
      <c r="AB1860" s="16"/>
      <c r="AE1860" s="16"/>
      <c r="AG1860" s="22">
        <f t="shared" si="337"/>
        <v>0</v>
      </c>
      <c r="AH1860" s="6"/>
      <c r="AJ1860" s="20">
        <f t="shared" si="338"/>
        <v>0</v>
      </c>
      <c r="AK1860" s="50"/>
      <c r="AL1860" s="6"/>
      <c r="AM1860" s="20">
        <f t="shared" si="339"/>
        <v>0</v>
      </c>
      <c r="AN1860" s="20">
        <f t="shared" si="340"/>
        <v>29500</v>
      </c>
      <c r="AP1860" s="20">
        <f t="shared" si="341"/>
        <v>29500</v>
      </c>
      <c r="AQ1860" s="7"/>
      <c r="AR1860" s="20"/>
      <c r="AS1860" s="51"/>
    </row>
    <row r="1861" spans="1:45" s="21" customFormat="1" ht="30" customHeight="1" x14ac:dyDescent="0.2">
      <c r="A1861" s="8">
        <v>1601</v>
      </c>
      <c r="B1861" s="46">
        <v>1</v>
      </c>
      <c r="C1861" s="16" t="s">
        <v>52</v>
      </c>
      <c r="D1861" s="48">
        <v>1671</v>
      </c>
      <c r="E1861" s="47">
        <v>14</v>
      </c>
      <c r="F1861" s="48">
        <v>943</v>
      </c>
      <c r="G1861" s="49">
        <v>2</v>
      </c>
      <c r="H1861" s="48">
        <v>0</v>
      </c>
      <c r="I1861" s="48">
        <v>0</v>
      </c>
      <c r="J1861" s="48">
        <v>37</v>
      </c>
      <c r="K1861" s="3"/>
      <c r="L1861" s="16">
        <v>37</v>
      </c>
      <c r="M1861" s="57"/>
      <c r="N1861" s="58"/>
      <c r="P1861" s="16">
        <v>2</v>
      </c>
      <c r="Q1861" s="20">
        <f t="shared" si="329"/>
        <v>37</v>
      </c>
      <c r="R1861" s="14">
        <v>2900</v>
      </c>
      <c r="S1861" s="19">
        <f t="shared" si="330"/>
        <v>107300</v>
      </c>
      <c r="T1861" s="16"/>
      <c r="U1861" s="17"/>
      <c r="V1861" s="17"/>
      <c r="W1861" s="4"/>
      <c r="X1861" s="16"/>
      <c r="Y1861" s="5"/>
      <c r="Z1861" s="16"/>
      <c r="AA1861" s="16"/>
      <c r="AB1861" s="16"/>
      <c r="AE1861" s="16"/>
      <c r="AG1861" s="22">
        <f t="shared" si="337"/>
        <v>0</v>
      </c>
      <c r="AH1861" s="6"/>
      <c r="AJ1861" s="20">
        <f t="shared" si="338"/>
        <v>0</v>
      </c>
      <c r="AK1861" s="50"/>
      <c r="AL1861" s="6"/>
      <c r="AM1861" s="20">
        <f t="shared" si="339"/>
        <v>0</v>
      </c>
      <c r="AN1861" s="20">
        <f t="shared" si="340"/>
        <v>107300</v>
      </c>
      <c r="AP1861" s="20">
        <f t="shared" si="341"/>
        <v>107300</v>
      </c>
      <c r="AQ1861" s="7"/>
      <c r="AR1861" s="20"/>
      <c r="AS1861" s="51">
        <v>12250</v>
      </c>
    </row>
    <row r="1862" spans="1:45" s="21" customFormat="1" ht="30" customHeight="1" x14ac:dyDescent="0.2">
      <c r="A1862" s="8">
        <v>1602</v>
      </c>
      <c r="B1862" s="46">
        <v>2</v>
      </c>
      <c r="C1862" s="16" t="s">
        <v>52</v>
      </c>
      <c r="D1862" s="48">
        <v>2963</v>
      </c>
      <c r="E1862" s="47">
        <v>25</v>
      </c>
      <c r="F1862" s="48">
        <v>2027</v>
      </c>
      <c r="G1862" s="49">
        <v>2</v>
      </c>
      <c r="H1862" s="48">
        <v>0</v>
      </c>
      <c r="I1862" s="48">
        <v>0</v>
      </c>
      <c r="J1862" s="48">
        <v>36</v>
      </c>
      <c r="K1862" s="3"/>
      <c r="L1862" s="16">
        <v>36</v>
      </c>
      <c r="M1862" s="57"/>
      <c r="N1862" s="58"/>
      <c r="P1862" s="16">
        <v>2</v>
      </c>
      <c r="Q1862" s="20">
        <f t="shared" si="329"/>
        <v>36</v>
      </c>
      <c r="R1862" s="14">
        <v>250</v>
      </c>
      <c r="S1862" s="20">
        <f t="shared" si="330"/>
        <v>9000</v>
      </c>
      <c r="T1862" s="16"/>
      <c r="U1862" s="17"/>
      <c r="V1862" s="17"/>
      <c r="W1862" s="4"/>
      <c r="X1862" s="16"/>
      <c r="Y1862" s="5"/>
      <c r="Z1862" s="16"/>
      <c r="AA1862" s="16"/>
      <c r="AB1862" s="16"/>
      <c r="AE1862" s="16"/>
      <c r="AG1862" s="22">
        <f t="shared" si="337"/>
        <v>0</v>
      </c>
      <c r="AH1862" s="6"/>
      <c r="AJ1862" s="20">
        <f t="shared" si="338"/>
        <v>0</v>
      </c>
      <c r="AK1862" s="50"/>
      <c r="AL1862" s="6"/>
      <c r="AM1862" s="20">
        <f t="shared" si="339"/>
        <v>0</v>
      </c>
      <c r="AN1862" s="20">
        <f t="shared" si="340"/>
        <v>9000</v>
      </c>
      <c r="AP1862" s="20">
        <f t="shared" si="341"/>
        <v>9000</v>
      </c>
      <c r="AQ1862" s="7">
        <v>3.0000000000000001E-3</v>
      </c>
      <c r="AR1862" s="20">
        <v>12250</v>
      </c>
      <c r="AS1862" s="51"/>
    </row>
    <row r="1863" spans="1:45" s="21" customFormat="1" ht="30" customHeight="1" x14ac:dyDescent="0.2">
      <c r="A1863" s="8">
        <v>1603</v>
      </c>
      <c r="B1863" s="46">
        <v>3</v>
      </c>
      <c r="C1863" s="16" t="s">
        <v>52</v>
      </c>
      <c r="D1863" s="48">
        <v>2964</v>
      </c>
      <c r="E1863" s="47">
        <v>26</v>
      </c>
      <c r="F1863" s="48">
        <v>2028</v>
      </c>
      <c r="G1863" s="49">
        <v>2</v>
      </c>
      <c r="H1863" s="48">
        <v>0</v>
      </c>
      <c r="I1863" s="48">
        <v>0</v>
      </c>
      <c r="J1863" s="48">
        <v>72</v>
      </c>
      <c r="K1863" s="3"/>
      <c r="L1863" s="16">
        <v>72</v>
      </c>
      <c r="M1863" s="57"/>
      <c r="N1863" s="58"/>
      <c r="P1863" s="16">
        <v>2</v>
      </c>
      <c r="Q1863" s="20">
        <f t="shared" si="329"/>
        <v>72</v>
      </c>
      <c r="R1863" s="14">
        <v>250</v>
      </c>
      <c r="S1863" s="19">
        <f t="shared" si="330"/>
        <v>18000</v>
      </c>
      <c r="T1863" s="16"/>
      <c r="U1863" s="17"/>
      <c r="V1863" s="17"/>
      <c r="W1863" s="4"/>
      <c r="X1863" s="16"/>
      <c r="Y1863" s="5"/>
      <c r="Z1863" s="16"/>
      <c r="AA1863" s="16"/>
      <c r="AB1863" s="16"/>
      <c r="AE1863" s="16"/>
      <c r="AG1863" s="22">
        <f t="shared" si="337"/>
        <v>0</v>
      </c>
      <c r="AH1863" s="6"/>
      <c r="AJ1863" s="20">
        <f t="shared" si="338"/>
        <v>0</v>
      </c>
      <c r="AK1863" s="50"/>
      <c r="AL1863" s="6"/>
      <c r="AM1863" s="20">
        <f t="shared" si="339"/>
        <v>0</v>
      </c>
      <c r="AN1863" s="20">
        <f t="shared" si="340"/>
        <v>18000</v>
      </c>
      <c r="AP1863" s="20">
        <f t="shared" si="341"/>
        <v>18000</v>
      </c>
      <c r="AQ1863" s="7">
        <v>3.0000000000000001E-3</v>
      </c>
      <c r="AR1863" s="20"/>
      <c r="AS1863" s="51"/>
    </row>
    <row r="1864" spans="1:45" s="21" customFormat="1" ht="30" customHeight="1" x14ac:dyDescent="0.2">
      <c r="A1864" s="8">
        <v>1604</v>
      </c>
      <c r="B1864" s="46">
        <v>4</v>
      </c>
      <c r="C1864" s="16" t="s">
        <v>52</v>
      </c>
      <c r="D1864" s="48">
        <v>3757</v>
      </c>
      <c r="E1864" s="47">
        <v>27</v>
      </c>
      <c r="F1864" s="48">
        <v>2279</v>
      </c>
      <c r="G1864" s="49">
        <v>2</v>
      </c>
      <c r="H1864" s="48">
        <v>9</v>
      </c>
      <c r="I1864" s="48">
        <v>3</v>
      </c>
      <c r="J1864" s="48">
        <v>50</v>
      </c>
      <c r="K1864" s="3">
        <f>9*400+350</f>
        <v>3950</v>
      </c>
      <c r="L1864" s="16"/>
      <c r="M1864" s="57"/>
      <c r="N1864" s="58"/>
      <c r="P1864" s="16">
        <v>1</v>
      </c>
      <c r="Q1864" s="20">
        <f t="shared" si="329"/>
        <v>3950</v>
      </c>
      <c r="R1864" s="14">
        <v>200</v>
      </c>
      <c r="S1864" s="19">
        <f t="shared" si="330"/>
        <v>790000</v>
      </c>
      <c r="T1864" s="16"/>
      <c r="U1864" s="16"/>
      <c r="V1864" s="16"/>
      <c r="W1864" s="5"/>
      <c r="X1864" s="16"/>
      <c r="Y1864" s="5"/>
      <c r="Z1864" s="16"/>
      <c r="AA1864" s="16"/>
      <c r="AB1864" s="16"/>
      <c r="AE1864" s="16"/>
      <c r="AG1864" s="22">
        <f t="shared" si="337"/>
        <v>0</v>
      </c>
      <c r="AH1864" s="6"/>
      <c r="AJ1864" s="20">
        <f t="shared" si="338"/>
        <v>0</v>
      </c>
      <c r="AK1864" s="50"/>
      <c r="AL1864" s="6"/>
      <c r="AM1864" s="20">
        <f t="shared" si="339"/>
        <v>0</v>
      </c>
      <c r="AN1864" s="20">
        <f t="shared" si="340"/>
        <v>790000</v>
      </c>
      <c r="AP1864" s="20">
        <f t="shared" si="341"/>
        <v>790000</v>
      </c>
      <c r="AQ1864" s="7"/>
      <c r="AR1864" s="20"/>
      <c r="AS1864" s="51"/>
    </row>
    <row r="1865" spans="1:45" s="21" customFormat="1" ht="30" customHeight="1" x14ac:dyDescent="0.2">
      <c r="A1865" s="8">
        <v>1605</v>
      </c>
      <c r="B1865" s="46">
        <v>5</v>
      </c>
      <c r="C1865" s="16" t="s">
        <v>52</v>
      </c>
      <c r="D1865" s="48">
        <v>3759</v>
      </c>
      <c r="E1865" s="47">
        <v>29</v>
      </c>
      <c r="F1865" s="48">
        <v>2281</v>
      </c>
      <c r="G1865" s="49">
        <v>2</v>
      </c>
      <c r="H1865" s="48">
        <v>10</v>
      </c>
      <c r="I1865" s="48">
        <v>0</v>
      </c>
      <c r="J1865" s="48">
        <v>35</v>
      </c>
      <c r="K1865" s="3">
        <f>10*400+35</f>
        <v>4035</v>
      </c>
      <c r="L1865" s="16"/>
      <c r="M1865" s="57"/>
      <c r="N1865" s="58"/>
      <c r="P1865" s="16">
        <v>1</v>
      </c>
      <c r="Q1865" s="20">
        <f t="shared" si="329"/>
        <v>4035</v>
      </c>
      <c r="R1865" s="14">
        <v>200</v>
      </c>
      <c r="S1865" s="20">
        <f t="shared" si="330"/>
        <v>807000</v>
      </c>
      <c r="T1865" s="16"/>
      <c r="U1865" s="17"/>
      <c r="V1865" s="16"/>
      <c r="W1865" s="5"/>
      <c r="X1865" s="16"/>
      <c r="Y1865" s="5"/>
      <c r="Z1865" s="16"/>
      <c r="AA1865" s="16"/>
      <c r="AB1865" s="16"/>
      <c r="AE1865" s="16"/>
      <c r="AG1865" s="22">
        <f t="shared" si="337"/>
        <v>0</v>
      </c>
      <c r="AH1865" s="6"/>
      <c r="AJ1865" s="20">
        <f t="shared" si="338"/>
        <v>0</v>
      </c>
      <c r="AK1865" s="50"/>
      <c r="AL1865" s="6"/>
      <c r="AM1865" s="20">
        <f t="shared" si="339"/>
        <v>0</v>
      </c>
      <c r="AN1865" s="20">
        <f t="shared" si="340"/>
        <v>807000</v>
      </c>
      <c r="AP1865" s="20">
        <f t="shared" si="341"/>
        <v>807000</v>
      </c>
      <c r="AQ1865" s="7"/>
      <c r="AR1865" s="20"/>
      <c r="AS1865" s="51"/>
    </row>
    <row r="1866" spans="1:45" s="21" customFormat="1" ht="30" customHeight="1" x14ac:dyDescent="0.2">
      <c r="A1866" s="8"/>
      <c r="B1866" s="46"/>
      <c r="C1866" s="16"/>
      <c r="D1866" s="48"/>
      <c r="E1866" s="47"/>
      <c r="F1866" s="48"/>
      <c r="G1866" s="49"/>
      <c r="H1866" s="48"/>
      <c r="I1866" s="48"/>
      <c r="J1866" s="48"/>
      <c r="K1866" s="3"/>
      <c r="L1866" s="16"/>
      <c r="M1866" s="57"/>
      <c r="N1866" s="58"/>
      <c r="P1866" s="16"/>
      <c r="Q1866" s="20"/>
      <c r="R1866" s="14"/>
      <c r="S1866" s="20"/>
      <c r="T1866" s="16"/>
      <c r="U1866" s="17"/>
      <c r="V1866" s="17"/>
      <c r="W1866" s="4"/>
      <c r="X1866" s="16"/>
      <c r="Y1866" s="5"/>
      <c r="Z1866" s="16"/>
      <c r="AA1866" s="16"/>
      <c r="AB1866" s="16"/>
      <c r="AE1866" s="16"/>
      <c r="AG1866" s="22"/>
      <c r="AH1866" s="6"/>
      <c r="AJ1866" s="20"/>
      <c r="AK1866" s="50"/>
      <c r="AL1866" s="6"/>
      <c r="AM1866" s="20"/>
      <c r="AN1866" s="20"/>
      <c r="AP1866" s="20"/>
      <c r="AQ1866" s="7"/>
      <c r="AR1866" s="20"/>
      <c r="AS1866" s="51"/>
    </row>
    <row r="1867" spans="1:45" s="21" customFormat="1" ht="30" customHeight="1" x14ac:dyDescent="0.2">
      <c r="A1867" s="8">
        <v>1606</v>
      </c>
      <c r="B1867" s="46"/>
      <c r="C1867" s="16" t="s">
        <v>52</v>
      </c>
      <c r="D1867" s="48">
        <v>37565</v>
      </c>
      <c r="E1867" s="47">
        <v>376</v>
      </c>
      <c r="F1867" s="48">
        <v>7100</v>
      </c>
      <c r="G1867" s="49"/>
      <c r="H1867" s="48">
        <v>0</v>
      </c>
      <c r="I1867" s="48">
        <v>3</v>
      </c>
      <c r="J1867" s="48">
        <v>17</v>
      </c>
      <c r="K1867" s="3"/>
      <c r="L1867" s="16">
        <v>317</v>
      </c>
      <c r="M1867" s="57"/>
      <c r="N1867" s="58"/>
      <c r="P1867" s="16">
        <v>2</v>
      </c>
      <c r="Q1867" s="20">
        <f t="shared" si="329"/>
        <v>317</v>
      </c>
      <c r="R1867" s="14">
        <v>160</v>
      </c>
      <c r="S1867" s="19">
        <f>+Q1867*R1867</f>
        <v>50720</v>
      </c>
      <c r="T1867" s="16"/>
      <c r="U1867" s="17"/>
      <c r="V1867" s="17"/>
      <c r="W1867" s="4"/>
      <c r="X1867" s="16"/>
      <c r="Y1867" s="5"/>
      <c r="Z1867" s="16"/>
      <c r="AA1867" s="16"/>
      <c r="AB1867" s="16"/>
      <c r="AE1867" s="16" t="s">
        <v>182</v>
      </c>
      <c r="AG1867" s="22"/>
      <c r="AH1867" s="6"/>
      <c r="AJ1867" s="20">
        <f t="shared" si="338"/>
        <v>0</v>
      </c>
      <c r="AK1867" s="50"/>
      <c r="AL1867" s="6"/>
      <c r="AM1867" s="20">
        <f t="shared" si="339"/>
        <v>0</v>
      </c>
      <c r="AN1867" s="20">
        <f t="shared" si="340"/>
        <v>50720</v>
      </c>
      <c r="AP1867" s="20">
        <f t="shared" si="341"/>
        <v>50720</v>
      </c>
      <c r="AQ1867" s="7"/>
      <c r="AR1867" s="20"/>
      <c r="AS1867" s="51"/>
    </row>
    <row r="1868" spans="1:45" s="21" customFormat="1" ht="30" customHeight="1" x14ac:dyDescent="0.2">
      <c r="A1868" s="8"/>
      <c r="B1868" s="46"/>
      <c r="C1868" s="16"/>
      <c r="D1868" s="48"/>
      <c r="E1868" s="47"/>
      <c r="F1868" s="48"/>
      <c r="G1868" s="49"/>
      <c r="H1868" s="48"/>
      <c r="I1868" s="48"/>
      <c r="J1868" s="48"/>
      <c r="K1868" s="3"/>
      <c r="L1868" s="16"/>
      <c r="M1868" s="57"/>
      <c r="N1868" s="58"/>
      <c r="P1868" s="16"/>
      <c r="Q1868" s="20"/>
      <c r="R1868" s="14" t="e">
        <v>#N/A</v>
      </c>
      <c r="S1868" s="19"/>
      <c r="T1868" s="16"/>
      <c r="U1868" s="17" t="s">
        <v>63</v>
      </c>
      <c r="V1868" s="17" t="s">
        <v>56</v>
      </c>
      <c r="W1868" s="4">
        <v>60</v>
      </c>
      <c r="X1868" s="16"/>
      <c r="Y1868" s="5">
        <v>60</v>
      </c>
      <c r="Z1868" s="16"/>
      <c r="AA1868" s="16"/>
      <c r="AB1868" s="16">
        <f>63-51</f>
        <v>12</v>
      </c>
      <c r="AE1868" s="16">
        <f>60+60+60+60+60+49+49+49</f>
        <v>447</v>
      </c>
      <c r="AF1868" s="21">
        <v>2</v>
      </c>
      <c r="AG1868" s="22">
        <v>60</v>
      </c>
      <c r="AH1868" s="6">
        <v>1</v>
      </c>
      <c r="AI1868" s="21">
        <v>8100</v>
      </c>
      <c r="AJ1868" s="20">
        <f t="shared" si="338"/>
        <v>486000</v>
      </c>
      <c r="AK1868" s="50">
        <v>12</v>
      </c>
      <c r="AL1868" s="6">
        <v>0.14000000000000001</v>
      </c>
      <c r="AM1868" s="20">
        <f t="shared" si="339"/>
        <v>417960</v>
      </c>
      <c r="AN1868" s="20">
        <f>+(S1867*0.13)+AM1868</f>
        <v>424553.6</v>
      </c>
      <c r="AP1868" s="20">
        <f t="shared" si="341"/>
        <v>424553.6</v>
      </c>
      <c r="AQ1868" s="7">
        <v>2.0000000000000001E-4</v>
      </c>
      <c r="AR1868" s="20"/>
      <c r="AS1868" s="51"/>
    </row>
    <row r="1869" spans="1:45" s="21" customFormat="1" ht="30" customHeight="1" x14ac:dyDescent="0.2">
      <c r="A1869" s="8"/>
      <c r="B1869" s="46"/>
      <c r="C1869" s="16"/>
      <c r="D1869" s="48"/>
      <c r="E1869" s="47"/>
      <c r="F1869" s="48"/>
      <c r="G1869" s="49"/>
      <c r="H1869" s="48"/>
      <c r="I1869" s="48"/>
      <c r="J1869" s="48"/>
      <c r="K1869" s="3"/>
      <c r="L1869" s="16"/>
      <c r="M1869" s="57"/>
      <c r="N1869" s="58"/>
      <c r="P1869" s="16"/>
      <c r="Q1869" s="20"/>
      <c r="R1869" s="14" t="e">
        <v>#N/A</v>
      </c>
      <c r="S1869" s="19"/>
      <c r="T1869" s="16"/>
      <c r="U1869" s="17" t="s">
        <v>63</v>
      </c>
      <c r="V1869" s="17" t="s">
        <v>56</v>
      </c>
      <c r="W1869" s="4">
        <v>60</v>
      </c>
      <c r="X1869" s="16"/>
      <c r="Y1869" s="5">
        <v>60</v>
      </c>
      <c r="Z1869" s="16"/>
      <c r="AA1869" s="16"/>
      <c r="AB1869" s="16">
        <v>12</v>
      </c>
      <c r="AE1869" s="16">
        <f>60/447</f>
        <v>0.13422818791946309</v>
      </c>
      <c r="AF1869" s="21">
        <v>2</v>
      </c>
      <c r="AG1869" s="22">
        <v>60</v>
      </c>
      <c r="AH1869" s="6">
        <v>1</v>
      </c>
      <c r="AI1869" s="21">
        <v>8100</v>
      </c>
      <c r="AJ1869" s="20">
        <f t="shared" si="338"/>
        <v>486000</v>
      </c>
      <c r="AK1869" s="50">
        <v>12</v>
      </c>
      <c r="AL1869" s="6">
        <v>0.14000000000000001</v>
      </c>
      <c r="AM1869" s="20">
        <f t="shared" si="339"/>
        <v>417960</v>
      </c>
      <c r="AN1869" s="20">
        <f>+(S1867*0.13)+AM1869</f>
        <v>424553.6</v>
      </c>
      <c r="AP1869" s="20">
        <f t="shared" si="341"/>
        <v>424553.6</v>
      </c>
      <c r="AQ1869" s="7">
        <v>2.0000000000000001E-4</v>
      </c>
      <c r="AR1869" s="20"/>
      <c r="AS1869" s="51"/>
    </row>
    <row r="1870" spans="1:45" s="21" customFormat="1" ht="30" customHeight="1" x14ac:dyDescent="0.2">
      <c r="A1870" s="8"/>
      <c r="B1870" s="46"/>
      <c r="C1870" s="16"/>
      <c r="D1870" s="48"/>
      <c r="E1870" s="47"/>
      <c r="F1870" s="48"/>
      <c r="G1870" s="49"/>
      <c r="H1870" s="48"/>
      <c r="I1870" s="48"/>
      <c r="J1870" s="48"/>
      <c r="K1870" s="3"/>
      <c r="L1870" s="16"/>
      <c r="M1870" s="57"/>
      <c r="N1870" s="58"/>
      <c r="P1870" s="16"/>
      <c r="Q1870" s="20"/>
      <c r="R1870" s="14" t="e">
        <v>#N/A</v>
      </c>
      <c r="S1870" s="19"/>
      <c r="T1870" s="16"/>
      <c r="U1870" s="17" t="s">
        <v>63</v>
      </c>
      <c r="V1870" s="17" t="s">
        <v>56</v>
      </c>
      <c r="W1870" s="4">
        <v>60</v>
      </c>
      <c r="X1870" s="16"/>
      <c r="Y1870" s="5">
        <v>60</v>
      </c>
      <c r="Z1870" s="16"/>
      <c r="AA1870" s="16"/>
      <c r="AB1870" s="16">
        <v>12</v>
      </c>
      <c r="AE1870" s="16">
        <f>49/447</f>
        <v>0.10961968680089486</v>
      </c>
      <c r="AF1870" s="21">
        <v>2</v>
      </c>
      <c r="AG1870" s="22">
        <v>60</v>
      </c>
      <c r="AH1870" s="6">
        <v>1</v>
      </c>
      <c r="AI1870" s="21">
        <v>8100</v>
      </c>
      <c r="AJ1870" s="20">
        <f t="shared" si="338"/>
        <v>486000</v>
      </c>
      <c r="AK1870" s="50">
        <v>12</v>
      </c>
      <c r="AL1870" s="6">
        <v>0.14000000000000001</v>
      </c>
      <c r="AM1870" s="20">
        <f t="shared" si="339"/>
        <v>417960</v>
      </c>
      <c r="AN1870" s="20">
        <f>+(S1867*0.13)+AM1870</f>
        <v>424553.6</v>
      </c>
      <c r="AP1870" s="20">
        <f t="shared" si="341"/>
        <v>424553.6</v>
      </c>
      <c r="AQ1870" s="7">
        <v>2.0000000000000001E-4</v>
      </c>
      <c r="AR1870" s="20"/>
      <c r="AS1870" s="51"/>
    </row>
    <row r="1871" spans="1:45" s="21" customFormat="1" ht="30" customHeight="1" x14ac:dyDescent="0.2">
      <c r="A1871" s="8"/>
      <c r="B1871" s="46"/>
      <c r="C1871" s="16"/>
      <c r="D1871" s="48"/>
      <c r="E1871" s="47"/>
      <c r="F1871" s="48"/>
      <c r="G1871" s="49"/>
      <c r="H1871" s="48"/>
      <c r="I1871" s="48"/>
      <c r="J1871" s="48"/>
      <c r="K1871" s="3"/>
      <c r="L1871" s="16"/>
      <c r="M1871" s="57"/>
      <c r="N1871" s="58"/>
      <c r="P1871" s="16"/>
      <c r="Q1871" s="20"/>
      <c r="R1871" s="14" t="e">
        <v>#N/A</v>
      </c>
      <c r="S1871" s="19"/>
      <c r="T1871" s="16"/>
      <c r="U1871" s="17" t="s">
        <v>63</v>
      </c>
      <c r="V1871" s="17" t="s">
        <v>56</v>
      </c>
      <c r="W1871" s="4">
        <v>60</v>
      </c>
      <c r="X1871" s="16"/>
      <c r="Y1871" s="5">
        <v>60</v>
      </c>
      <c r="Z1871" s="16"/>
      <c r="AA1871" s="16"/>
      <c r="AB1871" s="16">
        <v>12</v>
      </c>
      <c r="AE1871" s="16"/>
      <c r="AF1871" s="21">
        <v>2</v>
      </c>
      <c r="AG1871" s="22">
        <v>60</v>
      </c>
      <c r="AH1871" s="6">
        <v>1</v>
      </c>
      <c r="AI1871" s="21">
        <v>8100</v>
      </c>
      <c r="AJ1871" s="20">
        <f t="shared" si="338"/>
        <v>486000</v>
      </c>
      <c r="AK1871" s="50">
        <v>12</v>
      </c>
      <c r="AL1871" s="6">
        <v>0.14000000000000001</v>
      </c>
      <c r="AM1871" s="20">
        <f t="shared" si="339"/>
        <v>417960</v>
      </c>
      <c r="AN1871" s="20">
        <f>+(S1867*0.13)+AM1871</f>
        <v>424553.6</v>
      </c>
      <c r="AP1871" s="20">
        <f t="shared" si="341"/>
        <v>424553.6</v>
      </c>
      <c r="AQ1871" s="7">
        <v>2.0000000000000001E-4</v>
      </c>
      <c r="AR1871" s="20"/>
      <c r="AS1871" s="51"/>
    </row>
    <row r="1872" spans="1:45" s="21" customFormat="1" ht="30" customHeight="1" x14ac:dyDescent="0.2">
      <c r="A1872" s="8"/>
      <c r="B1872" s="46"/>
      <c r="C1872" s="16"/>
      <c r="D1872" s="48"/>
      <c r="E1872" s="47"/>
      <c r="F1872" s="48"/>
      <c r="G1872" s="49"/>
      <c r="H1872" s="48"/>
      <c r="I1872" s="48"/>
      <c r="J1872" s="48"/>
      <c r="K1872" s="3"/>
      <c r="L1872" s="16"/>
      <c r="M1872" s="57"/>
      <c r="N1872" s="58"/>
      <c r="P1872" s="16"/>
      <c r="Q1872" s="20"/>
      <c r="R1872" s="14" t="e">
        <v>#N/A</v>
      </c>
      <c r="S1872" s="19"/>
      <c r="T1872" s="16"/>
      <c r="U1872" s="17" t="s">
        <v>63</v>
      </c>
      <c r="V1872" s="17" t="s">
        <v>56</v>
      </c>
      <c r="W1872" s="4">
        <v>49</v>
      </c>
      <c r="X1872" s="16"/>
      <c r="Y1872" s="5">
        <v>49</v>
      </c>
      <c r="Z1872" s="16"/>
      <c r="AA1872" s="16"/>
      <c r="AB1872" s="16">
        <v>11</v>
      </c>
      <c r="AE1872" s="16">
        <f>3.5*14</f>
        <v>49</v>
      </c>
      <c r="AF1872" s="21">
        <v>2</v>
      </c>
      <c r="AG1872" s="22">
        <v>49</v>
      </c>
      <c r="AH1872" s="6">
        <v>1</v>
      </c>
      <c r="AI1872" s="21">
        <v>8100</v>
      </c>
      <c r="AJ1872" s="20">
        <f t="shared" si="338"/>
        <v>396900</v>
      </c>
      <c r="AK1872" s="50">
        <v>11</v>
      </c>
      <c r="AL1872" s="6">
        <v>0.12</v>
      </c>
      <c r="AM1872" s="20">
        <f t="shared" si="339"/>
        <v>349272</v>
      </c>
      <c r="AN1872" s="20">
        <f>+(S1867*0.11)+AM1872</f>
        <v>354851.2</v>
      </c>
      <c r="AP1872" s="20">
        <f t="shared" si="341"/>
        <v>354851.2</v>
      </c>
      <c r="AQ1872" s="7">
        <v>2.0000000000000001E-4</v>
      </c>
      <c r="AR1872" s="20"/>
      <c r="AS1872" s="51"/>
    </row>
    <row r="1873" spans="1:45" s="21" customFormat="1" ht="30" customHeight="1" x14ac:dyDescent="0.2">
      <c r="A1873" s="8"/>
      <c r="B1873" s="46"/>
      <c r="C1873" s="16"/>
      <c r="D1873" s="48"/>
      <c r="E1873" s="47"/>
      <c r="F1873" s="48"/>
      <c r="G1873" s="49"/>
      <c r="H1873" s="48"/>
      <c r="I1873" s="48"/>
      <c r="J1873" s="48"/>
      <c r="K1873" s="3"/>
      <c r="L1873" s="16"/>
      <c r="M1873" s="57"/>
      <c r="N1873" s="58"/>
      <c r="P1873" s="16"/>
      <c r="Q1873" s="20"/>
      <c r="R1873" s="14" t="e">
        <v>#N/A</v>
      </c>
      <c r="S1873" s="19"/>
      <c r="T1873" s="16"/>
      <c r="U1873" s="17" t="s">
        <v>63</v>
      </c>
      <c r="V1873" s="17" t="s">
        <v>56</v>
      </c>
      <c r="W1873" s="4">
        <v>49</v>
      </c>
      <c r="X1873" s="16"/>
      <c r="Y1873" s="5">
        <v>49</v>
      </c>
      <c r="Z1873" s="16"/>
      <c r="AA1873" s="16"/>
      <c r="AB1873" s="16">
        <v>11</v>
      </c>
      <c r="AE1873" s="16"/>
      <c r="AF1873" s="21">
        <v>2</v>
      </c>
      <c r="AG1873" s="22">
        <v>49</v>
      </c>
      <c r="AH1873" s="6">
        <v>1</v>
      </c>
      <c r="AI1873" s="21">
        <v>8100</v>
      </c>
      <c r="AJ1873" s="20">
        <f t="shared" si="338"/>
        <v>396900</v>
      </c>
      <c r="AK1873" s="50">
        <v>11</v>
      </c>
      <c r="AL1873" s="6">
        <v>0.12</v>
      </c>
      <c r="AM1873" s="20">
        <f t="shared" si="339"/>
        <v>349272</v>
      </c>
      <c r="AN1873" s="20">
        <f>+(S1867*0.11)+AM1873</f>
        <v>354851.2</v>
      </c>
      <c r="AP1873" s="20">
        <f t="shared" si="341"/>
        <v>354851.2</v>
      </c>
      <c r="AQ1873" s="7">
        <v>2.0000000000000001E-4</v>
      </c>
      <c r="AR1873" s="20"/>
      <c r="AS1873" s="51"/>
    </row>
    <row r="1874" spans="1:45" s="21" customFormat="1" ht="30" customHeight="1" x14ac:dyDescent="0.2">
      <c r="A1874" s="8"/>
      <c r="B1874" s="46"/>
      <c r="C1874" s="16"/>
      <c r="D1874" s="48"/>
      <c r="E1874" s="47"/>
      <c r="F1874" s="48"/>
      <c r="G1874" s="49"/>
      <c r="H1874" s="48"/>
      <c r="I1874" s="48"/>
      <c r="J1874" s="48"/>
      <c r="K1874" s="3"/>
      <c r="L1874" s="16"/>
      <c r="M1874" s="57"/>
      <c r="N1874" s="58"/>
      <c r="P1874" s="16"/>
      <c r="Q1874" s="20"/>
      <c r="R1874" s="14" t="e">
        <v>#N/A</v>
      </c>
      <c r="S1874" s="19"/>
      <c r="T1874" s="16"/>
      <c r="U1874" s="17" t="s">
        <v>63</v>
      </c>
      <c r="V1874" s="17" t="s">
        <v>56</v>
      </c>
      <c r="W1874" s="4">
        <v>49</v>
      </c>
      <c r="X1874" s="16"/>
      <c r="Y1874" s="5">
        <v>49</v>
      </c>
      <c r="Z1874" s="16"/>
      <c r="AA1874" s="16"/>
      <c r="AB1874" s="16">
        <v>11</v>
      </c>
      <c r="AE1874" s="16"/>
      <c r="AF1874" s="21">
        <v>2</v>
      </c>
      <c r="AG1874" s="22">
        <v>49</v>
      </c>
      <c r="AH1874" s="6">
        <v>1</v>
      </c>
      <c r="AI1874" s="21">
        <v>8100</v>
      </c>
      <c r="AJ1874" s="20">
        <f t="shared" si="338"/>
        <v>396900</v>
      </c>
      <c r="AK1874" s="50">
        <v>11</v>
      </c>
      <c r="AL1874" s="6">
        <v>0.12</v>
      </c>
      <c r="AM1874" s="20">
        <f t="shared" si="339"/>
        <v>349272</v>
      </c>
      <c r="AN1874" s="20">
        <f>+(S1867*0.11)+AM1874</f>
        <v>354851.2</v>
      </c>
      <c r="AP1874" s="20">
        <f t="shared" si="341"/>
        <v>354851.2</v>
      </c>
      <c r="AQ1874" s="7">
        <v>2.0000000000000001E-4</v>
      </c>
      <c r="AR1874" s="20"/>
      <c r="AS1874" s="51"/>
    </row>
    <row r="1875" spans="1:45" s="21" customFormat="1" ht="30" customHeight="1" x14ac:dyDescent="0.2">
      <c r="A1875" s="8"/>
      <c r="B1875" s="46"/>
      <c r="C1875" s="16"/>
      <c r="D1875" s="48"/>
      <c r="E1875" s="47"/>
      <c r="F1875" s="48"/>
      <c r="G1875" s="49"/>
      <c r="H1875" s="48"/>
      <c r="I1875" s="48"/>
      <c r="J1875" s="48"/>
      <c r="K1875" s="3"/>
      <c r="L1875" s="16"/>
      <c r="M1875" s="57"/>
      <c r="N1875" s="58"/>
      <c r="P1875" s="16"/>
      <c r="Q1875" s="20"/>
      <c r="R1875" s="14" t="e">
        <v>#N/A</v>
      </c>
      <c r="S1875" s="19"/>
      <c r="T1875" s="16"/>
      <c r="U1875" s="17" t="s">
        <v>63</v>
      </c>
      <c r="V1875" s="17" t="s">
        <v>56</v>
      </c>
      <c r="W1875" s="4">
        <v>60</v>
      </c>
      <c r="X1875" s="16"/>
      <c r="Y1875" s="5">
        <v>60</v>
      </c>
      <c r="Z1875" s="16"/>
      <c r="AA1875" s="16"/>
      <c r="AB1875" s="16">
        <v>12</v>
      </c>
      <c r="AE1875" s="16"/>
      <c r="AF1875" s="21">
        <v>2</v>
      </c>
      <c r="AG1875" s="22">
        <v>60</v>
      </c>
      <c r="AH1875" s="6">
        <v>1</v>
      </c>
      <c r="AI1875" s="21">
        <v>8100</v>
      </c>
      <c r="AJ1875" s="20">
        <f t="shared" si="338"/>
        <v>486000</v>
      </c>
      <c r="AK1875" s="50">
        <v>12</v>
      </c>
      <c r="AL1875" s="6">
        <v>0.14000000000000001</v>
      </c>
      <c r="AM1875" s="20">
        <f t="shared" si="339"/>
        <v>417960</v>
      </c>
      <c r="AN1875" s="20">
        <f>+(S1867*0.13)+AM1875</f>
        <v>424553.6</v>
      </c>
      <c r="AP1875" s="20">
        <f t="shared" si="341"/>
        <v>424553.6</v>
      </c>
      <c r="AQ1875" s="7">
        <v>2.0000000000000001E-4</v>
      </c>
      <c r="AR1875" s="20"/>
      <c r="AS1875" s="51"/>
    </row>
    <row r="1876" spans="1:45" ht="30" customHeight="1" x14ac:dyDescent="0.2">
      <c r="A1876" s="8">
        <v>1607</v>
      </c>
      <c r="B1876" s="13">
        <v>7</v>
      </c>
      <c r="C1876" s="16" t="s">
        <v>65</v>
      </c>
      <c r="D1876" s="17">
        <v>1162</v>
      </c>
      <c r="E1876" s="17">
        <v>17</v>
      </c>
      <c r="H1876" s="17">
        <v>1</v>
      </c>
      <c r="I1876" s="17">
        <v>0</v>
      </c>
      <c r="J1876" s="17">
        <v>6</v>
      </c>
      <c r="K1876" s="10">
        <v>406</v>
      </c>
      <c r="P1876" s="17">
        <v>1</v>
      </c>
      <c r="Q1876" s="20">
        <f t="shared" ref="Q1876:Q1905" si="342">+(H1876*400)+(I1876*100)+J1876</f>
        <v>406</v>
      </c>
      <c r="R1876" s="14">
        <v>160</v>
      </c>
      <c r="S1876" s="19">
        <f t="shared" ref="S1876:S1910" si="343">+Q1876*R1876</f>
        <v>64960</v>
      </c>
      <c r="AC1876" s="21"/>
      <c r="AD1876" s="21"/>
      <c r="AG1876" s="22">
        <f t="shared" ref="AG1876:AG1910" si="344">Y1876</f>
        <v>0</v>
      </c>
      <c r="AJ1876" s="20">
        <f t="shared" si="338"/>
        <v>0</v>
      </c>
      <c r="AM1876" s="20">
        <f t="shared" si="339"/>
        <v>0</v>
      </c>
      <c r="AN1876" s="20">
        <f t="shared" ref="AN1876:AN1907" si="345">+S1876+AM1876</f>
        <v>64960</v>
      </c>
      <c r="AP1876" s="20">
        <f t="shared" si="341"/>
        <v>64960</v>
      </c>
      <c r="AQ1876" s="12">
        <v>1E-4</v>
      </c>
      <c r="AR1876" s="20"/>
    </row>
    <row r="1877" spans="1:45" ht="30" customHeight="1" x14ac:dyDescent="0.2">
      <c r="A1877" s="8">
        <v>1608</v>
      </c>
      <c r="B1877" s="13">
        <v>8</v>
      </c>
      <c r="C1877" s="16" t="s">
        <v>65</v>
      </c>
      <c r="D1877" s="17">
        <v>2012</v>
      </c>
      <c r="E1877" s="17">
        <v>46</v>
      </c>
      <c r="H1877" s="17">
        <v>9</v>
      </c>
      <c r="I1877" s="17">
        <v>0</v>
      </c>
      <c r="J1877" s="17">
        <v>46</v>
      </c>
      <c r="K1877" s="10">
        <f>9*400+46</f>
        <v>3646</v>
      </c>
      <c r="P1877" s="17">
        <v>1</v>
      </c>
      <c r="Q1877" s="20">
        <f t="shared" si="342"/>
        <v>3646</v>
      </c>
      <c r="R1877" s="14">
        <v>160</v>
      </c>
      <c r="S1877" s="20">
        <f t="shared" si="343"/>
        <v>583360</v>
      </c>
      <c r="AC1877" s="21"/>
      <c r="AD1877" s="21"/>
      <c r="AG1877" s="22">
        <f t="shared" si="344"/>
        <v>0</v>
      </c>
      <c r="AJ1877" s="20">
        <f t="shared" si="338"/>
        <v>0</v>
      </c>
      <c r="AM1877" s="20">
        <f t="shared" si="339"/>
        <v>0</v>
      </c>
      <c r="AN1877" s="20">
        <f t="shared" si="345"/>
        <v>583360</v>
      </c>
      <c r="AP1877" s="20">
        <f t="shared" si="341"/>
        <v>583360</v>
      </c>
      <c r="AQ1877" s="12">
        <v>1E-4</v>
      </c>
      <c r="AR1877" s="20"/>
    </row>
    <row r="1878" spans="1:45" s="21" customFormat="1" ht="30" customHeight="1" x14ac:dyDescent="0.2">
      <c r="A1878" s="8">
        <v>1609</v>
      </c>
      <c r="B1878" s="46">
        <v>1</v>
      </c>
      <c r="C1878" s="16" t="s">
        <v>52</v>
      </c>
      <c r="D1878" s="48">
        <v>1670</v>
      </c>
      <c r="E1878" s="47">
        <v>13</v>
      </c>
      <c r="F1878" s="48">
        <v>942</v>
      </c>
      <c r="G1878" s="49">
        <v>2</v>
      </c>
      <c r="H1878" s="48">
        <v>0</v>
      </c>
      <c r="I1878" s="48">
        <v>0</v>
      </c>
      <c r="J1878" s="48">
        <v>65</v>
      </c>
      <c r="K1878" s="3"/>
      <c r="L1878" s="16">
        <v>65</v>
      </c>
      <c r="M1878" s="57"/>
      <c r="N1878" s="58"/>
      <c r="P1878" s="16">
        <v>2</v>
      </c>
      <c r="Q1878" s="20">
        <f t="shared" si="342"/>
        <v>65</v>
      </c>
      <c r="R1878" s="14">
        <v>4500</v>
      </c>
      <c r="S1878" s="19">
        <f t="shared" si="343"/>
        <v>292500</v>
      </c>
      <c r="T1878" s="16"/>
      <c r="U1878" s="17" t="s">
        <v>57</v>
      </c>
      <c r="V1878" s="17" t="s">
        <v>56</v>
      </c>
      <c r="W1878" s="4"/>
      <c r="X1878" s="16"/>
      <c r="Y1878" s="5">
        <v>121.5</v>
      </c>
      <c r="Z1878" s="16"/>
      <c r="AA1878" s="16"/>
      <c r="AB1878" s="16">
        <f>62-15</f>
        <v>47</v>
      </c>
      <c r="AE1878" s="16"/>
      <c r="AG1878" s="22">
        <f t="shared" si="344"/>
        <v>121.5</v>
      </c>
      <c r="AH1878" s="6"/>
      <c r="AJ1878" s="20">
        <f t="shared" si="338"/>
        <v>0</v>
      </c>
      <c r="AK1878" s="50">
        <v>47</v>
      </c>
      <c r="AL1878" s="6"/>
      <c r="AM1878" s="20">
        <f t="shared" si="339"/>
        <v>0</v>
      </c>
      <c r="AN1878" s="20">
        <f t="shared" si="345"/>
        <v>292500</v>
      </c>
      <c r="AP1878" s="20">
        <f t="shared" si="341"/>
        <v>292500</v>
      </c>
      <c r="AQ1878" s="7"/>
      <c r="AR1878" s="20"/>
      <c r="AS1878" s="51"/>
    </row>
    <row r="1879" spans="1:45" ht="30" customHeight="1" x14ac:dyDescent="0.2">
      <c r="A1879" s="8">
        <v>1610</v>
      </c>
      <c r="B1879" s="13">
        <v>2</v>
      </c>
      <c r="C1879" s="16" t="s">
        <v>65</v>
      </c>
      <c r="D1879" s="17">
        <v>2010</v>
      </c>
      <c r="E1879" s="17">
        <v>44</v>
      </c>
      <c r="H1879" s="17">
        <v>9</v>
      </c>
      <c r="I1879" s="17">
        <v>3</v>
      </c>
      <c r="J1879" s="17">
        <v>6</v>
      </c>
      <c r="K1879" s="10">
        <f>9*400+306</f>
        <v>3906</v>
      </c>
      <c r="P1879" s="17">
        <v>1</v>
      </c>
      <c r="Q1879" s="20">
        <f t="shared" si="342"/>
        <v>3906</v>
      </c>
      <c r="R1879" s="14">
        <v>160</v>
      </c>
      <c r="S1879" s="19">
        <f t="shared" si="343"/>
        <v>624960</v>
      </c>
      <c r="AC1879" s="21"/>
      <c r="AD1879" s="21"/>
      <c r="AG1879" s="22">
        <f t="shared" si="344"/>
        <v>0</v>
      </c>
      <c r="AJ1879" s="20">
        <f t="shared" si="338"/>
        <v>0</v>
      </c>
      <c r="AM1879" s="20">
        <f t="shared" si="339"/>
        <v>0</v>
      </c>
      <c r="AN1879" s="20">
        <f t="shared" si="345"/>
        <v>624960</v>
      </c>
      <c r="AP1879" s="20">
        <f t="shared" si="341"/>
        <v>624960</v>
      </c>
      <c r="AQ1879" s="12">
        <v>1E-4</v>
      </c>
      <c r="AR1879" s="20"/>
    </row>
    <row r="1880" spans="1:45" s="21" customFormat="1" ht="30" customHeight="1" x14ac:dyDescent="0.2">
      <c r="A1880" s="8">
        <v>1611</v>
      </c>
      <c r="B1880" s="46">
        <v>1</v>
      </c>
      <c r="C1880" s="16" t="s">
        <v>52</v>
      </c>
      <c r="D1880" s="48">
        <v>5060</v>
      </c>
      <c r="E1880" s="47">
        <v>145</v>
      </c>
      <c r="F1880" s="48">
        <v>2113</v>
      </c>
      <c r="G1880" s="49">
        <v>2</v>
      </c>
      <c r="H1880" s="48">
        <v>3</v>
      </c>
      <c r="I1880" s="48">
        <v>1</v>
      </c>
      <c r="J1880" s="48">
        <v>22</v>
      </c>
      <c r="K1880" s="3">
        <v>1322</v>
      </c>
      <c r="L1880" s="16"/>
      <c r="M1880" s="57"/>
      <c r="N1880" s="58"/>
      <c r="P1880" s="16">
        <v>1</v>
      </c>
      <c r="Q1880" s="20">
        <f t="shared" si="342"/>
        <v>1322</v>
      </c>
      <c r="R1880" s="14">
        <v>4500</v>
      </c>
      <c r="S1880" s="20">
        <f t="shared" si="343"/>
        <v>5949000</v>
      </c>
      <c r="T1880" s="16"/>
      <c r="U1880" s="17"/>
      <c r="V1880" s="17"/>
      <c r="W1880" s="4"/>
      <c r="X1880" s="16"/>
      <c r="Y1880" s="5"/>
      <c r="Z1880" s="16"/>
      <c r="AA1880" s="16"/>
      <c r="AB1880" s="16"/>
      <c r="AE1880" s="16"/>
      <c r="AG1880" s="22">
        <f t="shared" si="344"/>
        <v>0</v>
      </c>
      <c r="AH1880" s="6"/>
      <c r="AJ1880" s="20">
        <f t="shared" si="338"/>
        <v>0</v>
      </c>
      <c r="AK1880" s="50"/>
      <c r="AL1880" s="6"/>
      <c r="AM1880" s="20">
        <f t="shared" si="339"/>
        <v>0</v>
      </c>
      <c r="AN1880" s="20">
        <f t="shared" si="345"/>
        <v>5949000</v>
      </c>
      <c r="AP1880" s="20">
        <f t="shared" si="341"/>
        <v>5949000</v>
      </c>
      <c r="AQ1880" s="7"/>
      <c r="AR1880" s="20"/>
      <c r="AS1880" s="51"/>
    </row>
    <row r="1881" spans="1:45" s="21" customFormat="1" ht="30" customHeight="1" x14ac:dyDescent="0.2">
      <c r="A1881" s="8">
        <v>1612</v>
      </c>
      <c r="B1881" s="46">
        <v>1</v>
      </c>
      <c r="C1881" s="16" t="s">
        <v>52</v>
      </c>
      <c r="D1881" s="48">
        <v>11780</v>
      </c>
      <c r="E1881" s="47">
        <v>116</v>
      </c>
      <c r="F1881" s="48">
        <v>3211</v>
      </c>
      <c r="G1881" s="49">
        <v>2</v>
      </c>
      <c r="H1881" s="48">
        <v>2</v>
      </c>
      <c r="I1881" s="48">
        <v>0</v>
      </c>
      <c r="J1881" s="48">
        <v>31.08</v>
      </c>
      <c r="K1881" s="3">
        <v>831.08</v>
      </c>
      <c r="L1881" s="16"/>
      <c r="M1881" s="57"/>
      <c r="N1881" s="58"/>
      <c r="P1881" s="16">
        <v>1</v>
      </c>
      <c r="Q1881" s="20">
        <f t="shared" si="342"/>
        <v>831.08</v>
      </c>
      <c r="R1881" s="14">
        <v>4500</v>
      </c>
      <c r="S1881" s="19">
        <f t="shared" si="343"/>
        <v>3739860</v>
      </c>
      <c r="T1881" s="16"/>
      <c r="U1881" s="17"/>
      <c r="V1881" s="17"/>
      <c r="W1881" s="4"/>
      <c r="X1881" s="16"/>
      <c r="Y1881" s="5"/>
      <c r="Z1881" s="16"/>
      <c r="AA1881" s="16"/>
      <c r="AB1881" s="16"/>
      <c r="AE1881" s="16"/>
      <c r="AG1881" s="22">
        <f t="shared" si="344"/>
        <v>0</v>
      </c>
      <c r="AH1881" s="6"/>
      <c r="AJ1881" s="20">
        <f t="shared" si="338"/>
        <v>0</v>
      </c>
      <c r="AK1881" s="50"/>
      <c r="AL1881" s="6"/>
      <c r="AM1881" s="20">
        <f t="shared" si="339"/>
        <v>0</v>
      </c>
      <c r="AN1881" s="20">
        <f t="shared" si="345"/>
        <v>3739860</v>
      </c>
      <c r="AP1881" s="20">
        <f t="shared" si="341"/>
        <v>3739860</v>
      </c>
      <c r="AQ1881" s="7"/>
      <c r="AR1881" s="20"/>
      <c r="AS1881" s="51"/>
    </row>
    <row r="1882" spans="1:45" s="21" customFormat="1" ht="30" customHeight="1" x14ac:dyDescent="0.2">
      <c r="A1882" s="8">
        <v>1613</v>
      </c>
      <c r="B1882" s="46">
        <v>2</v>
      </c>
      <c r="C1882" s="16" t="s">
        <v>52</v>
      </c>
      <c r="D1882" s="48">
        <v>26039</v>
      </c>
      <c r="E1882" s="47">
        <v>39</v>
      </c>
      <c r="F1882" s="48">
        <v>5016</v>
      </c>
      <c r="G1882" s="49">
        <v>2</v>
      </c>
      <c r="H1882" s="48">
        <v>2</v>
      </c>
      <c r="I1882" s="48">
        <v>0</v>
      </c>
      <c r="J1882" s="48">
        <v>0</v>
      </c>
      <c r="K1882" s="3">
        <v>800</v>
      </c>
      <c r="L1882" s="16"/>
      <c r="M1882" s="57"/>
      <c r="N1882" s="58"/>
      <c r="P1882" s="16">
        <v>1</v>
      </c>
      <c r="Q1882" s="20">
        <f t="shared" si="342"/>
        <v>800</v>
      </c>
      <c r="R1882" s="14">
        <v>200</v>
      </c>
      <c r="S1882" s="19">
        <f t="shared" si="343"/>
        <v>160000</v>
      </c>
      <c r="T1882" s="16"/>
      <c r="U1882" s="17"/>
      <c r="V1882" s="17"/>
      <c r="W1882" s="4"/>
      <c r="X1882" s="16"/>
      <c r="Y1882" s="5"/>
      <c r="Z1882" s="16"/>
      <c r="AA1882" s="16"/>
      <c r="AB1882" s="16"/>
      <c r="AE1882" s="16"/>
      <c r="AG1882" s="22">
        <f t="shared" si="344"/>
        <v>0</v>
      </c>
      <c r="AH1882" s="6"/>
      <c r="AJ1882" s="20">
        <f t="shared" si="338"/>
        <v>0</v>
      </c>
      <c r="AK1882" s="50"/>
      <c r="AL1882" s="6"/>
      <c r="AM1882" s="20">
        <f t="shared" si="339"/>
        <v>0</v>
      </c>
      <c r="AN1882" s="20">
        <f t="shared" si="345"/>
        <v>160000</v>
      </c>
      <c r="AP1882" s="20">
        <f t="shared" si="341"/>
        <v>160000</v>
      </c>
      <c r="AQ1882" s="7"/>
      <c r="AR1882" s="20"/>
      <c r="AS1882" s="51"/>
    </row>
    <row r="1883" spans="1:45" s="21" customFormat="1" ht="30" customHeight="1" x14ac:dyDescent="0.2">
      <c r="A1883" s="8">
        <v>1614</v>
      </c>
      <c r="B1883" s="46">
        <v>1</v>
      </c>
      <c r="C1883" s="16" t="s">
        <v>52</v>
      </c>
      <c r="D1883" s="48">
        <v>11784</v>
      </c>
      <c r="E1883" s="47">
        <v>113</v>
      </c>
      <c r="F1883" s="48">
        <v>3215</v>
      </c>
      <c r="G1883" s="49">
        <v>2</v>
      </c>
      <c r="H1883" s="48">
        <v>1</v>
      </c>
      <c r="I1883" s="48">
        <v>1</v>
      </c>
      <c r="J1883" s="48">
        <v>13</v>
      </c>
      <c r="K1883" s="3">
        <v>513</v>
      </c>
      <c r="L1883" s="16"/>
      <c r="M1883" s="57"/>
      <c r="N1883" s="58"/>
      <c r="P1883" s="16">
        <v>1</v>
      </c>
      <c r="Q1883" s="20">
        <f t="shared" si="342"/>
        <v>513</v>
      </c>
      <c r="R1883" s="14">
        <v>200</v>
      </c>
      <c r="S1883" s="20">
        <f t="shared" si="343"/>
        <v>102600</v>
      </c>
      <c r="T1883" s="16"/>
      <c r="U1883" s="16"/>
      <c r="V1883" s="16"/>
      <c r="W1883" s="5"/>
      <c r="X1883" s="16"/>
      <c r="Y1883" s="5"/>
      <c r="Z1883" s="16"/>
      <c r="AA1883" s="16"/>
      <c r="AB1883" s="16"/>
      <c r="AC1883" s="14"/>
      <c r="AD1883" s="14"/>
      <c r="AE1883" s="16"/>
      <c r="AG1883" s="22">
        <f t="shared" si="344"/>
        <v>0</v>
      </c>
      <c r="AH1883" s="6"/>
      <c r="AJ1883" s="20">
        <f t="shared" si="338"/>
        <v>0</v>
      </c>
      <c r="AK1883" s="50"/>
      <c r="AL1883" s="6"/>
      <c r="AM1883" s="20">
        <f t="shared" si="339"/>
        <v>0</v>
      </c>
      <c r="AN1883" s="20">
        <f t="shared" si="345"/>
        <v>102600</v>
      </c>
      <c r="AP1883" s="20">
        <f t="shared" si="341"/>
        <v>102600</v>
      </c>
      <c r="AQ1883" s="7"/>
      <c r="AR1883" s="20"/>
      <c r="AS1883" s="51"/>
    </row>
    <row r="1884" spans="1:45" ht="30" customHeight="1" x14ac:dyDescent="0.2">
      <c r="Q1884" s="20">
        <f t="shared" si="342"/>
        <v>0</v>
      </c>
      <c r="R1884" s="14" t="e">
        <v>#N/A</v>
      </c>
      <c r="S1884" s="19" t="e">
        <f t="shared" si="343"/>
        <v>#N/A</v>
      </c>
      <c r="AG1884" s="22">
        <f t="shared" si="344"/>
        <v>0</v>
      </c>
      <c r="AJ1884" s="20">
        <f t="shared" si="338"/>
        <v>0</v>
      </c>
      <c r="AM1884" s="20">
        <f t="shared" si="339"/>
        <v>0</v>
      </c>
      <c r="AN1884" s="20" t="e">
        <f t="shared" si="345"/>
        <v>#N/A</v>
      </c>
      <c r="AP1884" s="20" t="e">
        <f t="shared" si="341"/>
        <v>#N/A</v>
      </c>
      <c r="AR1884" s="20"/>
    </row>
    <row r="1885" spans="1:45" s="21" customFormat="1" ht="30" customHeight="1" x14ac:dyDescent="0.2">
      <c r="A1885" s="8">
        <v>1615</v>
      </c>
      <c r="B1885" s="46">
        <v>1</v>
      </c>
      <c r="C1885" s="16" t="s">
        <v>52</v>
      </c>
      <c r="D1885" s="48">
        <v>2970</v>
      </c>
      <c r="E1885" s="47">
        <v>66</v>
      </c>
      <c r="F1885" s="48">
        <v>2037</v>
      </c>
      <c r="G1885" s="49">
        <v>2</v>
      </c>
      <c r="H1885" s="48">
        <v>2</v>
      </c>
      <c r="I1885" s="48">
        <v>2</v>
      </c>
      <c r="J1885" s="48">
        <v>38</v>
      </c>
      <c r="K1885" s="3">
        <v>1038</v>
      </c>
      <c r="L1885" s="16"/>
      <c r="M1885" s="57"/>
      <c r="N1885" s="58"/>
      <c r="P1885" s="16">
        <v>1</v>
      </c>
      <c r="Q1885" s="20">
        <f t="shared" si="342"/>
        <v>1038</v>
      </c>
      <c r="R1885" s="14">
        <v>160</v>
      </c>
      <c r="S1885" s="19">
        <f t="shared" si="343"/>
        <v>166080</v>
      </c>
      <c r="T1885" s="16"/>
      <c r="U1885" s="17"/>
      <c r="V1885" s="17"/>
      <c r="W1885" s="4"/>
      <c r="X1885" s="16"/>
      <c r="Y1885" s="5"/>
      <c r="Z1885" s="16"/>
      <c r="AA1885" s="16"/>
      <c r="AB1885" s="16"/>
      <c r="AC1885" s="14"/>
      <c r="AD1885" s="14"/>
      <c r="AE1885" s="16"/>
      <c r="AG1885" s="22">
        <f t="shared" si="344"/>
        <v>0</v>
      </c>
      <c r="AH1885" s="6"/>
      <c r="AJ1885" s="20">
        <f t="shared" si="338"/>
        <v>0</v>
      </c>
      <c r="AK1885" s="50"/>
      <c r="AL1885" s="6"/>
      <c r="AM1885" s="20">
        <f t="shared" si="339"/>
        <v>0</v>
      </c>
      <c r="AN1885" s="20">
        <f t="shared" si="345"/>
        <v>166080</v>
      </c>
      <c r="AP1885" s="20">
        <f t="shared" si="341"/>
        <v>166080</v>
      </c>
      <c r="AQ1885" s="7"/>
      <c r="AR1885" s="20"/>
      <c r="AS1885" s="51"/>
    </row>
    <row r="1886" spans="1:45" s="21" customFormat="1" ht="30" customHeight="1" x14ac:dyDescent="0.2">
      <c r="A1886" s="8">
        <v>1616</v>
      </c>
      <c r="B1886" s="46">
        <v>2</v>
      </c>
      <c r="C1886" s="16" t="s">
        <v>52</v>
      </c>
      <c r="D1886" s="48">
        <v>2971</v>
      </c>
      <c r="E1886" s="47">
        <v>143</v>
      </c>
      <c r="F1886" s="48">
        <v>2038</v>
      </c>
      <c r="G1886" s="49">
        <v>2</v>
      </c>
      <c r="H1886" s="48">
        <v>3</v>
      </c>
      <c r="I1886" s="48">
        <v>2</v>
      </c>
      <c r="J1886" s="48">
        <v>3</v>
      </c>
      <c r="K1886" s="3">
        <v>1403</v>
      </c>
      <c r="L1886" s="16"/>
      <c r="M1886" s="57"/>
      <c r="N1886" s="58"/>
      <c r="P1886" s="16">
        <v>1</v>
      </c>
      <c r="Q1886" s="20">
        <f t="shared" si="342"/>
        <v>1403</v>
      </c>
      <c r="R1886" s="14">
        <v>160</v>
      </c>
      <c r="S1886" s="20">
        <f t="shared" si="343"/>
        <v>224480</v>
      </c>
      <c r="T1886" s="16"/>
      <c r="U1886" s="17"/>
      <c r="V1886" s="17"/>
      <c r="W1886" s="4"/>
      <c r="X1886" s="16"/>
      <c r="Y1886" s="5"/>
      <c r="Z1886" s="16"/>
      <c r="AA1886" s="16"/>
      <c r="AB1886" s="16"/>
      <c r="AC1886" s="14"/>
      <c r="AD1886" s="14"/>
      <c r="AE1886" s="16"/>
      <c r="AG1886" s="22">
        <f t="shared" si="344"/>
        <v>0</v>
      </c>
      <c r="AH1886" s="6"/>
      <c r="AJ1886" s="20">
        <f t="shared" si="338"/>
        <v>0</v>
      </c>
      <c r="AK1886" s="50"/>
      <c r="AL1886" s="6"/>
      <c r="AM1886" s="20">
        <f t="shared" si="339"/>
        <v>0</v>
      </c>
      <c r="AN1886" s="20">
        <f t="shared" si="345"/>
        <v>224480</v>
      </c>
      <c r="AP1886" s="20">
        <f t="shared" si="341"/>
        <v>224480</v>
      </c>
      <c r="AQ1886" s="7"/>
      <c r="AR1886" s="20"/>
      <c r="AS1886" s="51"/>
    </row>
    <row r="1887" spans="1:45" s="21" customFormat="1" ht="30" customHeight="1" x14ac:dyDescent="0.2">
      <c r="A1887" s="8">
        <v>1617</v>
      </c>
      <c r="B1887" s="46">
        <v>3</v>
      </c>
      <c r="C1887" s="16" t="s">
        <v>52</v>
      </c>
      <c r="D1887" s="48">
        <v>3790</v>
      </c>
      <c r="E1887" s="47">
        <v>24</v>
      </c>
      <c r="F1887" s="48">
        <v>2345</v>
      </c>
      <c r="G1887" s="49">
        <v>2</v>
      </c>
      <c r="H1887" s="48">
        <v>13</v>
      </c>
      <c r="I1887" s="48">
        <v>3</v>
      </c>
      <c r="J1887" s="48">
        <v>7</v>
      </c>
      <c r="K1887" s="3">
        <f>13*400+307</f>
        <v>5507</v>
      </c>
      <c r="L1887" s="16"/>
      <c r="M1887" s="57"/>
      <c r="N1887" s="58"/>
      <c r="P1887" s="16">
        <v>1</v>
      </c>
      <c r="Q1887" s="20">
        <f t="shared" si="342"/>
        <v>5507</v>
      </c>
      <c r="R1887" s="14">
        <v>200</v>
      </c>
      <c r="S1887" s="19">
        <f t="shared" si="343"/>
        <v>1101400</v>
      </c>
      <c r="T1887" s="16"/>
      <c r="U1887" s="17"/>
      <c r="V1887" s="17"/>
      <c r="W1887" s="4"/>
      <c r="X1887" s="16"/>
      <c r="Y1887" s="5"/>
      <c r="Z1887" s="16"/>
      <c r="AA1887" s="16"/>
      <c r="AB1887" s="16"/>
      <c r="AC1887" s="14"/>
      <c r="AD1887" s="14"/>
      <c r="AE1887" s="16"/>
      <c r="AG1887" s="22">
        <f t="shared" si="344"/>
        <v>0</v>
      </c>
      <c r="AH1887" s="6"/>
      <c r="AJ1887" s="20">
        <f t="shared" si="338"/>
        <v>0</v>
      </c>
      <c r="AK1887" s="50"/>
      <c r="AL1887" s="6"/>
      <c r="AM1887" s="20">
        <f t="shared" si="339"/>
        <v>0</v>
      </c>
      <c r="AN1887" s="20">
        <f t="shared" si="345"/>
        <v>1101400</v>
      </c>
      <c r="AP1887" s="20">
        <f t="shared" si="341"/>
        <v>1101400</v>
      </c>
      <c r="AQ1887" s="7"/>
      <c r="AR1887" s="20"/>
      <c r="AS1887" s="51"/>
    </row>
    <row r="1888" spans="1:45" s="21" customFormat="1" ht="30" customHeight="1" x14ac:dyDescent="0.2">
      <c r="A1888" s="8">
        <v>1618</v>
      </c>
      <c r="B1888" s="46">
        <v>1</v>
      </c>
      <c r="C1888" s="16" t="s">
        <v>52</v>
      </c>
      <c r="D1888" s="48">
        <v>11782</v>
      </c>
      <c r="E1888" s="47">
        <v>111</v>
      </c>
      <c r="F1888" s="48">
        <v>3213</v>
      </c>
      <c r="G1888" s="49">
        <v>2</v>
      </c>
      <c r="H1888" s="48">
        <v>1</v>
      </c>
      <c r="I1888" s="48">
        <v>1</v>
      </c>
      <c r="J1888" s="48">
        <v>3.09</v>
      </c>
      <c r="K1888" s="3">
        <v>503.09</v>
      </c>
      <c r="L1888" s="16"/>
      <c r="M1888" s="57"/>
      <c r="N1888" s="58"/>
      <c r="P1888" s="16">
        <v>1</v>
      </c>
      <c r="Q1888" s="20">
        <f t="shared" si="342"/>
        <v>503.09</v>
      </c>
      <c r="R1888" s="14">
        <v>200</v>
      </c>
      <c r="S1888" s="19">
        <f t="shared" si="343"/>
        <v>100618</v>
      </c>
      <c r="T1888" s="16"/>
      <c r="U1888" s="17"/>
      <c r="V1888" s="17"/>
      <c r="W1888" s="4"/>
      <c r="X1888" s="16"/>
      <c r="Y1888" s="5"/>
      <c r="Z1888" s="16"/>
      <c r="AA1888" s="16"/>
      <c r="AB1888" s="16"/>
      <c r="AC1888" s="14"/>
      <c r="AD1888" s="14"/>
      <c r="AE1888" s="16"/>
      <c r="AG1888" s="22">
        <f t="shared" si="344"/>
        <v>0</v>
      </c>
      <c r="AH1888" s="6"/>
      <c r="AJ1888" s="20">
        <f t="shared" si="338"/>
        <v>0</v>
      </c>
      <c r="AK1888" s="50"/>
      <c r="AL1888" s="6"/>
      <c r="AM1888" s="20">
        <f t="shared" si="339"/>
        <v>0</v>
      </c>
      <c r="AN1888" s="20">
        <f t="shared" si="345"/>
        <v>100618</v>
      </c>
      <c r="AP1888" s="20">
        <f t="shared" si="341"/>
        <v>100618</v>
      </c>
      <c r="AQ1888" s="7"/>
      <c r="AR1888" s="20"/>
      <c r="AS1888" s="51"/>
    </row>
    <row r="1889" spans="1:45" s="21" customFormat="1" ht="30" customHeight="1" x14ac:dyDescent="0.2">
      <c r="A1889" s="8">
        <v>1619</v>
      </c>
      <c r="B1889" s="46">
        <v>2</v>
      </c>
      <c r="C1889" s="16" t="s">
        <v>52</v>
      </c>
      <c r="D1889" s="48">
        <v>23484</v>
      </c>
      <c r="E1889" s="47">
        <v>145</v>
      </c>
      <c r="F1889" s="48">
        <v>4853</v>
      </c>
      <c r="G1889" s="49">
        <v>2</v>
      </c>
      <c r="H1889" s="48">
        <v>2</v>
      </c>
      <c r="I1889" s="48">
        <v>1</v>
      </c>
      <c r="J1889" s="48">
        <v>36</v>
      </c>
      <c r="K1889" s="3">
        <f>936-L1889</f>
        <v>896</v>
      </c>
      <c r="L1889" s="16">
        <f>160/4</f>
        <v>40</v>
      </c>
      <c r="M1889" s="57"/>
      <c r="N1889" s="58"/>
      <c r="P1889" s="16">
        <v>5</v>
      </c>
      <c r="Q1889" s="20">
        <f t="shared" si="342"/>
        <v>936</v>
      </c>
      <c r="R1889" s="14">
        <v>160</v>
      </c>
      <c r="S1889" s="20">
        <f t="shared" si="343"/>
        <v>149760</v>
      </c>
      <c r="T1889" s="16"/>
      <c r="U1889" s="17" t="s">
        <v>57</v>
      </c>
      <c r="V1889" s="17" t="s">
        <v>56</v>
      </c>
      <c r="W1889" s="4"/>
      <c r="X1889" s="16"/>
      <c r="Y1889" s="5">
        <v>160</v>
      </c>
      <c r="Z1889" s="16"/>
      <c r="AA1889" s="16"/>
      <c r="AB1889" s="16">
        <f>62-56</f>
        <v>6</v>
      </c>
      <c r="AC1889" s="14"/>
      <c r="AD1889" s="14"/>
      <c r="AE1889" s="16"/>
      <c r="AG1889" s="22">
        <f t="shared" si="344"/>
        <v>160</v>
      </c>
      <c r="AH1889" s="6"/>
      <c r="AJ1889" s="20">
        <f t="shared" si="338"/>
        <v>0</v>
      </c>
      <c r="AK1889" s="50">
        <v>6</v>
      </c>
      <c r="AL1889" s="6"/>
      <c r="AM1889" s="20">
        <f t="shared" si="339"/>
        <v>0</v>
      </c>
      <c r="AN1889" s="20">
        <f t="shared" si="345"/>
        <v>149760</v>
      </c>
      <c r="AP1889" s="20">
        <f t="shared" si="341"/>
        <v>149760</v>
      </c>
      <c r="AQ1889" s="7"/>
      <c r="AR1889" s="20"/>
      <c r="AS1889" s="51"/>
    </row>
    <row r="1890" spans="1:45" s="21" customFormat="1" ht="30" customHeight="1" x14ac:dyDescent="0.2">
      <c r="A1890" s="8">
        <v>1620</v>
      </c>
      <c r="B1890" s="46">
        <v>3</v>
      </c>
      <c r="C1890" s="16" t="s">
        <v>52</v>
      </c>
      <c r="D1890" s="48">
        <v>23485</v>
      </c>
      <c r="E1890" s="47">
        <v>173</v>
      </c>
      <c r="F1890" s="48">
        <v>4854</v>
      </c>
      <c r="G1890" s="49">
        <v>2</v>
      </c>
      <c r="H1890" s="48">
        <v>2</v>
      </c>
      <c r="I1890" s="48">
        <v>0</v>
      </c>
      <c r="J1890" s="48">
        <v>29</v>
      </c>
      <c r="K1890" s="3">
        <f>829-L1890</f>
        <v>764</v>
      </c>
      <c r="L1890" s="16">
        <f>260/4</f>
        <v>65</v>
      </c>
      <c r="M1890" s="57"/>
      <c r="N1890" s="58"/>
      <c r="P1890" s="16">
        <v>5</v>
      </c>
      <c r="Q1890" s="20">
        <f t="shared" si="342"/>
        <v>829</v>
      </c>
      <c r="R1890" s="14">
        <v>200</v>
      </c>
      <c r="S1890" s="19">
        <f t="shared" si="343"/>
        <v>165800</v>
      </c>
      <c r="T1890" s="16"/>
      <c r="U1890" s="16" t="s">
        <v>57</v>
      </c>
      <c r="V1890" s="16" t="s">
        <v>56</v>
      </c>
      <c r="W1890" s="5"/>
      <c r="X1890" s="16"/>
      <c r="Y1890" s="5">
        <v>260</v>
      </c>
      <c r="Z1890" s="16"/>
      <c r="AA1890" s="16"/>
      <c r="AB1890" s="16">
        <f>62-43</f>
        <v>19</v>
      </c>
      <c r="AE1890" s="16"/>
      <c r="AG1890" s="22">
        <f t="shared" si="344"/>
        <v>260</v>
      </c>
      <c r="AH1890" s="6"/>
      <c r="AJ1890" s="20">
        <f t="shared" si="338"/>
        <v>0</v>
      </c>
      <c r="AK1890" s="50">
        <v>19</v>
      </c>
      <c r="AL1890" s="6"/>
      <c r="AM1890" s="20">
        <f t="shared" si="339"/>
        <v>0</v>
      </c>
      <c r="AN1890" s="20">
        <f t="shared" si="345"/>
        <v>165800</v>
      </c>
      <c r="AP1890" s="20">
        <f t="shared" si="341"/>
        <v>165800</v>
      </c>
      <c r="AQ1890" s="7"/>
      <c r="AR1890" s="20"/>
      <c r="AS1890" s="51"/>
    </row>
    <row r="1891" spans="1:45" ht="30" customHeight="1" x14ac:dyDescent="0.2">
      <c r="A1891" s="8">
        <v>1621</v>
      </c>
      <c r="B1891" s="13">
        <v>4</v>
      </c>
      <c r="C1891" s="16" t="s">
        <v>65</v>
      </c>
      <c r="D1891" s="17">
        <v>1149</v>
      </c>
      <c r="E1891" s="17">
        <v>5</v>
      </c>
      <c r="H1891" s="17">
        <v>2</v>
      </c>
      <c r="I1891" s="17">
        <v>3</v>
      </c>
      <c r="J1891" s="17">
        <v>50</v>
      </c>
      <c r="K1891" s="10">
        <v>1150</v>
      </c>
      <c r="P1891" s="17">
        <v>1</v>
      </c>
      <c r="Q1891" s="20">
        <f t="shared" si="342"/>
        <v>1150</v>
      </c>
      <c r="R1891" s="14">
        <v>160</v>
      </c>
      <c r="S1891" s="19">
        <f t="shared" si="343"/>
        <v>184000</v>
      </c>
      <c r="AC1891" s="21"/>
      <c r="AD1891" s="21"/>
      <c r="AG1891" s="22">
        <f t="shared" si="344"/>
        <v>0</v>
      </c>
      <c r="AJ1891" s="20">
        <f t="shared" si="338"/>
        <v>0</v>
      </c>
      <c r="AM1891" s="20">
        <f t="shared" si="339"/>
        <v>0</v>
      </c>
      <c r="AN1891" s="20">
        <f t="shared" si="345"/>
        <v>184000</v>
      </c>
      <c r="AP1891" s="20">
        <f t="shared" si="341"/>
        <v>184000</v>
      </c>
      <c r="AQ1891" s="12">
        <v>1E-4</v>
      </c>
      <c r="AR1891" s="20"/>
    </row>
    <row r="1892" spans="1:45" s="21" customFormat="1" ht="30" customHeight="1" x14ac:dyDescent="0.2">
      <c r="A1892" s="8">
        <v>1622</v>
      </c>
      <c r="B1892" s="46">
        <v>1</v>
      </c>
      <c r="C1892" s="16" t="s">
        <v>52</v>
      </c>
      <c r="D1892" s="48">
        <v>3748</v>
      </c>
      <c r="E1892" s="47">
        <v>7</v>
      </c>
      <c r="F1892" s="48">
        <v>2270</v>
      </c>
      <c r="G1892" s="49">
        <v>2</v>
      </c>
      <c r="H1892" s="48">
        <v>6</v>
      </c>
      <c r="I1892" s="48">
        <v>3</v>
      </c>
      <c r="J1892" s="48">
        <v>4</v>
      </c>
      <c r="K1892" s="3">
        <v>2704</v>
      </c>
      <c r="L1892" s="16"/>
      <c r="M1892" s="57"/>
      <c r="N1892" s="58"/>
      <c r="P1892" s="16">
        <v>1</v>
      </c>
      <c r="Q1892" s="20">
        <f t="shared" si="342"/>
        <v>2704</v>
      </c>
      <c r="R1892" s="14">
        <v>200</v>
      </c>
      <c r="S1892" s="20">
        <f t="shared" si="343"/>
        <v>540800</v>
      </c>
      <c r="T1892" s="16"/>
      <c r="U1892" s="17"/>
      <c r="V1892" s="16"/>
      <c r="W1892" s="5"/>
      <c r="X1892" s="16"/>
      <c r="Y1892" s="5"/>
      <c r="Z1892" s="16"/>
      <c r="AA1892" s="16"/>
      <c r="AB1892" s="16"/>
      <c r="AE1892" s="16"/>
      <c r="AG1892" s="22">
        <f t="shared" si="344"/>
        <v>0</v>
      </c>
      <c r="AH1892" s="6"/>
      <c r="AJ1892" s="20">
        <f t="shared" si="338"/>
        <v>0</v>
      </c>
      <c r="AK1892" s="50"/>
      <c r="AL1892" s="6"/>
      <c r="AM1892" s="20">
        <f t="shared" si="339"/>
        <v>0</v>
      </c>
      <c r="AN1892" s="20">
        <f t="shared" si="345"/>
        <v>540800</v>
      </c>
      <c r="AP1892" s="20">
        <f t="shared" si="341"/>
        <v>540800</v>
      </c>
      <c r="AQ1892" s="7"/>
      <c r="AR1892" s="20"/>
      <c r="AS1892" s="51"/>
    </row>
    <row r="1893" spans="1:45" s="21" customFormat="1" ht="30" customHeight="1" x14ac:dyDescent="0.2">
      <c r="A1893" s="8">
        <v>1623</v>
      </c>
      <c r="B1893" s="46">
        <v>2</v>
      </c>
      <c r="C1893" s="16" t="s">
        <v>52</v>
      </c>
      <c r="D1893" s="48">
        <v>23483</v>
      </c>
      <c r="E1893" s="47">
        <v>169</v>
      </c>
      <c r="F1893" s="48">
        <v>4852</v>
      </c>
      <c r="G1893" s="49">
        <v>2</v>
      </c>
      <c r="H1893" s="48">
        <v>0</v>
      </c>
      <c r="I1893" s="48">
        <v>1</v>
      </c>
      <c r="J1893" s="48">
        <v>20</v>
      </c>
      <c r="K1893" s="3"/>
      <c r="L1893" s="16">
        <v>120</v>
      </c>
      <c r="M1893" s="57"/>
      <c r="N1893" s="58"/>
      <c r="P1893" s="16">
        <v>2</v>
      </c>
      <c r="Q1893" s="20">
        <f t="shared" si="342"/>
        <v>120</v>
      </c>
      <c r="R1893" s="14">
        <v>250</v>
      </c>
      <c r="S1893" s="19">
        <f t="shared" si="343"/>
        <v>30000</v>
      </c>
      <c r="T1893" s="16"/>
      <c r="U1893" s="17" t="s">
        <v>57</v>
      </c>
      <c r="V1893" s="17" t="s">
        <v>56</v>
      </c>
      <c r="W1893" s="4"/>
      <c r="X1893" s="16"/>
      <c r="Y1893" s="5">
        <v>54</v>
      </c>
      <c r="Z1893" s="16"/>
      <c r="AA1893" s="16"/>
      <c r="AB1893" s="16">
        <f>62-43</f>
        <v>19</v>
      </c>
      <c r="AE1893" s="16"/>
      <c r="AG1893" s="22">
        <f t="shared" si="344"/>
        <v>54</v>
      </c>
      <c r="AH1893" s="6"/>
      <c r="AJ1893" s="20">
        <f t="shared" si="338"/>
        <v>0</v>
      </c>
      <c r="AK1893" s="50">
        <v>19</v>
      </c>
      <c r="AL1893" s="6"/>
      <c r="AM1893" s="20">
        <f t="shared" si="339"/>
        <v>0</v>
      </c>
      <c r="AN1893" s="20">
        <f t="shared" si="345"/>
        <v>30000</v>
      </c>
      <c r="AP1893" s="20">
        <f t="shared" si="341"/>
        <v>30000</v>
      </c>
      <c r="AQ1893" s="7"/>
      <c r="AR1893" s="20"/>
      <c r="AS1893" s="51"/>
    </row>
    <row r="1894" spans="1:45" s="21" customFormat="1" ht="30" customHeight="1" x14ac:dyDescent="0.2">
      <c r="A1894" s="8">
        <v>1624</v>
      </c>
      <c r="B1894" s="46">
        <v>3</v>
      </c>
      <c r="C1894" s="16" t="s">
        <v>52</v>
      </c>
      <c r="D1894" s="48">
        <v>23486</v>
      </c>
      <c r="E1894" s="47">
        <v>174</v>
      </c>
      <c r="F1894" s="48">
        <v>4855</v>
      </c>
      <c r="G1894" s="49">
        <v>2</v>
      </c>
      <c r="H1894" s="48">
        <v>6</v>
      </c>
      <c r="I1894" s="48">
        <v>2</v>
      </c>
      <c r="J1894" s="48">
        <v>74</v>
      </c>
      <c r="K1894" s="3">
        <v>2674</v>
      </c>
      <c r="L1894" s="16"/>
      <c r="M1894" s="57"/>
      <c r="N1894" s="58"/>
      <c r="P1894" s="16">
        <v>1</v>
      </c>
      <c r="Q1894" s="20">
        <f t="shared" si="342"/>
        <v>2674</v>
      </c>
      <c r="R1894" s="14">
        <v>200</v>
      </c>
      <c r="S1894" s="19">
        <f t="shared" si="343"/>
        <v>534800</v>
      </c>
      <c r="T1894" s="16"/>
      <c r="U1894" s="17"/>
      <c r="V1894" s="17"/>
      <c r="W1894" s="4"/>
      <c r="X1894" s="16"/>
      <c r="Y1894" s="5"/>
      <c r="Z1894" s="16"/>
      <c r="AA1894" s="16"/>
      <c r="AB1894" s="16"/>
      <c r="AE1894" s="16"/>
      <c r="AG1894" s="22">
        <f t="shared" si="344"/>
        <v>0</v>
      </c>
      <c r="AH1894" s="6"/>
      <c r="AJ1894" s="20">
        <f t="shared" si="338"/>
        <v>0</v>
      </c>
      <c r="AK1894" s="50"/>
      <c r="AL1894" s="6"/>
      <c r="AM1894" s="20">
        <f t="shared" si="339"/>
        <v>0</v>
      </c>
      <c r="AN1894" s="20">
        <f t="shared" si="345"/>
        <v>534800</v>
      </c>
      <c r="AP1894" s="20">
        <f t="shared" si="341"/>
        <v>534800</v>
      </c>
      <c r="AQ1894" s="7"/>
      <c r="AR1894" s="20"/>
      <c r="AS1894" s="51"/>
    </row>
    <row r="1895" spans="1:45" s="21" customFormat="1" ht="30" customHeight="1" x14ac:dyDescent="0.2">
      <c r="A1895" s="8">
        <v>1625</v>
      </c>
      <c r="B1895" s="46">
        <v>1</v>
      </c>
      <c r="C1895" s="16" t="s">
        <v>52</v>
      </c>
      <c r="D1895" s="48">
        <v>1252</v>
      </c>
      <c r="E1895" s="47">
        <v>42</v>
      </c>
      <c r="F1895" s="48">
        <v>302</v>
      </c>
      <c r="G1895" s="49">
        <v>6</v>
      </c>
      <c r="H1895" s="48">
        <v>2</v>
      </c>
      <c r="I1895" s="48">
        <v>1</v>
      </c>
      <c r="J1895" s="48">
        <v>14</v>
      </c>
      <c r="K1895" s="3"/>
      <c r="L1895" s="16">
        <v>914</v>
      </c>
      <c r="M1895" s="57"/>
      <c r="N1895" s="58"/>
      <c r="P1895" s="16">
        <v>2</v>
      </c>
      <c r="Q1895" s="20">
        <f t="shared" si="342"/>
        <v>914</v>
      </c>
      <c r="R1895" s="14">
        <v>375</v>
      </c>
      <c r="S1895" s="20">
        <f t="shared" si="343"/>
        <v>342750</v>
      </c>
      <c r="T1895" s="16"/>
      <c r="U1895" s="17" t="s">
        <v>57</v>
      </c>
      <c r="V1895" s="17" t="s">
        <v>56</v>
      </c>
      <c r="W1895" s="4"/>
      <c r="X1895" s="16"/>
      <c r="Y1895" s="5">
        <v>45</v>
      </c>
      <c r="Z1895" s="16"/>
      <c r="AA1895" s="16"/>
      <c r="AB1895" s="16">
        <f>62-38</f>
        <v>24</v>
      </c>
      <c r="AE1895" s="16"/>
      <c r="AG1895" s="22">
        <f t="shared" si="344"/>
        <v>45</v>
      </c>
      <c r="AH1895" s="6"/>
      <c r="AJ1895" s="20">
        <f t="shared" si="338"/>
        <v>0</v>
      </c>
      <c r="AK1895" s="50">
        <v>24</v>
      </c>
      <c r="AL1895" s="6"/>
      <c r="AM1895" s="20">
        <f t="shared" si="339"/>
        <v>0</v>
      </c>
      <c r="AN1895" s="20">
        <f t="shared" si="345"/>
        <v>342750</v>
      </c>
      <c r="AP1895" s="20">
        <f t="shared" si="341"/>
        <v>342750</v>
      </c>
      <c r="AQ1895" s="7"/>
      <c r="AR1895" s="20"/>
      <c r="AS1895" s="51">
        <v>7</v>
      </c>
    </row>
    <row r="1896" spans="1:45" s="21" customFormat="1" ht="30" customHeight="1" x14ac:dyDescent="0.2">
      <c r="A1896" s="8">
        <v>1626</v>
      </c>
      <c r="B1896" s="46">
        <v>1</v>
      </c>
      <c r="C1896" s="16" t="s">
        <v>52</v>
      </c>
      <c r="D1896" s="48">
        <v>3173</v>
      </c>
      <c r="E1896" s="47">
        <v>42</v>
      </c>
      <c r="F1896" s="48">
        <v>2102</v>
      </c>
      <c r="G1896" s="49">
        <v>2</v>
      </c>
      <c r="H1896" s="48">
        <v>7</v>
      </c>
      <c r="I1896" s="48">
        <v>3</v>
      </c>
      <c r="J1896" s="48">
        <v>35</v>
      </c>
      <c r="K1896" s="3">
        <f>2800+335</f>
        <v>3135</v>
      </c>
      <c r="L1896" s="16"/>
      <c r="M1896" s="57"/>
      <c r="N1896" s="58"/>
      <c r="P1896" s="16">
        <v>1</v>
      </c>
      <c r="Q1896" s="20">
        <f t="shared" si="342"/>
        <v>3135</v>
      </c>
      <c r="R1896" s="14">
        <v>160</v>
      </c>
      <c r="S1896" s="19">
        <f t="shared" si="343"/>
        <v>501600</v>
      </c>
      <c r="T1896" s="16"/>
      <c r="U1896" s="17"/>
      <c r="V1896" s="17"/>
      <c r="W1896" s="4"/>
      <c r="X1896" s="16"/>
      <c r="Y1896" s="5"/>
      <c r="Z1896" s="16"/>
      <c r="AA1896" s="16"/>
      <c r="AB1896" s="16"/>
      <c r="AE1896" s="16"/>
      <c r="AG1896" s="22">
        <f t="shared" si="344"/>
        <v>0</v>
      </c>
      <c r="AH1896" s="6"/>
      <c r="AJ1896" s="20">
        <f t="shared" si="338"/>
        <v>0</v>
      </c>
      <c r="AK1896" s="50"/>
      <c r="AL1896" s="6"/>
      <c r="AM1896" s="20">
        <f t="shared" si="339"/>
        <v>0</v>
      </c>
      <c r="AN1896" s="20">
        <f t="shared" si="345"/>
        <v>501600</v>
      </c>
      <c r="AP1896" s="20">
        <f t="shared" si="341"/>
        <v>501600</v>
      </c>
      <c r="AQ1896" s="7"/>
      <c r="AR1896" s="20"/>
      <c r="AS1896" s="51"/>
    </row>
    <row r="1897" spans="1:45" s="21" customFormat="1" ht="30" customHeight="1" x14ac:dyDescent="0.2">
      <c r="A1897" s="8">
        <v>1627</v>
      </c>
      <c r="B1897" s="46">
        <v>1</v>
      </c>
      <c r="C1897" s="16" t="s">
        <v>52</v>
      </c>
      <c r="D1897" s="48">
        <v>3172</v>
      </c>
      <c r="E1897" s="47">
        <v>63</v>
      </c>
      <c r="F1897" s="48">
        <v>2101</v>
      </c>
      <c r="G1897" s="49">
        <v>2</v>
      </c>
      <c r="H1897" s="48">
        <v>2</v>
      </c>
      <c r="I1897" s="48">
        <v>1</v>
      </c>
      <c r="J1897" s="48">
        <v>0</v>
      </c>
      <c r="K1897" s="3">
        <f>900-L1897</f>
        <v>850</v>
      </c>
      <c r="L1897" s="16">
        <f>200/4</f>
        <v>50</v>
      </c>
      <c r="M1897" s="57"/>
      <c r="N1897" s="58"/>
      <c r="P1897" s="16">
        <v>5</v>
      </c>
      <c r="Q1897" s="20">
        <f t="shared" si="342"/>
        <v>900</v>
      </c>
      <c r="R1897" s="14">
        <v>200</v>
      </c>
      <c r="S1897" s="19">
        <f t="shared" si="343"/>
        <v>180000</v>
      </c>
      <c r="T1897" s="16"/>
      <c r="U1897" s="17" t="s">
        <v>57</v>
      </c>
      <c r="V1897" s="17" t="s">
        <v>56</v>
      </c>
      <c r="W1897" s="4"/>
      <c r="X1897" s="16"/>
      <c r="Y1897" s="5">
        <v>140</v>
      </c>
      <c r="Z1897" s="16"/>
      <c r="AA1897" s="16"/>
      <c r="AB1897" s="16">
        <f>62-46</f>
        <v>16</v>
      </c>
      <c r="AE1897" s="16"/>
      <c r="AG1897" s="22">
        <f t="shared" si="344"/>
        <v>140</v>
      </c>
      <c r="AH1897" s="6"/>
      <c r="AJ1897" s="20">
        <f t="shared" si="338"/>
        <v>0</v>
      </c>
      <c r="AK1897" s="50">
        <v>16</v>
      </c>
      <c r="AL1897" s="6"/>
      <c r="AM1897" s="20">
        <f t="shared" si="339"/>
        <v>0</v>
      </c>
      <c r="AN1897" s="20">
        <f t="shared" si="345"/>
        <v>180000</v>
      </c>
      <c r="AP1897" s="20">
        <f t="shared" si="341"/>
        <v>180000</v>
      </c>
      <c r="AQ1897" s="7"/>
      <c r="AR1897" s="20"/>
      <c r="AS1897" s="51"/>
    </row>
    <row r="1898" spans="1:45" s="21" customFormat="1" ht="30" customHeight="1" x14ac:dyDescent="0.2">
      <c r="A1898" s="8"/>
      <c r="B1898" s="46"/>
      <c r="C1898" s="16"/>
      <c r="D1898" s="48"/>
      <c r="E1898" s="47"/>
      <c r="F1898" s="48"/>
      <c r="G1898" s="49"/>
      <c r="H1898" s="48"/>
      <c r="I1898" s="48"/>
      <c r="J1898" s="48"/>
      <c r="K1898" s="3"/>
      <c r="L1898" s="16"/>
      <c r="M1898" s="57"/>
      <c r="N1898" s="58"/>
      <c r="P1898" s="16"/>
      <c r="Q1898" s="20">
        <f t="shared" si="342"/>
        <v>0</v>
      </c>
      <c r="R1898" s="14" t="e">
        <v>#N/A</v>
      </c>
      <c r="S1898" s="20" t="e">
        <f t="shared" si="343"/>
        <v>#N/A</v>
      </c>
      <c r="T1898" s="16"/>
      <c r="U1898" s="17" t="s">
        <v>57</v>
      </c>
      <c r="V1898" s="17" t="s">
        <v>56</v>
      </c>
      <c r="W1898" s="4"/>
      <c r="X1898" s="16"/>
      <c r="Y1898" s="5">
        <v>60</v>
      </c>
      <c r="Z1898" s="16"/>
      <c r="AA1898" s="16"/>
      <c r="AB1898" s="16">
        <f>62-32</f>
        <v>30</v>
      </c>
      <c r="AE1898" s="16"/>
      <c r="AG1898" s="22">
        <f t="shared" si="344"/>
        <v>60</v>
      </c>
      <c r="AH1898" s="6"/>
      <c r="AJ1898" s="20">
        <f t="shared" si="338"/>
        <v>0</v>
      </c>
      <c r="AK1898" s="50">
        <v>30</v>
      </c>
      <c r="AL1898" s="6"/>
      <c r="AM1898" s="20">
        <f t="shared" si="339"/>
        <v>0</v>
      </c>
      <c r="AN1898" s="20" t="e">
        <f t="shared" si="345"/>
        <v>#N/A</v>
      </c>
      <c r="AP1898" s="20" t="e">
        <f t="shared" si="341"/>
        <v>#N/A</v>
      </c>
      <c r="AQ1898" s="7"/>
      <c r="AR1898" s="20"/>
      <c r="AS1898" s="51"/>
    </row>
    <row r="1899" spans="1:45" s="21" customFormat="1" ht="30" customHeight="1" x14ac:dyDescent="0.2">
      <c r="A1899" s="8">
        <v>1628</v>
      </c>
      <c r="B1899" s="46">
        <v>2</v>
      </c>
      <c r="C1899" s="16" t="s">
        <v>52</v>
      </c>
      <c r="D1899" s="48">
        <v>30301</v>
      </c>
      <c r="E1899" s="47">
        <v>177</v>
      </c>
      <c r="F1899" s="48">
        <v>5820</v>
      </c>
      <c r="G1899" s="49">
        <v>2</v>
      </c>
      <c r="H1899" s="48">
        <v>0</v>
      </c>
      <c r="I1899" s="48">
        <v>3</v>
      </c>
      <c r="J1899" s="48">
        <v>51</v>
      </c>
      <c r="K1899" s="3">
        <v>351</v>
      </c>
      <c r="L1899" s="16"/>
      <c r="M1899" s="57"/>
      <c r="N1899" s="58"/>
      <c r="P1899" s="16">
        <v>1</v>
      </c>
      <c r="Q1899" s="20">
        <f t="shared" si="342"/>
        <v>351</v>
      </c>
      <c r="R1899" s="14">
        <v>160</v>
      </c>
      <c r="S1899" s="19">
        <f t="shared" si="343"/>
        <v>56160</v>
      </c>
      <c r="T1899" s="16"/>
      <c r="U1899" s="16"/>
      <c r="V1899" s="16"/>
      <c r="W1899" s="5"/>
      <c r="X1899" s="16"/>
      <c r="Y1899" s="5"/>
      <c r="Z1899" s="16"/>
      <c r="AA1899" s="16"/>
      <c r="AB1899" s="16"/>
      <c r="AE1899" s="16"/>
      <c r="AG1899" s="22">
        <f t="shared" si="344"/>
        <v>0</v>
      </c>
      <c r="AH1899" s="6"/>
      <c r="AJ1899" s="20">
        <f t="shared" si="338"/>
        <v>0</v>
      </c>
      <c r="AK1899" s="50"/>
      <c r="AL1899" s="6"/>
      <c r="AM1899" s="20">
        <f t="shared" si="339"/>
        <v>0</v>
      </c>
      <c r="AN1899" s="20">
        <f t="shared" si="345"/>
        <v>56160</v>
      </c>
      <c r="AP1899" s="20">
        <f t="shared" si="341"/>
        <v>56160</v>
      </c>
      <c r="AQ1899" s="7"/>
      <c r="AR1899" s="20"/>
      <c r="AS1899" s="51"/>
    </row>
    <row r="1900" spans="1:45" s="21" customFormat="1" ht="30" customHeight="1" x14ac:dyDescent="0.2">
      <c r="A1900" s="8">
        <v>1629</v>
      </c>
      <c r="B1900" s="46">
        <v>1</v>
      </c>
      <c r="C1900" s="16" t="s">
        <v>52</v>
      </c>
      <c r="D1900" s="48">
        <v>1952</v>
      </c>
      <c r="E1900" s="47">
        <v>27</v>
      </c>
      <c r="F1900" s="48">
        <v>1309</v>
      </c>
      <c r="G1900" s="49">
        <v>2</v>
      </c>
      <c r="H1900" s="48">
        <v>3</v>
      </c>
      <c r="I1900" s="48">
        <v>2</v>
      </c>
      <c r="J1900" s="48">
        <v>50</v>
      </c>
      <c r="K1900" s="3">
        <f>1450-L1900</f>
        <v>1441</v>
      </c>
      <c r="L1900" s="16">
        <v>9</v>
      </c>
      <c r="M1900" s="57"/>
      <c r="N1900" s="58"/>
      <c r="P1900" s="16">
        <v>5</v>
      </c>
      <c r="Q1900" s="20">
        <f t="shared" si="342"/>
        <v>1450</v>
      </c>
      <c r="R1900" s="14">
        <v>160</v>
      </c>
      <c r="S1900" s="19">
        <f t="shared" si="343"/>
        <v>232000</v>
      </c>
      <c r="T1900" s="16"/>
      <c r="U1900" s="17" t="s">
        <v>57</v>
      </c>
      <c r="V1900" s="16" t="s">
        <v>56</v>
      </c>
      <c r="W1900" s="5"/>
      <c r="X1900" s="16"/>
      <c r="Y1900" s="5">
        <v>36</v>
      </c>
      <c r="Z1900" s="16"/>
      <c r="AA1900" s="16"/>
      <c r="AB1900" s="16">
        <f>62-45</f>
        <v>17</v>
      </c>
      <c r="AE1900" s="16"/>
      <c r="AG1900" s="22">
        <f t="shared" si="344"/>
        <v>36</v>
      </c>
      <c r="AH1900" s="6"/>
      <c r="AJ1900" s="20">
        <f t="shared" si="338"/>
        <v>0</v>
      </c>
      <c r="AK1900" s="50">
        <v>17</v>
      </c>
      <c r="AL1900" s="6"/>
      <c r="AM1900" s="20">
        <f t="shared" si="339"/>
        <v>0</v>
      </c>
      <c r="AN1900" s="20">
        <f t="shared" si="345"/>
        <v>232000</v>
      </c>
      <c r="AP1900" s="20">
        <f t="shared" si="341"/>
        <v>232000</v>
      </c>
      <c r="AQ1900" s="7"/>
      <c r="AR1900" s="60"/>
      <c r="AS1900" s="128">
        <v>8</v>
      </c>
    </row>
    <row r="1901" spans="1:45" s="21" customFormat="1" ht="30" customHeight="1" x14ac:dyDescent="0.2">
      <c r="A1901" s="8">
        <v>1630</v>
      </c>
      <c r="B1901" s="46">
        <v>1</v>
      </c>
      <c r="C1901" s="16" t="s">
        <v>52</v>
      </c>
      <c r="D1901" s="48">
        <v>1967</v>
      </c>
      <c r="E1901" s="47">
        <v>18</v>
      </c>
      <c r="F1901" s="48">
        <v>1324</v>
      </c>
      <c r="G1901" s="49">
        <v>2</v>
      </c>
      <c r="H1901" s="48">
        <v>11</v>
      </c>
      <c r="I1901" s="48">
        <v>0</v>
      </c>
      <c r="J1901" s="48">
        <v>56</v>
      </c>
      <c r="K1901" s="3">
        <f>11*400+56</f>
        <v>4456</v>
      </c>
      <c r="L1901" s="16"/>
      <c r="M1901" s="57"/>
      <c r="N1901" s="58"/>
      <c r="P1901" s="16">
        <v>1</v>
      </c>
      <c r="Q1901" s="20">
        <f t="shared" si="342"/>
        <v>4456</v>
      </c>
      <c r="R1901" s="14">
        <v>160</v>
      </c>
      <c r="S1901" s="20">
        <f t="shared" si="343"/>
        <v>712960</v>
      </c>
      <c r="T1901" s="16"/>
      <c r="U1901" s="17"/>
      <c r="V1901" s="17"/>
      <c r="W1901" s="4"/>
      <c r="X1901" s="16"/>
      <c r="Y1901" s="5"/>
      <c r="Z1901" s="16"/>
      <c r="AA1901" s="16"/>
      <c r="AB1901" s="16"/>
      <c r="AE1901" s="16"/>
      <c r="AG1901" s="22">
        <f t="shared" si="344"/>
        <v>0</v>
      </c>
      <c r="AH1901" s="6"/>
      <c r="AJ1901" s="20">
        <f t="shared" si="338"/>
        <v>0</v>
      </c>
      <c r="AK1901" s="50"/>
      <c r="AL1901" s="6"/>
      <c r="AM1901" s="20">
        <f t="shared" si="339"/>
        <v>0</v>
      </c>
      <c r="AN1901" s="20">
        <f t="shared" si="345"/>
        <v>712960</v>
      </c>
      <c r="AP1901" s="20">
        <f t="shared" si="341"/>
        <v>712960</v>
      </c>
      <c r="AQ1901" s="7"/>
      <c r="AR1901" s="25"/>
      <c r="AS1901" s="130"/>
    </row>
    <row r="1902" spans="1:45" s="21" customFormat="1" ht="30" customHeight="1" x14ac:dyDescent="0.2">
      <c r="A1902" s="8">
        <v>1631</v>
      </c>
      <c r="B1902" s="46">
        <v>1</v>
      </c>
      <c r="C1902" s="16" t="s">
        <v>52</v>
      </c>
      <c r="D1902" s="48">
        <v>10463</v>
      </c>
      <c r="E1902" s="47">
        <v>132</v>
      </c>
      <c r="F1902" s="48">
        <v>3159</v>
      </c>
      <c r="G1902" s="49">
        <v>3</v>
      </c>
      <c r="H1902" s="48">
        <v>0</v>
      </c>
      <c r="I1902" s="48">
        <v>0</v>
      </c>
      <c r="J1902" s="48">
        <v>45.05</v>
      </c>
      <c r="K1902" s="3"/>
      <c r="L1902" s="16">
        <v>45.05</v>
      </c>
      <c r="M1902" s="57"/>
      <c r="N1902" s="58"/>
      <c r="P1902" s="16">
        <v>2</v>
      </c>
      <c r="Q1902" s="20">
        <f t="shared" si="342"/>
        <v>45.05</v>
      </c>
      <c r="R1902" s="14">
        <v>2000</v>
      </c>
      <c r="S1902" s="19">
        <f t="shared" si="343"/>
        <v>90100</v>
      </c>
      <c r="T1902" s="16"/>
      <c r="U1902" s="17" t="s">
        <v>57</v>
      </c>
      <c r="V1902" s="17" t="s">
        <v>56</v>
      </c>
      <c r="W1902" s="4"/>
      <c r="X1902" s="16"/>
      <c r="Y1902" s="5">
        <v>129.5</v>
      </c>
      <c r="Z1902" s="16"/>
      <c r="AA1902" s="16"/>
      <c r="AB1902" s="16">
        <f>62-41</f>
        <v>21</v>
      </c>
      <c r="AE1902" s="16"/>
      <c r="AG1902" s="22">
        <f t="shared" si="344"/>
        <v>129.5</v>
      </c>
      <c r="AH1902" s="6"/>
      <c r="AJ1902" s="20">
        <f t="shared" si="338"/>
        <v>0</v>
      </c>
      <c r="AK1902" s="50">
        <v>21</v>
      </c>
      <c r="AL1902" s="6"/>
      <c r="AM1902" s="20">
        <f t="shared" si="339"/>
        <v>0</v>
      </c>
      <c r="AN1902" s="20">
        <f t="shared" si="345"/>
        <v>90100</v>
      </c>
      <c r="AP1902" s="20">
        <f t="shared" si="341"/>
        <v>90100</v>
      </c>
      <c r="AQ1902" s="7"/>
      <c r="AR1902" s="20"/>
      <c r="AS1902" s="51"/>
    </row>
    <row r="1903" spans="1:45" ht="30" customHeight="1" x14ac:dyDescent="0.2">
      <c r="A1903" s="8">
        <v>1632</v>
      </c>
      <c r="B1903" s="46">
        <v>1</v>
      </c>
      <c r="C1903" s="16" t="s">
        <v>52</v>
      </c>
      <c r="D1903" s="48">
        <v>2270</v>
      </c>
      <c r="E1903" s="47">
        <v>63</v>
      </c>
      <c r="F1903" s="48">
        <v>1812</v>
      </c>
      <c r="G1903" s="53">
        <v>3</v>
      </c>
      <c r="H1903" s="48">
        <v>1</v>
      </c>
      <c r="I1903" s="48">
        <v>3</v>
      </c>
      <c r="J1903" s="48">
        <v>58</v>
      </c>
      <c r="K1903" s="17">
        <v>28.25</v>
      </c>
      <c r="L1903" s="17">
        <v>29.75</v>
      </c>
      <c r="N1903" s="17"/>
      <c r="P1903" s="17">
        <v>5</v>
      </c>
      <c r="Q1903" s="20">
        <f t="shared" si="342"/>
        <v>758</v>
      </c>
      <c r="R1903" s="14">
        <v>160</v>
      </c>
      <c r="S1903" s="19">
        <f t="shared" si="343"/>
        <v>121280</v>
      </c>
      <c r="T1903" s="17">
        <v>1</v>
      </c>
      <c r="U1903" s="13"/>
      <c r="V1903" s="13" t="s">
        <v>183</v>
      </c>
      <c r="W1903" s="4">
        <v>119</v>
      </c>
      <c r="Y1903" s="4">
        <v>119</v>
      </c>
      <c r="AB1903" s="17">
        <v>19</v>
      </c>
      <c r="AC1903" s="32"/>
      <c r="AD1903" s="32"/>
      <c r="AE1903" s="14"/>
      <c r="AG1903" s="22">
        <f t="shared" si="344"/>
        <v>119</v>
      </c>
      <c r="AJ1903" s="20">
        <f t="shared" si="338"/>
        <v>0</v>
      </c>
      <c r="AK1903" s="23">
        <v>19</v>
      </c>
      <c r="AM1903" s="20">
        <f t="shared" si="339"/>
        <v>0</v>
      </c>
      <c r="AN1903" s="20">
        <f t="shared" si="345"/>
        <v>121280</v>
      </c>
      <c r="AP1903" s="20">
        <f t="shared" si="341"/>
        <v>121280</v>
      </c>
      <c r="AR1903" s="20"/>
    </row>
    <row r="1904" spans="1:45" ht="30" customHeight="1" x14ac:dyDescent="0.2">
      <c r="A1904" s="8">
        <v>1633</v>
      </c>
      <c r="B1904" s="13">
        <v>2</v>
      </c>
      <c r="C1904" s="16" t="s">
        <v>65</v>
      </c>
      <c r="D1904" s="17">
        <v>2628</v>
      </c>
      <c r="E1904" s="17">
        <v>163</v>
      </c>
      <c r="H1904" s="17">
        <v>1</v>
      </c>
      <c r="I1904" s="17">
        <v>3</v>
      </c>
      <c r="J1904" s="17">
        <v>36</v>
      </c>
      <c r="K1904" s="10">
        <v>736</v>
      </c>
      <c r="Q1904" s="20">
        <f t="shared" si="342"/>
        <v>736</v>
      </c>
      <c r="R1904" s="14" t="e">
        <v>#N/A</v>
      </c>
      <c r="S1904" s="20" t="e">
        <f t="shared" si="343"/>
        <v>#N/A</v>
      </c>
      <c r="AC1904" s="21"/>
      <c r="AD1904" s="21"/>
      <c r="AE1904" s="17" t="s">
        <v>94</v>
      </c>
      <c r="AG1904" s="22">
        <f t="shared" si="344"/>
        <v>0</v>
      </c>
      <c r="AJ1904" s="20">
        <f t="shared" si="338"/>
        <v>0</v>
      </c>
      <c r="AM1904" s="20">
        <f t="shared" si="339"/>
        <v>0</v>
      </c>
      <c r="AN1904" s="20" t="e">
        <f t="shared" si="345"/>
        <v>#N/A</v>
      </c>
      <c r="AP1904" s="20" t="e">
        <f t="shared" si="341"/>
        <v>#N/A</v>
      </c>
      <c r="AQ1904" s="12">
        <v>1E-4</v>
      </c>
      <c r="AR1904" s="20"/>
    </row>
    <row r="1905" spans="1:45" s="21" customFormat="1" ht="30" customHeight="1" x14ac:dyDescent="0.2">
      <c r="A1905" s="131">
        <v>1634</v>
      </c>
      <c r="B1905" s="46">
        <v>1</v>
      </c>
      <c r="C1905" s="16" t="s">
        <v>52</v>
      </c>
      <c r="D1905" s="48">
        <v>1624</v>
      </c>
      <c r="E1905" s="47">
        <v>36</v>
      </c>
      <c r="F1905" s="48">
        <v>1364</v>
      </c>
      <c r="G1905" s="49">
        <v>2</v>
      </c>
      <c r="H1905" s="48">
        <v>0</v>
      </c>
      <c r="I1905" s="48">
        <v>1</v>
      </c>
      <c r="J1905" s="48">
        <v>51</v>
      </c>
      <c r="K1905" s="3"/>
      <c r="L1905" s="16">
        <v>151</v>
      </c>
      <c r="M1905" s="57"/>
      <c r="N1905" s="58"/>
      <c r="P1905" s="16">
        <v>2</v>
      </c>
      <c r="Q1905" s="20">
        <f t="shared" si="342"/>
        <v>151</v>
      </c>
      <c r="R1905" s="14">
        <v>4500</v>
      </c>
      <c r="S1905" s="19">
        <f t="shared" si="343"/>
        <v>679500</v>
      </c>
      <c r="T1905" s="16">
        <v>1</v>
      </c>
      <c r="U1905" s="17" t="s">
        <v>184</v>
      </c>
      <c r="V1905" s="17" t="s">
        <v>56</v>
      </c>
      <c r="W1905" s="4"/>
      <c r="X1905" s="16"/>
      <c r="Y1905" s="5">
        <v>125</v>
      </c>
      <c r="Z1905" s="16"/>
      <c r="AA1905" s="16"/>
      <c r="AB1905" s="16">
        <f>62-45</f>
        <v>17</v>
      </c>
      <c r="AD1905" s="16">
        <v>37</v>
      </c>
      <c r="AE1905" s="16">
        <f>125/4</f>
        <v>31.25</v>
      </c>
      <c r="AG1905" s="22">
        <f t="shared" si="344"/>
        <v>125</v>
      </c>
      <c r="AH1905" s="6"/>
      <c r="AJ1905" s="20">
        <f t="shared" si="338"/>
        <v>0</v>
      </c>
      <c r="AK1905" s="50">
        <v>17</v>
      </c>
      <c r="AL1905" s="6"/>
      <c r="AM1905" s="20">
        <f t="shared" si="339"/>
        <v>0</v>
      </c>
      <c r="AN1905" s="20">
        <f t="shared" si="345"/>
        <v>679500</v>
      </c>
      <c r="AP1905" s="20">
        <f t="shared" si="341"/>
        <v>679500</v>
      </c>
      <c r="AQ1905" s="7"/>
      <c r="AR1905" s="20"/>
      <c r="AS1905" s="51"/>
    </row>
    <row r="1906" spans="1:45" s="21" customFormat="1" ht="30" customHeight="1" x14ac:dyDescent="0.2">
      <c r="A1906" s="131"/>
      <c r="B1906" s="46"/>
      <c r="C1906" s="16"/>
      <c r="D1906" s="48"/>
      <c r="E1906" s="47"/>
      <c r="F1906" s="48"/>
      <c r="G1906" s="49"/>
      <c r="H1906" s="48"/>
      <c r="I1906" s="48"/>
      <c r="J1906" s="48"/>
      <c r="K1906" s="3"/>
      <c r="L1906" s="16"/>
      <c r="M1906" s="57"/>
      <c r="N1906" s="58"/>
      <c r="P1906" s="16"/>
      <c r="Q1906" s="20"/>
      <c r="R1906" s="14" t="e">
        <v>#N/A</v>
      </c>
      <c r="S1906" s="19"/>
      <c r="T1906" s="16">
        <v>2</v>
      </c>
      <c r="U1906" s="17" t="s">
        <v>184</v>
      </c>
      <c r="V1906" s="17" t="s">
        <v>56</v>
      </c>
      <c r="W1906" s="4"/>
      <c r="X1906" s="16"/>
      <c r="Y1906" s="5">
        <v>125</v>
      </c>
      <c r="Z1906" s="16"/>
      <c r="AA1906" s="16"/>
      <c r="AB1906" s="16">
        <f>62-36</f>
        <v>26</v>
      </c>
      <c r="AD1906" s="16">
        <v>37</v>
      </c>
      <c r="AE1906" s="16">
        <v>31.25</v>
      </c>
      <c r="AG1906" s="22">
        <f t="shared" si="344"/>
        <v>125</v>
      </c>
      <c r="AH1906" s="6"/>
      <c r="AJ1906" s="20">
        <f t="shared" si="338"/>
        <v>0</v>
      </c>
      <c r="AK1906" s="50">
        <v>26</v>
      </c>
      <c r="AL1906" s="6"/>
      <c r="AM1906" s="20">
        <f t="shared" si="339"/>
        <v>0</v>
      </c>
      <c r="AN1906" s="20">
        <f t="shared" si="345"/>
        <v>0</v>
      </c>
      <c r="AP1906" s="20">
        <f t="shared" si="341"/>
        <v>0</v>
      </c>
      <c r="AQ1906" s="7"/>
      <c r="AR1906" s="20"/>
      <c r="AS1906" s="51"/>
    </row>
    <row r="1907" spans="1:45" s="21" customFormat="1" ht="30" customHeight="1" x14ac:dyDescent="0.2">
      <c r="A1907" s="131"/>
      <c r="B1907" s="46"/>
      <c r="C1907" s="16"/>
      <c r="D1907" s="48"/>
      <c r="E1907" s="47"/>
      <c r="F1907" s="48"/>
      <c r="G1907" s="49"/>
      <c r="H1907" s="48"/>
      <c r="I1907" s="48"/>
      <c r="J1907" s="48"/>
      <c r="K1907" s="3"/>
      <c r="L1907" s="16"/>
      <c r="M1907" s="57"/>
      <c r="N1907" s="58"/>
      <c r="P1907" s="16"/>
      <c r="Q1907" s="20"/>
      <c r="R1907" s="14" t="e">
        <v>#N/A</v>
      </c>
      <c r="S1907" s="20"/>
      <c r="T1907" s="16">
        <v>3</v>
      </c>
      <c r="U1907" s="17" t="s">
        <v>63</v>
      </c>
      <c r="V1907" s="17" t="s">
        <v>56</v>
      </c>
      <c r="W1907" s="4"/>
      <c r="X1907" s="16"/>
      <c r="Y1907" s="5">
        <v>60</v>
      </c>
      <c r="Z1907" s="16"/>
      <c r="AA1907" s="16"/>
      <c r="AB1907" s="16">
        <f>62-47</f>
        <v>15</v>
      </c>
      <c r="AD1907" s="16">
        <v>18</v>
      </c>
      <c r="AE1907" s="16">
        <v>15</v>
      </c>
      <c r="AG1907" s="22">
        <f t="shared" si="344"/>
        <v>60</v>
      </c>
      <c r="AH1907" s="6"/>
      <c r="AJ1907" s="20">
        <f t="shared" si="338"/>
        <v>0</v>
      </c>
      <c r="AK1907" s="50">
        <v>15</v>
      </c>
      <c r="AL1907" s="6"/>
      <c r="AM1907" s="20">
        <f t="shared" si="339"/>
        <v>0</v>
      </c>
      <c r="AN1907" s="20">
        <f t="shared" si="345"/>
        <v>0</v>
      </c>
      <c r="AP1907" s="20">
        <f t="shared" si="341"/>
        <v>0</v>
      </c>
      <c r="AQ1907" s="7"/>
      <c r="AR1907" s="20"/>
      <c r="AS1907" s="51"/>
    </row>
    <row r="1908" spans="1:45" s="21" customFormat="1" ht="30" customHeight="1" x14ac:dyDescent="0.2">
      <c r="A1908" s="131"/>
      <c r="B1908" s="46"/>
      <c r="C1908" s="16"/>
      <c r="D1908" s="48"/>
      <c r="E1908" s="47"/>
      <c r="F1908" s="48"/>
      <c r="G1908" s="49"/>
      <c r="H1908" s="48"/>
      <c r="I1908" s="48"/>
      <c r="J1908" s="48"/>
      <c r="K1908" s="3"/>
      <c r="L1908" s="16"/>
      <c r="M1908" s="57"/>
      <c r="N1908" s="58"/>
      <c r="P1908" s="16"/>
      <c r="Q1908" s="20"/>
      <c r="R1908" s="14" t="e">
        <v>#N/A</v>
      </c>
      <c r="S1908" s="19"/>
      <c r="T1908" s="16">
        <v>4</v>
      </c>
      <c r="U1908" s="17" t="s">
        <v>58</v>
      </c>
      <c r="V1908" s="17" t="s">
        <v>56</v>
      </c>
      <c r="W1908" s="4">
        <v>26</v>
      </c>
      <c r="X1908" s="16"/>
      <c r="Y1908" s="5"/>
      <c r="Z1908" s="16">
        <v>26</v>
      </c>
      <c r="AA1908" s="16"/>
      <c r="AB1908" s="16">
        <v>6</v>
      </c>
      <c r="AD1908" s="16">
        <v>8</v>
      </c>
      <c r="AE1908" s="16">
        <v>6.5</v>
      </c>
      <c r="AF1908" s="21">
        <v>3</v>
      </c>
      <c r="AG1908" s="22">
        <v>26</v>
      </c>
      <c r="AH1908" s="6">
        <v>1</v>
      </c>
      <c r="AI1908" s="21">
        <v>7050</v>
      </c>
      <c r="AJ1908" s="20">
        <f t="shared" si="338"/>
        <v>183300</v>
      </c>
      <c r="AK1908" s="50">
        <v>6</v>
      </c>
      <c r="AL1908" s="6">
        <v>0.06</v>
      </c>
      <c r="AM1908" s="20">
        <f t="shared" si="339"/>
        <v>172302</v>
      </c>
      <c r="AN1908" s="20">
        <f>+(S1905*0.08)+AM1908</f>
        <v>226662</v>
      </c>
      <c r="AP1908" s="20">
        <f>AN1908</f>
        <v>226662</v>
      </c>
      <c r="AQ1908" s="7">
        <v>3.0000000000000001E-3</v>
      </c>
      <c r="AR1908" s="20"/>
      <c r="AS1908" s="51"/>
    </row>
    <row r="1909" spans="1:45" ht="30" customHeight="1" x14ac:dyDescent="0.2">
      <c r="A1909" s="2">
        <v>1635</v>
      </c>
      <c r="B1909" s="13">
        <v>2</v>
      </c>
      <c r="C1909" s="16" t="s">
        <v>69</v>
      </c>
      <c r="E1909" s="17">
        <v>1497</v>
      </c>
      <c r="F1909" s="17">
        <v>1</v>
      </c>
      <c r="G1909" s="13">
        <v>6</v>
      </c>
      <c r="H1909" s="17">
        <v>7</v>
      </c>
      <c r="I1909" s="17">
        <v>3</v>
      </c>
      <c r="J1909" s="17">
        <v>18</v>
      </c>
      <c r="K1909" s="10">
        <v>3118</v>
      </c>
      <c r="P1909" s="17">
        <v>1</v>
      </c>
      <c r="Q1909" s="20">
        <f t="shared" ref="Q1909:Q1948" si="346">+(H1909*400)+(I1909*100)+J1909</f>
        <v>3118</v>
      </c>
      <c r="R1909" s="14">
        <v>160</v>
      </c>
      <c r="S1909" s="19">
        <f t="shared" si="343"/>
        <v>498880</v>
      </c>
      <c r="AG1909" s="22">
        <f t="shared" si="344"/>
        <v>0</v>
      </c>
      <c r="AJ1909" s="20">
        <f t="shared" si="338"/>
        <v>0</v>
      </c>
      <c r="AM1909" s="20">
        <f t="shared" si="339"/>
        <v>0</v>
      </c>
      <c r="AN1909" s="20">
        <f>+S1909+AM1909</f>
        <v>498880</v>
      </c>
      <c r="AP1909" s="20">
        <f t="shared" si="341"/>
        <v>498880</v>
      </c>
      <c r="AQ1909" s="12">
        <v>1E-4</v>
      </c>
      <c r="AR1909" s="20"/>
    </row>
    <row r="1910" spans="1:45" s="21" customFormat="1" ht="30" customHeight="1" x14ac:dyDescent="0.2">
      <c r="A1910" s="8">
        <v>1636</v>
      </c>
      <c r="B1910" s="46">
        <v>1</v>
      </c>
      <c r="C1910" s="16" t="s">
        <v>52</v>
      </c>
      <c r="D1910" s="48">
        <v>1226</v>
      </c>
      <c r="E1910" s="47">
        <v>4</v>
      </c>
      <c r="F1910" s="48">
        <v>262</v>
      </c>
      <c r="G1910" s="49">
        <v>6</v>
      </c>
      <c r="H1910" s="48">
        <v>5</v>
      </c>
      <c r="I1910" s="48">
        <v>0</v>
      </c>
      <c r="J1910" s="48">
        <v>13</v>
      </c>
      <c r="K1910" s="3">
        <v>2013</v>
      </c>
      <c r="L1910" s="16"/>
      <c r="M1910" s="57"/>
      <c r="N1910" s="58"/>
      <c r="P1910" s="16">
        <v>1</v>
      </c>
      <c r="Q1910" s="20">
        <f t="shared" si="346"/>
        <v>2013</v>
      </c>
      <c r="R1910" s="14">
        <v>160</v>
      </c>
      <c r="S1910" s="20">
        <f t="shared" si="343"/>
        <v>322080</v>
      </c>
      <c r="T1910" s="16"/>
      <c r="U1910" s="17"/>
      <c r="V1910" s="17"/>
      <c r="W1910" s="4"/>
      <c r="X1910" s="16"/>
      <c r="Y1910" s="5"/>
      <c r="Z1910" s="16"/>
      <c r="AA1910" s="16"/>
      <c r="AB1910" s="16"/>
      <c r="AC1910" s="14"/>
      <c r="AD1910" s="14"/>
      <c r="AE1910" s="16"/>
      <c r="AG1910" s="22">
        <f t="shared" si="344"/>
        <v>0</v>
      </c>
      <c r="AH1910" s="6"/>
      <c r="AJ1910" s="20">
        <f t="shared" si="338"/>
        <v>0</v>
      </c>
      <c r="AK1910" s="50"/>
      <c r="AL1910" s="6"/>
      <c r="AM1910" s="20">
        <f t="shared" si="339"/>
        <v>0</v>
      </c>
      <c r="AN1910" s="20">
        <f>+S1910+AM1910</f>
        <v>322080</v>
      </c>
      <c r="AP1910" s="20">
        <f t="shared" si="341"/>
        <v>322080</v>
      </c>
      <c r="AQ1910" s="7"/>
      <c r="AR1910" s="20">
        <v>15</v>
      </c>
      <c r="AS1910" s="51">
        <f>15+420</f>
        <v>435</v>
      </c>
    </row>
    <row r="1911" spans="1:45" s="21" customFormat="1" ht="30" customHeight="1" x14ac:dyDescent="0.2">
      <c r="A1911" s="8"/>
      <c r="B1911" s="46"/>
      <c r="C1911" s="16"/>
      <c r="D1911" s="48"/>
      <c r="E1911" s="47"/>
      <c r="F1911" s="48"/>
      <c r="G1911" s="49"/>
      <c r="H1911" s="48"/>
      <c r="I1911" s="48"/>
      <c r="J1911" s="48"/>
      <c r="K1911" s="3"/>
      <c r="L1911" s="16"/>
      <c r="M1911" s="57"/>
      <c r="N1911" s="58"/>
      <c r="P1911" s="16"/>
      <c r="Q1911" s="20">
        <f t="shared" si="346"/>
        <v>0</v>
      </c>
      <c r="R1911" s="14" t="e">
        <v>#N/A</v>
      </c>
      <c r="S1911" s="20"/>
      <c r="T1911" s="16"/>
      <c r="U1911" s="17"/>
      <c r="V1911" s="17"/>
      <c r="W1911" s="4"/>
      <c r="X1911" s="16"/>
      <c r="Y1911" s="5"/>
      <c r="Z1911" s="16"/>
      <c r="AA1911" s="16"/>
      <c r="AB1911" s="16"/>
      <c r="AC1911" s="14"/>
      <c r="AD1911" s="14"/>
      <c r="AE1911" s="16"/>
      <c r="AG1911" s="22"/>
      <c r="AH1911" s="6"/>
      <c r="AJ1911" s="20"/>
      <c r="AK1911" s="50"/>
      <c r="AL1911" s="6"/>
      <c r="AM1911" s="20"/>
      <c r="AN1911" s="20"/>
      <c r="AP1911" s="20"/>
      <c r="AQ1911" s="7"/>
      <c r="AR1911" s="20">
        <v>420</v>
      </c>
      <c r="AS1911" s="51"/>
    </row>
    <row r="1912" spans="1:45" ht="30" customHeight="1" x14ac:dyDescent="0.2">
      <c r="A1912" s="132">
        <v>1637</v>
      </c>
      <c r="B1912" s="13">
        <v>1</v>
      </c>
      <c r="C1912" s="16" t="s">
        <v>65</v>
      </c>
      <c r="D1912" s="17">
        <v>2483</v>
      </c>
      <c r="E1912" s="17">
        <v>278</v>
      </c>
      <c r="H1912" s="17">
        <v>2</v>
      </c>
      <c r="I1912" s="17">
        <v>1</v>
      </c>
      <c r="J1912" s="17">
        <v>20</v>
      </c>
      <c r="P1912" s="17">
        <v>2</v>
      </c>
      <c r="Q1912" s="20">
        <f t="shared" si="346"/>
        <v>920</v>
      </c>
      <c r="R1912" s="14">
        <v>2250</v>
      </c>
      <c r="S1912" s="19">
        <f t="shared" ref="S1912:S1948" si="347">+Q1912*R1912</f>
        <v>2070000</v>
      </c>
      <c r="AC1912" s="21"/>
      <c r="AD1912" s="21"/>
      <c r="AG1912" s="22"/>
      <c r="AJ1912" s="20"/>
      <c r="AM1912" s="20">
        <f t="shared" ref="AM1912:AM1948" si="348">+AJ1912-(AL1912*AJ1912)</f>
        <v>0</v>
      </c>
      <c r="AN1912" s="20">
        <f>+S1912+AM1912</f>
        <v>2070000</v>
      </c>
      <c r="AP1912" s="20">
        <f t="shared" ref="AP1912:AP1948" si="349">AN1912</f>
        <v>2070000</v>
      </c>
      <c r="AQ1912" s="12">
        <v>2.0000000000000001E-4</v>
      </c>
      <c r="AR1912" s="20"/>
    </row>
    <row r="1913" spans="1:45" ht="30" customHeight="1" x14ac:dyDescent="0.2">
      <c r="A1913" s="132"/>
      <c r="C1913" s="16"/>
      <c r="Q1913" s="20"/>
      <c r="U1913" s="17" t="s">
        <v>57</v>
      </c>
      <c r="V1913" s="17" t="s">
        <v>56</v>
      </c>
      <c r="Y1913" s="4">
        <v>112</v>
      </c>
      <c r="AB1913" s="17">
        <f>62-32</f>
        <v>30</v>
      </c>
      <c r="AC1913" s="21"/>
      <c r="AD1913" s="21"/>
      <c r="AG1913" s="22">
        <f t="shared" ref="AG1913:AG1948" si="350">Y1913</f>
        <v>112</v>
      </c>
      <c r="AJ1913" s="20">
        <f t="shared" ref="AJ1913:AJ1948" si="351">+AG1913*AH1913*AI1913</f>
        <v>0</v>
      </c>
      <c r="AK1913" s="23">
        <v>30</v>
      </c>
      <c r="AM1913" s="20"/>
      <c r="AN1913" s="20"/>
      <c r="AP1913" s="20"/>
      <c r="AR1913" s="20"/>
    </row>
    <row r="1914" spans="1:45" ht="30" customHeight="1" x14ac:dyDescent="0.2">
      <c r="A1914" s="132"/>
      <c r="C1914" s="16"/>
      <c r="Q1914" s="20">
        <f t="shared" si="346"/>
        <v>0</v>
      </c>
      <c r="R1914" s="14" t="e">
        <v>#N/A</v>
      </c>
      <c r="S1914" s="19" t="e">
        <f t="shared" si="347"/>
        <v>#N/A</v>
      </c>
      <c r="U1914" s="17" t="s">
        <v>57</v>
      </c>
      <c r="V1914" s="17" t="s">
        <v>56</v>
      </c>
      <c r="Y1914" s="4">
        <v>48</v>
      </c>
      <c r="AB1914" s="17">
        <f>62-53</f>
        <v>9</v>
      </c>
      <c r="AC1914" s="21"/>
      <c r="AD1914" s="21"/>
      <c r="AG1914" s="22">
        <f t="shared" si="350"/>
        <v>48</v>
      </c>
      <c r="AJ1914" s="20">
        <f t="shared" si="351"/>
        <v>0</v>
      </c>
      <c r="AK1914" s="23">
        <v>9</v>
      </c>
      <c r="AM1914" s="20">
        <f t="shared" si="348"/>
        <v>0</v>
      </c>
      <c r="AN1914" s="20" t="e">
        <f>+S1914+AM1914</f>
        <v>#N/A</v>
      </c>
      <c r="AP1914" s="20" t="e">
        <f t="shared" si="349"/>
        <v>#N/A</v>
      </c>
      <c r="AR1914" s="20"/>
    </row>
    <row r="1915" spans="1:45" s="21" customFormat="1" ht="30" customHeight="1" x14ac:dyDescent="0.2">
      <c r="A1915" s="8">
        <v>1638</v>
      </c>
      <c r="B1915" s="46">
        <v>1</v>
      </c>
      <c r="C1915" s="16" t="s">
        <v>52</v>
      </c>
      <c r="D1915" s="48">
        <v>1731</v>
      </c>
      <c r="E1915" s="47">
        <v>39</v>
      </c>
      <c r="F1915" s="48">
        <v>1367</v>
      </c>
      <c r="G1915" s="49">
        <v>2</v>
      </c>
      <c r="H1915" s="48">
        <v>0</v>
      </c>
      <c r="I1915" s="48">
        <v>0</v>
      </c>
      <c r="J1915" s="48">
        <v>56</v>
      </c>
      <c r="K1915" s="3"/>
      <c r="L1915" s="16">
        <v>56</v>
      </c>
      <c r="M1915" s="57"/>
      <c r="N1915" s="58"/>
      <c r="P1915" s="16">
        <v>2</v>
      </c>
      <c r="Q1915" s="20">
        <f t="shared" si="346"/>
        <v>56</v>
      </c>
      <c r="R1915" s="14">
        <v>4500</v>
      </c>
      <c r="S1915" s="20">
        <f t="shared" si="347"/>
        <v>252000</v>
      </c>
      <c r="T1915" s="16"/>
      <c r="U1915" s="17"/>
      <c r="V1915" s="17"/>
      <c r="W1915" s="4"/>
      <c r="X1915" s="16"/>
      <c r="Y1915" s="5"/>
      <c r="Z1915" s="16"/>
      <c r="AA1915" s="16"/>
      <c r="AB1915" s="16"/>
      <c r="AE1915" s="16"/>
      <c r="AG1915" s="22"/>
      <c r="AH1915" s="6"/>
      <c r="AJ1915" s="20"/>
      <c r="AK1915" s="50"/>
      <c r="AL1915" s="6"/>
      <c r="AM1915" s="20"/>
      <c r="AN1915" s="20"/>
      <c r="AP1915" s="20"/>
      <c r="AQ1915" s="7"/>
      <c r="AR1915" s="20"/>
      <c r="AS1915" s="51"/>
    </row>
    <row r="1916" spans="1:45" s="21" customFormat="1" ht="30" customHeight="1" x14ac:dyDescent="0.2">
      <c r="A1916" s="8"/>
      <c r="B1916" s="46"/>
      <c r="C1916" s="16"/>
      <c r="D1916" s="48"/>
      <c r="E1916" s="47"/>
      <c r="F1916" s="48"/>
      <c r="G1916" s="49"/>
      <c r="H1916" s="48"/>
      <c r="I1916" s="48"/>
      <c r="J1916" s="48"/>
      <c r="K1916" s="3"/>
      <c r="L1916" s="16"/>
      <c r="M1916" s="57"/>
      <c r="N1916" s="58"/>
      <c r="P1916" s="16"/>
      <c r="Q1916" s="20"/>
      <c r="R1916" s="14" t="e">
        <v>#N/A</v>
      </c>
      <c r="S1916" s="20"/>
      <c r="T1916" s="16">
        <v>1</v>
      </c>
      <c r="U1916" s="17" t="s">
        <v>174</v>
      </c>
      <c r="V1916" s="17" t="s">
        <v>56</v>
      </c>
      <c r="W1916" s="4">
        <v>209</v>
      </c>
      <c r="X1916" s="16"/>
      <c r="Y1916" s="5"/>
      <c r="Z1916" s="16"/>
      <c r="AA1916" s="16"/>
      <c r="AB1916" s="16">
        <v>10</v>
      </c>
      <c r="AE1916" s="16"/>
      <c r="AF1916" s="21">
        <v>2</v>
      </c>
      <c r="AG1916" s="22">
        <v>209</v>
      </c>
      <c r="AH1916" s="6">
        <v>4.0000000000000001E-3</v>
      </c>
      <c r="AI1916" s="21">
        <v>5800</v>
      </c>
      <c r="AJ1916" s="20">
        <f>+AG1916*AH1916*AI1916</f>
        <v>4848.8</v>
      </c>
      <c r="AK1916" s="50">
        <v>10</v>
      </c>
      <c r="AL1916" s="6">
        <v>0.1</v>
      </c>
      <c r="AM1916" s="20">
        <f>+AJ1916-(AL1916*AJ1916)</f>
        <v>4363.92</v>
      </c>
      <c r="AN1916" s="20">
        <f>+S1915+AM1916</f>
        <v>256363.92</v>
      </c>
      <c r="AP1916" s="20">
        <f>AN1916</f>
        <v>256363.92</v>
      </c>
      <c r="AQ1916" s="7"/>
      <c r="AR1916" s="20"/>
      <c r="AS1916" s="51"/>
    </row>
    <row r="1917" spans="1:45" s="21" customFormat="1" ht="30" customHeight="1" x14ac:dyDescent="0.2">
      <c r="A1917" s="8"/>
      <c r="B1917" s="46"/>
      <c r="C1917" s="16"/>
      <c r="D1917" s="48"/>
      <c r="E1917" s="47"/>
      <c r="F1917" s="48"/>
      <c r="G1917" s="49"/>
      <c r="H1917" s="48"/>
      <c r="I1917" s="48"/>
      <c r="J1917" s="48"/>
      <c r="K1917" s="3"/>
      <c r="L1917" s="16"/>
      <c r="M1917" s="57"/>
      <c r="N1917" s="58"/>
      <c r="P1917" s="16"/>
      <c r="Q1917" s="20"/>
      <c r="R1917" s="14" t="e">
        <v>#N/A</v>
      </c>
      <c r="S1917" s="20"/>
      <c r="T1917" s="16">
        <v>2</v>
      </c>
      <c r="U1917" s="17"/>
      <c r="V1917" s="17"/>
      <c r="W1917" s="4"/>
      <c r="X1917" s="16"/>
      <c r="Y1917" s="5"/>
      <c r="Z1917" s="16"/>
      <c r="AA1917" s="16"/>
      <c r="AB1917" s="16"/>
      <c r="AE1917" s="16"/>
      <c r="AF1917" s="21">
        <v>3</v>
      </c>
      <c r="AG1917" s="22">
        <v>209</v>
      </c>
      <c r="AH1917" s="6">
        <v>0.6</v>
      </c>
      <c r="AI1917" s="21">
        <v>5800</v>
      </c>
      <c r="AJ1917" s="20">
        <f>+AG1917*AH1917*AI1917</f>
        <v>727320</v>
      </c>
      <c r="AK1917" s="50">
        <v>10</v>
      </c>
      <c r="AL1917" s="6">
        <v>0.1</v>
      </c>
      <c r="AM1917" s="20">
        <f>+AJ1917-(AL1917*AJ1917)</f>
        <v>654588</v>
      </c>
      <c r="AN1917" s="20">
        <f>+(S1915*0.6)+AM1917</f>
        <v>805788</v>
      </c>
      <c r="AP1917" s="20">
        <f>AN1917</f>
        <v>805788</v>
      </c>
      <c r="AQ1917" s="7">
        <v>3.0000000000000001E-3</v>
      </c>
      <c r="AR1917" s="20"/>
      <c r="AS1917" s="51"/>
    </row>
    <row r="1918" spans="1:45" s="21" customFormat="1" ht="30" customHeight="1" x14ac:dyDescent="0.2">
      <c r="A1918" s="8">
        <v>1639</v>
      </c>
      <c r="B1918" s="46">
        <v>2</v>
      </c>
      <c r="C1918" s="16" t="s">
        <v>52</v>
      </c>
      <c r="D1918" s="48">
        <v>37164</v>
      </c>
      <c r="E1918" s="47">
        <v>189</v>
      </c>
      <c r="F1918" s="48">
        <v>7442</v>
      </c>
      <c r="G1918" s="49">
        <v>3</v>
      </c>
      <c r="H1918" s="48">
        <v>0</v>
      </c>
      <c r="I1918" s="48">
        <v>0</v>
      </c>
      <c r="J1918" s="48">
        <v>10.02</v>
      </c>
      <c r="K1918" s="3">
        <v>10.02</v>
      </c>
      <c r="L1918" s="16"/>
      <c r="M1918" s="57"/>
      <c r="N1918" s="58"/>
      <c r="P1918" s="16">
        <v>1</v>
      </c>
      <c r="Q1918" s="20">
        <f t="shared" si="346"/>
        <v>10.02</v>
      </c>
      <c r="R1918" s="14">
        <v>250</v>
      </c>
      <c r="S1918" s="19">
        <f t="shared" si="347"/>
        <v>2505</v>
      </c>
      <c r="T1918" s="16"/>
      <c r="U1918" s="17"/>
      <c r="V1918" s="17"/>
      <c r="W1918" s="4"/>
      <c r="X1918" s="16"/>
      <c r="Y1918" s="5"/>
      <c r="Z1918" s="16"/>
      <c r="AA1918" s="16"/>
      <c r="AB1918" s="16"/>
      <c r="AC1918" s="14"/>
      <c r="AD1918" s="14"/>
      <c r="AE1918" s="16"/>
      <c r="AG1918" s="22">
        <f t="shared" si="350"/>
        <v>0</v>
      </c>
      <c r="AH1918" s="6"/>
      <c r="AJ1918" s="20">
        <f t="shared" si="351"/>
        <v>0</v>
      </c>
      <c r="AK1918" s="50"/>
      <c r="AL1918" s="6"/>
      <c r="AM1918" s="20">
        <f t="shared" si="348"/>
        <v>0</v>
      </c>
      <c r="AN1918" s="20">
        <f t="shared" ref="AN1918:AN1948" si="352">+S1918+AM1918</f>
        <v>2505</v>
      </c>
      <c r="AP1918" s="20">
        <f t="shared" si="349"/>
        <v>2505</v>
      </c>
      <c r="AQ1918" s="7"/>
      <c r="AR1918" s="20"/>
      <c r="AS1918" s="51"/>
    </row>
    <row r="1919" spans="1:45" ht="30" customHeight="1" x14ac:dyDescent="0.2">
      <c r="A1919" s="8">
        <v>1640</v>
      </c>
      <c r="B1919" s="13">
        <v>3</v>
      </c>
      <c r="C1919" s="16" t="s">
        <v>65</v>
      </c>
      <c r="D1919" s="17">
        <v>479</v>
      </c>
      <c r="E1919" s="17">
        <v>38</v>
      </c>
      <c r="H1919" s="17">
        <v>8</v>
      </c>
      <c r="I1919" s="17">
        <v>1</v>
      </c>
      <c r="J1919" s="17">
        <v>70</v>
      </c>
      <c r="K1919" s="10">
        <f>8*400+170</f>
        <v>3370</v>
      </c>
      <c r="P1919" s="17">
        <v>1</v>
      </c>
      <c r="Q1919" s="20">
        <f>+(H1919*400)+(I1919*100)+J1919</f>
        <v>3370</v>
      </c>
      <c r="R1919" s="14">
        <v>160</v>
      </c>
      <c r="S1919" s="19">
        <f>+Q1919*R1919</f>
        <v>539200</v>
      </c>
      <c r="AG1919" s="22">
        <f>Y1919</f>
        <v>0</v>
      </c>
      <c r="AJ1919" s="20">
        <f>+AG1919*AH1919*AI1919</f>
        <v>0</v>
      </c>
      <c r="AM1919" s="20">
        <f>+AJ1919-(AL1919*AJ1919)</f>
        <v>0</v>
      </c>
      <c r="AN1919" s="20">
        <f t="shared" si="352"/>
        <v>539200</v>
      </c>
      <c r="AP1919" s="20">
        <f>AN1919</f>
        <v>539200</v>
      </c>
      <c r="AQ1919" s="12">
        <v>1E-4</v>
      </c>
      <c r="AR1919" s="20"/>
    </row>
    <row r="1920" spans="1:45" ht="30" customHeight="1" x14ac:dyDescent="0.2">
      <c r="A1920" s="8"/>
      <c r="C1920" s="16"/>
      <c r="Q1920" s="20"/>
      <c r="AC1920" s="21"/>
      <c r="AD1920" s="21"/>
      <c r="AG1920" s="22"/>
      <c r="AJ1920" s="20"/>
      <c r="AM1920" s="20"/>
      <c r="AN1920" s="20"/>
      <c r="AP1920" s="20"/>
      <c r="AR1920" s="20"/>
    </row>
    <row r="1921" spans="1:45" ht="30" customHeight="1" x14ac:dyDescent="0.2">
      <c r="A1921" s="8"/>
      <c r="C1921" s="16"/>
      <c r="Q1921" s="20"/>
      <c r="S1921" s="20"/>
      <c r="AG1921" s="22"/>
      <c r="AJ1921" s="20"/>
      <c r="AM1921" s="20"/>
      <c r="AN1921" s="20"/>
      <c r="AP1921" s="20"/>
      <c r="AR1921" s="20"/>
    </row>
    <row r="1922" spans="1:45" ht="30" customHeight="1" x14ac:dyDescent="0.2">
      <c r="A1922" s="8"/>
      <c r="C1922" s="16"/>
      <c r="Q1922" s="20"/>
      <c r="AG1922" s="22"/>
      <c r="AJ1922" s="20"/>
      <c r="AM1922" s="20"/>
      <c r="AN1922" s="20"/>
      <c r="AP1922" s="20"/>
      <c r="AR1922" s="20"/>
    </row>
    <row r="1923" spans="1:45" s="21" customFormat="1" ht="30" customHeight="1" x14ac:dyDescent="0.2">
      <c r="A1923" s="8">
        <v>1641</v>
      </c>
      <c r="B1923" s="46">
        <v>1</v>
      </c>
      <c r="C1923" s="16" t="s">
        <v>52</v>
      </c>
      <c r="D1923" s="48">
        <v>1732</v>
      </c>
      <c r="E1923" s="47">
        <v>40</v>
      </c>
      <c r="F1923" s="48">
        <v>1368</v>
      </c>
      <c r="G1923" s="49">
        <v>2</v>
      </c>
      <c r="H1923" s="48">
        <v>0</v>
      </c>
      <c r="I1923" s="48">
        <v>0</v>
      </c>
      <c r="J1923" s="48">
        <v>29</v>
      </c>
      <c r="K1923" s="3"/>
      <c r="L1923" s="16">
        <v>29</v>
      </c>
      <c r="M1923" s="57"/>
      <c r="N1923" s="58"/>
      <c r="P1923" s="16">
        <v>2</v>
      </c>
      <c r="Q1923" s="20">
        <f t="shared" si="346"/>
        <v>29</v>
      </c>
      <c r="R1923" s="14">
        <v>4500</v>
      </c>
      <c r="S1923" s="20">
        <f t="shared" si="347"/>
        <v>130500</v>
      </c>
      <c r="T1923" s="16"/>
      <c r="U1923" s="16" t="s">
        <v>63</v>
      </c>
      <c r="V1923" s="16" t="s">
        <v>56</v>
      </c>
      <c r="W1923" s="5"/>
      <c r="X1923" s="16"/>
      <c r="Y1923" s="5">
        <v>200</v>
      </c>
      <c r="Z1923" s="16"/>
      <c r="AA1923" s="16"/>
      <c r="AB1923" s="16">
        <f>62-43</f>
        <v>19</v>
      </c>
      <c r="AC1923" s="14"/>
      <c r="AD1923" s="14"/>
      <c r="AE1923" s="16"/>
      <c r="AG1923" s="22">
        <f t="shared" si="350"/>
        <v>200</v>
      </c>
      <c r="AH1923" s="6"/>
      <c r="AJ1923" s="20">
        <f t="shared" si="351"/>
        <v>0</v>
      </c>
      <c r="AK1923" s="50">
        <v>19</v>
      </c>
      <c r="AL1923" s="6"/>
      <c r="AM1923" s="20">
        <f t="shared" si="348"/>
        <v>0</v>
      </c>
      <c r="AN1923" s="20">
        <f t="shared" si="352"/>
        <v>130500</v>
      </c>
      <c r="AP1923" s="20">
        <f t="shared" si="349"/>
        <v>130500</v>
      </c>
      <c r="AQ1923" s="7"/>
      <c r="AR1923" s="20"/>
      <c r="AS1923" s="51"/>
    </row>
    <row r="1924" spans="1:45" ht="30" customHeight="1" x14ac:dyDescent="0.2">
      <c r="A1924" s="8">
        <v>1642</v>
      </c>
      <c r="B1924" s="13">
        <v>2</v>
      </c>
      <c r="C1924" s="16" t="s">
        <v>65</v>
      </c>
      <c r="D1924" s="17">
        <v>428</v>
      </c>
      <c r="E1924" s="17">
        <v>90</v>
      </c>
      <c r="H1924" s="17">
        <v>12</v>
      </c>
      <c r="I1924" s="17">
        <v>1</v>
      </c>
      <c r="J1924" s="17">
        <v>63</v>
      </c>
      <c r="K1924" s="10">
        <f>12*400+163</f>
        <v>4963</v>
      </c>
      <c r="P1924" s="17">
        <v>1</v>
      </c>
      <c r="Q1924" s="20">
        <f t="shared" si="346"/>
        <v>4963</v>
      </c>
      <c r="R1924" s="14">
        <v>160</v>
      </c>
      <c r="S1924" s="19">
        <f t="shared" si="347"/>
        <v>794080</v>
      </c>
      <c r="AC1924" s="21"/>
      <c r="AD1924" s="21"/>
      <c r="AG1924" s="22">
        <f t="shared" si="350"/>
        <v>0</v>
      </c>
      <c r="AJ1924" s="20">
        <f t="shared" si="351"/>
        <v>0</v>
      </c>
      <c r="AM1924" s="20">
        <f t="shared" si="348"/>
        <v>0</v>
      </c>
      <c r="AN1924" s="20">
        <f t="shared" si="352"/>
        <v>794080</v>
      </c>
      <c r="AP1924" s="20">
        <f t="shared" si="349"/>
        <v>794080</v>
      </c>
      <c r="AQ1924" s="12">
        <v>1E-4</v>
      </c>
      <c r="AR1924" s="20"/>
    </row>
    <row r="1925" spans="1:45" ht="30" customHeight="1" x14ac:dyDescent="0.2">
      <c r="A1925" s="8">
        <v>1643</v>
      </c>
      <c r="B1925" s="13">
        <v>3</v>
      </c>
      <c r="C1925" s="16" t="s">
        <v>65</v>
      </c>
      <c r="D1925" s="17">
        <v>504</v>
      </c>
      <c r="E1925" s="17">
        <v>68</v>
      </c>
      <c r="H1925" s="17">
        <v>6</v>
      </c>
      <c r="I1925" s="17">
        <v>1</v>
      </c>
      <c r="J1925" s="17">
        <v>30</v>
      </c>
      <c r="K1925" s="10">
        <v>2530</v>
      </c>
      <c r="P1925" s="17">
        <v>1</v>
      </c>
      <c r="Q1925" s="20">
        <f t="shared" si="346"/>
        <v>2530</v>
      </c>
      <c r="R1925" s="14">
        <v>160</v>
      </c>
      <c r="S1925" s="19">
        <f t="shared" si="347"/>
        <v>404800</v>
      </c>
      <c r="AG1925" s="22">
        <f t="shared" si="350"/>
        <v>0</v>
      </c>
      <c r="AJ1925" s="20">
        <f t="shared" si="351"/>
        <v>0</v>
      </c>
      <c r="AM1925" s="20">
        <f t="shared" si="348"/>
        <v>0</v>
      </c>
      <c r="AN1925" s="20">
        <f t="shared" si="352"/>
        <v>404800</v>
      </c>
      <c r="AP1925" s="20">
        <f t="shared" si="349"/>
        <v>404800</v>
      </c>
      <c r="AQ1925" s="12">
        <v>1E-4</v>
      </c>
      <c r="AR1925" s="20"/>
    </row>
    <row r="1926" spans="1:45" ht="30" customHeight="1" x14ac:dyDescent="0.2">
      <c r="A1926" s="8">
        <v>1644</v>
      </c>
      <c r="B1926" s="13">
        <v>4</v>
      </c>
      <c r="C1926" s="16" t="s">
        <v>65</v>
      </c>
      <c r="D1926" s="17">
        <v>2487</v>
      </c>
      <c r="E1926" s="17">
        <v>282</v>
      </c>
      <c r="H1926" s="17">
        <v>0</v>
      </c>
      <c r="I1926" s="17">
        <v>0</v>
      </c>
      <c r="J1926" s="17">
        <v>85</v>
      </c>
      <c r="K1926" s="10">
        <v>85</v>
      </c>
      <c r="P1926" s="17">
        <v>1</v>
      </c>
      <c r="Q1926" s="20">
        <f t="shared" si="346"/>
        <v>85</v>
      </c>
      <c r="R1926" s="14">
        <v>160</v>
      </c>
      <c r="S1926" s="20">
        <f t="shared" si="347"/>
        <v>13600</v>
      </c>
      <c r="AG1926" s="22">
        <f t="shared" si="350"/>
        <v>0</v>
      </c>
      <c r="AJ1926" s="20">
        <f t="shared" si="351"/>
        <v>0</v>
      </c>
      <c r="AM1926" s="20">
        <f t="shared" si="348"/>
        <v>0</v>
      </c>
      <c r="AN1926" s="20">
        <f t="shared" si="352"/>
        <v>13600</v>
      </c>
      <c r="AP1926" s="20">
        <f t="shared" si="349"/>
        <v>13600</v>
      </c>
      <c r="AQ1926" s="12">
        <v>1E-4</v>
      </c>
      <c r="AR1926" s="20"/>
    </row>
    <row r="1927" spans="1:45" s="21" customFormat="1" ht="30" customHeight="1" x14ac:dyDescent="0.2">
      <c r="A1927" s="8">
        <v>1645</v>
      </c>
      <c r="B1927" s="46">
        <v>1</v>
      </c>
      <c r="C1927" s="16" t="s">
        <v>52</v>
      </c>
      <c r="D1927" s="48">
        <v>409</v>
      </c>
      <c r="E1927" s="47">
        <v>539</v>
      </c>
      <c r="F1927" s="48">
        <v>11</v>
      </c>
      <c r="G1927" s="49">
        <v>2</v>
      </c>
      <c r="H1927" s="48">
        <v>0</v>
      </c>
      <c r="I1927" s="48">
        <v>0</v>
      </c>
      <c r="J1927" s="48">
        <v>71.08</v>
      </c>
      <c r="K1927" s="3"/>
      <c r="L1927" s="16">
        <v>71.08</v>
      </c>
      <c r="M1927" s="57"/>
      <c r="N1927" s="58"/>
      <c r="P1927" s="16">
        <v>2</v>
      </c>
      <c r="Q1927" s="20">
        <f t="shared" si="346"/>
        <v>71.08</v>
      </c>
      <c r="R1927" s="14">
        <v>2000</v>
      </c>
      <c r="S1927" s="19">
        <f t="shared" si="347"/>
        <v>142160</v>
      </c>
      <c r="T1927" s="16"/>
      <c r="U1927" s="17"/>
      <c r="V1927" s="16"/>
      <c r="W1927" s="5"/>
      <c r="X1927" s="16"/>
      <c r="Y1927" s="5"/>
      <c r="Z1927" s="16"/>
      <c r="AA1927" s="16"/>
      <c r="AB1927" s="16"/>
      <c r="AC1927" s="14"/>
      <c r="AD1927" s="14"/>
      <c r="AE1927" s="16"/>
      <c r="AG1927" s="22">
        <f t="shared" si="350"/>
        <v>0</v>
      </c>
      <c r="AH1927" s="6"/>
      <c r="AJ1927" s="20">
        <f t="shared" si="351"/>
        <v>0</v>
      </c>
      <c r="AK1927" s="50"/>
      <c r="AL1927" s="6"/>
      <c r="AM1927" s="20">
        <f t="shared" si="348"/>
        <v>0</v>
      </c>
      <c r="AN1927" s="20">
        <f t="shared" si="352"/>
        <v>142160</v>
      </c>
      <c r="AP1927" s="20">
        <f t="shared" si="349"/>
        <v>142160</v>
      </c>
      <c r="AQ1927" s="7"/>
      <c r="AR1927" s="20"/>
      <c r="AS1927" s="51"/>
    </row>
    <row r="1928" spans="1:45" ht="30" customHeight="1" x14ac:dyDescent="0.2">
      <c r="A1928" s="8"/>
      <c r="C1928" s="16"/>
      <c r="Q1928" s="20"/>
      <c r="AG1928" s="22"/>
      <c r="AJ1928" s="20"/>
      <c r="AM1928" s="20"/>
      <c r="AN1928" s="20"/>
      <c r="AP1928" s="20"/>
      <c r="AR1928" s="20"/>
    </row>
    <row r="1929" spans="1:45" s="21" customFormat="1" ht="30" customHeight="1" x14ac:dyDescent="0.2">
      <c r="A1929" s="8">
        <v>1646</v>
      </c>
      <c r="B1929" s="46">
        <v>1</v>
      </c>
      <c r="C1929" s="16" t="s">
        <v>52</v>
      </c>
      <c r="D1929" s="48">
        <v>36611</v>
      </c>
      <c r="E1929" s="47">
        <v>67</v>
      </c>
      <c r="F1929" s="48">
        <v>7159</v>
      </c>
      <c r="G1929" s="49">
        <v>3</v>
      </c>
      <c r="H1929" s="48">
        <v>7</v>
      </c>
      <c r="I1929" s="48">
        <v>3</v>
      </c>
      <c r="J1929" s="48">
        <v>30.05</v>
      </c>
      <c r="K1929" s="3">
        <f>2800+330.05</f>
        <v>3130.05</v>
      </c>
      <c r="L1929" s="16"/>
      <c r="M1929" s="57"/>
      <c r="N1929" s="58"/>
      <c r="P1929" s="16">
        <v>1</v>
      </c>
      <c r="Q1929" s="20">
        <f t="shared" si="346"/>
        <v>3130.05</v>
      </c>
      <c r="R1929" s="14">
        <v>200</v>
      </c>
      <c r="S1929" s="20">
        <f t="shared" si="347"/>
        <v>626010</v>
      </c>
      <c r="T1929" s="16"/>
      <c r="U1929" s="17"/>
      <c r="V1929" s="17"/>
      <c r="W1929" s="4"/>
      <c r="X1929" s="16"/>
      <c r="Y1929" s="5"/>
      <c r="Z1929" s="16"/>
      <c r="AA1929" s="16"/>
      <c r="AB1929" s="16"/>
      <c r="AC1929" s="14"/>
      <c r="AD1929" s="14"/>
      <c r="AE1929" s="16"/>
      <c r="AG1929" s="22">
        <f t="shared" si="350"/>
        <v>0</v>
      </c>
      <c r="AH1929" s="6"/>
      <c r="AJ1929" s="20">
        <f t="shared" si="351"/>
        <v>0</v>
      </c>
      <c r="AK1929" s="50"/>
      <c r="AL1929" s="6"/>
      <c r="AM1929" s="20">
        <f t="shared" si="348"/>
        <v>0</v>
      </c>
      <c r="AN1929" s="20">
        <f t="shared" si="352"/>
        <v>626010</v>
      </c>
      <c r="AP1929" s="20">
        <f t="shared" si="349"/>
        <v>626010</v>
      </c>
      <c r="AQ1929" s="7"/>
      <c r="AR1929" s="20"/>
      <c r="AS1929" s="51"/>
    </row>
    <row r="1930" spans="1:45" s="21" customFormat="1" ht="30" customHeight="1" x14ac:dyDescent="0.2">
      <c r="A1930" s="8">
        <v>1647</v>
      </c>
      <c r="B1930" s="46">
        <v>1</v>
      </c>
      <c r="C1930" s="16" t="s">
        <v>52</v>
      </c>
      <c r="D1930" s="48">
        <v>1203</v>
      </c>
      <c r="E1930" s="47">
        <v>4</v>
      </c>
      <c r="F1930" s="48">
        <v>933</v>
      </c>
      <c r="G1930" s="49">
        <v>2</v>
      </c>
      <c r="H1930" s="48">
        <v>0</v>
      </c>
      <c r="I1930" s="48">
        <v>0</v>
      </c>
      <c r="J1930" s="48">
        <v>27</v>
      </c>
      <c r="K1930" s="3"/>
      <c r="L1930" s="16">
        <v>27</v>
      </c>
      <c r="M1930" s="57"/>
      <c r="N1930" s="58"/>
      <c r="P1930" s="16">
        <v>2</v>
      </c>
      <c r="Q1930" s="20">
        <f t="shared" si="346"/>
        <v>27</v>
      </c>
      <c r="R1930" s="14">
        <v>4500</v>
      </c>
      <c r="S1930" s="19">
        <f t="shared" si="347"/>
        <v>121500</v>
      </c>
      <c r="T1930" s="16"/>
      <c r="U1930" s="17"/>
      <c r="V1930" s="17"/>
      <c r="W1930" s="4"/>
      <c r="X1930" s="16"/>
      <c r="Y1930" s="5"/>
      <c r="Z1930" s="16"/>
      <c r="AA1930" s="16"/>
      <c r="AB1930" s="16"/>
      <c r="AC1930" s="14"/>
      <c r="AD1930" s="14"/>
      <c r="AE1930" s="16"/>
      <c r="AG1930" s="22">
        <f t="shared" si="350"/>
        <v>0</v>
      </c>
      <c r="AH1930" s="6"/>
      <c r="AJ1930" s="20">
        <f t="shared" si="351"/>
        <v>0</v>
      </c>
      <c r="AK1930" s="50"/>
      <c r="AL1930" s="6"/>
      <c r="AM1930" s="20">
        <f t="shared" si="348"/>
        <v>0</v>
      </c>
      <c r="AN1930" s="20">
        <f t="shared" si="352"/>
        <v>121500</v>
      </c>
      <c r="AP1930" s="20">
        <f t="shared" si="349"/>
        <v>121500</v>
      </c>
      <c r="AQ1930" s="7"/>
      <c r="AR1930" s="20"/>
      <c r="AS1930" s="51"/>
    </row>
    <row r="1931" spans="1:45" s="21" customFormat="1" ht="30" customHeight="1" x14ac:dyDescent="0.2">
      <c r="A1931" s="8">
        <v>1648</v>
      </c>
      <c r="B1931" s="46">
        <v>2</v>
      </c>
      <c r="C1931" s="16" t="s">
        <v>52</v>
      </c>
      <c r="D1931" s="48">
        <v>1735</v>
      </c>
      <c r="E1931" s="47">
        <v>41</v>
      </c>
      <c r="F1931" s="48">
        <v>1394</v>
      </c>
      <c r="G1931" s="49">
        <v>2</v>
      </c>
      <c r="H1931" s="48">
        <v>0</v>
      </c>
      <c r="I1931" s="48">
        <v>0</v>
      </c>
      <c r="J1931" s="48">
        <v>29</v>
      </c>
      <c r="K1931" s="3"/>
      <c r="L1931" s="16">
        <v>29</v>
      </c>
      <c r="M1931" s="57"/>
      <c r="N1931" s="58"/>
      <c r="P1931" s="16">
        <v>2</v>
      </c>
      <c r="Q1931" s="20">
        <f t="shared" si="346"/>
        <v>29</v>
      </c>
      <c r="R1931" s="14">
        <v>4500</v>
      </c>
      <c r="S1931" s="19">
        <f t="shared" si="347"/>
        <v>130500</v>
      </c>
      <c r="T1931" s="16"/>
      <c r="U1931" s="17" t="s">
        <v>63</v>
      </c>
      <c r="V1931" s="17" t="s">
        <v>56</v>
      </c>
      <c r="W1931" s="4"/>
      <c r="X1931" s="16"/>
      <c r="Y1931" s="5">
        <v>200</v>
      </c>
      <c r="Z1931" s="16"/>
      <c r="AA1931" s="16"/>
      <c r="AB1931" s="16">
        <f>62-43</f>
        <v>19</v>
      </c>
      <c r="AE1931" s="16"/>
      <c r="AG1931" s="22">
        <f t="shared" si="350"/>
        <v>200</v>
      </c>
      <c r="AH1931" s="6"/>
      <c r="AJ1931" s="20">
        <f t="shared" si="351"/>
        <v>0</v>
      </c>
      <c r="AK1931" s="50">
        <v>19</v>
      </c>
      <c r="AL1931" s="6"/>
      <c r="AM1931" s="20">
        <f t="shared" si="348"/>
        <v>0</v>
      </c>
      <c r="AN1931" s="20">
        <f t="shared" si="352"/>
        <v>130500</v>
      </c>
      <c r="AP1931" s="20">
        <f t="shared" si="349"/>
        <v>130500</v>
      </c>
      <c r="AQ1931" s="7"/>
      <c r="AR1931" s="20"/>
      <c r="AS1931" s="51"/>
    </row>
    <row r="1932" spans="1:45" s="21" customFormat="1" ht="30" customHeight="1" x14ac:dyDescent="0.2">
      <c r="A1932" s="8">
        <v>1649</v>
      </c>
      <c r="B1932" s="46">
        <v>3</v>
      </c>
      <c r="C1932" s="16" t="s">
        <v>52</v>
      </c>
      <c r="D1932" s="48">
        <v>1801</v>
      </c>
      <c r="E1932" s="47">
        <v>11</v>
      </c>
      <c r="F1932" s="48">
        <v>1185</v>
      </c>
      <c r="G1932" s="49">
        <v>2</v>
      </c>
      <c r="H1932" s="48">
        <v>30</v>
      </c>
      <c r="I1932" s="48">
        <v>1</v>
      </c>
      <c r="J1932" s="48">
        <v>24</v>
      </c>
      <c r="K1932" s="3">
        <f>30*400+124</f>
        <v>12124</v>
      </c>
      <c r="L1932" s="16"/>
      <c r="M1932" s="57"/>
      <c r="N1932" s="58"/>
      <c r="P1932" s="16">
        <v>1</v>
      </c>
      <c r="Q1932" s="20">
        <f t="shared" si="346"/>
        <v>12124</v>
      </c>
      <c r="R1932" s="14">
        <v>160</v>
      </c>
      <c r="S1932" s="20">
        <f t="shared" si="347"/>
        <v>1939840</v>
      </c>
      <c r="T1932" s="16"/>
      <c r="U1932" s="17"/>
      <c r="V1932" s="17"/>
      <c r="W1932" s="4"/>
      <c r="X1932" s="16"/>
      <c r="Y1932" s="5"/>
      <c r="Z1932" s="16"/>
      <c r="AA1932" s="16"/>
      <c r="AB1932" s="16"/>
      <c r="AE1932" s="16"/>
      <c r="AG1932" s="22">
        <f t="shared" si="350"/>
        <v>0</v>
      </c>
      <c r="AH1932" s="6"/>
      <c r="AJ1932" s="20">
        <f t="shared" si="351"/>
        <v>0</v>
      </c>
      <c r="AK1932" s="50"/>
      <c r="AL1932" s="6"/>
      <c r="AM1932" s="20">
        <f t="shared" si="348"/>
        <v>0</v>
      </c>
      <c r="AN1932" s="20">
        <f t="shared" si="352"/>
        <v>1939840</v>
      </c>
      <c r="AP1932" s="20">
        <f t="shared" si="349"/>
        <v>1939840</v>
      </c>
      <c r="AQ1932" s="7"/>
      <c r="AR1932" s="20"/>
      <c r="AS1932" s="51"/>
    </row>
    <row r="1933" spans="1:45" s="21" customFormat="1" ht="30" customHeight="1" x14ac:dyDescent="0.2">
      <c r="A1933" s="8">
        <v>1650</v>
      </c>
      <c r="B1933" s="46">
        <v>4</v>
      </c>
      <c r="C1933" s="16" t="s">
        <v>52</v>
      </c>
      <c r="D1933" s="48">
        <v>1810</v>
      </c>
      <c r="E1933" s="47">
        <v>120</v>
      </c>
      <c r="F1933" s="48">
        <v>1194</v>
      </c>
      <c r="G1933" s="49">
        <v>2</v>
      </c>
      <c r="H1933" s="48">
        <v>3</v>
      </c>
      <c r="I1933" s="48">
        <v>0</v>
      </c>
      <c r="J1933" s="48">
        <v>42</v>
      </c>
      <c r="K1933" s="3"/>
      <c r="L1933" s="16"/>
      <c r="M1933" s="57"/>
      <c r="N1933" s="58">
        <v>1242</v>
      </c>
      <c r="P1933" s="16">
        <v>4</v>
      </c>
      <c r="Q1933" s="20">
        <f t="shared" si="346"/>
        <v>1242</v>
      </c>
      <c r="R1933" s="14">
        <v>160</v>
      </c>
      <c r="S1933" s="19">
        <f t="shared" si="347"/>
        <v>198720</v>
      </c>
      <c r="T1933" s="16"/>
      <c r="U1933" s="17"/>
      <c r="V1933" s="17"/>
      <c r="W1933" s="4"/>
      <c r="X1933" s="16"/>
      <c r="Y1933" s="5"/>
      <c r="Z1933" s="16"/>
      <c r="AA1933" s="16"/>
      <c r="AB1933" s="16"/>
      <c r="AE1933" s="16"/>
      <c r="AG1933" s="22">
        <f t="shared" si="350"/>
        <v>0</v>
      </c>
      <c r="AH1933" s="6"/>
      <c r="AJ1933" s="20">
        <f t="shared" si="351"/>
        <v>0</v>
      </c>
      <c r="AK1933" s="50"/>
      <c r="AL1933" s="6"/>
      <c r="AM1933" s="20">
        <f t="shared" si="348"/>
        <v>0</v>
      </c>
      <c r="AN1933" s="20">
        <f t="shared" si="352"/>
        <v>198720</v>
      </c>
      <c r="AP1933" s="20">
        <f t="shared" si="349"/>
        <v>198720</v>
      </c>
      <c r="AQ1933" s="7">
        <v>3.0000000000000001E-3</v>
      </c>
      <c r="AR1933" s="20"/>
      <c r="AS1933" s="51"/>
    </row>
    <row r="1934" spans="1:45" s="21" customFormat="1" ht="30" customHeight="1" x14ac:dyDescent="0.2">
      <c r="A1934" s="8">
        <v>1651</v>
      </c>
      <c r="B1934" s="46">
        <v>5</v>
      </c>
      <c r="C1934" s="16" t="s">
        <v>52</v>
      </c>
      <c r="D1934" s="48">
        <v>1911</v>
      </c>
      <c r="E1934" s="47">
        <v>95</v>
      </c>
      <c r="F1934" s="48">
        <v>497</v>
      </c>
      <c r="G1934" s="49">
        <v>2</v>
      </c>
      <c r="H1934" s="48">
        <v>3</v>
      </c>
      <c r="I1934" s="48">
        <v>3</v>
      </c>
      <c r="J1934" s="48">
        <v>28</v>
      </c>
      <c r="K1934" s="3">
        <v>1528</v>
      </c>
      <c r="L1934" s="16"/>
      <c r="M1934" s="57"/>
      <c r="N1934" s="58"/>
      <c r="P1934" s="16">
        <v>1</v>
      </c>
      <c r="Q1934" s="20">
        <f t="shared" si="346"/>
        <v>1528</v>
      </c>
      <c r="R1934" s="14">
        <v>160</v>
      </c>
      <c r="S1934" s="19">
        <f t="shared" si="347"/>
        <v>244480</v>
      </c>
      <c r="T1934" s="16"/>
      <c r="U1934" s="16"/>
      <c r="V1934" s="16"/>
      <c r="W1934" s="5"/>
      <c r="X1934" s="16"/>
      <c r="Y1934" s="5"/>
      <c r="Z1934" s="16"/>
      <c r="AA1934" s="16"/>
      <c r="AB1934" s="16"/>
      <c r="AE1934" s="16"/>
      <c r="AG1934" s="22">
        <f t="shared" si="350"/>
        <v>0</v>
      </c>
      <c r="AH1934" s="6"/>
      <c r="AJ1934" s="20">
        <f t="shared" si="351"/>
        <v>0</v>
      </c>
      <c r="AK1934" s="50"/>
      <c r="AL1934" s="6"/>
      <c r="AM1934" s="20">
        <f t="shared" si="348"/>
        <v>0</v>
      </c>
      <c r="AN1934" s="20">
        <f t="shared" si="352"/>
        <v>244480</v>
      </c>
      <c r="AP1934" s="20">
        <f t="shared" si="349"/>
        <v>244480</v>
      </c>
      <c r="AQ1934" s="7"/>
      <c r="AR1934" s="20"/>
      <c r="AS1934" s="51"/>
    </row>
    <row r="1935" spans="1:45" s="21" customFormat="1" ht="30" customHeight="1" x14ac:dyDescent="0.2">
      <c r="A1935" s="8">
        <v>1652</v>
      </c>
      <c r="B1935" s="46">
        <v>6</v>
      </c>
      <c r="C1935" s="16" t="s">
        <v>52</v>
      </c>
      <c r="D1935" s="48">
        <v>1959</v>
      </c>
      <c r="E1935" s="47">
        <v>16</v>
      </c>
      <c r="F1935" s="48">
        <v>1316</v>
      </c>
      <c r="G1935" s="49">
        <v>2</v>
      </c>
      <c r="H1935" s="48">
        <v>3</v>
      </c>
      <c r="I1935" s="48">
        <v>1</v>
      </c>
      <c r="J1935" s="48">
        <v>16</v>
      </c>
      <c r="K1935" s="3">
        <v>1316</v>
      </c>
      <c r="L1935" s="16"/>
      <c r="M1935" s="57"/>
      <c r="N1935" s="58"/>
      <c r="P1935" s="16">
        <v>1</v>
      </c>
      <c r="Q1935" s="20">
        <f t="shared" si="346"/>
        <v>1316</v>
      </c>
      <c r="R1935" s="14">
        <v>160</v>
      </c>
      <c r="S1935" s="20">
        <f t="shared" si="347"/>
        <v>210560</v>
      </c>
      <c r="T1935" s="16"/>
      <c r="U1935" s="17"/>
      <c r="V1935" s="16"/>
      <c r="W1935" s="5"/>
      <c r="X1935" s="16"/>
      <c r="Y1935" s="5"/>
      <c r="Z1935" s="16"/>
      <c r="AA1935" s="16"/>
      <c r="AB1935" s="16"/>
      <c r="AE1935" s="16"/>
      <c r="AG1935" s="22">
        <f t="shared" si="350"/>
        <v>0</v>
      </c>
      <c r="AH1935" s="6"/>
      <c r="AJ1935" s="20">
        <f t="shared" si="351"/>
        <v>0</v>
      </c>
      <c r="AK1935" s="50"/>
      <c r="AL1935" s="6"/>
      <c r="AM1935" s="20">
        <f t="shared" si="348"/>
        <v>0</v>
      </c>
      <c r="AN1935" s="20">
        <f t="shared" si="352"/>
        <v>210560</v>
      </c>
      <c r="AP1935" s="20">
        <f t="shared" si="349"/>
        <v>210560</v>
      </c>
      <c r="AQ1935" s="7"/>
      <c r="AR1935" s="20"/>
      <c r="AS1935" s="51"/>
    </row>
    <row r="1936" spans="1:45" s="21" customFormat="1" ht="30" customHeight="1" x14ac:dyDescent="0.2">
      <c r="A1936" s="8">
        <v>1653</v>
      </c>
      <c r="B1936" s="46">
        <v>7</v>
      </c>
      <c r="C1936" s="16" t="s">
        <v>52</v>
      </c>
      <c r="D1936" s="48">
        <v>1995</v>
      </c>
      <c r="E1936" s="47">
        <v>44</v>
      </c>
      <c r="F1936" s="48">
        <v>854</v>
      </c>
      <c r="G1936" s="49">
        <v>4</v>
      </c>
      <c r="H1936" s="48">
        <v>3</v>
      </c>
      <c r="I1936" s="48">
        <v>0</v>
      </c>
      <c r="J1936" s="48">
        <v>31</v>
      </c>
      <c r="K1936" s="3">
        <v>1231</v>
      </c>
      <c r="L1936" s="16"/>
      <c r="M1936" s="57"/>
      <c r="N1936" s="58"/>
      <c r="P1936" s="16">
        <v>1</v>
      </c>
      <c r="Q1936" s="20">
        <f t="shared" si="346"/>
        <v>1231</v>
      </c>
      <c r="R1936" s="14">
        <v>1500</v>
      </c>
      <c r="S1936" s="19">
        <f t="shared" si="347"/>
        <v>1846500</v>
      </c>
      <c r="T1936" s="16"/>
      <c r="U1936" s="17"/>
      <c r="V1936" s="17"/>
      <c r="W1936" s="4"/>
      <c r="X1936" s="16"/>
      <c r="Y1936" s="5"/>
      <c r="Z1936" s="16"/>
      <c r="AA1936" s="16"/>
      <c r="AB1936" s="16"/>
      <c r="AE1936" s="16"/>
      <c r="AG1936" s="22">
        <f t="shared" si="350"/>
        <v>0</v>
      </c>
      <c r="AH1936" s="6"/>
      <c r="AJ1936" s="20">
        <f t="shared" si="351"/>
        <v>0</v>
      </c>
      <c r="AK1936" s="50"/>
      <c r="AL1936" s="6"/>
      <c r="AM1936" s="20">
        <f t="shared" si="348"/>
        <v>0</v>
      </c>
      <c r="AN1936" s="20">
        <f t="shared" si="352"/>
        <v>1846500</v>
      </c>
      <c r="AP1936" s="20">
        <f t="shared" si="349"/>
        <v>1846500</v>
      </c>
      <c r="AQ1936" s="7"/>
      <c r="AR1936" s="20"/>
      <c r="AS1936" s="51"/>
    </row>
    <row r="1937" spans="1:45" ht="30" customHeight="1" x14ac:dyDescent="0.2">
      <c r="A1937" s="8">
        <v>1654</v>
      </c>
      <c r="B1937" s="13">
        <v>8</v>
      </c>
      <c r="C1937" s="16" t="s">
        <v>65</v>
      </c>
      <c r="D1937" s="17">
        <v>3559</v>
      </c>
      <c r="E1937" s="17">
        <v>37</v>
      </c>
      <c r="H1937" s="17">
        <v>0</v>
      </c>
      <c r="I1937" s="17">
        <v>1</v>
      </c>
      <c r="J1937" s="17">
        <v>37</v>
      </c>
      <c r="K1937" s="10">
        <v>137</v>
      </c>
      <c r="P1937" s="17">
        <v>1</v>
      </c>
      <c r="Q1937" s="20">
        <f>+(H1937*400)+(I1937*100)+J1937</f>
        <v>137</v>
      </c>
      <c r="R1937" s="14">
        <v>1100</v>
      </c>
      <c r="S1937" s="19">
        <f>+Q1937*R1937</f>
        <v>150700</v>
      </c>
      <c r="AG1937" s="22">
        <f>Y1937</f>
        <v>0</v>
      </c>
      <c r="AJ1937" s="20">
        <f>+AG1937*AH1937*AI1937</f>
        <v>0</v>
      </c>
      <c r="AM1937" s="20">
        <f>+AJ1937-(AL1937*AJ1937)</f>
        <v>0</v>
      </c>
      <c r="AN1937" s="20">
        <f t="shared" si="352"/>
        <v>150700</v>
      </c>
      <c r="AP1937" s="20">
        <f>AN1937</f>
        <v>150700</v>
      </c>
      <c r="AQ1937" s="12">
        <v>1E-4</v>
      </c>
      <c r="AR1937" s="20"/>
    </row>
    <row r="1938" spans="1:45" ht="30" customHeight="1" x14ac:dyDescent="0.2">
      <c r="A1938" s="8"/>
      <c r="C1938" s="16"/>
      <c r="Q1938" s="20"/>
      <c r="AG1938" s="22"/>
      <c r="AJ1938" s="20"/>
      <c r="AM1938" s="20"/>
      <c r="AN1938" s="20"/>
      <c r="AP1938" s="20"/>
      <c r="AR1938" s="20"/>
    </row>
    <row r="1939" spans="1:45" ht="30" customHeight="1" x14ac:dyDescent="0.2">
      <c r="A1939" s="8"/>
      <c r="C1939" s="16"/>
      <c r="Q1939" s="20"/>
      <c r="S1939" s="20"/>
      <c r="AG1939" s="22"/>
      <c r="AJ1939" s="20"/>
      <c r="AM1939" s="20"/>
      <c r="AN1939" s="20"/>
      <c r="AP1939" s="20"/>
      <c r="AR1939" s="20"/>
    </row>
    <row r="1940" spans="1:45" s="21" customFormat="1" ht="30" customHeight="1" x14ac:dyDescent="0.2">
      <c r="A1940" s="8">
        <v>1655</v>
      </c>
      <c r="B1940" s="46">
        <v>1</v>
      </c>
      <c r="C1940" s="16" t="s">
        <v>52</v>
      </c>
      <c r="D1940" s="48">
        <v>3956</v>
      </c>
      <c r="E1940" s="47">
        <v>535</v>
      </c>
      <c r="F1940" s="48">
        <v>2384</v>
      </c>
      <c r="G1940" s="49">
        <v>2</v>
      </c>
      <c r="H1940" s="48">
        <v>0</v>
      </c>
      <c r="I1940" s="48">
        <v>0</v>
      </c>
      <c r="J1940" s="48">
        <v>25.06</v>
      </c>
      <c r="K1940" s="3"/>
      <c r="L1940" s="16"/>
      <c r="M1940" s="57"/>
      <c r="N1940" s="58">
        <v>25.06</v>
      </c>
      <c r="P1940" s="16">
        <v>4</v>
      </c>
      <c r="Q1940" s="20">
        <f t="shared" si="346"/>
        <v>25.06</v>
      </c>
      <c r="R1940" s="14">
        <v>250</v>
      </c>
      <c r="S1940" s="19">
        <f t="shared" si="347"/>
        <v>6265</v>
      </c>
      <c r="T1940" s="16"/>
      <c r="U1940" s="17"/>
      <c r="V1940" s="17"/>
      <c r="W1940" s="4"/>
      <c r="X1940" s="16"/>
      <c r="Y1940" s="5"/>
      <c r="Z1940" s="16"/>
      <c r="AA1940" s="16"/>
      <c r="AB1940" s="16"/>
      <c r="AE1940" s="16"/>
      <c r="AG1940" s="22">
        <f t="shared" si="350"/>
        <v>0</v>
      </c>
      <c r="AH1940" s="6"/>
      <c r="AJ1940" s="20">
        <f t="shared" si="351"/>
        <v>0</v>
      </c>
      <c r="AK1940" s="50"/>
      <c r="AL1940" s="6"/>
      <c r="AM1940" s="20">
        <f t="shared" si="348"/>
        <v>0</v>
      </c>
      <c r="AN1940" s="20">
        <f t="shared" si="352"/>
        <v>6265</v>
      </c>
      <c r="AP1940" s="20">
        <f t="shared" si="349"/>
        <v>6265</v>
      </c>
      <c r="AQ1940" s="7">
        <v>3.0000000000000001E-3</v>
      </c>
      <c r="AR1940" s="20"/>
      <c r="AS1940" s="51"/>
    </row>
    <row r="1941" spans="1:45" s="21" customFormat="1" ht="30" customHeight="1" x14ac:dyDescent="0.2">
      <c r="A1941" s="8">
        <v>1656</v>
      </c>
      <c r="B1941" s="46">
        <v>2</v>
      </c>
      <c r="C1941" s="16" t="s">
        <v>52</v>
      </c>
      <c r="D1941" s="48">
        <v>3957</v>
      </c>
      <c r="E1941" s="47">
        <v>536</v>
      </c>
      <c r="F1941" s="48">
        <v>2385</v>
      </c>
      <c r="G1941" s="49">
        <v>2</v>
      </c>
      <c r="H1941" s="48">
        <v>0</v>
      </c>
      <c r="I1941" s="48">
        <v>0</v>
      </c>
      <c r="J1941" s="48">
        <v>25.08</v>
      </c>
      <c r="K1941" s="3"/>
      <c r="L1941" s="16"/>
      <c r="M1941" s="57"/>
      <c r="N1941" s="58">
        <v>25.08</v>
      </c>
      <c r="P1941" s="16">
        <v>4</v>
      </c>
      <c r="Q1941" s="20">
        <f t="shared" si="346"/>
        <v>25.08</v>
      </c>
      <c r="R1941" s="14">
        <v>250</v>
      </c>
      <c r="S1941" s="20">
        <f t="shared" si="347"/>
        <v>6270</v>
      </c>
      <c r="T1941" s="16"/>
      <c r="U1941" s="17"/>
      <c r="V1941" s="17"/>
      <c r="W1941" s="4"/>
      <c r="X1941" s="16"/>
      <c r="Y1941" s="5"/>
      <c r="Z1941" s="16"/>
      <c r="AA1941" s="16"/>
      <c r="AB1941" s="16"/>
      <c r="AE1941" s="16"/>
      <c r="AG1941" s="22">
        <f t="shared" si="350"/>
        <v>0</v>
      </c>
      <c r="AH1941" s="6"/>
      <c r="AJ1941" s="20">
        <f t="shared" si="351"/>
        <v>0</v>
      </c>
      <c r="AK1941" s="50"/>
      <c r="AL1941" s="6"/>
      <c r="AM1941" s="20">
        <f t="shared" si="348"/>
        <v>0</v>
      </c>
      <c r="AN1941" s="20">
        <f t="shared" si="352"/>
        <v>6270</v>
      </c>
      <c r="AP1941" s="20">
        <f t="shared" si="349"/>
        <v>6270</v>
      </c>
      <c r="AQ1941" s="7">
        <v>3.0000000000000001E-3</v>
      </c>
      <c r="AR1941" s="20"/>
      <c r="AS1941" s="51"/>
    </row>
    <row r="1942" spans="1:45" s="21" customFormat="1" ht="30" customHeight="1" x14ac:dyDescent="0.2">
      <c r="A1942" s="8">
        <v>1657</v>
      </c>
      <c r="B1942" s="46">
        <v>3</v>
      </c>
      <c r="C1942" s="16" t="s">
        <v>52</v>
      </c>
      <c r="D1942" s="48">
        <v>3958</v>
      </c>
      <c r="E1942" s="47">
        <v>537</v>
      </c>
      <c r="F1942" s="48">
        <v>2386</v>
      </c>
      <c r="G1942" s="49">
        <v>2</v>
      </c>
      <c r="H1942" s="48">
        <v>0</v>
      </c>
      <c r="I1942" s="48">
        <v>0</v>
      </c>
      <c r="J1942" s="48">
        <v>25.09</v>
      </c>
      <c r="K1942" s="3"/>
      <c r="L1942" s="16"/>
      <c r="M1942" s="57"/>
      <c r="N1942" s="58">
        <v>25.09</v>
      </c>
      <c r="P1942" s="16">
        <v>4</v>
      </c>
      <c r="Q1942" s="20">
        <f t="shared" si="346"/>
        <v>25.09</v>
      </c>
      <c r="R1942" s="14">
        <v>250</v>
      </c>
      <c r="S1942" s="19">
        <f t="shared" si="347"/>
        <v>6272.5</v>
      </c>
      <c r="T1942" s="16"/>
      <c r="U1942" s="17"/>
      <c r="V1942" s="17"/>
      <c r="W1942" s="4"/>
      <c r="X1942" s="16"/>
      <c r="Y1942" s="5"/>
      <c r="Z1942" s="16"/>
      <c r="AA1942" s="16"/>
      <c r="AB1942" s="16"/>
      <c r="AE1942" s="16"/>
      <c r="AG1942" s="22">
        <f t="shared" si="350"/>
        <v>0</v>
      </c>
      <c r="AH1942" s="6"/>
      <c r="AJ1942" s="20">
        <f t="shared" si="351"/>
        <v>0</v>
      </c>
      <c r="AK1942" s="50"/>
      <c r="AL1942" s="6"/>
      <c r="AM1942" s="20">
        <f t="shared" si="348"/>
        <v>0</v>
      </c>
      <c r="AN1942" s="20">
        <f t="shared" si="352"/>
        <v>6272.5</v>
      </c>
      <c r="AP1942" s="20">
        <f t="shared" si="349"/>
        <v>6272.5</v>
      </c>
      <c r="AQ1942" s="7">
        <v>3.0000000000000001E-3</v>
      </c>
      <c r="AR1942" s="20"/>
      <c r="AS1942" s="51"/>
    </row>
    <row r="1943" spans="1:45" ht="30" customHeight="1" x14ac:dyDescent="0.2">
      <c r="A1943" s="8">
        <v>1658</v>
      </c>
      <c r="B1943" s="13">
        <v>4</v>
      </c>
      <c r="C1943" s="16" t="s">
        <v>65</v>
      </c>
      <c r="D1943" s="17">
        <v>977</v>
      </c>
      <c r="E1943" s="17">
        <v>32</v>
      </c>
      <c r="H1943" s="17">
        <v>9</v>
      </c>
      <c r="I1943" s="17">
        <v>1</v>
      </c>
      <c r="J1943" s="17">
        <v>46</v>
      </c>
      <c r="K1943" s="10">
        <f>9*400+146</f>
        <v>3746</v>
      </c>
      <c r="P1943" s="17">
        <v>1</v>
      </c>
      <c r="Q1943" s="20">
        <f t="shared" si="346"/>
        <v>3746</v>
      </c>
      <c r="R1943" s="14">
        <v>1500</v>
      </c>
      <c r="S1943" s="19">
        <f t="shared" si="347"/>
        <v>5619000</v>
      </c>
      <c r="AG1943" s="22">
        <f t="shared" si="350"/>
        <v>0</v>
      </c>
      <c r="AJ1943" s="20">
        <f t="shared" si="351"/>
        <v>0</v>
      </c>
      <c r="AM1943" s="20">
        <f t="shared" si="348"/>
        <v>0</v>
      </c>
      <c r="AN1943" s="20">
        <f t="shared" si="352"/>
        <v>5619000</v>
      </c>
      <c r="AP1943" s="20">
        <f t="shared" si="349"/>
        <v>5619000</v>
      </c>
      <c r="AQ1943" s="12">
        <v>1E-4</v>
      </c>
      <c r="AR1943" s="20"/>
    </row>
    <row r="1944" spans="1:45" ht="30" customHeight="1" x14ac:dyDescent="0.2">
      <c r="A1944" s="8">
        <v>1659</v>
      </c>
      <c r="B1944" s="13">
        <v>5</v>
      </c>
      <c r="C1944" s="16" t="s">
        <v>65</v>
      </c>
      <c r="D1944" s="17">
        <v>2522</v>
      </c>
      <c r="E1944" s="17">
        <v>295</v>
      </c>
      <c r="H1944" s="17">
        <v>0</v>
      </c>
      <c r="I1944" s="17">
        <v>1</v>
      </c>
      <c r="J1944" s="17">
        <v>40</v>
      </c>
      <c r="K1944" s="10">
        <v>140</v>
      </c>
      <c r="P1944" s="17">
        <v>1</v>
      </c>
      <c r="Q1944" s="20">
        <f t="shared" si="346"/>
        <v>140</v>
      </c>
      <c r="R1944" s="14">
        <v>1500</v>
      </c>
      <c r="S1944" s="20">
        <f t="shared" si="347"/>
        <v>210000</v>
      </c>
      <c r="AG1944" s="22">
        <f t="shared" si="350"/>
        <v>0</v>
      </c>
      <c r="AJ1944" s="20">
        <f t="shared" si="351"/>
        <v>0</v>
      </c>
      <c r="AM1944" s="20">
        <f t="shared" si="348"/>
        <v>0</v>
      </c>
      <c r="AN1944" s="20">
        <f t="shared" si="352"/>
        <v>210000</v>
      </c>
      <c r="AP1944" s="20">
        <f t="shared" si="349"/>
        <v>210000</v>
      </c>
      <c r="AQ1944" s="12">
        <v>1E-4</v>
      </c>
      <c r="AR1944" s="20"/>
    </row>
    <row r="1945" spans="1:45" ht="30" customHeight="1" x14ac:dyDescent="0.2">
      <c r="A1945" s="8"/>
      <c r="C1945" s="16"/>
      <c r="Q1945" s="20"/>
      <c r="AG1945" s="22"/>
      <c r="AJ1945" s="20"/>
      <c r="AM1945" s="20"/>
      <c r="AN1945" s="20"/>
      <c r="AP1945" s="20"/>
      <c r="AR1945" s="20"/>
    </row>
    <row r="1946" spans="1:45" s="21" customFormat="1" ht="30" customHeight="1" x14ac:dyDescent="0.2">
      <c r="A1946" s="8">
        <v>1660</v>
      </c>
      <c r="B1946" s="46">
        <v>1</v>
      </c>
      <c r="C1946" s="16" t="s">
        <v>52</v>
      </c>
      <c r="D1946" s="48">
        <v>4884</v>
      </c>
      <c r="E1946" s="47">
        <v>30</v>
      </c>
      <c r="F1946" s="48">
        <v>2699</v>
      </c>
      <c r="G1946" s="49">
        <v>7</v>
      </c>
      <c r="H1946" s="48">
        <v>10</v>
      </c>
      <c r="I1946" s="48">
        <v>0</v>
      </c>
      <c r="J1946" s="48">
        <v>72</v>
      </c>
      <c r="K1946" s="3">
        <v>4072</v>
      </c>
      <c r="L1946" s="16"/>
      <c r="M1946" s="57"/>
      <c r="N1946" s="58"/>
      <c r="P1946" s="16">
        <v>1</v>
      </c>
      <c r="Q1946" s="20">
        <f t="shared" si="346"/>
        <v>4072</v>
      </c>
      <c r="R1946" s="14">
        <v>750</v>
      </c>
      <c r="S1946" s="19">
        <f t="shared" si="347"/>
        <v>3054000</v>
      </c>
      <c r="T1946" s="16"/>
      <c r="U1946" s="17"/>
      <c r="V1946" s="17"/>
      <c r="W1946" s="4"/>
      <c r="X1946" s="16"/>
      <c r="Y1946" s="5"/>
      <c r="Z1946" s="16"/>
      <c r="AA1946" s="16"/>
      <c r="AB1946" s="16"/>
      <c r="AE1946" s="16"/>
      <c r="AG1946" s="22">
        <f t="shared" si="350"/>
        <v>0</v>
      </c>
      <c r="AH1946" s="6"/>
      <c r="AJ1946" s="20">
        <f t="shared" si="351"/>
        <v>0</v>
      </c>
      <c r="AK1946" s="50"/>
      <c r="AL1946" s="6"/>
      <c r="AM1946" s="20">
        <f t="shared" si="348"/>
        <v>0</v>
      </c>
      <c r="AN1946" s="20">
        <f t="shared" si="352"/>
        <v>3054000</v>
      </c>
      <c r="AP1946" s="20">
        <f t="shared" si="349"/>
        <v>3054000</v>
      </c>
      <c r="AQ1946" s="7"/>
      <c r="AR1946" s="20"/>
      <c r="AS1946" s="51">
        <v>56</v>
      </c>
    </row>
    <row r="1947" spans="1:45" s="21" customFormat="1" ht="30" customHeight="1" x14ac:dyDescent="0.2">
      <c r="A1947" s="8">
        <v>1661</v>
      </c>
      <c r="B1947" s="46">
        <v>1</v>
      </c>
      <c r="C1947" s="16" t="s">
        <v>52</v>
      </c>
      <c r="D1947" s="48">
        <v>4814</v>
      </c>
      <c r="E1947" s="47">
        <v>1</v>
      </c>
      <c r="F1947" s="48">
        <v>2702</v>
      </c>
      <c r="G1947" s="49">
        <v>7</v>
      </c>
      <c r="H1947" s="48">
        <v>10</v>
      </c>
      <c r="I1947" s="48">
        <v>1</v>
      </c>
      <c r="J1947" s="48">
        <v>20</v>
      </c>
      <c r="K1947" s="3">
        <v>4120</v>
      </c>
      <c r="L1947" s="16"/>
      <c r="M1947" s="57"/>
      <c r="N1947" s="58"/>
      <c r="P1947" s="16">
        <v>1</v>
      </c>
      <c r="Q1947" s="20">
        <f t="shared" si="346"/>
        <v>4120</v>
      </c>
      <c r="R1947" s="14">
        <v>540</v>
      </c>
      <c r="S1947" s="20">
        <f t="shared" si="347"/>
        <v>2224800</v>
      </c>
      <c r="T1947" s="16"/>
      <c r="U1947" s="16"/>
      <c r="V1947" s="16"/>
      <c r="W1947" s="5"/>
      <c r="X1947" s="16"/>
      <c r="Y1947" s="5"/>
      <c r="Z1947" s="16"/>
      <c r="AA1947" s="16"/>
      <c r="AB1947" s="16"/>
      <c r="AE1947" s="16"/>
      <c r="AG1947" s="22">
        <f t="shared" si="350"/>
        <v>0</v>
      </c>
      <c r="AH1947" s="6"/>
      <c r="AJ1947" s="20">
        <f t="shared" si="351"/>
        <v>0</v>
      </c>
      <c r="AK1947" s="50"/>
      <c r="AL1947" s="6"/>
      <c r="AM1947" s="20">
        <f t="shared" si="348"/>
        <v>0</v>
      </c>
      <c r="AN1947" s="20">
        <f t="shared" si="352"/>
        <v>2224800</v>
      </c>
      <c r="AP1947" s="20">
        <f t="shared" si="349"/>
        <v>2224800</v>
      </c>
      <c r="AQ1947" s="7"/>
      <c r="AR1947" s="60"/>
      <c r="AS1947" s="128">
        <v>110</v>
      </c>
    </row>
    <row r="1948" spans="1:45" ht="30" customHeight="1" x14ac:dyDescent="0.2">
      <c r="A1948" s="8">
        <v>1662</v>
      </c>
      <c r="B1948" s="13">
        <v>2</v>
      </c>
      <c r="C1948" s="16" t="s">
        <v>65</v>
      </c>
      <c r="D1948" s="17">
        <v>2075</v>
      </c>
      <c r="E1948" s="17">
        <v>5</v>
      </c>
      <c r="H1948" s="17">
        <v>8</v>
      </c>
      <c r="I1948" s="17">
        <v>0</v>
      </c>
      <c r="J1948" s="17">
        <v>92</v>
      </c>
      <c r="K1948" s="10">
        <f>8*400+92</f>
        <v>3292</v>
      </c>
      <c r="P1948" s="17">
        <v>1</v>
      </c>
      <c r="Q1948" s="20">
        <f t="shared" si="346"/>
        <v>3292</v>
      </c>
      <c r="R1948" s="14">
        <v>160</v>
      </c>
      <c r="S1948" s="19">
        <f t="shared" si="347"/>
        <v>526720</v>
      </c>
      <c r="AC1948" s="21"/>
      <c r="AD1948" s="21"/>
      <c r="AG1948" s="22">
        <f t="shared" si="350"/>
        <v>0</v>
      </c>
      <c r="AJ1948" s="20">
        <f t="shared" si="351"/>
        <v>0</v>
      </c>
      <c r="AM1948" s="20">
        <f t="shared" si="348"/>
        <v>0</v>
      </c>
      <c r="AN1948" s="20">
        <f t="shared" si="352"/>
        <v>526720</v>
      </c>
      <c r="AP1948" s="20">
        <f t="shared" si="349"/>
        <v>526720</v>
      </c>
      <c r="AQ1948" s="12">
        <v>1E-4</v>
      </c>
      <c r="AR1948" s="25"/>
      <c r="AS1948" s="130"/>
    </row>
    <row r="1949" spans="1:45" ht="30" customHeight="1" x14ac:dyDescent="0.2">
      <c r="R1949" s="14" t="e">
        <v>#N/A</v>
      </c>
    </row>
    <row r="1950" spans="1:45" s="21" customFormat="1" ht="30" customHeight="1" x14ac:dyDescent="0.2">
      <c r="A1950" s="8">
        <v>1663</v>
      </c>
      <c r="B1950" s="46">
        <v>1</v>
      </c>
      <c r="C1950" s="16" t="s">
        <v>52</v>
      </c>
      <c r="D1950" s="48">
        <v>3791</v>
      </c>
      <c r="E1950" s="47">
        <v>86</v>
      </c>
      <c r="F1950" s="48">
        <v>2337</v>
      </c>
      <c r="G1950" s="49">
        <v>2</v>
      </c>
      <c r="H1950" s="48">
        <v>0</v>
      </c>
      <c r="I1950" s="48">
        <v>1</v>
      </c>
      <c r="J1950" s="48">
        <v>78</v>
      </c>
      <c r="K1950" s="3">
        <v>178</v>
      </c>
      <c r="L1950" s="16"/>
      <c r="M1950" s="57"/>
      <c r="N1950" s="58"/>
      <c r="P1950" s="16">
        <v>1</v>
      </c>
      <c r="Q1950" s="20">
        <f t="shared" ref="Q1950:Q2013" si="353">+(H1950*400)+(I1950*100)+J1950</f>
        <v>178</v>
      </c>
      <c r="R1950" s="14">
        <v>250</v>
      </c>
      <c r="S1950" s="20">
        <f t="shared" ref="S1950:S2013" si="354">+Q1950*R1950</f>
        <v>44500</v>
      </c>
      <c r="T1950" s="16"/>
      <c r="U1950" s="17"/>
      <c r="V1950" s="17"/>
      <c r="W1950" s="4"/>
      <c r="X1950" s="16"/>
      <c r="Y1950" s="5"/>
      <c r="Z1950" s="16"/>
      <c r="AA1950" s="16"/>
      <c r="AB1950" s="16"/>
      <c r="AE1950" s="16"/>
      <c r="AG1950" s="22">
        <f t="shared" ref="AG1950:AG2013" si="355">Y1950</f>
        <v>0</v>
      </c>
      <c r="AH1950" s="6"/>
      <c r="AJ1950" s="20">
        <f t="shared" ref="AJ1950:AJ2013" si="356">+AG1950*AH1950*AI1950</f>
        <v>0</v>
      </c>
      <c r="AK1950" s="50"/>
      <c r="AL1950" s="6"/>
      <c r="AM1950" s="20">
        <f t="shared" ref="AM1950:AM2013" si="357">+AJ1950-(AL1950*AJ1950)</f>
        <v>0</v>
      </c>
      <c r="AN1950" s="20">
        <f t="shared" ref="AN1950:AN1981" si="358">+S1950+AM1950</f>
        <v>44500</v>
      </c>
      <c r="AP1950" s="20">
        <f t="shared" ref="AP1950:AP2013" si="359">AN1950</f>
        <v>44500</v>
      </c>
      <c r="AQ1950" s="7">
        <v>3.0000000000000001E-3</v>
      </c>
      <c r="AR1950" s="60"/>
      <c r="AS1950" s="128">
        <f>20+80</f>
        <v>100</v>
      </c>
    </row>
    <row r="1951" spans="1:45" s="21" customFormat="1" ht="30" customHeight="1" x14ac:dyDescent="0.2">
      <c r="A1951" s="8">
        <v>1664</v>
      </c>
      <c r="B1951" s="46">
        <v>2</v>
      </c>
      <c r="C1951" s="16" t="s">
        <v>52</v>
      </c>
      <c r="D1951" s="48">
        <v>21117</v>
      </c>
      <c r="E1951" s="47">
        <v>48</v>
      </c>
      <c r="F1951" s="48">
        <v>4685</v>
      </c>
      <c r="G1951" s="49">
        <v>3</v>
      </c>
      <c r="H1951" s="48">
        <v>0</v>
      </c>
      <c r="I1951" s="48">
        <v>2</v>
      </c>
      <c r="J1951" s="48">
        <v>86</v>
      </c>
      <c r="K1951" s="3"/>
      <c r="L1951" s="16">
        <v>286</v>
      </c>
      <c r="M1951" s="57"/>
      <c r="N1951" s="58"/>
      <c r="P1951" s="16">
        <v>2</v>
      </c>
      <c r="Q1951" s="20">
        <f t="shared" si="353"/>
        <v>286</v>
      </c>
      <c r="R1951" s="14">
        <v>160</v>
      </c>
      <c r="S1951" s="19">
        <f t="shared" si="354"/>
        <v>45760</v>
      </c>
      <c r="T1951" s="16"/>
      <c r="U1951" s="17" t="s">
        <v>57</v>
      </c>
      <c r="V1951" s="17" t="s">
        <v>56</v>
      </c>
      <c r="W1951" s="4"/>
      <c r="X1951" s="16"/>
      <c r="Y1951" s="5">
        <v>198</v>
      </c>
      <c r="Z1951" s="16"/>
      <c r="AA1951" s="16"/>
      <c r="AB1951" s="16">
        <f>62-45</f>
        <v>17</v>
      </c>
      <c r="AC1951" s="14"/>
      <c r="AD1951" s="14"/>
      <c r="AE1951" s="16"/>
      <c r="AG1951" s="22">
        <f t="shared" si="355"/>
        <v>198</v>
      </c>
      <c r="AH1951" s="6"/>
      <c r="AJ1951" s="20">
        <f t="shared" si="356"/>
        <v>0</v>
      </c>
      <c r="AK1951" s="50">
        <v>17</v>
      </c>
      <c r="AL1951" s="6"/>
      <c r="AM1951" s="20">
        <f t="shared" si="357"/>
        <v>0</v>
      </c>
      <c r="AN1951" s="20">
        <f t="shared" si="358"/>
        <v>45760</v>
      </c>
      <c r="AP1951" s="20">
        <f t="shared" si="359"/>
        <v>45760</v>
      </c>
      <c r="AQ1951" s="7"/>
      <c r="AR1951" s="24"/>
      <c r="AS1951" s="129"/>
    </row>
    <row r="1952" spans="1:45" ht="30" customHeight="1" x14ac:dyDescent="0.2">
      <c r="A1952" s="8">
        <v>1665</v>
      </c>
      <c r="B1952" s="13">
        <v>3</v>
      </c>
      <c r="C1952" s="16" t="s">
        <v>69</v>
      </c>
      <c r="E1952" s="17">
        <v>1516</v>
      </c>
      <c r="F1952" s="17">
        <v>10</v>
      </c>
      <c r="G1952" s="13">
        <v>2</v>
      </c>
      <c r="H1952" s="17">
        <v>6</v>
      </c>
      <c r="I1952" s="17">
        <v>2</v>
      </c>
      <c r="J1952" s="17">
        <v>48</v>
      </c>
      <c r="K1952" s="10">
        <v>2648</v>
      </c>
      <c r="P1952" s="17">
        <v>1</v>
      </c>
      <c r="Q1952" s="20">
        <f t="shared" si="353"/>
        <v>2648</v>
      </c>
      <c r="R1952" s="14">
        <v>200</v>
      </c>
      <c r="S1952" s="19">
        <f t="shared" si="354"/>
        <v>529600</v>
      </c>
      <c r="AG1952" s="22">
        <f t="shared" si="355"/>
        <v>0</v>
      </c>
      <c r="AJ1952" s="20">
        <f t="shared" si="356"/>
        <v>0</v>
      </c>
      <c r="AM1952" s="20">
        <f t="shared" si="357"/>
        <v>0</v>
      </c>
      <c r="AN1952" s="20">
        <f t="shared" si="358"/>
        <v>529600</v>
      </c>
      <c r="AP1952" s="20">
        <f t="shared" si="359"/>
        <v>529600</v>
      </c>
      <c r="AQ1952" s="12">
        <v>1E-4</v>
      </c>
      <c r="AR1952" s="25"/>
      <c r="AS1952" s="130"/>
    </row>
    <row r="1953" spans="1:45" s="21" customFormat="1" ht="30" customHeight="1" x14ac:dyDescent="0.2">
      <c r="A1953" s="8">
        <v>1666</v>
      </c>
      <c r="B1953" s="46">
        <v>1</v>
      </c>
      <c r="C1953" s="16" t="s">
        <v>52</v>
      </c>
      <c r="D1953" s="48">
        <v>1673</v>
      </c>
      <c r="E1953" s="47">
        <v>44</v>
      </c>
      <c r="F1953" s="48">
        <v>1371</v>
      </c>
      <c r="G1953" s="49">
        <v>2</v>
      </c>
      <c r="H1953" s="48">
        <v>0</v>
      </c>
      <c r="I1953" s="48">
        <v>0</v>
      </c>
      <c r="J1953" s="48">
        <v>88</v>
      </c>
      <c r="K1953" s="3"/>
      <c r="L1953" s="16">
        <v>88</v>
      </c>
      <c r="M1953" s="57"/>
      <c r="N1953" s="58"/>
      <c r="P1953" s="16">
        <v>2</v>
      </c>
      <c r="Q1953" s="20">
        <f t="shared" si="353"/>
        <v>88</v>
      </c>
      <c r="R1953" s="14">
        <v>4500</v>
      </c>
      <c r="S1953" s="20">
        <f t="shared" si="354"/>
        <v>396000</v>
      </c>
      <c r="T1953" s="16"/>
      <c r="U1953" s="17" t="s">
        <v>57</v>
      </c>
      <c r="V1953" s="17" t="s">
        <v>56</v>
      </c>
      <c r="W1953" s="4"/>
      <c r="X1953" s="16"/>
      <c r="Y1953" s="5">
        <v>200</v>
      </c>
      <c r="Z1953" s="16"/>
      <c r="AA1953" s="16"/>
      <c r="AB1953" s="16">
        <f>62-16</f>
        <v>46</v>
      </c>
      <c r="AC1953" s="14"/>
      <c r="AD1953" s="14"/>
      <c r="AE1953" s="16"/>
      <c r="AG1953" s="22">
        <f t="shared" si="355"/>
        <v>200</v>
      </c>
      <c r="AH1953" s="6"/>
      <c r="AJ1953" s="20">
        <f t="shared" si="356"/>
        <v>0</v>
      </c>
      <c r="AK1953" s="50">
        <v>46</v>
      </c>
      <c r="AL1953" s="6"/>
      <c r="AM1953" s="20">
        <f t="shared" si="357"/>
        <v>0</v>
      </c>
      <c r="AN1953" s="20">
        <f t="shared" si="358"/>
        <v>396000</v>
      </c>
      <c r="AP1953" s="20">
        <f t="shared" si="359"/>
        <v>396000</v>
      </c>
      <c r="AQ1953" s="7"/>
      <c r="AR1953" s="60"/>
      <c r="AS1953" s="128">
        <v>29</v>
      </c>
    </row>
    <row r="1954" spans="1:45" s="21" customFormat="1" ht="30" customHeight="1" x14ac:dyDescent="0.2">
      <c r="A1954" s="8">
        <v>1667</v>
      </c>
      <c r="B1954" s="46">
        <v>2</v>
      </c>
      <c r="C1954" s="16" t="s">
        <v>52</v>
      </c>
      <c r="D1954" s="48">
        <v>3779</v>
      </c>
      <c r="E1954" s="47">
        <v>108</v>
      </c>
      <c r="F1954" s="48">
        <v>2306</v>
      </c>
      <c r="G1954" s="49">
        <v>2</v>
      </c>
      <c r="H1954" s="48">
        <v>9</v>
      </c>
      <c r="I1954" s="48">
        <v>2</v>
      </c>
      <c r="J1954" s="48">
        <v>12</v>
      </c>
      <c r="K1954" s="3">
        <f>9*400+212</f>
        <v>3812</v>
      </c>
      <c r="L1954" s="16"/>
      <c r="M1954" s="57"/>
      <c r="N1954" s="58"/>
      <c r="P1954" s="16">
        <v>1</v>
      </c>
      <c r="Q1954" s="20">
        <f t="shared" si="353"/>
        <v>3812</v>
      </c>
      <c r="R1954" s="14">
        <v>160</v>
      </c>
      <c r="S1954" s="19">
        <f t="shared" si="354"/>
        <v>609920</v>
      </c>
      <c r="T1954" s="16"/>
      <c r="U1954" s="17"/>
      <c r="V1954" s="17"/>
      <c r="W1954" s="4"/>
      <c r="X1954" s="16"/>
      <c r="Y1954" s="5"/>
      <c r="Z1954" s="16"/>
      <c r="AA1954" s="16"/>
      <c r="AB1954" s="16"/>
      <c r="AC1954" s="14"/>
      <c r="AD1954" s="14"/>
      <c r="AE1954" s="16"/>
      <c r="AG1954" s="22">
        <f t="shared" si="355"/>
        <v>0</v>
      </c>
      <c r="AH1954" s="6"/>
      <c r="AJ1954" s="20">
        <f t="shared" si="356"/>
        <v>0</v>
      </c>
      <c r="AK1954" s="50"/>
      <c r="AL1954" s="6"/>
      <c r="AM1954" s="20">
        <f t="shared" si="357"/>
        <v>0</v>
      </c>
      <c r="AN1954" s="20">
        <f t="shared" si="358"/>
        <v>609920</v>
      </c>
      <c r="AP1954" s="20">
        <f t="shared" si="359"/>
        <v>609920</v>
      </c>
      <c r="AQ1954" s="7"/>
      <c r="AR1954" s="24"/>
      <c r="AS1954" s="129"/>
    </row>
    <row r="1955" spans="1:45" s="21" customFormat="1" ht="30" customHeight="1" x14ac:dyDescent="0.2">
      <c r="A1955" s="8">
        <v>1668</v>
      </c>
      <c r="B1955" s="46">
        <v>3</v>
      </c>
      <c r="C1955" s="16" t="s">
        <v>52</v>
      </c>
      <c r="D1955" s="48">
        <v>1678</v>
      </c>
      <c r="E1955" s="47">
        <v>33</v>
      </c>
      <c r="F1955" s="48">
        <v>1376</v>
      </c>
      <c r="G1955" s="49">
        <v>2</v>
      </c>
      <c r="H1955" s="48">
        <v>0</v>
      </c>
      <c r="I1955" s="48">
        <v>3</v>
      </c>
      <c r="J1955" s="48">
        <v>66</v>
      </c>
      <c r="K1955" s="3">
        <v>366</v>
      </c>
      <c r="L1955" s="16"/>
      <c r="M1955" s="57"/>
      <c r="N1955" s="58"/>
      <c r="P1955" s="16">
        <v>1</v>
      </c>
      <c r="Q1955" s="20">
        <f t="shared" si="353"/>
        <v>366</v>
      </c>
      <c r="R1955" s="14">
        <v>200</v>
      </c>
      <c r="S1955" s="19">
        <f t="shared" si="354"/>
        <v>73200</v>
      </c>
      <c r="T1955" s="16"/>
      <c r="U1955" s="17"/>
      <c r="V1955" s="17"/>
      <c r="W1955" s="4"/>
      <c r="X1955" s="16"/>
      <c r="Y1955" s="5"/>
      <c r="Z1955" s="16"/>
      <c r="AA1955" s="16"/>
      <c r="AB1955" s="16"/>
      <c r="AC1955" s="14"/>
      <c r="AD1955" s="14"/>
      <c r="AE1955" s="16"/>
      <c r="AG1955" s="22">
        <f t="shared" si="355"/>
        <v>0</v>
      </c>
      <c r="AH1955" s="6"/>
      <c r="AJ1955" s="20">
        <f t="shared" si="356"/>
        <v>0</v>
      </c>
      <c r="AK1955" s="50"/>
      <c r="AL1955" s="6"/>
      <c r="AM1955" s="20">
        <f t="shared" si="357"/>
        <v>0</v>
      </c>
      <c r="AN1955" s="20">
        <f t="shared" si="358"/>
        <v>73200</v>
      </c>
      <c r="AP1955" s="20">
        <f t="shared" si="359"/>
        <v>73200</v>
      </c>
      <c r="AQ1955" s="7"/>
      <c r="AR1955" s="25"/>
      <c r="AS1955" s="130"/>
    </row>
    <row r="1956" spans="1:45" s="21" customFormat="1" ht="30" customHeight="1" x14ac:dyDescent="0.2">
      <c r="A1956" s="8">
        <v>1669</v>
      </c>
      <c r="B1956" s="46">
        <v>1</v>
      </c>
      <c r="C1956" s="16" t="s">
        <v>52</v>
      </c>
      <c r="D1956" s="48">
        <v>1672</v>
      </c>
      <c r="E1956" s="47">
        <v>35</v>
      </c>
      <c r="F1956" s="48">
        <v>1363</v>
      </c>
      <c r="G1956" s="49">
        <v>2</v>
      </c>
      <c r="H1956" s="48">
        <v>7</v>
      </c>
      <c r="I1956" s="48">
        <v>0</v>
      </c>
      <c r="J1956" s="48">
        <v>5</v>
      </c>
      <c r="K1956" s="3">
        <v>2805</v>
      </c>
      <c r="L1956" s="16"/>
      <c r="M1956" s="57"/>
      <c r="N1956" s="58"/>
      <c r="P1956" s="16">
        <v>1</v>
      </c>
      <c r="Q1956" s="20">
        <f t="shared" si="353"/>
        <v>2805</v>
      </c>
      <c r="R1956" s="14">
        <v>2250</v>
      </c>
      <c r="S1956" s="20">
        <f t="shared" si="354"/>
        <v>6311250</v>
      </c>
      <c r="T1956" s="16"/>
      <c r="U1956" s="16"/>
      <c r="V1956" s="16"/>
      <c r="W1956" s="5"/>
      <c r="X1956" s="16"/>
      <c r="Y1956" s="5"/>
      <c r="Z1956" s="16"/>
      <c r="AA1956" s="16"/>
      <c r="AB1956" s="16"/>
      <c r="AC1956" s="14"/>
      <c r="AD1956" s="14"/>
      <c r="AE1956" s="16"/>
      <c r="AG1956" s="22">
        <f t="shared" si="355"/>
        <v>0</v>
      </c>
      <c r="AH1956" s="6"/>
      <c r="AJ1956" s="20">
        <f t="shared" si="356"/>
        <v>0</v>
      </c>
      <c r="AK1956" s="50"/>
      <c r="AL1956" s="6"/>
      <c r="AM1956" s="20">
        <f t="shared" si="357"/>
        <v>0</v>
      </c>
      <c r="AN1956" s="20">
        <f t="shared" si="358"/>
        <v>6311250</v>
      </c>
      <c r="AP1956" s="20">
        <f t="shared" si="359"/>
        <v>6311250</v>
      </c>
      <c r="AQ1956" s="7"/>
      <c r="AR1956" s="60"/>
      <c r="AS1956" s="128">
        <v>49</v>
      </c>
    </row>
    <row r="1957" spans="1:45" s="21" customFormat="1" ht="30" customHeight="1" x14ac:dyDescent="0.2">
      <c r="A1957" s="8">
        <v>1670</v>
      </c>
      <c r="B1957" s="46">
        <v>2</v>
      </c>
      <c r="C1957" s="16" t="s">
        <v>52</v>
      </c>
      <c r="D1957" s="48">
        <v>21114</v>
      </c>
      <c r="E1957" s="47">
        <v>135</v>
      </c>
      <c r="F1957" s="48">
        <v>4682</v>
      </c>
      <c r="G1957" s="49">
        <v>2</v>
      </c>
      <c r="H1957" s="48">
        <v>0</v>
      </c>
      <c r="I1957" s="48">
        <v>2</v>
      </c>
      <c r="J1957" s="48">
        <v>62</v>
      </c>
      <c r="K1957" s="3"/>
      <c r="L1957" s="16">
        <v>262</v>
      </c>
      <c r="M1957" s="57"/>
      <c r="N1957" s="58"/>
      <c r="P1957" s="16">
        <v>2</v>
      </c>
      <c r="Q1957" s="20">
        <f t="shared" si="353"/>
        <v>262</v>
      </c>
      <c r="R1957" s="14">
        <v>160</v>
      </c>
      <c r="S1957" s="19">
        <f t="shared" si="354"/>
        <v>41920</v>
      </c>
      <c r="T1957" s="16"/>
      <c r="U1957" s="17" t="s">
        <v>57</v>
      </c>
      <c r="V1957" s="16" t="s">
        <v>56</v>
      </c>
      <c r="W1957" s="5"/>
      <c r="X1957" s="16"/>
      <c r="Y1957" s="5">
        <v>200</v>
      </c>
      <c r="Z1957" s="16"/>
      <c r="AA1957" s="16"/>
      <c r="AB1957" s="16">
        <f>62-47</f>
        <v>15</v>
      </c>
      <c r="AE1957" s="16"/>
      <c r="AG1957" s="22">
        <f t="shared" si="355"/>
        <v>200</v>
      </c>
      <c r="AH1957" s="6"/>
      <c r="AJ1957" s="20">
        <f t="shared" si="356"/>
        <v>0</v>
      </c>
      <c r="AK1957" s="50">
        <v>15</v>
      </c>
      <c r="AL1957" s="6"/>
      <c r="AM1957" s="20">
        <f t="shared" si="357"/>
        <v>0</v>
      </c>
      <c r="AN1957" s="20">
        <f t="shared" si="358"/>
        <v>41920</v>
      </c>
      <c r="AP1957" s="20">
        <f t="shared" si="359"/>
        <v>41920</v>
      </c>
      <c r="AQ1957" s="7"/>
      <c r="AR1957" s="25"/>
      <c r="AS1957" s="130"/>
    </row>
    <row r="1958" spans="1:45" s="21" customFormat="1" ht="30" customHeight="1" x14ac:dyDescent="0.2">
      <c r="A1958" s="8">
        <v>1671</v>
      </c>
      <c r="B1958" s="46">
        <v>1</v>
      </c>
      <c r="C1958" s="16" t="s">
        <v>52</v>
      </c>
      <c r="D1958" s="48">
        <v>3778</v>
      </c>
      <c r="E1958" s="47">
        <v>107</v>
      </c>
      <c r="F1958" s="48">
        <v>2305</v>
      </c>
      <c r="G1958" s="49">
        <v>2</v>
      </c>
      <c r="H1958" s="48">
        <v>8</v>
      </c>
      <c r="I1958" s="48">
        <v>1</v>
      </c>
      <c r="J1958" s="48">
        <v>40</v>
      </c>
      <c r="K1958" s="3">
        <f>8*400+140</f>
        <v>3340</v>
      </c>
      <c r="L1958" s="16"/>
      <c r="M1958" s="57"/>
      <c r="N1958" s="58"/>
      <c r="P1958" s="16">
        <v>1</v>
      </c>
      <c r="Q1958" s="20">
        <f t="shared" si="353"/>
        <v>3340</v>
      </c>
      <c r="R1958" s="14">
        <v>160</v>
      </c>
      <c r="S1958" s="19">
        <f t="shared" si="354"/>
        <v>534400</v>
      </c>
      <c r="T1958" s="16"/>
      <c r="U1958" s="17"/>
      <c r="V1958" s="17"/>
      <c r="W1958" s="4"/>
      <c r="X1958" s="16"/>
      <c r="Y1958" s="5"/>
      <c r="Z1958" s="16"/>
      <c r="AA1958" s="16"/>
      <c r="AB1958" s="16"/>
      <c r="AE1958" s="16"/>
      <c r="AG1958" s="22">
        <f t="shared" si="355"/>
        <v>0</v>
      </c>
      <c r="AH1958" s="6"/>
      <c r="AJ1958" s="20">
        <f t="shared" si="356"/>
        <v>0</v>
      </c>
      <c r="AK1958" s="50"/>
      <c r="AL1958" s="6"/>
      <c r="AM1958" s="20">
        <f t="shared" si="357"/>
        <v>0</v>
      </c>
      <c r="AN1958" s="20">
        <f t="shared" si="358"/>
        <v>534400</v>
      </c>
      <c r="AP1958" s="20">
        <f t="shared" si="359"/>
        <v>534400</v>
      </c>
      <c r="AQ1958" s="7"/>
      <c r="AR1958" s="60"/>
      <c r="AS1958" s="128">
        <v>25</v>
      </c>
    </row>
    <row r="1959" spans="1:45" s="21" customFormat="1" ht="30" customHeight="1" x14ac:dyDescent="0.2">
      <c r="A1959" s="8">
        <v>1672</v>
      </c>
      <c r="B1959" s="46">
        <v>2</v>
      </c>
      <c r="C1959" s="16" t="s">
        <v>52</v>
      </c>
      <c r="D1959" s="48">
        <v>21115</v>
      </c>
      <c r="E1959" s="47">
        <v>47</v>
      </c>
      <c r="F1959" s="48">
        <v>4683</v>
      </c>
      <c r="G1959" s="49">
        <v>3</v>
      </c>
      <c r="H1959" s="48">
        <v>0</v>
      </c>
      <c r="I1959" s="48">
        <v>1</v>
      </c>
      <c r="J1959" s="48">
        <v>17</v>
      </c>
      <c r="K1959" s="3">
        <v>117</v>
      </c>
      <c r="L1959" s="16"/>
      <c r="M1959" s="57"/>
      <c r="N1959" s="58"/>
      <c r="P1959" s="16">
        <v>1</v>
      </c>
      <c r="Q1959" s="20">
        <f t="shared" si="353"/>
        <v>117</v>
      </c>
      <c r="R1959" s="14">
        <v>160</v>
      </c>
      <c r="S1959" s="20">
        <f t="shared" si="354"/>
        <v>18720</v>
      </c>
      <c r="T1959" s="16"/>
      <c r="U1959" s="17"/>
      <c r="V1959" s="17"/>
      <c r="W1959" s="4"/>
      <c r="X1959" s="16"/>
      <c r="Y1959" s="5"/>
      <c r="Z1959" s="16"/>
      <c r="AA1959" s="16"/>
      <c r="AB1959" s="16"/>
      <c r="AE1959" s="16"/>
      <c r="AG1959" s="22">
        <f t="shared" si="355"/>
        <v>0</v>
      </c>
      <c r="AH1959" s="6"/>
      <c r="AJ1959" s="20">
        <f t="shared" si="356"/>
        <v>0</v>
      </c>
      <c r="AK1959" s="50"/>
      <c r="AL1959" s="6"/>
      <c r="AM1959" s="20">
        <f t="shared" si="357"/>
        <v>0</v>
      </c>
      <c r="AN1959" s="20">
        <f t="shared" si="358"/>
        <v>18720</v>
      </c>
      <c r="AP1959" s="20">
        <f t="shared" si="359"/>
        <v>18720</v>
      </c>
      <c r="AQ1959" s="7"/>
      <c r="AR1959" s="25"/>
      <c r="AS1959" s="130"/>
    </row>
    <row r="1960" spans="1:45" s="21" customFormat="1" ht="30" customHeight="1" x14ac:dyDescent="0.2">
      <c r="A1960" s="8">
        <v>1673</v>
      </c>
      <c r="B1960" s="46">
        <v>1</v>
      </c>
      <c r="C1960" s="16" t="s">
        <v>52</v>
      </c>
      <c r="D1960" s="48">
        <v>2965</v>
      </c>
      <c r="E1960" s="47">
        <v>27</v>
      </c>
      <c r="F1960" s="48">
        <v>2029</v>
      </c>
      <c r="G1960" s="49">
        <v>2</v>
      </c>
      <c r="H1960" s="48">
        <v>0</v>
      </c>
      <c r="I1960" s="48">
        <v>0</v>
      </c>
      <c r="J1960" s="48">
        <v>73</v>
      </c>
      <c r="K1960" s="3"/>
      <c r="L1960" s="16">
        <v>73</v>
      </c>
      <c r="M1960" s="57"/>
      <c r="N1960" s="58"/>
      <c r="P1960" s="16">
        <v>2</v>
      </c>
      <c r="Q1960" s="20">
        <f t="shared" si="353"/>
        <v>73</v>
      </c>
      <c r="R1960" s="14">
        <v>250</v>
      </c>
      <c r="S1960" s="19">
        <f t="shared" si="354"/>
        <v>18250</v>
      </c>
      <c r="T1960" s="16"/>
      <c r="U1960" s="17" t="s">
        <v>57</v>
      </c>
      <c r="V1960" s="17" t="s">
        <v>56</v>
      </c>
      <c r="W1960" s="4"/>
      <c r="X1960" s="16"/>
      <c r="Y1960" s="5">
        <v>67.5</v>
      </c>
      <c r="Z1960" s="16"/>
      <c r="AA1960" s="16"/>
      <c r="AB1960" s="16">
        <f>62-34</f>
        <v>28</v>
      </c>
      <c r="AE1960" s="16"/>
      <c r="AG1960" s="22">
        <f t="shared" si="355"/>
        <v>67.5</v>
      </c>
      <c r="AH1960" s="6"/>
      <c r="AJ1960" s="20">
        <f t="shared" si="356"/>
        <v>0</v>
      </c>
      <c r="AK1960" s="50">
        <v>28</v>
      </c>
      <c r="AL1960" s="6"/>
      <c r="AM1960" s="20">
        <f t="shared" si="357"/>
        <v>0</v>
      </c>
      <c r="AN1960" s="20">
        <f t="shared" si="358"/>
        <v>18250</v>
      </c>
      <c r="AP1960" s="20">
        <f t="shared" si="359"/>
        <v>18250</v>
      </c>
      <c r="AQ1960" s="7"/>
      <c r="AR1960" s="60"/>
      <c r="AS1960" s="128">
        <v>160</v>
      </c>
    </row>
    <row r="1961" spans="1:45" s="21" customFormat="1" ht="30" customHeight="1" x14ac:dyDescent="0.2">
      <c r="A1961" s="8">
        <v>1674</v>
      </c>
      <c r="B1961" s="46">
        <v>2</v>
      </c>
      <c r="C1961" s="16" t="s">
        <v>52</v>
      </c>
      <c r="D1961" s="48">
        <v>12542</v>
      </c>
      <c r="E1961" s="47">
        <v>123</v>
      </c>
      <c r="F1961" s="48">
        <v>3245</v>
      </c>
      <c r="G1961" s="49">
        <v>2</v>
      </c>
      <c r="H1961" s="48">
        <v>2</v>
      </c>
      <c r="I1961" s="48">
        <v>2</v>
      </c>
      <c r="J1961" s="48">
        <v>27</v>
      </c>
      <c r="K1961" s="3">
        <v>1027</v>
      </c>
      <c r="L1961" s="16"/>
      <c r="M1961" s="57"/>
      <c r="N1961" s="58"/>
      <c r="P1961" s="16">
        <v>1</v>
      </c>
      <c r="Q1961" s="20">
        <f t="shared" si="353"/>
        <v>1027</v>
      </c>
      <c r="R1961" s="14">
        <v>200</v>
      </c>
      <c r="S1961" s="19">
        <f t="shared" si="354"/>
        <v>205400</v>
      </c>
      <c r="T1961" s="16"/>
      <c r="U1961" s="17"/>
      <c r="V1961" s="17"/>
      <c r="W1961" s="4"/>
      <c r="X1961" s="16"/>
      <c r="Y1961" s="5"/>
      <c r="Z1961" s="16"/>
      <c r="AA1961" s="16"/>
      <c r="AB1961" s="16"/>
      <c r="AE1961" s="16"/>
      <c r="AG1961" s="22">
        <f t="shared" si="355"/>
        <v>0</v>
      </c>
      <c r="AH1961" s="6"/>
      <c r="AJ1961" s="20">
        <f t="shared" si="356"/>
        <v>0</v>
      </c>
      <c r="AK1961" s="50"/>
      <c r="AL1961" s="6"/>
      <c r="AM1961" s="20">
        <f t="shared" si="357"/>
        <v>0</v>
      </c>
      <c r="AN1961" s="20">
        <f t="shared" si="358"/>
        <v>205400</v>
      </c>
      <c r="AP1961" s="20">
        <f t="shared" si="359"/>
        <v>205400</v>
      </c>
      <c r="AQ1961" s="7"/>
      <c r="AR1961" s="24"/>
      <c r="AS1961" s="129"/>
    </row>
    <row r="1962" spans="1:45" ht="30" customHeight="1" x14ac:dyDescent="0.2">
      <c r="A1962" s="8">
        <v>1675</v>
      </c>
      <c r="B1962" s="13">
        <v>3</v>
      </c>
      <c r="C1962" s="16" t="s">
        <v>65</v>
      </c>
      <c r="D1962" s="17">
        <v>895</v>
      </c>
      <c r="E1962" s="17">
        <v>168</v>
      </c>
      <c r="H1962" s="17">
        <v>22</v>
      </c>
      <c r="I1962" s="17">
        <v>3</v>
      </c>
      <c r="J1962" s="17">
        <v>23</v>
      </c>
      <c r="K1962" s="10">
        <f>22*400+323</f>
        <v>9123</v>
      </c>
      <c r="P1962" s="17">
        <v>1</v>
      </c>
      <c r="Q1962" s="20">
        <f t="shared" si="353"/>
        <v>9123</v>
      </c>
      <c r="R1962" s="14">
        <v>750</v>
      </c>
      <c r="S1962" s="20">
        <f t="shared" si="354"/>
        <v>6842250</v>
      </c>
      <c r="AC1962" s="21"/>
      <c r="AD1962" s="21"/>
      <c r="AG1962" s="22">
        <f t="shared" si="355"/>
        <v>0</v>
      </c>
      <c r="AJ1962" s="20">
        <f t="shared" si="356"/>
        <v>0</v>
      </c>
      <c r="AM1962" s="20">
        <f t="shared" si="357"/>
        <v>0</v>
      </c>
      <c r="AN1962" s="20">
        <f t="shared" si="358"/>
        <v>6842250</v>
      </c>
      <c r="AP1962" s="20">
        <f t="shared" si="359"/>
        <v>6842250</v>
      </c>
      <c r="AQ1962" s="12">
        <v>1E-4</v>
      </c>
      <c r="AR1962" s="25"/>
      <c r="AS1962" s="130"/>
    </row>
    <row r="1963" spans="1:45" s="21" customFormat="1" ht="30" customHeight="1" x14ac:dyDescent="0.2">
      <c r="A1963" s="8">
        <v>1676</v>
      </c>
      <c r="B1963" s="46">
        <v>1</v>
      </c>
      <c r="C1963" s="16" t="s">
        <v>52</v>
      </c>
      <c r="D1963" s="48">
        <v>4940</v>
      </c>
      <c r="E1963" s="47">
        <v>59</v>
      </c>
      <c r="F1963" s="48">
        <v>2311</v>
      </c>
      <c r="G1963" s="49">
        <v>2</v>
      </c>
      <c r="H1963" s="48">
        <v>0</v>
      </c>
      <c r="I1963" s="48">
        <v>2</v>
      </c>
      <c r="J1963" s="48">
        <v>56</v>
      </c>
      <c r="K1963" s="3"/>
      <c r="L1963" s="16">
        <v>256</v>
      </c>
      <c r="M1963" s="57"/>
      <c r="N1963" s="58"/>
      <c r="P1963" s="16">
        <v>2</v>
      </c>
      <c r="Q1963" s="20">
        <f t="shared" si="353"/>
        <v>256</v>
      </c>
      <c r="R1963" s="14">
        <v>1200</v>
      </c>
      <c r="S1963" s="19">
        <f t="shared" si="354"/>
        <v>307200</v>
      </c>
      <c r="T1963" s="16"/>
      <c r="U1963" s="17" t="s">
        <v>57</v>
      </c>
      <c r="V1963" s="17" t="s">
        <v>56</v>
      </c>
      <c r="W1963" s="4"/>
      <c r="X1963" s="16"/>
      <c r="Y1963" s="5">
        <v>153</v>
      </c>
      <c r="Z1963" s="16"/>
      <c r="AA1963" s="16"/>
      <c r="AB1963" s="16">
        <f>62-21</f>
        <v>41</v>
      </c>
      <c r="AE1963" s="16"/>
      <c r="AG1963" s="22">
        <f t="shared" si="355"/>
        <v>153</v>
      </c>
      <c r="AH1963" s="6"/>
      <c r="AJ1963" s="20">
        <f t="shared" si="356"/>
        <v>0</v>
      </c>
      <c r="AK1963" s="50">
        <v>41</v>
      </c>
      <c r="AL1963" s="6"/>
      <c r="AM1963" s="20">
        <f t="shared" si="357"/>
        <v>0</v>
      </c>
      <c r="AN1963" s="20">
        <f t="shared" si="358"/>
        <v>307200</v>
      </c>
      <c r="AP1963" s="20">
        <f t="shared" si="359"/>
        <v>307200</v>
      </c>
      <c r="AQ1963" s="7"/>
      <c r="AR1963" s="20"/>
      <c r="AS1963" s="51"/>
    </row>
    <row r="1964" spans="1:45" s="21" customFormat="1" ht="30" customHeight="1" x14ac:dyDescent="0.2">
      <c r="A1964" s="8">
        <v>1677</v>
      </c>
      <c r="B1964" s="46">
        <v>2</v>
      </c>
      <c r="C1964" s="16" t="s">
        <v>52</v>
      </c>
      <c r="D1964" s="48">
        <v>4941</v>
      </c>
      <c r="E1964" s="47">
        <v>71</v>
      </c>
      <c r="F1964" s="48">
        <v>2323</v>
      </c>
      <c r="G1964" s="49">
        <v>2</v>
      </c>
      <c r="H1964" s="48">
        <v>2</v>
      </c>
      <c r="I1964" s="48">
        <v>0</v>
      </c>
      <c r="J1964" s="48">
        <v>21</v>
      </c>
      <c r="K1964" s="3"/>
      <c r="L1964" s="16">
        <v>21</v>
      </c>
      <c r="M1964" s="57"/>
      <c r="N1964" s="58"/>
      <c r="P1964" s="16">
        <v>2</v>
      </c>
      <c r="Q1964" s="20">
        <f t="shared" si="353"/>
        <v>821</v>
      </c>
      <c r="R1964" s="14">
        <v>900</v>
      </c>
      <c r="S1964" s="19">
        <f t="shared" si="354"/>
        <v>738900</v>
      </c>
      <c r="T1964" s="16"/>
      <c r="U1964" s="16" t="s">
        <v>174</v>
      </c>
      <c r="V1964" s="16" t="s">
        <v>56</v>
      </c>
      <c r="W1964" s="5"/>
      <c r="X1964" s="16"/>
      <c r="Y1964" s="5">
        <v>375</v>
      </c>
      <c r="Z1964" s="16"/>
      <c r="AA1964" s="16"/>
      <c r="AB1964" s="16">
        <f>62-51</f>
        <v>11</v>
      </c>
      <c r="AE1964" s="16"/>
      <c r="AG1964" s="22">
        <f t="shared" si="355"/>
        <v>375</v>
      </c>
      <c r="AH1964" s="6"/>
      <c r="AJ1964" s="20">
        <f t="shared" si="356"/>
        <v>0</v>
      </c>
      <c r="AK1964" s="50">
        <v>11</v>
      </c>
      <c r="AL1964" s="6"/>
      <c r="AM1964" s="20">
        <f t="shared" si="357"/>
        <v>0</v>
      </c>
      <c r="AN1964" s="20">
        <f t="shared" si="358"/>
        <v>738900</v>
      </c>
      <c r="AP1964" s="20">
        <f t="shared" si="359"/>
        <v>738900</v>
      </c>
      <c r="AQ1964" s="7"/>
      <c r="AR1964" s="20"/>
      <c r="AS1964" s="51"/>
    </row>
    <row r="1965" spans="1:45" ht="30" customHeight="1" x14ac:dyDescent="0.2">
      <c r="A1965" s="8"/>
      <c r="C1965" s="16"/>
      <c r="Q1965" s="20"/>
      <c r="AC1965" s="21"/>
      <c r="AD1965" s="21"/>
      <c r="AG1965" s="22"/>
      <c r="AJ1965" s="20"/>
      <c r="AM1965" s="20"/>
      <c r="AN1965" s="20"/>
      <c r="AP1965" s="20"/>
      <c r="AR1965" s="20"/>
    </row>
    <row r="1966" spans="1:45" s="21" customFormat="1" ht="30" customHeight="1" x14ac:dyDescent="0.2">
      <c r="A1966" s="8">
        <v>1678</v>
      </c>
      <c r="B1966" s="46">
        <v>1</v>
      </c>
      <c r="C1966" s="16" t="s">
        <v>52</v>
      </c>
      <c r="D1966" s="48">
        <v>621</v>
      </c>
      <c r="E1966" s="47">
        <v>502</v>
      </c>
      <c r="F1966" s="48">
        <v>66</v>
      </c>
      <c r="G1966" s="49">
        <v>2</v>
      </c>
      <c r="H1966" s="48">
        <v>6</v>
      </c>
      <c r="I1966" s="48">
        <v>0</v>
      </c>
      <c r="J1966" s="48">
        <v>30.01</v>
      </c>
      <c r="K1966" s="3">
        <v>2430.1</v>
      </c>
      <c r="L1966" s="16"/>
      <c r="M1966" s="57"/>
      <c r="N1966" s="58"/>
      <c r="P1966" s="16">
        <v>1</v>
      </c>
      <c r="Q1966" s="20">
        <f t="shared" si="353"/>
        <v>2430.0100000000002</v>
      </c>
      <c r="R1966" s="14">
        <v>160</v>
      </c>
      <c r="S1966" s="19">
        <f t="shared" si="354"/>
        <v>388801.60000000003</v>
      </c>
      <c r="T1966" s="16"/>
      <c r="U1966" s="17"/>
      <c r="V1966" s="17"/>
      <c r="W1966" s="4"/>
      <c r="X1966" s="16"/>
      <c r="Y1966" s="5"/>
      <c r="Z1966" s="16"/>
      <c r="AA1966" s="16"/>
      <c r="AB1966" s="16"/>
      <c r="AE1966" s="16"/>
      <c r="AG1966" s="22">
        <f t="shared" si="355"/>
        <v>0</v>
      </c>
      <c r="AH1966" s="6"/>
      <c r="AJ1966" s="20">
        <f t="shared" si="356"/>
        <v>0</v>
      </c>
      <c r="AK1966" s="50"/>
      <c r="AL1966" s="6"/>
      <c r="AM1966" s="20">
        <f t="shared" si="357"/>
        <v>0</v>
      </c>
      <c r="AN1966" s="20">
        <f t="shared" si="358"/>
        <v>388801.60000000003</v>
      </c>
      <c r="AP1966" s="20">
        <f t="shared" si="359"/>
        <v>388801.60000000003</v>
      </c>
      <c r="AQ1966" s="7"/>
      <c r="AR1966" s="20"/>
      <c r="AS1966" s="51"/>
    </row>
    <row r="1967" spans="1:45" s="21" customFormat="1" ht="30" customHeight="1" x14ac:dyDescent="0.2">
      <c r="A1967" s="8">
        <v>1679</v>
      </c>
      <c r="B1967" s="46">
        <v>2</v>
      </c>
      <c r="C1967" s="16" t="s">
        <v>52</v>
      </c>
      <c r="D1967" s="48">
        <v>771</v>
      </c>
      <c r="E1967" s="47">
        <v>517</v>
      </c>
      <c r="F1967" s="48">
        <v>105</v>
      </c>
      <c r="G1967" s="49">
        <v>2</v>
      </c>
      <c r="H1967" s="48">
        <v>0</v>
      </c>
      <c r="I1967" s="48">
        <v>0</v>
      </c>
      <c r="J1967" s="48">
        <v>25.07</v>
      </c>
      <c r="K1967" s="3"/>
      <c r="L1967" s="16">
        <v>25.07</v>
      </c>
      <c r="M1967" s="57"/>
      <c r="N1967" s="58"/>
      <c r="P1967" s="16">
        <v>2</v>
      </c>
      <c r="Q1967" s="20">
        <f t="shared" si="353"/>
        <v>25.07</v>
      </c>
      <c r="R1967" s="14">
        <v>4500</v>
      </c>
      <c r="S1967" s="20">
        <f t="shared" si="354"/>
        <v>112815</v>
      </c>
      <c r="T1967" s="16"/>
      <c r="U1967" s="17" t="s">
        <v>63</v>
      </c>
      <c r="V1967" s="17" t="s">
        <v>56</v>
      </c>
      <c r="W1967" s="4"/>
      <c r="X1967" s="16"/>
      <c r="Y1967" s="5">
        <v>72</v>
      </c>
      <c r="Z1967" s="16"/>
      <c r="AA1967" s="16"/>
      <c r="AB1967" s="16">
        <f>62-34</f>
        <v>28</v>
      </c>
      <c r="AE1967" s="16"/>
      <c r="AG1967" s="22">
        <f t="shared" si="355"/>
        <v>72</v>
      </c>
      <c r="AH1967" s="6"/>
      <c r="AJ1967" s="20">
        <f t="shared" si="356"/>
        <v>0</v>
      </c>
      <c r="AK1967" s="50">
        <v>28</v>
      </c>
      <c r="AL1967" s="6"/>
      <c r="AM1967" s="20">
        <f t="shared" si="357"/>
        <v>0</v>
      </c>
      <c r="AN1967" s="20">
        <f t="shared" si="358"/>
        <v>112815</v>
      </c>
      <c r="AP1967" s="20">
        <f t="shared" si="359"/>
        <v>112815</v>
      </c>
      <c r="AQ1967" s="7"/>
      <c r="AR1967" s="20"/>
      <c r="AS1967" s="51"/>
    </row>
    <row r="1968" spans="1:45" s="21" customFormat="1" ht="30" customHeight="1" x14ac:dyDescent="0.2">
      <c r="A1968" s="8">
        <v>1680</v>
      </c>
      <c r="B1968" s="46">
        <v>3</v>
      </c>
      <c r="C1968" s="16" t="s">
        <v>52</v>
      </c>
      <c r="D1968" s="48">
        <v>19709</v>
      </c>
      <c r="E1968" s="47">
        <v>130</v>
      </c>
      <c r="F1968" s="48">
        <v>4397</v>
      </c>
      <c r="G1968" s="49">
        <v>2</v>
      </c>
      <c r="H1968" s="48">
        <v>1</v>
      </c>
      <c r="I1968" s="48">
        <v>3</v>
      </c>
      <c r="J1968" s="48">
        <v>72</v>
      </c>
      <c r="K1968" s="3">
        <v>772</v>
      </c>
      <c r="L1968" s="16"/>
      <c r="M1968" s="57"/>
      <c r="N1968" s="58"/>
      <c r="P1968" s="16">
        <v>1</v>
      </c>
      <c r="Q1968" s="20">
        <f t="shared" si="353"/>
        <v>772</v>
      </c>
      <c r="R1968" s="14">
        <v>900</v>
      </c>
      <c r="S1968" s="19">
        <f t="shared" si="354"/>
        <v>694800</v>
      </c>
      <c r="T1968" s="16"/>
      <c r="U1968" s="17"/>
      <c r="V1968" s="17"/>
      <c r="W1968" s="4"/>
      <c r="X1968" s="16"/>
      <c r="Y1968" s="5"/>
      <c r="Z1968" s="16"/>
      <c r="AA1968" s="16"/>
      <c r="AB1968" s="16"/>
      <c r="AE1968" s="16"/>
      <c r="AG1968" s="22">
        <f t="shared" si="355"/>
        <v>0</v>
      </c>
      <c r="AH1968" s="6"/>
      <c r="AJ1968" s="20">
        <f t="shared" si="356"/>
        <v>0</v>
      </c>
      <c r="AK1968" s="50"/>
      <c r="AL1968" s="6"/>
      <c r="AM1968" s="20">
        <f t="shared" si="357"/>
        <v>0</v>
      </c>
      <c r="AN1968" s="20">
        <f t="shared" si="358"/>
        <v>694800</v>
      </c>
      <c r="AP1968" s="20">
        <f t="shared" si="359"/>
        <v>694800</v>
      </c>
      <c r="AQ1968" s="7"/>
      <c r="AR1968" s="20"/>
      <c r="AS1968" s="51"/>
    </row>
    <row r="1969" spans="1:45" s="21" customFormat="1" ht="30" customHeight="1" x14ac:dyDescent="0.2">
      <c r="A1969" s="8">
        <v>1681</v>
      </c>
      <c r="B1969" s="46">
        <v>4</v>
      </c>
      <c r="C1969" s="16" t="s">
        <v>52</v>
      </c>
      <c r="D1969" s="48">
        <v>19710</v>
      </c>
      <c r="E1969" s="47">
        <v>128</v>
      </c>
      <c r="F1969" s="48">
        <v>4395</v>
      </c>
      <c r="G1969" s="49">
        <v>2</v>
      </c>
      <c r="H1969" s="48">
        <v>0</v>
      </c>
      <c r="I1969" s="48">
        <v>0</v>
      </c>
      <c r="J1969" s="48">
        <v>30</v>
      </c>
      <c r="K1969" s="3"/>
      <c r="L1969" s="16">
        <v>30</v>
      </c>
      <c r="M1969" s="57"/>
      <c r="N1969" s="58"/>
      <c r="P1969" s="16">
        <v>2</v>
      </c>
      <c r="Q1969" s="20">
        <f t="shared" si="353"/>
        <v>30</v>
      </c>
      <c r="R1969" s="14">
        <v>1200</v>
      </c>
      <c r="S1969" s="19">
        <f t="shared" si="354"/>
        <v>36000</v>
      </c>
      <c r="T1969" s="16"/>
      <c r="U1969" s="17"/>
      <c r="V1969" s="17"/>
      <c r="W1969" s="4"/>
      <c r="X1969" s="16"/>
      <c r="Y1969" s="5"/>
      <c r="Z1969" s="16"/>
      <c r="AA1969" s="16"/>
      <c r="AB1969" s="16"/>
      <c r="AC1969" s="14"/>
      <c r="AD1969" s="14"/>
      <c r="AE1969" s="16"/>
      <c r="AG1969" s="22">
        <f t="shared" si="355"/>
        <v>0</v>
      </c>
      <c r="AH1969" s="6"/>
      <c r="AJ1969" s="20">
        <f t="shared" si="356"/>
        <v>0</v>
      </c>
      <c r="AK1969" s="50"/>
      <c r="AL1969" s="6"/>
      <c r="AM1969" s="20">
        <f t="shared" si="357"/>
        <v>0</v>
      </c>
      <c r="AN1969" s="20">
        <f t="shared" si="358"/>
        <v>36000</v>
      </c>
      <c r="AP1969" s="20">
        <f t="shared" si="359"/>
        <v>36000</v>
      </c>
      <c r="AQ1969" s="7"/>
      <c r="AR1969" s="20"/>
      <c r="AS1969" s="51"/>
    </row>
    <row r="1970" spans="1:45" s="21" customFormat="1" ht="30" customHeight="1" x14ac:dyDescent="0.2">
      <c r="A1970" s="8">
        <v>1682</v>
      </c>
      <c r="B1970" s="46">
        <v>5</v>
      </c>
      <c r="C1970" s="16" t="s">
        <v>52</v>
      </c>
      <c r="D1970" s="48">
        <v>4969</v>
      </c>
      <c r="E1970" s="47">
        <v>28</v>
      </c>
      <c r="F1970" s="48">
        <v>2585</v>
      </c>
      <c r="G1970" s="49">
        <v>7</v>
      </c>
      <c r="H1970" s="48">
        <v>2</v>
      </c>
      <c r="I1970" s="48">
        <v>0</v>
      </c>
      <c r="J1970" s="48">
        <v>34</v>
      </c>
      <c r="K1970" s="3">
        <v>834</v>
      </c>
      <c r="L1970" s="16"/>
      <c r="M1970" s="57"/>
      <c r="N1970" s="58"/>
      <c r="P1970" s="16">
        <v>1</v>
      </c>
      <c r="Q1970" s="20">
        <f t="shared" si="353"/>
        <v>834</v>
      </c>
      <c r="R1970" s="14">
        <v>1100</v>
      </c>
      <c r="S1970" s="20">
        <f t="shared" si="354"/>
        <v>917400</v>
      </c>
      <c r="T1970" s="16"/>
      <c r="U1970" s="17"/>
      <c r="V1970" s="17"/>
      <c r="W1970" s="4"/>
      <c r="X1970" s="16"/>
      <c r="Y1970" s="5"/>
      <c r="Z1970" s="16"/>
      <c r="AA1970" s="16"/>
      <c r="AB1970" s="16"/>
      <c r="AE1970" s="16"/>
      <c r="AG1970" s="22">
        <f t="shared" si="355"/>
        <v>0</v>
      </c>
      <c r="AH1970" s="6"/>
      <c r="AJ1970" s="20">
        <f t="shared" si="356"/>
        <v>0</v>
      </c>
      <c r="AK1970" s="50"/>
      <c r="AL1970" s="6"/>
      <c r="AM1970" s="20">
        <f t="shared" si="357"/>
        <v>0</v>
      </c>
      <c r="AN1970" s="20">
        <f t="shared" si="358"/>
        <v>917400</v>
      </c>
      <c r="AP1970" s="20">
        <f t="shared" si="359"/>
        <v>917400</v>
      </c>
      <c r="AQ1970" s="7"/>
      <c r="AR1970" s="20"/>
      <c r="AS1970" s="51"/>
    </row>
    <row r="1971" spans="1:45" ht="30" customHeight="1" x14ac:dyDescent="0.2">
      <c r="A1971" s="8">
        <v>1683</v>
      </c>
      <c r="B1971" s="13">
        <v>6</v>
      </c>
      <c r="C1971" s="16" t="s">
        <v>69</v>
      </c>
      <c r="E1971" s="17">
        <v>164</v>
      </c>
      <c r="F1971" s="17">
        <v>10</v>
      </c>
      <c r="G1971" s="13">
        <v>2</v>
      </c>
      <c r="H1971" s="17">
        <v>4</v>
      </c>
      <c r="I1971" s="17">
        <v>0</v>
      </c>
      <c r="J1971" s="17">
        <v>0</v>
      </c>
      <c r="K1971" s="10">
        <v>1600</v>
      </c>
      <c r="P1971" s="17">
        <v>1</v>
      </c>
      <c r="Q1971" s="20">
        <f t="shared" si="353"/>
        <v>1600</v>
      </c>
      <c r="R1971" s="14">
        <v>200</v>
      </c>
      <c r="S1971" s="19">
        <f t="shared" si="354"/>
        <v>320000</v>
      </c>
      <c r="AG1971" s="22">
        <f t="shared" si="355"/>
        <v>0</v>
      </c>
      <c r="AJ1971" s="20">
        <f t="shared" si="356"/>
        <v>0</v>
      </c>
      <c r="AM1971" s="20">
        <f t="shared" si="357"/>
        <v>0</v>
      </c>
      <c r="AN1971" s="20">
        <f t="shared" si="358"/>
        <v>320000</v>
      </c>
      <c r="AP1971" s="20">
        <f t="shared" si="359"/>
        <v>320000</v>
      </c>
      <c r="AQ1971" s="12">
        <v>1E-4</v>
      </c>
      <c r="AR1971" s="20"/>
    </row>
    <row r="1972" spans="1:45" ht="30" customHeight="1" x14ac:dyDescent="0.2">
      <c r="A1972" s="8">
        <v>1684</v>
      </c>
      <c r="B1972" s="13">
        <v>7</v>
      </c>
      <c r="C1972" s="16" t="s">
        <v>69</v>
      </c>
      <c r="E1972" s="17">
        <v>164</v>
      </c>
      <c r="F1972" s="17">
        <v>12</v>
      </c>
      <c r="G1972" s="13">
        <v>2</v>
      </c>
      <c r="H1972" s="17">
        <v>9</v>
      </c>
      <c r="I1972" s="17">
        <v>1</v>
      </c>
      <c r="J1972" s="17">
        <v>23</v>
      </c>
      <c r="K1972" s="10">
        <v>3723</v>
      </c>
      <c r="P1972" s="17">
        <v>1</v>
      </c>
      <c r="Q1972" s="20">
        <f t="shared" si="353"/>
        <v>3723</v>
      </c>
      <c r="R1972" s="14">
        <v>200</v>
      </c>
      <c r="S1972" s="19">
        <f t="shared" si="354"/>
        <v>744600</v>
      </c>
      <c r="AG1972" s="22">
        <f t="shared" si="355"/>
        <v>0</v>
      </c>
      <c r="AJ1972" s="20">
        <f t="shared" si="356"/>
        <v>0</v>
      </c>
      <c r="AM1972" s="20">
        <f t="shared" si="357"/>
        <v>0</v>
      </c>
      <c r="AN1972" s="20">
        <f t="shared" si="358"/>
        <v>744600</v>
      </c>
      <c r="AP1972" s="20">
        <f t="shared" si="359"/>
        <v>744600</v>
      </c>
      <c r="AQ1972" s="12">
        <v>1E-4</v>
      </c>
      <c r="AR1972" s="20"/>
    </row>
    <row r="1973" spans="1:45" s="21" customFormat="1" ht="30" customHeight="1" x14ac:dyDescent="0.2">
      <c r="A1973" s="8">
        <v>1685</v>
      </c>
      <c r="B1973" s="46">
        <v>1</v>
      </c>
      <c r="C1973" s="16" t="s">
        <v>52</v>
      </c>
      <c r="D1973" s="48">
        <v>5884</v>
      </c>
      <c r="E1973" s="47">
        <v>2</v>
      </c>
      <c r="F1973" s="48">
        <v>2954</v>
      </c>
      <c r="G1973" s="49">
        <v>5</v>
      </c>
      <c r="H1973" s="48">
        <v>5</v>
      </c>
      <c r="I1973" s="48">
        <v>3</v>
      </c>
      <c r="J1973" s="48">
        <v>45</v>
      </c>
      <c r="K1973" s="3">
        <v>2345</v>
      </c>
      <c r="L1973" s="16"/>
      <c r="M1973" s="57"/>
      <c r="N1973" s="58"/>
      <c r="P1973" s="16">
        <v>1</v>
      </c>
      <c r="Q1973" s="20">
        <f t="shared" si="353"/>
        <v>2345</v>
      </c>
      <c r="R1973" s="14">
        <v>160</v>
      </c>
      <c r="S1973" s="20">
        <f t="shared" si="354"/>
        <v>375200</v>
      </c>
      <c r="T1973" s="16"/>
      <c r="U1973" s="16"/>
      <c r="V1973" s="16"/>
      <c r="W1973" s="5"/>
      <c r="X1973" s="16"/>
      <c r="Y1973" s="5"/>
      <c r="Z1973" s="16"/>
      <c r="AA1973" s="16"/>
      <c r="AB1973" s="16"/>
      <c r="AC1973" s="14"/>
      <c r="AD1973" s="14"/>
      <c r="AE1973" s="16"/>
      <c r="AG1973" s="22">
        <f t="shared" si="355"/>
        <v>0</v>
      </c>
      <c r="AH1973" s="6"/>
      <c r="AJ1973" s="20">
        <f t="shared" si="356"/>
        <v>0</v>
      </c>
      <c r="AK1973" s="50"/>
      <c r="AL1973" s="6"/>
      <c r="AM1973" s="20">
        <f t="shared" si="357"/>
        <v>0</v>
      </c>
      <c r="AN1973" s="20">
        <f t="shared" si="358"/>
        <v>375200</v>
      </c>
      <c r="AP1973" s="20">
        <f t="shared" si="359"/>
        <v>375200</v>
      </c>
      <c r="AQ1973" s="7"/>
      <c r="AR1973" s="60"/>
      <c r="AS1973" s="96">
        <v>44</v>
      </c>
    </row>
    <row r="1974" spans="1:45" s="21" customFormat="1" ht="30" customHeight="1" x14ac:dyDescent="0.2">
      <c r="A1974" s="8">
        <v>1686</v>
      </c>
      <c r="B1974" s="46">
        <v>2</v>
      </c>
      <c r="C1974" s="16" t="s">
        <v>52</v>
      </c>
      <c r="D1974" s="48">
        <v>5897</v>
      </c>
      <c r="E1974" s="47">
        <v>23</v>
      </c>
      <c r="F1974" s="48">
        <v>2970</v>
      </c>
      <c r="G1974" s="49">
        <v>5</v>
      </c>
      <c r="H1974" s="48">
        <v>0</v>
      </c>
      <c r="I1974" s="48">
        <v>1</v>
      </c>
      <c r="J1974" s="48">
        <v>29</v>
      </c>
      <c r="K1974" s="3"/>
      <c r="L1974" s="16"/>
      <c r="M1974" s="57"/>
      <c r="N1974" s="58">
        <v>129</v>
      </c>
      <c r="P1974" s="16">
        <v>4</v>
      </c>
      <c r="Q1974" s="20">
        <f t="shared" si="353"/>
        <v>129</v>
      </c>
      <c r="R1974" s="14">
        <v>200</v>
      </c>
      <c r="S1974" s="19">
        <f t="shared" si="354"/>
        <v>25800</v>
      </c>
      <c r="T1974" s="16"/>
      <c r="U1974" s="17"/>
      <c r="V1974" s="16"/>
      <c r="W1974" s="5"/>
      <c r="X1974" s="16"/>
      <c r="Y1974" s="5"/>
      <c r="Z1974" s="16"/>
      <c r="AA1974" s="16"/>
      <c r="AB1974" s="16"/>
      <c r="AC1974" s="14"/>
      <c r="AD1974" s="14"/>
      <c r="AE1974" s="16"/>
      <c r="AG1974" s="22">
        <f t="shared" si="355"/>
        <v>0</v>
      </c>
      <c r="AH1974" s="6"/>
      <c r="AJ1974" s="20">
        <f t="shared" si="356"/>
        <v>0</v>
      </c>
      <c r="AK1974" s="50"/>
      <c r="AL1974" s="6"/>
      <c r="AM1974" s="20">
        <f t="shared" si="357"/>
        <v>0</v>
      </c>
      <c r="AN1974" s="20">
        <f t="shared" si="358"/>
        <v>25800</v>
      </c>
      <c r="AP1974" s="20">
        <f t="shared" si="359"/>
        <v>25800</v>
      </c>
      <c r="AQ1974" s="7">
        <v>3.0000000000000001E-3</v>
      </c>
      <c r="AR1974" s="24"/>
      <c r="AS1974" s="97"/>
    </row>
    <row r="1975" spans="1:45" s="21" customFormat="1" ht="30" customHeight="1" x14ac:dyDescent="0.2">
      <c r="A1975" s="8">
        <v>1687</v>
      </c>
      <c r="B1975" s="46">
        <v>3</v>
      </c>
      <c r="C1975" s="16" t="s">
        <v>52</v>
      </c>
      <c r="D1975" s="48">
        <v>5901</v>
      </c>
      <c r="E1975" s="47">
        <v>19</v>
      </c>
      <c r="F1975" s="48">
        <v>2974</v>
      </c>
      <c r="G1975" s="49">
        <v>5</v>
      </c>
      <c r="H1975" s="48">
        <v>0</v>
      </c>
      <c r="I1975" s="48">
        <v>1</v>
      </c>
      <c r="J1975" s="48">
        <v>18</v>
      </c>
      <c r="K1975" s="3"/>
      <c r="L1975" s="16"/>
      <c r="M1975" s="57"/>
      <c r="N1975" s="58">
        <v>118</v>
      </c>
      <c r="P1975" s="16">
        <v>4</v>
      </c>
      <c r="Q1975" s="20">
        <f t="shared" si="353"/>
        <v>118</v>
      </c>
      <c r="R1975" s="14">
        <v>200</v>
      </c>
      <c r="S1975" s="19">
        <f t="shared" si="354"/>
        <v>23600</v>
      </c>
      <c r="T1975" s="16"/>
      <c r="U1975" s="17"/>
      <c r="V1975" s="17"/>
      <c r="W1975" s="4"/>
      <c r="X1975" s="16"/>
      <c r="Y1975" s="5"/>
      <c r="Z1975" s="16"/>
      <c r="AA1975" s="16"/>
      <c r="AB1975" s="16"/>
      <c r="AC1975" s="14"/>
      <c r="AD1975" s="14"/>
      <c r="AE1975" s="16"/>
      <c r="AG1975" s="22">
        <f t="shared" si="355"/>
        <v>0</v>
      </c>
      <c r="AH1975" s="6"/>
      <c r="AJ1975" s="20">
        <f t="shared" si="356"/>
        <v>0</v>
      </c>
      <c r="AK1975" s="50"/>
      <c r="AL1975" s="6"/>
      <c r="AM1975" s="20">
        <f t="shared" si="357"/>
        <v>0</v>
      </c>
      <c r="AN1975" s="20">
        <f t="shared" si="358"/>
        <v>23600</v>
      </c>
      <c r="AP1975" s="20">
        <f t="shared" si="359"/>
        <v>23600</v>
      </c>
      <c r="AQ1975" s="7">
        <v>3.0000000000000001E-3</v>
      </c>
      <c r="AR1975" s="24"/>
      <c r="AS1975" s="97"/>
    </row>
    <row r="1976" spans="1:45" s="21" customFormat="1" ht="30" customHeight="1" x14ac:dyDescent="0.2">
      <c r="A1976" s="8">
        <v>1688</v>
      </c>
      <c r="B1976" s="46">
        <v>4</v>
      </c>
      <c r="C1976" s="16" t="s">
        <v>52</v>
      </c>
      <c r="D1976" s="48">
        <v>5944</v>
      </c>
      <c r="E1976" s="47">
        <v>1</v>
      </c>
      <c r="F1976" s="48">
        <v>2951</v>
      </c>
      <c r="G1976" s="49">
        <v>5</v>
      </c>
      <c r="H1976" s="48">
        <v>4</v>
      </c>
      <c r="I1976" s="48">
        <v>2</v>
      </c>
      <c r="J1976" s="48">
        <v>8</v>
      </c>
      <c r="K1976" s="3">
        <v>1808</v>
      </c>
      <c r="L1976" s="16"/>
      <c r="M1976" s="57"/>
      <c r="N1976" s="58"/>
      <c r="P1976" s="16">
        <v>1</v>
      </c>
      <c r="Q1976" s="20">
        <f t="shared" si="353"/>
        <v>1808</v>
      </c>
      <c r="R1976" s="14">
        <v>160</v>
      </c>
      <c r="S1976" s="20">
        <f t="shared" si="354"/>
        <v>289280</v>
      </c>
      <c r="T1976" s="16"/>
      <c r="U1976" s="17"/>
      <c r="V1976" s="17"/>
      <c r="W1976" s="4"/>
      <c r="X1976" s="16"/>
      <c r="Y1976" s="5"/>
      <c r="Z1976" s="16"/>
      <c r="AA1976" s="16"/>
      <c r="AB1976" s="16"/>
      <c r="AC1976" s="14"/>
      <c r="AD1976" s="14"/>
      <c r="AE1976" s="16"/>
      <c r="AG1976" s="22">
        <f t="shared" si="355"/>
        <v>0</v>
      </c>
      <c r="AH1976" s="6"/>
      <c r="AJ1976" s="20">
        <f t="shared" si="356"/>
        <v>0</v>
      </c>
      <c r="AK1976" s="50"/>
      <c r="AL1976" s="6"/>
      <c r="AM1976" s="20">
        <f t="shared" si="357"/>
        <v>0</v>
      </c>
      <c r="AN1976" s="20">
        <f t="shared" si="358"/>
        <v>289280</v>
      </c>
      <c r="AP1976" s="20">
        <f t="shared" si="359"/>
        <v>289280</v>
      </c>
      <c r="AQ1976" s="7"/>
      <c r="AR1976" s="24"/>
      <c r="AS1976" s="97"/>
    </row>
    <row r="1977" spans="1:45" s="21" customFormat="1" ht="30" customHeight="1" x14ac:dyDescent="0.2">
      <c r="A1977" s="8">
        <v>1689</v>
      </c>
      <c r="B1977" s="46">
        <v>5</v>
      </c>
      <c r="C1977" s="16" t="s">
        <v>52</v>
      </c>
      <c r="D1977" s="48">
        <v>5946</v>
      </c>
      <c r="E1977" s="47">
        <v>11</v>
      </c>
      <c r="F1977" s="48">
        <v>2962</v>
      </c>
      <c r="G1977" s="49">
        <v>5</v>
      </c>
      <c r="H1977" s="48">
        <v>2</v>
      </c>
      <c r="I1977" s="48">
        <v>1</v>
      </c>
      <c r="J1977" s="48">
        <v>76</v>
      </c>
      <c r="K1977" s="3"/>
      <c r="L1977" s="16">
        <v>976</v>
      </c>
      <c r="M1977" s="57"/>
      <c r="N1977" s="58"/>
      <c r="P1977" s="16">
        <v>2</v>
      </c>
      <c r="Q1977" s="20">
        <f t="shared" si="353"/>
        <v>976</v>
      </c>
      <c r="R1977" s="14">
        <v>200</v>
      </c>
      <c r="S1977" s="19">
        <f t="shared" si="354"/>
        <v>195200</v>
      </c>
      <c r="T1977" s="16"/>
      <c r="U1977" s="17" t="s">
        <v>57</v>
      </c>
      <c r="V1977" s="17" t="s">
        <v>56</v>
      </c>
      <c r="W1977" s="4"/>
      <c r="X1977" s="16"/>
      <c r="Y1977" s="5">
        <v>210</v>
      </c>
      <c r="Z1977" s="16"/>
      <c r="AA1977" s="16"/>
      <c r="AB1977" s="16">
        <f>62-21</f>
        <v>41</v>
      </c>
      <c r="AC1977" s="14" t="s">
        <v>154</v>
      </c>
      <c r="AD1977" s="14"/>
      <c r="AE1977" s="16"/>
      <c r="AG1977" s="22">
        <f t="shared" si="355"/>
        <v>210</v>
      </c>
      <c r="AH1977" s="6"/>
      <c r="AJ1977" s="20">
        <f t="shared" si="356"/>
        <v>0</v>
      </c>
      <c r="AK1977" s="50">
        <v>41</v>
      </c>
      <c r="AL1977" s="6"/>
      <c r="AM1977" s="20">
        <f t="shared" si="357"/>
        <v>0</v>
      </c>
      <c r="AN1977" s="20">
        <f t="shared" si="358"/>
        <v>195200</v>
      </c>
      <c r="AP1977" s="20">
        <f t="shared" si="359"/>
        <v>195200</v>
      </c>
      <c r="AQ1977" s="7"/>
      <c r="AR1977" s="24"/>
      <c r="AS1977" s="97"/>
    </row>
    <row r="1978" spans="1:45" s="21" customFormat="1" ht="30" customHeight="1" x14ac:dyDescent="0.2">
      <c r="A1978" s="8">
        <v>1690</v>
      </c>
      <c r="B1978" s="46">
        <v>1</v>
      </c>
      <c r="C1978" s="16" t="s">
        <v>52</v>
      </c>
      <c r="D1978" s="48">
        <v>1306</v>
      </c>
      <c r="E1978" s="47">
        <v>19</v>
      </c>
      <c r="F1978" s="48">
        <v>897</v>
      </c>
      <c r="G1978" s="49">
        <v>2</v>
      </c>
      <c r="H1978" s="48">
        <v>1</v>
      </c>
      <c r="I1978" s="48">
        <v>3</v>
      </c>
      <c r="J1978" s="48">
        <v>31</v>
      </c>
      <c r="K1978" s="3"/>
      <c r="L1978" s="16">
        <v>731</v>
      </c>
      <c r="M1978" s="57"/>
      <c r="N1978" s="58"/>
      <c r="P1978" s="16">
        <v>2</v>
      </c>
      <c r="Q1978" s="20">
        <f t="shared" si="353"/>
        <v>731</v>
      </c>
      <c r="R1978" s="14">
        <v>250</v>
      </c>
      <c r="S1978" s="20">
        <f t="shared" si="354"/>
        <v>182750</v>
      </c>
      <c r="T1978" s="16">
        <v>1</v>
      </c>
      <c r="U1978" s="17" t="s">
        <v>57</v>
      </c>
      <c r="V1978" s="17" t="s">
        <v>56</v>
      </c>
      <c r="W1978" s="4"/>
      <c r="X1978" s="16"/>
      <c r="Y1978" s="5">
        <v>70</v>
      </c>
      <c r="Z1978" s="16"/>
      <c r="AA1978" s="16"/>
      <c r="AB1978" s="16">
        <f>62-54</f>
        <v>8</v>
      </c>
      <c r="AE1978" s="16" t="s">
        <v>186</v>
      </c>
      <c r="AG1978" s="22">
        <f t="shared" si="355"/>
        <v>70</v>
      </c>
      <c r="AH1978" s="6"/>
      <c r="AJ1978" s="20">
        <f t="shared" si="356"/>
        <v>0</v>
      </c>
      <c r="AK1978" s="50">
        <v>8</v>
      </c>
      <c r="AL1978" s="6"/>
      <c r="AM1978" s="20">
        <f t="shared" si="357"/>
        <v>0</v>
      </c>
      <c r="AN1978" s="20">
        <f t="shared" si="358"/>
        <v>182750</v>
      </c>
      <c r="AP1978" s="20">
        <f t="shared" si="359"/>
        <v>182750</v>
      </c>
      <c r="AQ1978" s="7"/>
      <c r="AR1978" s="20"/>
      <c r="AS1978" s="51"/>
    </row>
    <row r="1979" spans="1:45" s="21" customFormat="1" ht="30" customHeight="1" x14ac:dyDescent="0.2">
      <c r="A1979" s="8">
        <v>1691</v>
      </c>
      <c r="B1979" s="46">
        <v>1</v>
      </c>
      <c r="C1979" s="16" t="s">
        <v>52</v>
      </c>
      <c r="D1979" s="48">
        <v>1223</v>
      </c>
      <c r="E1979" s="47">
        <v>24</v>
      </c>
      <c r="F1979" s="48">
        <v>1399</v>
      </c>
      <c r="G1979" s="49">
        <v>2</v>
      </c>
      <c r="H1979" s="48">
        <v>4</v>
      </c>
      <c r="I1979" s="48">
        <v>3</v>
      </c>
      <c r="J1979" s="48">
        <v>73</v>
      </c>
      <c r="K1979" s="3">
        <v>1973</v>
      </c>
      <c r="L1979" s="16"/>
      <c r="M1979" s="57"/>
      <c r="N1979" s="58"/>
      <c r="P1979" s="16">
        <v>1</v>
      </c>
      <c r="Q1979" s="20">
        <f t="shared" si="353"/>
        <v>1973</v>
      </c>
      <c r="R1979" s="14">
        <v>160</v>
      </c>
      <c r="S1979" s="20">
        <f t="shared" si="354"/>
        <v>315680</v>
      </c>
      <c r="T1979" s="16"/>
      <c r="U1979" s="17"/>
      <c r="V1979" s="16"/>
      <c r="W1979" s="5"/>
      <c r="X1979" s="16"/>
      <c r="Y1979" s="5"/>
      <c r="Z1979" s="16"/>
      <c r="AA1979" s="16"/>
      <c r="AB1979" s="16"/>
      <c r="AE1979" s="16"/>
      <c r="AG1979" s="22">
        <f t="shared" si="355"/>
        <v>0</v>
      </c>
      <c r="AH1979" s="6"/>
      <c r="AJ1979" s="20">
        <f t="shared" si="356"/>
        <v>0</v>
      </c>
      <c r="AK1979" s="50"/>
      <c r="AL1979" s="6"/>
      <c r="AM1979" s="20">
        <f t="shared" si="357"/>
        <v>0</v>
      </c>
      <c r="AN1979" s="20">
        <f t="shared" si="358"/>
        <v>315680</v>
      </c>
      <c r="AP1979" s="20">
        <f t="shared" si="359"/>
        <v>315680</v>
      </c>
      <c r="AQ1979" s="7"/>
      <c r="AR1979" s="20"/>
      <c r="AS1979" s="51"/>
    </row>
    <row r="1980" spans="1:45" ht="30" customHeight="1" x14ac:dyDescent="0.2">
      <c r="A1980" s="8">
        <v>1692</v>
      </c>
      <c r="B1980" s="13">
        <v>2</v>
      </c>
      <c r="C1980" s="16" t="s">
        <v>69</v>
      </c>
      <c r="E1980" s="17">
        <v>152</v>
      </c>
      <c r="F1980" s="17">
        <v>3</v>
      </c>
      <c r="G1980" s="13">
        <v>2</v>
      </c>
      <c r="H1980" s="17">
        <v>18</v>
      </c>
      <c r="I1980" s="17">
        <v>3</v>
      </c>
      <c r="J1980" s="17">
        <v>66</v>
      </c>
      <c r="K1980" s="10">
        <v>7566</v>
      </c>
      <c r="P1980" s="17">
        <v>1</v>
      </c>
      <c r="Q1980" s="20">
        <f t="shared" si="353"/>
        <v>7566</v>
      </c>
      <c r="R1980" s="14">
        <v>160</v>
      </c>
      <c r="S1980" s="19">
        <f t="shared" si="354"/>
        <v>1210560</v>
      </c>
      <c r="AG1980" s="22">
        <f t="shared" si="355"/>
        <v>0</v>
      </c>
      <c r="AJ1980" s="20">
        <f t="shared" si="356"/>
        <v>0</v>
      </c>
      <c r="AM1980" s="20">
        <f t="shared" si="357"/>
        <v>0</v>
      </c>
      <c r="AN1980" s="20">
        <f t="shared" si="358"/>
        <v>1210560</v>
      </c>
      <c r="AP1980" s="20">
        <f t="shared" si="359"/>
        <v>1210560</v>
      </c>
      <c r="AQ1980" s="12">
        <v>1E-4</v>
      </c>
      <c r="AR1980" s="20"/>
    </row>
    <row r="1981" spans="1:45" s="21" customFormat="1" ht="30" customHeight="1" x14ac:dyDescent="0.2">
      <c r="A1981" s="8">
        <v>1693</v>
      </c>
      <c r="B1981" s="46">
        <v>1</v>
      </c>
      <c r="C1981" s="16" t="s">
        <v>52</v>
      </c>
      <c r="D1981" s="48">
        <v>2967</v>
      </c>
      <c r="E1981" s="47">
        <v>64</v>
      </c>
      <c r="F1981" s="48">
        <v>2034</v>
      </c>
      <c r="G1981" s="49">
        <v>2</v>
      </c>
      <c r="H1981" s="48">
        <v>4</v>
      </c>
      <c r="I1981" s="48">
        <v>0</v>
      </c>
      <c r="J1981" s="48">
        <v>30</v>
      </c>
      <c r="K1981" s="3">
        <f>1630-L1981</f>
        <v>1572.5</v>
      </c>
      <c r="L1981" s="16">
        <f>230/4</f>
        <v>57.5</v>
      </c>
      <c r="M1981" s="57"/>
      <c r="N1981" s="58"/>
      <c r="P1981" s="16">
        <v>5</v>
      </c>
      <c r="Q1981" s="20">
        <f t="shared" si="353"/>
        <v>1630</v>
      </c>
      <c r="R1981" s="14">
        <v>200</v>
      </c>
      <c r="S1981" s="19">
        <f t="shared" si="354"/>
        <v>326000</v>
      </c>
      <c r="T1981" s="16"/>
      <c r="U1981" s="17" t="s">
        <v>57</v>
      </c>
      <c r="V1981" s="17" t="s">
        <v>56</v>
      </c>
      <c r="W1981" s="4"/>
      <c r="X1981" s="16"/>
      <c r="Y1981" s="5">
        <v>230</v>
      </c>
      <c r="Z1981" s="16"/>
      <c r="AA1981" s="16"/>
      <c r="AB1981" s="16">
        <f>62-31</f>
        <v>31</v>
      </c>
      <c r="AE1981" s="16"/>
      <c r="AG1981" s="22">
        <f t="shared" si="355"/>
        <v>230</v>
      </c>
      <c r="AH1981" s="6"/>
      <c r="AJ1981" s="20">
        <f t="shared" si="356"/>
        <v>0</v>
      </c>
      <c r="AK1981" s="50">
        <v>31</v>
      </c>
      <c r="AL1981" s="6"/>
      <c r="AM1981" s="20">
        <f t="shared" si="357"/>
        <v>0</v>
      </c>
      <c r="AN1981" s="20">
        <f t="shared" si="358"/>
        <v>326000</v>
      </c>
      <c r="AP1981" s="20">
        <f t="shared" si="359"/>
        <v>326000</v>
      </c>
      <c r="AQ1981" s="7"/>
      <c r="AR1981" s="20"/>
      <c r="AS1981" s="51" t="s">
        <v>187</v>
      </c>
    </row>
    <row r="1982" spans="1:45" s="21" customFormat="1" ht="30" customHeight="1" x14ac:dyDescent="0.2">
      <c r="A1982" s="8">
        <v>1694</v>
      </c>
      <c r="B1982" s="46">
        <v>2</v>
      </c>
      <c r="C1982" s="16" t="s">
        <v>52</v>
      </c>
      <c r="D1982" s="48">
        <v>1224</v>
      </c>
      <c r="E1982" s="47">
        <v>25</v>
      </c>
      <c r="F1982" s="48">
        <v>1400</v>
      </c>
      <c r="G1982" s="49">
        <v>2</v>
      </c>
      <c r="H1982" s="48">
        <v>2</v>
      </c>
      <c r="I1982" s="48">
        <v>0</v>
      </c>
      <c r="J1982" s="48">
        <v>96</v>
      </c>
      <c r="K1982" s="3">
        <v>896</v>
      </c>
      <c r="L1982" s="16"/>
      <c r="M1982" s="57"/>
      <c r="N1982" s="58"/>
      <c r="P1982" s="16">
        <v>1</v>
      </c>
      <c r="Q1982" s="20">
        <f t="shared" si="353"/>
        <v>896</v>
      </c>
      <c r="R1982" s="14">
        <v>160</v>
      </c>
      <c r="S1982" s="19">
        <f t="shared" si="354"/>
        <v>143360</v>
      </c>
      <c r="T1982" s="16"/>
      <c r="U1982" s="17"/>
      <c r="V1982" s="17"/>
      <c r="W1982" s="4"/>
      <c r="X1982" s="16"/>
      <c r="Y1982" s="5"/>
      <c r="Z1982" s="16"/>
      <c r="AA1982" s="16"/>
      <c r="AB1982" s="16"/>
      <c r="AE1982" s="21" t="s">
        <v>185</v>
      </c>
      <c r="AG1982" s="22">
        <f t="shared" si="355"/>
        <v>0</v>
      </c>
      <c r="AH1982" s="6"/>
      <c r="AJ1982" s="20">
        <f t="shared" si="356"/>
        <v>0</v>
      </c>
      <c r="AK1982" s="50"/>
      <c r="AL1982" s="6"/>
      <c r="AM1982" s="20">
        <f t="shared" si="357"/>
        <v>0</v>
      </c>
      <c r="AN1982" s="20">
        <f t="shared" ref="AN1982:AN2001" si="360">+S1982+AM1982</f>
        <v>143360</v>
      </c>
      <c r="AP1982" s="20">
        <f t="shared" si="359"/>
        <v>143360</v>
      </c>
      <c r="AQ1982" s="7"/>
      <c r="AR1982" s="25"/>
      <c r="AS1982" s="98"/>
    </row>
    <row r="1983" spans="1:45" s="21" customFormat="1" ht="30" customHeight="1" x14ac:dyDescent="0.2">
      <c r="A1983" s="8">
        <v>1695</v>
      </c>
      <c r="B1983" s="46">
        <v>1</v>
      </c>
      <c r="C1983" s="16" t="s">
        <v>52</v>
      </c>
      <c r="D1983" s="48">
        <v>2968</v>
      </c>
      <c r="E1983" s="47">
        <v>65</v>
      </c>
      <c r="F1983" s="48">
        <v>2035</v>
      </c>
      <c r="G1983" s="49">
        <v>2</v>
      </c>
      <c r="H1983" s="48">
        <v>3</v>
      </c>
      <c r="I1983" s="48">
        <v>2</v>
      </c>
      <c r="J1983" s="48">
        <v>23</v>
      </c>
      <c r="K1983" s="3">
        <v>1423</v>
      </c>
      <c r="L1983" s="16"/>
      <c r="M1983" s="57"/>
      <c r="N1983" s="58"/>
      <c r="P1983" s="16">
        <v>1</v>
      </c>
      <c r="Q1983" s="20">
        <f t="shared" si="353"/>
        <v>1423</v>
      </c>
      <c r="R1983" s="14">
        <v>250</v>
      </c>
      <c r="S1983" s="20">
        <f t="shared" si="354"/>
        <v>355750</v>
      </c>
      <c r="T1983" s="16"/>
      <c r="U1983" s="17"/>
      <c r="V1983" s="17"/>
      <c r="W1983" s="4"/>
      <c r="X1983" s="16"/>
      <c r="Y1983" s="5"/>
      <c r="Z1983" s="16"/>
      <c r="AA1983" s="16"/>
      <c r="AB1983" s="16"/>
      <c r="AE1983" s="16"/>
      <c r="AG1983" s="22">
        <f t="shared" si="355"/>
        <v>0</v>
      </c>
      <c r="AH1983" s="6"/>
      <c r="AJ1983" s="20">
        <f t="shared" si="356"/>
        <v>0</v>
      </c>
      <c r="AK1983" s="50"/>
      <c r="AL1983" s="6"/>
      <c r="AM1983" s="20">
        <f t="shared" si="357"/>
        <v>0</v>
      </c>
      <c r="AN1983" s="20">
        <f t="shared" si="360"/>
        <v>355750</v>
      </c>
      <c r="AP1983" s="20">
        <f t="shared" si="359"/>
        <v>355750</v>
      </c>
      <c r="AQ1983" s="7"/>
      <c r="AR1983" s="20"/>
      <c r="AS1983" s="51"/>
    </row>
    <row r="1984" spans="1:45" s="21" customFormat="1" ht="30" customHeight="1" x14ac:dyDescent="0.2">
      <c r="A1984" s="8">
        <v>1696</v>
      </c>
      <c r="B1984" s="46">
        <v>2</v>
      </c>
      <c r="C1984" s="16" t="s">
        <v>52</v>
      </c>
      <c r="D1984" s="48">
        <v>21090</v>
      </c>
      <c r="E1984" s="47">
        <v>162</v>
      </c>
      <c r="F1984" s="48">
        <v>4687</v>
      </c>
      <c r="G1984" s="49">
        <v>2</v>
      </c>
      <c r="H1984" s="48">
        <v>2</v>
      </c>
      <c r="I1984" s="48">
        <v>0</v>
      </c>
      <c r="J1984" s="48">
        <v>96</v>
      </c>
      <c r="K1984" s="3">
        <v>896</v>
      </c>
      <c r="L1984" s="16"/>
      <c r="M1984" s="57"/>
      <c r="N1984" s="58"/>
      <c r="P1984" s="16">
        <v>1</v>
      </c>
      <c r="Q1984" s="20">
        <f t="shared" si="353"/>
        <v>896</v>
      </c>
      <c r="R1984" s="14">
        <v>160</v>
      </c>
      <c r="S1984" s="19">
        <f t="shared" si="354"/>
        <v>143360</v>
      </c>
      <c r="T1984" s="16"/>
      <c r="U1984" s="17"/>
      <c r="V1984" s="17"/>
      <c r="W1984" s="4"/>
      <c r="X1984" s="16"/>
      <c r="Y1984" s="5"/>
      <c r="Z1984" s="16"/>
      <c r="AA1984" s="16"/>
      <c r="AB1984" s="16"/>
      <c r="AE1984" s="16"/>
      <c r="AG1984" s="22">
        <f t="shared" si="355"/>
        <v>0</v>
      </c>
      <c r="AH1984" s="6"/>
      <c r="AJ1984" s="20">
        <f t="shared" si="356"/>
        <v>0</v>
      </c>
      <c r="AK1984" s="50"/>
      <c r="AL1984" s="6"/>
      <c r="AM1984" s="20">
        <f t="shared" si="357"/>
        <v>0</v>
      </c>
      <c r="AN1984" s="20">
        <f t="shared" si="360"/>
        <v>143360</v>
      </c>
      <c r="AP1984" s="20">
        <f t="shared" si="359"/>
        <v>143360</v>
      </c>
      <c r="AQ1984" s="7"/>
      <c r="AR1984" s="20"/>
      <c r="AS1984" s="51"/>
    </row>
    <row r="1985" spans="1:45" s="21" customFormat="1" ht="30" customHeight="1" x14ac:dyDescent="0.2">
      <c r="A1985" s="131">
        <v>1697</v>
      </c>
      <c r="B1985" s="46">
        <v>3</v>
      </c>
      <c r="C1985" s="16" t="s">
        <v>52</v>
      </c>
      <c r="D1985" s="48">
        <v>1212</v>
      </c>
      <c r="E1985" s="47">
        <v>26</v>
      </c>
      <c r="F1985" s="48">
        <v>1384</v>
      </c>
      <c r="G1985" s="49">
        <v>2</v>
      </c>
      <c r="H1985" s="48">
        <v>3</v>
      </c>
      <c r="I1985" s="48">
        <v>1</v>
      </c>
      <c r="J1985" s="48">
        <v>9</v>
      </c>
      <c r="K1985" s="3"/>
      <c r="L1985" s="16">
        <v>1309</v>
      </c>
      <c r="M1985" s="57"/>
      <c r="N1985" s="58"/>
      <c r="P1985" s="16">
        <v>2</v>
      </c>
      <c r="Q1985" s="20">
        <f t="shared" si="353"/>
        <v>1309</v>
      </c>
      <c r="R1985" s="14">
        <v>200</v>
      </c>
      <c r="S1985" s="19">
        <f t="shared" si="354"/>
        <v>261800</v>
      </c>
      <c r="T1985" s="16">
        <v>1</v>
      </c>
      <c r="U1985" s="17"/>
      <c r="V1985" s="17"/>
      <c r="W1985" s="4"/>
      <c r="X1985" s="16"/>
      <c r="Y1985" s="5">
        <v>135</v>
      </c>
      <c r="Z1985" s="16"/>
      <c r="AA1985" s="16"/>
      <c r="AB1985" s="16">
        <f>62-45</f>
        <v>17</v>
      </c>
      <c r="AE1985" s="16"/>
      <c r="AG1985" s="22">
        <f t="shared" si="355"/>
        <v>135</v>
      </c>
      <c r="AH1985" s="6"/>
      <c r="AJ1985" s="20">
        <f t="shared" si="356"/>
        <v>0</v>
      </c>
      <c r="AK1985" s="50">
        <v>17</v>
      </c>
      <c r="AL1985" s="6"/>
      <c r="AM1985" s="20">
        <f t="shared" si="357"/>
        <v>0</v>
      </c>
      <c r="AN1985" s="20">
        <f t="shared" si="360"/>
        <v>261800</v>
      </c>
      <c r="AP1985" s="20">
        <f t="shared" si="359"/>
        <v>261800</v>
      </c>
      <c r="AQ1985" s="7"/>
      <c r="AR1985" s="20"/>
      <c r="AS1985" s="51"/>
    </row>
    <row r="1986" spans="1:45" s="21" customFormat="1" ht="30" customHeight="1" x14ac:dyDescent="0.2">
      <c r="A1986" s="131"/>
      <c r="B1986" s="46"/>
      <c r="C1986" s="16"/>
      <c r="D1986" s="48"/>
      <c r="E1986" s="47"/>
      <c r="F1986" s="48"/>
      <c r="G1986" s="49"/>
      <c r="H1986" s="48"/>
      <c r="I1986" s="48"/>
      <c r="J1986" s="48"/>
      <c r="K1986" s="3"/>
      <c r="L1986" s="16"/>
      <c r="M1986" s="57"/>
      <c r="N1986" s="58"/>
      <c r="P1986" s="16"/>
      <c r="Q1986" s="20">
        <f t="shared" si="353"/>
        <v>0</v>
      </c>
      <c r="R1986" s="14" t="e">
        <v>#N/A</v>
      </c>
      <c r="S1986" s="20" t="e">
        <f t="shared" si="354"/>
        <v>#N/A</v>
      </c>
      <c r="T1986" s="16">
        <v>2</v>
      </c>
      <c r="U1986" s="17" t="s">
        <v>57</v>
      </c>
      <c r="V1986" s="17" t="s">
        <v>84</v>
      </c>
      <c r="W1986" s="4"/>
      <c r="X1986" s="16"/>
      <c r="Y1986" s="5">
        <f>72+72</f>
        <v>144</v>
      </c>
      <c r="Z1986" s="16"/>
      <c r="AA1986" s="16"/>
      <c r="AB1986" s="16">
        <f>62-36</f>
        <v>26</v>
      </c>
      <c r="AC1986" s="21" t="s">
        <v>188</v>
      </c>
      <c r="AE1986" s="16"/>
      <c r="AG1986" s="22">
        <f t="shared" si="355"/>
        <v>144</v>
      </c>
      <c r="AH1986" s="6"/>
      <c r="AJ1986" s="20">
        <f t="shared" si="356"/>
        <v>0</v>
      </c>
      <c r="AK1986" s="50">
        <v>26</v>
      </c>
      <c r="AL1986" s="6"/>
      <c r="AM1986" s="20">
        <f t="shared" si="357"/>
        <v>0</v>
      </c>
      <c r="AN1986" s="20" t="e">
        <f t="shared" si="360"/>
        <v>#N/A</v>
      </c>
      <c r="AP1986" s="20" t="e">
        <f t="shared" si="359"/>
        <v>#N/A</v>
      </c>
      <c r="AQ1986" s="7"/>
      <c r="AR1986" s="20"/>
      <c r="AS1986" s="51"/>
    </row>
    <row r="1987" spans="1:45" s="21" customFormat="1" ht="30" customHeight="1" x14ac:dyDescent="0.2">
      <c r="A1987" s="8">
        <v>1698</v>
      </c>
      <c r="B1987" s="46">
        <v>1</v>
      </c>
      <c r="C1987" s="16" t="s">
        <v>52</v>
      </c>
      <c r="D1987" s="48">
        <v>1972</v>
      </c>
      <c r="E1987" s="47">
        <v>30</v>
      </c>
      <c r="F1987" s="48">
        <v>1329</v>
      </c>
      <c r="G1987" s="49">
        <v>2</v>
      </c>
      <c r="H1987" s="48">
        <v>9</v>
      </c>
      <c r="I1987" s="48">
        <v>1</v>
      </c>
      <c r="J1987" s="48">
        <v>58</v>
      </c>
      <c r="K1987" s="3">
        <f>9*400+158</f>
        <v>3758</v>
      </c>
      <c r="L1987" s="16"/>
      <c r="M1987" s="57"/>
      <c r="N1987" s="58"/>
      <c r="P1987" s="16">
        <v>1</v>
      </c>
      <c r="Q1987" s="20">
        <f t="shared" si="353"/>
        <v>3758</v>
      </c>
      <c r="R1987" s="14">
        <v>160</v>
      </c>
      <c r="S1987" s="19">
        <f t="shared" si="354"/>
        <v>601280</v>
      </c>
      <c r="T1987" s="16"/>
      <c r="U1987" s="17"/>
      <c r="V1987" s="17"/>
      <c r="W1987" s="4"/>
      <c r="X1987" s="16"/>
      <c r="Y1987" s="5"/>
      <c r="Z1987" s="16"/>
      <c r="AA1987" s="16"/>
      <c r="AB1987" s="16"/>
      <c r="AE1987" s="16"/>
      <c r="AG1987" s="22">
        <f t="shared" si="355"/>
        <v>0</v>
      </c>
      <c r="AH1987" s="6"/>
      <c r="AJ1987" s="20">
        <f t="shared" si="356"/>
        <v>0</v>
      </c>
      <c r="AK1987" s="50"/>
      <c r="AL1987" s="6"/>
      <c r="AM1987" s="20">
        <f t="shared" si="357"/>
        <v>0</v>
      </c>
      <c r="AN1987" s="20">
        <f t="shared" si="360"/>
        <v>601280</v>
      </c>
      <c r="AP1987" s="20">
        <f t="shared" si="359"/>
        <v>601280</v>
      </c>
      <c r="AQ1987" s="7"/>
      <c r="AR1987" s="20"/>
      <c r="AS1987" s="51"/>
    </row>
    <row r="1988" spans="1:45" s="21" customFormat="1" ht="30" customHeight="1" x14ac:dyDescent="0.2">
      <c r="A1988" s="8">
        <v>1699</v>
      </c>
      <c r="B1988" s="46">
        <v>2</v>
      </c>
      <c r="C1988" s="16" t="s">
        <v>52</v>
      </c>
      <c r="D1988" s="48">
        <v>25655</v>
      </c>
      <c r="E1988" s="47">
        <v>140</v>
      </c>
      <c r="F1988" s="48">
        <v>4742</v>
      </c>
      <c r="G1988" s="49">
        <v>2</v>
      </c>
      <c r="H1988" s="48">
        <v>0</v>
      </c>
      <c r="I1988" s="48">
        <v>1</v>
      </c>
      <c r="J1988" s="48">
        <v>32</v>
      </c>
      <c r="K1988" s="3">
        <v>132</v>
      </c>
      <c r="L1988" s="16">
        <v>132</v>
      </c>
      <c r="M1988" s="57"/>
      <c r="N1988" s="58"/>
      <c r="P1988" s="16">
        <v>2</v>
      </c>
      <c r="Q1988" s="20">
        <f t="shared" si="353"/>
        <v>132</v>
      </c>
      <c r="R1988" s="14">
        <v>160</v>
      </c>
      <c r="S1988" s="19">
        <f t="shared" si="354"/>
        <v>21120</v>
      </c>
      <c r="T1988" s="16"/>
      <c r="U1988" s="16"/>
      <c r="V1988" s="16"/>
      <c r="W1988" s="5"/>
      <c r="X1988" s="16"/>
      <c r="Y1988" s="5"/>
      <c r="Z1988" s="16"/>
      <c r="AA1988" s="16"/>
      <c r="AB1988" s="16"/>
      <c r="AE1988" s="16"/>
      <c r="AG1988" s="22">
        <f t="shared" si="355"/>
        <v>0</v>
      </c>
      <c r="AH1988" s="6"/>
      <c r="AJ1988" s="20">
        <f t="shared" si="356"/>
        <v>0</v>
      </c>
      <c r="AK1988" s="50"/>
      <c r="AL1988" s="6"/>
      <c r="AM1988" s="20">
        <f t="shared" si="357"/>
        <v>0</v>
      </c>
      <c r="AN1988" s="20">
        <f t="shared" si="360"/>
        <v>21120</v>
      </c>
      <c r="AP1988" s="20">
        <f t="shared" si="359"/>
        <v>21120</v>
      </c>
      <c r="AQ1988" s="7"/>
      <c r="AR1988" s="20"/>
      <c r="AS1988" s="51"/>
    </row>
    <row r="1989" spans="1:45" s="21" customFormat="1" ht="30" customHeight="1" x14ac:dyDescent="0.2">
      <c r="A1989" s="8">
        <v>1700</v>
      </c>
      <c r="B1989" s="46">
        <v>3</v>
      </c>
      <c r="C1989" s="16" t="s">
        <v>52</v>
      </c>
      <c r="D1989" s="48">
        <v>31010</v>
      </c>
      <c r="E1989" s="47">
        <v>98</v>
      </c>
      <c r="F1989" s="48">
        <v>5960</v>
      </c>
      <c r="G1989" s="49">
        <v>2</v>
      </c>
      <c r="H1989" s="48">
        <v>2</v>
      </c>
      <c r="I1989" s="48">
        <v>3</v>
      </c>
      <c r="J1989" s="48">
        <v>48</v>
      </c>
      <c r="K1989" s="3">
        <f>800+348</f>
        <v>1148</v>
      </c>
      <c r="L1989" s="16"/>
      <c r="M1989" s="57"/>
      <c r="N1989" s="58"/>
      <c r="P1989" s="16">
        <v>1</v>
      </c>
      <c r="Q1989" s="20">
        <f t="shared" si="353"/>
        <v>1148</v>
      </c>
      <c r="R1989" s="14">
        <v>160</v>
      </c>
      <c r="S1989" s="20">
        <f t="shared" si="354"/>
        <v>183680</v>
      </c>
      <c r="T1989" s="16"/>
      <c r="U1989" s="17"/>
      <c r="V1989" s="17"/>
      <c r="W1989" s="4"/>
      <c r="X1989" s="16"/>
      <c r="Y1989" s="5"/>
      <c r="Z1989" s="16"/>
      <c r="AA1989" s="16"/>
      <c r="AB1989" s="16"/>
      <c r="AC1989" s="14"/>
      <c r="AD1989" s="14"/>
      <c r="AE1989" s="16"/>
      <c r="AG1989" s="22">
        <f t="shared" si="355"/>
        <v>0</v>
      </c>
      <c r="AH1989" s="6"/>
      <c r="AJ1989" s="20">
        <f t="shared" si="356"/>
        <v>0</v>
      </c>
      <c r="AK1989" s="50"/>
      <c r="AL1989" s="6"/>
      <c r="AM1989" s="20">
        <f t="shared" si="357"/>
        <v>0</v>
      </c>
      <c r="AN1989" s="20">
        <f t="shared" si="360"/>
        <v>183680</v>
      </c>
      <c r="AP1989" s="20">
        <f t="shared" si="359"/>
        <v>183680</v>
      </c>
      <c r="AQ1989" s="7"/>
      <c r="AR1989" s="20"/>
      <c r="AS1989" s="51"/>
    </row>
    <row r="1990" spans="1:45" s="21" customFormat="1" ht="30" customHeight="1" x14ac:dyDescent="0.2">
      <c r="A1990" s="8">
        <v>1701</v>
      </c>
      <c r="B1990" s="46">
        <v>4</v>
      </c>
      <c r="C1990" s="16" t="s">
        <v>52</v>
      </c>
      <c r="D1990" s="48">
        <v>25653</v>
      </c>
      <c r="E1990" s="47">
        <v>138</v>
      </c>
      <c r="F1990" s="48">
        <v>4740</v>
      </c>
      <c r="G1990" s="49">
        <v>2</v>
      </c>
      <c r="H1990" s="48">
        <v>0</v>
      </c>
      <c r="I1990" s="48">
        <v>0</v>
      </c>
      <c r="J1990" s="48">
        <v>93</v>
      </c>
      <c r="K1990" s="3">
        <v>93</v>
      </c>
      <c r="L1990" s="16"/>
      <c r="M1990" s="57"/>
      <c r="N1990" s="58"/>
      <c r="P1990" s="16">
        <v>1</v>
      </c>
      <c r="Q1990" s="20">
        <f t="shared" si="353"/>
        <v>93</v>
      </c>
      <c r="R1990" s="14">
        <v>160</v>
      </c>
      <c r="S1990" s="19">
        <f t="shared" si="354"/>
        <v>14880</v>
      </c>
      <c r="T1990" s="16"/>
      <c r="U1990" s="16"/>
      <c r="V1990" s="16"/>
      <c r="W1990" s="5"/>
      <c r="X1990" s="16"/>
      <c r="Y1990" s="5"/>
      <c r="Z1990" s="16"/>
      <c r="AA1990" s="16"/>
      <c r="AB1990" s="16"/>
      <c r="AD1990" s="14"/>
      <c r="AE1990" s="16" t="s">
        <v>189</v>
      </c>
      <c r="AG1990" s="22">
        <f t="shared" si="355"/>
        <v>0</v>
      </c>
      <c r="AH1990" s="6"/>
      <c r="AJ1990" s="20">
        <f t="shared" si="356"/>
        <v>0</v>
      </c>
      <c r="AK1990" s="50"/>
      <c r="AL1990" s="6"/>
      <c r="AM1990" s="20">
        <f t="shared" si="357"/>
        <v>0</v>
      </c>
      <c r="AN1990" s="20">
        <f t="shared" si="360"/>
        <v>14880</v>
      </c>
      <c r="AP1990" s="20">
        <f t="shared" si="359"/>
        <v>14880</v>
      </c>
      <c r="AQ1990" s="7"/>
      <c r="AR1990" s="20"/>
      <c r="AS1990" s="51"/>
    </row>
    <row r="1991" spans="1:45" ht="30" customHeight="1" x14ac:dyDescent="0.2">
      <c r="A1991" s="8"/>
      <c r="B1991" s="46"/>
      <c r="C1991" s="16"/>
      <c r="Q1991" s="20"/>
      <c r="AC1991" s="21"/>
      <c r="AD1991" s="21"/>
      <c r="AG1991" s="22"/>
      <c r="AJ1991" s="20"/>
      <c r="AM1991" s="20"/>
      <c r="AN1991" s="20"/>
      <c r="AP1991" s="20"/>
      <c r="AR1991" s="20"/>
    </row>
    <row r="1992" spans="1:45" s="21" customFormat="1" ht="30" customHeight="1" x14ac:dyDescent="0.2">
      <c r="A1992" s="8">
        <v>1702</v>
      </c>
      <c r="B1992" s="46">
        <v>1</v>
      </c>
      <c r="C1992" s="16" t="s">
        <v>52</v>
      </c>
      <c r="D1992" s="48">
        <v>25654</v>
      </c>
      <c r="E1992" s="47">
        <v>139</v>
      </c>
      <c r="F1992" s="48">
        <v>4741</v>
      </c>
      <c r="G1992" s="49">
        <v>2</v>
      </c>
      <c r="H1992" s="48">
        <v>0</v>
      </c>
      <c r="I1992" s="48">
        <v>0</v>
      </c>
      <c r="J1992" s="48">
        <v>86</v>
      </c>
      <c r="K1992" s="3"/>
      <c r="L1992" s="16">
        <v>86</v>
      </c>
      <c r="M1992" s="57"/>
      <c r="N1992" s="58"/>
      <c r="P1992" s="16">
        <v>2</v>
      </c>
      <c r="Q1992" s="20">
        <f t="shared" si="353"/>
        <v>86</v>
      </c>
      <c r="R1992" s="14">
        <v>160</v>
      </c>
      <c r="S1992" s="19">
        <f t="shared" si="354"/>
        <v>13760</v>
      </c>
      <c r="T1992" s="16"/>
      <c r="U1992" s="17" t="s">
        <v>57</v>
      </c>
      <c r="V1992" s="17" t="s">
        <v>56</v>
      </c>
      <c r="W1992" s="4">
        <v>60</v>
      </c>
      <c r="X1992" s="16"/>
      <c r="Y1992" s="5">
        <v>60</v>
      </c>
      <c r="Z1992" s="16"/>
      <c r="AA1992" s="16"/>
      <c r="AB1992" s="16">
        <v>8</v>
      </c>
      <c r="AE1992" s="16"/>
      <c r="AG1992" s="22">
        <f t="shared" si="355"/>
        <v>60</v>
      </c>
      <c r="AH1992" s="6"/>
      <c r="AJ1992" s="20">
        <f t="shared" si="356"/>
        <v>0</v>
      </c>
      <c r="AK1992" s="50"/>
      <c r="AL1992" s="6"/>
      <c r="AM1992" s="20">
        <f t="shared" si="357"/>
        <v>0</v>
      </c>
      <c r="AN1992" s="20">
        <f t="shared" si="360"/>
        <v>13760</v>
      </c>
      <c r="AP1992" s="20">
        <f t="shared" si="359"/>
        <v>13760</v>
      </c>
      <c r="AQ1992" s="7"/>
      <c r="AR1992" s="20"/>
      <c r="AS1992" s="51"/>
    </row>
    <row r="1993" spans="1:45" s="21" customFormat="1" ht="30" customHeight="1" x14ac:dyDescent="0.2">
      <c r="A1993" s="8">
        <v>1703</v>
      </c>
      <c r="B1993" s="46">
        <v>1</v>
      </c>
      <c r="C1993" s="16" t="s">
        <v>52</v>
      </c>
      <c r="D1993" s="48">
        <v>30945</v>
      </c>
      <c r="E1993" s="47">
        <v>115</v>
      </c>
      <c r="F1993" s="48">
        <v>5897</v>
      </c>
      <c r="G1993" s="49">
        <v>2</v>
      </c>
      <c r="H1993" s="48">
        <v>0</v>
      </c>
      <c r="I1993" s="48">
        <v>1</v>
      </c>
      <c r="J1993" s="48">
        <v>1.02</v>
      </c>
      <c r="K1993" s="3"/>
      <c r="L1993" s="16">
        <v>101.02</v>
      </c>
      <c r="M1993" s="57"/>
      <c r="N1993" s="58"/>
      <c r="P1993" s="16">
        <v>2</v>
      </c>
      <c r="Q1993" s="20">
        <f t="shared" si="353"/>
        <v>101.02</v>
      </c>
      <c r="R1993" s="14">
        <v>160</v>
      </c>
      <c r="S1993" s="20">
        <f t="shared" si="354"/>
        <v>16163.199999999999</v>
      </c>
      <c r="T1993" s="16"/>
      <c r="U1993" s="17" t="s">
        <v>57</v>
      </c>
      <c r="V1993" s="17" t="s">
        <v>56</v>
      </c>
      <c r="W1993" s="4"/>
      <c r="X1993" s="16"/>
      <c r="Y1993" s="5"/>
      <c r="Z1993" s="16"/>
      <c r="AA1993" s="16"/>
      <c r="AB1993" s="16">
        <v>20</v>
      </c>
      <c r="AC1993" s="14"/>
      <c r="AD1993" s="14"/>
      <c r="AE1993" s="16"/>
      <c r="AG1993" s="22">
        <f t="shared" si="355"/>
        <v>0</v>
      </c>
      <c r="AH1993" s="6"/>
      <c r="AJ1993" s="20">
        <f t="shared" si="356"/>
        <v>0</v>
      </c>
      <c r="AK1993" s="50">
        <v>20</v>
      </c>
      <c r="AL1993" s="6"/>
      <c r="AM1993" s="20">
        <f t="shared" si="357"/>
        <v>0</v>
      </c>
      <c r="AN1993" s="20">
        <f t="shared" si="360"/>
        <v>16163.199999999999</v>
      </c>
      <c r="AP1993" s="20">
        <f t="shared" si="359"/>
        <v>16163.199999999999</v>
      </c>
      <c r="AQ1993" s="7"/>
      <c r="AR1993" s="20"/>
      <c r="AS1993" s="51"/>
    </row>
    <row r="1994" spans="1:45" s="21" customFormat="1" ht="30" customHeight="1" x14ac:dyDescent="0.2">
      <c r="A1994" s="8">
        <v>1704</v>
      </c>
      <c r="B1994" s="46">
        <v>1</v>
      </c>
      <c r="C1994" s="16" t="s">
        <v>52</v>
      </c>
      <c r="D1994" s="48">
        <v>30948</v>
      </c>
      <c r="E1994" s="47">
        <v>118</v>
      </c>
      <c r="F1994" s="48">
        <v>5900</v>
      </c>
      <c r="G1994" s="49">
        <v>2</v>
      </c>
      <c r="H1994" s="48">
        <v>0</v>
      </c>
      <c r="I1994" s="48">
        <v>0</v>
      </c>
      <c r="J1994" s="48">
        <v>36.4</v>
      </c>
      <c r="K1994" s="3"/>
      <c r="L1994" s="16">
        <v>36.4</v>
      </c>
      <c r="M1994" s="57"/>
      <c r="N1994" s="58"/>
      <c r="P1994" s="16">
        <v>2</v>
      </c>
      <c r="Q1994" s="20">
        <f t="shared" si="353"/>
        <v>36.4</v>
      </c>
      <c r="R1994" s="14">
        <v>160</v>
      </c>
      <c r="S1994" s="19">
        <f t="shared" si="354"/>
        <v>5824</v>
      </c>
      <c r="T1994" s="16"/>
      <c r="U1994" s="17" t="s">
        <v>57</v>
      </c>
      <c r="V1994" s="17" t="s">
        <v>56</v>
      </c>
      <c r="W1994" s="4">
        <f>6*15</f>
        <v>90</v>
      </c>
      <c r="X1994" s="16"/>
      <c r="Y1994" s="5">
        <v>90</v>
      </c>
      <c r="Z1994" s="16"/>
      <c r="AA1994" s="16"/>
      <c r="AB1994" s="16">
        <v>20</v>
      </c>
      <c r="AC1994" s="14"/>
      <c r="AD1994" s="14"/>
      <c r="AE1994" s="16"/>
      <c r="AG1994" s="22">
        <f t="shared" si="355"/>
        <v>90</v>
      </c>
      <c r="AH1994" s="6"/>
      <c r="AJ1994" s="20">
        <f t="shared" si="356"/>
        <v>0</v>
      </c>
      <c r="AK1994" s="50"/>
      <c r="AL1994" s="6"/>
      <c r="AM1994" s="20">
        <f t="shared" si="357"/>
        <v>0</v>
      </c>
      <c r="AN1994" s="20">
        <f t="shared" si="360"/>
        <v>5824</v>
      </c>
      <c r="AP1994" s="20">
        <f t="shared" si="359"/>
        <v>5824</v>
      </c>
      <c r="AQ1994" s="7"/>
      <c r="AR1994" s="20"/>
      <c r="AS1994" s="51"/>
    </row>
    <row r="1995" spans="1:45" s="21" customFormat="1" ht="30" customHeight="1" x14ac:dyDescent="0.2">
      <c r="A1995" s="8">
        <v>1705</v>
      </c>
      <c r="B1995" s="46">
        <v>1</v>
      </c>
      <c r="C1995" s="16" t="s">
        <v>52</v>
      </c>
      <c r="D1995" s="48">
        <v>30947</v>
      </c>
      <c r="E1995" s="47">
        <v>117</v>
      </c>
      <c r="F1995" s="48">
        <v>5899</v>
      </c>
      <c r="G1995" s="49">
        <v>2</v>
      </c>
      <c r="H1995" s="48">
        <v>0</v>
      </c>
      <c r="I1995" s="48">
        <v>0</v>
      </c>
      <c r="J1995" s="48">
        <v>61.09</v>
      </c>
      <c r="K1995" s="3"/>
      <c r="L1995" s="16">
        <v>61.09</v>
      </c>
      <c r="M1995" s="57"/>
      <c r="N1995" s="58"/>
      <c r="P1995" s="16"/>
      <c r="Q1995" s="20">
        <f t="shared" si="353"/>
        <v>61.09</v>
      </c>
      <c r="R1995" s="14">
        <v>160</v>
      </c>
      <c r="S1995" s="19">
        <f t="shared" si="354"/>
        <v>9774.4000000000015</v>
      </c>
      <c r="T1995" s="16"/>
      <c r="U1995" s="17"/>
      <c r="V1995" s="17"/>
      <c r="W1995" s="4"/>
      <c r="X1995" s="16"/>
      <c r="Y1995" s="5"/>
      <c r="Z1995" s="16"/>
      <c r="AA1995" s="16"/>
      <c r="AB1995" s="16"/>
      <c r="AC1995" s="14"/>
      <c r="AD1995" s="14"/>
      <c r="AE1995" s="16"/>
      <c r="AG1995" s="22">
        <f t="shared" si="355"/>
        <v>0</v>
      </c>
      <c r="AH1995" s="6"/>
      <c r="AJ1995" s="20">
        <f t="shared" si="356"/>
        <v>0</v>
      </c>
      <c r="AK1995" s="50"/>
      <c r="AL1995" s="6"/>
      <c r="AM1995" s="20">
        <f t="shared" si="357"/>
        <v>0</v>
      </c>
      <c r="AN1995" s="20">
        <f t="shared" si="360"/>
        <v>9774.4000000000015</v>
      </c>
      <c r="AP1995" s="20">
        <f t="shared" si="359"/>
        <v>9774.4000000000015</v>
      </c>
      <c r="AQ1995" s="7"/>
      <c r="AR1995" s="20"/>
      <c r="AS1995" s="51"/>
    </row>
    <row r="1996" spans="1:45" s="21" customFormat="1" ht="30" customHeight="1" x14ac:dyDescent="0.2">
      <c r="A1996" s="8">
        <v>1706</v>
      </c>
      <c r="B1996" s="46">
        <v>1</v>
      </c>
      <c r="C1996" s="16" t="s">
        <v>52</v>
      </c>
      <c r="D1996" s="48">
        <v>30949</v>
      </c>
      <c r="E1996" s="47">
        <v>119</v>
      </c>
      <c r="F1996" s="48">
        <v>5901</v>
      </c>
      <c r="G1996" s="49">
        <v>2</v>
      </c>
      <c r="H1996" s="48">
        <v>0</v>
      </c>
      <c r="I1996" s="48">
        <v>0</v>
      </c>
      <c r="J1996" s="48">
        <v>40.4</v>
      </c>
      <c r="K1996" s="3"/>
      <c r="L1996" s="16">
        <v>40.4</v>
      </c>
      <c r="M1996" s="57"/>
      <c r="N1996" s="58"/>
      <c r="P1996" s="16">
        <v>2</v>
      </c>
      <c r="Q1996" s="20">
        <f t="shared" si="353"/>
        <v>40.4</v>
      </c>
      <c r="R1996" s="14">
        <v>160</v>
      </c>
      <c r="S1996" s="19">
        <f t="shared" si="354"/>
        <v>6464</v>
      </c>
      <c r="T1996" s="16"/>
      <c r="U1996" s="17" t="s">
        <v>57</v>
      </c>
      <c r="V1996" s="17" t="s">
        <v>56</v>
      </c>
      <c r="W1996" s="4"/>
      <c r="X1996" s="16"/>
      <c r="Y1996" s="5">
        <v>72</v>
      </c>
      <c r="Z1996" s="16"/>
      <c r="AA1996" s="16"/>
      <c r="AB1996" s="16">
        <f>62-28</f>
        <v>34</v>
      </c>
      <c r="AC1996" s="14"/>
      <c r="AD1996" s="14"/>
      <c r="AE1996" s="16"/>
      <c r="AG1996" s="22">
        <f t="shared" si="355"/>
        <v>72</v>
      </c>
      <c r="AH1996" s="6"/>
      <c r="AJ1996" s="20">
        <f t="shared" si="356"/>
        <v>0</v>
      </c>
      <c r="AK1996" s="50">
        <v>34</v>
      </c>
      <c r="AL1996" s="6"/>
      <c r="AM1996" s="20">
        <f t="shared" si="357"/>
        <v>0</v>
      </c>
      <c r="AN1996" s="20">
        <f t="shared" si="360"/>
        <v>6464</v>
      </c>
      <c r="AP1996" s="20">
        <f t="shared" si="359"/>
        <v>6464</v>
      </c>
      <c r="AQ1996" s="7"/>
      <c r="AR1996" s="20"/>
      <c r="AS1996" s="51"/>
    </row>
    <row r="1997" spans="1:45" s="21" customFormat="1" ht="30" customHeight="1" x14ac:dyDescent="0.2">
      <c r="A1997" s="8">
        <v>1707</v>
      </c>
      <c r="B1997" s="46">
        <v>1</v>
      </c>
      <c r="C1997" s="16" t="s">
        <v>52</v>
      </c>
      <c r="D1997" s="48">
        <v>30949</v>
      </c>
      <c r="E1997" s="47">
        <v>118</v>
      </c>
      <c r="F1997" s="48">
        <v>5900</v>
      </c>
      <c r="G1997" s="49">
        <v>2</v>
      </c>
      <c r="H1997" s="48">
        <v>0</v>
      </c>
      <c r="I1997" s="48">
        <v>0</v>
      </c>
      <c r="J1997" s="48">
        <v>36.04</v>
      </c>
      <c r="K1997" s="3"/>
      <c r="L1997" s="16">
        <v>72</v>
      </c>
      <c r="M1997" s="57"/>
      <c r="N1997" s="58"/>
      <c r="P1997" s="16"/>
      <c r="Q1997" s="20">
        <f t="shared" si="353"/>
        <v>36.04</v>
      </c>
      <c r="R1997" s="14">
        <v>160</v>
      </c>
      <c r="S1997" s="19">
        <f t="shared" si="354"/>
        <v>5766.4</v>
      </c>
      <c r="T1997" s="16"/>
      <c r="U1997" s="17" t="s">
        <v>57</v>
      </c>
      <c r="V1997" s="17" t="s">
        <v>56</v>
      </c>
      <c r="W1997" s="4"/>
      <c r="X1997" s="16"/>
      <c r="Y1997" s="5">
        <v>72</v>
      </c>
      <c r="Z1997" s="16"/>
      <c r="AA1997" s="16"/>
      <c r="AB1997" s="16">
        <f>62-28</f>
        <v>34</v>
      </c>
      <c r="AC1997" s="14"/>
      <c r="AD1997" s="14"/>
      <c r="AE1997" s="16"/>
      <c r="AG1997" s="22">
        <f t="shared" si="355"/>
        <v>72</v>
      </c>
      <c r="AH1997" s="6"/>
      <c r="AJ1997" s="20">
        <f t="shared" si="356"/>
        <v>0</v>
      </c>
      <c r="AK1997" s="50">
        <v>34</v>
      </c>
      <c r="AL1997" s="6"/>
      <c r="AM1997" s="20">
        <f t="shared" si="357"/>
        <v>0</v>
      </c>
      <c r="AN1997" s="20">
        <f t="shared" si="360"/>
        <v>5766.4</v>
      </c>
      <c r="AP1997" s="20">
        <f t="shared" si="359"/>
        <v>5766.4</v>
      </c>
      <c r="AQ1997" s="7"/>
      <c r="AR1997" s="20"/>
      <c r="AS1997" s="51"/>
    </row>
    <row r="1998" spans="1:45" s="21" customFormat="1" ht="30" customHeight="1" x14ac:dyDescent="0.2">
      <c r="A1998" s="8">
        <v>1708</v>
      </c>
      <c r="B1998" s="46">
        <v>1</v>
      </c>
      <c r="C1998" s="16" t="s">
        <v>52</v>
      </c>
      <c r="D1998" s="48">
        <v>30950</v>
      </c>
      <c r="E1998" s="47">
        <v>120</v>
      </c>
      <c r="F1998" s="48">
        <v>5902</v>
      </c>
      <c r="G1998" s="49">
        <v>2</v>
      </c>
      <c r="H1998" s="48">
        <v>0</v>
      </c>
      <c r="I1998" s="48">
        <v>0</v>
      </c>
      <c r="J1998" s="48">
        <v>31.07</v>
      </c>
      <c r="K1998" s="3"/>
      <c r="L1998" s="16">
        <v>31.07</v>
      </c>
      <c r="M1998" s="57"/>
      <c r="N1998" s="58"/>
      <c r="P1998" s="16">
        <v>2</v>
      </c>
      <c r="Q1998" s="20">
        <f t="shared" si="353"/>
        <v>31.07</v>
      </c>
      <c r="R1998" s="14">
        <v>160</v>
      </c>
      <c r="S1998" s="20">
        <f t="shared" si="354"/>
        <v>4971.2</v>
      </c>
      <c r="T1998" s="16"/>
      <c r="U1998" s="16" t="s">
        <v>57</v>
      </c>
      <c r="V1998" s="16" t="s">
        <v>56</v>
      </c>
      <c r="W1998" s="5"/>
      <c r="X1998" s="16"/>
      <c r="Y1998" s="5">
        <v>58.5</v>
      </c>
      <c r="Z1998" s="16"/>
      <c r="AA1998" s="16"/>
      <c r="AB1998" s="16">
        <f>62-53</f>
        <v>9</v>
      </c>
      <c r="AC1998" s="14"/>
      <c r="AD1998" s="14"/>
      <c r="AE1998" s="16" t="s">
        <v>190</v>
      </c>
      <c r="AG1998" s="22">
        <f t="shared" si="355"/>
        <v>58.5</v>
      </c>
      <c r="AH1998" s="6"/>
      <c r="AJ1998" s="20">
        <f t="shared" si="356"/>
        <v>0</v>
      </c>
      <c r="AK1998" s="50">
        <v>9</v>
      </c>
      <c r="AL1998" s="6"/>
      <c r="AM1998" s="20">
        <f t="shared" si="357"/>
        <v>0</v>
      </c>
      <c r="AN1998" s="20">
        <f t="shared" si="360"/>
        <v>4971.2</v>
      </c>
      <c r="AP1998" s="20">
        <f t="shared" si="359"/>
        <v>4971.2</v>
      </c>
      <c r="AQ1998" s="7"/>
      <c r="AR1998" s="20"/>
      <c r="AS1998" s="51"/>
    </row>
    <row r="1999" spans="1:45" s="21" customFormat="1" ht="30" customHeight="1" x14ac:dyDescent="0.2">
      <c r="A1999" s="8">
        <v>1709</v>
      </c>
      <c r="B1999" s="46">
        <v>1</v>
      </c>
      <c r="C1999" s="16" t="s">
        <v>52</v>
      </c>
      <c r="D1999" s="48">
        <v>1971</v>
      </c>
      <c r="E1999" s="47">
        <v>23</v>
      </c>
      <c r="F1999" s="48">
        <v>1328</v>
      </c>
      <c r="G1999" s="49">
        <v>2</v>
      </c>
      <c r="H1999" s="48">
        <v>3</v>
      </c>
      <c r="I1999" s="48">
        <v>1</v>
      </c>
      <c r="J1999" s="48">
        <v>77</v>
      </c>
      <c r="K1999" s="3">
        <v>1377</v>
      </c>
      <c r="L1999" s="16"/>
      <c r="M1999" s="57"/>
      <c r="N1999" s="58"/>
      <c r="P1999" s="16">
        <v>1</v>
      </c>
      <c r="Q1999" s="20">
        <f t="shared" si="353"/>
        <v>1377</v>
      </c>
      <c r="R1999" s="14">
        <v>160</v>
      </c>
      <c r="S1999" s="19">
        <f t="shared" si="354"/>
        <v>220320</v>
      </c>
      <c r="T1999" s="16"/>
      <c r="U1999" s="17"/>
      <c r="V1999" s="16"/>
      <c r="W1999" s="5"/>
      <c r="X1999" s="16"/>
      <c r="Y1999" s="5"/>
      <c r="Z1999" s="16"/>
      <c r="AA1999" s="16"/>
      <c r="AB1999" s="16"/>
      <c r="AC1999" s="14"/>
      <c r="AD1999" s="14"/>
      <c r="AE1999" s="16"/>
      <c r="AG1999" s="22">
        <f t="shared" si="355"/>
        <v>0</v>
      </c>
      <c r="AH1999" s="6"/>
      <c r="AJ1999" s="20">
        <f t="shared" si="356"/>
        <v>0</v>
      </c>
      <c r="AK1999" s="50"/>
      <c r="AL1999" s="6"/>
      <c r="AM1999" s="20">
        <f t="shared" si="357"/>
        <v>0</v>
      </c>
      <c r="AN1999" s="20">
        <f t="shared" si="360"/>
        <v>220320</v>
      </c>
      <c r="AP1999" s="20">
        <f t="shared" si="359"/>
        <v>220320</v>
      </c>
      <c r="AQ1999" s="7"/>
      <c r="AR1999" s="20"/>
      <c r="AS1999" s="51">
        <v>5000</v>
      </c>
    </row>
    <row r="2000" spans="1:45" s="21" customFormat="1" ht="30" customHeight="1" x14ac:dyDescent="0.2">
      <c r="A2000" s="8">
        <v>1710</v>
      </c>
      <c r="B2000" s="46">
        <v>2</v>
      </c>
      <c r="C2000" s="16" t="s">
        <v>52</v>
      </c>
      <c r="D2000" s="48">
        <v>30989</v>
      </c>
      <c r="E2000" s="47">
        <v>96</v>
      </c>
      <c r="F2000" s="48">
        <v>5941</v>
      </c>
      <c r="G2000" s="49">
        <v>2</v>
      </c>
      <c r="H2000" s="48">
        <v>3</v>
      </c>
      <c r="I2000" s="48">
        <v>1</v>
      </c>
      <c r="J2000" s="48">
        <v>38.06</v>
      </c>
      <c r="K2000" s="3">
        <v>1338.06</v>
      </c>
      <c r="L2000" s="16"/>
      <c r="M2000" s="57"/>
      <c r="N2000" s="58"/>
      <c r="P2000" s="16">
        <v>1</v>
      </c>
      <c r="Q2000" s="20">
        <f t="shared" si="353"/>
        <v>1338.06</v>
      </c>
      <c r="R2000" s="14">
        <v>160</v>
      </c>
      <c r="S2000" s="19">
        <f t="shared" si="354"/>
        <v>214089.59999999998</v>
      </c>
      <c r="T2000" s="16"/>
      <c r="U2000" s="17"/>
      <c r="V2000" s="17"/>
      <c r="W2000" s="4"/>
      <c r="X2000" s="16"/>
      <c r="Y2000" s="5"/>
      <c r="Z2000" s="16"/>
      <c r="AA2000" s="16"/>
      <c r="AB2000" s="16"/>
      <c r="AE2000" s="16"/>
      <c r="AG2000" s="22">
        <f t="shared" si="355"/>
        <v>0</v>
      </c>
      <c r="AH2000" s="6"/>
      <c r="AJ2000" s="20">
        <f t="shared" si="356"/>
        <v>0</v>
      </c>
      <c r="AK2000" s="50"/>
      <c r="AL2000" s="6"/>
      <c r="AM2000" s="20">
        <f t="shared" si="357"/>
        <v>0</v>
      </c>
      <c r="AN2000" s="20">
        <f t="shared" si="360"/>
        <v>214089.59999999998</v>
      </c>
      <c r="AP2000" s="20">
        <f t="shared" si="359"/>
        <v>214089.59999999998</v>
      </c>
      <c r="AQ2000" s="7"/>
      <c r="AR2000" s="20">
        <v>5000</v>
      </c>
      <c r="AS2000" s="51"/>
    </row>
    <row r="2001" spans="1:45" s="21" customFormat="1" ht="30" customHeight="1" x14ac:dyDescent="0.2">
      <c r="A2001" s="8">
        <v>1711</v>
      </c>
      <c r="B2001" s="46">
        <v>3</v>
      </c>
      <c r="C2001" s="16" t="s">
        <v>52</v>
      </c>
      <c r="D2001" s="48">
        <v>30990</v>
      </c>
      <c r="E2001" s="47">
        <v>97</v>
      </c>
      <c r="F2001" s="48">
        <v>5942</v>
      </c>
      <c r="G2001" s="49">
        <v>2</v>
      </c>
      <c r="H2001" s="48">
        <v>1</v>
      </c>
      <c r="I2001" s="48">
        <v>2</v>
      </c>
      <c r="J2001" s="48">
        <v>60.09</v>
      </c>
      <c r="K2001" s="3">
        <v>660.09</v>
      </c>
      <c r="L2001" s="16"/>
      <c r="M2001" s="57"/>
      <c r="N2001" s="58"/>
      <c r="P2001" s="16">
        <v>1</v>
      </c>
      <c r="Q2001" s="20">
        <f t="shared" si="353"/>
        <v>660.09</v>
      </c>
      <c r="R2001" s="14">
        <v>160</v>
      </c>
      <c r="S2001" s="20">
        <f t="shared" si="354"/>
        <v>105614.40000000001</v>
      </c>
      <c r="T2001" s="16"/>
      <c r="U2001" s="17"/>
      <c r="V2001" s="17"/>
      <c r="W2001" s="4"/>
      <c r="X2001" s="16"/>
      <c r="Y2001" s="5"/>
      <c r="Z2001" s="16"/>
      <c r="AA2001" s="16"/>
      <c r="AB2001" s="16"/>
      <c r="AE2001" s="16"/>
      <c r="AG2001" s="22">
        <f t="shared" si="355"/>
        <v>0</v>
      </c>
      <c r="AH2001" s="6"/>
      <c r="AJ2001" s="20">
        <f t="shared" si="356"/>
        <v>0</v>
      </c>
      <c r="AK2001" s="50"/>
      <c r="AL2001" s="6"/>
      <c r="AM2001" s="20">
        <f t="shared" si="357"/>
        <v>0</v>
      </c>
      <c r="AN2001" s="20">
        <f t="shared" si="360"/>
        <v>105614.40000000001</v>
      </c>
      <c r="AP2001" s="20">
        <f t="shared" si="359"/>
        <v>105614.40000000001</v>
      </c>
      <c r="AQ2001" s="7"/>
      <c r="AR2001" s="20"/>
      <c r="AS2001" s="51"/>
    </row>
    <row r="2002" spans="1:45" s="21" customFormat="1" ht="30" customHeight="1" x14ac:dyDescent="0.2">
      <c r="A2002" s="131">
        <v>1712</v>
      </c>
      <c r="B2002" s="46">
        <v>4</v>
      </c>
      <c r="C2002" s="16" t="s">
        <v>52</v>
      </c>
      <c r="D2002" s="48">
        <v>31918</v>
      </c>
      <c r="E2002" s="47">
        <v>194</v>
      </c>
      <c r="F2002" s="48">
        <v>6145</v>
      </c>
      <c r="G2002" s="49">
        <v>2</v>
      </c>
      <c r="H2002" s="48">
        <v>0</v>
      </c>
      <c r="I2002" s="48">
        <v>2</v>
      </c>
      <c r="J2002" s="48">
        <v>16.07</v>
      </c>
      <c r="K2002" s="3"/>
      <c r="L2002" s="16">
        <v>216.07</v>
      </c>
      <c r="M2002" s="57"/>
      <c r="N2002" s="58"/>
      <c r="P2002" s="16">
        <v>2</v>
      </c>
      <c r="Q2002" s="20">
        <f t="shared" si="353"/>
        <v>216.07</v>
      </c>
      <c r="R2002" s="14">
        <v>200</v>
      </c>
      <c r="S2002" s="19">
        <f t="shared" si="354"/>
        <v>43214</v>
      </c>
      <c r="T2002" s="16">
        <v>1</v>
      </c>
      <c r="U2002" s="17" t="s">
        <v>63</v>
      </c>
      <c r="V2002" s="17" t="s">
        <v>56</v>
      </c>
      <c r="W2002" s="4">
        <f>9*4.5</f>
        <v>40.5</v>
      </c>
      <c r="X2002" s="16"/>
      <c r="Y2002" s="5"/>
      <c r="Z2002" s="16">
        <v>40.5</v>
      </c>
      <c r="AA2002" s="16"/>
      <c r="AB2002" s="16">
        <v>9</v>
      </c>
      <c r="AE2002" s="16"/>
      <c r="AF2002" s="21">
        <v>2</v>
      </c>
      <c r="AG2002" s="22">
        <v>40.5</v>
      </c>
      <c r="AH2002" s="6">
        <v>1</v>
      </c>
      <c r="AI2002" s="21">
        <v>8100</v>
      </c>
      <c r="AJ2002" s="20">
        <f t="shared" si="356"/>
        <v>328050</v>
      </c>
      <c r="AK2002" s="50">
        <v>9</v>
      </c>
      <c r="AL2002" s="6">
        <v>0.09</v>
      </c>
      <c r="AM2002" s="20">
        <f>+AJ2002-(AL2002*AJ2002)</f>
        <v>298525.5</v>
      </c>
      <c r="AN2002" s="20">
        <f>+(S2002*0.25)+AM2002</f>
        <v>309329</v>
      </c>
      <c r="AP2002" s="20">
        <f t="shared" si="359"/>
        <v>309329</v>
      </c>
      <c r="AQ2002" s="7">
        <v>2.0000000000000001E-4</v>
      </c>
      <c r="AR2002" s="20"/>
      <c r="AS2002" s="51"/>
    </row>
    <row r="2003" spans="1:45" s="21" customFormat="1" ht="30" customHeight="1" x14ac:dyDescent="0.2">
      <c r="A2003" s="131"/>
      <c r="B2003" s="46"/>
      <c r="C2003" s="16"/>
      <c r="D2003" s="48"/>
      <c r="E2003" s="47"/>
      <c r="F2003" s="48"/>
      <c r="G2003" s="49"/>
      <c r="H2003" s="48"/>
      <c r="I2003" s="48"/>
      <c r="J2003" s="48"/>
      <c r="K2003" s="3"/>
      <c r="L2003" s="16"/>
      <c r="M2003" s="57"/>
      <c r="N2003" s="58"/>
      <c r="P2003" s="16"/>
      <c r="Q2003" s="20"/>
      <c r="R2003" s="14" t="e">
        <v>#N/A</v>
      </c>
      <c r="S2003" s="19"/>
      <c r="T2003" s="16">
        <v>2</v>
      </c>
      <c r="U2003" s="17" t="s">
        <v>63</v>
      </c>
      <c r="V2003" s="17" t="s">
        <v>56</v>
      </c>
      <c r="W2003" s="4">
        <f>9*4.5</f>
        <v>40.5</v>
      </c>
      <c r="X2003" s="16"/>
      <c r="Y2003" s="5"/>
      <c r="Z2003" s="16">
        <v>40.5</v>
      </c>
      <c r="AA2003" s="16"/>
      <c r="AB2003" s="16">
        <v>9</v>
      </c>
      <c r="AE2003" s="16"/>
      <c r="AF2003" s="21">
        <v>2</v>
      </c>
      <c r="AG2003" s="22">
        <v>40.5</v>
      </c>
      <c r="AH2003" s="6">
        <v>1</v>
      </c>
      <c r="AI2003" s="21">
        <v>8100</v>
      </c>
      <c r="AJ2003" s="20">
        <f t="shared" si="356"/>
        <v>328050</v>
      </c>
      <c r="AK2003" s="50">
        <v>9</v>
      </c>
      <c r="AL2003" s="6">
        <v>0.09</v>
      </c>
      <c r="AM2003" s="20">
        <f t="shared" si="357"/>
        <v>298525.5</v>
      </c>
      <c r="AN2003" s="20">
        <f>+(S2002*0.25)+AM2003</f>
        <v>309329</v>
      </c>
      <c r="AP2003" s="20">
        <f t="shared" si="359"/>
        <v>309329</v>
      </c>
      <c r="AQ2003" s="7">
        <v>2.0000000000000001E-4</v>
      </c>
      <c r="AR2003" s="20"/>
      <c r="AS2003" s="51"/>
    </row>
    <row r="2004" spans="1:45" s="21" customFormat="1" ht="30" customHeight="1" x14ac:dyDescent="0.2">
      <c r="A2004" s="131"/>
      <c r="B2004" s="46"/>
      <c r="C2004" s="16"/>
      <c r="D2004" s="48"/>
      <c r="E2004" s="47"/>
      <c r="F2004" s="48"/>
      <c r="G2004" s="49"/>
      <c r="H2004" s="48"/>
      <c r="I2004" s="48"/>
      <c r="J2004" s="48"/>
      <c r="K2004" s="3"/>
      <c r="L2004" s="16"/>
      <c r="M2004" s="57"/>
      <c r="N2004" s="58"/>
      <c r="P2004" s="16"/>
      <c r="Q2004" s="20"/>
      <c r="R2004" s="14" t="e">
        <v>#N/A</v>
      </c>
      <c r="S2004" s="20"/>
      <c r="T2004" s="16">
        <v>3</v>
      </c>
      <c r="U2004" s="17" t="s">
        <v>63</v>
      </c>
      <c r="V2004" s="17" t="s">
        <v>56</v>
      </c>
      <c r="W2004" s="4">
        <f>9*4.5</f>
        <v>40.5</v>
      </c>
      <c r="X2004" s="16"/>
      <c r="Y2004" s="5"/>
      <c r="Z2004" s="16">
        <v>40.5</v>
      </c>
      <c r="AA2004" s="16"/>
      <c r="AB2004" s="16">
        <v>9</v>
      </c>
      <c r="AE2004" s="16"/>
      <c r="AF2004" s="21">
        <v>2</v>
      </c>
      <c r="AG2004" s="22">
        <v>40.5</v>
      </c>
      <c r="AH2004" s="6">
        <v>1</v>
      </c>
      <c r="AI2004" s="21">
        <v>8100</v>
      </c>
      <c r="AJ2004" s="20">
        <f t="shared" si="356"/>
        <v>328050</v>
      </c>
      <c r="AK2004" s="50">
        <v>9</v>
      </c>
      <c r="AL2004" s="6">
        <v>0.09</v>
      </c>
      <c r="AM2004" s="20">
        <f t="shared" si="357"/>
        <v>298525.5</v>
      </c>
      <c r="AN2004" s="20">
        <f>+(S2002*0.25)+AM2004</f>
        <v>309329</v>
      </c>
      <c r="AP2004" s="20">
        <f t="shared" si="359"/>
        <v>309329</v>
      </c>
      <c r="AQ2004" s="7">
        <v>2.0000000000000001E-4</v>
      </c>
      <c r="AR2004" s="20"/>
      <c r="AS2004" s="51"/>
    </row>
    <row r="2005" spans="1:45" s="21" customFormat="1" ht="30" customHeight="1" x14ac:dyDescent="0.2">
      <c r="A2005" s="131"/>
      <c r="B2005" s="46"/>
      <c r="C2005" s="16"/>
      <c r="D2005" s="48"/>
      <c r="E2005" s="47"/>
      <c r="F2005" s="48"/>
      <c r="G2005" s="49"/>
      <c r="H2005" s="48"/>
      <c r="I2005" s="48"/>
      <c r="J2005" s="48"/>
      <c r="K2005" s="3"/>
      <c r="L2005" s="16"/>
      <c r="M2005" s="57"/>
      <c r="N2005" s="58"/>
      <c r="P2005" s="16"/>
      <c r="Q2005" s="20"/>
      <c r="R2005" s="14" t="e">
        <v>#N/A</v>
      </c>
      <c r="S2005" s="19"/>
      <c r="T2005" s="16">
        <v>4</v>
      </c>
      <c r="U2005" s="17" t="s">
        <v>63</v>
      </c>
      <c r="V2005" s="17" t="s">
        <v>56</v>
      </c>
      <c r="W2005" s="4">
        <f>9*4.5</f>
        <v>40.5</v>
      </c>
      <c r="X2005" s="16"/>
      <c r="Y2005" s="5"/>
      <c r="Z2005" s="16">
        <v>40.5</v>
      </c>
      <c r="AA2005" s="16"/>
      <c r="AB2005" s="16">
        <v>9</v>
      </c>
      <c r="AE2005" s="16"/>
      <c r="AF2005" s="21">
        <v>2</v>
      </c>
      <c r="AG2005" s="22">
        <v>40.5</v>
      </c>
      <c r="AH2005" s="6">
        <v>1</v>
      </c>
      <c r="AI2005" s="21">
        <v>8100</v>
      </c>
      <c r="AJ2005" s="20">
        <f t="shared" si="356"/>
        <v>328050</v>
      </c>
      <c r="AK2005" s="50">
        <v>9</v>
      </c>
      <c r="AL2005" s="6">
        <v>0.09</v>
      </c>
      <c r="AM2005" s="20">
        <f t="shared" si="357"/>
        <v>298525.5</v>
      </c>
      <c r="AN2005" s="20">
        <f>+(S2002*0.25)+AM2005</f>
        <v>309329</v>
      </c>
      <c r="AP2005" s="20">
        <f t="shared" si="359"/>
        <v>309329</v>
      </c>
      <c r="AQ2005" s="7">
        <v>2.0000000000000001E-4</v>
      </c>
      <c r="AR2005" s="20"/>
      <c r="AS2005" s="51"/>
    </row>
    <row r="2006" spans="1:45" s="21" customFormat="1" ht="30" customHeight="1" x14ac:dyDescent="0.2">
      <c r="A2006" s="8">
        <v>1713</v>
      </c>
      <c r="B2006" s="46">
        <v>5</v>
      </c>
      <c r="C2006" s="16" t="s">
        <v>52</v>
      </c>
      <c r="D2006" s="48">
        <v>31919</v>
      </c>
      <c r="E2006" s="47">
        <v>195</v>
      </c>
      <c r="F2006" s="48">
        <v>6146</v>
      </c>
      <c r="G2006" s="49">
        <v>2</v>
      </c>
      <c r="H2006" s="48">
        <v>0</v>
      </c>
      <c r="I2006" s="48">
        <v>0</v>
      </c>
      <c r="J2006" s="48">
        <v>60.07</v>
      </c>
      <c r="K2006" s="3"/>
      <c r="L2006" s="16">
        <v>60.07</v>
      </c>
      <c r="M2006" s="57"/>
      <c r="N2006" s="58"/>
      <c r="P2006" s="16">
        <v>2</v>
      </c>
      <c r="Q2006" s="20">
        <f t="shared" si="353"/>
        <v>60.07</v>
      </c>
      <c r="R2006" s="14">
        <v>250</v>
      </c>
      <c r="S2006" s="19">
        <f t="shared" si="354"/>
        <v>15017.5</v>
      </c>
      <c r="T2006" s="16"/>
      <c r="U2006" s="17" t="s">
        <v>63</v>
      </c>
      <c r="V2006" s="17" t="s">
        <v>56</v>
      </c>
      <c r="W2006" s="4">
        <f>9*4.5</f>
        <v>40.5</v>
      </c>
      <c r="X2006" s="16"/>
      <c r="Y2006" s="5"/>
      <c r="Z2006" s="16">
        <v>40.5</v>
      </c>
      <c r="AA2006" s="16"/>
      <c r="AB2006" s="16">
        <v>9</v>
      </c>
      <c r="AE2006" s="16"/>
      <c r="AF2006" s="21">
        <v>2</v>
      </c>
      <c r="AG2006" s="22">
        <v>40.5</v>
      </c>
      <c r="AH2006" s="6">
        <v>1</v>
      </c>
      <c r="AI2006" s="21">
        <v>8100</v>
      </c>
      <c r="AJ2006" s="20">
        <f>+AG2006*AH2006*AI2006</f>
        <v>328050</v>
      </c>
      <c r="AK2006" s="50">
        <v>9</v>
      </c>
      <c r="AL2006" s="6">
        <v>0.09</v>
      </c>
      <c r="AM2006" s="20">
        <f t="shared" si="357"/>
        <v>298525.5</v>
      </c>
      <c r="AN2006" s="20">
        <f t="shared" ref="AN2006:AN2053" si="361">+S2006+AM2006</f>
        <v>313543</v>
      </c>
      <c r="AP2006" s="20">
        <f t="shared" si="359"/>
        <v>313543</v>
      </c>
      <c r="AQ2006" s="7">
        <v>2.0000000000000001E-4</v>
      </c>
      <c r="AR2006" s="20"/>
      <c r="AS2006" s="51"/>
    </row>
    <row r="2007" spans="1:45" s="21" customFormat="1" ht="30" customHeight="1" x14ac:dyDescent="0.2">
      <c r="A2007" s="8">
        <v>1714</v>
      </c>
      <c r="B2007" s="46">
        <v>6</v>
      </c>
      <c r="C2007" s="16" t="s">
        <v>52</v>
      </c>
      <c r="D2007" s="48">
        <v>31920</v>
      </c>
      <c r="E2007" s="47">
        <v>196</v>
      </c>
      <c r="F2007" s="48">
        <v>6147</v>
      </c>
      <c r="G2007" s="49">
        <v>2</v>
      </c>
      <c r="H2007" s="48">
        <v>0</v>
      </c>
      <c r="I2007" s="48">
        <v>0</v>
      </c>
      <c r="J2007" s="48">
        <v>59.05</v>
      </c>
      <c r="K2007" s="3"/>
      <c r="L2007" s="16">
        <v>59.05</v>
      </c>
      <c r="M2007" s="57"/>
      <c r="N2007" s="58"/>
      <c r="P2007" s="16">
        <v>2</v>
      </c>
      <c r="Q2007" s="20">
        <f t="shared" si="353"/>
        <v>59.05</v>
      </c>
      <c r="R2007" s="14">
        <v>250</v>
      </c>
      <c r="S2007" s="20">
        <f t="shared" si="354"/>
        <v>14762.5</v>
      </c>
      <c r="T2007" s="16">
        <v>1</v>
      </c>
      <c r="U2007" s="17" t="s">
        <v>57</v>
      </c>
      <c r="V2007" s="17" t="s">
        <v>56</v>
      </c>
      <c r="W2007" s="4"/>
      <c r="X2007" s="16"/>
      <c r="Y2007" s="5"/>
      <c r="Z2007" s="16">
        <v>49.5</v>
      </c>
      <c r="AA2007" s="16"/>
      <c r="AB2007" s="16">
        <f>62-53</f>
        <v>9</v>
      </c>
      <c r="AE2007" s="16"/>
      <c r="AG2007" s="22">
        <f t="shared" si="355"/>
        <v>0</v>
      </c>
      <c r="AH2007" s="6"/>
      <c r="AJ2007" s="20">
        <f t="shared" si="356"/>
        <v>0</v>
      </c>
      <c r="AK2007" s="50">
        <v>9</v>
      </c>
      <c r="AL2007" s="6"/>
      <c r="AM2007" s="20">
        <f t="shared" si="357"/>
        <v>0</v>
      </c>
      <c r="AN2007" s="20">
        <f t="shared" si="361"/>
        <v>14762.5</v>
      </c>
      <c r="AP2007" s="20">
        <f t="shared" si="359"/>
        <v>14762.5</v>
      </c>
      <c r="AQ2007" s="7"/>
      <c r="AR2007" s="20"/>
      <c r="AS2007" s="51"/>
    </row>
    <row r="2008" spans="1:45" s="21" customFormat="1" ht="30" customHeight="1" x14ac:dyDescent="0.2">
      <c r="A2008" s="8">
        <v>1715</v>
      </c>
      <c r="B2008" s="46">
        <v>7</v>
      </c>
      <c r="C2008" s="16" t="s">
        <v>52</v>
      </c>
      <c r="D2008" s="48">
        <v>1213</v>
      </c>
      <c r="E2008" s="47">
        <v>22</v>
      </c>
      <c r="F2008" s="48">
        <v>1385</v>
      </c>
      <c r="G2008" s="49">
        <v>2</v>
      </c>
      <c r="H2008" s="48">
        <v>4</v>
      </c>
      <c r="I2008" s="48">
        <v>3</v>
      </c>
      <c r="J2008" s="48">
        <v>60</v>
      </c>
      <c r="K2008" s="3">
        <v>1960</v>
      </c>
      <c r="L2008" s="16"/>
      <c r="M2008" s="57"/>
      <c r="N2008" s="58"/>
      <c r="P2008" s="16">
        <v>1</v>
      </c>
      <c r="Q2008" s="20">
        <f t="shared" si="353"/>
        <v>1960</v>
      </c>
      <c r="R2008" s="14">
        <v>200</v>
      </c>
      <c r="S2008" s="19">
        <f t="shared" si="354"/>
        <v>392000</v>
      </c>
      <c r="T2008" s="16"/>
      <c r="U2008" s="16"/>
      <c r="V2008" s="16"/>
      <c r="W2008" s="5"/>
      <c r="X2008" s="16"/>
      <c r="Y2008" s="5"/>
      <c r="Z2008" s="16"/>
      <c r="AA2008" s="16"/>
      <c r="AB2008" s="16"/>
      <c r="AE2008" s="16"/>
      <c r="AG2008" s="22">
        <f t="shared" si="355"/>
        <v>0</v>
      </c>
      <c r="AH2008" s="6"/>
      <c r="AJ2008" s="20">
        <f t="shared" si="356"/>
        <v>0</v>
      </c>
      <c r="AK2008" s="50"/>
      <c r="AL2008" s="6"/>
      <c r="AM2008" s="20">
        <f t="shared" si="357"/>
        <v>0</v>
      </c>
      <c r="AN2008" s="20">
        <f t="shared" si="361"/>
        <v>392000</v>
      </c>
      <c r="AP2008" s="20">
        <f t="shared" si="359"/>
        <v>392000</v>
      </c>
      <c r="AQ2008" s="7"/>
      <c r="AR2008" s="20"/>
      <c r="AS2008" s="51"/>
    </row>
    <row r="2009" spans="1:45" s="21" customFormat="1" ht="30" customHeight="1" x14ac:dyDescent="0.2">
      <c r="A2009" s="8">
        <v>1716</v>
      </c>
      <c r="B2009" s="46">
        <v>8</v>
      </c>
      <c r="C2009" s="16" t="s">
        <v>52</v>
      </c>
      <c r="D2009" s="48">
        <v>1222</v>
      </c>
      <c r="E2009" s="47">
        <v>23</v>
      </c>
      <c r="F2009" s="48">
        <v>1398</v>
      </c>
      <c r="G2009" s="49">
        <v>2</v>
      </c>
      <c r="H2009" s="48">
        <v>2</v>
      </c>
      <c r="I2009" s="48">
        <v>3</v>
      </c>
      <c r="J2009" s="48">
        <v>91</v>
      </c>
      <c r="K2009" s="3">
        <f>800+391</f>
        <v>1191</v>
      </c>
      <c r="L2009" s="16"/>
      <c r="M2009" s="57"/>
      <c r="N2009" s="58"/>
      <c r="P2009" s="16">
        <v>1</v>
      </c>
      <c r="Q2009" s="20">
        <f t="shared" si="353"/>
        <v>1191</v>
      </c>
      <c r="R2009" s="14">
        <v>160</v>
      </c>
      <c r="S2009" s="19">
        <f t="shared" si="354"/>
        <v>190560</v>
      </c>
      <c r="T2009" s="16"/>
      <c r="U2009" s="17"/>
      <c r="V2009" s="16"/>
      <c r="W2009" s="5"/>
      <c r="X2009" s="16"/>
      <c r="Y2009" s="5"/>
      <c r="Z2009" s="16"/>
      <c r="AA2009" s="16"/>
      <c r="AB2009" s="16"/>
      <c r="AE2009" s="16"/>
      <c r="AG2009" s="22">
        <f t="shared" si="355"/>
        <v>0</v>
      </c>
      <c r="AH2009" s="6"/>
      <c r="AJ2009" s="20">
        <f t="shared" si="356"/>
        <v>0</v>
      </c>
      <c r="AK2009" s="50"/>
      <c r="AL2009" s="6"/>
      <c r="AM2009" s="20">
        <f t="shared" si="357"/>
        <v>0</v>
      </c>
      <c r="AN2009" s="20">
        <f t="shared" si="361"/>
        <v>190560</v>
      </c>
      <c r="AP2009" s="20">
        <f t="shared" si="359"/>
        <v>190560</v>
      </c>
      <c r="AQ2009" s="7"/>
      <c r="AR2009" s="20"/>
      <c r="AS2009" s="51"/>
    </row>
    <row r="2010" spans="1:45" ht="30" customHeight="1" x14ac:dyDescent="0.2">
      <c r="A2010" s="8"/>
      <c r="C2010" s="16"/>
      <c r="Q2010" s="20"/>
      <c r="S2010" s="20"/>
      <c r="AC2010" s="21"/>
      <c r="AD2010" s="21"/>
      <c r="AG2010" s="22"/>
      <c r="AJ2010" s="20"/>
      <c r="AM2010" s="20"/>
      <c r="AN2010" s="20"/>
      <c r="AP2010" s="20"/>
      <c r="AR2010" s="20"/>
    </row>
    <row r="2011" spans="1:45" ht="30" customHeight="1" x14ac:dyDescent="0.2">
      <c r="A2011" s="8"/>
      <c r="C2011" s="16"/>
      <c r="Q2011" s="20"/>
      <c r="AC2011" s="21"/>
      <c r="AD2011" s="21"/>
      <c r="AG2011" s="22"/>
      <c r="AJ2011" s="20"/>
      <c r="AM2011" s="20"/>
      <c r="AN2011" s="20"/>
      <c r="AP2011" s="20"/>
      <c r="AR2011" s="20"/>
    </row>
    <row r="2012" spans="1:45" ht="30" customHeight="1" x14ac:dyDescent="0.2">
      <c r="A2012" s="8">
        <v>1717</v>
      </c>
      <c r="B2012" s="13">
        <v>11</v>
      </c>
      <c r="C2012" s="16" t="s">
        <v>65</v>
      </c>
      <c r="D2012" s="17">
        <v>884</v>
      </c>
      <c r="E2012" s="17">
        <v>170</v>
      </c>
      <c r="H2012" s="17">
        <v>3</v>
      </c>
      <c r="I2012" s="17">
        <v>2</v>
      </c>
      <c r="J2012" s="17">
        <v>50</v>
      </c>
      <c r="K2012" s="10">
        <v>1450</v>
      </c>
      <c r="Q2012" s="20">
        <f t="shared" si="353"/>
        <v>1450</v>
      </c>
      <c r="R2012" s="14">
        <v>200</v>
      </c>
      <c r="S2012" s="19">
        <f t="shared" si="354"/>
        <v>290000</v>
      </c>
      <c r="AE2012" s="17" t="s">
        <v>94</v>
      </c>
      <c r="AG2012" s="22">
        <f t="shared" si="355"/>
        <v>0</v>
      </c>
      <c r="AJ2012" s="20">
        <f t="shared" si="356"/>
        <v>0</v>
      </c>
      <c r="AM2012" s="20">
        <f t="shared" si="357"/>
        <v>0</v>
      </c>
      <c r="AN2012" s="20">
        <f t="shared" si="361"/>
        <v>290000</v>
      </c>
      <c r="AP2012" s="20">
        <f t="shared" si="359"/>
        <v>290000</v>
      </c>
      <c r="AQ2012" s="12">
        <v>1E-4</v>
      </c>
      <c r="AR2012" s="20"/>
    </row>
    <row r="2013" spans="1:45" ht="30" customHeight="1" x14ac:dyDescent="0.2">
      <c r="A2013" s="8">
        <v>1718</v>
      </c>
      <c r="B2013" s="13">
        <v>12</v>
      </c>
      <c r="C2013" s="16" t="s">
        <v>65</v>
      </c>
      <c r="D2013" s="17">
        <v>885</v>
      </c>
      <c r="E2013" s="17">
        <v>171</v>
      </c>
      <c r="H2013" s="17">
        <v>1</v>
      </c>
      <c r="I2013" s="17">
        <v>1</v>
      </c>
      <c r="J2013" s="17">
        <v>41</v>
      </c>
      <c r="K2013" s="10">
        <v>541</v>
      </c>
      <c r="Q2013" s="20">
        <f t="shared" si="353"/>
        <v>541</v>
      </c>
      <c r="R2013" s="14">
        <v>200</v>
      </c>
      <c r="S2013" s="20">
        <f t="shared" si="354"/>
        <v>108200</v>
      </c>
      <c r="AE2013" s="17" t="s">
        <v>94</v>
      </c>
      <c r="AG2013" s="22">
        <f t="shared" si="355"/>
        <v>0</v>
      </c>
      <c r="AJ2013" s="20">
        <f t="shared" si="356"/>
        <v>0</v>
      </c>
      <c r="AM2013" s="20">
        <f t="shared" si="357"/>
        <v>0</v>
      </c>
      <c r="AN2013" s="20">
        <f t="shared" si="361"/>
        <v>108200</v>
      </c>
      <c r="AP2013" s="20">
        <f t="shared" si="359"/>
        <v>108200</v>
      </c>
      <c r="AQ2013" s="12">
        <v>1E-4</v>
      </c>
      <c r="AR2013" s="20"/>
    </row>
    <row r="2014" spans="1:45" s="21" customFormat="1" ht="30" customHeight="1" x14ac:dyDescent="0.2">
      <c r="A2014" s="8">
        <v>1719</v>
      </c>
      <c r="B2014" s="46">
        <v>1</v>
      </c>
      <c r="C2014" s="16" t="s">
        <v>52</v>
      </c>
      <c r="D2014" s="48">
        <v>31912</v>
      </c>
      <c r="E2014" s="47">
        <v>183</v>
      </c>
      <c r="F2014" s="48">
        <v>6139</v>
      </c>
      <c r="G2014" s="49">
        <v>2</v>
      </c>
      <c r="H2014" s="48">
        <v>0</v>
      </c>
      <c r="I2014" s="48">
        <v>0</v>
      </c>
      <c r="J2014" s="48">
        <v>46.09</v>
      </c>
      <c r="K2014" s="3"/>
      <c r="L2014" s="16">
        <v>46.09</v>
      </c>
      <c r="M2014" s="57"/>
      <c r="N2014" s="58"/>
      <c r="P2014" s="16">
        <v>2</v>
      </c>
      <c r="Q2014" s="20">
        <f t="shared" ref="Q2014:Q2077" si="362">+(H2014*400)+(I2014*100)+J2014</f>
        <v>46.09</v>
      </c>
      <c r="R2014" s="14">
        <v>4500</v>
      </c>
      <c r="S2014" s="19">
        <f t="shared" ref="S2014:S2077" si="363">+Q2014*R2014</f>
        <v>207405.00000000003</v>
      </c>
      <c r="T2014" s="16"/>
      <c r="U2014" s="17" t="s">
        <v>63</v>
      </c>
      <c r="V2014" s="17" t="s">
        <v>56</v>
      </c>
      <c r="W2014" s="4"/>
      <c r="X2014" s="16"/>
      <c r="Y2014" s="5">
        <v>95</v>
      </c>
      <c r="Z2014" s="16"/>
      <c r="AA2014" s="16"/>
      <c r="AB2014" s="16">
        <f>62-42</f>
        <v>20</v>
      </c>
      <c r="AE2014" s="16"/>
      <c r="AG2014" s="22">
        <f t="shared" ref="AG2014:AG2077" si="364">Y2014</f>
        <v>95</v>
      </c>
      <c r="AH2014" s="6"/>
      <c r="AJ2014" s="20">
        <f t="shared" ref="AJ2014:AJ2077" si="365">+AG2014*AH2014*AI2014</f>
        <v>0</v>
      </c>
      <c r="AK2014" s="50">
        <v>20</v>
      </c>
      <c r="AL2014" s="6"/>
      <c r="AM2014" s="20">
        <f t="shared" ref="AM2014:AM2077" si="366">+AJ2014-(AL2014*AJ2014)</f>
        <v>0</v>
      </c>
      <c r="AN2014" s="20">
        <f t="shared" si="361"/>
        <v>207405.00000000003</v>
      </c>
      <c r="AP2014" s="20">
        <f t="shared" ref="AP2014:AP2077" si="367">AN2014</f>
        <v>207405.00000000003</v>
      </c>
      <c r="AQ2014" s="7"/>
      <c r="AR2014" s="20"/>
      <c r="AS2014" s="51"/>
    </row>
    <row r="2015" spans="1:45" s="21" customFormat="1" ht="30" customHeight="1" x14ac:dyDescent="0.2">
      <c r="A2015" s="8">
        <v>1720</v>
      </c>
      <c r="B2015" s="46">
        <v>2</v>
      </c>
      <c r="C2015" s="16" t="s">
        <v>52</v>
      </c>
      <c r="D2015" s="48">
        <v>31921</v>
      </c>
      <c r="E2015" s="47">
        <v>197</v>
      </c>
      <c r="F2015" s="48">
        <v>6148</v>
      </c>
      <c r="G2015" s="49">
        <v>2</v>
      </c>
      <c r="H2015" s="48">
        <v>0</v>
      </c>
      <c r="I2015" s="48">
        <v>0</v>
      </c>
      <c r="J2015" s="48">
        <v>91.06</v>
      </c>
      <c r="K2015" s="3"/>
      <c r="L2015" s="16"/>
      <c r="M2015" s="57"/>
      <c r="N2015" s="58">
        <v>91.06</v>
      </c>
      <c r="P2015" s="16">
        <v>4</v>
      </c>
      <c r="Q2015" s="20">
        <f t="shared" si="362"/>
        <v>91.06</v>
      </c>
      <c r="R2015" s="14">
        <v>250</v>
      </c>
      <c r="S2015" s="19">
        <f t="shared" si="363"/>
        <v>22765</v>
      </c>
      <c r="T2015" s="16"/>
      <c r="U2015" s="17"/>
      <c r="V2015" s="17"/>
      <c r="W2015" s="4"/>
      <c r="X2015" s="16"/>
      <c r="Y2015" s="5"/>
      <c r="Z2015" s="16"/>
      <c r="AA2015" s="16"/>
      <c r="AB2015" s="16"/>
      <c r="AE2015" s="16"/>
      <c r="AG2015" s="22">
        <f t="shared" si="364"/>
        <v>0</v>
      </c>
      <c r="AH2015" s="6"/>
      <c r="AJ2015" s="20">
        <f t="shared" si="365"/>
        <v>0</v>
      </c>
      <c r="AK2015" s="50"/>
      <c r="AL2015" s="6"/>
      <c r="AM2015" s="20">
        <f t="shared" si="366"/>
        <v>0</v>
      </c>
      <c r="AN2015" s="20">
        <f t="shared" si="361"/>
        <v>22765</v>
      </c>
      <c r="AP2015" s="20">
        <f t="shared" si="367"/>
        <v>22765</v>
      </c>
      <c r="AQ2015" s="7">
        <v>3.0000000000000001E-3</v>
      </c>
      <c r="AR2015" s="20"/>
      <c r="AS2015" s="51"/>
    </row>
    <row r="2016" spans="1:45" s="21" customFormat="1" ht="30" customHeight="1" x14ac:dyDescent="0.2">
      <c r="A2016" s="8">
        <v>1721</v>
      </c>
      <c r="B2016" s="46">
        <v>3</v>
      </c>
      <c r="C2016" s="16" t="s">
        <v>52</v>
      </c>
      <c r="D2016" s="48">
        <v>31922</v>
      </c>
      <c r="E2016" s="47">
        <v>198</v>
      </c>
      <c r="F2016" s="48">
        <v>6149</v>
      </c>
      <c r="G2016" s="49">
        <v>2</v>
      </c>
      <c r="H2016" s="48">
        <v>0</v>
      </c>
      <c r="I2016" s="48">
        <v>0</v>
      </c>
      <c r="J2016" s="48">
        <v>88.01</v>
      </c>
      <c r="K2016" s="3"/>
      <c r="L2016" s="16"/>
      <c r="M2016" s="57"/>
      <c r="N2016" s="58">
        <v>88.01</v>
      </c>
      <c r="P2016" s="16">
        <v>4</v>
      </c>
      <c r="Q2016" s="20">
        <f t="shared" si="362"/>
        <v>88.01</v>
      </c>
      <c r="R2016" s="14">
        <v>250</v>
      </c>
      <c r="S2016" s="20">
        <f t="shared" si="363"/>
        <v>22002.5</v>
      </c>
      <c r="T2016" s="16"/>
      <c r="U2016" s="17"/>
      <c r="V2016" s="17"/>
      <c r="W2016" s="4"/>
      <c r="X2016" s="16"/>
      <c r="Y2016" s="5"/>
      <c r="Z2016" s="16"/>
      <c r="AA2016" s="16"/>
      <c r="AB2016" s="16"/>
      <c r="AE2016" s="16"/>
      <c r="AG2016" s="22">
        <f t="shared" si="364"/>
        <v>0</v>
      </c>
      <c r="AH2016" s="6"/>
      <c r="AJ2016" s="20">
        <f t="shared" si="365"/>
        <v>0</v>
      </c>
      <c r="AK2016" s="50"/>
      <c r="AL2016" s="6"/>
      <c r="AM2016" s="20">
        <f t="shared" si="366"/>
        <v>0</v>
      </c>
      <c r="AN2016" s="20">
        <f t="shared" si="361"/>
        <v>22002.5</v>
      </c>
      <c r="AP2016" s="20">
        <f t="shared" si="367"/>
        <v>22002.5</v>
      </c>
      <c r="AQ2016" s="7">
        <v>3.0000000000000001E-3</v>
      </c>
      <c r="AR2016" s="20"/>
      <c r="AS2016" s="51"/>
    </row>
    <row r="2017" spans="1:45" ht="30" customHeight="1" x14ac:dyDescent="0.2">
      <c r="A2017" s="8">
        <v>1722</v>
      </c>
      <c r="B2017" s="13">
        <v>4</v>
      </c>
      <c r="C2017" s="16" t="s">
        <v>69</v>
      </c>
      <c r="E2017" s="17">
        <v>1513</v>
      </c>
      <c r="F2017" s="17">
        <v>11</v>
      </c>
      <c r="G2017" s="13">
        <v>2</v>
      </c>
      <c r="H2017" s="17">
        <v>18</v>
      </c>
      <c r="I2017" s="17">
        <v>3</v>
      </c>
      <c r="J2017" s="17">
        <v>54</v>
      </c>
      <c r="K2017" s="10">
        <v>7554</v>
      </c>
      <c r="P2017" s="17">
        <v>1</v>
      </c>
      <c r="Q2017" s="20">
        <f>+(H2017*400)+(I2017*100)+J2017</f>
        <v>7554</v>
      </c>
      <c r="R2017" s="14">
        <v>160</v>
      </c>
      <c r="S2017" s="20">
        <f>+Q2017*R2017</f>
        <v>1208640</v>
      </c>
      <c r="AG2017" s="22">
        <f>Y2017</f>
        <v>0</v>
      </c>
      <c r="AJ2017" s="20">
        <f>+AG2017*AH2017*AI2017</f>
        <v>0</v>
      </c>
      <c r="AM2017" s="20">
        <f>+AJ2017-(AL2017*AJ2017)</f>
        <v>0</v>
      </c>
      <c r="AN2017" s="20">
        <f t="shared" si="361"/>
        <v>1208640</v>
      </c>
      <c r="AP2017" s="20">
        <f>AN2017</f>
        <v>1208640</v>
      </c>
      <c r="AQ2017" s="12">
        <v>1E-4</v>
      </c>
      <c r="AR2017" s="20"/>
    </row>
    <row r="2018" spans="1:45" ht="30" customHeight="1" x14ac:dyDescent="0.2">
      <c r="A2018" s="8">
        <v>1723</v>
      </c>
      <c r="B2018" s="13">
        <v>5</v>
      </c>
      <c r="C2018" s="16" t="s">
        <v>69</v>
      </c>
      <c r="E2018" s="17">
        <v>1520</v>
      </c>
      <c r="F2018" s="17">
        <v>5</v>
      </c>
      <c r="G2018" s="13">
        <v>2</v>
      </c>
      <c r="H2018" s="17">
        <v>4</v>
      </c>
      <c r="I2018" s="17">
        <v>1</v>
      </c>
      <c r="J2018" s="17">
        <v>15</v>
      </c>
      <c r="K2018" s="10">
        <v>1715</v>
      </c>
      <c r="P2018" s="17">
        <v>1</v>
      </c>
      <c r="Q2018" s="20">
        <f>+(H2018*400)+(I2018*100)+J2018</f>
        <v>1715</v>
      </c>
      <c r="R2018" s="14">
        <v>200</v>
      </c>
      <c r="S2018" s="19">
        <f>+Q2018*R2018</f>
        <v>343000</v>
      </c>
      <c r="AG2018" s="22">
        <f>Y2018</f>
        <v>0</v>
      </c>
      <c r="AJ2018" s="20">
        <f>+AG2018*AH2018*AI2018</f>
        <v>0</v>
      </c>
      <c r="AM2018" s="20">
        <f>+AJ2018-(AL2018*AJ2018)</f>
        <v>0</v>
      </c>
      <c r="AN2018" s="20">
        <f t="shared" si="361"/>
        <v>343000</v>
      </c>
      <c r="AP2018" s="20">
        <f>AN2018</f>
        <v>343000</v>
      </c>
      <c r="AQ2018" s="12">
        <v>1E-4</v>
      </c>
      <c r="AR2018" s="20"/>
    </row>
    <row r="2019" spans="1:45" ht="30" customHeight="1" x14ac:dyDescent="0.2">
      <c r="A2019" s="8">
        <v>1724</v>
      </c>
      <c r="B2019" s="13">
        <v>4</v>
      </c>
      <c r="C2019" s="16" t="s">
        <v>65</v>
      </c>
      <c r="D2019" s="17">
        <v>3370</v>
      </c>
      <c r="E2019" s="17">
        <v>607</v>
      </c>
      <c r="H2019" s="17">
        <v>0</v>
      </c>
      <c r="I2019" s="17">
        <v>0</v>
      </c>
      <c r="J2019" s="17">
        <v>81</v>
      </c>
      <c r="K2019" s="10">
        <v>81</v>
      </c>
      <c r="P2019" s="17">
        <v>1</v>
      </c>
      <c r="Q2019" s="20">
        <f t="shared" si="362"/>
        <v>81</v>
      </c>
      <c r="R2019" s="14">
        <v>200</v>
      </c>
      <c r="S2019" s="19">
        <f t="shared" si="363"/>
        <v>16200</v>
      </c>
      <c r="AC2019" s="21"/>
      <c r="AD2019" s="21"/>
      <c r="AE2019" s="17" t="s">
        <v>95</v>
      </c>
      <c r="AG2019" s="22">
        <f t="shared" si="364"/>
        <v>0</v>
      </c>
      <c r="AJ2019" s="20">
        <f t="shared" si="365"/>
        <v>0</v>
      </c>
      <c r="AM2019" s="20">
        <f t="shared" si="366"/>
        <v>0</v>
      </c>
      <c r="AN2019" s="20">
        <f t="shared" si="361"/>
        <v>16200</v>
      </c>
      <c r="AP2019" s="20">
        <f t="shared" si="367"/>
        <v>16200</v>
      </c>
      <c r="AQ2019" s="12">
        <v>1E-4</v>
      </c>
      <c r="AR2019" s="20"/>
    </row>
    <row r="2020" spans="1:45" ht="30" customHeight="1" x14ac:dyDescent="0.2">
      <c r="A2020" s="8">
        <v>1725</v>
      </c>
      <c r="B2020" s="13">
        <v>5</v>
      </c>
      <c r="C2020" s="16" t="s">
        <v>65</v>
      </c>
      <c r="D2020" s="17">
        <v>3372</v>
      </c>
      <c r="E2020" s="17">
        <v>609</v>
      </c>
      <c r="H2020" s="17">
        <v>0</v>
      </c>
      <c r="I2020" s="17">
        <v>0</v>
      </c>
      <c r="J2020" s="17">
        <v>72</v>
      </c>
      <c r="K2020" s="10">
        <v>72</v>
      </c>
      <c r="P2020" s="17">
        <v>1</v>
      </c>
      <c r="Q2020" s="20">
        <f t="shared" si="362"/>
        <v>72</v>
      </c>
      <c r="R2020" s="14">
        <v>250</v>
      </c>
      <c r="S2020" s="19">
        <f t="shared" si="363"/>
        <v>18000</v>
      </c>
      <c r="AC2020" s="21"/>
      <c r="AD2020" s="21"/>
      <c r="AE2020" s="17" t="s">
        <v>95</v>
      </c>
      <c r="AG2020" s="22">
        <f t="shared" si="364"/>
        <v>0</v>
      </c>
      <c r="AJ2020" s="20">
        <f t="shared" si="365"/>
        <v>0</v>
      </c>
      <c r="AM2020" s="20">
        <f t="shared" si="366"/>
        <v>0</v>
      </c>
      <c r="AN2020" s="20">
        <f t="shared" si="361"/>
        <v>18000</v>
      </c>
      <c r="AP2020" s="20">
        <f t="shared" si="367"/>
        <v>18000</v>
      </c>
      <c r="AQ2020" s="12">
        <v>1E-4</v>
      </c>
      <c r="AR2020" s="20"/>
    </row>
    <row r="2021" spans="1:45" s="21" customFormat="1" ht="30" customHeight="1" x14ac:dyDescent="0.2">
      <c r="A2021" s="8">
        <v>1726</v>
      </c>
      <c r="B2021" s="46">
        <v>1</v>
      </c>
      <c r="C2021" s="16" t="s">
        <v>52</v>
      </c>
      <c r="D2021" s="48">
        <v>31127</v>
      </c>
      <c r="E2021" s="47">
        <v>128</v>
      </c>
      <c r="F2021" s="48">
        <v>6072</v>
      </c>
      <c r="G2021" s="49">
        <v>2</v>
      </c>
      <c r="H2021" s="48">
        <v>2</v>
      </c>
      <c r="I2021" s="48">
        <v>0</v>
      </c>
      <c r="J2021" s="48">
        <v>81.03</v>
      </c>
      <c r="K2021" s="3">
        <v>881.03</v>
      </c>
      <c r="L2021" s="16"/>
      <c r="M2021" s="57"/>
      <c r="N2021" s="58"/>
      <c r="P2021" s="16">
        <v>1</v>
      </c>
      <c r="Q2021" s="20">
        <f t="shared" si="362"/>
        <v>881.03</v>
      </c>
      <c r="R2021" s="14">
        <v>200</v>
      </c>
      <c r="S2021" s="19">
        <f t="shared" si="363"/>
        <v>176206</v>
      </c>
      <c r="T2021" s="16"/>
      <c r="U2021" s="17"/>
      <c r="V2021" s="17"/>
      <c r="W2021" s="4"/>
      <c r="X2021" s="16"/>
      <c r="Y2021" s="5"/>
      <c r="Z2021" s="16"/>
      <c r="AA2021" s="16"/>
      <c r="AB2021" s="16"/>
      <c r="AE2021" s="16"/>
      <c r="AG2021" s="22">
        <f t="shared" si="364"/>
        <v>0</v>
      </c>
      <c r="AH2021" s="6"/>
      <c r="AJ2021" s="20">
        <f t="shared" si="365"/>
        <v>0</v>
      </c>
      <c r="AK2021" s="50"/>
      <c r="AL2021" s="6"/>
      <c r="AM2021" s="20">
        <f t="shared" si="366"/>
        <v>0</v>
      </c>
      <c r="AN2021" s="20">
        <f t="shared" si="361"/>
        <v>176206</v>
      </c>
      <c r="AP2021" s="20">
        <f t="shared" si="367"/>
        <v>176206</v>
      </c>
      <c r="AQ2021" s="7"/>
      <c r="AR2021" s="20"/>
      <c r="AS2021" s="51"/>
    </row>
    <row r="2022" spans="1:45" s="21" customFormat="1" ht="30" customHeight="1" x14ac:dyDescent="0.2">
      <c r="A2022" s="8">
        <v>1727</v>
      </c>
      <c r="B2022" s="46">
        <v>2</v>
      </c>
      <c r="C2022" s="16" t="s">
        <v>52</v>
      </c>
      <c r="D2022" s="48">
        <v>31128</v>
      </c>
      <c r="E2022" s="47">
        <v>129</v>
      </c>
      <c r="F2022" s="48">
        <v>6073</v>
      </c>
      <c r="G2022" s="49">
        <v>2</v>
      </c>
      <c r="H2022" s="48">
        <v>3</v>
      </c>
      <c r="I2022" s="48">
        <v>3</v>
      </c>
      <c r="J2022" s="48">
        <v>51.08</v>
      </c>
      <c r="K2022" s="3">
        <v>1551.08</v>
      </c>
      <c r="L2022" s="16"/>
      <c r="M2022" s="57"/>
      <c r="N2022" s="58"/>
      <c r="P2022" s="16">
        <v>1</v>
      </c>
      <c r="Q2022" s="20">
        <f t="shared" si="362"/>
        <v>1551.08</v>
      </c>
      <c r="R2022" s="14">
        <v>200</v>
      </c>
      <c r="S2022" s="20">
        <f t="shared" si="363"/>
        <v>310216</v>
      </c>
      <c r="T2022" s="16"/>
      <c r="U2022" s="17"/>
      <c r="V2022" s="17"/>
      <c r="W2022" s="4"/>
      <c r="X2022" s="16"/>
      <c r="Y2022" s="5"/>
      <c r="Z2022" s="16"/>
      <c r="AA2022" s="16"/>
      <c r="AB2022" s="16"/>
      <c r="AC2022" s="14"/>
      <c r="AD2022" s="14"/>
      <c r="AE2022" s="16"/>
      <c r="AG2022" s="22">
        <f t="shared" si="364"/>
        <v>0</v>
      </c>
      <c r="AH2022" s="6"/>
      <c r="AJ2022" s="20">
        <f t="shared" si="365"/>
        <v>0</v>
      </c>
      <c r="AK2022" s="50"/>
      <c r="AL2022" s="6"/>
      <c r="AM2022" s="20">
        <f t="shared" si="366"/>
        <v>0</v>
      </c>
      <c r="AN2022" s="20">
        <f t="shared" si="361"/>
        <v>310216</v>
      </c>
      <c r="AP2022" s="20">
        <f t="shared" si="367"/>
        <v>310216</v>
      </c>
      <c r="AQ2022" s="7"/>
      <c r="AR2022" s="20"/>
      <c r="AS2022" s="51"/>
    </row>
    <row r="2023" spans="1:45" s="21" customFormat="1" ht="30" customHeight="1" x14ac:dyDescent="0.2">
      <c r="A2023" s="8">
        <v>1728</v>
      </c>
      <c r="B2023" s="46">
        <v>3</v>
      </c>
      <c r="C2023" s="16" t="s">
        <v>52</v>
      </c>
      <c r="D2023" s="48">
        <v>31129</v>
      </c>
      <c r="E2023" s="47">
        <v>130</v>
      </c>
      <c r="F2023" s="48">
        <v>6074</v>
      </c>
      <c r="G2023" s="49">
        <v>2</v>
      </c>
      <c r="H2023" s="48">
        <v>0</v>
      </c>
      <c r="I2023" s="48">
        <v>0</v>
      </c>
      <c r="J2023" s="48">
        <v>36.06</v>
      </c>
      <c r="K2023" s="3">
        <v>36.06</v>
      </c>
      <c r="L2023" s="16"/>
      <c r="M2023" s="57"/>
      <c r="N2023" s="58"/>
      <c r="P2023" s="16">
        <v>1</v>
      </c>
      <c r="Q2023" s="20">
        <f t="shared" si="362"/>
        <v>36.06</v>
      </c>
      <c r="R2023" s="14">
        <v>250</v>
      </c>
      <c r="S2023" s="19">
        <f t="shared" si="363"/>
        <v>9015</v>
      </c>
      <c r="T2023" s="16"/>
      <c r="U2023" s="16"/>
      <c r="V2023" s="16"/>
      <c r="W2023" s="5"/>
      <c r="X2023" s="16"/>
      <c r="Y2023" s="5"/>
      <c r="Z2023" s="16"/>
      <c r="AA2023" s="16"/>
      <c r="AB2023" s="16"/>
      <c r="AE2023" s="16"/>
      <c r="AG2023" s="22">
        <f t="shared" si="364"/>
        <v>0</v>
      </c>
      <c r="AH2023" s="6"/>
      <c r="AJ2023" s="20">
        <f t="shared" si="365"/>
        <v>0</v>
      </c>
      <c r="AK2023" s="50"/>
      <c r="AL2023" s="6"/>
      <c r="AM2023" s="20">
        <f t="shared" si="366"/>
        <v>0</v>
      </c>
      <c r="AN2023" s="20">
        <f t="shared" si="361"/>
        <v>9015</v>
      </c>
      <c r="AP2023" s="20">
        <f t="shared" si="367"/>
        <v>9015</v>
      </c>
      <c r="AQ2023" s="7"/>
      <c r="AR2023" s="20"/>
      <c r="AS2023" s="51"/>
    </row>
    <row r="2024" spans="1:45" s="21" customFormat="1" ht="30" customHeight="1" x14ac:dyDescent="0.2">
      <c r="A2024" s="8">
        <v>1729</v>
      </c>
      <c r="B2024" s="46">
        <v>4</v>
      </c>
      <c r="C2024" s="16" t="s">
        <v>52</v>
      </c>
      <c r="D2024" s="48">
        <v>31131</v>
      </c>
      <c r="E2024" s="47">
        <v>132</v>
      </c>
      <c r="F2024" s="48">
        <v>6076</v>
      </c>
      <c r="G2024" s="49">
        <v>2</v>
      </c>
      <c r="H2024" s="48">
        <v>0</v>
      </c>
      <c r="I2024" s="48">
        <v>0</v>
      </c>
      <c r="J2024" s="48">
        <v>35.03</v>
      </c>
      <c r="K2024" s="3">
        <v>35.03</v>
      </c>
      <c r="L2024" s="16"/>
      <c r="M2024" s="57"/>
      <c r="N2024" s="58"/>
      <c r="P2024" s="16">
        <v>1</v>
      </c>
      <c r="Q2024" s="20">
        <f t="shared" si="362"/>
        <v>35.03</v>
      </c>
      <c r="R2024" s="14">
        <v>250</v>
      </c>
      <c r="S2024" s="19">
        <f t="shared" si="363"/>
        <v>8757.5</v>
      </c>
      <c r="T2024" s="16"/>
      <c r="U2024" s="17"/>
      <c r="V2024" s="16"/>
      <c r="W2024" s="5"/>
      <c r="X2024" s="16"/>
      <c r="Y2024" s="5"/>
      <c r="Z2024" s="16"/>
      <c r="AA2024" s="16"/>
      <c r="AB2024" s="16"/>
      <c r="AC2024" s="14"/>
      <c r="AD2024" s="14"/>
      <c r="AE2024" s="16"/>
      <c r="AG2024" s="22">
        <f t="shared" si="364"/>
        <v>0</v>
      </c>
      <c r="AH2024" s="6"/>
      <c r="AJ2024" s="20">
        <f t="shared" si="365"/>
        <v>0</v>
      </c>
      <c r="AK2024" s="50"/>
      <c r="AL2024" s="6"/>
      <c r="AM2024" s="20">
        <f t="shared" si="366"/>
        <v>0</v>
      </c>
      <c r="AN2024" s="20">
        <f t="shared" si="361"/>
        <v>8757.5</v>
      </c>
      <c r="AP2024" s="20">
        <f t="shared" si="367"/>
        <v>8757.5</v>
      </c>
      <c r="AQ2024" s="7"/>
      <c r="AR2024" s="20"/>
      <c r="AS2024" s="51"/>
    </row>
    <row r="2025" spans="1:45" s="21" customFormat="1" ht="30" customHeight="1" x14ac:dyDescent="0.2">
      <c r="A2025" s="8">
        <v>1730</v>
      </c>
      <c r="B2025" s="46">
        <v>5</v>
      </c>
      <c r="C2025" s="16" t="s">
        <v>52</v>
      </c>
      <c r="D2025" s="48">
        <v>31132</v>
      </c>
      <c r="E2025" s="47">
        <v>133</v>
      </c>
      <c r="F2025" s="48">
        <v>6077</v>
      </c>
      <c r="G2025" s="49">
        <v>2</v>
      </c>
      <c r="H2025" s="48">
        <v>0</v>
      </c>
      <c r="I2025" s="48">
        <v>0</v>
      </c>
      <c r="J2025" s="48">
        <v>37.07</v>
      </c>
      <c r="K2025" s="3">
        <v>37.07</v>
      </c>
      <c r="L2025" s="16"/>
      <c r="M2025" s="57"/>
      <c r="N2025" s="58"/>
      <c r="P2025" s="16">
        <v>1</v>
      </c>
      <c r="Q2025" s="20">
        <f t="shared" si="362"/>
        <v>37.07</v>
      </c>
      <c r="R2025" s="14">
        <v>250</v>
      </c>
      <c r="S2025" s="20">
        <f t="shared" si="363"/>
        <v>9267.5</v>
      </c>
      <c r="T2025" s="16"/>
      <c r="U2025" s="17"/>
      <c r="V2025" s="17"/>
      <c r="W2025" s="4"/>
      <c r="X2025" s="16"/>
      <c r="Y2025" s="5"/>
      <c r="Z2025" s="16"/>
      <c r="AA2025" s="16"/>
      <c r="AB2025" s="16"/>
      <c r="AC2025" s="14"/>
      <c r="AD2025" s="14"/>
      <c r="AE2025" s="16"/>
      <c r="AG2025" s="22">
        <f t="shared" si="364"/>
        <v>0</v>
      </c>
      <c r="AH2025" s="6"/>
      <c r="AJ2025" s="20">
        <f t="shared" si="365"/>
        <v>0</v>
      </c>
      <c r="AK2025" s="50"/>
      <c r="AL2025" s="6"/>
      <c r="AM2025" s="20">
        <f t="shared" si="366"/>
        <v>0</v>
      </c>
      <c r="AN2025" s="20">
        <f t="shared" si="361"/>
        <v>9267.5</v>
      </c>
      <c r="AP2025" s="20">
        <f t="shared" si="367"/>
        <v>9267.5</v>
      </c>
      <c r="AQ2025" s="7"/>
      <c r="AR2025" s="20"/>
      <c r="AS2025" s="51"/>
    </row>
    <row r="2026" spans="1:45" s="21" customFormat="1" ht="30" customHeight="1" x14ac:dyDescent="0.2">
      <c r="A2026" s="8">
        <v>1731</v>
      </c>
      <c r="B2026" s="46">
        <v>6</v>
      </c>
      <c r="C2026" s="16" t="s">
        <v>52</v>
      </c>
      <c r="D2026" s="48">
        <v>31134</v>
      </c>
      <c r="E2026" s="47">
        <v>135</v>
      </c>
      <c r="F2026" s="48">
        <v>6079</v>
      </c>
      <c r="G2026" s="49">
        <v>2</v>
      </c>
      <c r="H2026" s="48">
        <v>0</v>
      </c>
      <c r="I2026" s="48">
        <v>0</v>
      </c>
      <c r="J2026" s="48">
        <v>37.01</v>
      </c>
      <c r="K2026" s="3">
        <v>37.01</v>
      </c>
      <c r="L2026" s="16"/>
      <c r="M2026" s="57"/>
      <c r="N2026" s="58"/>
      <c r="P2026" s="16">
        <v>1</v>
      </c>
      <c r="Q2026" s="20">
        <f t="shared" si="362"/>
        <v>37.01</v>
      </c>
      <c r="R2026" s="14">
        <v>250</v>
      </c>
      <c r="S2026" s="19">
        <f t="shared" si="363"/>
        <v>9252.5</v>
      </c>
      <c r="T2026" s="16"/>
      <c r="U2026" s="17"/>
      <c r="V2026" s="17"/>
      <c r="W2026" s="4"/>
      <c r="X2026" s="16"/>
      <c r="Y2026" s="5"/>
      <c r="Z2026" s="16"/>
      <c r="AA2026" s="16"/>
      <c r="AB2026" s="16"/>
      <c r="AC2026" s="14"/>
      <c r="AD2026" s="14"/>
      <c r="AE2026" s="16"/>
      <c r="AG2026" s="22">
        <f t="shared" si="364"/>
        <v>0</v>
      </c>
      <c r="AH2026" s="6"/>
      <c r="AJ2026" s="20">
        <f t="shared" si="365"/>
        <v>0</v>
      </c>
      <c r="AK2026" s="50"/>
      <c r="AL2026" s="6"/>
      <c r="AM2026" s="20">
        <f t="shared" si="366"/>
        <v>0</v>
      </c>
      <c r="AN2026" s="20">
        <f t="shared" si="361"/>
        <v>9252.5</v>
      </c>
      <c r="AP2026" s="20">
        <f t="shared" si="367"/>
        <v>9252.5</v>
      </c>
      <c r="AQ2026" s="7"/>
      <c r="AR2026" s="20"/>
      <c r="AS2026" s="51"/>
    </row>
    <row r="2027" spans="1:45" s="21" customFormat="1" ht="30" customHeight="1" x14ac:dyDescent="0.2">
      <c r="A2027" s="8">
        <v>1732</v>
      </c>
      <c r="B2027" s="46">
        <v>7</v>
      </c>
      <c r="C2027" s="16" t="s">
        <v>52</v>
      </c>
      <c r="D2027" s="48">
        <v>31135</v>
      </c>
      <c r="E2027" s="47">
        <v>136</v>
      </c>
      <c r="F2027" s="48">
        <v>6080</v>
      </c>
      <c r="G2027" s="49">
        <v>2</v>
      </c>
      <c r="H2027" s="48">
        <v>0</v>
      </c>
      <c r="I2027" s="48">
        <v>0</v>
      </c>
      <c r="J2027" s="48">
        <v>36.08</v>
      </c>
      <c r="K2027" s="3">
        <v>36.08</v>
      </c>
      <c r="L2027" s="16"/>
      <c r="M2027" s="57"/>
      <c r="N2027" s="58"/>
      <c r="P2027" s="16">
        <v>1</v>
      </c>
      <c r="Q2027" s="20">
        <f t="shared" si="362"/>
        <v>36.08</v>
      </c>
      <c r="R2027" s="14">
        <v>250</v>
      </c>
      <c r="S2027" s="19">
        <f t="shared" si="363"/>
        <v>9020</v>
      </c>
      <c r="T2027" s="16"/>
      <c r="U2027" s="17"/>
      <c r="V2027" s="17"/>
      <c r="W2027" s="4"/>
      <c r="X2027" s="16"/>
      <c r="Y2027" s="5"/>
      <c r="Z2027" s="16"/>
      <c r="AA2027" s="16"/>
      <c r="AB2027" s="16"/>
      <c r="AC2027" s="14"/>
      <c r="AD2027" s="14"/>
      <c r="AE2027" s="16"/>
      <c r="AG2027" s="22">
        <f t="shared" si="364"/>
        <v>0</v>
      </c>
      <c r="AH2027" s="6"/>
      <c r="AJ2027" s="20">
        <f t="shared" si="365"/>
        <v>0</v>
      </c>
      <c r="AK2027" s="50"/>
      <c r="AL2027" s="6"/>
      <c r="AM2027" s="20">
        <f t="shared" si="366"/>
        <v>0</v>
      </c>
      <c r="AN2027" s="20">
        <f t="shared" si="361"/>
        <v>9020</v>
      </c>
      <c r="AP2027" s="20">
        <f t="shared" si="367"/>
        <v>9020</v>
      </c>
      <c r="AQ2027" s="7"/>
      <c r="AR2027" s="20"/>
      <c r="AS2027" s="51"/>
    </row>
    <row r="2028" spans="1:45" ht="30" customHeight="1" x14ac:dyDescent="0.2">
      <c r="A2028" s="8">
        <v>1733</v>
      </c>
      <c r="B2028" s="13">
        <v>8</v>
      </c>
      <c r="C2028" s="16" t="s">
        <v>65</v>
      </c>
      <c r="D2028" s="17">
        <v>883</v>
      </c>
      <c r="E2028" s="17">
        <v>169</v>
      </c>
      <c r="H2028" s="17">
        <v>8</v>
      </c>
      <c r="I2028" s="17">
        <v>3</v>
      </c>
      <c r="J2028" s="17">
        <v>10</v>
      </c>
      <c r="K2028" s="10">
        <v>3510</v>
      </c>
      <c r="P2028" s="17">
        <v>1</v>
      </c>
      <c r="Q2028" s="20">
        <f t="shared" si="362"/>
        <v>3510</v>
      </c>
      <c r="R2028" s="14">
        <v>200</v>
      </c>
      <c r="S2028" s="20">
        <f t="shared" si="363"/>
        <v>702000</v>
      </c>
      <c r="AE2028" s="17" t="s">
        <v>94</v>
      </c>
      <c r="AG2028" s="22">
        <f t="shared" si="364"/>
        <v>0</v>
      </c>
      <c r="AJ2028" s="20">
        <f t="shared" si="365"/>
        <v>0</v>
      </c>
      <c r="AM2028" s="20">
        <f t="shared" si="366"/>
        <v>0</v>
      </c>
      <c r="AN2028" s="20">
        <f t="shared" si="361"/>
        <v>702000</v>
      </c>
      <c r="AP2028" s="20">
        <f t="shared" si="367"/>
        <v>702000</v>
      </c>
      <c r="AQ2028" s="12">
        <v>1E-4</v>
      </c>
      <c r="AR2028" s="20"/>
    </row>
    <row r="2029" spans="1:45" ht="30" customHeight="1" x14ac:dyDescent="0.2">
      <c r="A2029" s="8">
        <v>1734</v>
      </c>
      <c r="B2029" s="13">
        <v>9</v>
      </c>
      <c r="C2029" s="16" t="s">
        <v>65</v>
      </c>
      <c r="D2029" s="17">
        <v>3365</v>
      </c>
      <c r="E2029" s="17">
        <v>602</v>
      </c>
      <c r="H2029" s="17">
        <v>0</v>
      </c>
      <c r="I2029" s="17">
        <v>0</v>
      </c>
      <c r="J2029" s="17">
        <v>40</v>
      </c>
      <c r="K2029" s="10">
        <v>40</v>
      </c>
      <c r="P2029" s="17">
        <v>1</v>
      </c>
      <c r="Q2029" s="20">
        <f t="shared" si="362"/>
        <v>40</v>
      </c>
      <c r="R2029" s="14">
        <v>250</v>
      </c>
      <c r="S2029" s="19">
        <f t="shared" si="363"/>
        <v>10000</v>
      </c>
      <c r="AE2029" s="17" t="s">
        <v>95</v>
      </c>
      <c r="AG2029" s="22">
        <f t="shared" si="364"/>
        <v>0</v>
      </c>
      <c r="AJ2029" s="20">
        <f t="shared" si="365"/>
        <v>0</v>
      </c>
      <c r="AM2029" s="20">
        <f t="shared" si="366"/>
        <v>0</v>
      </c>
      <c r="AN2029" s="20">
        <f t="shared" si="361"/>
        <v>10000</v>
      </c>
      <c r="AP2029" s="20">
        <f t="shared" si="367"/>
        <v>10000</v>
      </c>
      <c r="AQ2029" s="12">
        <v>1E-4</v>
      </c>
      <c r="AR2029" s="20"/>
    </row>
    <row r="2030" spans="1:45" s="21" customFormat="1" ht="30" customHeight="1" x14ac:dyDescent="0.2">
      <c r="A2030" s="8">
        <v>1735</v>
      </c>
      <c r="B2030" s="46">
        <v>10</v>
      </c>
      <c r="C2030" s="16" t="s">
        <v>52</v>
      </c>
      <c r="D2030" s="48">
        <v>31911</v>
      </c>
      <c r="E2030" s="47">
        <v>182</v>
      </c>
      <c r="F2030" s="48">
        <v>6138</v>
      </c>
      <c r="G2030" s="49">
        <v>2</v>
      </c>
      <c r="H2030" s="48">
        <v>0</v>
      </c>
      <c r="I2030" s="48">
        <v>0</v>
      </c>
      <c r="J2030" s="48">
        <v>41.01</v>
      </c>
      <c r="K2030" s="3"/>
      <c r="L2030" s="16">
        <v>41.01</v>
      </c>
      <c r="M2030" s="57"/>
      <c r="N2030" s="58"/>
      <c r="P2030" s="16">
        <v>2</v>
      </c>
      <c r="Q2030" s="20">
        <f t="shared" si="362"/>
        <v>41.01</v>
      </c>
      <c r="R2030" s="14">
        <v>4500</v>
      </c>
      <c r="S2030" s="19">
        <f t="shared" si="363"/>
        <v>184545</v>
      </c>
      <c r="T2030" s="16"/>
      <c r="U2030" s="17" t="s">
        <v>63</v>
      </c>
      <c r="V2030" s="17" t="s">
        <v>56</v>
      </c>
      <c r="W2030" s="4"/>
      <c r="X2030" s="16"/>
      <c r="Y2030" s="5">
        <v>95</v>
      </c>
      <c r="Z2030" s="16"/>
      <c r="AA2030" s="16"/>
      <c r="AB2030" s="16">
        <f>62-43</f>
        <v>19</v>
      </c>
      <c r="AC2030" s="14"/>
      <c r="AD2030" s="14"/>
      <c r="AE2030" s="16"/>
      <c r="AG2030" s="22">
        <f t="shared" si="364"/>
        <v>95</v>
      </c>
      <c r="AH2030" s="6"/>
      <c r="AJ2030" s="20">
        <f t="shared" si="365"/>
        <v>0</v>
      </c>
      <c r="AK2030" s="50">
        <v>19</v>
      </c>
      <c r="AL2030" s="6"/>
      <c r="AM2030" s="20">
        <f t="shared" si="366"/>
        <v>0</v>
      </c>
      <c r="AN2030" s="20">
        <f t="shared" si="361"/>
        <v>184545</v>
      </c>
      <c r="AP2030" s="20">
        <f t="shared" si="367"/>
        <v>184545</v>
      </c>
      <c r="AQ2030" s="7"/>
      <c r="AR2030" s="20"/>
      <c r="AS2030" s="51"/>
    </row>
    <row r="2031" spans="1:45" s="21" customFormat="1" ht="30" customHeight="1" x14ac:dyDescent="0.2">
      <c r="A2031" s="8">
        <v>1736</v>
      </c>
      <c r="B2031" s="46">
        <v>1</v>
      </c>
      <c r="C2031" s="16" t="s">
        <v>52</v>
      </c>
      <c r="D2031" s="48">
        <v>31913</v>
      </c>
      <c r="E2031" s="47">
        <v>184</v>
      </c>
      <c r="F2031" s="48">
        <v>6140</v>
      </c>
      <c r="G2031" s="49">
        <v>2</v>
      </c>
      <c r="H2031" s="48">
        <v>0</v>
      </c>
      <c r="I2031" s="48">
        <v>0</v>
      </c>
      <c r="J2031" s="48">
        <v>77.05</v>
      </c>
      <c r="K2031" s="3"/>
      <c r="L2031" s="16">
        <v>77.05</v>
      </c>
      <c r="M2031" s="57"/>
      <c r="N2031" s="58"/>
      <c r="P2031" s="16">
        <v>2</v>
      </c>
      <c r="Q2031" s="20">
        <f t="shared" si="362"/>
        <v>77.05</v>
      </c>
      <c r="R2031" s="14">
        <v>4500</v>
      </c>
      <c r="S2031" s="20">
        <f t="shared" si="363"/>
        <v>346725</v>
      </c>
      <c r="T2031" s="16"/>
      <c r="U2031" s="17" t="s">
        <v>63</v>
      </c>
      <c r="V2031" s="17" t="s">
        <v>56</v>
      </c>
      <c r="W2031" s="4"/>
      <c r="X2031" s="16"/>
      <c r="Y2031" s="5">
        <v>95</v>
      </c>
      <c r="Z2031" s="16"/>
      <c r="AA2031" s="16"/>
      <c r="AB2031" s="16">
        <f>62-43</f>
        <v>19</v>
      </c>
      <c r="AE2031" s="16"/>
      <c r="AG2031" s="22">
        <f t="shared" si="364"/>
        <v>95</v>
      </c>
      <c r="AH2031" s="6"/>
      <c r="AJ2031" s="20">
        <f t="shared" si="365"/>
        <v>0</v>
      </c>
      <c r="AK2031" s="50">
        <v>19</v>
      </c>
      <c r="AL2031" s="6"/>
      <c r="AM2031" s="20">
        <f t="shared" si="366"/>
        <v>0</v>
      </c>
      <c r="AN2031" s="20">
        <f t="shared" si="361"/>
        <v>346725</v>
      </c>
      <c r="AP2031" s="20">
        <f t="shared" si="367"/>
        <v>346725</v>
      </c>
      <c r="AQ2031" s="7"/>
      <c r="AR2031" s="20"/>
      <c r="AS2031" s="51"/>
    </row>
    <row r="2032" spans="1:45" s="21" customFormat="1" ht="30" customHeight="1" x14ac:dyDescent="0.2">
      <c r="A2032" s="8">
        <v>1737</v>
      </c>
      <c r="B2032" s="46">
        <v>2</v>
      </c>
      <c r="C2032" s="16" t="s">
        <v>52</v>
      </c>
      <c r="D2032" s="48">
        <v>1214</v>
      </c>
      <c r="E2032" s="47">
        <v>21</v>
      </c>
      <c r="F2032" s="48">
        <v>1386</v>
      </c>
      <c r="G2032" s="49">
        <v>2</v>
      </c>
      <c r="H2032" s="48">
        <v>1</v>
      </c>
      <c r="I2032" s="48">
        <v>0</v>
      </c>
      <c r="J2032" s="48">
        <v>60</v>
      </c>
      <c r="K2032" s="3">
        <v>460</v>
      </c>
      <c r="L2032" s="16"/>
      <c r="M2032" s="57"/>
      <c r="N2032" s="58"/>
      <c r="P2032" s="16">
        <v>1</v>
      </c>
      <c r="Q2032" s="20">
        <f t="shared" si="362"/>
        <v>460</v>
      </c>
      <c r="R2032" s="14">
        <v>250</v>
      </c>
      <c r="S2032" s="19">
        <f t="shared" si="363"/>
        <v>115000</v>
      </c>
      <c r="T2032" s="16"/>
      <c r="U2032" s="16"/>
      <c r="V2032" s="16"/>
      <c r="W2032" s="5"/>
      <c r="X2032" s="16"/>
      <c r="Y2032" s="5"/>
      <c r="Z2032" s="16"/>
      <c r="AA2032" s="16"/>
      <c r="AB2032" s="16"/>
      <c r="AE2032" s="16"/>
      <c r="AG2032" s="22">
        <f t="shared" si="364"/>
        <v>0</v>
      </c>
      <c r="AH2032" s="6"/>
      <c r="AJ2032" s="20">
        <f t="shared" si="365"/>
        <v>0</v>
      </c>
      <c r="AK2032" s="50"/>
      <c r="AL2032" s="6"/>
      <c r="AM2032" s="20">
        <f t="shared" si="366"/>
        <v>0</v>
      </c>
      <c r="AN2032" s="20">
        <f t="shared" si="361"/>
        <v>115000</v>
      </c>
      <c r="AP2032" s="20">
        <f t="shared" si="367"/>
        <v>115000</v>
      </c>
      <c r="AQ2032" s="7"/>
      <c r="AR2032" s="20"/>
      <c r="AS2032" s="51"/>
    </row>
    <row r="2033" spans="1:45" ht="30" customHeight="1" x14ac:dyDescent="0.2">
      <c r="A2033" s="8">
        <v>1738</v>
      </c>
      <c r="B2033" s="13">
        <v>3</v>
      </c>
      <c r="C2033" s="16" t="s">
        <v>69</v>
      </c>
      <c r="E2033" s="17">
        <v>1513</v>
      </c>
      <c r="F2033" s="17">
        <v>6</v>
      </c>
      <c r="G2033" s="13">
        <v>2</v>
      </c>
      <c r="H2033" s="17">
        <v>6</v>
      </c>
      <c r="I2033" s="17">
        <v>2</v>
      </c>
      <c r="J2033" s="17">
        <v>73</v>
      </c>
      <c r="K2033" s="10">
        <v>2673</v>
      </c>
      <c r="P2033" s="17">
        <v>1</v>
      </c>
      <c r="Q2033" s="20">
        <f>+(H2033*400)+(I2033*100)+J2033</f>
        <v>2673</v>
      </c>
      <c r="R2033" s="14">
        <v>160</v>
      </c>
      <c r="S2033" s="20">
        <f>+Q2033*R2033</f>
        <v>427680</v>
      </c>
      <c r="AG2033" s="22">
        <f>Y2033</f>
        <v>0</v>
      </c>
      <c r="AJ2033" s="20">
        <f>+AG2033*AH2033*AI2033</f>
        <v>0</v>
      </c>
      <c r="AM2033" s="20">
        <f>+AJ2033-(AL2033*AJ2033)</f>
        <v>0</v>
      </c>
      <c r="AN2033" s="20">
        <f t="shared" si="361"/>
        <v>427680</v>
      </c>
      <c r="AP2033" s="20">
        <f>AN2033</f>
        <v>427680</v>
      </c>
      <c r="AQ2033" s="12">
        <v>1E-4</v>
      </c>
      <c r="AR2033" s="20"/>
    </row>
    <row r="2034" spans="1:45" ht="30" customHeight="1" x14ac:dyDescent="0.2">
      <c r="A2034" s="8">
        <v>1739</v>
      </c>
      <c r="B2034" s="13">
        <v>4</v>
      </c>
      <c r="C2034" s="16" t="s">
        <v>69</v>
      </c>
      <c r="E2034" s="17">
        <v>1513</v>
      </c>
      <c r="F2034" s="17">
        <v>14</v>
      </c>
      <c r="G2034" s="13">
        <v>2</v>
      </c>
      <c r="H2034" s="17">
        <v>9</v>
      </c>
      <c r="I2034" s="17">
        <v>1</v>
      </c>
      <c r="J2034" s="17">
        <v>52</v>
      </c>
      <c r="K2034" s="10">
        <v>3752</v>
      </c>
      <c r="P2034" s="17">
        <v>1</v>
      </c>
      <c r="Q2034" s="20">
        <f>+(H2034*400)+(I2034*100)+J2034</f>
        <v>3752</v>
      </c>
      <c r="R2034" s="14">
        <v>160</v>
      </c>
      <c r="S2034" s="19">
        <f>+Q2034*R2034</f>
        <v>600320</v>
      </c>
      <c r="AG2034" s="22">
        <f>Y2034</f>
        <v>0</v>
      </c>
      <c r="AJ2034" s="20">
        <f>+AG2034*AH2034*AI2034</f>
        <v>0</v>
      </c>
      <c r="AM2034" s="20">
        <f>+AJ2034-(AL2034*AJ2034)</f>
        <v>0</v>
      </c>
      <c r="AN2034" s="20">
        <f t="shared" si="361"/>
        <v>600320</v>
      </c>
      <c r="AP2034" s="20">
        <f>AN2034</f>
        <v>600320</v>
      </c>
      <c r="AQ2034" s="12">
        <v>1E-4</v>
      </c>
      <c r="AR2034" s="20"/>
    </row>
    <row r="2035" spans="1:45" ht="30" customHeight="1" x14ac:dyDescent="0.2">
      <c r="A2035" s="8">
        <v>1740</v>
      </c>
      <c r="B2035" s="13">
        <v>3</v>
      </c>
      <c r="C2035" s="16" t="s">
        <v>65</v>
      </c>
      <c r="D2035" s="17">
        <v>3367</v>
      </c>
      <c r="E2035" s="17">
        <v>604</v>
      </c>
      <c r="H2035" s="17">
        <v>0</v>
      </c>
      <c r="I2035" s="17">
        <v>0</v>
      </c>
      <c r="J2035" s="17">
        <v>72</v>
      </c>
      <c r="K2035" s="10">
        <v>72</v>
      </c>
      <c r="P2035" s="17">
        <v>1</v>
      </c>
      <c r="Q2035" s="20">
        <f t="shared" si="362"/>
        <v>72</v>
      </c>
      <c r="R2035" s="14">
        <v>200</v>
      </c>
      <c r="S2035" s="19">
        <f t="shared" si="363"/>
        <v>14400</v>
      </c>
      <c r="AC2035" s="21"/>
      <c r="AD2035" s="21"/>
      <c r="AE2035" s="17" t="s">
        <v>95</v>
      </c>
      <c r="AG2035" s="22">
        <f t="shared" si="364"/>
        <v>0</v>
      </c>
      <c r="AJ2035" s="20">
        <f t="shared" si="365"/>
        <v>0</v>
      </c>
      <c r="AM2035" s="20">
        <f t="shared" si="366"/>
        <v>0</v>
      </c>
      <c r="AN2035" s="20">
        <f t="shared" si="361"/>
        <v>14400</v>
      </c>
      <c r="AP2035" s="20">
        <f t="shared" si="367"/>
        <v>14400</v>
      </c>
      <c r="AQ2035" s="12">
        <v>1E-4</v>
      </c>
      <c r="AR2035" s="20"/>
    </row>
    <row r="2036" spans="1:45" s="21" customFormat="1" ht="30" customHeight="1" x14ac:dyDescent="0.2">
      <c r="A2036" s="8">
        <v>1741</v>
      </c>
      <c r="B2036" s="46">
        <v>1</v>
      </c>
      <c r="C2036" s="16" t="s">
        <v>52</v>
      </c>
      <c r="D2036" s="48">
        <v>31925</v>
      </c>
      <c r="E2036" s="47">
        <v>202</v>
      </c>
      <c r="F2036" s="48">
        <v>6152</v>
      </c>
      <c r="G2036" s="49">
        <v>2</v>
      </c>
      <c r="H2036" s="48">
        <v>0</v>
      </c>
      <c r="I2036" s="48">
        <v>0</v>
      </c>
      <c r="J2036" s="48">
        <v>83.07</v>
      </c>
      <c r="K2036" s="3"/>
      <c r="L2036" s="16">
        <v>83.07</v>
      </c>
      <c r="M2036" s="57"/>
      <c r="N2036" s="58"/>
      <c r="P2036" s="16">
        <v>2</v>
      </c>
      <c r="Q2036" s="20">
        <f t="shared" si="362"/>
        <v>83.07</v>
      </c>
      <c r="R2036" s="14">
        <v>250</v>
      </c>
      <c r="S2036" s="19">
        <f t="shared" si="363"/>
        <v>20767.5</v>
      </c>
      <c r="T2036" s="16"/>
      <c r="U2036" s="17" t="s">
        <v>57</v>
      </c>
      <c r="V2036" s="16" t="s">
        <v>56</v>
      </c>
      <c r="W2036" s="5"/>
      <c r="X2036" s="16"/>
      <c r="Y2036" s="5">
        <v>136</v>
      </c>
      <c r="Z2036" s="16"/>
      <c r="AA2036" s="16"/>
      <c r="AB2036" s="16">
        <f>62-37</f>
        <v>25</v>
      </c>
      <c r="AE2036" s="16"/>
      <c r="AG2036" s="22">
        <f t="shared" si="364"/>
        <v>136</v>
      </c>
      <c r="AH2036" s="6"/>
      <c r="AJ2036" s="20">
        <f t="shared" si="365"/>
        <v>0</v>
      </c>
      <c r="AK2036" s="50">
        <v>25</v>
      </c>
      <c r="AL2036" s="6"/>
      <c r="AM2036" s="20">
        <f t="shared" si="366"/>
        <v>0</v>
      </c>
      <c r="AN2036" s="20">
        <f t="shared" si="361"/>
        <v>20767.5</v>
      </c>
      <c r="AP2036" s="20">
        <f t="shared" si="367"/>
        <v>20767.5</v>
      </c>
      <c r="AQ2036" s="7"/>
      <c r="AR2036" s="20"/>
      <c r="AS2036" s="51"/>
    </row>
    <row r="2037" spans="1:45" ht="30" customHeight="1" x14ac:dyDescent="0.2">
      <c r="A2037" s="8">
        <v>1742</v>
      </c>
      <c r="B2037" s="13">
        <v>2</v>
      </c>
      <c r="C2037" s="16" t="s">
        <v>69</v>
      </c>
      <c r="E2037" s="17">
        <v>1513</v>
      </c>
      <c r="F2037" s="17">
        <v>13</v>
      </c>
      <c r="G2037" s="13">
        <v>2</v>
      </c>
      <c r="H2037" s="17">
        <v>4</v>
      </c>
      <c r="I2037" s="17">
        <v>3</v>
      </c>
      <c r="J2037" s="17">
        <v>79</v>
      </c>
      <c r="K2037" s="10">
        <v>1979</v>
      </c>
      <c r="P2037" s="17">
        <v>1</v>
      </c>
      <c r="Q2037" s="20">
        <f>+(H2037*400)+(I2037*100)+J2037</f>
        <v>1979</v>
      </c>
      <c r="R2037" s="14">
        <v>160</v>
      </c>
      <c r="S2037" s="19">
        <f>+Q2037*R2037</f>
        <v>316640</v>
      </c>
      <c r="AG2037" s="22">
        <f>Y2037</f>
        <v>0</v>
      </c>
      <c r="AJ2037" s="20">
        <f>+AG2037*AH2037*AI2037</f>
        <v>0</v>
      </c>
      <c r="AM2037" s="20">
        <f>+AJ2037-(AL2037*AJ2037)</f>
        <v>0</v>
      </c>
      <c r="AN2037" s="20">
        <f t="shared" si="361"/>
        <v>316640</v>
      </c>
      <c r="AP2037" s="20">
        <f>AN2037</f>
        <v>316640</v>
      </c>
      <c r="AQ2037" s="12">
        <v>1E-4</v>
      </c>
      <c r="AR2037" s="20"/>
    </row>
    <row r="2038" spans="1:45" ht="30" customHeight="1" x14ac:dyDescent="0.2">
      <c r="A2038" s="8">
        <v>1743</v>
      </c>
      <c r="B2038" s="13">
        <v>2</v>
      </c>
      <c r="C2038" s="16" t="s">
        <v>65</v>
      </c>
      <c r="D2038" s="17">
        <v>3374</v>
      </c>
      <c r="E2038" s="17">
        <v>611</v>
      </c>
      <c r="H2038" s="17">
        <v>0</v>
      </c>
      <c r="I2038" s="17">
        <v>0</v>
      </c>
      <c r="J2038" s="17">
        <v>62</v>
      </c>
      <c r="K2038" s="10">
        <v>62</v>
      </c>
      <c r="P2038" s="17">
        <v>1</v>
      </c>
      <c r="Q2038" s="20">
        <f t="shared" si="362"/>
        <v>62</v>
      </c>
      <c r="R2038" s="14">
        <v>200</v>
      </c>
      <c r="S2038" s="20">
        <f t="shared" si="363"/>
        <v>12400</v>
      </c>
      <c r="AG2038" s="22">
        <f t="shared" si="364"/>
        <v>0</v>
      </c>
      <c r="AJ2038" s="20">
        <f t="shared" si="365"/>
        <v>0</v>
      </c>
      <c r="AM2038" s="20">
        <f t="shared" si="366"/>
        <v>0</v>
      </c>
      <c r="AN2038" s="20">
        <f t="shared" si="361"/>
        <v>12400</v>
      </c>
      <c r="AP2038" s="20">
        <f t="shared" si="367"/>
        <v>12400</v>
      </c>
      <c r="AQ2038" s="12">
        <v>1E-4</v>
      </c>
      <c r="AR2038" s="20"/>
    </row>
    <row r="2039" spans="1:45" ht="30" customHeight="1" x14ac:dyDescent="0.2">
      <c r="A2039" s="8"/>
      <c r="C2039" s="16"/>
      <c r="Q2039" s="20"/>
      <c r="AC2039" s="21"/>
      <c r="AD2039" s="21"/>
      <c r="AG2039" s="22"/>
      <c r="AJ2039" s="20"/>
      <c r="AM2039" s="20"/>
      <c r="AN2039" s="20"/>
      <c r="AP2039" s="20"/>
      <c r="AR2039" s="20"/>
    </row>
    <row r="2040" spans="1:45" s="21" customFormat="1" ht="30" customHeight="1" x14ac:dyDescent="0.2">
      <c r="A2040" s="8">
        <v>1744</v>
      </c>
      <c r="B2040" s="46">
        <v>1</v>
      </c>
      <c r="C2040" s="16" t="s">
        <v>52</v>
      </c>
      <c r="D2040" s="48">
        <v>31924</v>
      </c>
      <c r="E2040" s="47">
        <v>201</v>
      </c>
      <c r="F2040" s="48">
        <v>6151</v>
      </c>
      <c r="G2040" s="49">
        <v>2</v>
      </c>
      <c r="H2040" s="48">
        <v>0</v>
      </c>
      <c r="I2040" s="48">
        <v>0</v>
      </c>
      <c r="J2040" s="48">
        <v>89.01</v>
      </c>
      <c r="K2040" s="3"/>
      <c r="L2040" s="16">
        <v>89.01</v>
      </c>
      <c r="M2040" s="57"/>
      <c r="N2040" s="58"/>
      <c r="P2040" s="16">
        <v>2</v>
      </c>
      <c r="Q2040" s="20">
        <f t="shared" si="362"/>
        <v>89.01</v>
      </c>
      <c r="R2040" s="14">
        <v>250</v>
      </c>
      <c r="S2040" s="20">
        <f t="shared" si="363"/>
        <v>22252.5</v>
      </c>
      <c r="T2040" s="16"/>
      <c r="U2040" s="17" t="s">
        <v>57</v>
      </c>
      <c r="V2040" s="17" t="s">
        <v>56</v>
      </c>
      <c r="W2040" s="4"/>
      <c r="X2040" s="16"/>
      <c r="Y2040" s="5">
        <v>100</v>
      </c>
      <c r="Z2040" s="16"/>
      <c r="AA2040" s="16"/>
      <c r="AB2040" s="16">
        <f>62-54</f>
        <v>8</v>
      </c>
      <c r="AE2040" s="16"/>
      <c r="AG2040" s="22">
        <f t="shared" si="364"/>
        <v>100</v>
      </c>
      <c r="AH2040" s="6"/>
      <c r="AJ2040" s="20">
        <f t="shared" si="365"/>
        <v>0</v>
      </c>
      <c r="AK2040" s="50">
        <v>8</v>
      </c>
      <c r="AL2040" s="6"/>
      <c r="AM2040" s="20">
        <f t="shared" si="366"/>
        <v>0</v>
      </c>
      <c r="AN2040" s="20">
        <f t="shared" si="361"/>
        <v>22252.5</v>
      </c>
      <c r="AP2040" s="20">
        <f t="shared" si="367"/>
        <v>22252.5</v>
      </c>
      <c r="AQ2040" s="7"/>
      <c r="AR2040" s="20"/>
      <c r="AS2040" s="51"/>
    </row>
    <row r="2041" spans="1:45" s="21" customFormat="1" ht="30" customHeight="1" x14ac:dyDescent="0.2">
      <c r="A2041" s="8">
        <v>1745</v>
      </c>
      <c r="B2041" s="46">
        <v>2</v>
      </c>
      <c r="C2041" s="16" t="s">
        <v>52</v>
      </c>
      <c r="D2041" s="48">
        <v>1192</v>
      </c>
      <c r="E2041" s="47">
        <v>12</v>
      </c>
      <c r="F2041" s="48">
        <v>910</v>
      </c>
      <c r="G2041" s="49">
        <v>2</v>
      </c>
      <c r="H2041" s="48">
        <v>0</v>
      </c>
      <c r="I2041" s="48">
        <v>0</v>
      </c>
      <c r="J2041" s="48">
        <v>69</v>
      </c>
      <c r="K2041" s="3"/>
      <c r="L2041" s="16">
        <v>69</v>
      </c>
      <c r="M2041" s="57"/>
      <c r="N2041" s="58"/>
      <c r="P2041" s="16">
        <v>2</v>
      </c>
      <c r="Q2041" s="20">
        <f t="shared" si="362"/>
        <v>69</v>
      </c>
      <c r="R2041" s="14">
        <v>2000</v>
      </c>
      <c r="S2041" s="19">
        <f t="shared" si="363"/>
        <v>138000</v>
      </c>
      <c r="T2041" s="16"/>
      <c r="U2041" s="17" t="s">
        <v>57</v>
      </c>
      <c r="V2041" s="17" t="s">
        <v>56</v>
      </c>
      <c r="W2041" s="4"/>
      <c r="X2041" s="16"/>
      <c r="Y2041" s="5">
        <v>105</v>
      </c>
      <c r="Z2041" s="16"/>
      <c r="AA2041" s="16"/>
      <c r="AB2041" s="16">
        <f>62-41</f>
        <v>21</v>
      </c>
      <c r="AE2041" s="16"/>
      <c r="AG2041" s="22">
        <f t="shared" si="364"/>
        <v>105</v>
      </c>
      <c r="AH2041" s="6"/>
      <c r="AJ2041" s="20">
        <f t="shared" si="365"/>
        <v>0</v>
      </c>
      <c r="AK2041" s="50">
        <v>21</v>
      </c>
      <c r="AL2041" s="6"/>
      <c r="AM2041" s="20">
        <f t="shared" si="366"/>
        <v>0</v>
      </c>
      <c r="AN2041" s="20">
        <f t="shared" si="361"/>
        <v>138000</v>
      </c>
      <c r="AP2041" s="20">
        <f t="shared" si="367"/>
        <v>138000</v>
      </c>
      <c r="AQ2041" s="7"/>
      <c r="AR2041" s="20"/>
      <c r="AS2041" s="51"/>
    </row>
    <row r="2042" spans="1:45" ht="30" customHeight="1" x14ac:dyDescent="0.2">
      <c r="A2042" s="8">
        <v>1746</v>
      </c>
      <c r="B2042" s="13">
        <v>3</v>
      </c>
      <c r="C2042" s="16" t="s">
        <v>69</v>
      </c>
      <c r="E2042" s="17">
        <v>1516</v>
      </c>
      <c r="F2042" s="17">
        <v>17</v>
      </c>
      <c r="G2042" s="13">
        <v>2</v>
      </c>
      <c r="H2042" s="17">
        <v>8</v>
      </c>
      <c r="I2042" s="17">
        <v>0</v>
      </c>
      <c r="J2042" s="17">
        <v>34</v>
      </c>
      <c r="K2042" s="10">
        <v>3234</v>
      </c>
      <c r="P2042" s="17">
        <v>1</v>
      </c>
      <c r="Q2042" s="20">
        <f t="shared" si="362"/>
        <v>3234</v>
      </c>
      <c r="R2042" s="14">
        <v>160</v>
      </c>
      <c r="S2042" s="19">
        <f t="shared" si="363"/>
        <v>517440</v>
      </c>
      <c r="AG2042" s="22">
        <f t="shared" si="364"/>
        <v>0</v>
      </c>
      <c r="AJ2042" s="20">
        <f t="shared" si="365"/>
        <v>0</v>
      </c>
      <c r="AM2042" s="20">
        <f t="shared" si="366"/>
        <v>0</v>
      </c>
      <c r="AN2042" s="20">
        <f t="shared" si="361"/>
        <v>517440</v>
      </c>
      <c r="AP2042" s="20">
        <f t="shared" si="367"/>
        <v>517440</v>
      </c>
      <c r="AQ2042" s="12">
        <v>1E-4</v>
      </c>
      <c r="AR2042" s="20"/>
    </row>
    <row r="2043" spans="1:45" s="21" customFormat="1" ht="30" customHeight="1" x14ac:dyDescent="0.2">
      <c r="A2043" s="8">
        <v>1747</v>
      </c>
      <c r="B2043" s="46">
        <v>1</v>
      </c>
      <c r="C2043" s="16" t="s">
        <v>52</v>
      </c>
      <c r="D2043" s="48">
        <v>33770</v>
      </c>
      <c r="E2043" s="47">
        <v>124</v>
      </c>
      <c r="F2043" s="48">
        <v>6748</v>
      </c>
      <c r="G2043" s="49">
        <v>3</v>
      </c>
      <c r="H2043" s="48">
        <v>0</v>
      </c>
      <c r="I2043" s="48">
        <v>1</v>
      </c>
      <c r="J2043" s="48">
        <v>39</v>
      </c>
      <c r="K2043" s="3"/>
      <c r="L2043" s="16">
        <v>139</v>
      </c>
      <c r="M2043" s="57"/>
      <c r="N2043" s="58"/>
      <c r="P2043" s="16">
        <v>2</v>
      </c>
      <c r="Q2043" s="20">
        <f t="shared" si="362"/>
        <v>139</v>
      </c>
      <c r="R2043" s="14">
        <v>250</v>
      </c>
      <c r="S2043" s="20">
        <f t="shared" si="363"/>
        <v>34750</v>
      </c>
      <c r="T2043" s="16"/>
      <c r="U2043" s="17" t="s">
        <v>57</v>
      </c>
      <c r="V2043" s="17" t="s">
        <v>56</v>
      </c>
      <c r="W2043" s="4"/>
      <c r="X2043" s="16"/>
      <c r="Y2043" s="5">
        <v>98</v>
      </c>
      <c r="Z2043" s="16"/>
      <c r="AA2043" s="16"/>
      <c r="AB2043" s="16">
        <f>62-43</f>
        <v>19</v>
      </c>
      <c r="AE2043" s="16"/>
      <c r="AG2043" s="22">
        <f t="shared" si="364"/>
        <v>98</v>
      </c>
      <c r="AH2043" s="6"/>
      <c r="AJ2043" s="20">
        <f t="shared" si="365"/>
        <v>0</v>
      </c>
      <c r="AK2043" s="50">
        <v>19</v>
      </c>
      <c r="AL2043" s="6"/>
      <c r="AM2043" s="20">
        <f t="shared" si="366"/>
        <v>0</v>
      </c>
      <c r="AN2043" s="20">
        <f t="shared" si="361"/>
        <v>34750</v>
      </c>
      <c r="AP2043" s="20">
        <f t="shared" si="367"/>
        <v>34750</v>
      </c>
      <c r="AQ2043" s="7"/>
      <c r="AR2043" s="20"/>
      <c r="AS2043" s="51"/>
    </row>
    <row r="2044" spans="1:45" s="21" customFormat="1" ht="30" customHeight="1" x14ac:dyDescent="0.2">
      <c r="A2044" s="8">
        <v>1748</v>
      </c>
      <c r="B2044" s="46">
        <v>1</v>
      </c>
      <c r="C2044" s="16" t="s">
        <v>52</v>
      </c>
      <c r="D2044" s="48">
        <v>31929</v>
      </c>
      <c r="E2044" s="47">
        <v>200</v>
      </c>
      <c r="F2044" s="48">
        <v>6156</v>
      </c>
      <c r="G2044" s="49">
        <v>2</v>
      </c>
      <c r="H2044" s="48">
        <v>0</v>
      </c>
      <c r="I2044" s="48">
        <v>0</v>
      </c>
      <c r="J2044" s="48">
        <v>82.08</v>
      </c>
      <c r="K2044" s="3"/>
      <c r="L2044" s="16"/>
      <c r="M2044" s="57"/>
      <c r="N2044" s="58"/>
      <c r="P2044" s="16">
        <v>2</v>
      </c>
      <c r="Q2044" s="20">
        <f t="shared" si="362"/>
        <v>82.08</v>
      </c>
      <c r="R2044" s="14">
        <v>250</v>
      </c>
      <c r="S2044" s="19">
        <f t="shared" si="363"/>
        <v>20520</v>
      </c>
      <c r="T2044" s="16"/>
      <c r="U2044" s="17"/>
      <c r="V2044" s="17"/>
      <c r="W2044" s="4"/>
      <c r="X2044" s="16"/>
      <c r="Y2044" s="5">
        <v>108</v>
      </c>
      <c r="Z2044" s="16"/>
      <c r="AA2044" s="16"/>
      <c r="AB2044" s="16">
        <f>62-38</f>
        <v>24</v>
      </c>
      <c r="AE2044" s="16"/>
      <c r="AG2044" s="22">
        <f t="shared" si="364"/>
        <v>108</v>
      </c>
      <c r="AH2044" s="6"/>
      <c r="AJ2044" s="20">
        <f t="shared" si="365"/>
        <v>0</v>
      </c>
      <c r="AK2044" s="50">
        <v>24</v>
      </c>
      <c r="AL2044" s="6"/>
      <c r="AM2044" s="20">
        <f t="shared" si="366"/>
        <v>0</v>
      </c>
      <c r="AN2044" s="20">
        <f t="shared" si="361"/>
        <v>20520</v>
      </c>
      <c r="AP2044" s="20">
        <f t="shared" si="367"/>
        <v>20520</v>
      </c>
      <c r="AQ2044" s="7"/>
      <c r="AR2044" s="60"/>
      <c r="AS2044" s="128">
        <v>41</v>
      </c>
    </row>
    <row r="2045" spans="1:45" ht="30" customHeight="1" x14ac:dyDescent="0.2">
      <c r="A2045" s="8">
        <v>1749</v>
      </c>
      <c r="B2045" s="13">
        <v>2</v>
      </c>
      <c r="C2045" s="16" t="s">
        <v>65</v>
      </c>
      <c r="D2045" s="17">
        <v>3364</v>
      </c>
      <c r="E2045" s="17">
        <v>601</v>
      </c>
      <c r="H2045" s="17">
        <v>0</v>
      </c>
      <c r="I2045" s="17">
        <v>0</v>
      </c>
      <c r="J2045" s="17">
        <v>51</v>
      </c>
      <c r="K2045" s="10">
        <v>51</v>
      </c>
      <c r="P2045" s="17">
        <v>1</v>
      </c>
      <c r="Q2045" s="20">
        <f t="shared" si="362"/>
        <v>51</v>
      </c>
      <c r="R2045" s="14">
        <v>160</v>
      </c>
      <c r="S2045" s="19">
        <f t="shared" si="363"/>
        <v>8160</v>
      </c>
      <c r="AC2045" s="21"/>
      <c r="AD2045" s="21"/>
      <c r="AG2045" s="22">
        <f t="shared" si="364"/>
        <v>0</v>
      </c>
      <c r="AJ2045" s="20">
        <f t="shared" si="365"/>
        <v>0</v>
      </c>
      <c r="AM2045" s="20">
        <f t="shared" si="366"/>
        <v>0</v>
      </c>
      <c r="AN2045" s="20">
        <f t="shared" si="361"/>
        <v>8160</v>
      </c>
      <c r="AP2045" s="20">
        <f t="shared" si="367"/>
        <v>8160</v>
      </c>
      <c r="AQ2045" s="12">
        <v>1E-4</v>
      </c>
      <c r="AR2045" s="24"/>
      <c r="AS2045" s="129"/>
    </row>
    <row r="2046" spans="1:45" ht="30" customHeight="1" x14ac:dyDescent="0.2">
      <c r="A2046" s="8">
        <v>1750</v>
      </c>
      <c r="B2046" s="13">
        <v>3</v>
      </c>
      <c r="C2046" s="16" t="s">
        <v>69</v>
      </c>
      <c r="E2046" s="17">
        <v>1513</v>
      </c>
      <c r="F2046" s="17">
        <v>10</v>
      </c>
      <c r="G2046" s="13">
        <v>2</v>
      </c>
      <c r="H2046" s="17">
        <v>13</v>
      </c>
      <c r="I2046" s="17">
        <v>3</v>
      </c>
      <c r="J2046" s="17">
        <v>95</v>
      </c>
      <c r="K2046" s="10">
        <v>5595</v>
      </c>
      <c r="P2046" s="17">
        <v>1</v>
      </c>
      <c r="Q2046" s="20">
        <f t="shared" si="362"/>
        <v>5595</v>
      </c>
      <c r="R2046" s="14">
        <v>160</v>
      </c>
      <c r="S2046" s="20">
        <f t="shared" si="363"/>
        <v>895200</v>
      </c>
      <c r="AG2046" s="22">
        <f t="shared" si="364"/>
        <v>0</v>
      </c>
      <c r="AJ2046" s="20">
        <f t="shared" si="365"/>
        <v>0</v>
      </c>
      <c r="AM2046" s="20">
        <f t="shared" si="366"/>
        <v>0</v>
      </c>
      <c r="AN2046" s="20">
        <f t="shared" si="361"/>
        <v>895200</v>
      </c>
      <c r="AP2046" s="20">
        <f t="shared" si="367"/>
        <v>895200</v>
      </c>
      <c r="AQ2046" s="12">
        <v>1E-4</v>
      </c>
      <c r="AR2046" s="25"/>
      <c r="AS2046" s="130"/>
    </row>
    <row r="2047" spans="1:45" s="21" customFormat="1" ht="30" customHeight="1" x14ac:dyDescent="0.2">
      <c r="A2047" s="8">
        <v>1751</v>
      </c>
      <c r="B2047" s="46">
        <v>1</v>
      </c>
      <c r="C2047" s="16" t="s">
        <v>52</v>
      </c>
      <c r="D2047" s="48">
        <v>1853</v>
      </c>
      <c r="E2047" s="47">
        <v>123</v>
      </c>
      <c r="F2047" s="48">
        <v>1243</v>
      </c>
      <c r="G2047" s="49"/>
      <c r="H2047" s="48">
        <v>2</v>
      </c>
      <c r="I2047" s="48">
        <v>3</v>
      </c>
      <c r="J2047" s="48">
        <v>65</v>
      </c>
      <c r="K2047" s="3">
        <v>1165</v>
      </c>
      <c r="L2047" s="16"/>
      <c r="M2047" s="57"/>
      <c r="N2047" s="58"/>
      <c r="P2047" s="16">
        <v>1</v>
      </c>
      <c r="Q2047" s="20">
        <f t="shared" si="362"/>
        <v>1165</v>
      </c>
      <c r="R2047" s="14">
        <v>160</v>
      </c>
      <c r="S2047" s="19">
        <f t="shared" si="363"/>
        <v>186400</v>
      </c>
      <c r="T2047" s="16"/>
      <c r="U2047" s="17"/>
      <c r="V2047" s="17"/>
      <c r="W2047" s="5"/>
      <c r="X2047" s="16"/>
      <c r="Y2047" s="5"/>
      <c r="Z2047" s="16"/>
      <c r="AA2047" s="16"/>
      <c r="AB2047" s="16"/>
      <c r="AE2047" s="16"/>
      <c r="AG2047" s="22">
        <f t="shared" si="364"/>
        <v>0</v>
      </c>
      <c r="AH2047" s="6"/>
      <c r="AJ2047" s="20">
        <f t="shared" si="365"/>
        <v>0</v>
      </c>
      <c r="AK2047" s="50"/>
      <c r="AL2047" s="6"/>
      <c r="AM2047" s="20">
        <f t="shared" si="366"/>
        <v>0</v>
      </c>
      <c r="AN2047" s="20">
        <f t="shared" si="361"/>
        <v>186400</v>
      </c>
      <c r="AP2047" s="20">
        <f t="shared" si="367"/>
        <v>186400</v>
      </c>
      <c r="AQ2047" s="7"/>
      <c r="AR2047" s="20"/>
      <c r="AS2047" s="51"/>
    </row>
    <row r="2048" spans="1:45" s="21" customFormat="1" ht="30" customHeight="1" x14ac:dyDescent="0.2">
      <c r="A2048" s="8">
        <v>1752</v>
      </c>
      <c r="B2048" s="46">
        <v>1</v>
      </c>
      <c r="C2048" s="16" t="s">
        <v>52</v>
      </c>
      <c r="D2048" s="48">
        <v>30964</v>
      </c>
      <c r="E2048" s="47">
        <v>102</v>
      </c>
      <c r="F2048" s="48">
        <v>5916</v>
      </c>
      <c r="G2048" s="49">
        <v>2</v>
      </c>
      <c r="H2048" s="48">
        <v>5</v>
      </c>
      <c r="I2048" s="48">
        <v>2</v>
      </c>
      <c r="J2048" s="48">
        <v>96.06</v>
      </c>
      <c r="K2048" s="3">
        <v>2296.06</v>
      </c>
      <c r="L2048" s="16"/>
      <c r="M2048" s="57"/>
      <c r="N2048" s="58"/>
      <c r="P2048" s="16">
        <v>1</v>
      </c>
      <c r="Q2048" s="20">
        <f t="shared" si="362"/>
        <v>2296.06</v>
      </c>
      <c r="R2048" s="14">
        <v>160</v>
      </c>
      <c r="S2048" s="19">
        <f t="shared" si="363"/>
        <v>367369.6</v>
      </c>
      <c r="T2048" s="16"/>
      <c r="U2048" s="17"/>
      <c r="V2048" s="17"/>
      <c r="W2048" s="5"/>
      <c r="X2048" s="16"/>
      <c r="Y2048" s="5"/>
      <c r="Z2048" s="16"/>
      <c r="AA2048" s="16"/>
      <c r="AB2048" s="16"/>
      <c r="AE2048" s="16"/>
      <c r="AG2048" s="22">
        <f t="shared" si="364"/>
        <v>0</v>
      </c>
      <c r="AH2048" s="6"/>
      <c r="AJ2048" s="20">
        <f t="shared" si="365"/>
        <v>0</v>
      </c>
      <c r="AK2048" s="50"/>
      <c r="AL2048" s="6"/>
      <c r="AM2048" s="20">
        <f t="shared" si="366"/>
        <v>0</v>
      </c>
      <c r="AN2048" s="20">
        <f t="shared" si="361"/>
        <v>367369.6</v>
      </c>
      <c r="AP2048" s="20">
        <f t="shared" si="367"/>
        <v>367369.6</v>
      </c>
      <c r="AQ2048" s="7"/>
      <c r="AR2048" s="60"/>
      <c r="AS2048" s="96">
        <v>32</v>
      </c>
    </row>
    <row r="2049" spans="1:45" s="21" customFormat="1" ht="30" customHeight="1" x14ac:dyDescent="0.2">
      <c r="A2049" s="8">
        <v>1753</v>
      </c>
      <c r="B2049" s="46">
        <v>2</v>
      </c>
      <c r="C2049" s="16" t="s">
        <v>52</v>
      </c>
      <c r="D2049" s="48">
        <v>2172</v>
      </c>
      <c r="E2049" s="47">
        <v>23</v>
      </c>
      <c r="F2049" s="48">
        <v>1643</v>
      </c>
      <c r="G2049" s="49">
        <v>3</v>
      </c>
      <c r="H2049" s="48">
        <v>0</v>
      </c>
      <c r="I2049" s="48">
        <v>1</v>
      </c>
      <c r="J2049" s="48">
        <v>42</v>
      </c>
      <c r="K2049" s="3"/>
      <c r="L2049" s="16">
        <v>142</v>
      </c>
      <c r="M2049" s="57"/>
      <c r="N2049" s="58"/>
      <c r="P2049" s="16">
        <v>2</v>
      </c>
      <c r="Q2049" s="20">
        <f t="shared" si="362"/>
        <v>142</v>
      </c>
      <c r="R2049" s="14">
        <v>250</v>
      </c>
      <c r="S2049" s="20">
        <f t="shared" si="363"/>
        <v>35500</v>
      </c>
      <c r="T2049" s="16"/>
      <c r="U2049" s="17" t="s">
        <v>57</v>
      </c>
      <c r="V2049" s="17" t="s">
        <v>56</v>
      </c>
      <c r="W2049" s="4"/>
      <c r="X2049" s="16"/>
      <c r="Y2049" s="5">
        <v>162</v>
      </c>
      <c r="Z2049" s="16"/>
      <c r="AA2049" s="16"/>
      <c r="AB2049" s="16">
        <f>62-56</f>
        <v>6</v>
      </c>
      <c r="AE2049" s="16"/>
      <c r="AG2049" s="22">
        <f t="shared" si="364"/>
        <v>162</v>
      </c>
      <c r="AH2049" s="6"/>
      <c r="AJ2049" s="20">
        <f t="shared" si="365"/>
        <v>0</v>
      </c>
      <c r="AK2049" s="50">
        <v>6</v>
      </c>
      <c r="AL2049" s="6"/>
      <c r="AM2049" s="20">
        <f t="shared" si="366"/>
        <v>0</v>
      </c>
      <c r="AN2049" s="20">
        <f t="shared" si="361"/>
        <v>35500</v>
      </c>
      <c r="AP2049" s="20">
        <f t="shared" si="367"/>
        <v>35500</v>
      </c>
      <c r="AQ2049" s="7"/>
      <c r="AR2049" s="24"/>
      <c r="AS2049" s="97"/>
    </row>
    <row r="2050" spans="1:45" ht="30" customHeight="1" x14ac:dyDescent="0.2">
      <c r="A2050" s="8"/>
      <c r="C2050" s="16"/>
      <c r="Q2050" s="20"/>
      <c r="AG2050" s="22"/>
      <c r="AJ2050" s="20"/>
      <c r="AM2050" s="20"/>
      <c r="AN2050" s="20"/>
      <c r="AP2050" s="20"/>
      <c r="AR2050" s="25"/>
      <c r="AS2050" s="98"/>
    </row>
    <row r="2051" spans="1:45" ht="30" customHeight="1" x14ac:dyDescent="0.2">
      <c r="A2051" s="8">
        <v>1754</v>
      </c>
      <c r="B2051" s="13">
        <v>3</v>
      </c>
      <c r="C2051" s="16" t="s">
        <v>65</v>
      </c>
      <c r="D2051" s="17">
        <v>1001</v>
      </c>
      <c r="E2051" s="17">
        <v>148</v>
      </c>
      <c r="H2051" s="17">
        <v>4</v>
      </c>
      <c r="I2051" s="17">
        <v>1</v>
      </c>
      <c r="J2051" s="17">
        <v>90</v>
      </c>
      <c r="K2051" s="10">
        <v>1790</v>
      </c>
      <c r="P2051" s="17">
        <v>1</v>
      </c>
      <c r="Q2051" s="20">
        <f t="shared" si="362"/>
        <v>1790</v>
      </c>
      <c r="R2051" s="14">
        <v>160</v>
      </c>
      <c r="S2051" s="19">
        <f t="shared" si="363"/>
        <v>286400</v>
      </c>
      <c r="AE2051" s="17" t="s">
        <v>94</v>
      </c>
      <c r="AG2051" s="22">
        <f t="shared" si="364"/>
        <v>0</v>
      </c>
      <c r="AJ2051" s="20">
        <f t="shared" si="365"/>
        <v>0</v>
      </c>
      <c r="AM2051" s="20">
        <f t="shared" si="366"/>
        <v>0</v>
      </c>
      <c r="AN2051" s="20">
        <f t="shared" si="361"/>
        <v>286400</v>
      </c>
      <c r="AP2051" s="20">
        <f t="shared" si="367"/>
        <v>286400</v>
      </c>
      <c r="AQ2051" s="12">
        <v>1E-4</v>
      </c>
      <c r="AR2051" s="24"/>
      <c r="AS2051" s="97"/>
    </row>
    <row r="2052" spans="1:45" s="21" customFormat="1" ht="30" customHeight="1" x14ac:dyDescent="0.2">
      <c r="A2052" s="8">
        <v>1755</v>
      </c>
      <c r="B2052" s="46">
        <v>1</v>
      </c>
      <c r="C2052" s="16" t="s">
        <v>52</v>
      </c>
      <c r="D2052" s="48">
        <v>3198</v>
      </c>
      <c r="E2052" s="47">
        <v>36</v>
      </c>
      <c r="F2052" s="48">
        <v>2130</v>
      </c>
      <c r="G2052" s="49">
        <v>2</v>
      </c>
      <c r="H2052" s="48">
        <v>2</v>
      </c>
      <c r="I2052" s="48">
        <v>3</v>
      </c>
      <c r="J2052" s="48">
        <v>82</v>
      </c>
      <c r="K2052" s="3">
        <v>1168.5</v>
      </c>
      <c r="L2052" s="16">
        <v>13.5</v>
      </c>
      <c r="M2052" s="57"/>
      <c r="N2052" s="58"/>
      <c r="P2052" s="16">
        <v>5</v>
      </c>
      <c r="Q2052" s="20">
        <f t="shared" si="362"/>
        <v>1182</v>
      </c>
      <c r="R2052" s="14">
        <v>250</v>
      </c>
      <c r="S2052" s="20">
        <f t="shared" si="363"/>
        <v>295500</v>
      </c>
      <c r="T2052" s="16"/>
      <c r="U2052" s="17" t="s">
        <v>57</v>
      </c>
      <c r="V2052" s="17" t="s">
        <v>56</v>
      </c>
      <c r="W2052" s="4">
        <v>54</v>
      </c>
      <c r="X2052" s="16"/>
      <c r="Y2052" s="5">
        <v>54</v>
      </c>
      <c r="Z2052" s="16"/>
      <c r="AA2052" s="16"/>
      <c r="AB2052" s="16">
        <v>3</v>
      </c>
      <c r="AC2052" s="14"/>
      <c r="AD2052" s="14"/>
      <c r="AE2052" s="16"/>
      <c r="AG2052" s="22">
        <f t="shared" si="364"/>
        <v>54</v>
      </c>
      <c r="AH2052" s="6"/>
      <c r="AJ2052" s="20">
        <f t="shared" si="365"/>
        <v>0</v>
      </c>
      <c r="AK2052" s="50"/>
      <c r="AL2052" s="6"/>
      <c r="AM2052" s="20">
        <f t="shared" si="366"/>
        <v>0</v>
      </c>
      <c r="AN2052" s="20">
        <f t="shared" si="361"/>
        <v>295500</v>
      </c>
      <c r="AP2052" s="20">
        <f t="shared" si="367"/>
        <v>295500</v>
      </c>
      <c r="AQ2052" s="7"/>
      <c r="AR2052" s="20"/>
      <c r="AS2052" s="51"/>
    </row>
    <row r="2053" spans="1:45" s="21" customFormat="1" ht="30" customHeight="1" x14ac:dyDescent="0.2">
      <c r="A2053" s="8">
        <v>1756</v>
      </c>
      <c r="B2053" s="46">
        <v>1</v>
      </c>
      <c r="C2053" s="16" t="s">
        <v>52</v>
      </c>
      <c r="D2053" s="48">
        <v>2205</v>
      </c>
      <c r="E2053" s="47">
        <v>4</v>
      </c>
      <c r="F2053" s="48">
        <v>1653</v>
      </c>
      <c r="G2053" s="49">
        <v>3</v>
      </c>
      <c r="H2053" s="48">
        <v>0</v>
      </c>
      <c r="I2053" s="48">
        <v>0</v>
      </c>
      <c r="J2053" s="48">
        <v>59</v>
      </c>
      <c r="K2053" s="3"/>
      <c r="L2053" s="16">
        <v>59</v>
      </c>
      <c r="M2053" s="57"/>
      <c r="N2053" s="58"/>
      <c r="P2053" s="16">
        <v>2</v>
      </c>
      <c r="Q2053" s="20">
        <f t="shared" si="362"/>
        <v>59</v>
      </c>
      <c r="R2053" s="14">
        <v>250</v>
      </c>
      <c r="S2053" s="19">
        <f t="shared" si="363"/>
        <v>14750</v>
      </c>
      <c r="T2053" s="16">
        <v>1</v>
      </c>
      <c r="U2053" s="17"/>
      <c r="V2053" s="17"/>
      <c r="W2053" s="4">
        <f>15*5</f>
        <v>75</v>
      </c>
      <c r="X2053" s="16"/>
      <c r="Y2053" s="5">
        <v>60</v>
      </c>
      <c r="Z2053" s="16">
        <v>15</v>
      </c>
      <c r="AA2053" s="16"/>
      <c r="AB2053" s="16">
        <v>10</v>
      </c>
      <c r="AE2053" s="16"/>
      <c r="AF2053" s="21">
        <v>2</v>
      </c>
      <c r="AG2053" s="22">
        <v>75</v>
      </c>
      <c r="AH2053" s="6">
        <f>0.8*100%</f>
        <v>0.8</v>
      </c>
      <c r="AI2053" s="21">
        <v>7250</v>
      </c>
      <c r="AJ2053" s="20">
        <f t="shared" si="365"/>
        <v>435000</v>
      </c>
      <c r="AK2053" s="50">
        <v>10</v>
      </c>
      <c r="AL2053" s="6">
        <v>0.1</v>
      </c>
      <c r="AM2053" s="20">
        <f t="shared" si="366"/>
        <v>391500</v>
      </c>
      <c r="AN2053" s="20">
        <f t="shared" si="361"/>
        <v>406250</v>
      </c>
      <c r="AP2053" s="20">
        <f t="shared" si="367"/>
        <v>406250</v>
      </c>
      <c r="AQ2053" s="7"/>
      <c r="AR2053" s="20"/>
      <c r="AS2053" s="51">
        <v>360</v>
      </c>
    </row>
    <row r="2054" spans="1:45" s="21" customFormat="1" ht="30" customHeight="1" x14ac:dyDescent="0.2">
      <c r="A2054" s="8"/>
      <c r="B2054" s="46"/>
      <c r="C2054" s="16"/>
      <c r="D2054" s="48"/>
      <c r="E2054" s="47"/>
      <c r="F2054" s="48"/>
      <c r="G2054" s="49"/>
      <c r="H2054" s="48"/>
      <c r="I2054" s="48"/>
      <c r="J2054" s="48"/>
      <c r="K2054" s="3"/>
      <c r="L2054" s="16"/>
      <c r="M2054" s="57"/>
      <c r="N2054" s="58"/>
      <c r="P2054" s="16">
        <v>3</v>
      </c>
      <c r="Q2054" s="20"/>
      <c r="R2054" s="14">
        <v>250</v>
      </c>
      <c r="S2054" s="19"/>
      <c r="T2054" s="16">
        <v>2</v>
      </c>
      <c r="U2054" s="17"/>
      <c r="V2054" s="17"/>
      <c r="W2054" s="4"/>
      <c r="X2054" s="16"/>
      <c r="Y2054" s="5"/>
      <c r="Z2054" s="16"/>
      <c r="AA2054" s="16"/>
      <c r="AB2054" s="16"/>
      <c r="AE2054" s="16"/>
      <c r="AF2054" s="21">
        <v>3</v>
      </c>
      <c r="AG2054" s="22">
        <v>75</v>
      </c>
      <c r="AH2054" s="6">
        <f>0.2*100%</f>
        <v>0.2</v>
      </c>
      <c r="AI2054" s="21">
        <v>7250</v>
      </c>
      <c r="AJ2054" s="20">
        <f t="shared" si="365"/>
        <v>108750</v>
      </c>
      <c r="AK2054" s="50">
        <v>10</v>
      </c>
      <c r="AL2054" s="6">
        <v>0.1</v>
      </c>
      <c r="AM2054" s="20">
        <f t="shared" si="366"/>
        <v>97875</v>
      </c>
      <c r="AN2054" s="20">
        <f>+(S2053*AH2054)+(AM2054)</f>
        <v>100825</v>
      </c>
      <c r="AP2054" s="20">
        <f t="shared" si="367"/>
        <v>100825</v>
      </c>
      <c r="AQ2054" s="7">
        <v>3.0000000000000001E-3</v>
      </c>
      <c r="AR2054" s="60"/>
      <c r="AS2054" s="116"/>
    </row>
    <row r="2055" spans="1:45" s="21" customFormat="1" ht="30" customHeight="1" x14ac:dyDescent="0.2">
      <c r="A2055" s="8">
        <v>1757</v>
      </c>
      <c r="B2055" s="46">
        <v>1</v>
      </c>
      <c r="C2055" s="16" t="s">
        <v>52</v>
      </c>
      <c r="D2055" s="48">
        <v>31008</v>
      </c>
      <c r="E2055" s="47">
        <v>90</v>
      </c>
      <c r="F2055" s="48">
        <v>5958</v>
      </c>
      <c r="G2055" s="49">
        <v>2</v>
      </c>
      <c r="H2055" s="48">
        <v>6</v>
      </c>
      <c r="I2055" s="48">
        <v>1</v>
      </c>
      <c r="J2055" s="48">
        <v>66</v>
      </c>
      <c r="K2055" s="3">
        <v>2566</v>
      </c>
      <c r="L2055" s="16"/>
      <c r="M2055" s="57"/>
      <c r="N2055" s="58"/>
      <c r="P2055" s="16">
        <v>1</v>
      </c>
      <c r="Q2055" s="20">
        <f t="shared" si="362"/>
        <v>2566</v>
      </c>
      <c r="R2055" s="14">
        <v>160</v>
      </c>
      <c r="S2055" s="19">
        <f t="shared" si="363"/>
        <v>410560</v>
      </c>
      <c r="T2055" s="16"/>
      <c r="U2055" s="17"/>
      <c r="V2055" s="17"/>
      <c r="W2055" s="4"/>
      <c r="X2055" s="16"/>
      <c r="Y2055" s="5"/>
      <c r="Z2055" s="16"/>
      <c r="AA2055" s="16"/>
      <c r="AB2055" s="16"/>
      <c r="AC2055" s="14"/>
      <c r="AD2055" s="14"/>
      <c r="AE2055" s="16"/>
      <c r="AG2055" s="22">
        <f t="shared" si="364"/>
        <v>0</v>
      </c>
      <c r="AH2055" s="6"/>
      <c r="AJ2055" s="20">
        <f t="shared" si="365"/>
        <v>0</v>
      </c>
      <c r="AK2055" s="50"/>
      <c r="AL2055" s="6"/>
      <c r="AM2055" s="20">
        <f t="shared" si="366"/>
        <v>0</v>
      </c>
      <c r="AN2055" s="20">
        <f t="shared" ref="AN2055:AN2080" si="368">+S2055+AM2055</f>
        <v>410560</v>
      </c>
      <c r="AP2055" s="20">
        <f t="shared" si="367"/>
        <v>410560</v>
      </c>
      <c r="AQ2055" s="7"/>
      <c r="AR2055" s="60"/>
      <c r="AS2055" s="128">
        <v>19</v>
      </c>
    </row>
    <row r="2056" spans="1:45" s="21" customFormat="1" ht="30" customHeight="1" x14ac:dyDescent="0.2">
      <c r="A2056" s="8">
        <v>1758</v>
      </c>
      <c r="B2056" s="46">
        <v>2</v>
      </c>
      <c r="C2056" s="16" t="s">
        <v>52</v>
      </c>
      <c r="D2056" s="48">
        <v>2204</v>
      </c>
      <c r="E2056" s="47">
        <v>5</v>
      </c>
      <c r="F2056" s="48">
        <v>1652</v>
      </c>
      <c r="G2056" s="49">
        <v>3</v>
      </c>
      <c r="H2056" s="48">
        <v>0</v>
      </c>
      <c r="I2056" s="48">
        <v>0</v>
      </c>
      <c r="J2056" s="48">
        <v>50</v>
      </c>
      <c r="K2056" s="3"/>
      <c r="L2056" s="16">
        <v>50</v>
      </c>
      <c r="M2056" s="57"/>
      <c r="N2056" s="58"/>
      <c r="P2056" s="16">
        <v>2</v>
      </c>
      <c r="Q2056" s="20">
        <f t="shared" si="362"/>
        <v>50</v>
      </c>
      <c r="R2056" s="14">
        <v>250</v>
      </c>
      <c r="S2056" s="20">
        <f t="shared" si="363"/>
        <v>12500</v>
      </c>
      <c r="T2056" s="16"/>
      <c r="U2056" s="17"/>
      <c r="V2056" s="17"/>
      <c r="W2056" s="4"/>
      <c r="X2056" s="16"/>
      <c r="Y2056" s="5"/>
      <c r="Z2056" s="16"/>
      <c r="AA2056" s="16"/>
      <c r="AB2056" s="16"/>
      <c r="AC2056" s="14"/>
      <c r="AD2056" s="14"/>
      <c r="AE2056" s="16"/>
      <c r="AG2056" s="22">
        <f t="shared" si="364"/>
        <v>0</v>
      </c>
      <c r="AH2056" s="6"/>
      <c r="AJ2056" s="20">
        <f t="shared" si="365"/>
        <v>0</v>
      </c>
      <c r="AK2056" s="50"/>
      <c r="AL2056" s="6"/>
      <c r="AM2056" s="20">
        <f t="shared" si="366"/>
        <v>0</v>
      </c>
      <c r="AN2056" s="20">
        <f t="shared" si="368"/>
        <v>12500</v>
      </c>
      <c r="AP2056" s="20">
        <f t="shared" si="367"/>
        <v>12500</v>
      </c>
      <c r="AQ2056" s="7"/>
      <c r="AR2056" s="24"/>
      <c r="AS2056" s="129"/>
    </row>
    <row r="2057" spans="1:45" ht="30" customHeight="1" x14ac:dyDescent="0.2">
      <c r="A2057" s="117" t="s">
        <v>890</v>
      </c>
      <c r="B2057" s="13">
        <v>3</v>
      </c>
      <c r="C2057" s="16" t="s">
        <v>52</v>
      </c>
      <c r="D2057" s="17">
        <v>31008</v>
      </c>
      <c r="E2057" s="17">
        <v>90</v>
      </c>
      <c r="H2057" s="17">
        <v>6</v>
      </c>
      <c r="I2057" s="17">
        <v>1</v>
      </c>
      <c r="J2057" s="17">
        <v>66</v>
      </c>
      <c r="K2057" s="10">
        <v>2566</v>
      </c>
      <c r="P2057" s="17">
        <v>1</v>
      </c>
      <c r="Q2057" s="20">
        <f t="shared" si="362"/>
        <v>2566</v>
      </c>
      <c r="R2057" s="14">
        <v>160</v>
      </c>
      <c r="S2057" s="19">
        <f t="shared" si="363"/>
        <v>410560</v>
      </c>
      <c r="AC2057" s="21"/>
      <c r="AD2057" s="21"/>
      <c r="AE2057" s="17" t="s">
        <v>191</v>
      </c>
      <c r="AG2057" s="22">
        <f t="shared" si="364"/>
        <v>0</v>
      </c>
      <c r="AJ2057" s="20">
        <f t="shared" si="365"/>
        <v>0</v>
      </c>
      <c r="AM2057" s="20">
        <f t="shared" si="366"/>
        <v>0</v>
      </c>
      <c r="AN2057" s="20">
        <f t="shared" si="368"/>
        <v>410560</v>
      </c>
      <c r="AP2057" s="20">
        <f t="shared" si="367"/>
        <v>410560</v>
      </c>
      <c r="AR2057" s="25"/>
      <c r="AS2057" s="130"/>
    </row>
    <row r="2058" spans="1:45" s="21" customFormat="1" ht="30" customHeight="1" x14ac:dyDescent="0.2">
      <c r="A2058" s="8">
        <v>1760</v>
      </c>
      <c r="B2058" s="46">
        <v>1</v>
      </c>
      <c r="C2058" s="16" t="s">
        <v>52</v>
      </c>
      <c r="D2058" s="48">
        <v>14104</v>
      </c>
      <c r="E2058" s="47">
        <v>289</v>
      </c>
      <c r="F2058" s="48">
        <v>3332</v>
      </c>
      <c r="G2058" s="49">
        <v>2</v>
      </c>
      <c r="H2058" s="48">
        <v>0</v>
      </c>
      <c r="I2058" s="48">
        <v>0</v>
      </c>
      <c r="J2058" s="48">
        <v>80</v>
      </c>
      <c r="K2058" s="3"/>
      <c r="L2058" s="16">
        <v>80</v>
      </c>
      <c r="M2058" s="57"/>
      <c r="N2058" s="58"/>
      <c r="P2058" s="16">
        <v>2</v>
      </c>
      <c r="Q2058" s="20">
        <f t="shared" si="362"/>
        <v>80</v>
      </c>
      <c r="R2058" s="14">
        <v>200</v>
      </c>
      <c r="S2058" s="19">
        <f t="shared" si="363"/>
        <v>16000</v>
      </c>
      <c r="T2058" s="16"/>
      <c r="U2058" s="17" t="s">
        <v>57</v>
      </c>
      <c r="V2058" s="17" t="s">
        <v>88</v>
      </c>
      <c r="W2058" s="5"/>
      <c r="X2058" s="16"/>
      <c r="Y2058" s="5">
        <v>137.5</v>
      </c>
      <c r="Z2058" s="16"/>
      <c r="AA2058" s="16"/>
      <c r="AB2058" s="16">
        <f>62-35</f>
        <v>27</v>
      </c>
      <c r="AC2058" s="14"/>
      <c r="AD2058" s="14"/>
      <c r="AE2058" s="16"/>
      <c r="AG2058" s="22">
        <f t="shared" si="364"/>
        <v>137.5</v>
      </c>
      <c r="AH2058" s="6"/>
      <c r="AJ2058" s="20">
        <f t="shared" si="365"/>
        <v>0</v>
      </c>
      <c r="AK2058" s="50">
        <v>27</v>
      </c>
      <c r="AL2058" s="6"/>
      <c r="AM2058" s="20">
        <f t="shared" si="366"/>
        <v>0</v>
      </c>
      <c r="AN2058" s="20">
        <f t="shared" si="368"/>
        <v>16000</v>
      </c>
      <c r="AP2058" s="20">
        <f t="shared" si="367"/>
        <v>16000</v>
      </c>
      <c r="AQ2058" s="7"/>
      <c r="AR2058" s="20"/>
      <c r="AS2058" s="51"/>
    </row>
    <row r="2059" spans="1:45" s="21" customFormat="1" ht="30" customHeight="1" x14ac:dyDescent="0.2">
      <c r="A2059" s="8">
        <v>1761</v>
      </c>
      <c r="B2059" s="46">
        <v>2</v>
      </c>
      <c r="C2059" s="16" t="s">
        <v>52</v>
      </c>
      <c r="D2059" s="48">
        <v>14119</v>
      </c>
      <c r="E2059" s="47">
        <v>120</v>
      </c>
      <c r="F2059" s="48">
        <v>3335</v>
      </c>
      <c r="G2059" s="49">
        <v>2</v>
      </c>
      <c r="H2059" s="48">
        <v>0</v>
      </c>
      <c r="I2059" s="48">
        <v>0</v>
      </c>
      <c r="J2059" s="48">
        <v>39</v>
      </c>
      <c r="K2059" s="3"/>
      <c r="L2059" s="16"/>
      <c r="M2059" s="57"/>
      <c r="N2059" s="58">
        <v>39</v>
      </c>
      <c r="P2059" s="16">
        <v>4</v>
      </c>
      <c r="Q2059" s="20">
        <f t="shared" si="362"/>
        <v>39</v>
      </c>
      <c r="R2059" s="14">
        <v>250</v>
      </c>
      <c r="S2059" s="20">
        <f t="shared" si="363"/>
        <v>9750</v>
      </c>
      <c r="T2059" s="16"/>
      <c r="U2059" s="17"/>
      <c r="V2059" s="17"/>
      <c r="W2059" s="5"/>
      <c r="X2059" s="16"/>
      <c r="Y2059" s="5"/>
      <c r="Z2059" s="16"/>
      <c r="AA2059" s="16"/>
      <c r="AB2059" s="16"/>
      <c r="AC2059" s="14"/>
      <c r="AD2059" s="14"/>
      <c r="AE2059" s="16"/>
      <c r="AG2059" s="22">
        <f t="shared" si="364"/>
        <v>0</v>
      </c>
      <c r="AH2059" s="6"/>
      <c r="AJ2059" s="20">
        <f t="shared" si="365"/>
        <v>0</v>
      </c>
      <c r="AK2059" s="50"/>
      <c r="AL2059" s="6"/>
      <c r="AM2059" s="20">
        <f t="shared" si="366"/>
        <v>0</v>
      </c>
      <c r="AN2059" s="20">
        <f t="shared" si="368"/>
        <v>9750</v>
      </c>
      <c r="AP2059" s="20">
        <f t="shared" si="367"/>
        <v>9750</v>
      </c>
      <c r="AQ2059" s="7">
        <v>3.0000000000000001E-3</v>
      </c>
      <c r="AR2059" s="20"/>
      <c r="AS2059" s="51"/>
    </row>
    <row r="2060" spans="1:45" s="21" customFormat="1" ht="30" customHeight="1" x14ac:dyDescent="0.2">
      <c r="A2060" s="8">
        <v>1762</v>
      </c>
      <c r="B2060" s="46">
        <v>3</v>
      </c>
      <c r="C2060" s="16" t="s">
        <v>52</v>
      </c>
      <c r="D2060" s="48">
        <v>34556</v>
      </c>
      <c r="E2060" s="47">
        <v>241</v>
      </c>
      <c r="F2060" s="48">
        <v>6898</v>
      </c>
      <c r="G2060" s="49">
        <v>2</v>
      </c>
      <c r="H2060" s="48">
        <v>0</v>
      </c>
      <c r="I2060" s="48">
        <v>0</v>
      </c>
      <c r="J2060" s="48">
        <v>44.05</v>
      </c>
      <c r="K2060" s="3">
        <v>44.05</v>
      </c>
      <c r="L2060" s="16"/>
      <c r="M2060" s="57"/>
      <c r="N2060" s="58"/>
      <c r="P2060" s="16">
        <v>1</v>
      </c>
      <c r="Q2060" s="20">
        <f t="shared" si="362"/>
        <v>44.05</v>
      </c>
      <c r="R2060" s="14">
        <v>3000</v>
      </c>
      <c r="S2060" s="19">
        <f t="shared" si="363"/>
        <v>132150</v>
      </c>
      <c r="T2060" s="16"/>
      <c r="U2060" s="17"/>
      <c r="V2060" s="17"/>
      <c r="W2060" s="4"/>
      <c r="X2060" s="16"/>
      <c r="Y2060" s="5"/>
      <c r="Z2060" s="16"/>
      <c r="AA2060" s="16"/>
      <c r="AB2060" s="16"/>
      <c r="AC2060" s="14"/>
      <c r="AD2060" s="14"/>
      <c r="AE2060" s="16"/>
      <c r="AG2060" s="22">
        <f t="shared" si="364"/>
        <v>0</v>
      </c>
      <c r="AH2060" s="6"/>
      <c r="AJ2060" s="20">
        <f t="shared" si="365"/>
        <v>0</v>
      </c>
      <c r="AK2060" s="50"/>
      <c r="AL2060" s="6"/>
      <c r="AM2060" s="20">
        <f t="shared" si="366"/>
        <v>0</v>
      </c>
      <c r="AN2060" s="20">
        <f t="shared" si="368"/>
        <v>132150</v>
      </c>
      <c r="AP2060" s="20">
        <f t="shared" si="367"/>
        <v>132150</v>
      </c>
      <c r="AQ2060" s="7"/>
      <c r="AR2060" s="20"/>
      <c r="AS2060" s="51"/>
    </row>
    <row r="2061" spans="1:45" s="21" customFormat="1" ht="30" customHeight="1" x14ac:dyDescent="0.2">
      <c r="A2061" s="8">
        <v>1763</v>
      </c>
      <c r="B2061" s="46">
        <v>4</v>
      </c>
      <c r="C2061" s="16" t="s">
        <v>52</v>
      </c>
      <c r="D2061" s="48">
        <v>31958</v>
      </c>
      <c r="E2061" s="47">
        <v>123</v>
      </c>
      <c r="F2061" s="48">
        <v>6277</v>
      </c>
      <c r="G2061" s="49">
        <v>2</v>
      </c>
      <c r="H2061" s="48">
        <v>0</v>
      </c>
      <c r="I2061" s="48">
        <v>1</v>
      </c>
      <c r="J2061" s="48">
        <v>1</v>
      </c>
      <c r="K2061" s="3">
        <v>101</v>
      </c>
      <c r="L2061" s="16"/>
      <c r="M2061" s="57"/>
      <c r="N2061" s="58"/>
      <c r="P2061" s="16">
        <v>1</v>
      </c>
      <c r="Q2061" s="20">
        <f t="shared" si="362"/>
        <v>101</v>
      </c>
      <c r="R2061" s="14">
        <v>200</v>
      </c>
      <c r="S2061" s="19">
        <f t="shared" si="363"/>
        <v>20200</v>
      </c>
      <c r="T2061" s="16"/>
      <c r="U2061" s="17"/>
      <c r="V2061" s="17"/>
      <c r="W2061" s="4"/>
      <c r="X2061" s="16"/>
      <c r="Y2061" s="5"/>
      <c r="Z2061" s="16"/>
      <c r="AA2061" s="16"/>
      <c r="AB2061" s="16"/>
      <c r="AE2061" s="16"/>
      <c r="AG2061" s="22">
        <f t="shared" si="364"/>
        <v>0</v>
      </c>
      <c r="AH2061" s="6"/>
      <c r="AJ2061" s="20">
        <f t="shared" si="365"/>
        <v>0</v>
      </c>
      <c r="AK2061" s="50"/>
      <c r="AL2061" s="6"/>
      <c r="AM2061" s="20">
        <f t="shared" si="366"/>
        <v>0</v>
      </c>
      <c r="AN2061" s="20">
        <f t="shared" si="368"/>
        <v>20200</v>
      </c>
      <c r="AP2061" s="20">
        <f t="shared" si="367"/>
        <v>20200</v>
      </c>
      <c r="AQ2061" s="7"/>
      <c r="AR2061" s="20"/>
      <c r="AS2061" s="51"/>
    </row>
    <row r="2062" spans="1:45" s="21" customFormat="1" ht="30" customHeight="1" x14ac:dyDescent="0.2">
      <c r="A2062" s="8">
        <v>1764</v>
      </c>
      <c r="B2062" s="46">
        <v>5</v>
      </c>
      <c r="C2062" s="16" t="s">
        <v>52</v>
      </c>
      <c r="D2062" s="48">
        <v>31959</v>
      </c>
      <c r="E2062" s="47">
        <v>124</v>
      </c>
      <c r="F2062" s="48">
        <v>6278</v>
      </c>
      <c r="G2062" s="49">
        <v>2</v>
      </c>
      <c r="H2062" s="48">
        <v>0</v>
      </c>
      <c r="I2062" s="48">
        <v>0</v>
      </c>
      <c r="J2062" s="48">
        <v>98</v>
      </c>
      <c r="K2062" s="3">
        <v>98</v>
      </c>
      <c r="L2062" s="16"/>
      <c r="M2062" s="57"/>
      <c r="N2062" s="58"/>
      <c r="P2062" s="16">
        <v>1</v>
      </c>
      <c r="Q2062" s="20">
        <f t="shared" si="362"/>
        <v>98</v>
      </c>
      <c r="R2062" s="14">
        <v>200</v>
      </c>
      <c r="S2062" s="20">
        <f t="shared" si="363"/>
        <v>19600</v>
      </c>
      <c r="T2062" s="16"/>
      <c r="U2062" s="17"/>
      <c r="V2062" s="17"/>
      <c r="W2062" s="4"/>
      <c r="X2062" s="16"/>
      <c r="Y2062" s="5"/>
      <c r="Z2062" s="16"/>
      <c r="AA2062" s="16"/>
      <c r="AB2062" s="16"/>
      <c r="AE2062" s="16"/>
      <c r="AG2062" s="22">
        <f t="shared" si="364"/>
        <v>0</v>
      </c>
      <c r="AH2062" s="6"/>
      <c r="AJ2062" s="20">
        <f t="shared" si="365"/>
        <v>0</v>
      </c>
      <c r="AK2062" s="50"/>
      <c r="AL2062" s="6"/>
      <c r="AM2062" s="20">
        <f t="shared" si="366"/>
        <v>0</v>
      </c>
      <c r="AN2062" s="20">
        <f t="shared" si="368"/>
        <v>19600</v>
      </c>
      <c r="AP2062" s="20">
        <f t="shared" si="367"/>
        <v>19600</v>
      </c>
      <c r="AQ2062" s="7"/>
      <c r="AR2062" s="20"/>
      <c r="AS2062" s="51"/>
    </row>
    <row r="2063" spans="1:45" s="21" customFormat="1" ht="30" customHeight="1" x14ac:dyDescent="0.2">
      <c r="A2063" s="8">
        <v>1765</v>
      </c>
      <c r="B2063" s="46">
        <v>6</v>
      </c>
      <c r="C2063" s="16" t="s">
        <v>52</v>
      </c>
      <c r="D2063" s="48">
        <v>31960</v>
      </c>
      <c r="E2063" s="47">
        <v>125</v>
      </c>
      <c r="F2063" s="48">
        <v>6279</v>
      </c>
      <c r="G2063" s="49">
        <v>3</v>
      </c>
      <c r="H2063" s="48">
        <v>0</v>
      </c>
      <c r="I2063" s="48">
        <v>1</v>
      </c>
      <c r="J2063" s="48">
        <v>99</v>
      </c>
      <c r="K2063" s="3"/>
      <c r="L2063" s="16">
        <v>199</v>
      </c>
      <c r="M2063" s="57"/>
      <c r="N2063" s="58"/>
      <c r="P2063" s="16">
        <v>2</v>
      </c>
      <c r="Q2063" s="20">
        <f t="shared" si="362"/>
        <v>199</v>
      </c>
      <c r="R2063" s="14">
        <v>200</v>
      </c>
      <c r="S2063" s="19">
        <f t="shared" si="363"/>
        <v>39800</v>
      </c>
      <c r="T2063" s="16"/>
      <c r="U2063" s="17" t="s">
        <v>57</v>
      </c>
      <c r="V2063" s="17" t="s">
        <v>56</v>
      </c>
      <c r="W2063" s="4"/>
      <c r="X2063" s="16"/>
      <c r="Y2063" s="5">
        <f>5*24</f>
        <v>120</v>
      </c>
      <c r="Z2063" s="16"/>
      <c r="AA2063" s="16"/>
      <c r="AB2063" s="16">
        <f>62-47</f>
        <v>15</v>
      </c>
      <c r="AE2063" s="16"/>
      <c r="AG2063" s="22">
        <f t="shared" si="364"/>
        <v>120</v>
      </c>
      <c r="AH2063" s="6"/>
      <c r="AJ2063" s="20">
        <f t="shared" si="365"/>
        <v>0</v>
      </c>
      <c r="AK2063" s="50">
        <v>15</v>
      </c>
      <c r="AL2063" s="6"/>
      <c r="AM2063" s="20">
        <f t="shared" si="366"/>
        <v>0</v>
      </c>
      <c r="AN2063" s="20">
        <f t="shared" si="368"/>
        <v>39800</v>
      </c>
      <c r="AP2063" s="20">
        <f t="shared" si="367"/>
        <v>39800</v>
      </c>
      <c r="AQ2063" s="7"/>
      <c r="AR2063" s="20"/>
      <c r="AS2063" s="51"/>
    </row>
    <row r="2064" spans="1:45" ht="30" customHeight="1" x14ac:dyDescent="0.2">
      <c r="A2064" s="8">
        <v>1766</v>
      </c>
      <c r="B2064" s="46">
        <v>7</v>
      </c>
      <c r="C2064" s="16" t="s">
        <v>69</v>
      </c>
      <c r="E2064" s="17">
        <v>1516</v>
      </c>
      <c r="F2064" s="17">
        <v>6</v>
      </c>
      <c r="G2064" s="13">
        <v>2</v>
      </c>
      <c r="H2064" s="17">
        <v>13</v>
      </c>
      <c r="I2064" s="17">
        <v>2</v>
      </c>
      <c r="J2064" s="17">
        <v>12</v>
      </c>
      <c r="K2064" s="10">
        <v>5412</v>
      </c>
      <c r="P2064" s="17">
        <v>1</v>
      </c>
      <c r="Q2064" s="20">
        <f>+(H2064*400)+(I2064*100)+J2064</f>
        <v>5412</v>
      </c>
      <c r="R2064" s="14">
        <v>160</v>
      </c>
      <c r="S2064" s="20">
        <f>+Q2064*R2064</f>
        <v>865920</v>
      </c>
      <c r="AG2064" s="22">
        <f>Y2064</f>
        <v>0</v>
      </c>
      <c r="AJ2064" s="20">
        <f>+AG2064*AH2064*AI2064</f>
        <v>0</v>
      </c>
      <c r="AM2064" s="20">
        <f>+AJ2064-(AL2064*AJ2064)</f>
        <v>0</v>
      </c>
      <c r="AN2064" s="20">
        <f t="shared" si="368"/>
        <v>865920</v>
      </c>
      <c r="AP2064" s="20">
        <f>AN2064</f>
        <v>865920</v>
      </c>
      <c r="AQ2064" s="12">
        <v>1E-4</v>
      </c>
      <c r="AR2064" s="20"/>
    </row>
    <row r="2065" spans="1:45" ht="30" customHeight="1" x14ac:dyDescent="0.2">
      <c r="A2065" s="8"/>
      <c r="C2065" s="16"/>
      <c r="Q2065" s="20"/>
      <c r="AG2065" s="22"/>
      <c r="AJ2065" s="20"/>
      <c r="AM2065" s="20"/>
      <c r="AN2065" s="20"/>
      <c r="AP2065" s="20"/>
      <c r="AR2065" s="20"/>
    </row>
    <row r="2066" spans="1:45" s="21" customFormat="1" ht="30" customHeight="1" x14ac:dyDescent="0.2">
      <c r="A2066" s="8">
        <v>1767</v>
      </c>
      <c r="B2066" s="46">
        <v>1</v>
      </c>
      <c r="C2066" s="16" t="s">
        <v>52</v>
      </c>
      <c r="D2066" s="48">
        <v>31654</v>
      </c>
      <c r="E2066" s="47">
        <v>162</v>
      </c>
      <c r="F2066" s="48">
        <v>6236</v>
      </c>
      <c r="G2066" s="49">
        <v>2</v>
      </c>
      <c r="H2066" s="48">
        <v>0</v>
      </c>
      <c r="I2066" s="48">
        <v>1</v>
      </c>
      <c r="J2066" s="48">
        <v>84</v>
      </c>
      <c r="K2066" s="3"/>
      <c r="L2066" s="16">
        <v>184</v>
      </c>
      <c r="M2066" s="57"/>
      <c r="N2066" s="58"/>
      <c r="P2066" s="16">
        <v>2</v>
      </c>
      <c r="Q2066" s="20">
        <f t="shared" si="362"/>
        <v>184</v>
      </c>
      <c r="R2066" s="14">
        <v>160</v>
      </c>
      <c r="S2066" s="19">
        <f t="shared" si="363"/>
        <v>29440</v>
      </c>
      <c r="T2066" s="16"/>
      <c r="U2066" s="17" t="s">
        <v>57</v>
      </c>
      <c r="V2066" s="17" t="s">
        <v>56</v>
      </c>
      <c r="W2066" s="4"/>
      <c r="X2066" s="16"/>
      <c r="Y2066" s="5">
        <v>117</v>
      </c>
      <c r="Z2066" s="16"/>
      <c r="AA2066" s="16"/>
      <c r="AB2066" s="16">
        <f>62-25</f>
        <v>37</v>
      </c>
      <c r="AE2066" s="16"/>
      <c r="AG2066" s="22">
        <f t="shared" si="364"/>
        <v>117</v>
      </c>
      <c r="AH2066" s="6"/>
      <c r="AJ2066" s="20">
        <f t="shared" si="365"/>
        <v>0</v>
      </c>
      <c r="AK2066" s="50">
        <v>37</v>
      </c>
      <c r="AL2066" s="6"/>
      <c r="AM2066" s="20">
        <f t="shared" si="366"/>
        <v>0</v>
      </c>
      <c r="AN2066" s="20">
        <f t="shared" si="368"/>
        <v>29440</v>
      </c>
      <c r="AP2066" s="20">
        <f t="shared" si="367"/>
        <v>29440</v>
      </c>
      <c r="AQ2066" s="7"/>
      <c r="AR2066" s="20"/>
      <c r="AS2066" s="51"/>
    </row>
    <row r="2067" spans="1:45" s="21" customFormat="1" ht="30" customHeight="1" x14ac:dyDescent="0.2">
      <c r="A2067" s="8">
        <v>1768</v>
      </c>
      <c r="B2067" s="46">
        <v>1</v>
      </c>
      <c r="C2067" s="16" t="s">
        <v>52</v>
      </c>
      <c r="D2067" s="48">
        <v>3592</v>
      </c>
      <c r="E2067" s="47">
        <v>49</v>
      </c>
      <c r="F2067" s="48">
        <v>2223</v>
      </c>
      <c r="G2067" s="49">
        <v>2</v>
      </c>
      <c r="H2067" s="48">
        <v>0</v>
      </c>
      <c r="I2067" s="48">
        <v>1</v>
      </c>
      <c r="J2067" s="48">
        <v>50</v>
      </c>
      <c r="K2067" s="3"/>
      <c r="L2067" s="16"/>
      <c r="M2067" s="57"/>
      <c r="N2067" s="58">
        <v>150</v>
      </c>
      <c r="P2067" s="16">
        <v>4</v>
      </c>
      <c r="Q2067" s="20">
        <f t="shared" si="362"/>
        <v>150</v>
      </c>
      <c r="R2067" s="14">
        <v>250</v>
      </c>
      <c r="S2067" s="19">
        <f t="shared" si="363"/>
        <v>37500</v>
      </c>
      <c r="T2067" s="16"/>
      <c r="U2067" s="17"/>
      <c r="V2067" s="17"/>
      <c r="W2067" s="5"/>
      <c r="X2067" s="16"/>
      <c r="Y2067" s="5"/>
      <c r="Z2067" s="16"/>
      <c r="AA2067" s="16"/>
      <c r="AB2067" s="16"/>
      <c r="AE2067" s="16"/>
      <c r="AG2067" s="22">
        <f t="shared" si="364"/>
        <v>0</v>
      </c>
      <c r="AH2067" s="6"/>
      <c r="AJ2067" s="20">
        <f t="shared" si="365"/>
        <v>0</v>
      </c>
      <c r="AK2067" s="50"/>
      <c r="AL2067" s="6"/>
      <c r="AM2067" s="20">
        <f t="shared" si="366"/>
        <v>0</v>
      </c>
      <c r="AN2067" s="20">
        <f t="shared" si="368"/>
        <v>37500</v>
      </c>
      <c r="AP2067" s="20">
        <f t="shared" si="367"/>
        <v>37500</v>
      </c>
      <c r="AQ2067" s="7"/>
      <c r="AR2067" s="20"/>
      <c r="AS2067" s="51"/>
    </row>
    <row r="2068" spans="1:45" s="21" customFormat="1" ht="30" customHeight="1" x14ac:dyDescent="0.2">
      <c r="A2068" s="8">
        <v>1769</v>
      </c>
      <c r="B2068" s="46">
        <v>1</v>
      </c>
      <c r="C2068" s="16" t="s">
        <v>52</v>
      </c>
      <c r="D2068" s="48">
        <v>1299</v>
      </c>
      <c r="E2068" s="47">
        <v>15</v>
      </c>
      <c r="F2068" s="48">
        <v>883</v>
      </c>
      <c r="G2068" s="49">
        <v>2</v>
      </c>
      <c r="H2068" s="48">
        <v>0</v>
      </c>
      <c r="I2068" s="48">
        <v>1</v>
      </c>
      <c r="J2068" s="48">
        <v>55</v>
      </c>
      <c r="K2068" s="3"/>
      <c r="L2068" s="16"/>
      <c r="M2068" s="57"/>
      <c r="N2068" s="58">
        <v>155</v>
      </c>
      <c r="P2068" s="16">
        <v>4</v>
      </c>
      <c r="Q2068" s="20">
        <f t="shared" si="362"/>
        <v>155</v>
      </c>
      <c r="R2068" s="14">
        <v>160</v>
      </c>
      <c r="S2068" s="20">
        <f t="shared" si="363"/>
        <v>24800</v>
      </c>
      <c r="T2068" s="16"/>
      <c r="U2068" s="17"/>
      <c r="V2068" s="17"/>
      <c r="W2068" s="5"/>
      <c r="X2068" s="16"/>
      <c r="Y2068" s="5"/>
      <c r="Z2068" s="16"/>
      <c r="AA2068" s="16"/>
      <c r="AB2068" s="16"/>
      <c r="AE2068" s="16"/>
      <c r="AG2068" s="22">
        <f t="shared" si="364"/>
        <v>0</v>
      </c>
      <c r="AH2068" s="6"/>
      <c r="AJ2068" s="20">
        <f t="shared" si="365"/>
        <v>0</v>
      </c>
      <c r="AK2068" s="50"/>
      <c r="AL2068" s="6"/>
      <c r="AM2068" s="20">
        <f t="shared" si="366"/>
        <v>0</v>
      </c>
      <c r="AN2068" s="20">
        <f t="shared" si="368"/>
        <v>24800</v>
      </c>
      <c r="AP2068" s="20">
        <f t="shared" si="367"/>
        <v>24800</v>
      </c>
      <c r="AQ2068" s="7">
        <v>3.0000000000000001E-3</v>
      </c>
      <c r="AR2068" s="20"/>
      <c r="AS2068" s="51"/>
    </row>
    <row r="2069" spans="1:45" s="21" customFormat="1" ht="30" customHeight="1" x14ac:dyDescent="0.2">
      <c r="A2069" s="8">
        <v>1770</v>
      </c>
      <c r="B2069" s="46">
        <v>2</v>
      </c>
      <c r="C2069" s="16" t="s">
        <v>52</v>
      </c>
      <c r="D2069" s="48">
        <v>1874</v>
      </c>
      <c r="E2069" s="47">
        <v>124</v>
      </c>
      <c r="F2069" s="48">
        <v>1264</v>
      </c>
      <c r="G2069" s="49"/>
      <c r="H2069" s="48">
        <v>2</v>
      </c>
      <c r="I2069" s="48">
        <v>3</v>
      </c>
      <c r="J2069" s="48">
        <v>3</v>
      </c>
      <c r="K2069" s="3">
        <v>1103</v>
      </c>
      <c r="L2069" s="16"/>
      <c r="M2069" s="57"/>
      <c r="N2069" s="58"/>
      <c r="P2069" s="16">
        <v>1</v>
      </c>
      <c r="Q2069" s="20">
        <f t="shared" si="362"/>
        <v>1103</v>
      </c>
      <c r="R2069" s="14">
        <v>160</v>
      </c>
      <c r="S2069" s="19">
        <f t="shared" si="363"/>
        <v>176480</v>
      </c>
      <c r="T2069" s="16"/>
      <c r="U2069" s="17" t="s">
        <v>57</v>
      </c>
      <c r="V2069" s="17" t="s">
        <v>56</v>
      </c>
      <c r="W2069" s="4">
        <v>60</v>
      </c>
      <c r="X2069" s="16"/>
      <c r="Y2069" s="5">
        <v>60</v>
      </c>
      <c r="Z2069" s="16"/>
      <c r="AA2069" s="16"/>
      <c r="AB2069" s="16">
        <v>15</v>
      </c>
      <c r="AE2069" s="16"/>
      <c r="AG2069" s="22">
        <f t="shared" si="364"/>
        <v>60</v>
      </c>
      <c r="AH2069" s="6"/>
      <c r="AJ2069" s="20">
        <f t="shared" si="365"/>
        <v>0</v>
      </c>
      <c r="AK2069" s="50"/>
      <c r="AL2069" s="6"/>
      <c r="AM2069" s="20">
        <f t="shared" si="366"/>
        <v>0</v>
      </c>
      <c r="AN2069" s="20">
        <f t="shared" si="368"/>
        <v>176480</v>
      </c>
      <c r="AP2069" s="20">
        <f t="shared" si="367"/>
        <v>176480</v>
      </c>
      <c r="AQ2069" s="7"/>
      <c r="AR2069" s="20"/>
      <c r="AS2069" s="51"/>
    </row>
    <row r="2070" spans="1:45" s="21" customFormat="1" ht="30" customHeight="1" x14ac:dyDescent="0.2">
      <c r="A2070" s="8">
        <v>1771</v>
      </c>
      <c r="B2070" s="46">
        <v>1</v>
      </c>
      <c r="C2070" s="16" t="s">
        <v>52</v>
      </c>
      <c r="D2070" s="48">
        <v>27910</v>
      </c>
      <c r="E2070" s="47">
        <v>214</v>
      </c>
      <c r="F2070" s="48">
        <v>5091</v>
      </c>
      <c r="G2070" s="49">
        <v>2</v>
      </c>
      <c r="H2070" s="48">
        <v>5</v>
      </c>
      <c r="I2070" s="48">
        <v>0</v>
      </c>
      <c r="J2070" s="48">
        <v>28</v>
      </c>
      <c r="K2070" s="3">
        <v>2028</v>
      </c>
      <c r="L2070" s="16"/>
      <c r="M2070" s="57"/>
      <c r="N2070" s="58"/>
      <c r="P2070" s="16">
        <v>1</v>
      </c>
      <c r="Q2070" s="20">
        <f t="shared" si="362"/>
        <v>2028</v>
      </c>
      <c r="R2070" s="14">
        <v>160</v>
      </c>
      <c r="S2070" s="19">
        <f t="shared" si="363"/>
        <v>324480</v>
      </c>
      <c r="T2070" s="16"/>
      <c r="U2070" s="17"/>
      <c r="V2070" s="17"/>
      <c r="W2070" s="4"/>
      <c r="X2070" s="16"/>
      <c r="Y2070" s="5"/>
      <c r="Z2070" s="16"/>
      <c r="AA2070" s="16"/>
      <c r="AB2070" s="16"/>
      <c r="AE2070" s="16"/>
      <c r="AG2070" s="22">
        <f t="shared" si="364"/>
        <v>0</v>
      </c>
      <c r="AH2070" s="6"/>
      <c r="AJ2070" s="20">
        <f t="shared" si="365"/>
        <v>0</v>
      </c>
      <c r="AK2070" s="50"/>
      <c r="AL2070" s="6"/>
      <c r="AM2070" s="20">
        <f t="shared" si="366"/>
        <v>0</v>
      </c>
      <c r="AN2070" s="20">
        <f t="shared" si="368"/>
        <v>324480</v>
      </c>
      <c r="AP2070" s="20">
        <f t="shared" si="367"/>
        <v>324480</v>
      </c>
      <c r="AQ2070" s="7"/>
      <c r="AR2070" s="20"/>
      <c r="AS2070" s="51"/>
    </row>
    <row r="2071" spans="1:45" s="21" customFormat="1" ht="30" customHeight="1" x14ac:dyDescent="0.2">
      <c r="A2071" s="8">
        <v>1772</v>
      </c>
      <c r="B2071" s="46">
        <v>1</v>
      </c>
      <c r="C2071" s="16" t="s">
        <v>52</v>
      </c>
      <c r="D2071" s="48">
        <v>27909</v>
      </c>
      <c r="E2071" s="47">
        <v>213</v>
      </c>
      <c r="F2071" s="48">
        <v>5090</v>
      </c>
      <c r="G2071" s="49">
        <v>2</v>
      </c>
      <c r="H2071" s="48">
        <v>4</v>
      </c>
      <c r="I2071" s="48">
        <v>0</v>
      </c>
      <c r="J2071" s="48">
        <v>72</v>
      </c>
      <c r="K2071" s="3">
        <v>1672</v>
      </c>
      <c r="L2071" s="16"/>
      <c r="M2071" s="57"/>
      <c r="N2071" s="58"/>
      <c r="P2071" s="16">
        <v>1</v>
      </c>
      <c r="Q2071" s="20">
        <f t="shared" si="362"/>
        <v>1672</v>
      </c>
      <c r="R2071" s="14">
        <v>160</v>
      </c>
      <c r="S2071" s="20">
        <f t="shared" si="363"/>
        <v>267520</v>
      </c>
      <c r="T2071" s="16"/>
      <c r="U2071" s="17"/>
      <c r="V2071" s="17"/>
      <c r="W2071" s="4"/>
      <c r="X2071" s="16"/>
      <c r="Y2071" s="5"/>
      <c r="Z2071" s="16"/>
      <c r="AA2071" s="16"/>
      <c r="AB2071" s="16"/>
      <c r="AE2071" s="16" t="s">
        <v>192</v>
      </c>
      <c r="AG2071" s="22">
        <f t="shared" si="364"/>
        <v>0</v>
      </c>
      <c r="AH2071" s="6"/>
      <c r="AJ2071" s="20">
        <f t="shared" si="365"/>
        <v>0</v>
      </c>
      <c r="AK2071" s="50"/>
      <c r="AL2071" s="6"/>
      <c r="AM2071" s="20">
        <f t="shared" si="366"/>
        <v>0</v>
      </c>
      <c r="AN2071" s="20">
        <f t="shared" si="368"/>
        <v>267520</v>
      </c>
      <c r="AP2071" s="20">
        <f t="shared" si="367"/>
        <v>267520</v>
      </c>
      <c r="AQ2071" s="7"/>
      <c r="AR2071" s="20"/>
      <c r="AS2071" s="51"/>
    </row>
    <row r="2072" spans="1:45" s="21" customFormat="1" ht="30" customHeight="1" x14ac:dyDescent="0.2">
      <c r="A2072" s="8"/>
      <c r="B2072" s="46"/>
      <c r="C2072" s="16"/>
      <c r="D2072" s="48"/>
      <c r="E2072" s="47"/>
      <c r="F2072" s="48"/>
      <c r="G2072" s="49"/>
      <c r="H2072" s="48"/>
      <c r="I2072" s="48"/>
      <c r="J2072" s="48"/>
      <c r="K2072" s="3"/>
      <c r="L2072" s="16"/>
      <c r="M2072" s="57"/>
      <c r="N2072" s="58"/>
      <c r="P2072" s="16"/>
      <c r="Q2072" s="20">
        <f t="shared" si="362"/>
        <v>0</v>
      </c>
      <c r="R2072" s="14" t="e">
        <v>#N/A</v>
      </c>
      <c r="S2072" s="19" t="e">
        <f t="shared" si="363"/>
        <v>#N/A</v>
      </c>
      <c r="T2072" s="16"/>
      <c r="U2072" s="17"/>
      <c r="V2072" s="17"/>
      <c r="W2072" s="4"/>
      <c r="X2072" s="16"/>
      <c r="Y2072" s="5"/>
      <c r="Z2072" s="16"/>
      <c r="AA2072" s="16"/>
      <c r="AB2072" s="16"/>
      <c r="AE2072" s="16"/>
      <c r="AG2072" s="22">
        <f t="shared" si="364"/>
        <v>0</v>
      </c>
      <c r="AH2072" s="6"/>
      <c r="AJ2072" s="20">
        <f t="shared" si="365"/>
        <v>0</v>
      </c>
      <c r="AK2072" s="50"/>
      <c r="AL2072" s="6"/>
      <c r="AM2072" s="20">
        <f t="shared" si="366"/>
        <v>0</v>
      </c>
      <c r="AN2072" s="20" t="e">
        <f t="shared" si="368"/>
        <v>#N/A</v>
      </c>
      <c r="AP2072" s="20" t="e">
        <f t="shared" si="367"/>
        <v>#N/A</v>
      </c>
      <c r="AQ2072" s="7"/>
      <c r="AR2072" s="20"/>
      <c r="AS2072" s="51"/>
    </row>
    <row r="2073" spans="1:45" s="21" customFormat="1" ht="30" customHeight="1" x14ac:dyDescent="0.2">
      <c r="A2073" s="8">
        <v>1773</v>
      </c>
      <c r="B2073" s="46">
        <v>1</v>
      </c>
      <c r="C2073" s="16" t="s">
        <v>52</v>
      </c>
      <c r="D2073" s="48">
        <v>1301</v>
      </c>
      <c r="E2073" s="47">
        <v>17</v>
      </c>
      <c r="F2073" s="48">
        <v>885</v>
      </c>
      <c r="G2073" s="49">
        <v>2</v>
      </c>
      <c r="H2073" s="48">
        <v>0</v>
      </c>
      <c r="I2073" s="48">
        <v>0</v>
      </c>
      <c r="J2073" s="48">
        <v>49</v>
      </c>
      <c r="K2073" s="3"/>
      <c r="L2073" s="16">
        <v>49</v>
      </c>
      <c r="M2073" s="57"/>
      <c r="N2073" s="58"/>
      <c r="P2073" s="16">
        <v>2</v>
      </c>
      <c r="Q2073" s="20">
        <f t="shared" si="362"/>
        <v>49</v>
      </c>
      <c r="R2073" s="14">
        <v>250</v>
      </c>
      <c r="S2073" s="19">
        <f t="shared" si="363"/>
        <v>12250</v>
      </c>
      <c r="T2073" s="16"/>
      <c r="U2073" s="17" t="s">
        <v>63</v>
      </c>
      <c r="V2073" s="17" t="s">
        <v>56</v>
      </c>
      <c r="W2073" s="5"/>
      <c r="X2073" s="16"/>
      <c r="Y2073" s="5">
        <v>100</v>
      </c>
      <c r="Z2073" s="16"/>
      <c r="AA2073" s="16"/>
      <c r="AB2073" s="16">
        <f>62-31</f>
        <v>31</v>
      </c>
      <c r="AC2073" s="14"/>
      <c r="AD2073" s="14"/>
      <c r="AE2073" s="16"/>
      <c r="AG2073" s="22">
        <f t="shared" si="364"/>
        <v>100</v>
      </c>
      <c r="AH2073" s="6"/>
      <c r="AJ2073" s="20">
        <f t="shared" si="365"/>
        <v>0</v>
      </c>
      <c r="AK2073" s="50">
        <v>31</v>
      </c>
      <c r="AL2073" s="6"/>
      <c r="AM2073" s="20">
        <f t="shared" si="366"/>
        <v>0</v>
      </c>
      <c r="AN2073" s="20">
        <f t="shared" si="368"/>
        <v>12250</v>
      </c>
      <c r="AP2073" s="20">
        <f t="shared" si="367"/>
        <v>12250</v>
      </c>
      <c r="AQ2073" s="7"/>
      <c r="AR2073" s="20"/>
      <c r="AS2073" s="51"/>
    </row>
    <row r="2074" spans="1:45" s="21" customFormat="1" ht="30" customHeight="1" x14ac:dyDescent="0.2">
      <c r="A2074" s="8">
        <v>1774</v>
      </c>
      <c r="B2074" s="46">
        <v>2</v>
      </c>
      <c r="C2074" s="16" t="s">
        <v>52</v>
      </c>
      <c r="D2074" s="48">
        <v>1829</v>
      </c>
      <c r="E2074" s="47">
        <v>129</v>
      </c>
      <c r="F2074" s="48">
        <v>1219</v>
      </c>
      <c r="G2074" s="49">
        <v>2</v>
      </c>
      <c r="H2074" s="48">
        <v>5</v>
      </c>
      <c r="I2074" s="48">
        <v>2</v>
      </c>
      <c r="J2074" s="48">
        <v>86.09</v>
      </c>
      <c r="K2074" s="3">
        <v>2286.09</v>
      </c>
      <c r="L2074" s="16"/>
      <c r="M2074" s="57"/>
      <c r="N2074" s="58"/>
      <c r="P2074" s="16">
        <v>1</v>
      </c>
      <c r="Q2074" s="20">
        <f t="shared" si="362"/>
        <v>2286.09</v>
      </c>
      <c r="R2074" s="14">
        <v>160</v>
      </c>
      <c r="S2074" s="19">
        <f t="shared" si="363"/>
        <v>365774.4</v>
      </c>
      <c r="T2074" s="16"/>
      <c r="U2074" s="17"/>
      <c r="V2074" s="17"/>
      <c r="W2074" s="5"/>
      <c r="X2074" s="16"/>
      <c r="Y2074" s="5"/>
      <c r="Z2074" s="16"/>
      <c r="AA2074" s="16"/>
      <c r="AB2074" s="16"/>
      <c r="AE2074" s="16"/>
      <c r="AG2074" s="22">
        <f t="shared" si="364"/>
        <v>0</v>
      </c>
      <c r="AH2074" s="6"/>
      <c r="AJ2074" s="20">
        <f t="shared" si="365"/>
        <v>0</v>
      </c>
      <c r="AK2074" s="50"/>
      <c r="AL2074" s="6"/>
      <c r="AM2074" s="20">
        <f t="shared" si="366"/>
        <v>0</v>
      </c>
      <c r="AN2074" s="20">
        <f t="shared" si="368"/>
        <v>365774.4</v>
      </c>
      <c r="AP2074" s="20">
        <f t="shared" si="367"/>
        <v>365774.4</v>
      </c>
      <c r="AQ2074" s="7"/>
      <c r="AR2074" s="20"/>
      <c r="AS2074" s="51"/>
    </row>
    <row r="2075" spans="1:45" s="21" customFormat="1" ht="30" customHeight="1" x14ac:dyDescent="0.2">
      <c r="A2075" s="8">
        <v>1775</v>
      </c>
      <c r="B2075" s="46">
        <v>3</v>
      </c>
      <c r="C2075" s="16" t="s">
        <v>52</v>
      </c>
      <c r="D2075" s="48">
        <v>14118</v>
      </c>
      <c r="E2075" s="47">
        <v>119</v>
      </c>
      <c r="F2075" s="48">
        <v>3334</v>
      </c>
      <c r="G2075" s="49">
        <v>2</v>
      </c>
      <c r="H2075" s="48">
        <v>0</v>
      </c>
      <c r="I2075" s="48">
        <v>0</v>
      </c>
      <c r="J2075" s="48">
        <v>38</v>
      </c>
      <c r="K2075" s="3"/>
      <c r="L2075" s="16">
        <v>38</v>
      </c>
      <c r="M2075" s="57"/>
      <c r="N2075" s="58"/>
      <c r="P2075" s="16">
        <v>2</v>
      </c>
      <c r="Q2075" s="20">
        <f t="shared" si="362"/>
        <v>38</v>
      </c>
      <c r="R2075" s="14">
        <v>250</v>
      </c>
      <c r="S2075" s="20">
        <f t="shared" si="363"/>
        <v>9500</v>
      </c>
      <c r="T2075" s="16"/>
      <c r="U2075" s="17" t="s">
        <v>63</v>
      </c>
      <c r="V2075" s="17" t="s">
        <v>56</v>
      </c>
      <c r="W2075" s="4"/>
      <c r="X2075" s="16"/>
      <c r="Y2075" s="5">
        <v>100</v>
      </c>
      <c r="Z2075" s="16"/>
      <c r="AA2075" s="16"/>
      <c r="AB2075" s="16">
        <f>62-31</f>
        <v>31</v>
      </c>
      <c r="AC2075" s="14"/>
      <c r="AD2075" s="14"/>
      <c r="AE2075" s="16"/>
      <c r="AG2075" s="22">
        <f t="shared" si="364"/>
        <v>100</v>
      </c>
      <c r="AH2075" s="6"/>
      <c r="AJ2075" s="20">
        <f t="shared" si="365"/>
        <v>0</v>
      </c>
      <c r="AK2075" s="50">
        <v>31</v>
      </c>
      <c r="AL2075" s="6"/>
      <c r="AM2075" s="20">
        <f t="shared" si="366"/>
        <v>0</v>
      </c>
      <c r="AN2075" s="20">
        <f t="shared" si="368"/>
        <v>9500</v>
      </c>
      <c r="AP2075" s="20">
        <f t="shared" si="367"/>
        <v>9500</v>
      </c>
      <c r="AQ2075" s="7"/>
      <c r="AR2075" s="20"/>
      <c r="AS2075" s="51"/>
    </row>
    <row r="2076" spans="1:45" s="21" customFormat="1" ht="30" customHeight="1" x14ac:dyDescent="0.2">
      <c r="A2076" s="8">
        <v>1776</v>
      </c>
      <c r="B2076" s="46">
        <v>4</v>
      </c>
      <c r="C2076" s="16" t="s">
        <v>52</v>
      </c>
      <c r="D2076" s="48">
        <v>29756</v>
      </c>
      <c r="E2076" s="47">
        <v>153</v>
      </c>
      <c r="F2076" s="48">
        <v>5346</v>
      </c>
      <c r="G2076" s="49">
        <v>2</v>
      </c>
      <c r="H2076" s="48">
        <v>0</v>
      </c>
      <c r="I2076" s="48">
        <v>0</v>
      </c>
      <c r="J2076" s="48">
        <v>68.040000000000006</v>
      </c>
      <c r="K2076" s="3"/>
      <c r="L2076" s="16">
        <v>68.040000000000006</v>
      </c>
      <c r="M2076" s="57"/>
      <c r="N2076" s="58"/>
      <c r="P2076" s="16">
        <v>2</v>
      </c>
      <c r="Q2076" s="20">
        <f t="shared" si="362"/>
        <v>68.040000000000006</v>
      </c>
      <c r="R2076" s="14">
        <v>160</v>
      </c>
      <c r="S2076" s="19">
        <f t="shared" si="363"/>
        <v>10886.400000000001</v>
      </c>
      <c r="T2076" s="16"/>
      <c r="U2076" s="17"/>
      <c r="V2076" s="17"/>
      <c r="W2076" s="4"/>
      <c r="X2076" s="16"/>
      <c r="Y2076" s="5"/>
      <c r="Z2076" s="16"/>
      <c r="AA2076" s="16"/>
      <c r="AB2076" s="16"/>
      <c r="AC2076" s="14"/>
      <c r="AD2076" s="14"/>
      <c r="AE2076" s="16"/>
      <c r="AG2076" s="22">
        <f t="shared" si="364"/>
        <v>0</v>
      </c>
      <c r="AH2076" s="6"/>
      <c r="AJ2076" s="20">
        <f t="shared" si="365"/>
        <v>0</v>
      </c>
      <c r="AK2076" s="50"/>
      <c r="AL2076" s="6"/>
      <c r="AM2076" s="20">
        <f t="shared" si="366"/>
        <v>0</v>
      </c>
      <c r="AN2076" s="20">
        <f t="shared" si="368"/>
        <v>10886.400000000001</v>
      </c>
      <c r="AP2076" s="20">
        <f t="shared" si="367"/>
        <v>10886.400000000001</v>
      </c>
      <c r="AQ2076" s="7"/>
      <c r="AR2076" s="20"/>
      <c r="AS2076" s="51"/>
    </row>
    <row r="2077" spans="1:45" s="21" customFormat="1" ht="30" customHeight="1" x14ac:dyDescent="0.2">
      <c r="A2077" s="8">
        <v>1777</v>
      </c>
      <c r="B2077" s="46">
        <v>5</v>
      </c>
      <c r="C2077" s="16" t="s">
        <v>52</v>
      </c>
      <c r="D2077" s="48">
        <v>29757</v>
      </c>
      <c r="E2077" s="47">
        <v>154</v>
      </c>
      <c r="F2077" s="48">
        <v>5347</v>
      </c>
      <c r="G2077" s="49">
        <v>2</v>
      </c>
      <c r="H2077" s="48">
        <v>0</v>
      </c>
      <c r="I2077" s="48">
        <v>0</v>
      </c>
      <c r="J2077" s="48">
        <v>68</v>
      </c>
      <c r="K2077" s="3"/>
      <c r="L2077" s="16">
        <v>68</v>
      </c>
      <c r="M2077" s="57"/>
      <c r="N2077" s="58"/>
      <c r="P2077" s="16">
        <v>2</v>
      </c>
      <c r="Q2077" s="20">
        <f t="shared" si="362"/>
        <v>68</v>
      </c>
      <c r="R2077" s="14">
        <v>160</v>
      </c>
      <c r="S2077" s="20">
        <f t="shared" si="363"/>
        <v>10880</v>
      </c>
      <c r="T2077" s="16"/>
      <c r="U2077" s="17" t="s">
        <v>57</v>
      </c>
      <c r="V2077" s="17" t="s">
        <v>56</v>
      </c>
      <c r="W2077" s="4"/>
      <c r="X2077" s="16"/>
      <c r="Y2077" s="5">
        <v>120</v>
      </c>
      <c r="Z2077" s="16"/>
      <c r="AA2077" s="16"/>
      <c r="AB2077" s="16">
        <f>62-39</f>
        <v>23</v>
      </c>
      <c r="AE2077" s="16"/>
      <c r="AG2077" s="22">
        <f t="shared" si="364"/>
        <v>120</v>
      </c>
      <c r="AH2077" s="6"/>
      <c r="AJ2077" s="20">
        <f t="shared" si="365"/>
        <v>0</v>
      </c>
      <c r="AK2077" s="50">
        <v>23</v>
      </c>
      <c r="AL2077" s="6"/>
      <c r="AM2077" s="20">
        <f t="shared" si="366"/>
        <v>0</v>
      </c>
      <c r="AN2077" s="20">
        <f t="shared" si="368"/>
        <v>10880</v>
      </c>
      <c r="AP2077" s="20">
        <f t="shared" si="367"/>
        <v>10880</v>
      </c>
      <c r="AQ2077" s="7"/>
      <c r="AR2077" s="20"/>
      <c r="AS2077" s="51"/>
    </row>
    <row r="2078" spans="1:45" s="21" customFormat="1" ht="30" customHeight="1" x14ac:dyDescent="0.2">
      <c r="A2078" s="8">
        <v>1778</v>
      </c>
      <c r="B2078" s="46">
        <v>6</v>
      </c>
      <c r="C2078" s="16" t="s">
        <v>52</v>
      </c>
      <c r="D2078" s="48">
        <v>31652</v>
      </c>
      <c r="E2078" s="47">
        <v>160</v>
      </c>
      <c r="F2078" s="48">
        <v>6234</v>
      </c>
      <c r="G2078" s="49">
        <v>2</v>
      </c>
      <c r="H2078" s="48">
        <v>0</v>
      </c>
      <c r="I2078" s="48">
        <v>0</v>
      </c>
      <c r="J2078" s="48">
        <v>58</v>
      </c>
      <c r="K2078" s="3"/>
      <c r="L2078" s="16">
        <v>58</v>
      </c>
      <c r="M2078" s="57"/>
      <c r="N2078" s="58"/>
      <c r="P2078" s="16">
        <v>2</v>
      </c>
      <c r="Q2078" s="20">
        <f>+(H2078*400)+(I2078*100)+J2078</f>
        <v>58</v>
      </c>
      <c r="R2078" s="14">
        <v>160</v>
      </c>
      <c r="S2078" s="19">
        <f>+Q2078*R2078</f>
        <v>9280</v>
      </c>
      <c r="T2078" s="16"/>
      <c r="U2078" s="17" t="s">
        <v>63</v>
      </c>
      <c r="V2078" s="17" t="s">
        <v>56</v>
      </c>
      <c r="W2078" s="4"/>
      <c r="X2078" s="16"/>
      <c r="Y2078" s="5">
        <v>90</v>
      </c>
      <c r="Z2078" s="16"/>
      <c r="AA2078" s="16"/>
      <c r="AB2078" s="16">
        <f>62-51</f>
        <v>11</v>
      </c>
      <c r="AC2078" s="14"/>
      <c r="AD2078" s="14"/>
      <c r="AE2078" s="16"/>
      <c r="AG2078" s="22">
        <f>Y2078</f>
        <v>90</v>
      </c>
      <c r="AH2078" s="6"/>
      <c r="AJ2078" s="20">
        <f>+AG2078*AH2078*AI2078</f>
        <v>0</v>
      </c>
      <c r="AK2078" s="50">
        <v>11</v>
      </c>
      <c r="AL2078" s="6"/>
      <c r="AM2078" s="20">
        <f>+AJ2078-(AL2078*AJ2078)</f>
        <v>0</v>
      </c>
      <c r="AN2078" s="20">
        <f t="shared" si="368"/>
        <v>9280</v>
      </c>
      <c r="AP2078" s="20">
        <f>AN2078</f>
        <v>9280</v>
      </c>
      <c r="AQ2078" s="7"/>
      <c r="AR2078" s="20"/>
      <c r="AS2078" s="51"/>
    </row>
    <row r="2079" spans="1:45" s="21" customFormat="1" ht="30" customHeight="1" x14ac:dyDescent="0.2">
      <c r="A2079" s="8">
        <v>1779</v>
      </c>
      <c r="B2079" s="46">
        <v>7</v>
      </c>
      <c r="C2079" s="16" t="s">
        <v>52</v>
      </c>
      <c r="D2079" s="48">
        <v>33203</v>
      </c>
      <c r="E2079" s="47">
        <v>179</v>
      </c>
      <c r="F2079" s="48">
        <v>5830</v>
      </c>
      <c r="G2079" s="49">
        <v>2</v>
      </c>
      <c r="H2079" s="48">
        <v>4</v>
      </c>
      <c r="I2079" s="48">
        <v>3</v>
      </c>
      <c r="J2079" s="48">
        <v>44</v>
      </c>
      <c r="K2079" s="3">
        <v>1944</v>
      </c>
      <c r="L2079" s="16"/>
      <c r="M2079" s="57"/>
      <c r="N2079" s="58"/>
      <c r="P2079" s="16">
        <v>1</v>
      </c>
      <c r="Q2079" s="20">
        <f>+(H2079*400)+(I2079*100)+J2079</f>
        <v>1944</v>
      </c>
      <c r="R2079" s="14">
        <v>160</v>
      </c>
      <c r="S2079" s="20">
        <f>+Q2079*R2079</f>
        <v>311040</v>
      </c>
      <c r="T2079" s="16"/>
      <c r="U2079" s="17"/>
      <c r="V2079" s="17"/>
      <c r="W2079" s="4"/>
      <c r="X2079" s="16"/>
      <c r="Y2079" s="5"/>
      <c r="Z2079" s="16"/>
      <c r="AA2079" s="16"/>
      <c r="AB2079" s="16"/>
      <c r="AC2079" s="14"/>
      <c r="AD2079" s="14"/>
      <c r="AE2079" s="16"/>
      <c r="AG2079" s="22">
        <f>Y2079</f>
        <v>0</v>
      </c>
      <c r="AH2079" s="6"/>
      <c r="AJ2079" s="20">
        <f>+AG2079*AH2079*AI2079</f>
        <v>0</v>
      </c>
      <c r="AK2079" s="50"/>
      <c r="AL2079" s="6"/>
      <c r="AM2079" s="20">
        <f>+AJ2079-(AL2079*AJ2079)</f>
        <v>0</v>
      </c>
      <c r="AN2079" s="20">
        <f t="shared" si="368"/>
        <v>311040</v>
      </c>
      <c r="AP2079" s="20">
        <f>AN2079</f>
        <v>311040</v>
      </c>
      <c r="AQ2079" s="7"/>
      <c r="AR2079" s="20"/>
      <c r="AS2079" s="51"/>
    </row>
    <row r="2080" spans="1:45" s="21" customFormat="1" ht="30" customHeight="1" x14ac:dyDescent="0.2">
      <c r="A2080" s="8">
        <v>1780</v>
      </c>
      <c r="B2080" s="46">
        <v>8</v>
      </c>
      <c r="C2080" s="16" t="s">
        <v>52</v>
      </c>
      <c r="D2080" s="48">
        <v>33204</v>
      </c>
      <c r="E2080" s="47">
        <v>157</v>
      </c>
      <c r="F2080" s="48">
        <v>5831</v>
      </c>
      <c r="G2080" s="49">
        <v>2</v>
      </c>
      <c r="H2080" s="48">
        <v>4</v>
      </c>
      <c r="I2080" s="48">
        <v>2</v>
      </c>
      <c r="J2080" s="48">
        <v>66</v>
      </c>
      <c r="K2080" s="3">
        <f>1866-L2080</f>
        <v>1805.25</v>
      </c>
      <c r="L2080" s="16">
        <f>243/4</f>
        <v>60.75</v>
      </c>
      <c r="M2080" s="57"/>
      <c r="N2080" s="58"/>
      <c r="P2080" s="16">
        <v>5</v>
      </c>
      <c r="Q2080" s="20">
        <f>+(H2080*400)+(I2080*100)+J2080</f>
        <v>1866</v>
      </c>
      <c r="R2080" s="14">
        <v>160</v>
      </c>
      <c r="S2080" s="19">
        <f>+Q2080*R2080</f>
        <v>298560</v>
      </c>
      <c r="T2080" s="16"/>
      <c r="U2080" s="17" t="s">
        <v>57</v>
      </c>
      <c r="V2080" s="17" t="s">
        <v>56</v>
      </c>
      <c r="W2080" s="5"/>
      <c r="X2080" s="16"/>
      <c r="Y2080" s="5">
        <v>243</v>
      </c>
      <c r="Z2080" s="16"/>
      <c r="AA2080" s="16"/>
      <c r="AB2080" s="16">
        <f>62-47</f>
        <v>15</v>
      </c>
      <c r="AE2080" s="16"/>
      <c r="AG2080" s="22">
        <f>Y2080</f>
        <v>243</v>
      </c>
      <c r="AH2080" s="6"/>
      <c r="AJ2080" s="20">
        <f>+AG2080*AH2080*AI2080</f>
        <v>0</v>
      </c>
      <c r="AK2080" s="50">
        <v>15</v>
      </c>
      <c r="AL2080" s="6"/>
      <c r="AM2080" s="20">
        <f>+AJ2080-(AL2080*AJ2080)</f>
        <v>0</v>
      </c>
      <c r="AN2080" s="20">
        <f t="shared" si="368"/>
        <v>298560</v>
      </c>
      <c r="AP2080" s="20">
        <f>AN2080</f>
        <v>298560</v>
      </c>
      <c r="AQ2080" s="7"/>
      <c r="AR2080" s="20"/>
      <c r="AS2080" s="51"/>
    </row>
    <row r="2081" spans="1:45" ht="30" customHeight="1" x14ac:dyDescent="0.2">
      <c r="R2081" s="14" t="e">
        <v>#N/A</v>
      </c>
    </row>
    <row r="2082" spans="1:45" s="21" customFormat="1" ht="30" customHeight="1" x14ac:dyDescent="0.2">
      <c r="A2082" s="8">
        <v>1781</v>
      </c>
      <c r="B2082" s="46">
        <v>1</v>
      </c>
      <c r="C2082" s="16" t="s">
        <v>52</v>
      </c>
      <c r="D2082" s="48">
        <v>14121</v>
      </c>
      <c r="E2082" s="47">
        <v>122</v>
      </c>
      <c r="F2082" s="48">
        <v>3337</v>
      </c>
      <c r="G2082" s="49">
        <v>2</v>
      </c>
      <c r="H2082" s="48">
        <v>0</v>
      </c>
      <c r="I2082" s="48">
        <v>1</v>
      </c>
      <c r="J2082" s="48">
        <v>27</v>
      </c>
      <c r="K2082" s="3"/>
      <c r="L2082" s="16">
        <v>127</v>
      </c>
      <c r="M2082" s="57"/>
      <c r="N2082" s="58"/>
      <c r="P2082" s="16">
        <v>2</v>
      </c>
      <c r="Q2082" s="20">
        <f t="shared" ref="Q2082:Q2145" si="369">+(H2082*400)+(I2082*100)+J2082</f>
        <v>127</v>
      </c>
      <c r="R2082" s="14">
        <v>250</v>
      </c>
      <c r="S2082" s="19">
        <f t="shared" ref="S2082:S2145" si="370">+Q2082*R2082</f>
        <v>31750</v>
      </c>
      <c r="T2082" s="16"/>
      <c r="U2082" s="17" t="s">
        <v>57</v>
      </c>
      <c r="V2082" s="17" t="s">
        <v>56</v>
      </c>
      <c r="W2082" s="4"/>
      <c r="X2082" s="16"/>
      <c r="Y2082" s="5">
        <v>90</v>
      </c>
      <c r="Z2082" s="16"/>
      <c r="AA2082" s="16"/>
      <c r="AB2082" s="16">
        <f>62-32</f>
        <v>30</v>
      </c>
      <c r="AE2082" s="16"/>
      <c r="AG2082" s="22">
        <f t="shared" ref="AG2082:AG2132" si="371">Y2082</f>
        <v>90</v>
      </c>
      <c r="AH2082" s="6"/>
      <c r="AJ2082" s="20">
        <f t="shared" ref="AJ2082:AJ2145" si="372">+AG2082*AH2082*AI2082</f>
        <v>0</v>
      </c>
      <c r="AK2082" s="50">
        <v>30</v>
      </c>
      <c r="AL2082" s="6"/>
      <c r="AM2082" s="20">
        <f t="shared" ref="AM2082:AM2145" si="373">+AJ2082-(AL2082*AJ2082)</f>
        <v>0</v>
      </c>
      <c r="AN2082" s="20">
        <f t="shared" ref="AN2082:AN2113" si="374">+S2082+AM2082</f>
        <v>31750</v>
      </c>
      <c r="AP2082" s="20">
        <f t="shared" ref="AP2082:AP2145" si="375">AN2082</f>
        <v>31750</v>
      </c>
      <c r="AQ2082" s="7"/>
      <c r="AR2082" s="20"/>
      <c r="AS2082" s="51"/>
    </row>
    <row r="2083" spans="1:45" s="21" customFormat="1" ht="30" customHeight="1" x14ac:dyDescent="0.2">
      <c r="A2083" s="8">
        <v>1782</v>
      </c>
      <c r="B2083" s="46">
        <v>1</v>
      </c>
      <c r="C2083" s="16" t="s">
        <v>52</v>
      </c>
      <c r="D2083" s="48">
        <v>36378</v>
      </c>
      <c r="E2083" s="47">
        <v>333</v>
      </c>
      <c r="F2083" s="48">
        <v>3673</v>
      </c>
      <c r="G2083" s="49">
        <v>1</v>
      </c>
      <c r="H2083" s="48">
        <v>0</v>
      </c>
      <c r="I2083" s="48">
        <v>0</v>
      </c>
      <c r="J2083" s="48">
        <v>19</v>
      </c>
      <c r="K2083" s="3"/>
      <c r="L2083" s="16">
        <v>19</v>
      </c>
      <c r="M2083" s="57"/>
      <c r="N2083" s="58"/>
      <c r="P2083" s="16">
        <v>2</v>
      </c>
      <c r="Q2083" s="20">
        <f t="shared" si="369"/>
        <v>19</v>
      </c>
      <c r="R2083" s="14">
        <v>4500</v>
      </c>
      <c r="S2083" s="20">
        <f t="shared" si="370"/>
        <v>85500</v>
      </c>
      <c r="T2083" s="16"/>
      <c r="U2083" s="17"/>
      <c r="V2083" s="17"/>
      <c r="W2083" s="5"/>
      <c r="X2083" s="16"/>
      <c r="Y2083" s="5"/>
      <c r="Z2083" s="16"/>
      <c r="AA2083" s="16"/>
      <c r="AB2083" s="16"/>
      <c r="AE2083" s="16"/>
      <c r="AG2083" s="22">
        <f t="shared" si="371"/>
        <v>0</v>
      </c>
      <c r="AH2083" s="6"/>
      <c r="AJ2083" s="20">
        <f t="shared" si="372"/>
        <v>0</v>
      </c>
      <c r="AK2083" s="50"/>
      <c r="AL2083" s="6"/>
      <c r="AM2083" s="20">
        <f t="shared" si="373"/>
        <v>0</v>
      </c>
      <c r="AN2083" s="20">
        <f t="shared" si="374"/>
        <v>85500</v>
      </c>
      <c r="AP2083" s="20">
        <f t="shared" si="375"/>
        <v>85500</v>
      </c>
      <c r="AQ2083" s="7"/>
      <c r="AR2083" s="60"/>
      <c r="AS2083" s="128">
        <v>106</v>
      </c>
    </row>
    <row r="2084" spans="1:45" s="21" customFormat="1" ht="30" customHeight="1" x14ac:dyDescent="0.2">
      <c r="A2084" s="8">
        <v>1783</v>
      </c>
      <c r="B2084" s="46">
        <v>2</v>
      </c>
      <c r="C2084" s="16" t="s">
        <v>52</v>
      </c>
      <c r="D2084" s="48">
        <v>392</v>
      </c>
      <c r="E2084" s="47">
        <v>508</v>
      </c>
      <c r="F2084" s="48">
        <v>44</v>
      </c>
      <c r="G2084" s="49">
        <v>2</v>
      </c>
      <c r="H2084" s="48">
        <v>0</v>
      </c>
      <c r="I2084" s="48">
        <v>1</v>
      </c>
      <c r="J2084" s="48">
        <v>62</v>
      </c>
      <c r="K2084" s="3"/>
      <c r="L2084" s="16">
        <v>162</v>
      </c>
      <c r="M2084" s="57"/>
      <c r="N2084" s="58"/>
      <c r="P2084" s="16">
        <v>2</v>
      </c>
      <c r="Q2084" s="20">
        <f t="shared" si="369"/>
        <v>162</v>
      </c>
      <c r="R2084" s="14">
        <v>2250</v>
      </c>
      <c r="S2084" s="19">
        <f t="shared" si="370"/>
        <v>364500</v>
      </c>
      <c r="T2084" s="16"/>
      <c r="U2084" s="17"/>
      <c r="V2084" s="17"/>
      <c r="W2084" s="4"/>
      <c r="X2084" s="16"/>
      <c r="Y2084" s="5"/>
      <c r="Z2084" s="16"/>
      <c r="AA2084" s="16"/>
      <c r="AB2084" s="16"/>
      <c r="AE2084" s="16"/>
      <c r="AG2084" s="22">
        <f t="shared" si="371"/>
        <v>0</v>
      </c>
      <c r="AH2084" s="6"/>
      <c r="AJ2084" s="20">
        <f t="shared" si="372"/>
        <v>0</v>
      </c>
      <c r="AK2084" s="50"/>
      <c r="AL2084" s="6"/>
      <c r="AM2084" s="20">
        <f t="shared" si="373"/>
        <v>0</v>
      </c>
      <c r="AN2084" s="20">
        <f t="shared" si="374"/>
        <v>364500</v>
      </c>
      <c r="AP2084" s="20">
        <f t="shared" si="375"/>
        <v>364500</v>
      </c>
      <c r="AQ2084" s="7"/>
      <c r="AR2084" s="24"/>
      <c r="AS2084" s="129"/>
    </row>
    <row r="2085" spans="1:45" s="21" customFormat="1" ht="30" customHeight="1" x14ac:dyDescent="0.2">
      <c r="A2085" s="8">
        <v>1784</v>
      </c>
      <c r="B2085" s="46">
        <v>3</v>
      </c>
      <c r="C2085" s="16" t="s">
        <v>52</v>
      </c>
      <c r="D2085" s="48">
        <v>28739</v>
      </c>
      <c r="E2085" s="47">
        <v>110</v>
      </c>
      <c r="F2085" s="48">
        <v>5326</v>
      </c>
      <c r="G2085" s="49">
        <v>2</v>
      </c>
      <c r="H2085" s="48">
        <v>0</v>
      </c>
      <c r="I2085" s="48">
        <v>0</v>
      </c>
      <c r="J2085" s="48">
        <v>69</v>
      </c>
      <c r="K2085" s="3"/>
      <c r="L2085" s="16"/>
      <c r="M2085" s="57"/>
      <c r="N2085" s="58">
        <v>69</v>
      </c>
      <c r="P2085" s="16">
        <v>4</v>
      </c>
      <c r="Q2085" s="20">
        <f t="shared" si="369"/>
        <v>69</v>
      </c>
      <c r="R2085" s="14">
        <v>160</v>
      </c>
      <c r="S2085" s="19">
        <f t="shared" si="370"/>
        <v>11040</v>
      </c>
      <c r="T2085" s="16"/>
      <c r="U2085" s="17"/>
      <c r="V2085" s="17"/>
      <c r="W2085" s="4"/>
      <c r="X2085" s="16"/>
      <c r="Y2085" s="5"/>
      <c r="Z2085" s="16"/>
      <c r="AA2085" s="16"/>
      <c r="AB2085" s="16"/>
      <c r="AE2085" s="16"/>
      <c r="AG2085" s="22">
        <f t="shared" si="371"/>
        <v>0</v>
      </c>
      <c r="AH2085" s="6"/>
      <c r="AJ2085" s="20">
        <f t="shared" si="372"/>
        <v>0</v>
      </c>
      <c r="AK2085" s="50"/>
      <c r="AL2085" s="6"/>
      <c r="AM2085" s="20">
        <f t="shared" si="373"/>
        <v>0</v>
      </c>
      <c r="AN2085" s="20">
        <f t="shared" si="374"/>
        <v>11040</v>
      </c>
      <c r="AP2085" s="20">
        <f t="shared" si="375"/>
        <v>11040</v>
      </c>
      <c r="AQ2085" s="7">
        <v>3.0000000000000001E-3</v>
      </c>
      <c r="AR2085" s="24"/>
      <c r="AS2085" s="129"/>
    </row>
    <row r="2086" spans="1:45" s="21" customFormat="1" ht="30" customHeight="1" x14ac:dyDescent="0.2">
      <c r="A2086" s="8">
        <v>1785</v>
      </c>
      <c r="B2086" s="46">
        <v>4</v>
      </c>
      <c r="C2086" s="16" t="s">
        <v>52</v>
      </c>
      <c r="D2086" s="48">
        <v>31000</v>
      </c>
      <c r="E2086" s="47">
        <v>169</v>
      </c>
      <c r="F2086" s="48">
        <v>5952</v>
      </c>
      <c r="G2086" s="49">
        <v>2</v>
      </c>
      <c r="H2086" s="48">
        <v>0</v>
      </c>
      <c r="I2086" s="48">
        <v>0</v>
      </c>
      <c r="J2086" s="48">
        <v>65.09</v>
      </c>
      <c r="K2086" s="3">
        <v>65.09</v>
      </c>
      <c r="L2086" s="16"/>
      <c r="M2086" s="57"/>
      <c r="N2086" s="58"/>
      <c r="P2086" s="16">
        <v>1</v>
      </c>
      <c r="Q2086" s="20">
        <f t="shared" si="369"/>
        <v>65.09</v>
      </c>
      <c r="R2086" s="14">
        <v>250</v>
      </c>
      <c r="S2086" s="20">
        <f t="shared" si="370"/>
        <v>16272.5</v>
      </c>
      <c r="T2086" s="16"/>
      <c r="U2086" s="17"/>
      <c r="V2086" s="17"/>
      <c r="W2086" s="4"/>
      <c r="X2086" s="16"/>
      <c r="Y2086" s="5"/>
      <c r="Z2086" s="16"/>
      <c r="AA2086" s="16"/>
      <c r="AB2086" s="16"/>
      <c r="AE2086" s="16"/>
      <c r="AG2086" s="22">
        <f t="shared" si="371"/>
        <v>0</v>
      </c>
      <c r="AH2086" s="6"/>
      <c r="AJ2086" s="20">
        <f t="shared" si="372"/>
        <v>0</v>
      </c>
      <c r="AK2086" s="50"/>
      <c r="AL2086" s="6"/>
      <c r="AM2086" s="20">
        <f t="shared" si="373"/>
        <v>0</v>
      </c>
      <c r="AN2086" s="20">
        <f t="shared" si="374"/>
        <v>16272.5</v>
      </c>
      <c r="AP2086" s="20">
        <f t="shared" si="375"/>
        <v>16272.5</v>
      </c>
      <c r="AQ2086" s="7"/>
      <c r="AR2086" s="24"/>
      <c r="AS2086" s="129"/>
    </row>
    <row r="2087" spans="1:45" s="21" customFormat="1" ht="30" customHeight="1" x14ac:dyDescent="0.2">
      <c r="A2087" s="8">
        <v>1786</v>
      </c>
      <c r="B2087" s="46">
        <v>5</v>
      </c>
      <c r="C2087" s="16" t="s">
        <v>52</v>
      </c>
      <c r="D2087" s="48">
        <v>31012</v>
      </c>
      <c r="E2087" s="47">
        <v>176</v>
      </c>
      <c r="F2087" s="48">
        <v>5962</v>
      </c>
      <c r="G2087" s="49">
        <v>2</v>
      </c>
      <c r="H2087" s="48">
        <v>2</v>
      </c>
      <c r="I2087" s="48">
        <v>0</v>
      </c>
      <c r="J2087" s="48">
        <v>3.02</v>
      </c>
      <c r="K2087" s="3">
        <v>803.02</v>
      </c>
      <c r="L2087" s="16"/>
      <c r="M2087" s="57"/>
      <c r="N2087" s="58"/>
      <c r="P2087" s="16">
        <v>1</v>
      </c>
      <c r="Q2087" s="20">
        <f t="shared" si="369"/>
        <v>803.02</v>
      </c>
      <c r="R2087" s="14">
        <v>200</v>
      </c>
      <c r="S2087" s="19">
        <f t="shared" si="370"/>
        <v>160604</v>
      </c>
      <c r="T2087" s="16"/>
      <c r="U2087" s="17"/>
      <c r="V2087" s="17"/>
      <c r="W2087" s="4"/>
      <c r="X2087" s="16"/>
      <c r="Y2087" s="5"/>
      <c r="Z2087" s="16"/>
      <c r="AA2087" s="16"/>
      <c r="AB2087" s="16"/>
      <c r="AE2087" s="16"/>
      <c r="AG2087" s="22">
        <f t="shared" si="371"/>
        <v>0</v>
      </c>
      <c r="AH2087" s="6"/>
      <c r="AJ2087" s="20">
        <f t="shared" si="372"/>
        <v>0</v>
      </c>
      <c r="AK2087" s="50"/>
      <c r="AL2087" s="6"/>
      <c r="AM2087" s="20">
        <f t="shared" si="373"/>
        <v>0</v>
      </c>
      <c r="AN2087" s="20">
        <f t="shared" si="374"/>
        <v>160604</v>
      </c>
      <c r="AP2087" s="20">
        <f t="shared" si="375"/>
        <v>160604</v>
      </c>
      <c r="AQ2087" s="7"/>
      <c r="AR2087" s="24"/>
      <c r="AS2087" s="129"/>
    </row>
    <row r="2088" spans="1:45" s="21" customFormat="1" ht="30" customHeight="1" x14ac:dyDescent="0.2">
      <c r="A2088" s="8">
        <v>1787</v>
      </c>
      <c r="B2088" s="46">
        <v>6</v>
      </c>
      <c r="C2088" s="16" t="s">
        <v>52</v>
      </c>
      <c r="D2088" s="48">
        <v>31013</v>
      </c>
      <c r="E2088" s="47">
        <v>177</v>
      </c>
      <c r="F2088" s="48">
        <v>5963</v>
      </c>
      <c r="G2088" s="49">
        <v>2</v>
      </c>
      <c r="H2088" s="48">
        <v>2</v>
      </c>
      <c r="I2088" s="48">
        <v>0</v>
      </c>
      <c r="J2088" s="48">
        <v>4.08</v>
      </c>
      <c r="K2088" s="3">
        <v>804.08</v>
      </c>
      <c r="L2088" s="16"/>
      <c r="M2088" s="57"/>
      <c r="N2088" s="58"/>
      <c r="P2088" s="16">
        <v>1</v>
      </c>
      <c r="Q2088" s="20">
        <f t="shared" si="369"/>
        <v>804.08</v>
      </c>
      <c r="R2088" s="14">
        <v>200</v>
      </c>
      <c r="S2088" s="19">
        <f t="shared" si="370"/>
        <v>160816</v>
      </c>
      <c r="T2088" s="16"/>
      <c r="U2088" s="17"/>
      <c r="V2088" s="17"/>
      <c r="W2088" s="4"/>
      <c r="X2088" s="16"/>
      <c r="Y2088" s="5"/>
      <c r="Z2088" s="16"/>
      <c r="AA2088" s="16"/>
      <c r="AB2088" s="16"/>
      <c r="AE2088" s="16"/>
      <c r="AG2088" s="22">
        <f t="shared" si="371"/>
        <v>0</v>
      </c>
      <c r="AH2088" s="6"/>
      <c r="AJ2088" s="20">
        <f t="shared" si="372"/>
        <v>0</v>
      </c>
      <c r="AK2088" s="50"/>
      <c r="AL2088" s="6"/>
      <c r="AM2088" s="20">
        <f t="shared" si="373"/>
        <v>0</v>
      </c>
      <c r="AN2088" s="20">
        <f t="shared" si="374"/>
        <v>160816</v>
      </c>
      <c r="AP2088" s="20">
        <f t="shared" si="375"/>
        <v>160816</v>
      </c>
      <c r="AQ2088" s="7"/>
      <c r="AR2088" s="24"/>
      <c r="AS2088" s="129"/>
    </row>
    <row r="2089" spans="1:45" s="21" customFormat="1" ht="30" customHeight="1" x14ac:dyDescent="0.2">
      <c r="A2089" s="8">
        <v>1788</v>
      </c>
      <c r="B2089" s="46">
        <v>7</v>
      </c>
      <c r="C2089" s="16" t="s">
        <v>52</v>
      </c>
      <c r="D2089" s="48">
        <v>31014</v>
      </c>
      <c r="E2089" s="47">
        <v>178</v>
      </c>
      <c r="F2089" s="48">
        <v>5964</v>
      </c>
      <c r="G2089" s="49">
        <v>2</v>
      </c>
      <c r="H2089" s="48">
        <v>2</v>
      </c>
      <c r="I2089" s="48">
        <v>0</v>
      </c>
      <c r="J2089" s="48">
        <v>16.02</v>
      </c>
      <c r="K2089" s="3">
        <v>816.02</v>
      </c>
      <c r="L2089" s="16"/>
      <c r="M2089" s="57"/>
      <c r="N2089" s="58"/>
      <c r="P2089" s="16">
        <v>1</v>
      </c>
      <c r="Q2089" s="20">
        <f t="shared" si="369"/>
        <v>816.02</v>
      </c>
      <c r="R2089" s="14">
        <v>200</v>
      </c>
      <c r="S2089" s="20">
        <f t="shared" si="370"/>
        <v>163204</v>
      </c>
      <c r="T2089" s="16"/>
      <c r="U2089" s="17"/>
      <c r="V2089" s="17"/>
      <c r="W2089" s="5"/>
      <c r="X2089" s="16"/>
      <c r="Y2089" s="5"/>
      <c r="Z2089" s="16"/>
      <c r="AA2089" s="16"/>
      <c r="AB2089" s="16"/>
      <c r="AE2089" s="16"/>
      <c r="AG2089" s="22">
        <f t="shared" si="371"/>
        <v>0</v>
      </c>
      <c r="AH2089" s="6"/>
      <c r="AJ2089" s="20">
        <f t="shared" si="372"/>
        <v>0</v>
      </c>
      <c r="AK2089" s="50"/>
      <c r="AL2089" s="6"/>
      <c r="AM2089" s="20">
        <f t="shared" si="373"/>
        <v>0</v>
      </c>
      <c r="AN2089" s="20">
        <f t="shared" si="374"/>
        <v>163204</v>
      </c>
      <c r="AP2089" s="20">
        <f t="shared" si="375"/>
        <v>163204</v>
      </c>
      <c r="AQ2089" s="7"/>
      <c r="AR2089" s="24"/>
      <c r="AS2089" s="129"/>
    </row>
    <row r="2090" spans="1:45" s="21" customFormat="1" ht="30" customHeight="1" x14ac:dyDescent="0.2">
      <c r="A2090" s="8">
        <v>1789</v>
      </c>
      <c r="B2090" s="46">
        <v>8</v>
      </c>
      <c r="C2090" s="16" t="s">
        <v>52</v>
      </c>
      <c r="D2090" s="48">
        <v>31015</v>
      </c>
      <c r="E2090" s="47">
        <v>179</v>
      </c>
      <c r="F2090" s="48">
        <v>5965</v>
      </c>
      <c r="G2090" s="49">
        <v>2</v>
      </c>
      <c r="H2090" s="48">
        <v>2</v>
      </c>
      <c r="I2090" s="48">
        <v>0</v>
      </c>
      <c r="J2090" s="48">
        <v>30.01</v>
      </c>
      <c r="K2090" s="3">
        <v>830.01</v>
      </c>
      <c r="L2090" s="16"/>
      <c r="M2090" s="57"/>
      <c r="N2090" s="58"/>
      <c r="P2090" s="16">
        <v>1</v>
      </c>
      <c r="Q2090" s="20">
        <f t="shared" si="369"/>
        <v>830.01</v>
      </c>
      <c r="R2090" s="14">
        <v>200</v>
      </c>
      <c r="S2090" s="19">
        <f t="shared" si="370"/>
        <v>166002</v>
      </c>
      <c r="T2090" s="16"/>
      <c r="U2090" s="17"/>
      <c r="V2090" s="17"/>
      <c r="W2090" s="5"/>
      <c r="X2090" s="16"/>
      <c r="Y2090" s="5"/>
      <c r="Z2090" s="16"/>
      <c r="AA2090" s="16"/>
      <c r="AB2090" s="16"/>
      <c r="AE2090" s="16"/>
      <c r="AG2090" s="22">
        <f t="shared" si="371"/>
        <v>0</v>
      </c>
      <c r="AH2090" s="6"/>
      <c r="AJ2090" s="20">
        <f t="shared" si="372"/>
        <v>0</v>
      </c>
      <c r="AK2090" s="50"/>
      <c r="AL2090" s="6"/>
      <c r="AM2090" s="20">
        <f t="shared" si="373"/>
        <v>0</v>
      </c>
      <c r="AN2090" s="20">
        <f t="shared" si="374"/>
        <v>166002</v>
      </c>
      <c r="AP2090" s="20">
        <f t="shared" si="375"/>
        <v>166002</v>
      </c>
      <c r="AQ2090" s="7"/>
      <c r="AR2090" s="24"/>
      <c r="AS2090" s="129"/>
    </row>
    <row r="2091" spans="1:45" ht="30" customHeight="1" x14ac:dyDescent="0.2">
      <c r="A2091" s="8">
        <v>1790</v>
      </c>
      <c r="B2091" s="46">
        <v>10</v>
      </c>
      <c r="C2091" s="16" t="s">
        <v>69</v>
      </c>
      <c r="E2091" s="17">
        <v>164</v>
      </c>
      <c r="F2091" s="17">
        <v>3</v>
      </c>
      <c r="G2091" s="13">
        <v>2</v>
      </c>
      <c r="H2091" s="17">
        <v>6</v>
      </c>
      <c r="I2091" s="17">
        <v>2</v>
      </c>
      <c r="J2091" s="17">
        <v>73</v>
      </c>
      <c r="K2091" s="10">
        <v>2673</v>
      </c>
      <c r="P2091" s="17">
        <v>1</v>
      </c>
      <c r="Q2091" s="20">
        <f t="shared" si="369"/>
        <v>2673</v>
      </c>
      <c r="R2091" s="14">
        <v>160</v>
      </c>
      <c r="S2091" s="20">
        <f t="shared" si="370"/>
        <v>427680</v>
      </c>
      <c r="AG2091" s="22">
        <f t="shared" si="371"/>
        <v>0</v>
      </c>
      <c r="AJ2091" s="20">
        <f t="shared" si="372"/>
        <v>0</v>
      </c>
      <c r="AM2091" s="20">
        <f t="shared" si="373"/>
        <v>0</v>
      </c>
      <c r="AN2091" s="20">
        <f t="shared" si="374"/>
        <v>427680</v>
      </c>
      <c r="AP2091" s="20">
        <f t="shared" si="375"/>
        <v>427680</v>
      </c>
      <c r="AQ2091" s="12">
        <v>1E-4</v>
      </c>
      <c r="AR2091" s="24"/>
      <c r="AS2091" s="129"/>
    </row>
    <row r="2092" spans="1:45" ht="30" customHeight="1" x14ac:dyDescent="0.2">
      <c r="A2092" s="8">
        <v>1791</v>
      </c>
      <c r="B2092" s="46">
        <v>11</v>
      </c>
      <c r="C2092" s="16" t="s">
        <v>69</v>
      </c>
      <c r="E2092" s="17">
        <v>1513</v>
      </c>
      <c r="F2092" s="17">
        <v>2</v>
      </c>
      <c r="G2092" s="13">
        <v>2</v>
      </c>
      <c r="H2092" s="17">
        <v>6</v>
      </c>
      <c r="I2092" s="17">
        <v>2</v>
      </c>
      <c r="J2092" s="17">
        <v>15</v>
      </c>
      <c r="K2092" s="10">
        <v>2615</v>
      </c>
      <c r="P2092" s="17">
        <v>1</v>
      </c>
      <c r="Q2092" s="20">
        <f t="shared" si="369"/>
        <v>2615</v>
      </c>
      <c r="R2092" s="14">
        <v>200</v>
      </c>
      <c r="S2092" s="19">
        <f t="shared" si="370"/>
        <v>523000</v>
      </c>
      <c r="AG2092" s="22">
        <f t="shared" si="371"/>
        <v>0</v>
      </c>
      <c r="AJ2092" s="20">
        <f t="shared" si="372"/>
        <v>0</v>
      </c>
      <c r="AM2092" s="20">
        <f t="shared" si="373"/>
        <v>0</v>
      </c>
      <c r="AN2092" s="20">
        <f t="shared" si="374"/>
        <v>523000</v>
      </c>
      <c r="AP2092" s="20">
        <f t="shared" si="375"/>
        <v>523000</v>
      </c>
      <c r="AQ2092" s="12">
        <v>1E-4</v>
      </c>
      <c r="AR2092" s="25"/>
      <c r="AS2092" s="130"/>
    </row>
    <row r="2093" spans="1:45" ht="30" customHeight="1" x14ac:dyDescent="0.2">
      <c r="A2093" s="8"/>
      <c r="B2093" s="46"/>
      <c r="C2093" s="16"/>
      <c r="Q2093" s="20"/>
      <c r="AG2093" s="22"/>
      <c r="AJ2093" s="20"/>
      <c r="AM2093" s="20"/>
      <c r="AN2093" s="20"/>
      <c r="AP2093" s="20"/>
      <c r="AR2093" s="20"/>
    </row>
    <row r="2094" spans="1:45" ht="30" customHeight="1" x14ac:dyDescent="0.2">
      <c r="A2094" s="8"/>
      <c r="C2094" s="16"/>
      <c r="Q2094" s="20"/>
      <c r="AG2094" s="22"/>
      <c r="AJ2094" s="20"/>
      <c r="AM2094" s="20"/>
      <c r="AN2094" s="20"/>
      <c r="AP2094" s="20"/>
      <c r="AR2094" s="20"/>
    </row>
    <row r="2095" spans="1:45" s="21" customFormat="1" ht="30" customHeight="1" x14ac:dyDescent="0.2">
      <c r="A2095" s="8">
        <v>1792</v>
      </c>
      <c r="B2095" s="46">
        <v>1</v>
      </c>
      <c r="C2095" s="16" t="s">
        <v>52</v>
      </c>
      <c r="D2095" s="48">
        <v>36769</v>
      </c>
      <c r="E2095" s="47">
        <v>516</v>
      </c>
      <c r="F2095" s="48">
        <v>7014</v>
      </c>
      <c r="G2095" s="49">
        <v>2</v>
      </c>
      <c r="H2095" s="48">
        <v>0</v>
      </c>
      <c r="I2095" s="48">
        <v>1</v>
      </c>
      <c r="J2095" s="48">
        <v>46</v>
      </c>
      <c r="K2095" s="3">
        <v>146</v>
      </c>
      <c r="L2095" s="16"/>
      <c r="M2095" s="57"/>
      <c r="N2095" s="58"/>
      <c r="P2095" s="16">
        <v>1</v>
      </c>
      <c r="Q2095" s="20">
        <f t="shared" si="369"/>
        <v>146</v>
      </c>
      <c r="R2095" s="14">
        <v>2250</v>
      </c>
      <c r="S2095" s="20">
        <f t="shared" si="370"/>
        <v>328500</v>
      </c>
      <c r="T2095" s="16"/>
      <c r="U2095" s="17"/>
      <c r="V2095" s="17"/>
      <c r="W2095" s="4"/>
      <c r="X2095" s="16"/>
      <c r="Y2095" s="5"/>
      <c r="Z2095" s="16"/>
      <c r="AA2095" s="16"/>
      <c r="AB2095" s="16"/>
      <c r="AE2095" s="16"/>
      <c r="AG2095" s="22">
        <f t="shared" si="371"/>
        <v>0</v>
      </c>
      <c r="AH2095" s="6"/>
      <c r="AJ2095" s="20">
        <f t="shared" si="372"/>
        <v>0</v>
      </c>
      <c r="AK2095" s="50"/>
      <c r="AL2095" s="6"/>
      <c r="AM2095" s="20">
        <f t="shared" si="373"/>
        <v>0</v>
      </c>
      <c r="AN2095" s="20">
        <f t="shared" si="374"/>
        <v>328500</v>
      </c>
      <c r="AP2095" s="20">
        <f t="shared" si="375"/>
        <v>328500</v>
      </c>
      <c r="AQ2095" s="7"/>
      <c r="AR2095" s="60"/>
      <c r="AS2095" s="128">
        <v>69</v>
      </c>
    </row>
    <row r="2096" spans="1:45" ht="30" customHeight="1" x14ac:dyDescent="0.2">
      <c r="A2096" s="8">
        <v>1793</v>
      </c>
      <c r="B2096" s="13">
        <v>2</v>
      </c>
      <c r="C2096" s="16" t="s">
        <v>69</v>
      </c>
      <c r="E2096" s="17">
        <v>1513</v>
      </c>
      <c r="F2096" s="17">
        <v>1</v>
      </c>
      <c r="G2096" s="13">
        <v>2</v>
      </c>
      <c r="H2096" s="17">
        <v>7</v>
      </c>
      <c r="I2096" s="17">
        <v>0</v>
      </c>
      <c r="J2096" s="17">
        <v>22</v>
      </c>
      <c r="K2096" s="10">
        <v>2822</v>
      </c>
      <c r="P2096" s="17">
        <v>1</v>
      </c>
      <c r="Q2096" s="20">
        <f t="shared" si="369"/>
        <v>2822</v>
      </c>
      <c r="R2096" s="14">
        <v>200</v>
      </c>
      <c r="S2096" s="19">
        <f t="shared" si="370"/>
        <v>564400</v>
      </c>
      <c r="AG2096" s="22">
        <f t="shared" si="371"/>
        <v>0</v>
      </c>
      <c r="AJ2096" s="20">
        <f t="shared" si="372"/>
        <v>0</v>
      </c>
      <c r="AM2096" s="20">
        <f t="shared" si="373"/>
        <v>0</v>
      </c>
      <c r="AN2096" s="20">
        <f t="shared" si="374"/>
        <v>564400</v>
      </c>
      <c r="AP2096" s="20">
        <f t="shared" si="375"/>
        <v>564400</v>
      </c>
      <c r="AQ2096" s="12">
        <v>1E-4</v>
      </c>
      <c r="AR2096" s="24"/>
      <c r="AS2096" s="129"/>
    </row>
    <row r="2097" spans="1:45" ht="30" customHeight="1" x14ac:dyDescent="0.2">
      <c r="A2097" s="8"/>
      <c r="C2097" s="16"/>
      <c r="Q2097" s="20"/>
      <c r="AG2097" s="22"/>
      <c r="AJ2097" s="20"/>
      <c r="AM2097" s="20"/>
      <c r="AN2097" s="20"/>
      <c r="AP2097" s="20"/>
      <c r="AR2097" s="25"/>
      <c r="AS2097" s="130"/>
    </row>
    <row r="2098" spans="1:45" s="21" customFormat="1" ht="30" customHeight="1" x14ac:dyDescent="0.2">
      <c r="A2098" s="8">
        <v>1794</v>
      </c>
      <c r="B2098" s="46">
        <v>1</v>
      </c>
      <c r="C2098" s="16" t="s">
        <v>52</v>
      </c>
      <c r="D2098" s="48">
        <v>28738</v>
      </c>
      <c r="E2098" s="47">
        <v>109</v>
      </c>
      <c r="F2098" s="48">
        <v>5325</v>
      </c>
      <c r="G2098" s="49">
        <v>2</v>
      </c>
      <c r="H2098" s="48">
        <v>0</v>
      </c>
      <c r="I2098" s="48">
        <v>0</v>
      </c>
      <c r="J2098" s="48">
        <v>69</v>
      </c>
      <c r="K2098" s="3"/>
      <c r="L2098" s="16"/>
      <c r="M2098" s="57"/>
      <c r="N2098" s="58">
        <v>69</v>
      </c>
      <c r="P2098" s="16">
        <v>4</v>
      </c>
      <c r="Q2098" s="20">
        <f t="shared" si="369"/>
        <v>69</v>
      </c>
      <c r="R2098" s="14">
        <v>160</v>
      </c>
      <c r="S2098" s="20">
        <f t="shared" si="370"/>
        <v>11040</v>
      </c>
      <c r="T2098" s="16"/>
      <c r="U2098" s="17"/>
      <c r="V2098" s="17"/>
      <c r="W2098" s="4"/>
      <c r="X2098" s="16"/>
      <c r="Y2098" s="5"/>
      <c r="Z2098" s="16"/>
      <c r="AA2098" s="16"/>
      <c r="AB2098" s="16"/>
      <c r="AE2098" s="16"/>
      <c r="AG2098" s="22">
        <f t="shared" si="371"/>
        <v>0</v>
      </c>
      <c r="AH2098" s="6"/>
      <c r="AJ2098" s="20">
        <f t="shared" si="372"/>
        <v>0</v>
      </c>
      <c r="AK2098" s="50"/>
      <c r="AL2098" s="6"/>
      <c r="AM2098" s="20">
        <f t="shared" si="373"/>
        <v>0</v>
      </c>
      <c r="AN2098" s="20">
        <f t="shared" si="374"/>
        <v>11040</v>
      </c>
      <c r="AP2098" s="20">
        <f t="shared" si="375"/>
        <v>11040</v>
      </c>
      <c r="AQ2098" s="7">
        <v>3.0000000000000001E-3</v>
      </c>
      <c r="AR2098" s="60"/>
      <c r="AS2098" s="96">
        <v>87</v>
      </c>
    </row>
    <row r="2099" spans="1:45" s="21" customFormat="1" ht="30" customHeight="1" x14ac:dyDescent="0.2">
      <c r="A2099" s="8">
        <v>1795</v>
      </c>
      <c r="B2099" s="46">
        <v>2</v>
      </c>
      <c r="C2099" s="16" t="s">
        <v>52</v>
      </c>
      <c r="D2099" s="48">
        <v>31001</v>
      </c>
      <c r="E2099" s="47">
        <v>170</v>
      </c>
      <c r="F2099" s="48">
        <v>5953</v>
      </c>
      <c r="G2099" s="49">
        <v>2</v>
      </c>
      <c r="H2099" s="48">
        <v>0</v>
      </c>
      <c r="I2099" s="48">
        <v>0</v>
      </c>
      <c r="J2099" s="48">
        <v>80.03</v>
      </c>
      <c r="K2099" s="3">
        <v>80.03</v>
      </c>
      <c r="L2099" s="16"/>
      <c r="M2099" s="57"/>
      <c r="N2099" s="58"/>
      <c r="P2099" s="16">
        <v>1</v>
      </c>
      <c r="Q2099" s="20">
        <f t="shared" si="369"/>
        <v>80.03</v>
      </c>
      <c r="R2099" s="14">
        <v>250</v>
      </c>
      <c r="S2099" s="19">
        <f t="shared" si="370"/>
        <v>20007.5</v>
      </c>
      <c r="T2099" s="16"/>
      <c r="U2099" s="17"/>
      <c r="V2099" s="17"/>
      <c r="W2099" s="4"/>
      <c r="X2099" s="16"/>
      <c r="Y2099" s="5"/>
      <c r="Z2099" s="16"/>
      <c r="AA2099" s="16"/>
      <c r="AB2099" s="16"/>
      <c r="AC2099" s="14"/>
      <c r="AD2099" s="14"/>
      <c r="AE2099" s="16"/>
      <c r="AG2099" s="22">
        <f t="shared" si="371"/>
        <v>0</v>
      </c>
      <c r="AH2099" s="6"/>
      <c r="AJ2099" s="20">
        <f t="shared" si="372"/>
        <v>0</v>
      </c>
      <c r="AK2099" s="50"/>
      <c r="AL2099" s="6"/>
      <c r="AM2099" s="20">
        <f t="shared" si="373"/>
        <v>0</v>
      </c>
      <c r="AN2099" s="20">
        <f t="shared" si="374"/>
        <v>20007.5</v>
      </c>
      <c r="AP2099" s="20">
        <f t="shared" si="375"/>
        <v>20007.5</v>
      </c>
      <c r="AQ2099" s="7"/>
      <c r="AR2099" s="24"/>
      <c r="AS2099" s="97"/>
    </row>
    <row r="2100" spans="1:45" s="21" customFormat="1" ht="30" customHeight="1" x14ac:dyDescent="0.2">
      <c r="A2100" s="8">
        <v>1796</v>
      </c>
      <c r="B2100" s="46">
        <v>3</v>
      </c>
      <c r="C2100" s="16" t="s">
        <v>52</v>
      </c>
      <c r="D2100" s="48">
        <v>31002</v>
      </c>
      <c r="E2100" s="47">
        <v>171</v>
      </c>
      <c r="F2100" s="48">
        <v>5954</v>
      </c>
      <c r="G2100" s="49">
        <v>2</v>
      </c>
      <c r="H2100" s="48">
        <v>0</v>
      </c>
      <c r="I2100" s="48">
        <v>0</v>
      </c>
      <c r="J2100" s="48">
        <v>78.06</v>
      </c>
      <c r="K2100" s="3">
        <v>78.06</v>
      </c>
      <c r="L2100" s="16"/>
      <c r="M2100" s="57"/>
      <c r="N2100" s="58"/>
      <c r="P2100" s="16">
        <v>1</v>
      </c>
      <c r="Q2100" s="20">
        <f t="shared" si="369"/>
        <v>78.06</v>
      </c>
      <c r="R2100" s="14">
        <v>250</v>
      </c>
      <c r="S2100" s="19">
        <f t="shared" si="370"/>
        <v>19515</v>
      </c>
      <c r="T2100" s="16"/>
      <c r="U2100" s="17"/>
      <c r="V2100" s="17"/>
      <c r="W2100" s="4"/>
      <c r="X2100" s="16"/>
      <c r="Y2100" s="5"/>
      <c r="Z2100" s="16"/>
      <c r="AA2100" s="16"/>
      <c r="AB2100" s="16"/>
      <c r="AE2100" s="16"/>
      <c r="AG2100" s="22">
        <f t="shared" si="371"/>
        <v>0</v>
      </c>
      <c r="AH2100" s="6"/>
      <c r="AJ2100" s="20">
        <f t="shared" si="372"/>
        <v>0</v>
      </c>
      <c r="AK2100" s="50"/>
      <c r="AL2100" s="6"/>
      <c r="AM2100" s="20">
        <f t="shared" si="373"/>
        <v>0</v>
      </c>
      <c r="AN2100" s="20">
        <f t="shared" si="374"/>
        <v>19515</v>
      </c>
      <c r="AP2100" s="20">
        <f t="shared" si="375"/>
        <v>19515</v>
      </c>
      <c r="AQ2100" s="7"/>
      <c r="AR2100" s="24"/>
      <c r="AS2100" s="97"/>
    </row>
    <row r="2101" spans="1:45" s="21" customFormat="1" ht="30" customHeight="1" x14ac:dyDescent="0.2">
      <c r="A2101" s="8">
        <v>1797</v>
      </c>
      <c r="B2101" s="46">
        <v>4</v>
      </c>
      <c r="C2101" s="16" t="s">
        <v>52</v>
      </c>
      <c r="D2101" s="48">
        <v>31003</v>
      </c>
      <c r="E2101" s="47">
        <v>172</v>
      </c>
      <c r="F2101" s="48">
        <v>5955</v>
      </c>
      <c r="G2101" s="49">
        <v>2</v>
      </c>
      <c r="H2101" s="48">
        <v>0</v>
      </c>
      <c r="I2101" s="48">
        <v>0</v>
      </c>
      <c r="J2101" s="48">
        <v>81</v>
      </c>
      <c r="K2101" s="3">
        <v>81</v>
      </c>
      <c r="L2101" s="16"/>
      <c r="M2101" s="57"/>
      <c r="N2101" s="58"/>
      <c r="P2101" s="16">
        <v>1</v>
      </c>
      <c r="Q2101" s="20">
        <f t="shared" si="369"/>
        <v>81</v>
      </c>
      <c r="R2101" s="14">
        <v>250</v>
      </c>
      <c r="S2101" s="20">
        <f t="shared" si="370"/>
        <v>20250</v>
      </c>
      <c r="T2101" s="16"/>
      <c r="U2101" s="17"/>
      <c r="V2101" s="17"/>
      <c r="W2101" s="4"/>
      <c r="X2101" s="16"/>
      <c r="Y2101" s="5"/>
      <c r="Z2101" s="16"/>
      <c r="AA2101" s="16"/>
      <c r="AB2101" s="16"/>
      <c r="AC2101" s="14"/>
      <c r="AD2101" s="14"/>
      <c r="AE2101" s="16"/>
      <c r="AG2101" s="22">
        <f t="shared" si="371"/>
        <v>0</v>
      </c>
      <c r="AH2101" s="6"/>
      <c r="AJ2101" s="20">
        <f t="shared" si="372"/>
        <v>0</v>
      </c>
      <c r="AK2101" s="50"/>
      <c r="AL2101" s="6"/>
      <c r="AM2101" s="20">
        <f t="shared" si="373"/>
        <v>0</v>
      </c>
      <c r="AN2101" s="20">
        <f t="shared" si="374"/>
        <v>20250</v>
      </c>
      <c r="AP2101" s="20">
        <f t="shared" si="375"/>
        <v>20250</v>
      </c>
      <c r="AQ2101" s="7"/>
      <c r="AR2101" s="24"/>
      <c r="AS2101" s="97"/>
    </row>
    <row r="2102" spans="1:45" s="21" customFormat="1" ht="30" customHeight="1" x14ac:dyDescent="0.2">
      <c r="A2102" s="8">
        <v>1798</v>
      </c>
      <c r="B2102" s="46">
        <v>5</v>
      </c>
      <c r="C2102" s="16" t="s">
        <v>52</v>
      </c>
      <c r="D2102" s="48">
        <v>31004</v>
      </c>
      <c r="E2102" s="47">
        <v>173</v>
      </c>
      <c r="F2102" s="48">
        <v>5956</v>
      </c>
      <c r="G2102" s="49">
        <v>2</v>
      </c>
      <c r="H2102" s="48">
        <v>0</v>
      </c>
      <c r="I2102" s="48">
        <v>0</v>
      </c>
      <c r="J2102" s="48">
        <v>98.02</v>
      </c>
      <c r="K2102" s="3">
        <v>98.02</v>
      </c>
      <c r="L2102" s="16"/>
      <c r="M2102" s="57"/>
      <c r="N2102" s="58"/>
      <c r="P2102" s="16">
        <v>1</v>
      </c>
      <c r="Q2102" s="20">
        <f t="shared" si="369"/>
        <v>98.02</v>
      </c>
      <c r="R2102" s="14">
        <v>250</v>
      </c>
      <c r="S2102" s="19">
        <f t="shared" si="370"/>
        <v>24505</v>
      </c>
      <c r="T2102" s="16"/>
      <c r="U2102" s="17"/>
      <c r="V2102" s="17"/>
      <c r="W2102" s="5"/>
      <c r="X2102" s="16"/>
      <c r="Y2102" s="5"/>
      <c r="Z2102" s="16"/>
      <c r="AA2102" s="16"/>
      <c r="AB2102" s="16"/>
      <c r="AC2102" s="14"/>
      <c r="AD2102" s="14"/>
      <c r="AE2102" s="16"/>
      <c r="AG2102" s="22">
        <f t="shared" si="371"/>
        <v>0</v>
      </c>
      <c r="AH2102" s="6"/>
      <c r="AJ2102" s="20">
        <f t="shared" si="372"/>
        <v>0</v>
      </c>
      <c r="AK2102" s="50"/>
      <c r="AL2102" s="6"/>
      <c r="AM2102" s="20">
        <f t="shared" si="373"/>
        <v>0</v>
      </c>
      <c r="AN2102" s="20">
        <f t="shared" si="374"/>
        <v>24505</v>
      </c>
      <c r="AP2102" s="20">
        <f t="shared" si="375"/>
        <v>24505</v>
      </c>
      <c r="AQ2102" s="7"/>
      <c r="AR2102" s="24"/>
      <c r="AS2102" s="97"/>
    </row>
    <row r="2103" spans="1:45" s="21" customFormat="1" ht="30" customHeight="1" x14ac:dyDescent="0.2">
      <c r="A2103" s="8">
        <v>1799</v>
      </c>
      <c r="B2103" s="46">
        <v>6</v>
      </c>
      <c r="C2103" s="16" t="s">
        <v>52</v>
      </c>
      <c r="D2103" s="48">
        <v>31005</v>
      </c>
      <c r="E2103" s="47">
        <v>174</v>
      </c>
      <c r="F2103" s="48">
        <v>5957</v>
      </c>
      <c r="G2103" s="49">
        <v>2</v>
      </c>
      <c r="H2103" s="48">
        <v>2</v>
      </c>
      <c r="I2103" s="48">
        <v>0</v>
      </c>
      <c r="J2103" s="48">
        <v>64.010000000000005</v>
      </c>
      <c r="K2103" s="3">
        <v>864.01</v>
      </c>
      <c r="L2103" s="16"/>
      <c r="M2103" s="57"/>
      <c r="N2103" s="58"/>
      <c r="P2103" s="16">
        <v>1</v>
      </c>
      <c r="Q2103" s="20">
        <f t="shared" si="369"/>
        <v>864.01</v>
      </c>
      <c r="R2103" s="14">
        <v>250</v>
      </c>
      <c r="S2103" s="19">
        <f t="shared" si="370"/>
        <v>216002.5</v>
      </c>
      <c r="T2103" s="16"/>
      <c r="U2103" s="17"/>
      <c r="V2103" s="17"/>
      <c r="W2103" s="5"/>
      <c r="X2103" s="16"/>
      <c r="Y2103" s="5"/>
      <c r="Z2103" s="16"/>
      <c r="AA2103" s="16"/>
      <c r="AB2103" s="16"/>
      <c r="AC2103" s="14"/>
      <c r="AD2103" s="14"/>
      <c r="AE2103" s="16"/>
      <c r="AG2103" s="22">
        <f t="shared" si="371"/>
        <v>0</v>
      </c>
      <c r="AH2103" s="6"/>
      <c r="AJ2103" s="20">
        <f t="shared" si="372"/>
        <v>0</v>
      </c>
      <c r="AK2103" s="50"/>
      <c r="AL2103" s="6"/>
      <c r="AM2103" s="20">
        <f t="shared" si="373"/>
        <v>0</v>
      </c>
      <c r="AN2103" s="20">
        <f t="shared" si="374"/>
        <v>216002.5</v>
      </c>
      <c r="AP2103" s="20">
        <f t="shared" si="375"/>
        <v>216002.5</v>
      </c>
      <c r="AQ2103" s="7"/>
      <c r="AR2103" s="24"/>
      <c r="AS2103" s="97"/>
    </row>
    <row r="2104" spans="1:45" s="21" customFormat="1" ht="30" customHeight="1" x14ac:dyDescent="0.2">
      <c r="A2104" s="8">
        <v>1800</v>
      </c>
      <c r="B2104" s="46">
        <v>7</v>
      </c>
      <c r="C2104" s="16" t="s">
        <v>52</v>
      </c>
      <c r="D2104" s="48">
        <v>36763</v>
      </c>
      <c r="E2104" s="47">
        <v>510</v>
      </c>
      <c r="F2104" s="48">
        <v>7008</v>
      </c>
      <c r="G2104" s="49">
        <v>2</v>
      </c>
      <c r="H2104" s="48">
        <v>0</v>
      </c>
      <c r="I2104" s="48">
        <v>2</v>
      </c>
      <c r="J2104" s="48">
        <v>76</v>
      </c>
      <c r="K2104" s="3"/>
      <c r="L2104" s="16">
        <v>276</v>
      </c>
      <c r="M2104" s="57"/>
      <c r="N2104" s="58"/>
      <c r="P2104" s="16">
        <v>2</v>
      </c>
      <c r="Q2104" s="20">
        <f t="shared" si="369"/>
        <v>276</v>
      </c>
      <c r="R2104" s="14">
        <v>2250</v>
      </c>
      <c r="S2104" s="20">
        <f t="shared" si="370"/>
        <v>621000</v>
      </c>
      <c r="T2104" s="16"/>
      <c r="U2104" s="17" t="s">
        <v>57</v>
      </c>
      <c r="V2104" s="17" t="s">
        <v>56</v>
      </c>
      <c r="W2104" s="4"/>
      <c r="X2104" s="16"/>
      <c r="Y2104" s="5">
        <v>255</v>
      </c>
      <c r="Z2104" s="16"/>
      <c r="AA2104" s="16"/>
      <c r="AB2104" s="16">
        <f>62-50</f>
        <v>12</v>
      </c>
      <c r="AC2104" s="14"/>
      <c r="AD2104" s="14"/>
      <c r="AE2104" s="16"/>
      <c r="AG2104" s="22">
        <f t="shared" si="371"/>
        <v>255</v>
      </c>
      <c r="AH2104" s="6"/>
      <c r="AJ2104" s="20">
        <f t="shared" si="372"/>
        <v>0</v>
      </c>
      <c r="AK2104" s="50">
        <v>12</v>
      </c>
      <c r="AL2104" s="6"/>
      <c r="AM2104" s="20">
        <f t="shared" si="373"/>
        <v>0</v>
      </c>
      <c r="AN2104" s="20">
        <f t="shared" si="374"/>
        <v>621000</v>
      </c>
      <c r="AP2104" s="20">
        <f t="shared" si="375"/>
        <v>621000</v>
      </c>
      <c r="AQ2104" s="7"/>
      <c r="AR2104" s="24"/>
      <c r="AS2104" s="97"/>
    </row>
    <row r="2105" spans="1:45" ht="30" customHeight="1" x14ac:dyDescent="0.2">
      <c r="A2105" s="8">
        <v>1801</v>
      </c>
      <c r="B2105" s="46">
        <v>8</v>
      </c>
      <c r="C2105" s="16" t="s">
        <v>69</v>
      </c>
      <c r="E2105" s="17">
        <v>1513</v>
      </c>
      <c r="F2105" s="17">
        <v>3</v>
      </c>
      <c r="G2105" s="13">
        <v>2</v>
      </c>
      <c r="H2105" s="17">
        <v>15</v>
      </c>
      <c r="I2105" s="17">
        <v>2</v>
      </c>
      <c r="J2105" s="17">
        <v>25</v>
      </c>
      <c r="K2105" s="10">
        <v>6225</v>
      </c>
      <c r="P2105" s="17">
        <v>1</v>
      </c>
      <c r="Q2105" s="20">
        <f>+(H2105*400)+(I2105*100)+J2105</f>
        <v>6225</v>
      </c>
      <c r="R2105" s="14">
        <v>160</v>
      </c>
      <c r="S2105" s="19">
        <f>+Q2105*R2105</f>
        <v>996000</v>
      </c>
      <c r="AG2105" s="22">
        <f>Y2105</f>
        <v>0</v>
      </c>
      <c r="AJ2105" s="20">
        <f>+AG2105*AH2105*AI2105</f>
        <v>0</v>
      </c>
      <c r="AM2105" s="20">
        <f>+AJ2105-(AL2105*AJ2105)</f>
        <v>0</v>
      </c>
      <c r="AN2105" s="20">
        <f t="shared" si="374"/>
        <v>996000</v>
      </c>
      <c r="AP2105" s="20">
        <f>AN2105</f>
        <v>996000</v>
      </c>
      <c r="AR2105" s="25"/>
      <c r="AS2105" s="98"/>
    </row>
    <row r="2106" spans="1:45" ht="30" customHeight="1" x14ac:dyDescent="0.2">
      <c r="A2106" s="8"/>
      <c r="B2106" s="46"/>
      <c r="C2106" s="16"/>
      <c r="Q2106" s="20"/>
      <c r="AG2106" s="22"/>
      <c r="AJ2106" s="20"/>
      <c r="AM2106" s="20"/>
      <c r="AN2106" s="20"/>
      <c r="AP2106" s="20"/>
      <c r="AR2106" s="24"/>
      <c r="AS2106" s="97"/>
    </row>
    <row r="2107" spans="1:45" s="21" customFormat="1" ht="30" customHeight="1" x14ac:dyDescent="0.2">
      <c r="A2107" s="8">
        <v>1802</v>
      </c>
      <c r="B2107" s="46">
        <v>1</v>
      </c>
      <c r="C2107" s="16" t="s">
        <v>52</v>
      </c>
      <c r="D2107" s="48">
        <v>31011</v>
      </c>
      <c r="E2107" s="47">
        <v>175</v>
      </c>
      <c r="F2107" s="48">
        <v>5961</v>
      </c>
      <c r="G2107" s="49">
        <v>2</v>
      </c>
      <c r="H2107" s="48">
        <v>2</v>
      </c>
      <c r="I2107" s="48">
        <v>3</v>
      </c>
      <c r="J2107" s="48">
        <v>71.08</v>
      </c>
      <c r="K2107" s="3">
        <v>1171.08</v>
      </c>
      <c r="L2107" s="16"/>
      <c r="M2107" s="57"/>
      <c r="N2107" s="58"/>
      <c r="P2107" s="16">
        <v>1</v>
      </c>
      <c r="Q2107" s="20">
        <f t="shared" si="369"/>
        <v>1171.08</v>
      </c>
      <c r="R2107" s="14">
        <v>200</v>
      </c>
      <c r="S2107" s="20">
        <f t="shared" si="370"/>
        <v>234216</v>
      </c>
      <c r="T2107" s="16"/>
      <c r="U2107" s="17"/>
      <c r="V2107" s="17"/>
      <c r="W2107" s="4"/>
      <c r="X2107" s="16"/>
      <c r="Y2107" s="5"/>
      <c r="Z2107" s="16"/>
      <c r="AA2107" s="16"/>
      <c r="AB2107" s="16"/>
      <c r="AC2107" s="14"/>
      <c r="AD2107" s="14"/>
      <c r="AE2107" s="16"/>
      <c r="AG2107" s="22">
        <f t="shared" si="371"/>
        <v>0</v>
      </c>
      <c r="AH2107" s="6"/>
      <c r="AJ2107" s="20">
        <f t="shared" si="372"/>
        <v>0</v>
      </c>
      <c r="AK2107" s="50"/>
      <c r="AL2107" s="6"/>
      <c r="AM2107" s="20">
        <f t="shared" si="373"/>
        <v>0</v>
      </c>
      <c r="AN2107" s="20">
        <f t="shared" si="374"/>
        <v>234216</v>
      </c>
      <c r="AP2107" s="20">
        <f t="shared" si="375"/>
        <v>234216</v>
      </c>
      <c r="AQ2107" s="7"/>
      <c r="AR2107" s="20"/>
      <c r="AS2107" s="51"/>
    </row>
    <row r="2108" spans="1:45" ht="30" customHeight="1" x14ac:dyDescent="0.2">
      <c r="A2108" s="8">
        <v>1803</v>
      </c>
      <c r="B2108" s="13">
        <v>2</v>
      </c>
      <c r="C2108" s="16" t="s">
        <v>69</v>
      </c>
      <c r="E2108" s="17">
        <v>1513</v>
      </c>
      <c r="F2108" s="17">
        <v>4</v>
      </c>
      <c r="G2108" s="13">
        <v>2</v>
      </c>
      <c r="H2108" s="17">
        <v>7</v>
      </c>
      <c r="I2108" s="17">
        <v>3</v>
      </c>
      <c r="J2108" s="17">
        <v>95</v>
      </c>
      <c r="K2108" s="10">
        <v>3195</v>
      </c>
      <c r="P2108" s="17">
        <v>1</v>
      </c>
      <c r="Q2108" s="20">
        <f>+(H2108*400)+(I2108*100)+J2108</f>
        <v>3195</v>
      </c>
      <c r="R2108" s="14">
        <v>200</v>
      </c>
      <c r="S2108" s="20">
        <f>+Q2108*R2108</f>
        <v>639000</v>
      </c>
      <c r="AG2108" s="22">
        <f>Y2108</f>
        <v>0</v>
      </c>
      <c r="AJ2108" s="20">
        <f>+AG2108*AH2108*AI2108</f>
        <v>0</v>
      </c>
      <c r="AM2108" s="20">
        <f>+AJ2108-(AL2108*AJ2108)</f>
        <v>0</v>
      </c>
      <c r="AN2108" s="20">
        <f t="shared" si="374"/>
        <v>639000</v>
      </c>
      <c r="AP2108" s="20">
        <f>AN2108</f>
        <v>639000</v>
      </c>
      <c r="AQ2108" s="12">
        <v>1E-4</v>
      </c>
      <c r="AR2108" s="20"/>
    </row>
    <row r="2109" spans="1:45" ht="30" customHeight="1" x14ac:dyDescent="0.2">
      <c r="A2109" s="8"/>
      <c r="C2109" s="16"/>
      <c r="Q2109" s="20"/>
      <c r="AG2109" s="22"/>
      <c r="AJ2109" s="20"/>
      <c r="AM2109" s="20"/>
      <c r="AN2109" s="20"/>
      <c r="AP2109" s="20"/>
      <c r="AR2109" s="20"/>
    </row>
    <row r="2110" spans="1:45" ht="30" customHeight="1" x14ac:dyDescent="0.2">
      <c r="A2110" s="8"/>
      <c r="C2110" s="16"/>
      <c r="Q2110" s="20"/>
      <c r="AG2110" s="22"/>
      <c r="AJ2110" s="20"/>
      <c r="AM2110" s="20"/>
      <c r="AN2110" s="20"/>
      <c r="AP2110" s="20"/>
      <c r="AR2110" s="20"/>
    </row>
    <row r="2111" spans="1:45" s="21" customFormat="1" ht="30" customHeight="1" x14ac:dyDescent="0.2">
      <c r="A2111" s="8">
        <v>1804</v>
      </c>
      <c r="B2111" s="46">
        <v>1</v>
      </c>
      <c r="C2111" s="16" t="s">
        <v>52</v>
      </c>
      <c r="D2111" s="48">
        <v>1483</v>
      </c>
      <c r="E2111" s="47">
        <v>7</v>
      </c>
      <c r="F2111" s="48">
        <v>1517</v>
      </c>
      <c r="G2111" s="49">
        <v>2</v>
      </c>
      <c r="H2111" s="48">
        <v>4</v>
      </c>
      <c r="I2111" s="48">
        <v>1</v>
      </c>
      <c r="J2111" s="48">
        <v>66</v>
      </c>
      <c r="K2111" s="3">
        <v>1766</v>
      </c>
      <c r="L2111" s="16"/>
      <c r="M2111" s="57"/>
      <c r="N2111" s="58"/>
      <c r="P2111" s="16">
        <v>1</v>
      </c>
      <c r="Q2111" s="20">
        <f t="shared" si="369"/>
        <v>1766</v>
      </c>
      <c r="R2111" s="14">
        <v>250</v>
      </c>
      <c r="S2111" s="19">
        <f t="shared" si="370"/>
        <v>441500</v>
      </c>
      <c r="T2111" s="16"/>
      <c r="U2111" s="17"/>
      <c r="V2111" s="17"/>
      <c r="W2111" s="4"/>
      <c r="X2111" s="16"/>
      <c r="Y2111" s="5"/>
      <c r="Z2111" s="16"/>
      <c r="AA2111" s="16"/>
      <c r="AB2111" s="16"/>
      <c r="AE2111" s="16"/>
      <c r="AG2111" s="22">
        <f t="shared" si="371"/>
        <v>0</v>
      </c>
      <c r="AH2111" s="6"/>
      <c r="AJ2111" s="20">
        <f t="shared" si="372"/>
        <v>0</v>
      </c>
      <c r="AK2111" s="50"/>
      <c r="AL2111" s="6"/>
      <c r="AM2111" s="20">
        <f t="shared" si="373"/>
        <v>0</v>
      </c>
      <c r="AN2111" s="20">
        <f t="shared" si="374"/>
        <v>441500</v>
      </c>
      <c r="AP2111" s="20">
        <f t="shared" si="375"/>
        <v>441500</v>
      </c>
      <c r="AQ2111" s="7"/>
      <c r="AR2111" s="60"/>
      <c r="AS2111" s="128">
        <v>134</v>
      </c>
    </row>
    <row r="2112" spans="1:45" s="21" customFormat="1" ht="30" customHeight="1" x14ac:dyDescent="0.2">
      <c r="A2112" s="8">
        <v>1805</v>
      </c>
      <c r="B2112" s="46">
        <v>2</v>
      </c>
      <c r="C2112" s="16" t="s">
        <v>52</v>
      </c>
      <c r="D2112" s="48">
        <v>5061</v>
      </c>
      <c r="E2112" s="47">
        <v>27</v>
      </c>
      <c r="F2112" s="48">
        <v>2204</v>
      </c>
      <c r="G2112" s="49">
        <v>2</v>
      </c>
      <c r="H2112" s="48">
        <v>8</v>
      </c>
      <c r="I2112" s="48">
        <v>1</v>
      </c>
      <c r="J2112" s="48">
        <v>58</v>
      </c>
      <c r="K2112" s="3">
        <f>8*400+158</f>
        <v>3358</v>
      </c>
      <c r="L2112" s="16"/>
      <c r="M2112" s="57"/>
      <c r="N2112" s="58"/>
      <c r="P2112" s="16">
        <v>1</v>
      </c>
      <c r="Q2112" s="20">
        <f t="shared" si="369"/>
        <v>3358</v>
      </c>
      <c r="R2112" s="14">
        <v>200</v>
      </c>
      <c r="S2112" s="19">
        <f t="shared" si="370"/>
        <v>671600</v>
      </c>
      <c r="T2112" s="16"/>
      <c r="U2112" s="17"/>
      <c r="V2112" s="17"/>
      <c r="W2112" s="4"/>
      <c r="X2112" s="16"/>
      <c r="Y2112" s="5"/>
      <c r="Z2112" s="16"/>
      <c r="AA2112" s="16"/>
      <c r="AB2112" s="16"/>
      <c r="AE2112" s="16"/>
      <c r="AG2112" s="22">
        <f t="shared" si="371"/>
        <v>0</v>
      </c>
      <c r="AH2112" s="6"/>
      <c r="AJ2112" s="20">
        <f t="shared" si="372"/>
        <v>0</v>
      </c>
      <c r="AK2112" s="50"/>
      <c r="AL2112" s="6"/>
      <c r="AM2112" s="20">
        <f t="shared" si="373"/>
        <v>0</v>
      </c>
      <c r="AN2112" s="20">
        <f t="shared" si="374"/>
        <v>671600</v>
      </c>
      <c r="AP2112" s="20">
        <f t="shared" si="375"/>
        <v>671600</v>
      </c>
      <c r="AQ2112" s="7"/>
      <c r="AR2112" s="24"/>
      <c r="AS2112" s="129"/>
    </row>
    <row r="2113" spans="1:45" s="21" customFormat="1" ht="30" customHeight="1" x14ac:dyDescent="0.2">
      <c r="A2113" s="8">
        <v>1806</v>
      </c>
      <c r="B2113" s="46">
        <v>3</v>
      </c>
      <c r="C2113" s="16" t="s">
        <v>52</v>
      </c>
      <c r="D2113" s="48">
        <v>5062</v>
      </c>
      <c r="E2113" s="47">
        <v>26</v>
      </c>
      <c r="F2113" s="48">
        <v>2205</v>
      </c>
      <c r="G2113" s="49">
        <v>2</v>
      </c>
      <c r="H2113" s="48">
        <v>2</v>
      </c>
      <c r="I2113" s="48">
        <v>3</v>
      </c>
      <c r="J2113" s="48">
        <v>89</v>
      </c>
      <c r="K2113" s="3">
        <f>800+389</f>
        <v>1189</v>
      </c>
      <c r="L2113" s="16"/>
      <c r="M2113" s="57"/>
      <c r="N2113" s="58"/>
      <c r="P2113" s="16">
        <v>1</v>
      </c>
      <c r="Q2113" s="20">
        <f t="shared" si="369"/>
        <v>1189</v>
      </c>
      <c r="R2113" s="14">
        <v>200</v>
      </c>
      <c r="S2113" s="20">
        <f t="shared" si="370"/>
        <v>237800</v>
      </c>
      <c r="T2113" s="16"/>
      <c r="U2113" s="17"/>
      <c r="V2113" s="17"/>
      <c r="W2113" s="4"/>
      <c r="X2113" s="16"/>
      <c r="Y2113" s="5"/>
      <c r="Z2113" s="16"/>
      <c r="AA2113" s="16"/>
      <c r="AB2113" s="16"/>
      <c r="AE2113" s="16"/>
      <c r="AG2113" s="22">
        <f t="shared" si="371"/>
        <v>0</v>
      </c>
      <c r="AH2113" s="6"/>
      <c r="AJ2113" s="20">
        <f t="shared" si="372"/>
        <v>0</v>
      </c>
      <c r="AK2113" s="50"/>
      <c r="AL2113" s="6"/>
      <c r="AM2113" s="20">
        <f t="shared" si="373"/>
        <v>0</v>
      </c>
      <c r="AN2113" s="20">
        <f t="shared" si="374"/>
        <v>237800</v>
      </c>
      <c r="AP2113" s="20">
        <f t="shared" si="375"/>
        <v>237800</v>
      </c>
      <c r="AQ2113" s="7"/>
      <c r="AR2113" s="24"/>
      <c r="AS2113" s="129"/>
    </row>
    <row r="2114" spans="1:45" s="21" customFormat="1" ht="30" customHeight="1" x14ac:dyDescent="0.2">
      <c r="A2114" s="8">
        <v>1807</v>
      </c>
      <c r="B2114" s="46">
        <v>4</v>
      </c>
      <c r="C2114" s="16" t="s">
        <v>52</v>
      </c>
      <c r="D2114" s="48">
        <v>28741</v>
      </c>
      <c r="E2114" s="47">
        <v>112</v>
      </c>
      <c r="F2114" s="48">
        <v>5328</v>
      </c>
      <c r="G2114" s="49">
        <v>2</v>
      </c>
      <c r="H2114" s="48">
        <v>0</v>
      </c>
      <c r="I2114" s="48">
        <v>1</v>
      </c>
      <c r="J2114" s="48">
        <v>16</v>
      </c>
      <c r="K2114" s="3"/>
      <c r="L2114" s="16"/>
      <c r="M2114" s="57"/>
      <c r="N2114" s="58">
        <v>116</v>
      </c>
      <c r="P2114" s="16">
        <v>4</v>
      </c>
      <c r="Q2114" s="20">
        <f t="shared" si="369"/>
        <v>116</v>
      </c>
      <c r="R2114" s="14">
        <v>160</v>
      </c>
      <c r="S2114" s="19">
        <f t="shared" si="370"/>
        <v>18560</v>
      </c>
      <c r="T2114" s="16"/>
      <c r="U2114" s="17"/>
      <c r="V2114" s="17"/>
      <c r="W2114" s="5"/>
      <c r="X2114" s="16"/>
      <c r="Y2114" s="5"/>
      <c r="Z2114" s="16"/>
      <c r="AA2114" s="16"/>
      <c r="AB2114" s="16"/>
      <c r="AE2114" s="16"/>
      <c r="AG2114" s="22">
        <f t="shared" si="371"/>
        <v>0</v>
      </c>
      <c r="AH2114" s="6"/>
      <c r="AJ2114" s="20">
        <f t="shared" si="372"/>
        <v>0</v>
      </c>
      <c r="AK2114" s="50"/>
      <c r="AL2114" s="6"/>
      <c r="AM2114" s="20">
        <f t="shared" si="373"/>
        <v>0</v>
      </c>
      <c r="AN2114" s="20">
        <f t="shared" ref="AN2114:AN2145" si="376">+S2114+AM2114</f>
        <v>18560</v>
      </c>
      <c r="AP2114" s="20">
        <f t="shared" si="375"/>
        <v>18560</v>
      </c>
      <c r="AQ2114" s="7">
        <v>3.0000000000000001E-3</v>
      </c>
      <c r="AR2114" s="24"/>
      <c r="AS2114" s="129"/>
    </row>
    <row r="2115" spans="1:45" s="21" customFormat="1" ht="30" customHeight="1" x14ac:dyDescent="0.2">
      <c r="A2115" s="8">
        <v>1808</v>
      </c>
      <c r="B2115" s="46">
        <v>5</v>
      </c>
      <c r="C2115" s="16" t="s">
        <v>52</v>
      </c>
      <c r="D2115" s="48">
        <v>31017</v>
      </c>
      <c r="E2115" s="47">
        <v>181</v>
      </c>
      <c r="F2115" s="48">
        <v>5967</v>
      </c>
      <c r="G2115" s="49">
        <v>2</v>
      </c>
      <c r="H2115" s="48">
        <v>10</v>
      </c>
      <c r="I2115" s="48">
        <v>0</v>
      </c>
      <c r="J2115" s="48">
        <v>32.07</v>
      </c>
      <c r="K2115" s="3">
        <v>4032.07</v>
      </c>
      <c r="L2115" s="16"/>
      <c r="M2115" s="57"/>
      <c r="N2115" s="58"/>
      <c r="P2115" s="16">
        <v>1</v>
      </c>
      <c r="Q2115" s="20">
        <f t="shared" si="369"/>
        <v>4032.07</v>
      </c>
      <c r="R2115" s="14">
        <v>200</v>
      </c>
      <c r="S2115" s="19">
        <f t="shared" si="370"/>
        <v>806414</v>
      </c>
      <c r="T2115" s="16"/>
      <c r="U2115" s="17"/>
      <c r="V2115" s="17"/>
      <c r="W2115" s="5"/>
      <c r="X2115" s="16"/>
      <c r="Y2115" s="5"/>
      <c r="Z2115" s="16"/>
      <c r="AA2115" s="16"/>
      <c r="AB2115" s="16"/>
      <c r="AE2115" s="16"/>
      <c r="AG2115" s="22">
        <f t="shared" si="371"/>
        <v>0</v>
      </c>
      <c r="AH2115" s="6"/>
      <c r="AJ2115" s="20">
        <f t="shared" si="372"/>
        <v>0</v>
      </c>
      <c r="AK2115" s="50"/>
      <c r="AL2115" s="6"/>
      <c r="AM2115" s="20">
        <f t="shared" si="373"/>
        <v>0</v>
      </c>
      <c r="AN2115" s="20">
        <f t="shared" si="376"/>
        <v>806414</v>
      </c>
      <c r="AP2115" s="20">
        <f t="shared" si="375"/>
        <v>806414</v>
      </c>
      <c r="AQ2115" s="7"/>
      <c r="AR2115" s="24"/>
      <c r="AS2115" s="129"/>
    </row>
    <row r="2116" spans="1:45" s="21" customFormat="1" ht="30" customHeight="1" x14ac:dyDescent="0.2">
      <c r="A2116" s="8">
        <v>1809</v>
      </c>
      <c r="B2116" s="46">
        <v>6</v>
      </c>
      <c r="C2116" s="16" t="s">
        <v>52</v>
      </c>
      <c r="D2116" s="48">
        <v>36766</v>
      </c>
      <c r="E2116" s="47">
        <v>513</v>
      </c>
      <c r="F2116" s="48">
        <v>7011</v>
      </c>
      <c r="G2116" s="49">
        <v>2</v>
      </c>
      <c r="H2116" s="48">
        <v>0</v>
      </c>
      <c r="I2116" s="48">
        <v>2</v>
      </c>
      <c r="J2116" s="48">
        <v>72</v>
      </c>
      <c r="K2116" s="3"/>
      <c r="L2116" s="16">
        <v>272</v>
      </c>
      <c r="M2116" s="57"/>
      <c r="N2116" s="58"/>
      <c r="P2116" s="16">
        <v>2</v>
      </c>
      <c r="Q2116" s="20">
        <f t="shared" si="369"/>
        <v>272</v>
      </c>
      <c r="R2116" s="14">
        <v>2250</v>
      </c>
      <c r="S2116" s="20">
        <f t="shared" si="370"/>
        <v>612000</v>
      </c>
      <c r="T2116" s="16"/>
      <c r="U2116" s="17" t="s">
        <v>57</v>
      </c>
      <c r="V2116" s="17" t="s">
        <v>56</v>
      </c>
      <c r="W2116" s="4"/>
      <c r="X2116" s="16"/>
      <c r="Y2116" s="5">
        <f>165*2</f>
        <v>330</v>
      </c>
      <c r="Z2116" s="16"/>
      <c r="AA2116" s="16"/>
      <c r="AB2116" s="16">
        <f>62-42</f>
        <v>20</v>
      </c>
      <c r="AE2116" s="16"/>
      <c r="AG2116" s="22">
        <f t="shared" si="371"/>
        <v>330</v>
      </c>
      <c r="AH2116" s="6"/>
      <c r="AJ2116" s="20">
        <f t="shared" si="372"/>
        <v>0</v>
      </c>
      <c r="AK2116" s="50">
        <v>20</v>
      </c>
      <c r="AL2116" s="6"/>
      <c r="AM2116" s="20">
        <f t="shared" si="373"/>
        <v>0</v>
      </c>
      <c r="AN2116" s="20">
        <f t="shared" si="376"/>
        <v>612000</v>
      </c>
      <c r="AP2116" s="20">
        <f t="shared" si="375"/>
        <v>612000</v>
      </c>
      <c r="AQ2116" s="7"/>
      <c r="AR2116" s="25"/>
      <c r="AS2116" s="130"/>
    </row>
    <row r="2117" spans="1:45" s="21" customFormat="1" ht="30" customHeight="1" x14ac:dyDescent="0.2">
      <c r="A2117" s="8">
        <v>1810</v>
      </c>
      <c r="B2117" s="46">
        <v>1</v>
      </c>
      <c r="C2117" s="16" t="s">
        <v>52</v>
      </c>
      <c r="D2117" s="48">
        <v>31018</v>
      </c>
      <c r="E2117" s="47">
        <v>182</v>
      </c>
      <c r="F2117" s="48">
        <v>5968</v>
      </c>
      <c r="G2117" s="49">
        <v>2</v>
      </c>
      <c r="H2117" s="48">
        <v>4</v>
      </c>
      <c r="I2117" s="48">
        <v>2</v>
      </c>
      <c r="J2117" s="48">
        <v>3.09</v>
      </c>
      <c r="K2117" s="3">
        <v>1803.09</v>
      </c>
      <c r="L2117" s="16"/>
      <c r="M2117" s="57"/>
      <c r="N2117" s="58"/>
      <c r="P2117" s="16">
        <v>1</v>
      </c>
      <c r="Q2117" s="20">
        <f t="shared" si="369"/>
        <v>1803.09</v>
      </c>
      <c r="R2117" s="14">
        <v>160</v>
      </c>
      <c r="S2117" s="19">
        <f t="shared" si="370"/>
        <v>288494.39999999997</v>
      </c>
      <c r="T2117" s="16"/>
      <c r="U2117" s="17"/>
      <c r="V2117" s="17"/>
      <c r="W2117" s="4"/>
      <c r="X2117" s="16"/>
      <c r="Y2117" s="5"/>
      <c r="Z2117" s="16"/>
      <c r="AA2117" s="16"/>
      <c r="AB2117" s="16"/>
      <c r="AE2117" s="16"/>
      <c r="AG2117" s="22">
        <f t="shared" si="371"/>
        <v>0</v>
      </c>
      <c r="AH2117" s="6"/>
      <c r="AJ2117" s="20">
        <f t="shared" si="372"/>
        <v>0</v>
      </c>
      <c r="AK2117" s="50"/>
      <c r="AL2117" s="6"/>
      <c r="AM2117" s="20">
        <f t="shared" si="373"/>
        <v>0</v>
      </c>
      <c r="AN2117" s="20">
        <f t="shared" si="376"/>
        <v>288494.39999999997</v>
      </c>
      <c r="AP2117" s="20">
        <f t="shared" si="375"/>
        <v>288494.39999999997</v>
      </c>
      <c r="AQ2117" s="7"/>
      <c r="AR2117" s="20"/>
      <c r="AS2117" s="51"/>
    </row>
    <row r="2118" spans="1:45" s="21" customFormat="1" ht="30" customHeight="1" x14ac:dyDescent="0.2">
      <c r="A2118" s="8">
        <v>1811</v>
      </c>
      <c r="B2118" s="46">
        <v>2</v>
      </c>
      <c r="C2118" s="16" t="s">
        <v>52</v>
      </c>
      <c r="D2118" s="48">
        <v>36767</v>
      </c>
      <c r="E2118" s="47">
        <v>514</v>
      </c>
      <c r="F2118" s="48">
        <v>7012</v>
      </c>
      <c r="G2118" s="49">
        <v>2</v>
      </c>
      <c r="H2118" s="48">
        <v>0</v>
      </c>
      <c r="I2118" s="48">
        <v>0</v>
      </c>
      <c r="J2118" s="48">
        <v>92</v>
      </c>
      <c r="K2118" s="3"/>
      <c r="L2118" s="16">
        <v>92</v>
      </c>
      <c r="M2118" s="57"/>
      <c r="N2118" s="58"/>
      <c r="P2118" s="16">
        <v>2</v>
      </c>
      <c r="Q2118" s="20">
        <f t="shared" si="369"/>
        <v>92</v>
      </c>
      <c r="R2118" s="14">
        <v>2250</v>
      </c>
      <c r="S2118" s="19">
        <f t="shared" si="370"/>
        <v>207000</v>
      </c>
      <c r="T2118" s="16"/>
      <c r="U2118" s="17" t="s">
        <v>155</v>
      </c>
      <c r="V2118" s="17" t="s">
        <v>56</v>
      </c>
      <c r="W2118" s="4">
        <v>100</v>
      </c>
      <c r="X2118" s="16"/>
      <c r="Y2118" s="5"/>
      <c r="Z2118" s="16">
        <v>100</v>
      </c>
      <c r="AA2118" s="16"/>
      <c r="AB2118" s="16">
        <v>3</v>
      </c>
      <c r="AE2118" s="16"/>
      <c r="AF2118" s="21">
        <v>3</v>
      </c>
      <c r="AG2118" s="22">
        <v>100</v>
      </c>
      <c r="AH2118" s="6">
        <v>1</v>
      </c>
      <c r="AI2118" s="21">
        <v>5800</v>
      </c>
      <c r="AJ2118" s="20">
        <f t="shared" si="372"/>
        <v>580000</v>
      </c>
      <c r="AK2118" s="50">
        <v>3</v>
      </c>
      <c r="AL2118" s="6">
        <v>0.03</v>
      </c>
      <c r="AM2118" s="20">
        <f t="shared" si="373"/>
        <v>562600</v>
      </c>
      <c r="AN2118" s="20">
        <f t="shared" si="376"/>
        <v>769600</v>
      </c>
      <c r="AP2118" s="20">
        <f t="shared" si="375"/>
        <v>769600</v>
      </c>
      <c r="AQ2118" s="7">
        <v>3.0000000000000001E-3</v>
      </c>
      <c r="AR2118" s="20"/>
      <c r="AS2118" s="51"/>
    </row>
    <row r="2119" spans="1:45" s="21" customFormat="1" ht="30" customHeight="1" x14ac:dyDescent="0.2">
      <c r="A2119" s="8">
        <v>1812</v>
      </c>
      <c r="B2119" s="46">
        <v>3</v>
      </c>
      <c r="C2119" s="16" t="s">
        <v>52</v>
      </c>
      <c r="D2119" s="48">
        <v>36768</v>
      </c>
      <c r="E2119" s="47">
        <v>515</v>
      </c>
      <c r="F2119" s="48">
        <v>7013</v>
      </c>
      <c r="G2119" s="49">
        <v>2</v>
      </c>
      <c r="H2119" s="48">
        <v>0</v>
      </c>
      <c r="I2119" s="48">
        <v>0</v>
      </c>
      <c r="J2119" s="48">
        <v>82</v>
      </c>
      <c r="K2119" s="3"/>
      <c r="L2119" s="16">
        <v>82</v>
      </c>
      <c r="M2119" s="57"/>
      <c r="N2119" s="58"/>
      <c r="P2119" s="16">
        <v>2</v>
      </c>
      <c r="Q2119" s="20">
        <f t="shared" si="369"/>
        <v>82</v>
      </c>
      <c r="R2119" s="14">
        <v>2250</v>
      </c>
      <c r="S2119" s="20">
        <f t="shared" si="370"/>
        <v>184500</v>
      </c>
      <c r="T2119" s="16"/>
      <c r="U2119" s="17" t="s">
        <v>57</v>
      </c>
      <c r="V2119" s="17" t="s">
        <v>56</v>
      </c>
      <c r="W2119" s="4"/>
      <c r="X2119" s="16"/>
      <c r="Y2119" s="5">
        <v>100</v>
      </c>
      <c r="Z2119" s="16"/>
      <c r="AA2119" s="16"/>
      <c r="AB2119" s="16">
        <f>62-47</f>
        <v>15</v>
      </c>
      <c r="AE2119" s="16"/>
      <c r="AG2119" s="22">
        <f t="shared" si="371"/>
        <v>100</v>
      </c>
      <c r="AH2119" s="6"/>
      <c r="AJ2119" s="20">
        <f t="shared" si="372"/>
        <v>0</v>
      </c>
      <c r="AK2119" s="50">
        <v>15</v>
      </c>
      <c r="AL2119" s="6"/>
      <c r="AM2119" s="20">
        <f t="shared" si="373"/>
        <v>0</v>
      </c>
      <c r="AN2119" s="20">
        <f t="shared" si="376"/>
        <v>184500</v>
      </c>
      <c r="AP2119" s="20">
        <f t="shared" si="375"/>
        <v>184500</v>
      </c>
      <c r="AQ2119" s="7"/>
      <c r="AR2119" s="20"/>
      <c r="AS2119" s="51"/>
    </row>
    <row r="2120" spans="1:45" ht="30" customHeight="1" x14ac:dyDescent="0.2">
      <c r="A2120" s="8">
        <v>1813</v>
      </c>
      <c r="B2120" s="13">
        <v>4</v>
      </c>
      <c r="C2120" s="16" t="s">
        <v>65</v>
      </c>
      <c r="D2120" s="17">
        <v>828</v>
      </c>
      <c r="E2120" s="17">
        <v>93</v>
      </c>
      <c r="H2120" s="17">
        <v>8</v>
      </c>
      <c r="I2120" s="17">
        <v>0</v>
      </c>
      <c r="J2120" s="17">
        <v>44</v>
      </c>
      <c r="K2120" s="10">
        <v>3244</v>
      </c>
      <c r="Q2120" s="20">
        <f t="shared" si="369"/>
        <v>3244</v>
      </c>
      <c r="R2120" s="14">
        <v>1500</v>
      </c>
      <c r="S2120" s="19">
        <f t="shared" si="370"/>
        <v>4866000</v>
      </c>
      <c r="AE2120" s="17" t="s">
        <v>94</v>
      </c>
      <c r="AG2120" s="22">
        <f t="shared" si="371"/>
        <v>0</v>
      </c>
      <c r="AJ2120" s="20">
        <f t="shared" si="372"/>
        <v>0</v>
      </c>
      <c r="AM2120" s="20">
        <f t="shared" si="373"/>
        <v>0</v>
      </c>
      <c r="AN2120" s="20">
        <f t="shared" si="376"/>
        <v>4866000</v>
      </c>
      <c r="AP2120" s="20">
        <f t="shared" si="375"/>
        <v>4866000</v>
      </c>
      <c r="AQ2120" s="12">
        <v>1E-4</v>
      </c>
      <c r="AR2120" s="20"/>
    </row>
    <row r="2121" spans="1:45" s="21" customFormat="1" ht="30" customHeight="1" x14ac:dyDescent="0.2">
      <c r="A2121" s="8">
        <v>1814</v>
      </c>
      <c r="B2121" s="46">
        <v>1</v>
      </c>
      <c r="C2121" s="16" t="s">
        <v>52</v>
      </c>
      <c r="D2121" s="48">
        <v>1104</v>
      </c>
      <c r="E2121" s="47">
        <v>8</v>
      </c>
      <c r="F2121" s="48">
        <v>993</v>
      </c>
      <c r="G2121" s="49">
        <v>1</v>
      </c>
      <c r="H2121" s="48">
        <v>2</v>
      </c>
      <c r="I2121" s="48">
        <v>1</v>
      </c>
      <c r="J2121" s="48">
        <v>63</v>
      </c>
      <c r="K2121" s="3">
        <v>963</v>
      </c>
      <c r="L2121" s="16"/>
      <c r="M2121" s="57"/>
      <c r="N2121" s="58"/>
      <c r="P2121" s="16">
        <v>1</v>
      </c>
      <c r="Q2121" s="20">
        <f t="shared" si="369"/>
        <v>963</v>
      </c>
      <c r="R2121" s="14">
        <v>160</v>
      </c>
      <c r="S2121" s="19">
        <f t="shared" si="370"/>
        <v>154080</v>
      </c>
      <c r="T2121" s="16"/>
      <c r="U2121" s="17"/>
      <c r="V2121" s="17"/>
      <c r="W2121" s="4"/>
      <c r="X2121" s="16"/>
      <c r="Y2121" s="5"/>
      <c r="Z2121" s="16"/>
      <c r="AA2121" s="16"/>
      <c r="AB2121" s="16"/>
      <c r="AE2121" s="16"/>
      <c r="AG2121" s="22">
        <f t="shared" si="371"/>
        <v>0</v>
      </c>
      <c r="AH2121" s="6"/>
      <c r="AJ2121" s="20">
        <f t="shared" si="372"/>
        <v>0</v>
      </c>
      <c r="AK2121" s="50"/>
      <c r="AL2121" s="6"/>
      <c r="AM2121" s="20">
        <f t="shared" si="373"/>
        <v>0</v>
      </c>
      <c r="AN2121" s="20">
        <f t="shared" si="376"/>
        <v>154080</v>
      </c>
      <c r="AP2121" s="20">
        <f t="shared" si="375"/>
        <v>154080</v>
      </c>
      <c r="AQ2121" s="7"/>
      <c r="AR2121" s="20"/>
      <c r="AS2121" s="51"/>
    </row>
    <row r="2122" spans="1:45" s="21" customFormat="1" ht="30" customHeight="1" x14ac:dyDescent="0.2">
      <c r="A2122" s="8">
        <v>1815</v>
      </c>
      <c r="B2122" s="46">
        <v>2</v>
      </c>
      <c r="C2122" s="16" t="s">
        <v>52</v>
      </c>
      <c r="D2122" s="48">
        <v>1105</v>
      </c>
      <c r="E2122" s="47">
        <v>7</v>
      </c>
      <c r="F2122" s="48">
        <v>994</v>
      </c>
      <c r="G2122" s="49">
        <v>1</v>
      </c>
      <c r="H2122" s="48">
        <v>5</v>
      </c>
      <c r="I2122" s="48">
        <v>3</v>
      </c>
      <c r="J2122" s="48">
        <v>50</v>
      </c>
      <c r="K2122" s="3">
        <v>2350</v>
      </c>
      <c r="L2122" s="16"/>
      <c r="M2122" s="57"/>
      <c r="N2122" s="58"/>
      <c r="P2122" s="16">
        <v>1</v>
      </c>
      <c r="Q2122" s="20">
        <f t="shared" si="369"/>
        <v>2350</v>
      </c>
      <c r="R2122" s="14">
        <v>160</v>
      </c>
      <c r="S2122" s="20">
        <f t="shared" si="370"/>
        <v>376000</v>
      </c>
      <c r="T2122" s="16"/>
      <c r="U2122" s="17"/>
      <c r="V2122" s="17"/>
      <c r="W2122" s="5"/>
      <c r="X2122" s="16"/>
      <c r="Y2122" s="5"/>
      <c r="Z2122" s="16"/>
      <c r="AA2122" s="16"/>
      <c r="AB2122" s="16"/>
      <c r="AE2122" s="16"/>
      <c r="AG2122" s="22">
        <f t="shared" si="371"/>
        <v>0</v>
      </c>
      <c r="AH2122" s="6"/>
      <c r="AJ2122" s="20">
        <f t="shared" si="372"/>
        <v>0</v>
      </c>
      <c r="AK2122" s="50"/>
      <c r="AL2122" s="6"/>
      <c r="AM2122" s="20">
        <f t="shared" si="373"/>
        <v>0</v>
      </c>
      <c r="AN2122" s="20">
        <f t="shared" si="376"/>
        <v>376000</v>
      </c>
      <c r="AP2122" s="20">
        <f t="shared" si="375"/>
        <v>376000</v>
      </c>
      <c r="AQ2122" s="7"/>
      <c r="AR2122" s="20"/>
      <c r="AS2122" s="51"/>
    </row>
    <row r="2123" spans="1:45" s="21" customFormat="1" ht="30" customHeight="1" x14ac:dyDescent="0.2">
      <c r="A2123" s="8">
        <v>1816</v>
      </c>
      <c r="B2123" s="46">
        <v>3</v>
      </c>
      <c r="C2123" s="16" t="s">
        <v>52</v>
      </c>
      <c r="D2123" s="48">
        <v>1106</v>
      </c>
      <c r="E2123" s="47">
        <v>6</v>
      </c>
      <c r="F2123" s="48">
        <v>995</v>
      </c>
      <c r="G2123" s="49">
        <v>1</v>
      </c>
      <c r="H2123" s="48">
        <v>3</v>
      </c>
      <c r="I2123" s="48">
        <v>3</v>
      </c>
      <c r="J2123" s="48">
        <v>52</v>
      </c>
      <c r="K2123" s="3">
        <v>1552</v>
      </c>
      <c r="L2123" s="16"/>
      <c r="M2123" s="57"/>
      <c r="N2123" s="58"/>
      <c r="P2123" s="16">
        <v>1</v>
      </c>
      <c r="Q2123" s="20">
        <f t="shared" si="369"/>
        <v>1552</v>
      </c>
      <c r="R2123" s="14">
        <v>160</v>
      </c>
      <c r="S2123" s="19">
        <f t="shared" si="370"/>
        <v>248320</v>
      </c>
      <c r="T2123" s="16"/>
      <c r="U2123" s="17"/>
      <c r="V2123" s="17"/>
      <c r="W2123" s="5"/>
      <c r="X2123" s="16"/>
      <c r="Y2123" s="5"/>
      <c r="Z2123" s="16"/>
      <c r="AA2123" s="16"/>
      <c r="AB2123" s="16"/>
      <c r="AC2123" s="14"/>
      <c r="AD2123" s="14"/>
      <c r="AE2123" s="16"/>
      <c r="AG2123" s="22">
        <f t="shared" si="371"/>
        <v>0</v>
      </c>
      <c r="AH2123" s="6"/>
      <c r="AJ2123" s="20">
        <f t="shared" si="372"/>
        <v>0</v>
      </c>
      <c r="AK2123" s="50"/>
      <c r="AL2123" s="6"/>
      <c r="AM2123" s="20">
        <f t="shared" si="373"/>
        <v>0</v>
      </c>
      <c r="AN2123" s="20">
        <f t="shared" si="376"/>
        <v>248320</v>
      </c>
      <c r="AP2123" s="20">
        <f t="shared" si="375"/>
        <v>248320</v>
      </c>
      <c r="AQ2123" s="7"/>
      <c r="AR2123" s="20"/>
      <c r="AS2123" s="51"/>
    </row>
    <row r="2124" spans="1:45" s="21" customFormat="1" ht="30" customHeight="1" x14ac:dyDescent="0.2">
      <c r="A2124" s="8">
        <v>1817</v>
      </c>
      <c r="B2124" s="46">
        <v>4</v>
      </c>
      <c r="C2124" s="16" t="s">
        <v>52</v>
      </c>
      <c r="D2124" s="48">
        <v>1317</v>
      </c>
      <c r="E2124" s="47">
        <v>32</v>
      </c>
      <c r="F2124" s="48">
        <v>572</v>
      </c>
      <c r="G2124" s="49">
        <v>1</v>
      </c>
      <c r="H2124" s="48">
        <v>7</v>
      </c>
      <c r="I2124" s="48">
        <v>0</v>
      </c>
      <c r="J2124" s="48">
        <v>32</v>
      </c>
      <c r="K2124" s="3">
        <v>2832</v>
      </c>
      <c r="L2124" s="16"/>
      <c r="M2124" s="57"/>
      <c r="N2124" s="58"/>
      <c r="P2124" s="16">
        <v>1</v>
      </c>
      <c r="Q2124" s="20">
        <f t="shared" si="369"/>
        <v>2832</v>
      </c>
      <c r="R2124" s="14">
        <v>200</v>
      </c>
      <c r="S2124" s="19">
        <f t="shared" si="370"/>
        <v>566400</v>
      </c>
      <c r="T2124" s="16"/>
      <c r="U2124" s="17"/>
      <c r="V2124" s="17"/>
      <c r="W2124" s="5"/>
      <c r="X2124" s="16"/>
      <c r="Y2124" s="5"/>
      <c r="Z2124" s="16"/>
      <c r="AA2124" s="16"/>
      <c r="AB2124" s="16"/>
      <c r="AE2124" s="16"/>
      <c r="AG2124" s="22">
        <f t="shared" si="371"/>
        <v>0</v>
      </c>
      <c r="AH2124" s="6"/>
      <c r="AJ2124" s="20">
        <f t="shared" si="372"/>
        <v>0</v>
      </c>
      <c r="AK2124" s="50"/>
      <c r="AL2124" s="6"/>
      <c r="AM2124" s="20">
        <f t="shared" si="373"/>
        <v>0</v>
      </c>
      <c r="AN2124" s="20">
        <f t="shared" si="376"/>
        <v>566400</v>
      </c>
      <c r="AP2124" s="20">
        <f t="shared" si="375"/>
        <v>566400</v>
      </c>
      <c r="AQ2124" s="7"/>
      <c r="AR2124" s="20"/>
      <c r="AS2124" s="51"/>
    </row>
    <row r="2125" spans="1:45" ht="30" customHeight="1" x14ac:dyDescent="0.2">
      <c r="A2125" s="8">
        <v>1818</v>
      </c>
      <c r="B2125" s="13">
        <v>5</v>
      </c>
      <c r="C2125" s="16" t="s">
        <v>65</v>
      </c>
      <c r="D2125" s="17">
        <v>1680</v>
      </c>
      <c r="E2125" s="17">
        <v>22</v>
      </c>
      <c r="H2125" s="17">
        <v>2</v>
      </c>
      <c r="I2125" s="17">
        <v>2</v>
      </c>
      <c r="J2125" s="17">
        <v>33</v>
      </c>
      <c r="K2125" s="10">
        <v>1033</v>
      </c>
      <c r="P2125" s="17">
        <v>1</v>
      </c>
      <c r="Q2125" s="20">
        <f t="shared" si="369"/>
        <v>1033</v>
      </c>
      <c r="R2125" s="14">
        <v>160</v>
      </c>
      <c r="S2125" s="20">
        <f t="shared" si="370"/>
        <v>165280</v>
      </c>
      <c r="AG2125" s="22">
        <f t="shared" si="371"/>
        <v>0</v>
      </c>
      <c r="AJ2125" s="20">
        <f t="shared" si="372"/>
        <v>0</v>
      </c>
      <c r="AM2125" s="20">
        <f t="shared" si="373"/>
        <v>0</v>
      </c>
      <c r="AN2125" s="20">
        <f t="shared" si="376"/>
        <v>165280</v>
      </c>
      <c r="AP2125" s="20">
        <f t="shared" si="375"/>
        <v>165280</v>
      </c>
      <c r="AQ2125" s="12">
        <v>1E-4</v>
      </c>
      <c r="AR2125" s="20"/>
    </row>
    <row r="2126" spans="1:45" ht="30" customHeight="1" x14ac:dyDescent="0.2">
      <c r="A2126" s="8">
        <v>1819</v>
      </c>
      <c r="B2126" s="13">
        <v>6</v>
      </c>
      <c r="C2126" s="16" t="s">
        <v>69</v>
      </c>
      <c r="E2126" s="17">
        <v>157</v>
      </c>
      <c r="F2126" s="17">
        <v>6</v>
      </c>
      <c r="G2126" s="13">
        <v>1</v>
      </c>
      <c r="H2126" s="17">
        <v>21</v>
      </c>
      <c r="I2126" s="17">
        <v>0</v>
      </c>
      <c r="J2126" s="17">
        <v>20</v>
      </c>
      <c r="K2126" s="10">
        <v>8420</v>
      </c>
      <c r="P2126" s="17">
        <v>1</v>
      </c>
      <c r="Q2126" s="20">
        <f t="shared" si="369"/>
        <v>8420</v>
      </c>
      <c r="R2126" s="14">
        <v>160</v>
      </c>
      <c r="S2126" s="19">
        <f t="shared" si="370"/>
        <v>1347200</v>
      </c>
      <c r="AG2126" s="22">
        <f t="shared" si="371"/>
        <v>0</v>
      </c>
      <c r="AJ2126" s="20">
        <f t="shared" si="372"/>
        <v>0</v>
      </c>
      <c r="AM2126" s="20">
        <f t="shared" si="373"/>
        <v>0</v>
      </c>
      <c r="AN2126" s="20">
        <f t="shared" si="376"/>
        <v>1347200</v>
      </c>
      <c r="AP2126" s="20">
        <f t="shared" si="375"/>
        <v>1347200</v>
      </c>
      <c r="AQ2126" s="12">
        <v>1E-4</v>
      </c>
      <c r="AR2126" s="20"/>
    </row>
    <row r="2127" spans="1:45" s="21" customFormat="1" ht="30" customHeight="1" x14ac:dyDescent="0.2">
      <c r="A2127" s="8">
        <v>1820</v>
      </c>
      <c r="B2127" s="46">
        <v>1</v>
      </c>
      <c r="C2127" s="16" t="s">
        <v>52</v>
      </c>
      <c r="D2127" s="48">
        <v>1162</v>
      </c>
      <c r="E2127" s="47">
        <v>2</v>
      </c>
      <c r="F2127" s="48">
        <v>1000</v>
      </c>
      <c r="G2127" s="49">
        <v>1</v>
      </c>
      <c r="H2127" s="48">
        <v>4</v>
      </c>
      <c r="I2127" s="48">
        <v>1</v>
      </c>
      <c r="J2127" s="48">
        <v>47</v>
      </c>
      <c r="K2127" s="3">
        <v>1747</v>
      </c>
      <c r="L2127" s="16"/>
      <c r="M2127" s="57"/>
      <c r="N2127" s="58"/>
      <c r="P2127" s="16">
        <v>1</v>
      </c>
      <c r="Q2127" s="20">
        <f t="shared" si="369"/>
        <v>1747</v>
      </c>
      <c r="R2127" s="14">
        <v>160</v>
      </c>
      <c r="S2127" s="19">
        <f t="shared" si="370"/>
        <v>279520</v>
      </c>
      <c r="T2127" s="16"/>
      <c r="U2127" s="17"/>
      <c r="V2127" s="17"/>
      <c r="W2127" s="5"/>
      <c r="X2127" s="16"/>
      <c r="Y2127" s="5"/>
      <c r="Z2127" s="16"/>
      <c r="AA2127" s="16"/>
      <c r="AB2127" s="16"/>
      <c r="AC2127" s="14"/>
      <c r="AD2127" s="14"/>
      <c r="AE2127" s="16"/>
      <c r="AG2127" s="22">
        <f t="shared" si="371"/>
        <v>0</v>
      </c>
      <c r="AH2127" s="6"/>
      <c r="AJ2127" s="20">
        <f t="shared" si="372"/>
        <v>0</v>
      </c>
      <c r="AK2127" s="50"/>
      <c r="AL2127" s="6"/>
      <c r="AM2127" s="20">
        <f t="shared" si="373"/>
        <v>0</v>
      </c>
      <c r="AN2127" s="20">
        <f t="shared" si="376"/>
        <v>279520</v>
      </c>
      <c r="AP2127" s="20">
        <f t="shared" si="375"/>
        <v>279520</v>
      </c>
      <c r="AQ2127" s="7"/>
      <c r="AR2127" s="20"/>
      <c r="AS2127" s="51"/>
    </row>
    <row r="2128" spans="1:45" s="21" customFormat="1" ht="30" customHeight="1" x14ac:dyDescent="0.2">
      <c r="A2128" s="8">
        <v>1821</v>
      </c>
      <c r="B2128" s="46">
        <v>2</v>
      </c>
      <c r="C2128" s="16" t="s">
        <v>52</v>
      </c>
      <c r="D2128" s="48">
        <v>1463</v>
      </c>
      <c r="E2128" s="47">
        <v>46</v>
      </c>
      <c r="F2128" s="48">
        <v>540</v>
      </c>
      <c r="G2128" s="49">
        <v>2</v>
      </c>
      <c r="H2128" s="48">
        <v>1</v>
      </c>
      <c r="I2128" s="48">
        <v>2</v>
      </c>
      <c r="J2128" s="48">
        <v>23</v>
      </c>
      <c r="K2128" s="3">
        <v>623</v>
      </c>
      <c r="L2128" s="16"/>
      <c r="M2128" s="57"/>
      <c r="N2128" s="58"/>
      <c r="P2128" s="16">
        <v>1</v>
      </c>
      <c r="Q2128" s="20">
        <f t="shared" si="369"/>
        <v>623</v>
      </c>
      <c r="R2128" s="14">
        <v>160</v>
      </c>
      <c r="S2128" s="20">
        <f t="shared" si="370"/>
        <v>99680</v>
      </c>
      <c r="T2128" s="16"/>
      <c r="U2128" s="17"/>
      <c r="V2128" s="17"/>
      <c r="W2128" s="5"/>
      <c r="X2128" s="16"/>
      <c r="Y2128" s="5"/>
      <c r="Z2128" s="16"/>
      <c r="AA2128" s="16"/>
      <c r="AB2128" s="16"/>
      <c r="AC2128" s="14"/>
      <c r="AD2128" s="14"/>
      <c r="AE2128" s="16"/>
      <c r="AG2128" s="22">
        <f t="shared" si="371"/>
        <v>0</v>
      </c>
      <c r="AH2128" s="6"/>
      <c r="AJ2128" s="20">
        <f t="shared" si="372"/>
        <v>0</v>
      </c>
      <c r="AK2128" s="50"/>
      <c r="AL2128" s="6"/>
      <c r="AM2128" s="20">
        <f t="shared" si="373"/>
        <v>0</v>
      </c>
      <c r="AN2128" s="20">
        <f t="shared" si="376"/>
        <v>99680</v>
      </c>
      <c r="AP2128" s="20">
        <f t="shared" si="375"/>
        <v>99680</v>
      </c>
      <c r="AQ2128" s="7"/>
      <c r="AR2128" s="20"/>
      <c r="AS2128" s="51"/>
    </row>
    <row r="2129" spans="1:48" s="21" customFormat="1" ht="30" customHeight="1" x14ac:dyDescent="0.2">
      <c r="A2129" s="8">
        <v>1822</v>
      </c>
      <c r="B2129" s="46">
        <v>3</v>
      </c>
      <c r="C2129" s="16" t="s">
        <v>52</v>
      </c>
      <c r="D2129" s="48">
        <v>1578</v>
      </c>
      <c r="E2129" s="47">
        <v>41</v>
      </c>
      <c r="F2129" s="48">
        <v>515</v>
      </c>
      <c r="G2129" s="49">
        <v>2</v>
      </c>
      <c r="H2129" s="48">
        <v>0</v>
      </c>
      <c r="I2129" s="48">
        <v>1</v>
      </c>
      <c r="J2129" s="48">
        <v>94</v>
      </c>
      <c r="K2129" s="3">
        <v>194</v>
      </c>
      <c r="L2129" s="16"/>
      <c r="M2129" s="57"/>
      <c r="N2129" s="58"/>
      <c r="P2129" s="16">
        <v>1</v>
      </c>
      <c r="Q2129" s="20">
        <f t="shared" si="369"/>
        <v>194</v>
      </c>
      <c r="R2129" s="14">
        <v>160</v>
      </c>
      <c r="S2129" s="19">
        <f t="shared" si="370"/>
        <v>31040</v>
      </c>
      <c r="T2129" s="16"/>
      <c r="U2129" s="17"/>
      <c r="V2129" s="17"/>
      <c r="W2129" s="5"/>
      <c r="X2129" s="16"/>
      <c r="Y2129" s="5"/>
      <c r="Z2129" s="16"/>
      <c r="AA2129" s="16"/>
      <c r="AB2129" s="16"/>
      <c r="AC2129" s="14"/>
      <c r="AD2129" s="14"/>
      <c r="AE2129" s="16"/>
      <c r="AG2129" s="22">
        <f t="shared" si="371"/>
        <v>0</v>
      </c>
      <c r="AH2129" s="6"/>
      <c r="AJ2129" s="20">
        <f t="shared" si="372"/>
        <v>0</v>
      </c>
      <c r="AK2129" s="50"/>
      <c r="AL2129" s="6"/>
      <c r="AM2129" s="20">
        <f t="shared" si="373"/>
        <v>0</v>
      </c>
      <c r="AN2129" s="20">
        <f t="shared" si="376"/>
        <v>31040</v>
      </c>
      <c r="AP2129" s="20">
        <f t="shared" si="375"/>
        <v>31040</v>
      </c>
      <c r="AQ2129" s="7"/>
      <c r="AR2129" s="20"/>
      <c r="AS2129" s="51"/>
    </row>
    <row r="2130" spans="1:48" s="21" customFormat="1" ht="30" customHeight="1" x14ac:dyDescent="0.2">
      <c r="A2130" s="8">
        <v>1823</v>
      </c>
      <c r="B2130" s="46">
        <v>4</v>
      </c>
      <c r="C2130" s="16" t="s">
        <v>52</v>
      </c>
      <c r="D2130" s="48">
        <v>36764</v>
      </c>
      <c r="E2130" s="47">
        <v>511</v>
      </c>
      <c r="F2130" s="48">
        <v>7009</v>
      </c>
      <c r="G2130" s="49">
        <v>2</v>
      </c>
      <c r="H2130" s="48">
        <v>0</v>
      </c>
      <c r="I2130" s="48">
        <v>1</v>
      </c>
      <c r="J2130" s="48">
        <v>82</v>
      </c>
      <c r="K2130" s="3"/>
      <c r="L2130" s="16"/>
      <c r="M2130" s="57">
        <v>182</v>
      </c>
      <c r="N2130" s="58"/>
      <c r="P2130" s="16">
        <v>4</v>
      </c>
      <c r="Q2130" s="20">
        <f t="shared" si="369"/>
        <v>182</v>
      </c>
      <c r="R2130" s="14">
        <v>2250</v>
      </c>
      <c r="S2130" s="19">
        <f t="shared" si="370"/>
        <v>409500</v>
      </c>
      <c r="T2130" s="16"/>
      <c r="U2130" s="17" t="s">
        <v>57</v>
      </c>
      <c r="V2130" s="17" t="s">
        <v>56</v>
      </c>
      <c r="W2130" s="5"/>
      <c r="X2130" s="16"/>
      <c r="Y2130" s="5"/>
      <c r="Z2130" s="16">
        <v>136</v>
      </c>
      <c r="AA2130" s="16"/>
      <c r="AB2130" s="16">
        <f>62-42</f>
        <v>20</v>
      </c>
      <c r="AC2130" s="14"/>
      <c r="AD2130" s="14"/>
      <c r="AE2130" s="16"/>
      <c r="AG2130" s="22">
        <f t="shared" si="371"/>
        <v>0</v>
      </c>
      <c r="AH2130" s="6"/>
      <c r="AJ2130" s="20">
        <f t="shared" si="372"/>
        <v>0</v>
      </c>
      <c r="AK2130" s="50">
        <v>20</v>
      </c>
      <c r="AL2130" s="6"/>
      <c r="AM2130" s="20">
        <f t="shared" si="373"/>
        <v>0</v>
      </c>
      <c r="AN2130" s="20">
        <f t="shared" si="376"/>
        <v>409500</v>
      </c>
      <c r="AP2130" s="20">
        <f t="shared" si="375"/>
        <v>409500</v>
      </c>
      <c r="AQ2130" s="7"/>
      <c r="AR2130" s="20"/>
      <c r="AS2130" s="51"/>
    </row>
    <row r="2131" spans="1:48" ht="30" customHeight="1" x14ac:dyDescent="0.2">
      <c r="A2131" s="8"/>
      <c r="C2131" s="16"/>
      <c r="Q2131" s="20"/>
      <c r="S2131" s="20"/>
      <c r="AG2131" s="22"/>
      <c r="AJ2131" s="20"/>
      <c r="AM2131" s="20"/>
      <c r="AN2131" s="20"/>
      <c r="AP2131" s="20"/>
      <c r="AR2131" s="20"/>
    </row>
    <row r="2132" spans="1:48" s="21" customFormat="1" ht="30" customHeight="1" x14ac:dyDescent="0.2">
      <c r="A2132" s="8">
        <v>1824</v>
      </c>
      <c r="B2132" s="46">
        <v>6</v>
      </c>
      <c r="C2132" s="16" t="s">
        <v>52</v>
      </c>
      <c r="D2132" s="48">
        <v>1833</v>
      </c>
      <c r="E2132" s="47">
        <v>98</v>
      </c>
      <c r="F2132" s="48">
        <v>1223</v>
      </c>
      <c r="G2132" s="49"/>
      <c r="H2132" s="48">
        <v>10</v>
      </c>
      <c r="I2132" s="48">
        <v>0</v>
      </c>
      <c r="J2132" s="48">
        <v>53</v>
      </c>
      <c r="K2132" s="3">
        <v>4053</v>
      </c>
      <c r="L2132" s="16"/>
      <c r="M2132" s="57"/>
      <c r="N2132" s="58"/>
      <c r="P2132" s="16">
        <v>1</v>
      </c>
      <c r="Q2132" s="20">
        <f t="shared" si="369"/>
        <v>4053</v>
      </c>
      <c r="R2132" s="14">
        <v>160</v>
      </c>
      <c r="S2132" s="19">
        <f t="shared" si="370"/>
        <v>648480</v>
      </c>
      <c r="T2132" s="16"/>
      <c r="U2132" s="17"/>
      <c r="V2132" s="17"/>
      <c r="W2132" s="5"/>
      <c r="X2132" s="16"/>
      <c r="Y2132" s="5"/>
      <c r="Z2132" s="16"/>
      <c r="AA2132" s="16"/>
      <c r="AB2132" s="16"/>
      <c r="AC2132" s="14"/>
      <c r="AD2132" s="14"/>
      <c r="AE2132" s="16"/>
      <c r="AG2132" s="22">
        <f t="shared" si="371"/>
        <v>0</v>
      </c>
      <c r="AH2132" s="6"/>
      <c r="AJ2132" s="20">
        <f t="shared" si="372"/>
        <v>0</v>
      </c>
      <c r="AK2132" s="50"/>
      <c r="AL2132" s="6"/>
      <c r="AM2132" s="20">
        <f t="shared" si="373"/>
        <v>0</v>
      </c>
      <c r="AN2132" s="20">
        <f t="shared" si="376"/>
        <v>648480</v>
      </c>
      <c r="AP2132" s="20">
        <f t="shared" si="375"/>
        <v>648480</v>
      </c>
      <c r="AQ2132" s="7"/>
      <c r="AR2132" s="20"/>
      <c r="AS2132" s="51"/>
    </row>
    <row r="2133" spans="1:48" s="29" customFormat="1" ht="30" customHeight="1" x14ac:dyDescent="0.2">
      <c r="A2133" s="86">
        <v>1825</v>
      </c>
      <c r="B2133" s="46">
        <v>1</v>
      </c>
      <c r="C2133" s="16" t="s">
        <v>52</v>
      </c>
      <c r="D2133" s="48">
        <v>25647</v>
      </c>
      <c r="E2133" s="47">
        <v>221</v>
      </c>
      <c r="F2133" s="48">
        <v>4996</v>
      </c>
      <c r="G2133" s="53">
        <v>1</v>
      </c>
      <c r="H2133" s="48">
        <v>0</v>
      </c>
      <c r="I2133" s="48">
        <v>1</v>
      </c>
      <c r="J2133" s="48">
        <v>54</v>
      </c>
      <c r="K2133" s="63">
        <v>154</v>
      </c>
      <c r="L2133" s="63"/>
      <c r="M2133" s="63"/>
      <c r="N2133" s="63"/>
      <c r="O2133" s="63"/>
      <c r="P2133" s="14">
        <v>1</v>
      </c>
      <c r="Q2133" s="19">
        <f>+(H2133*400)+(I2133*100)+J2133</f>
        <v>154</v>
      </c>
      <c r="R2133" s="14">
        <v>250</v>
      </c>
      <c r="S2133" s="19">
        <f t="shared" si="370"/>
        <v>38500</v>
      </c>
      <c r="T2133" s="63"/>
      <c r="U2133" s="87"/>
      <c r="V2133" s="87"/>
      <c r="W2133" s="64"/>
      <c r="X2133" s="63"/>
      <c r="Y2133" s="28"/>
      <c r="Z2133" s="63"/>
      <c r="AA2133" s="65"/>
      <c r="AB2133" s="63"/>
      <c r="AC2133" s="21"/>
      <c r="AF2133" s="14"/>
      <c r="AG2133" s="14"/>
      <c r="AH2133" s="11"/>
      <c r="AI2133" s="14"/>
      <c r="AJ2133" s="20">
        <f t="shared" si="372"/>
        <v>0</v>
      </c>
      <c r="AK2133" s="66">
        <f>AB2133</f>
        <v>0</v>
      </c>
      <c r="AL2133" s="11"/>
      <c r="AM2133" s="20">
        <f t="shared" si="373"/>
        <v>0</v>
      </c>
      <c r="AN2133" s="20">
        <f t="shared" si="376"/>
        <v>38500</v>
      </c>
      <c r="AO2133" s="14"/>
      <c r="AP2133" s="20">
        <f>AN2133</f>
        <v>38500</v>
      </c>
      <c r="AQ2133" s="12"/>
      <c r="AR2133" s="20"/>
      <c r="AS2133" s="51"/>
      <c r="AT2133" s="21"/>
      <c r="AU2133" s="21"/>
      <c r="AV2133" s="21"/>
    </row>
    <row r="2134" spans="1:48" s="21" customFormat="1" ht="30" customHeight="1" x14ac:dyDescent="0.2">
      <c r="A2134" s="8">
        <v>1826</v>
      </c>
      <c r="B2134" s="46">
        <v>2</v>
      </c>
      <c r="C2134" s="16" t="s">
        <v>52</v>
      </c>
      <c r="D2134" s="48">
        <v>21561</v>
      </c>
      <c r="E2134" s="47">
        <v>281</v>
      </c>
      <c r="F2134" s="48">
        <v>4739</v>
      </c>
      <c r="G2134" s="49"/>
      <c r="H2134" s="48">
        <v>5</v>
      </c>
      <c r="I2134" s="48">
        <v>1</v>
      </c>
      <c r="J2134" s="48">
        <v>57</v>
      </c>
      <c r="K2134" s="3">
        <v>2157</v>
      </c>
      <c r="L2134" s="16"/>
      <c r="M2134" s="57"/>
      <c r="N2134" s="58"/>
      <c r="P2134" s="16">
        <v>1</v>
      </c>
      <c r="Q2134" s="20">
        <f t="shared" si="369"/>
        <v>2157</v>
      </c>
      <c r="R2134" s="14">
        <v>160</v>
      </c>
      <c r="S2134" s="19">
        <f t="shared" si="370"/>
        <v>345120</v>
      </c>
      <c r="T2134" s="16"/>
      <c r="U2134" s="17"/>
      <c r="V2134" s="17"/>
      <c r="W2134" s="5"/>
      <c r="X2134" s="16"/>
      <c r="Y2134" s="5"/>
      <c r="Z2134" s="16"/>
      <c r="AA2134" s="16"/>
      <c r="AB2134" s="16"/>
      <c r="AE2134" s="16"/>
      <c r="AG2134" s="22">
        <f t="shared" ref="AG2134:AG2179" si="377">Y2134</f>
        <v>0</v>
      </c>
      <c r="AH2134" s="6"/>
      <c r="AJ2134" s="20">
        <f t="shared" si="372"/>
        <v>0</v>
      </c>
      <c r="AK2134" s="50"/>
      <c r="AL2134" s="6"/>
      <c r="AM2134" s="20">
        <f t="shared" si="373"/>
        <v>0</v>
      </c>
      <c r="AN2134" s="20">
        <f t="shared" si="376"/>
        <v>345120</v>
      </c>
      <c r="AP2134" s="20">
        <f t="shared" si="375"/>
        <v>345120</v>
      </c>
      <c r="AQ2134" s="7"/>
      <c r="AR2134" s="20"/>
      <c r="AS2134" s="51"/>
    </row>
    <row r="2135" spans="1:48" s="21" customFormat="1" ht="30" customHeight="1" x14ac:dyDescent="0.2">
      <c r="A2135" s="8">
        <v>1827</v>
      </c>
      <c r="B2135" s="46">
        <v>1</v>
      </c>
      <c r="C2135" s="16" t="s">
        <v>52</v>
      </c>
      <c r="D2135" s="48">
        <v>387</v>
      </c>
      <c r="E2135" s="47">
        <v>501</v>
      </c>
      <c r="F2135" s="48">
        <v>45</v>
      </c>
      <c r="G2135" s="49">
        <v>2</v>
      </c>
      <c r="H2135" s="48">
        <v>0</v>
      </c>
      <c r="I2135" s="48">
        <v>2</v>
      </c>
      <c r="J2135" s="48">
        <v>44.02</v>
      </c>
      <c r="K2135" s="3">
        <v>244.02</v>
      </c>
      <c r="L2135" s="16"/>
      <c r="M2135" s="57"/>
      <c r="N2135" s="58"/>
      <c r="P2135" s="16">
        <v>1</v>
      </c>
      <c r="Q2135" s="20">
        <f t="shared" si="369"/>
        <v>244.02</v>
      </c>
      <c r="R2135" s="14">
        <v>160</v>
      </c>
      <c r="S2135" s="20">
        <f t="shared" si="370"/>
        <v>39043.200000000004</v>
      </c>
      <c r="T2135" s="16"/>
      <c r="U2135" s="17"/>
      <c r="V2135" s="17"/>
      <c r="W2135" s="5"/>
      <c r="X2135" s="16"/>
      <c r="Y2135" s="5"/>
      <c r="Z2135" s="16"/>
      <c r="AA2135" s="16"/>
      <c r="AB2135" s="16"/>
      <c r="AE2135" s="16"/>
      <c r="AG2135" s="22">
        <f t="shared" si="377"/>
        <v>0</v>
      </c>
      <c r="AH2135" s="6"/>
      <c r="AJ2135" s="20">
        <f t="shared" si="372"/>
        <v>0</v>
      </c>
      <c r="AK2135" s="50"/>
      <c r="AL2135" s="6"/>
      <c r="AM2135" s="20">
        <f t="shared" si="373"/>
        <v>0</v>
      </c>
      <c r="AN2135" s="20">
        <f t="shared" si="376"/>
        <v>39043.200000000004</v>
      </c>
      <c r="AP2135" s="20">
        <f t="shared" si="375"/>
        <v>39043.200000000004</v>
      </c>
      <c r="AQ2135" s="7"/>
      <c r="AR2135" s="20"/>
      <c r="AS2135" s="51"/>
    </row>
    <row r="2136" spans="1:48" s="21" customFormat="1" ht="30" customHeight="1" x14ac:dyDescent="0.2">
      <c r="A2136" s="8">
        <v>1828</v>
      </c>
      <c r="B2136" s="46">
        <v>1</v>
      </c>
      <c r="C2136" s="16" t="s">
        <v>52</v>
      </c>
      <c r="D2136" s="48">
        <v>26641</v>
      </c>
      <c r="E2136" s="47">
        <v>222</v>
      </c>
      <c r="F2136" s="48">
        <v>5018</v>
      </c>
      <c r="G2136" s="49">
        <v>1</v>
      </c>
      <c r="H2136" s="48">
        <v>0</v>
      </c>
      <c r="I2136" s="48">
        <v>1</v>
      </c>
      <c r="J2136" s="48">
        <v>69</v>
      </c>
      <c r="K2136" s="3">
        <v>169</v>
      </c>
      <c r="L2136" s="16"/>
      <c r="M2136" s="57"/>
      <c r="N2136" s="58"/>
      <c r="P2136" s="16">
        <v>1</v>
      </c>
      <c r="Q2136" s="20">
        <f t="shared" si="369"/>
        <v>169</v>
      </c>
      <c r="R2136" s="14">
        <v>200</v>
      </c>
      <c r="S2136" s="19">
        <f t="shared" si="370"/>
        <v>33800</v>
      </c>
      <c r="T2136" s="16"/>
      <c r="U2136" s="17"/>
      <c r="V2136" s="17"/>
      <c r="W2136" s="5"/>
      <c r="X2136" s="16"/>
      <c r="Y2136" s="5"/>
      <c r="Z2136" s="16"/>
      <c r="AA2136" s="16"/>
      <c r="AB2136" s="16"/>
      <c r="AE2136" s="16"/>
      <c r="AG2136" s="22">
        <f t="shared" si="377"/>
        <v>0</v>
      </c>
      <c r="AH2136" s="6"/>
      <c r="AJ2136" s="20">
        <f t="shared" si="372"/>
        <v>0</v>
      </c>
      <c r="AK2136" s="50"/>
      <c r="AL2136" s="6"/>
      <c r="AM2136" s="20">
        <f t="shared" si="373"/>
        <v>0</v>
      </c>
      <c r="AN2136" s="20">
        <f t="shared" si="376"/>
        <v>33800</v>
      </c>
      <c r="AP2136" s="20">
        <f t="shared" si="375"/>
        <v>33800</v>
      </c>
      <c r="AQ2136" s="7"/>
      <c r="AR2136" s="20"/>
      <c r="AS2136" s="51"/>
    </row>
    <row r="2137" spans="1:48" s="21" customFormat="1" ht="30" customHeight="1" x14ac:dyDescent="0.2">
      <c r="A2137" s="8">
        <v>1829</v>
      </c>
      <c r="B2137" s="46">
        <v>2</v>
      </c>
      <c r="C2137" s="16" t="s">
        <v>52</v>
      </c>
      <c r="D2137" s="48">
        <v>31359</v>
      </c>
      <c r="E2137" s="47">
        <v>315</v>
      </c>
      <c r="F2137" s="48">
        <v>6178</v>
      </c>
      <c r="G2137" s="49">
        <v>1</v>
      </c>
      <c r="H2137" s="48">
        <v>0</v>
      </c>
      <c r="I2137" s="48">
        <v>3</v>
      </c>
      <c r="J2137" s="48">
        <v>43</v>
      </c>
      <c r="K2137" s="3"/>
      <c r="L2137" s="16">
        <v>343</v>
      </c>
      <c r="M2137" s="57"/>
      <c r="N2137" s="58"/>
      <c r="P2137" s="16">
        <v>2</v>
      </c>
      <c r="Q2137" s="20">
        <f t="shared" si="369"/>
        <v>343</v>
      </c>
      <c r="R2137" s="14">
        <v>160</v>
      </c>
      <c r="S2137" s="19">
        <f t="shared" si="370"/>
        <v>54880</v>
      </c>
      <c r="T2137" s="16"/>
      <c r="U2137" s="17" t="s">
        <v>57</v>
      </c>
      <c r="V2137" s="17" t="s">
        <v>56</v>
      </c>
      <c r="W2137" s="5">
        <v>160</v>
      </c>
      <c r="X2137" s="16"/>
      <c r="Y2137" s="5">
        <v>160</v>
      </c>
      <c r="Z2137" s="16"/>
      <c r="AA2137" s="16"/>
      <c r="AB2137" s="16">
        <v>5</v>
      </c>
      <c r="AC2137" s="21" t="s">
        <v>154</v>
      </c>
      <c r="AE2137" s="16"/>
      <c r="AG2137" s="22">
        <f t="shared" si="377"/>
        <v>160</v>
      </c>
      <c r="AH2137" s="6"/>
      <c r="AJ2137" s="20">
        <f t="shared" si="372"/>
        <v>0</v>
      </c>
      <c r="AK2137" s="50">
        <v>5</v>
      </c>
      <c r="AL2137" s="6"/>
      <c r="AM2137" s="20">
        <f t="shared" si="373"/>
        <v>0</v>
      </c>
      <c r="AN2137" s="20">
        <f t="shared" si="376"/>
        <v>54880</v>
      </c>
      <c r="AP2137" s="20">
        <f t="shared" si="375"/>
        <v>54880</v>
      </c>
      <c r="AQ2137" s="7"/>
      <c r="AR2137" s="20"/>
      <c r="AS2137" s="51"/>
    </row>
    <row r="2138" spans="1:48" s="21" customFormat="1" ht="30" customHeight="1" x14ac:dyDescent="0.2">
      <c r="A2138" s="8">
        <v>1830</v>
      </c>
      <c r="B2138" s="46">
        <v>3</v>
      </c>
      <c r="C2138" s="16" t="s">
        <v>52</v>
      </c>
      <c r="D2138" s="48">
        <v>32804</v>
      </c>
      <c r="E2138" s="47">
        <v>502</v>
      </c>
      <c r="F2138" s="48">
        <v>6461</v>
      </c>
      <c r="G2138" s="49">
        <v>2</v>
      </c>
      <c r="H2138" s="48">
        <v>3</v>
      </c>
      <c r="I2138" s="48">
        <v>0</v>
      </c>
      <c r="J2138" s="48">
        <v>97.03</v>
      </c>
      <c r="K2138" s="3">
        <v>1297.03</v>
      </c>
      <c r="L2138" s="16"/>
      <c r="M2138" s="57"/>
      <c r="N2138" s="58"/>
      <c r="P2138" s="16">
        <v>1</v>
      </c>
      <c r="Q2138" s="20">
        <f t="shared" si="369"/>
        <v>1297.03</v>
      </c>
      <c r="R2138" s="14">
        <v>160</v>
      </c>
      <c r="S2138" s="20">
        <f t="shared" si="370"/>
        <v>207524.8</v>
      </c>
      <c r="T2138" s="16"/>
      <c r="U2138" s="17"/>
      <c r="V2138" s="17"/>
      <c r="W2138" s="5"/>
      <c r="X2138" s="16"/>
      <c r="Y2138" s="5"/>
      <c r="Z2138" s="16"/>
      <c r="AA2138" s="16"/>
      <c r="AB2138" s="16"/>
      <c r="AE2138" s="16"/>
      <c r="AG2138" s="22">
        <f t="shared" si="377"/>
        <v>0</v>
      </c>
      <c r="AH2138" s="6"/>
      <c r="AJ2138" s="20">
        <f t="shared" si="372"/>
        <v>0</v>
      </c>
      <c r="AK2138" s="50"/>
      <c r="AL2138" s="6"/>
      <c r="AM2138" s="20">
        <f t="shared" si="373"/>
        <v>0</v>
      </c>
      <c r="AN2138" s="20">
        <f t="shared" si="376"/>
        <v>207524.8</v>
      </c>
      <c r="AP2138" s="20">
        <f t="shared" si="375"/>
        <v>207524.8</v>
      </c>
      <c r="AQ2138" s="7"/>
      <c r="AR2138" s="20"/>
      <c r="AS2138" s="51"/>
    </row>
    <row r="2139" spans="1:48" s="21" customFormat="1" ht="30" customHeight="1" x14ac:dyDescent="0.2">
      <c r="A2139" s="8">
        <v>1831</v>
      </c>
      <c r="B2139" s="46">
        <v>4</v>
      </c>
      <c r="C2139" s="16" t="s">
        <v>52</v>
      </c>
      <c r="D2139" s="48">
        <v>34286</v>
      </c>
      <c r="E2139" s="47">
        <v>19</v>
      </c>
      <c r="F2139" s="48">
        <v>6814</v>
      </c>
      <c r="G2139" s="49">
        <v>2</v>
      </c>
      <c r="H2139" s="48">
        <v>2</v>
      </c>
      <c r="I2139" s="48">
        <v>0</v>
      </c>
      <c r="J2139" s="48">
        <v>0</v>
      </c>
      <c r="K2139" s="3">
        <v>800</v>
      </c>
      <c r="L2139" s="16"/>
      <c r="M2139" s="57"/>
      <c r="N2139" s="58"/>
      <c r="P2139" s="16">
        <v>1</v>
      </c>
      <c r="Q2139" s="20">
        <f t="shared" si="369"/>
        <v>800</v>
      </c>
      <c r="R2139" s="14">
        <v>200</v>
      </c>
      <c r="S2139" s="19">
        <f t="shared" si="370"/>
        <v>160000</v>
      </c>
      <c r="T2139" s="16"/>
      <c r="U2139" s="17"/>
      <c r="V2139" s="17"/>
      <c r="W2139" s="5"/>
      <c r="X2139" s="16"/>
      <c r="Y2139" s="5"/>
      <c r="Z2139" s="16"/>
      <c r="AA2139" s="16"/>
      <c r="AB2139" s="16"/>
      <c r="AE2139" s="16"/>
      <c r="AG2139" s="22">
        <f t="shared" si="377"/>
        <v>0</v>
      </c>
      <c r="AH2139" s="6"/>
      <c r="AJ2139" s="20">
        <f t="shared" si="372"/>
        <v>0</v>
      </c>
      <c r="AK2139" s="50"/>
      <c r="AL2139" s="6"/>
      <c r="AM2139" s="20">
        <f t="shared" si="373"/>
        <v>0</v>
      </c>
      <c r="AN2139" s="20">
        <f t="shared" si="376"/>
        <v>160000</v>
      </c>
      <c r="AP2139" s="20">
        <f t="shared" si="375"/>
        <v>160000</v>
      </c>
      <c r="AQ2139" s="7"/>
      <c r="AR2139" s="20"/>
      <c r="AS2139" s="51"/>
    </row>
    <row r="2140" spans="1:48" s="21" customFormat="1" ht="30" customHeight="1" x14ac:dyDescent="0.2">
      <c r="A2140" s="8">
        <v>1832</v>
      </c>
      <c r="B2140" s="46">
        <v>1</v>
      </c>
      <c r="C2140" s="16" t="s">
        <v>52</v>
      </c>
      <c r="D2140" s="48">
        <v>1566</v>
      </c>
      <c r="E2140" s="47">
        <v>66</v>
      </c>
      <c r="F2140" s="48">
        <v>503</v>
      </c>
      <c r="G2140" s="49">
        <v>2</v>
      </c>
      <c r="H2140" s="48">
        <v>2</v>
      </c>
      <c r="I2140" s="48">
        <v>1</v>
      </c>
      <c r="J2140" s="48">
        <v>98</v>
      </c>
      <c r="K2140" s="3">
        <v>998</v>
      </c>
      <c r="L2140" s="16"/>
      <c r="M2140" s="57"/>
      <c r="N2140" s="58"/>
      <c r="P2140" s="16">
        <v>1</v>
      </c>
      <c r="Q2140" s="20">
        <f t="shared" si="369"/>
        <v>998</v>
      </c>
      <c r="R2140" s="14">
        <v>750</v>
      </c>
      <c r="S2140" s="19">
        <f t="shared" si="370"/>
        <v>748500</v>
      </c>
      <c r="T2140" s="16"/>
      <c r="U2140" s="17"/>
      <c r="V2140" s="17"/>
      <c r="W2140" s="5"/>
      <c r="X2140" s="16"/>
      <c r="Y2140" s="5"/>
      <c r="Z2140" s="16"/>
      <c r="AA2140" s="16"/>
      <c r="AB2140" s="16"/>
      <c r="AE2140" s="16"/>
      <c r="AG2140" s="22">
        <f t="shared" si="377"/>
        <v>0</v>
      </c>
      <c r="AH2140" s="6"/>
      <c r="AJ2140" s="20">
        <f t="shared" si="372"/>
        <v>0</v>
      </c>
      <c r="AK2140" s="50"/>
      <c r="AL2140" s="6"/>
      <c r="AM2140" s="20">
        <f t="shared" si="373"/>
        <v>0</v>
      </c>
      <c r="AN2140" s="20">
        <f t="shared" si="376"/>
        <v>748500</v>
      </c>
      <c r="AP2140" s="20">
        <f t="shared" si="375"/>
        <v>748500</v>
      </c>
      <c r="AQ2140" s="7"/>
      <c r="AR2140" s="20"/>
      <c r="AS2140" s="51"/>
    </row>
    <row r="2141" spans="1:48" s="21" customFormat="1" ht="30" customHeight="1" x14ac:dyDescent="0.2">
      <c r="A2141" s="8">
        <v>1833</v>
      </c>
      <c r="B2141" s="46">
        <v>2</v>
      </c>
      <c r="C2141" s="16" t="s">
        <v>52</v>
      </c>
      <c r="D2141" s="48">
        <v>1571</v>
      </c>
      <c r="E2141" s="47">
        <v>70</v>
      </c>
      <c r="F2141" s="48">
        <v>508</v>
      </c>
      <c r="G2141" s="49">
        <v>2</v>
      </c>
      <c r="H2141" s="48">
        <v>0</v>
      </c>
      <c r="I2141" s="48">
        <v>2</v>
      </c>
      <c r="J2141" s="48">
        <v>41</v>
      </c>
      <c r="K2141" s="3"/>
      <c r="L2141" s="16">
        <v>241</v>
      </c>
      <c r="M2141" s="57"/>
      <c r="N2141" s="58"/>
      <c r="P2141" s="16">
        <v>2</v>
      </c>
      <c r="Q2141" s="20">
        <f t="shared" si="369"/>
        <v>241</v>
      </c>
      <c r="R2141" s="14">
        <v>160</v>
      </c>
      <c r="S2141" s="20">
        <f t="shared" si="370"/>
        <v>38560</v>
      </c>
      <c r="T2141" s="16"/>
      <c r="U2141" s="17" t="s">
        <v>57</v>
      </c>
      <c r="V2141" s="17" t="s">
        <v>84</v>
      </c>
      <c r="W2141" s="5"/>
      <c r="X2141" s="16"/>
      <c r="Y2141" s="5">
        <f>175+175</f>
        <v>350</v>
      </c>
      <c r="Z2141" s="16"/>
      <c r="AA2141" s="16"/>
      <c r="AB2141" s="16">
        <f>62-45</f>
        <v>17</v>
      </c>
      <c r="AE2141" s="16"/>
      <c r="AG2141" s="22">
        <f t="shared" si="377"/>
        <v>350</v>
      </c>
      <c r="AH2141" s="6"/>
      <c r="AJ2141" s="20">
        <f t="shared" si="372"/>
        <v>0</v>
      </c>
      <c r="AK2141" s="50">
        <v>17</v>
      </c>
      <c r="AL2141" s="6"/>
      <c r="AM2141" s="20">
        <f t="shared" si="373"/>
        <v>0</v>
      </c>
      <c r="AN2141" s="20">
        <f t="shared" si="376"/>
        <v>38560</v>
      </c>
      <c r="AP2141" s="20">
        <f t="shared" si="375"/>
        <v>38560</v>
      </c>
      <c r="AQ2141" s="7"/>
      <c r="AR2141" s="20"/>
      <c r="AS2141" s="51"/>
    </row>
    <row r="2142" spans="1:48" s="21" customFormat="1" ht="30" customHeight="1" x14ac:dyDescent="0.2">
      <c r="A2142" s="8">
        <v>1834</v>
      </c>
      <c r="B2142" s="46">
        <v>3</v>
      </c>
      <c r="C2142" s="16" t="s">
        <v>52</v>
      </c>
      <c r="D2142" s="48">
        <v>1574</v>
      </c>
      <c r="E2142" s="47">
        <v>3</v>
      </c>
      <c r="F2142" s="48">
        <v>511</v>
      </c>
      <c r="G2142" s="49">
        <v>2</v>
      </c>
      <c r="H2142" s="48">
        <v>4</v>
      </c>
      <c r="I2142" s="48">
        <v>2</v>
      </c>
      <c r="J2142" s="48">
        <v>12</v>
      </c>
      <c r="K2142" s="3">
        <v>1812</v>
      </c>
      <c r="L2142" s="16"/>
      <c r="M2142" s="57"/>
      <c r="N2142" s="58"/>
      <c r="P2142" s="16">
        <v>1</v>
      </c>
      <c r="Q2142" s="20">
        <f t="shared" si="369"/>
        <v>1812</v>
      </c>
      <c r="R2142" s="14">
        <v>160</v>
      </c>
      <c r="S2142" s="19">
        <f t="shared" si="370"/>
        <v>289920</v>
      </c>
      <c r="T2142" s="16"/>
      <c r="U2142" s="17"/>
      <c r="V2142" s="17"/>
      <c r="W2142" s="5"/>
      <c r="X2142" s="16"/>
      <c r="Y2142" s="5"/>
      <c r="Z2142" s="16"/>
      <c r="AA2142" s="16"/>
      <c r="AB2142" s="16"/>
      <c r="AE2142" s="16"/>
      <c r="AG2142" s="22">
        <f t="shared" si="377"/>
        <v>0</v>
      </c>
      <c r="AH2142" s="6"/>
      <c r="AJ2142" s="20">
        <f t="shared" si="372"/>
        <v>0</v>
      </c>
      <c r="AK2142" s="50"/>
      <c r="AL2142" s="6"/>
      <c r="AM2142" s="20">
        <f t="shared" si="373"/>
        <v>0</v>
      </c>
      <c r="AN2142" s="20">
        <f t="shared" si="376"/>
        <v>289920</v>
      </c>
      <c r="AP2142" s="20">
        <f t="shared" si="375"/>
        <v>289920</v>
      </c>
      <c r="AQ2142" s="7"/>
      <c r="AR2142" s="20"/>
      <c r="AS2142" s="51"/>
    </row>
    <row r="2143" spans="1:48" s="21" customFormat="1" ht="30" customHeight="1" x14ac:dyDescent="0.2">
      <c r="A2143" s="8">
        <v>1835</v>
      </c>
      <c r="B2143" s="46">
        <v>4</v>
      </c>
      <c r="C2143" s="16" t="s">
        <v>52</v>
      </c>
      <c r="D2143" s="48">
        <v>30106</v>
      </c>
      <c r="E2143" s="47">
        <v>161</v>
      </c>
      <c r="F2143" s="48">
        <v>5780</v>
      </c>
      <c r="G2143" s="49">
        <v>2</v>
      </c>
      <c r="H2143" s="48">
        <v>0</v>
      </c>
      <c r="I2143" s="48">
        <v>1</v>
      </c>
      <c r="J2143" s="48">
        <v>47</v>
      </c>
      <c r="K2143" s="3"/>
      <c r="L2143" s="16">
        <v>147</v>
      </c>
      <c r="M2143" s="57"/>
      <c r="N2143" s="58"/>
      <c r="P2143" s="16">
        <v>2</v>
      </c>
      <c r="Q2143" s="20">
        <f t="shared" si="369"/>
        <v>147</v>
      </c>
      <c r="R2143" s="14">
        <v>3350</v>
      </c>
      <c r="S2143" s="19">
        <f t="shared" si="370"/>
        <v>492450</v>
      </c>
      <c r="T2143" s="16"/>
      <c r="U2143" s="17" t="s">
        <v>57</v>
      </c>
      <c r="V2143" s="17" t="s">
        <v>56</v>
      </c>
      <c r="W2143" s="5"/>
      <c r="X2143" s="16"/>
      <c r="Y2143" s="5">
        <v>108</v>
      </c>
      <c r="Z2143" s="16"/>
      <c r="AA2143" s="16"/>
      <c r="AB2143" s="16">
        <f>62-33</f>
        <v>29</v>
      </c>
      <c r="AE2143" s="16"/>
      <c r="AG2143" s="22">
        <f t="shared" si="377"/>
        <v>108</v>
      </c>
      <c r="AH2143" s="6"/>
      <c r="AJ2143" s="20">
        <f t="shared" si="372"/>
        <v>0</v>
      </c>
      <c r="AK2143" s="50">
        <v>29</v>
      </c>
      <c r="AL2143" s="6"/>
      <c r="AM2143" s="20">
        <f t="shared" si="373"/>
        <v>0</v>
      </c>
      <c r="AN2143" s="20">
        <f t="shared" si="376"/>
        <v>492450</v>
      </c>
      <c r="AP2143" s="20">
        <f t="shared" si="375"/>
        <v>492450</v>
      </c>
      <c r="AQ2143" s="7"/>
      <c r="AR2143" s="20"/>
      <c r="AS2143" s="51"/>
    </row>
    <row r="2144" spans="1:48" s="21" customFormat="1" ht="30" customHeight="1" x14ac:dyDescent="0.2">
      <c r="A2144" s="8">
        <v>1836</v>
      </c>
      <c r="B2144" s="46">
        <v>1</v>
      </c>
      <c r="C2144" s="16" t="s">
        <v>52</v>
      </c>
      <c r="D2144" s="48">
        <v>1601</v>
      </c>
      <c r="E2144" s="47">
        <v>6</v>
      </c>
      <c r="F2144" s="48">
        <v>546</v>
      </c>
      <c r="G2144" s="49">
        <v>2</v>
      </c>
      <c r="H2144" s="48">
        <v>4</v>
      </c>
      <c r="I2144" s="48">
        <v>1</v>
      </c>
      <c r="J2144" s="48">
        <v>92</v>
      </c>
      <c r="K2144" s="3">
        <f>1792-L2144</f>
        <v>1781.5</v>
      </c>
      <c r="L2144" s="16">
        <f>42/4</f>
        <v>10.5</v>
      </c>
      <c r="M2144" s="57"/>
      <c r="N2144" s="58"/>
      <c r="P2144" s="16">
        <v>5</v>
      </c>
      <c r="Q2144" s="20">
        <f t="shared" si="369"/>
        <v>1792</v>
      </c>
      <c r="R2144" s="14">
        <v>250</v>
      </c>
      <c r="S2144" s="20">
        <f t="shared" si="370"/>
        <v>448000</v>
      </c>
      <c r="T2144" s="16"/>
      <c r="U2144" s="17" t="s">
        <v>57</v>
      </c>
      <c r="V2144" s="17" t="s">
        <v>56</v>
      </c>
      <c r="W2144" s="5"/>
      <c r="X2144" s="16"/>
      <c r="Y2144" s="5">
        <v>42</v>
      </c>
      <c r="Z2144" s="16"/>
      <c r="AA2144" s="16"/>
      <c r="AB2144" s="16">
        <f>62-59</f>
        <v>3</v>
      </c>
      <c r="AE2144" s="16"/>
      <c r="AG2144" s="22">
        <f t="shared" si="377"/>
        <v>42</v>
      </c>
      <c r="AH2144" s="6"/>
      <c r="AJ2144" s="20">
        <f t="shared" si="372"/>
        <v>0</v>
      </c>
      <c r="AK2144" s="50">
        <v>3</v>
      </c>
      <c r="AL2144" s="6"/>
      <c r="AM2144" s="20">
        <f t="shared" si="373"/>
        <v>0</v>
      </c>
      <c r="AN2144" s="20">
        <f t="shared" si="376"/>
        <v>448000</v>
      </c>
      <c r="AP2144" s="20">
        <f t="shared" si="375"/>
        <v>448000</v>
      </c>
      <c r="AQ2144" s="7"/>
      <c r="AR2144" s="20"/>
      <c r="AS2144" s="51"/>
    </row>
    <row r="2145" spans="1:45" s="21" customFormat="1" ht="30" customHeight="1" x14ac:dyDescent="0.2">
      <c r="A2145" s="8">
        <v>1837</v>
      </c>
      <c r="B2145" s="46">
        <v>2</v>
      </c>
      <c r="C2145" s="16" t="s">
        <v>52</v>
      </c>
      <c r="D2145" s="48">
        <v>30109</v>
      </c>
      <c r="E2145" s="47">
        <v>164</v>
      </c>
      <c r="F2145" s="48">
        <v>5783</v>
      </c>
      <c r="G2145" s="49">
        <v>2</v>
      </c>
      <c r="H2145" s="48">
        <v>0</v>
      </c>
      <c r="I2145" s="48">
        <v>0</v>
      </c>
      <c r="J2145" s="48">
        <v>80</v>
      </c>
      <c r="K2145" s="3"/>
      <c r="L2145" s="16"/>
      <c r="M2145" s="57"/>
      <c r="N2145" s="58">
        <v>80</v>
      </c>
      <c r="P2145" s="16">
        <v>4</v>
      </c>
      <c r="Q2145" s="20">
        <f t="shared" si="369"/>
        <v>80</v>
      </c>
      <c r="R2145" s="14">
        <v>3000</v>
      </c>
      <c r="S2145" s="19">
        <f t="shared" si="370"/>
        <v>240000</v>
      </c>
      <c r="T2145" s="16"/>
      <c r="U2145" s="17"/>
      <c r="V2145" s="17"/>
      <c r="W2145" s="5"/>
      <c r="X2145" s="16"/>
      <c r="Y2145" s="5"/>
      <c r="Z2145" s="16"/>
      <c r="AA2145" s="16"/>
      <c r="AB2145" s="16"/>
      <c r="AC2145" s="14"/>
      <c r="AD2145" s="14"/>
      <c r="AE2145" s="16"/>
      <c r="AG2145" s="22">
        <f t="shared" si="377"/>
        <v>0</v>
      </c>
      <c r="AH2145" s="6"/>
      <c r="AJ2145" s="20">
        <f t="shared" si="372"/>
        <v>0</v>
      </c>
      <c r="AK2145" s="50"/>
      <c r="AL2145" s="6"/>
      <c r="AM2145" s="20">
        <f t="shared" si="373"/>
        <v>0</v>
      </c>
      <c r="AN2145" s="20">
        <f t="shared" si="376"/>
        <v>240000</v>
      </c>
      <c r="AP2145" s="20">
        <f t="shared" si="375"/>
        <v>240000</v>
      </c>
      <c r="AQ2145" s="7">
        <v>3.0000000000000001E-3</v>
      </c>
      <c r="AR2145" s="20"/>
      <c r="AS2145" s="51"/>
    </row>
    <row r="2146" spans="1:45" s="21" customFormat="1" ht="30" customHeight="1" x14ac:dyDescent="0.2">
      <c r="A2146" s="8">
        <v>1838</v>
      </c>
      <c r="B2146" s="46">
        <v>1</v>
      </c>
      <c r="C2146" s="16" t="s">
        <v>52</v>
      </c>
      <c r="D2146" s="48">
        <v>30110</v>
      </c>
      <c r="E2146" s="47">
        <v>165</v>
      </c>
      <c r="F2146" s="48">
        <v>5784</v>
      </c>
      <c r="G2146" s="49">
        <v>2</v>
      </c>
      <c r="H2146" s="48">
        <v>0</v>
      </c>
      <c r="I2146" s="48">
        <v>0</v>
      </c>
      <c r="J2146" s="48">
        <v>85</v>
      </c>
      <c r="K2146" s="3"/>
      <c r="L2146" s="16">
        <v>86</v>
      </c>
      <c r="M2146" s="57"/>
      <c r="N2146" s="58"/>
      <c r="P2146" s="16">
        <v>2</v>
      </c>
      <c r="Q2146" s="20">
        <f t="shared" ref="Q2146:Q2179" si="378">+(H2146*400)+(I2146*100)+J2146</f>
        <v>85</v>
      </c>
      <c r="R2146" s="14">
        <v>3000</v>
      </c>
      <c r="S2146" s="19">
        <f t="shared" ref="S2146:S2179" si="379">+Q2146*R2146</f>
        <v>255000</v>
      </c>
      <c r="T2146" s="16"/>
      <c r="U2146" s="17" t="s">
        <v>57</v>
      </c>
      <c r="V2146" s="17" t="s">
        <v>56</v>
      </c>
      <c r="W2146" s="5"/>
      <c r="X2146" s="16"/>
      <c r="Y2146" s="5">
        <v>66</v>
      </c>
      <c r="Z2146" s="16"/>
      <c r="AA2146" s="16"/>
      <c r="AB2146" s="16">
        <f>62-39</f>
        <v>23</v>
      </c>
      <c r="AE2146" s="16"/>
      <c r="AG2146" s="22">
        <f t="shared" si="377"/>
        <v>66</v>
      </c>
      <c r="AH2146" s="6"/>
      <c r="AJ2146" s="20">
        <f t="shared" ref="AJ2146:AJ2179" si="380">+AG2146*AH2146*AI2146</f>
        <v>0</v>
      </c>
      <c r="AK2146" s="50">
        <v>23</v>
      </c>
      <c r="AL2146" s="6"/>
      <c r="AM2146" s="20">
        <f t="shared" ref="AM2146:AM2179" si="381">+AJ2146-(AL2146*AJ2146)</f>
        <v>0</v>
      </c>
      <c r="AN2146" s="20">
        <f t="shared" ref="AN2146:AN2153" si="382">+S2146+AM2146</f>
        <v>255000</v>
      </c>
      <c r="AP2146" s="20">
        <f t="shared" ref="AP2146:AP2179" si="383">AN2146</f>
        <v>255000</v>
      </c>
      <c r="AQ2146" s="7"/>
      <c r="AR2146" s="20"/>
      <c r="AS2146" s="51"/>
    </row>
    <row r="2147" spans="1:45" s="21" customFormat="1" ht="30" customHeight="1" x14ac:dyDescent="0.2">
      <c r="A2147" s="8">
        <v>1839</v>
      </c>
      <c r="B2147" s="46">
        <v>2</v>
      </c>
      <c r="C2147" s="16" t="s">
        <v>52</v>
      </c>
      <c r="D2147" s="48">
        <v>32806</v>
      </c>
      <c r="E2147" s="47">
        <v>504</v>
      </c>
      <c r="F2147" s="48">
        <v>6463</v>
      </c>
      <c r="G2147" s="49">
        <v>2</v>
      </c>
      <c r="H2147" s="48">
        <v>3</v>
      </c>
      <c r="I2147" s="48">
        <v>0</v>
      </c>
      <c r="J2147" s="48">
        <v>45.09</v>
      </c>
      <c r="K2147" s="3">
        <v>1245.0899999999999</v>
      </c>
      <c r="L2147" s="16"/>
      <c r="M2147" s="57"/>
      <c r="N2147" s="58"/>
      <c r="P2147" s="16">
        <v>1</v>
      </c>
      <c r="Q2147" s="20">
        <f t="shared" si="378"/>
        <v>1245.0899999999999</v>
      </c>
      <c r="R2147" s="14">
        <v>160</v>
      </c>
      <c r="S2147" s="20">
        <f t="shared" si="379"/>
        <v>199214.4</v>
      </c>
      <c r="T2147" s="16"/>
      <c r="U2147" s="17"/>
      <c r="V2147" s="17"/>
      <c r="W2147" s="5"/>
      <c r="X2147" s="16"/>
      <c r="Y2147" s="5"/>
      <c r="Z2147" s="16"/>
      <c r="AA2147" s="16"/>
      <c r="AB2147" s="16"/>
      <c r="AC2147" s="14"/>
      <c r="AD2147" s="14"/>
      <c r="AE2147" s="16"/>
      <c r="AG2147" s="22">
        <f t="shared" si="377"/>
        <v>0</v>
      </c>
      <c r="AH2147" s="6"/>
      <c r="AJ2147" s="20">
        <f t="shared" si="380"/>
        <v>0</v>
      </c>
      <c r="AK2147" s="50"/>
      <c r="AL2147" s="6"/>
      <c r="AM2147" s="20">
        <f t="shared" si="381"/>
        <v>0</v>
      </c>
      <c r="AN2147" s="20">
        <f t="shared" si="382"/>
        <v>199214.4</v>
      </c>
      <c r="AP2147" s="20">
        <f t="shared" si="383"/>
        <v>199214.4</v>
      </c>
      <c r="AQ2147" s="7"/>
      <c r="AR2147" s="20"/>
      <c r="AS2147" s="51"/>
    </row>
    <row r="2148" spans="1:45" s="21" customFormat="1" ht="30" customHeight="1" x14ac:dyDescent="0.2">
      <c r="A2148" s="8">
        <v>1840</v>
      </c>
      <c r="B2148" s="46">
        <v>1</v>
      </c>
      <c r="C2148" s="16" t="s">
        <v>52</v>
      </c>
      <c r="D2148" s="48">
        <v>30108</v>
      </c>
      <c r="E2148" s="47">
        <v>163</v>
      </c>
      <c r="F2148" s="48">
        <v>5782</v>
      </c>
      <c r="G2148" s="49">
        <v>2</v>
      </c>
      <c r="H2148" s="48">
        <v>0</v>
      </c>
      <c r="I2148" s="48">
        <v>0</v>
      </c>
      <c r="J2148" s="48">
        <v>72</v>
      </c>
      <c r="K2148" s="3">
        <v>72</v>
      </c>
      <c r="L2148" s="16"/>
      <c r="M2148" s="57"/>
      <c r="N2148" s="58"/>
      <c r="P2148" s="16">
        <v>1</v>
      </c>
      <c r="Q2148" s="20">
        <f t="shared" si="378"/>
        <v>72</v>
      </c>
      <c r="R2148" s="14">
        <v>3000</v>
      </c>
      <c r="S2148" s="19">
        <f t="shared" si="379"/>
        <v>216000</v>
      </c>
      <c r="T2148" s="16"/>
      <c r="U2148" s="17"/>
      <c r="V2148" s="17"/>
      <c r="W2148" s="5"/>
      <c r="X2148" s="16"/>
      <c r="Y2148" s="5"/>
      <c r="Z2148" s="16"/>
      <c r="AA2148" s="16"/>
      <c r="AB2148" s="16"/>
      <c r="AC2148" s="14"/>
      <c r="AD2148" s="14"/>
      <c r="AE2148" s="16"/>
      <c r="AG2148" s="22">
        <f t="shared" si="377"/>
        <v>0</v>
      </c>
      <c r="AH2148" s="6"/>
      <c r="AJ2148" s="20">
        <f t="shared" si="380"/>
        <v>0</v>
      </c>
      <c r="AK2148" s="50"/>
      <c r="AL2148" s="6"/>
      <c r="AM2148" s="20">
        <f t="shared" si="381"/>
        <v>0</v>
      </c>
      <c r="AN2148" s="20">
        <f t="shared" si="382"/>
        <v>216000</v>
      </c>
      <c r="AP2148" s="20">
        <f t="shared" si="383"/>
        <v>216000</v>
      </c>
      <c r="AQ2148" s="7"/>
      <c r="AR2148" s="20"/>
      <c r="AS2148" s="51"/>
    </row>
    <row r="2149" spans="1:45" s="21" customFormat="1" ht="30" customHeight="1" x14ac:dyDescent="0.2">
      <c r="A2149" s="8">
        <v>1841</v>
      </c>
      <c r="B2149" s="46">
        <v>1</v>
      </c>
      <c r="C2149" s="16" t="s">
        <v>52</v>
      </c>
      <c r="D2149" s="48">
        <v>30107</v>
      </c>
      <c r="E2149" s="47">
        <v>162</v>
      </c>
      <c r="F2149" s="48">
        <v>5781</v>
      </c>
      <c r="G2149" s="49">
        <v>2</v>
      </c>
      <c r="H2149" s="48">
        <v>0</v>
      </c>
      <c r="I2149" s="48">
        <v>0</v>
      </c>
      <c r="J2149" s="48">
        <v>61</v>
      </c>
      <c r="K2149" s="3">
        <v>61</v>
      </c>
      <c r="L2149" s="16"/>
      <c r="M2149" s="57"/>
      <c r="N2149" s="58"/>
      <c r="P2149" s="16">
        <v>1</v>
      </c>
      <c r="Q2149" s="20">
        <f t="shared" si="378"/>
        <v>61</v>
      </c>
      <c r="R2149" s="14">
        <v>3000</v>
      </c>
      <c r="S2149" s="19">
        <f t="shared" si="379"/>
        <v>183000</v>
      </c>
      <c r="T2149" s="16"/>
      <c r="U2149" s="17"/>
      <c r="V2149" s="17"/>
      <c r="W2149" s="5"/>
      <c r="X2149" s="16"/>
      <c r="Y2149" s="5"/>
      <c r="Z2149" s="16"/>
      <c r="AA2149" s="16"/>
      <c r="AB2149" s="16"/>
      <c r="AC2149" s="14"/>
      <c r="AD2149" s="14"/>
      <c r="AE2149" s="16"/>
      <c r="AG2149" s="22">
        <f t="shared" si="377"/>
        <v>0</v>
      </c>
      <c r="AH2149" s="6"/>
      <c r="AJ2149" s="20">
        <f t="shared" si="380"/>
        <v>0</v>
      </c>
      <c r="AK2149" s="50"/>
      <c r="AL2149" s="6"/>
      <c r="AM2149" s="20">
        <f t="shared" si="381"/>
        <v>0</v>
      </c>
      <c r="AN2149" s="20">
        <f t="shared" si="382"/>
        <v>183000</v>
      </c>
      <c r="AP2149" s="20">
        <f t="shared" si="383"/>
        <v>183000</v>
      </c>
      <c r="AQ2149" s="7"/>
      <c r="AR2149" s="20"/>
      <c r="AS2149" s="51"/>
    </row>
    <row r="2150" spans="1:45" s="21" customFormat="1" ht="30" customHeight="1" x14ac:dyDescent="0.2">
      <c r="A2150" s="8">
        <v>1842</v>
      </c>
      <c r="B2150" s="46">
        <v>2</v>
      </c>
      <c r="C2150" s="16" t="s">
        <v>52</v>
      </c>
      <c r="D2150" s="48">
        <v>32807</v>
      </c>
      <c r="E2150" s="47">
        <v>505</v>
      </c>
      <c r="F2150" s="48">
        <v>6464</v>
      </c>
      <c r="G2150" s="49">
        <v>2</v>
      </c>
      <c r="H2150" s="48">
        <v>2</v>
      </c>
      <c r="I2150" s="48">
        <v>3</v>
      </c>
      <c r="J2150" s="48">
        <v>19.04</v>
      </c>
      <c r="K2150" s="3">
        <v>1119.04</v>
      </c>
      <c r="L2150" s="16"/>
      <c r="M2150" s="57"/>
      <c r="N2150" s="58"/>
      <c r="P2150" s="16">
        <v>1</v>
      </c>
      <c r="Q2150" s="20">
        <f t="shared" si="378"/>
        <v>1119.04</v>
      </c>
      <c r="R2150" s="14">
        <v>160</v>
      </c>
      <c r="S2150" s="20">
        <f t="shared" si="379"/>
        <v>179046.39999999999</v>
      </c>
      <c r="T2150" s="16"/>
      <c r="U2150" s="17"/>
      <c r="V2150" s="17"/>
      <c r="W2150" s="5"/>
      <c r="X2150" s="16"/>
      <c r="Y2150" s="5"/>
      <c r="Z2150" s="16"/>
      <c r="AA2150" s="16"/>
      <c r="AB2150" s="16"/>
      <c r="AC2150" s="14"/>
      <c r="AD2150" s="14"/>
      <c r="AE2150" s="16"/>
      <c r="AG2150" s="22">
        <f t="shared" si="377"/>
        <v>0</v>
      </c>
      <c r="AH2150" s="6"/>
      <c r="AJ2150" s="20">
        <f t="shared" si="380"/>
        <v>0</v>
      </c>
      <c r="AK2150" s="50"/>
      <c r="AL2150" s="6"/>
      <c r="AM2150" s="20">
        <f t="shared" si="381"/>
        <v>0</v>
      </c>
      <c r="AN2150" s="20">
        <f t="shared" si="382"/>
        <v>179046.39999999999</v>
      </c>
      <c r="AP2150" s="20">
        <f t="shared" si="383"/>
        <v>179046.39999999999</v>
      </c>
      <c r="AQ2150" s="7"/>
      <c r="AR2150" s="20"/>
      <c r="AS2150" s="51"/>
    </row>
    <row r="2151" spans="1:45" s="21" customFormat="1" ht="30" customHeight="1" x14ac:dyDescent="0.2">
      <c r="A2151" s="8">
        <v>1843</v>
      </c>
      <c r="B2151" s="46">
        <v>1</v>
      </c>
      <c r="C2151" s="16" t="s">
        <v>52</v>
      </c>
      <c r="D2151" s="48">
        <v>1567</v>
      </c>
      <c r="E2151" s="47">
        <v>68</v>
      </c>
      <c r="F2151" s="48">
        <v>504</v>
      </c>
      <c r="G2151" s="49">
        <v>2</v>
      </c>
      <c r="H2151" s="48">
        <v>3</v>
      </c>
      <c r="I2151" s="48">
        <v>1</v>
      </c>
      <c r="J2151" s="48">
        <v>66</v>
      </c>
      <c r="K2151" s="3">
        <v>1366</v>
      </c>
      <c r="L2151" s="16"/>
      <c r="M2151" s="57"/>
      <c r="N2151" s="58"/>
      <c r="P2151" s="16">
        <v>1</v>
      </c>
      <c r="Q2151" s="20">
        <f t="shared" si="378"/>
        <v>1366</v>
      </c>
      <c r="R2151" s="14">
        <v>160</v>
      </c>
      <c r="S2151" s="19">
        <f t="shared" si="379"/>
        <v>218560</v>
      </c>
      <c r="T2151" s="16"/>
      <c r="U2151" s="17"/>
      <c r="V2151" s="17"/>
      <c r="W2151" s="5"/>
      <c r="X2151" s="16"/>
      <c r="Y2151" s="5"/>
      <c r="Z2151" s="16"/>
      <c r="AA2151" s="16"/>
      <c r="AB2151" s="16"/>
      <c r="AC2151" s="14"/>
      <c r="AD2151" s="14"/>
      <c r="AE2151" s="16"/>
      <c r="AG2151" s="22">
        <f t="shared" si="377"/>
        <v>0</v>
      </c>
      <c r="AH2151" s="6"/>
      <c r="AJ2151" s="20">
        <f t="shared" si="380"/>
        <v>0</v>
      </c>
      <c r="AK2151" s="50"/>
      <c r="AL2151" s="6"/>
      <c r="AM2151" s="20">
        <f t="shared" si="381"/>
        <v>0</v>
      </c>
      <c r="AN2151" s="20">
        <f t="shared" si="382"/>
        <v>218560</v>
      </c>
      <c r="AP2151" s="20">
        <f t="shared" si="383"/>
        <v>218560</v>
      </c>
      <c r="AQ2151" s="7"/>
      <c r="AR2151" s="20"/>
      <c r="AS2151" s="51"/>
    </row>
    <row r="2152" spans="1:45" s="21" customFormat="1" ht="30" customHeight="1" x14ac:dyDescent="0.2">
      <c r="A2152" s="8">
        <v>1844</v>
      </c>
      <c r="B2152" s="46">
        <v>1</v>
      </c>
      <c r="C2152" s="16" t="s">
        <v>52</v>
      </c>
      <c r="D2152" s="48">
        <v>1576</v>
      </c>
      <c r="E2152" s="47">
        <v>1</v>
      </c>
      <c r="F2152" s="48">
        <v>513</v>
      </c>
      <c r="G2152" s="49">
        <v>2</v>
      </c>
      <c r="H2152" s="48">
        <v>4</v>
      </c>
      <c r="I2152" s="48">
        <v>0</v>
      </c>
      <c r="J2152" s="48">
        <v>92</v>
      </c>
      <c r="K2152" s="3">
        <v>1692</v>
      </c>
      <c r="L2152" s="16"/>
      <c r="M2152" s="57"/>
      <c r="N2152" s="58"/>
      <c r="P2152" s="16">
        <v>1</v>
      </c>
      <c r="Q2152" s="20">
        <f t="shared" si="378"/>
        <v>1692</v>
      </c>
      <c r="R2152" s="14">
        <v>160</v>
      </c>
      <c r="S2152" s="19">
        <f t="shared" si="379"/>
        <v>270720</v>
      </c>
      <c r="T2152" s="16"/>
      <c r="U2152" s="17"/>
      <c r="V2152" s="17"/>
      <c r="W2152" s="5"/>
      <c r="X2152" s="16"/>
      <c r="Y2152" s="5"/>
      <c r="Z2152" s="16"/>
      <c r="AA2152" s="16"/>
      <c r="AB2152" s="16"/>
      <c r="AE2152" s="16"/>
      <c r="AG2152" s="22">
        <f t="shared" si="377"/>
        <v>0</v>
      </c>
      <c r="AH2152" s="6"/>
      <c r="AJ2152" s="20">
        <f t="shared" si="380"/>
        <v>0</v>
      </c>
      <c r="AK2152" s="50"/>
      <c r="AL2152" s="6"/>
      <c r="AM2152" s="20">
        <f t="shared" si="381"/>
        <v>0</v>
      </c>
      <c r="AN2152" s="20">
        <f t="shared" si="382"/>
        <v>270720</v>
      </c>
      <c r="AP2152" s="20">
        <f t="shared" si="383"/>
        <v>270720</v>
      </c>
      <c r="AQ2152" s="7"/>
      <c r="AR2152" s="60"/>
      <c r="AS2152" s="128">
        <v>13</v>
      </c>
    </row>
    <row r="2153" spans="1:45" s="21" customFormat="1" ht="30" customHeight="1" x14ac:dyDescent="0.2">
      <c r="A2153" s="8">
        <v>1845</v>
      </c>
      <c r="B2153" s="46">
        <v>2</v>
      </c>
      <c r="C2153" s="16" t="s">
        <v>52</v>
      </c>
      <c r="D2153" s="48">
        <v>28227</v>
      </c>
      <c r="E2153" s="47">
        <v>113</v>
      </c>
      <c r="F2153" s="48">
        <v>5035</v>
      </c>
      <c r="G2153" s="49">
        <v>2</v>
      </c>
      <c r="H2153" s="48">
        <v>0</v>
      </c>
      <c r="I2153" s="48">
        <v>0</v>
      </c>
      <c r="J2153" s="48">
        <v>83</v>
      </c>
      <c r="K2153" s="3">
        <v>83</v>
      </c>
      <c r="L2153" s="16"/>
      <c r="M2153" s="57"/>
      <c r="N2153" s="58"/>
      <c r="P2153" s="16">
        <v>1</v>
      </c>
      <c r="Q2153" s="20">
        <f t="shared" si="378"/>
        <v>83</v>
      </c>
      <c r="R2153" s="14">
        <v>160</v>
      </c>
      <c r="S2153" s="20">
        <f t="shared" si="379"/>
        <v>13280</v>
      </c>
      <c r="T2153" s="16"/>
      <c r="U2153" s="17"/>
      <c r="V2153" s="17"/>
      <c r="W2153" s="5"/>
      <c r="X2153" s="16"/>
      <c r="Y2153" s="5"/>
      <c r="Z2153" s="16"/>
      <c r="AA2153" s="16"/>
      <c r="AB2153" s="16"/>
      <c r="AE2153" s="16"/>
      <c r="AG2153" s="22">
        <f t="shared" si="377"/>
        <v>0</v>
      </c>
      <c r="AH2153" s="6"/>
      <c r="AJ2153" s="20">
        <f t="shared" si="380"/>
        <v>0</v>
      </c>
      <c r="AK2153" s="50"/>
      <c r="AL2153" s="6"/>
      <c r="AM2153" s="20">
        <f t="shared" si="381"/>
        <v>0</v>
      </c>
      <c r="AN2153" s="20">
        <f t="shared" si="382"/>
        <v>13280</v>
      </c>
      <c r="AP2153" s="20">
        <f t="shared" si="383"/>
        <v>13280</v>
      </c>
      <c r="AQ2153" s="7"/>
      <c r="AR2153" s="25"/>
      <c r="AS2153" s="130"/>
    </row>
    <row r="2154" spans="1:45" s="21" customFormat="1" ht="30" customHeight="1" x14ac:dyDescent="0.2">
      <c r="A2154" s="8">
        <v>1846</v>
      </c>
      <c r="B2154" s="46">
        <v>1</v>
      </c>
      <c r="C2154" s="16" t="s">
        <v>52</v>
      </c>
      <c r="D2154" s="48">
        <v>29198</v>
      </c>
      <c r="E2154" s="47">
        <v>147</v>
      </c>
      <c r="F2154" s="48">
        <v>5393</v>
      </c>
      <c r="G2154" s="49">
        <v>1</v>
      </c>
      <c r="H2154" s="48">
        <v>0</v>
      </c>
      <c r="I2154" s="48">
        <v>0</v>
      </c>
      <c r="J2154" s="48">
        <v>52</v>
      </c>
      <c r="K2154" s="3"/>
      <c r="L2154" s="16"/>
      <c r="M2154" s="57"/>
      <c r="N2154" s="58"/>
      <c r="O2154" s="21">
        <v>52</v>
      </c>
      <c r="P2154" s="16">
        <v>5</v>
      </c>
      <c r="Q2154" s="20">
        <f t="shared" si="378"/>
        <v>52</v>
      </c>
      <c r="R2154" s="14">
        <v>3000</v>
      </c>
      <c r="S2154" s="19">
        <f t="shared" si="379"/>
        <v>156000</v>
      </c>
      <c r="T2154" s="16"/>
      <c r="U2154" s="17" t="s">
        <v>63</v>
      </c>
      <c r="V2154" s="17" t="s">
        <v>56</v>
      </c>
      <c r="W2154" s="5">
        <f>4.5*21.5</f>
        <v>96.75</v>
      </c>
      <c r="X2154" s="16"/>
      <c r="Y2154" s="5">
        <v>84.75</v>
      </c>
      <c r="Z2154" s="16">
        <f>3*4</f>
        <v>12</v>
      </c>
      <c r="AA2154" s="16"/>
      <c r="AB2154" s="16">
        <v>8</v>
      </c>
      <c r="AE2154" s="16" t="s">
        <v>126</v>
      </c>
      <c r="AF2154" s="21">
        <v>2</v>
      </c>
      <c r="AG2154" s="22">
        <v>96.75</v>
      </c>
      <c r="AH2154" s="6">
        <v>0.88</v>
      </c>
      <c r="AI2154" s="21">
        <v>8100</v>
      </c>
      <c r="AJ2154" s="20">
        <f t="shared" si="380"/>
        <v>689634</v>
      </c>
      <c r="AK2154" s="50">
        <v>8</v>
      </c>
      <c r="AL2154" s="6">
        <v>0.08</v>
      </c>
      <c r="AM2154" s="20">
        <f t="shared" si="381"/>
        <v>634463.28</v>
      </c>
      <c r="AN2154" s="20">
        <f>+AM2154+(S2154*0.88)</f>
        <v>771743.28</v>
      </c>
      <c r="AP2154" s="20">
        <f t="shared" si="383"/>
        <v>771743.28</v>
      </c>
      <c r="AQ2154" s="7">
        <v>2.0000000000000001E-4</v>
      </c>
      <c r="AR2154" s="96">
        <v>29</v>
      </c>
      <c r="AS2154" s="96">
        <f>+AR2154+AR2156</f>
        <v>8279</v>
      </c>
    </row>
    <row r="2155" spans="1:45" s="21" customFormat="1" ht="30" customHeight="1" x14ac:dyDescent="0.2">
      <c r="A2155" s="8"/>
      <c r="B2155" s="46"/>
      <c r="C2155" s="16"/>
      <c r="D2155" s="48"/>
      <c r="E2155" s="47"/>
      <c r="F2155" s="48"/>
      <c r="G2155" s="49"/>
      <c r="H2155" s="48"/>
      <c r="I2155" s="48"/>
      <c r="J2155" s="48"/>
      <c r="K2155" s="3"/>
      <c r="L2155" s="16"/>
      <c r="M2155" s="57"/>
      <c r="N2155" s="58"/>
      <c r="P2155" s="16"/>
      <c r="Q2155" s="20"/>
      <c r="R2155" s="14" t="e">
        <v>#N/A</v>
      </c>
      <c r="S2155" s="19"/>
      <c r="T2155" s="16"/>
      <c r="U2155" s="17"/>
      <c r="V2155" s="17"/>
      <c r="W2155" s="5"/>
      <c r="X2155" s="16"/>
      <c r="Y2155" s="5"/>
      <c r="Z2155" s="16"/>
      <c r="AA2155" s="16"/>
      <c r="AB2155" s="16"/>
      <c r="AE2155" s="16"/>
      <c r="AF2155" s="21">
        <v>3</v>
      </c>
      <c r="AG2155" s="22">
        <v>96.75</v>
      </c>
      <c r="AH2155" s="6">
        <v>0.12</v>
      </c>
      <c r="AI2155" s="21">
        <v>8100</v>
      </c>
      <c r="AJ2155" s="20">
        <f t="shared" si="380"/>
        <v>94041</v>
      </c>
      <c r="AK2155" s="50">
        <v>8</v>
      </c>
      <c r="AL2155" s="6">
        <v>0.08</v>
      </c>
      <c r="AM2155" s="20">
        <f t="shared" si="381"/>
        <v>86517.72</v>
      </c>
      <c r="AN2155" s="20">
        <f>+AM2155+(S2154*0.12)</f>
        <v>105237.72</v>
      </c>
      <c r="AP2155" s="20">
        <f t="shared" si="383"/>
        <v>105237.72</v>
      </c>
      <c r="AQ2155" s="7">
        <v>3.0000000000000001E-3</v>
      </c>
      <c r="AR2155" s="97"/>
      <c r="AS2155" s="97"/>
    </row>
    <row r="2156" spans="1:45" s="21" customFormat="1" ht="30" customHeight="1" x14ac:dyDescent="0.2">
      <c r="A2156" s="8">
        <v>1847</v>
      </c>
      <c r="B2156" s="46">
        <v>2</v>
      </c>
      <c r="C2156" s="16" t="s">
        <v>52</v>
      </c>
      <c r="D2156" s="48">
        <v>29199</v>
      </c>
      <c r="E2156" s="47">
        <v>148</v>
      </c>
      <c r="F2156" s="48">
        <v>5394</v>
      </c>
      <c r="G2156" s="49">
        <v>1</v>
      </c>
      <c r="H2156" s="48">
        <v>0</v>
      </c>
      <c r="I2156" s="48">
        <v>0</v>
      </c>
      <c r="J2156" s="48">
        <v>37</v>
      </c>
      <c r="K2156" s="3"/>
      <c r="L2156" s="16">
        <v>37</v>
      </c>
      <c r="M2156" s="57"/>
      <c r="N2156" s="58"/>
      <c r="P2156" s="16">
        <v>2</v>
      </c>
      <c r="Q2156" s="20">
        <f t="shared" si="378"/>
        <v>37</v>
      </c>
      <c r="R2156" s="14">
        <v>3000</v>
      </c>
      <c r="S2156" s="19">
        <f t="shared" si="379"/>
        <v>111000</v>
      </c>
      <c r="T2156" s="16"/>
      <c r="U2156" s="17" t="s">
        <v>63</v>
      </c>
      <c r="V2156" s="17" t="s">
        <v>56</v>
      </c>
      <c r="W2156" s="5">
        <v>96.75</v>
      </c>
      <c r="X2156" s="16"/>
      <c r="Y2156" s="5"/>
      <c r="Z2156" s="16">
        <v>96.75</v>
      </c>
      <c r="AA2156" s="16"/>
      <c r="AB2156" s="16">
        <v>8</v>
      </c>
      <c r="AE2156" s="16" t="s">
        <v>81</v>
      </c>
      <c r="AF2156" s="21">
        <v>2</v>
      </c>
      <c r="AG2156" s="22">
        <v>96.75</v>
      </c>
      <c r="AH2156" s="6">
        <v>1</v>
      </c>
      <c r="AI2156" s="21">
        <v>8100</v>
      </c>
      <c r="AJ2156" s="20">
        <f t="shared" si="380"/>
        <v>783675</v>
      </c>
      <c r="AK2156" s="50">
        <v>8</v>
      </c>
      <c r="AL2156" s="6">
        <v>0.08</v>
      </c>
      <c r="AM2156" s="20">
        <f t="shared" si="381"/>
        <v>720981</v>
      </c>
      <c r="AN2156" s="20">
        <f t="shared" ref="AN2156:AN2179" si="384">+S2156+AM2156</f>
        <v>831981</v>
      </c>
      <c r="AP2156" s="20">
        <f t="shared" si="383"/>
        <v>831981</v>
      </c>
      <c r="AQ2156" s="7">
        <v>2.0000000000000001E-4</v>
      </c>
      <c r="AR2156" s="97">
        <v>8250</v>
      </c>
      <c r="AS2156" s="97"/>
    </row>
    <row r="2157" spans="1:45" s="21" customFormat="1" ht="30" customHeight="1" x14ac:dyDescent="0.2">
      <c r="A2157" s="8">
        <v>1848</v>
      </c>
      <c r="B2157" s="46">
        <v>3</v>
      </c>
      <c r="C2157" s="16" t="s">
        <v>52</v>
      </c>
      <c r="D2157" s="48">
        <v>29200</v>
      </c>
      <c r="E2157" s="47">
        <v>149</v>
      </c>
      <c r="F2157" s="48">
        <v>5395</v>
      </c>
      <c r="G2157" s="49">
        <v>1</v>
      </c>
      <c r="H2157" s="48">
        <v>0</v>
      </c>
      <c r="I2157" s="48">
        <v>0</v>
      </c>
      <c r="J2157" s="48">
        <v>36</v>
      </c>
      <c r="K2157" s="3"/>
      <c r="L2157" s="16">
        <v>36</v>
      </c>
      <c r="M2157" s="57"/>
      <c r="N2157" s="58"/>
      <c r="P2157" s="16">
        <v>2</v>
      </c>
      <c r="Q2157" s="20">
        <f t="shared" si="378"/>
        <v>36</v>
      </c>
      <c r="R2157" s="14">
        <v>3000</v>
      </c>
      <c r="S2157" s="20">
        <f t="shared" si="379"/>
        <v>108000</v>
      </c>
      <c r="T2157" s="16"/>
      <c r="U2157" s="17" t="s">
        <v>63</v>
      </c>
      <c r="V2157" s="17" t="s">
        <v>56</v>
      </c>
      <c r="W2157" s="5">
        <v>96.75</v>
      </c>
      <c r="X2157" s="16"/>
      <c r="Y2157" s="5"/>
      <c r="Z2157" s="16">
        <v>96.75</v>
      </c>
      <c r="AA2157" s="16"/>
      <c r="AB2157" s="16">
        <v>8</v>
      </c>
      <c r="AE2157" s="16" t="s">
        <v>81</v>
      </c>
      <c r="AF2157" s="21">
        <v>2</v>
      </c>
      <c r="AG2157" s="22">
        <v>96.75</v>
      </c>
      <c r="AH2157" s="6">
        <v>1</v>
      </c>
      <c r="AI2157" s="21">
        <v>8100</v>
      </c>
      <c r="AJ2157" s="20">
        <f t="shared" si="380"/>
        <v>783675</v>
      </c>
      <c r="AK2157" s="50">
        <v>8</v>
      </c>
      <c r="AL2157" s="6">
        <v>0.08</v>
      </c>
      <c r="AM2157" s="20">
        <f t="shared" si="381"/>
        <v>720981</v>
      </c>
      <c r="AN2157" s="20">
        <f t="shared" si="384"/>
        <v>828981</v>
      </c>
      <c r="AP2157" s="20">
        <f t="shared" si="383"/>
        <v>828981</v>
      </c>
      <c r="AQ2157" s="7">
        <v>2.0000000000000001E-4</v>
      </c>
      <c r="AR2157" s="24"/>
      <c r="AS2157" s="97"/>
    </row>
    <row r="2158" spans="1:45" s="21" customFormat="1" ht="30" customHeight="1" x14ac:dyDescent="0.2">
      <c r="A2158" s="8">
        <v>1849</v>
      </c>
      <c r="B2158" s="46">
        <v>4</v>
      </c>
      <c r="C2158" s="16" t="s">
        <v>52</v>
      </c>
      <c r="D2158" s="48">
        <v>33708</v>
      </c>
      <c r="E2158" s="47">
        <v>340</v>
      </c>
      <c r="F2158" s="48">
        <v>6738</v>
      </c>
      <c r="G2158" s="49">
        <v>1</v>
      </c>
      <c r="H2158" s="48">
        <v>0</v>
      </c>
      <c r="I2158" s="48">
        <v>1</v>
      </c>
      <c r="J2158" s="48">
        <v>69</v>
      </c>
      <c r="K2158" s="3">
        <v>169</v>
      </c>
      <c r="L2158" s="16"/>
      <c r="M2158" s="57"/>
      <c r="N2158" s="58"/>
      <c r="P2158" s="16">
        <v>1</v>
      </c>
      <c r="Q2158" s="20">
        <f t="shared" si="378"/>
        <v>169</v>
      </c>
      <c r="R2158" s="14">
        <v>160</v>
      </c>
      <c r="S2158" s="19">
        <f t="shared" si="379"/>
        <v>27040</v>
      </c>
      <c r="T2158" s="16"/>
      <c r="U2158" s="17"/>
      <c r="V2158" s="17"/>
      <c r="W2158" s="5"/>
      <c r="X2158" s="16"/>
      <c r="Y2158" s="5"/>
      <c r="Z2158" s="16"/>
      <c r="AA2158" s="16"/>
      <c r="AB2158" s="16"/>
      <c r="AE2158" s="16"/>
      <c r="AG2158" s="22">
        <f t="shared" si="377"/>
        <v>0</v>
      </c>
      <c r="AH2158" s="6"/>
      <c r="AJ2158" s="20">
        <f t="shared" si="380"/>
        <v>0</v>
      </c>
      <c r="AK2158" s="50"/>
      <c r="AL2158" s="6"/>
      <c r="AM2158" s="20">
        <f t="shared" si="381"/>
        <v>0</v>
      </c>
      <c r="AN2158" s="20">
        <f t="shared" si="384"/>
        <v>27040</v>
      </c>
      <c r="AP2158" s="20">
        <f t="shared" si="383"/>
        <v>27040</v>
      </c>
      <c r="AQ2158" s="7"/>
      <c r="AR2158" s="24"/>
      <c r="AS2158" s="97"/>
    </row>
    <row r="2159" spans="1:45" s="21" customFormat="1" ht="30" customHeight="1" x14ac:dyDescent="0.2">
      <c r="A2159" s="8">
        <v>1850</v>
      </c>
      <c r="B2159" s="46">
        <v>5</v>
      </c>
      <c r="C2159" s="16" t="s">
        <v>52</v>
      </c>
      <c r="D2159" s="48">
        <v>34066</v>
      </c>
      <c r="E2159" s="47">
        <v>352</v>
      </c>
      <c r="F2159" s="48">
        <v>6767</v>
      </c>
      <c r="G2159" s="49">
        <v>1</v>
      </c>
      <c r="H2159" s="48">
        <v>0</v>
      </c>
      <c r="I2159" s="48">
        <v>1</v>
      </c>
      <c r="J2159" s="48">
        <v>22</v>
      </c>
      <c r="K2159" s="3"/>
      <c r="L2159" s="16">
        <v>122</v>
      </c>
      <c r="M2159" s="57"/>
      <c r="N2159" s="58"/>
      <c r="P2159" s="16">
        <v>2</v>
      </c>
      <c r="Q2159" s="20">
        <f t="shared" si="378"/>
        <v>122</v>
      </c>
      <c r="R2159" s="14">
        <v>250</v>
      </c>
      <c r="S2159" s="19">
        <f t="shared" si="379"/>
        <v>30500</v>
      </c>
      <c r="T2159" s="16"/>
      <c r="U2159" s="17"/>
      <c r="V2159" s="17"/>
      <c r="W2159" s="5"/>
      <c r="X2159" s="16"/>
      <c r="Y2159" s="5"/>
      <c r="Z2159" s="16"/>
      <c r="AA2159" s="16"/>
      <c r="AB2159" s="16"/>
      <c r="AE2159" s="16"/>
      <c r="AG2159" s="22">
        <f t="shared" si="377"/>
        <v>0</v>
      </c>
      <c r="AH2159" s="6"/>
      <c r="AJ2159" s="20">
        <f t="shared" si="380"/>
        <v>0</v>
      </c>
      <c r="AK2159" s="50"/>
      <c r="AL2159" s="6"/>
      <c r="AM2159" s="20">
        <f t="shared" si="381"/>
        <v>0</v>
      </c>
      <c r="AN2159" s="20">
        <f t="shared" si="384"/>
        <v>30500</v>
      </c>
      <c r="AP2159" s="20">
        <f t="shared" si="383"/>
        <v>30500</v>
      </c>
      <c r="AQ2159" s="7"/>
      <c r="AR2159" s="24"/>
      <c r="AS2159" s="97"/>
    </row>
    <row r="2160" spans="1:45" s="21" customFormat="1" ht="30" customHeight="1" x14ac:dyDescent="0.2">
      <c r="A2160" s="8">
        <v>1851</v>
      </c>
      <c r="B2160" s="46">
        <v>6</v>
      </c>
      <c r="C2160" s="16" t="s">
        <v>52</v>
      </c>
      <c r="D2160" s="48">
        <v>1607</v>
      </c>
      <c r="E2160" s="47">
        <v>45</v>
      </c>
      <c r="F2160" s="48">
        <v>559</v>
      </c>
      <c r="G2160" s="49">
        <v>2</v>
      </c>
      <c r="H2160" s="48">
        <v>9</v>
      </c>
      <c r="I2160" s="48">
        <v>2</v>
      </c>
      <c r="J2160" s="48">
        <v>46</v>
      </c>
      <c r="K2160" s="3">
        <f>9*400+246</f>
        <v>3846</v>
      </c>
      <c r="L2160" s="16"/>
      <c r="M2160" s="57"/>
      <c r="N2160" s="58"/>
      <c r="P2160" s="16">
        <v>1</v>
      </c>
      <c r="Q2160" s="20">
        <f t="shared" si="378"/>
        <v>3846</v>
      </c>
      <c r="R2160" s="14">
        <v>160</v>
      </c>
      <c r="S2160" s="20">
        <f t="shared" si="379"/>
        <v>615360</v>
      </c>
      <c r="T2160" s="16"/>
      <c r="U2160" s="17"/>
      <c r="V2160" s="17"/>
      <c r="W2160" s="5"/>
      <c r="X2160" s="16"/>
      <c r="Y2160" s="5"/>
      <c r="Z2160" s="16"/>
      <c r="AA2160" s="16"/>
      <c r="AB2160" s="16"/>
      <c r="AE2160" s="16"/>
      <c r="AG2160" s="22">
        <f t="shared" si="377"/>
        <v>0</v>
      </c>
      <c r="AH2160" s="6"/>
      <c r="AJ2160" s="20">
        <f t="shared" si="380"/>
        <v>0</v>
      </c>
      <c r="AK2160" s="50"/>
      <c r="AL2160" s="6"/>
      <c r="AM2160" s="20">
        <f t="shared" si="381"/>
        <v>0</v>
      </c>
      <c r="AN2160" s="20">
        <f t="shared" si="384"/>
        <v>615360</v>
      </c>
      <c r="AP2160" s="20">
        <f t="shared" si="383"/>
        <v>615360</v>
      </c>
      <c r="AQ2160" s="7"/>
      <c r="AR2160" s="24"/>
      <c r="AS2160" s="97"/>
    </row>
    <row r="2161" spans="1:45" s="21" customFormat="1" ht="30" customHeight="1" x14ac:dyDescent="0.2">
      <c r="A2161" s="8">
        <v>1852</v>
      </c>
      <c r="B2161" s="46">
        <v>7</v>
      </c>
      <c r="C2161" s="16" t="s">
        <v>52</v>
      </c>
      <c r="D2161" s="48">
        <v>28226</v>
      </c>
      <c r="E2161" s="47">
        <v>112</v>
      </c>
      <c r="F2161" s="48">
        <v>5034</v>
      </c>
      <c r="G2161" s="49">
        <v>2</v>
      </c>
      <c r="H2161" s="48">
        <v>0</v>
      </c>
      <c r="I2161" s="48">
        <v>0</v>
      </c>
      <c r="J2161" s="48">
        <v>57</v>
      </c>
      <c r="K2161" s="3"/>
      <c r="L2161" s="16">
        <v>57</v>
      </c>
      <c r="M2161" s="57"/>
      <c r="N2161" s="58"/>
      <c r="P2161" s="16">
        <v>2</v>
      </c>
      <c r="Q2161" s="20">
        <f t="shared" si="378"/>
        <v>57</v>
      </c>
      <c r="R2161" s="14">
        <v>160</v>
      </c>
      <c r="S2161" s="19">
        <f t="shared" si="379"/>
        <v>9120</v>
      </c>
      <c r="T2161" s="16"/>
      <c r="U2161" s="17"/>
      <c r="V2161" s="17"/>
      <c r="W2161" s="5"/>
      <c r="X2161" s="16"/>
      <c r="Y2161" s="5"/>
      <c r="Z2161" s="16"/>
      <c r="AA2161" s="16"/>
      <c r="AB2161" s="16"/>
      <c r="AE2161" s="16"/>
      <c r="AG2161" s="22">
        <f t="shared" si="377"/>
        <v>0</v>
      </c>
      <c r="AH2161" s="6"/>
      <c r="AJ2161" s="20">
        <f t="shared" si="380"/>
        <v>0</v>
      </c>
      <c r="AK2161" s="50"/>
      <c r="AL2161" s="6"/>
      <c r="AM2161" s="20">
        <f t="shared" si="381"/>
        <v>0</v>
      </c>
      <c r="AN2161" s="20">
        <f t="shared" si="384"/>
        <v>9120</v>
      </c>
      <c r="AP2161" s="20">
        <f t="shared" si="383"/>
        <v>9120</v>
      </c>
      <c r="AQ2161" s="7"/>
      <c r="AR2161" s="25"/>
      <c r="AS2161" s="98"/>
    </row>
    <row r="2162" spans="1:45" s="21" customFormat="1" ht="30" customHeight="1" x14ac:dyDescent="0.2">
      <c r="A2162" s="8">
        <v>1853</v>
      </c>
      <c r="B2162" s="46">
        <v>1</v>
      </c>
      <c r="C2162" s="16" t="s">
        <v>52</v>
      </c>
      <c r="D2162" s="48">
        <v>18445</v>
      </c>
      <c r="E2162" s="47">
        <v>161</v>
      </c>
      <c r="F2162" s="48">
        <v>3638</v>
      </c>
      <c r="G2162" s="49">
        <v>1</v>
      </c>
      <c r="H2162" s="48">
        <v>0</v>
      </c>
      <c r="I2162" s="48">
        <v>1</v>
      </c>
      <c r="J2162" s="48">
        <v>90</v>
      </c>
      <c r="K2162" s="3"/>
      <c r="L2162" s="16">
        <v>190</v>
      </c>
      <c r="M2162" s="57"/>
      <c r="N2162" s="58"/>
      <c r="P2162" s="16">
        <v>2</v>
      </c>
      <c r="Q2162" s="20">
        <f t="shared" si="378"/>
        <v>190</v>
      </c>
      <c r="R2162" s="14">
        <v>200</v>
      </c>
      <c r="S2162" s="19">
        <f t="shared" si="379"/>
        <v>38000</v>
      </c>
      <c r="T2162" s="16"/>
      <c r="U2162" s="17" t="s">
        <v>57</v>
      </c>
      <c r="V2162" s="17" t="s">
        <v>56</v>
      </c>
      <c r="W2162" s="5"/>
      <c r="X2162" s="16"/>
      <c r="Y2162" s="5">
        <v>108</v>
      </c>
      <c r="Z2162" s="16"/>
      <c r="AA2162" s="16"/>
      <c r="AB2162" s="16">
        <f>62-54</f>
        <v>8</v>
      </c>
      <c r="AE2162" s="16"/>
      <c r="AG2162" s="22">
        <f t="shared" si="377"/>
        <v>108</v>
      </c>
      <c r="AH2162" s="6"/>
      <c r="AJ2162" s="20">
        <f t="shared" si="380"/>
        <v>0</v>
      </c>
      <c r="AK2162" s="50">
        <v>8</v>
      </c>
      <c r="AL2162" s="6"/>
      <c r="AM2162" s="20">
        <f t="shared" si="381"/>
        <v>0</v>
      </c>
      <c r="AN2162" s="20">
        <f t="shared" si="384"/>
        <v>38000</v>
      </c>
      <c r="AP2162" s="20">
        <f t="shared" si="383"/>
        <v>38000</v>
      </c>
      <c r="AQ2162" s="7"/>
      <c r="AR2162" s="20"/>
      <c r="AS2162" s="51"/>
    </row>
    <row r="2163" spans="1:45" s="21" customFormat="1" ht="30" customHeight="1" x14ac:dyDescent="0.2">
      <c r="A2163" s="8">
        <v>1854</v>
      </c>
      <c r="B2163" s="46">
        <v>2</v>
      </c>
      <c r="C2163" s="16" t="s">
        <v>52</v>
      </c>
      <c r="D2163" s="48">
        <v>28223</v>
      </c>
      <c r="E2163" s="47">
        <v>109</v>
      </c>
      <c r="F2163" s="48">
        <v>5031</v>
      </c>
      <c r="G2163" s="49">
        <v>2</v>
      </c>
      <c r="H2163" s="48">
        <v>0</v>
      </c>
      <c r="I2163" s="48">
        <v>0</v>
      </c>
      <c r="J2163" s="48">
        <v>53</v>
      </c>
      <c r="K2163" s="3"/>
      <c r="L2163" s="16">
        <v>53</v>
      </c>
      <c r="M2163" s="57"/>
      <c r="N2163" s="58"/>
      <c r="P2163" s="16">
        <v>2</v>
      </c>
      <c r="Q2163" s="20">
        <f t="shared" si="378"/>
        <v>53</v>
      </c>
      <c r="R2163" s="14">
        <v>160</v>
      </c>
      <c r="S2163" s="20">
        <f t="shared" si="379"/>
        <v>8480</v>
      </c>
      <c r="T2163" s="16"/>
      <c r="U2163" s="17"/>
      <c r="V2163" s="17"/>
      <c r="W2163" s="5"/>
      <c r="X2163" s="16"/>
      <c r="Y2163" s="5"/>
      <c r="Z2163" s="16"/>
      <c r="AA2163" s="16"/>
      <c r="AB2163" s="16"/>
      <c r="AE2163" s="16"/>
      <c r="AG2163" s="22">
        <f t="shared" si="377"/>
        <v>0</v>
      </c>
      <c r="AH2163" s="6"/>
      <c r="AJ2163" s="20">
        <f t="shared" si="380"/>
        <v>0</v>
      </c>
      <c r="AK2163" s="50"/>
      <c r="AL2163" s="6"/>
      <c r="AM2163" s="20">
        <f t="shared" si="381"/>
        <v>0</v>
      </c>
      <c r="AN2163" s="20">
        <f t="shared" si="384"/>
        <v>8480</v>
      </c>
      <c r="AP2163" s="20">
        <f t="shared" si="383"/>
        <v>8480</v>
      </c>
      <c r="AQ2163" s="7"/>
      <c r="AR2163" s="20"/>
      <c r="AS2163" s="51"/>
    </row>
    <row r="2164" spans="1:45" s="21" customFormat="1" ht="30" customHeight="1" x14ac:dyDescent="0.2">
      <c r="A2164" s="8">
        <v>1855</v>
      </c>
      <c r="B2164" s="46">
        <v>3</v>
      </c>
      <c r="C2164" s="16" t="s">
        <v>52</v>
      </c>
      <c r="D2164" s="48">
        <v>30221</v>
      </c>
      <c r="E2164" s="47">
        <v>121</v>
      </c>
      <c r="F2164" s="48">
        <v>5787</v>
      </c>
      <c r="G2164" s="49">
        <v>2</v>
      </c>
      <c r="H2164" s="48">
        <v>9</v>
      </c>
      <c r="I2164" s="48">
        <v>3</v>
      </c>
      <c r="J2164" s="48">
        <v>72</v>
      </c>
      <c r="K2164" s="3">
        <f>9*400+372</f>
        <v>3972</v>
      </c>
      <c r="L2164" s="16"/>
      <c r="M2164" s="57"/>
      <c r="N2164" s="58"/>
      <c r="P2164" s="16">
        <v>1</v>
      </c>
      <c r="Q2164" s="20">
        <f t="shared" si="378"/>
        <v>3972</v>
      </c>
      <c r="R2164" s="14">
        <v>160</v>
      </c>
      <c r="S2164" s="19">
        <f t="shared" si="379"/>
        <v>635520</v>
      </c>
      <c r="T2164" s="16"/>
      <c r="U2164" s="17"/>
      <c r="V2164" s="17"/>
      <c r="W2164" s="5"/>
      <c r="X2164" s="16"/>
      <c r="Y2164" s="5"/>
      <c r="Z2164" s="16"/>
      <c r="AA2164" s="16"/>
      <c r="AB2164" s="16"/>
      <c r="AC2164" s="14"/>
      <c r="AD2164" s="14"/>
      <c r="AE2164" s="16"/>
      <c r="AG2164" s="22">
        <f t="shared" si="377"/>
        <v>0</v>
      </c>
      <c r="AH2164" s="6"/>
      <c r="AJ2164" s="20">
        <f t="shared" si="380"/>
        <v>0</v>
      </c>
      <c r="AK2164" s="50"/>
      <c r="AL2164" s="6"/>
      <c r="AM2164" s="20">
        <f t="shared" si="381"/>
        <v>0</v>
      </c>
      <c r="AN2164" s="20">
        <f t="shared" si="384"/>
        <v>635520</v>
      </c>
      <c r="AP2164" s="20">
        <f t="shared" si="383"/>
        <v>635520</v>
      </c>
      <c r="AQ2164" s="7"/>
      <c r="AR2164" s="20"/>
      <c r="AS2164" s="51"/>
    </row>
    <row r="2165" spans="1:45" s="21" customFormat="1" ht="30" customHeight="1" x14ac:dyDescent="0.2">
      <c r="A2165" s="8">
        <v>1856</v>
      </c>
      <c r="B2165" s="46">
        <v>1</v>
      </c>
      <c r="C2165" s="16" t="s">
        <v>52</v>
      </c>
      <c r="D2165" s="48">
        <v>28224</v>
      </c>
      <c r="E2165" s="47">
        <v>110</v>
      </c>
      <c r="F2165" s="48">
        <v>5032</v>
      </c>
      <c r="G2165" s="49">
        <v>2</v>
      </c>
      <c r="H2165" s="48">
        <v>0</v>
      </c>
      <c r="I2165" s="48">
        <v>0</v>
      </c>
      <c r="J2165" s="48">
        <v>55</v>
      </c>
      <c r="K2165" s="3">
        <v>55</v>
      </c>
      <c r="L2165" s="16"/>
      <c r="M2165" s="57"/>
      <c r="N2165" s="58"/>
      <c r="P2165" s="16">
        <v>1</v>
      </c>
      <c r="Q2165" s="20">
        <f t="shared" si="378"/>
        <v>55</v>
      </c>
      <c r="R2165" s="14">
        <v>160</v>
      </c>
      <c r="S2165" s="19">
        <f t="shared" si="379"/>
        <v>8800</v>
      </c>
      <c r="T2165" s="16"/>
      <c r="U2165" s="17"/>
      <c r="V2165" s="17"/>
      <c r="W2165" s="5"/>
      <c r="X2165" s="16"/>
      <c r="Y2165" s="5"/>
      <c r="Z2165" s="16"/>
      <c r="AA2165" s="16"/>
      <c r="AB2165" s="16"/>
      <c r="AE2165" s="16"/>
      <c r="AG2165" s="22">
        <f t="shared" si="377"/>
        <v>0</v>
      </c>
      <c r="AH2165" s="6"/>
      <c r="AJ2165" s="20">
        <f t="shared" si="380"/>
        <v>0</v>
      </c>
      <c r="AK2165" s="50"/>
      <c r="AL2165" s="6"/>
      <c r="AM2165" s="20">
        <f t="shared" si="381"/>
        <v>0</v>
      </c>
      <c r="AN2165" s="20">
        <f t="shared" si="384"/>
        <v>8800</v>
      </c>
      <c r="AP2165" s="20">
        <f t="shared" si="383"/>
        <v>8800</v>
      </c>
      <c r="AQ2165" s="7"/>
      <c r="AR2165" s="20"/>
      <c r="AS2165" s="51"/>
    </row>
    <row r="2166" spans="1:45" s="21" customFormat="1" ht="30" customHeight="1" x14ac:dyDescent="0.2">
      <c r="A2166" s="8">
        <v>1857</v>
      </c>
      <c r="B2166" s="46">
        <v>2</v>
      </c>
      <c r="C2166" s="16" t="s">
        <v>52</v>
      </c>
      <c r="D2166" s="48">
        <v>28339</v>
      </c>
      <c r="E2166" s="47">
        <v>83</v>
      </c>
      <c r="F2166" s="48">
        <v>5330</v>
      </c>
      <c r="G2166" s="49">
        <v>2</v>
      </c>
      <c r="H2166" s="48">
        <v>9</v>
      </c>
      <c r="I2166" s="48">
        <v>1</v>
      </c>
      <c r="J2166" s="48">
        <v>17</v>
      </c>
      <c r="K2166" s="3">
        <f>9*400+117</f>
        <v>3717</v>
      </c>
      <c r="L2166" s="16"/>
      <c r="M2166" s="57"/>
      <c r="N2166" s="58"/>
      <c r="P2166" s="16">
        <v>1</v>
      </c>
      <c r="Q2166" s="20">
        <f t="shared" si="378"/>
        <v>3717</v>
      </c>
      <c r="R2166" s="14">
        <v>160</v>
      </c>
      <c r="S2166" s="20">
        <f t="shared" si="379"/>
        <v>594720</v>
      </c>
      <c r="T2166" s="16"/>
      <c r="U2166" s="17"/>
      <c r="V2166" s="17"/>
      <c r="W2166" s="5"/>
      <c r="X2166" s="16"/>
      <c r="Y2166" s="5"/>
      <c r="Z2166" s="16"/>
      <c r="AA2166" s="16"/>
      <c r="AB2166" s="16"/>
      <c r="AC2166" s="14"/>
      <c r="AD2166" s="14"/>
      <c r="AE2166" s="16"/>
      <c r="AG2166" s="22">
        <f t="shared" si="377"/>
        <v>0</v>
      </c>
      <c r="AH2166" s="6"/>
      <c r="AJ2166" s="20">
        <f t="shared" si="380"/>
        <v>0</v>
      </c>
      <c r="AK2166" s="50"/>
      <c r="AL2166" s="6"/>
      <c r="AM2166" s="20">
        <f t="shared" si="381"/>
        <v>0</v>
      </c>
      <c r="AN2166" s="20">
        <f t="shared" si="384"/>
        <v>594720</v>
      </c>
      <c r="AP2166" s="20">
        <f t="shared" si="383"/>
        <v>594720</v>
      </c>
      <c r="AQ2166" s="7"/>
      <c r="AR2166" s="20"/>
      <c r="AS2166" s="51"/>
    </row>
    <row r="2167" spans="1:45" ht="30" customHeight="1" x14ac:dyDescent="0.2">
      <c r="A2167" s="8">
        <v>1858</v>
      </c>
      <c r="B2167" s="13">
        <v>3</v>
      </c>
      <c r="C2167" s="16" t="s">
        <v>65</v>
      </c>
      <c r="D2167" s="17">
        <v>1795</v>
      </c>
      <c r="E2167" s="17">
        <v>82</v>
      </c>
      <c r="H2167" s="17">
        <v>4</v>
      </c>
      <c r="I2167" s="17">
        <v>1</v>
      </c>
      <c r="J2167" s="17">
        <v>56</v>
      </c>
      <c r="K2167" s="10">
        <v>1756</v>
      </c>
      <c r="Q2167" s="20">
        <f t="shared" si="378"/>
        <v>1756</v>
      </c>
      <c r="R2167" s="14">
        <v>160</v>
      </c>
      <c r="S2167" s="19">
        <f t="shared" si="379"/>
        <v>280960</v>
      </c>
      <c r="AC2167" s="21"/>
      <c r="AD2167" s="21"/>
      <c r="AE2167" s="17" t="s">
        <v>94</v>
      </c>
      <c r="AG2167" s="22">
        <f t="shared" si="377"/>
        <v>0</v>
      </c>
      <c r="AJ2167" s="20">
        <f t="shared" si="380"/>
        <v>0</v>
      </c>
      <c r="AM2167" s="20">
        <f t="shared" si="381"/>
        <v>0</v>
      </c>
      <c r="AN2167" s="20">
        <f t="shared" si="384"/>
        <v>280960</v>
      </c>
      <c r="AP2167" s="20">
        <f t="shared" si="383"/>
        <v>280960</v>
      </c>
      <c r="AQ2167" s="12">
        <v>1E-4</v>
      </c>
      <c r="AR2167" s="20"/>
    </row>
    <row r="2168" spans="1:45" s="21" customFormat="1" ht="30" customHeight="1" x14ac:dyDescent="0.2">
      <c r="A2168" s="8">
        <v>1859</v>
      </c>
      <c r="B2168" s="46">
        <v>1</v>
      </c>
      <c r="C2168" s="16" t="s">
        <v>52</v>
      </c>
      <c r="D2168" s="48">
        <v>1568</v>
      </c>
      <c r="E2168" s="47">
        <v>67</v>
      </c>
      <c r="F2168" s="48">
        <v>505</v>
      </c>
      <c r="G2168" s="49">
        <v>2</v>
      </c>
      <c r="H2168" s="48">
        <v>1</v>
      </c>
      <c r="I2168" s="48">
        <v>3</v>
      </c>
      <c r="J2168" s="48">
        <v>47</v>
      </c>
      <c r="K2168" s="3"/>
      <c r="L2168" s="16"/>
      <c r="M2168" s="57"/>
      <c r="N2168" s="58"/>
      <c r="P2168" s="16">
        <v>2</v>
      </c>
      <c r="Q2168" s="20">
        <f t="shared" si="378"/>
        <v>747</v>
      </c>
      <c r="R2168" s="14">
        <v>160</v>
      </c>
      <c r="S2168" s="19">
        <f t="shared" si="379"/>
        <v>119520</v>
      </c>
      <c r="T2168" s="16"/>
      <c r="U2168" s="17" t="s">
        <v>57</v>
      </c>
      <c r="V2168" s="17" t="s">
        <v>56</v>
      </c>
      <c r="W2168" s="5"/>
      <c r="X2168" s="16"/>
      <c r="Y2168" s="5">
        <v>147</v>
      </c>
      <c r="Z2168" s="16"/>
      <c r="AA2168" s="16"/>
      <c r="AB2168" s="16">
        <f>62-51</f>
        <v>11</v>
      </c>
      <c r="AC2168" s="14"/>
      <c r="AD2168" s="14"/>
      <c r="AE2168" s="16"/>
      <c r="AG2168" s="22">
        <f t="shared" si="377"/>
        <v>147</v>
      </c>
      <c r="AH2168" s="6"/>
      <c r="AJ2168" s="20">
        <f t="shared" si="380"/>
        <v>0</v>
      </c>
      <c r="AK2168" s="50">
        <v>11</v>
      </c>
      <c r="AL2168" s="6"/>
      <c r="AM2168" s="20">
        <f t="shared" si="381"/>
        <v>0</v>
      </c>
      <c r="AN2168" s="20">
        <f t="shared" si="384"/>
        <v>119520</v>
      </c>
      <c r="AP2168" s="20">
        <f t="shared" si="383"/>
        <v>119520</v>
      </c>
      <c r="AQ2168" s="7"/>
      <c r="AR2168" s="20"/>
      <c r="AS2168" s="51"/>
    </row>
    <row r="2169" spans="1:45" s="21" customFormat="1" ht="30" customHeight="1" x14ac:dyDescent="0.2">
      <c r="A2169" s="8">
        <v>1860</v>
      </c>
      <c r="B2169" s="46">
        <v>2</v>
      </c>
      <c r="C2169" s="16" t="s">
        <v>52</v>
      </c>
      <c r="D2169" s="48">
        <v>1600</v>
      </c>
      <c r="E2169" s="47">
        <v>5</v>
      </c>
      <c r="F2169" s="48">
        <v>545</v>
      </c>
      <c r="G2169" s="49">
        <v>2</v>
      </c>
      <c r="H2169" s="48">
        <v>4</v>
      </c>
      <c r="I2169" s="48">
        <v>1</v>
      </c>
      <c r="J2169" s="48">
        <v>55</v>
      </c>
      <c r="K2169" s="3">
        <v>1755</v>
      </c>
      <c r="L2169" s="16"/>
      <c r="M2169" s="57"/>
      <c r="N2169" s="58"/>
      <c r="P2169" s="16">
        <v>1</v>
      </c>
      <c r="Q2169" s="20">
        <f t="shared" si="378"/>
        <v>1755</v>
      </c>
      <c r="R2169" s="14">
        <v>250</v>
      </c>
      <c r="S2169" s="20">
        <f t="shared" si="379"/>
        <v>438750</v>
      </c>
      <c r="T2169" s="16"/>
      <c r="U2169" s="17"/>
      <c r="V2169" s="17"/>
      <c r="W2169" s="5"/>
      <c r="X2169" s="16"/>
      <c r="Y2169" s="5"/>
      <c r="Z2169" s="16"/>
      <c r="AA2169" s="16"/>
      <c r="AB2169" s="16"/>
      <c r="AC2169" s="14"/>
      <c r="AD2169" s="14"/>
      <c r="AE2169" s="16"/>
      <c r="AG2169" s="22">
        <f t="shared" si="377"/>
        <v>0</v>
      </c>
      <c r="AH2169" s="6"/>
      <c r="AJ2169" s="20">
        <f t="shared" si="380"/>
        <v>0</v>
      </c>
      <c r="AK2169" s="50"/>
      <c r="AL2169" s="6"/>
      <c r="AM2169" s="20">
        <f t="shared" si="381"/>
        <v>0</v>
      </c>
      <c r="AN2169" s="20">
        <f t="shared" si="384"/>
        <v>438750</v>
      </c>
      <c r="AP2169" s="20">
        <f t="shared" si="383"/>
        <v>438750</v>
      </c>
      <c r="AQ2169" s="7"/>
      <c r="AR2169" s="20"/>
      <c r="AS2169" s="51"/>
    </row>
    <row r="2170" spans="1:45" s="21" customFormat="1" ht="30" customHeight="1" x14ac:dyDescent="0.2">
      <c r="A2170" s="8">
        <v>1861</v>
      </c>
      <c r="B2170" s="46">
        <v>3</v>
      </c>
      <c r="C2170" s="16" t="s">
        <v>52</v>
      </c>
      <c r="D2170" s="48">
        <v>1793</v>
      </c>
      <c r="E2170" s="47">
        <v>1</v>
      </c>
      <c r="F2170" s="48">
        <v>1177</v>
      </c>
      <c r="G2170" s="49">
        <v>2</v>
      </c>
      <c r="H2170" s="48">
        <v>6</v>
      </c>
      <c r="I2170" s="48">
        <v>1</v>
      </c>
      <c r="J2170" s="48">
        <v>90</v>
      </c>
      <c r="K2170" s="3">
        <v>2590</v>
      </c>
      <c r="L2170" s="16"/>
      <c r="M2170" s="57"/>
      <c r="N2170" s="58"/>
      <c r="P2170" s="16">
        <v>1</v>
      </c>
      <c r="Q2170" s="20">
        <f t="shared" si="378"/>
        <v>2590</v>
      </c>
      <c r="R2170" s="14">
        <v>160</v>
      </c>
      <c r="S2170" s="19">
        <f t="shared" si="379"/>
        <v>414400</v>
      </c>
      <c r="T2170" s="16"/>
      <c r="U2170" s="17"/>
      <c r="V2170" s="17"/>
      <c r="W2170" s="5"/>
      <c r="X2170" s="16"/>
      <c r="Y2170" s="5"/>
      <c r="Z2170" s="16"/>
      <c r="AA2170" s="16"/>
      <c r="AB2170" s="16"/>
      <c r="AC2170" s="14"/>
      <c r="AD2170" s="14"/>
      <c r="AE2170" s="16"/>
      <c r="AG2170" s="22">
        <f t="shared" si="377"/>
        <v>0</v>
      </c>
      <c r="AH2170" s="6"/>
      <c r="AJ2170" s="20">
        <f t="shared" si="380"/>
        <v>0</v>
      </c>
      <c r="AK2170" s="50"/>
      <c r="AL2170" s="6"/>
      <c r="AM2170" s="20">
        <f t="shared" si="381"/>
        <v>0</v>
      </c>
      <c r="AN2170" s="20">
        <f t="shared" si="384"/>
        <v>414400</v>
      </c>
      <c r="AP2170" s="20">
        <f t="shared" si="383"/>
        <v>414400</v>
      </c>
      <c r="AQ2170" s="7"/>
      <c r="AR2170" s="20"/>
      <c r="AS2170" s="51"/>
    </row>
    <row r="2171" spans="1:45" s="21" customFormat="1" ht="30" customHeight="1" x14ac:dyDescent="0.2">
      <c r="A2171" s="8">
        <v>1862</v>
      </c>
      <c r="B2171" s="46">
        <v>1</v>
      </c>
      <c r="C2171" s="16" t="s">
        <v>52</v>
      </c>
      <c r="D2171" s="48">
        <v>28225</v>
      </c>
      <c r="E2171" s="47">
        <v>111</v>
      </c>
      <c r="F2171" s="48">
        <v>5033</v>
      </c>
      <c r="G2171" s="49">
        <v>2</v>
      </c>
      <c r="H2171" s="48">
        <v>0</v>
      </c>
      <c r="I2171" s="48">
        <v>0</v>
      </c>
      <c r="J2171" s="48">
        <v>55</v>
      </c>
      <c r="K2171" s="3"/>
      <c r="L2171" s="16">
        <v>55</v>
      </c>
      <c r="M2171" s="57"/>
      <c r="N2171" s="58"/>
      <c r="P2171" s="16">
        <v>2</v>
      </c>
      <c r="Q2171" s="20">
        <f t="shared" si="378"/>
        <v>55</v>
      </c>
      <c r="R2171" s="14">
        <v>160</v>
      </c>
      <c r="S2171" s="19">
        <f t="shared" si="379"/>
        <v>8800</v>
      </c>
      <c r="T2171" s="16"/>
      <c r="U2171" s="17" t="s">
        <v>63</v>
      </c>
      <c r="V2171" s="17" t="s">
        <v>84</v>
      </c>
      <c r="W2171" s="5"/>
      <c r="X2171" s="16"/>
      <c r="Y2171" s="5">
        <f>5*18</f>
        <v>90</v>
      </c>
      <c r="Z2171" s="16"/>
      <c r="AA2171" s="16"/>
      <c r="AB2171" s="16">
        <f>62-47</f>
        <v>15</v>
      </c>
      <c r="AC2171" s="14"/>
      <c r="AD2171" s="14"/>
      <c r="AE2171" s="16"/>
      <c r="AG2171" s="22">
        <f t="shared" si="377"/>
        <v>90</v>
      </c>
      <c r="AH2171" s="6"/>
      <c r="AJ2171" s="20">
        <f t="shared" si="380"/>
        <v>0</v>
      </c>
      <c r="AK2171" s="50">
        <v>15</v>
      </c>
      <c r="AL2171" s="6"/>
      <c r="AM2171" s="20">
        <f t="shared" si="381"/>
        <v>0</v>
      </c>
      <c r="AN2171" s="20">
        <f t="shared" si="384"/>
        <v>8800</v>
      </c>
      <c r="AP2171" s="20">
        <f t="shared" si="383"/>
        <v>8800</v>
      </c>
      <c r="AQ2171" s="7"/>
      <c r="AR2171" s="20"/>
      <c r="AS2171" s="51"/>
    </row>
    <row r="2172" spans="1:45" s="21" customFormat="1" ht="30" customHeight="1" x14ac:dyDescent="0.2">
      <c r="A2172" s="8">
        <v>1863</v>
      </c>
      <c r="B2172" s="46">
        <v>2</v>
      </c>
      <c r="C2172" s="16" t="s">
        <v>52</v>
      </c>
      <c r="D2172" s="48">
        <v>30222</v>
      </c>
      <c r="E2172" s="47">
        <v>54</v>
      </c>
      <c r="F2172" s="48">
        <v>5788</v>
      </c>
      <c r="G2172" s="49">
        <v>2</v>
      </c>
      <c r="H2172" s="48">
        <v>11</v>
      </c>
      <c r="I2172" s="48">
        <v>0</v>
      </c>
      <c r="J2172" s="48">
        <v>38</v>
      </c>
      <c r="K2172" s="3">
        <f>11*400+38</f>
        <v>4438</v>
      </c>
      <c r="L2172" s="16"/>
      <c r="M2172" s="57"/>
      <c r="N2172" s="58"/>
      <c r="P2172" s="16">
        <v>1</v>
      </c>
      <c r="Q2172" s="20">
        <f t="shared" si="378"/>
        <v>4438</v>
      </c>
      <c r="R2172" s="14">
        <v>160</v>
      </c>
      <c r="S2172" s="20">
        <f t="shared" si="379"/>
        <v>710080</v>
      </c>
      <c r="T2172" s="16"/>
      <c r="U2172" s="17"/>
      <c r="V2172" s="17"/>
      <c r="W2172" s="5"/>
      <c r="X2172" s="16"/>
      <c r="Y2172" s="5"/>
      <c r="Z2172" s="16"/>
      <c r="AA2172" s="16"/>
      <c r="AB2172" s="16"/>
      <c r="AE2172" s="16"/>
      <c r="AG2172" s="22">
        <f t="shared" si="377"/>
        <v>0</v>
      </c>
      <c r="AH2172" s="6"/>
      <c r="AJ2172" s="20">
        <f t="shared" si="380"/>
        <v>0</v>
      </c>
      <c r="AK2172" s="50"/>
      <c r="AL2172" s="6"/>
      <c r="AM2172" s="20">
        <f t="shared" si="381"/>
        <v>0</v>
      </c>
      <c r="AN2172" s="20">
        <f t="shared" si="384"/>
        <v>710080</v>
      </c>
      <c r="AP2172" s="20">
        <f t="shared" si="383"/>
        <v>710080</v>
      </c>
      <c r="AQ2172" s="7"/>
      <c r="AR2172" s="20"/>
      <c r="AS2172" s="51"/>
    </row>
    <row r="2173" spans="1:45" s="21" customFormat="1" ht="30" customHeight="1" x14ac:dyDescent="0.2">
      <c r="A2173" s="8">
        <v>1864</v>
      </c>
      <c r="B2173" s="46">
        <v>1</v>
      </c>
      <c r="C2173" s="16" t="s">
        <v>52</v>
      </c>
      <c r="D2173" s="48">
        <v>3401</v>
      </c>
      <c r="E2173" s="47">
        <v>37</v>
      </c>
      <c r="F2173" s="48">
        <v>2188</v>
      </c>
      <c r="G2173" s="49">
        <v>2</v>
      </c>
      <c r="H2173" s="48">
        <v>0</v>
      </c>
      <c r="I2173" s="48">
        <v>3</v>
      </c>
      <c r="J2173" s="48">
        <v>22</v>
      </c>
      <c r="K2173" s="3">
        <v>322</v>
      </c>
      <c r="L2173" s="16"/>
      <c r="M2173" s="57"/>
      <c r="N2173" s="58"/>
      <c r="P2173" s="16">
        <v>1</v>
      </c>
      <c r="Q2173" s="20">
        <f t="shared" si="378"/>
        <v>322</v>
      </c>
      <c r="R2173" s="14">
        <v>160</v>
      </c>
      <c r="S2173" s="19">
        <f t="shared" si="379"/>
        <v>51520</v>
      </c>
      <c r="T2173" s="16"/>
      <c r="U2173" s="17"/>
      <c r="V2173" s="17"/>
      <c r="W2173" s="5"/>
      <c r="X2173" s="16"/>
      <c r="Y2173" s="5"/>
      <c r="Z2173" s="16"/>
      <c r="AA2173" s="16"/>
      <c r="AB2173" s="16"/>
      <c r="AE2173" s="16"/>
      <c r="AG2173" s="22">
        <f t="shared" si="377"/>
        <v>0</v>
      </c>
      <c r="AH2173" s="6"/>
      <c r="AJ2173" s="20">
        <f t="shared" si="380"/>
        <v>0</v>
      </c>
      <c r="AK2173" s="50"/>
      <c r="AL2173" s="6"/>
      <c r="AM2173" s="20">
        <f t="shared" si="381"/>
        <v>0</v>
      </c>
      <c r="AN2173" s="20">
        <f t="shared" si="384"/>
        <v>51520</v>
      </c>
      <c r="AP2173" s="20">
        <f t="shared" si="383"/>
        <v>51520</v>
      </c>
      <c r="AQ2173" s="7"/>
      <c r="AR2173" s="20"/>
      <c r="AS2173" s="51"/>
    </row>
    <row r="2174" spans="1:45" s="21" customFormat="1" ht="30" customHeight="1" x14ac:dyDescent="0.2">
      <c r="A2174" s="8">
        <v>1865</v>
      </c>
      <c r="B2174" s="46">
        <v>1</v>
      </c>
      <c r="C2174" s="16" t="s">
        <v>52</v>
      </c>
      <c r="D2174" s="48">
        <v>3787</v>
      </c>
      <c r="E2174" s="47">
        <v>50</v>
      </c>
      <c r="F2174" s="48">
        <v>2342</v>
      </c>
      <c r="G2174" s="49">
        <v>2</v>
      </c>
      <c r="H2174" s="48">
        <v>2</v>
      </c>
      <c r="I2174" s="48">
        <v>1</v>
      </c>
      <c r="J2174" s="48">
        <v>95</v>
      </c>
      <c r="K2174" s="3">
        <v>995</v>
      </c>
      <c r="L2174" s="16"/>
      <c r="M2174" s="57"/>
      <c r="N2174" s="58"/>
      <c r="P2174" s="16">
        <v>1</v>
      </c>
      <c r="Q2174" s="20">
        <f t="shared" si="378"/>
        <v>995</v>
      </c>
      <c r="R2174" s="14">
        <v>160</v>
      </c>
      <c r="S2174" s="19">
        <f t="shared" si="379"/>
        <v>159200</v>
      </c>
      <c r="T2174" s="16"/>
      <c r="U2174" s="17"/>
      <c r="V2174" s="17"/>
      <c r="W2174" s="5"/>
      <c r="X2174" s="16"/>
      <c r="Y2174" s="5"/>
      <c r="Z2174" s="16"/>
      <c r="AA2174" s="16"/>
      <c r="AB2174" s="16"/>
      <c r="AE2174" s="16"/>
      <c r="AG2174" s="22">
        <f t="shared" si="377"/>
        <v>0</v>
      </c>
      <c r="AH2174" s="6"/>
      <c r="AJ2174" s="20">
        <f t="shared" si="380"/>
        <v>0</v>
      </c>
      <c r="AK2174" s="50"/>
      <c r="AL2174" s="6"/>
      <c r="AM2174" s="20">
        <f t="shared" si="381"/>
        <v>0</v>
      </c>
      <c r="AN2174" s="20">
        <f t="shared" si="384"/>
        <v>159200</v>
      </c>
      <c r="AP2174" s="20">
        <f t="shared" si="383"/>
        <v>159200</v>
      </c>
      <c r="AQ2174" s="7"/>
      <c r="AR2174" s="20"/>
      <c r="AS2174" s="51"/>
    </row>
    <row r="2175" spans="1:45" ht="30" customHeight="1" x14ac:dyDescent="0.2">
      <c r="A2175" s="8"/>
      <c r="C2175" s="16"/>
      <c r="Q2175" s="20"/>
      <c r="S2175" s="20"/>
      <c r="AC2175" s="21"/>
      <c r="AD2175" s="21"/>
      <c r="AG2175" s="22"/>
      <c r="AJ2175" s="20"/>
      <c r="AM2175" s="20"/>
      <c r="AN2175" s="20"/>
      <c r="AP2175" s="20"/>
      <c r="AR2175" s="20"/>
    </row>
    <row r="2176" spans="1:45" s="21" customFormat="1" ht="30" customHeight="1" x14ac:dyDescent="0.2">
      <c r="A2176" s="8">
        <v>1866</v>
      </c>
      <c r="B2176" s="46">
        <v>1</v>
      </c>
      <c r="C2176" s="16" t="s">
        <v>52</v>
      </c>
      <c r="D2176" s="48">
        <v>3400</v>
      </c>
      <c r="E2176" s="47">
        <v>36</v>
      </c>
      <c r="F2176" s="48">
        <v>2187</v>
      </c>
      <c r="G2176" s="49">
        <v>2</v>
      </c>
      <c r="H2176" s="48">
        <v>3</v>
      </c>
      <c r="I2176" s="48">
        <v>1</v>
      </c>
      <c r="J2176" s="48">
        <v>83</v>
      </c>
      <c r="K2176" s="3">
        <v>1383</v>
      </c>
      <c r="L2176" s="16"/>
      <c r="M2176" s="57"/>
      <c r="N2176" s="58"/>
      <c r="P2176" s="16">
        <v>1</v>
      </c>
      <c r="Q2176" s="20">
        <f t="shared" si="378"/>
        <v>1383</v>
      </c>
      <c r="R2176" s="14">
        <v>160</v>
      </c>
      <c r="S2176" s="19">
        <f t="shared" si="379"/>
        <v>221280</v>
      </c>
      <c r="T2176" s="16"/>
      <c r="U2176" s="17"/>
      <c r="V2176" s="17"/>
      <c r="W2176" s="5"/>
      <c r="X2176" s="16"/>
      <c r="Y2176" s="5"/>
      <c r="Z2176" s="16"/>
      <c r="AA2176" s="16"/>
      <c r="AB2176" s="16"/>
      <c r="AE2176" s="16"/>
      <c r="AG2176" s="22">
        <f t="shared" si="377"/>
        <v>0</v>
      </c>
      <c r="AH2176" s="6"/>
      <c r="AJ2176" s="20">
        <f t="shared" si="380"/>
        <v>0</v>
      </c>
      <c r="AK2176" s="50"/>
      <c r="AL2176" s="6"/>
      <c r="AM2176" s="20">
        <f t="shared" si="381"/>
        <v>0</v>
      </c>
      <c r="AN2176" s="20">
        <f t="shared" si="384"/>
        <v>221280</v>
      </c>
      <c r="AP2176" s="20">
        <f t="shared" si="383"/>
        <v>221280</v>
      </c>
      <c r="AQ2176" s="7"/>
      <c r="AR2176" s="20"/>
      <c r="AS2176" s="51"/>
    </row>
    <row r="2177" spans="1:48" ht="30" customHeight="1" x14ac:dyDescent="0.2">
      <c r="A2177" s="8">
        <v>1867</v>
      </c>
      <c r="B2177" s="13">
        <v>1</v>
      </c>
      <c r="C2177" s="16" t="s">
        <v>65</v>
      </c>
      <c r="D2177" s="17">
        <v>3854</v>
      </c>
      <c r="E2177" s="17">
        <v>63</v>
      </c>
      <c r="H2177" s="17">
        <v>0</v>
      </c>
      <c r="I2177" s="17">
        <v>0</v>
      </c>
      <c r="J2177" s="17">
        <v>85</v>
      </c>
      <c r="K2177" s="10">
        <v>85</v>
      </c>
      <c r="P2177" s="17">
        <v>1</v>
      </c>
      <c r="Q2177" s="20">
        <f t="shared" si="378"/>
        <v>85</v>
      </c>
      <c r="R2177" s="14">
        <v>160</v>
      </c>
      <c r="S2177" s="19">
        <f t="shared" si="379"/>
        <v>13600</v>
      </c>
      <c r="AC2177" s="21"/>
      <c r="AD2177" s="21"/>
      <c r="AE2177" s="17" t="s">
        <v>193</v>
      </c>
      <c r="AG2177" s="22">
        <f t="shared" si="377"/>
        <v>0</v>
      </c>
      <c r="AJ2177" s="20">
        <f t="shared" si="380"/>
        <v>0</v>
      </c>
      <c r="AM2177" s="20">
        <f t="shared" si="381"/>
        <v>0</v>
      </c>
      <c r="AN2177" s="20">
        <f t="shared" si="384"/>
        <v>13600</v>
      </c>
      <c r="AP2177" s="20">
        <f t="shared" si="383"/>
        <v>13600</v>
      </c>
      <c r="AQ2177" s="12">
        <v>1E-4</v>
      </c>
      <c r="AR2177" s="20"/>
    </row>
    <row r="2178" spans="1:48" ht="30" customHeight="1" x14ac:dyDescent="0.2">
      <c r="A2178" s="8">
        <v>1868</v>
      </c>
      <c r="B2178" s="13">
        <v>1</v>
      </c>
      <c r="C2178" s="16" t="s">
        <v>65</v>
      </c>
      <c r="D2178" s="17">
        <v>1253</v>
      </c>
      <c r="E2178" s="17">
        <v>108</v>
      </c>
      <c r="H2178" s="17">
        <v>2</v>
      </c>
      <c r="I2178" s="17">
        <v>3</v>
      </c>
      <c r="J2178" s="17">
        <v>53</v>
      </c>
      <c r="K2178" s="10">
        <v>1153</v>
      </c>
      <c r="P2178" s="17">
        <v>1</v>
      </c>
      <c r="Q2178" s="20">
        <f t="shared" si="378"/>
        <v>1153</v>
      </c>
      <c r="R2178" s="14">
        <v>200</v>
      </c>
      <c r="S2178" s="20">
        <f t="shared" si="379"/>
        <v>230600</v>
      </c>
      <c r="U2178" s="17" t="s">
        <v>57</v>
      </c>
      <c r="V2178" s="17" t="s">
        <v>56</v>
      </c>
      <c r="Y2178" s="4">
        <v>48</v>
      </c>
      <c r="AB2178" s="17">
        <v>1</v>
      </c>
      <c r="AC2178" s="21"/>
      <c r="AD2178" s="21"/>
      <c r="AE2178" s="17" t="s">
        <v>194</v>
      </c>
      <c r="AG2178" s="22">
        <f t="shared" si="377"/>
        <v>48</v>
      </c>
      <c r="AJ2178" s="20">
        <f t="shared" si="380"/>
        <v>0</v>
      </c>
      <c r="AM2178" s="20">
        <f t="shared" si="381"/>
        <v>0</v>
      </c>
      <c r="AN2178" s="20">
        <f t="shared" si="384"/>
        <v>230600</v>
      </c>
      <c r="AP2178" s="20">
        <f t="shared" si="383"/>
        <v>230600</v>
      </c>
      <c r="AQ2178" s="12">
        <v>2.0000000000000001E-4</v>
      </c>
      <c r="AR2178" s="20"/>
    </row>
    <row r="2179" spans="1:48" s="21" customFormat="1" ht="30" customHeight="1" x14ac:dyDescent="0.2">
      <c r="A2179" s="8">
        <v>1869</v>
      </c>
      <c r="B2179" s="46">
        <v>1</v>
      </c>
      <c r="C2179" s="16" t="s">
        <v>52</v>
      </c>
      <c r="D2179" s="48">
        <v>3394</v>
      </c>
      <c r="E2179" s="47">
        <v>57</v>
      </c>
      <c r="F2179" s="48">
        <v>2180</v>
      </c>
      <c r="G2179" s="49">
        <v>2</v>
      </c>
      <c r="H2179" s="48">
        <v>5</v>
      </c>
      <c r="I2179" s="48">
        <v>3</v>
      </c>
      <c r="J2179" s="48">
        <v>81</v>
      </c>
      <c r="K2179" s="3">
        <v>2381</v>
      </c>
      <c r="L2179" s="16"/>
      <c r="M2179" s="57"/>
      <c r="N2179" s="58"/>
      <c r="P2179" s="16">
        <v>1</v>
      </c>
      <c r="Q2179" s="20">
        <f t="shared" si="378"/>
        <v>2381</v>
      </c>
      <c r="R2179" s="14">
        <v>160</v>
      </c>
      <c r="S2179" s="19">
        <f t="shared" si="379"/>
        <v>380960</v>
      </c>
      <c r="T2179" s="16"/>
      <c r="U2179" s="17"/>
      <c r="V2179" s="17"/>
      <c r="W2179" s="5"/>
      <c r="X2179" s="16"/>
      <c r="Y2179" s="5"/>
      <c r="Z2179" s="16"/>
      <c r="AA2179" s="16"/>
      <c r="AB2179" s="16"/>
      <c r="AE2179" s="16"/>
      <c r="AG2179" s="22">
        <f t="shared" si="377"/>
        <v>0</v>
      </c>
      <c r="AH2179" s="6"/>
      <c r="AJ2179" s="20">
        <f t="shared" si="380"/>
        <v>0</v>
      </c>
      <c r="AK2179" s="50"/>
      <c r="AL2179" s="6"/>
      <c r="AM2179" s="20">
        <f t="shared" si="381"/>
        <v>0</v>
      </c>
      <c r="AN2179" s="20">
        <f t="shared" si="384"/>
        <v>380960</v>
      </c>
      <c r="AP2179" s="20">
        <f t="shared" si="383"/>
        <v>380960</v>
      </c>
      <c r="AQ2179" s="7"/>
      <c r="AR2179" s="20"/>
      <c r="AS2179" s="51"/>
    </row>
    <row r="2180" spans="1:48" ht="30" customHeight="1" x14ac:dyDescent="0.2">
      <c r="R2180" s="14" t="e">
        <v>#N/A</v>
      </c>
    </row>
    <row r="2181" spans="1:48" s="21" customFormat="1" ht="30" customHeight="1" x14ac:dyDescent="0.2">
      <c r="A2181" s="8">
        <v>1870</v>
      </c>
      <c r="B2181" s="46">
        <v>1</v>
      </c>
      <c r="C2181" s="16" t="s">
        <v>52</v>
      </c>
      <c r="D2181" s="48">
        <v>20375</v>
      </c>
      <c r="E2181" s="47">
        <v>197</v>
      </c>
      <c r="F2181" s="48">
        <v>4586</v>
      </c>
      <c r="G2181" s="49">
        <v>2</v>
      </c>
      <c r="H2181" s="48">
        <v>0</v>
      </c>
      <c r="I2181" s="48">
        <v>0</v>
      </c>
      <c r="J2181" s="48">
        <v>27</v>
      </c>
      <c r="K2181" s="3"/>
      <c r="L2181" s="16">
        <v>27</v>
      </c>
      <c r="M2181" s="57"/>
      <c r="N2181" s="58"/>
      <c r="P2181" s="16">
        <v>2</v>
      </c>
      <c r="Q2181" s="20">
        <f t="shared" ref="Q2181:Q2247" si="385">+(H2181*400)+(I2181*100)+J2181</f>
        <v>27</v>
      </c>
      <c r="R2181" s="14">
        <v>250</v>
      </c>
      <c r="S2181" s="20">
        <f t="shared" ref="S2181:S2247" si="386">+Q2181*R2181</f>
        <v>6750</v>
      </c>
      <c r="T2181" s="16"/>
      <c r="U2181" s="17"/>
      <c r="V2181" s="17"/>
      <c r="W2181" s="5"/>
      <c r="X2181" s="16"/>
      <c r="Y2181" s="5"/>
      <c r="Z2181" s="16"/>
      <c r="AA2181" s="16"/>
      <c r="AB2181" s="16"/>
      <c r="AE2181" s="16"/>
      <c r="AG2181" s="22">
        <f t="shared" ref="AG2181:AG2192" si="387">Y2181</f>
        <v>0</v>
      </c>
      <c r="AH2181" s="6"/>
      <c r="AJ2181" s="20">
        <f t="shared" ref="AJ2181:AJ2247" si="388">+AG2181*AH2181*AI2181</f>
        <v>0</v>
      </c>
      <c r="AK2181" s="50"/>
      <c r="AL2181" s="6"/>
      <c r="AM2181" s="20">
        <f t="shared" ref="AM2181:AM2247" si="389">+AJ2181-(AL2181*AJ2181)</f>
        <v>0</v>
      </c>
      <c r="AN2181" s="20">
        <f t="shared" ref="AN2181:AN2203" si="390">+S2181+AM2181</f>
        <v>6750</v>
      </c>
      <c r="AP2181" s="20">
        <f t="shared" ref="AP2181:AP2247" si="391">AN2181</f>
        <v>6750</v>
      </c>
      <c r="AQ2181" s="7"/>
      <c r="AR2181" s="20"/>
      <c r="AS2181" s="51"/>
    </row>
    <row r="2182" spans="1:48" s="21" customFormat="1" ht="30" customHeight="1" x14ac:dyDescent="0.2">
      <c r="A2182" s="8">
        <v>1871</v>
      </c>
      <c r="B2182" s="46">
        <v>2</v>
      </c>
      <c r="C2182" s="16" t="s">
        <v>52</v>
      </c>
      <c r="D2182" s="48">
        <v>20379</v>
      </c>
      <c r="E2182" s="47">
        <v>157</v>
      </c>
      <c r="F2182" s="48">
        <v>4597</v>
      </c>
      <c r="G2182" s="49">
        <v>2</v>
      </c>
      <c r="H2182" s="48">
        <v>0</v>
      </c>
      <c r="I2182" s="48">
        <v>0</v>
      </c>
      <c r="J2182" s="48">
        <v>10</v>
      </c>
      <c r="K2182" s="3"/>
      <c r="L2182" s="16">
        <v>10</v>
      </c>
      <c r="M2182" s="57"/>
      <c r="N2182" s="58"/>
      <c r="P2182" s="16">
        <v>2</v>
      </c>
      <c r="Q2182" s="20">
        <f t="shared" si="385"/>
        <v>10</v>
      </c>
      <c r="R2182" s="14">
        <v>250</v>
      </c>
      <c r="S2182" s="19">
        <f t="shared" si="386"/>
        <v>2500</v>
      </c>
      <c r="T2182" s="16"/>
      <c r="U2182" s="17"/>
      <c r="V2182" s="17"/>
      <c r="W2182" s="5"/>
      <c r="X2182" s="16"/>
      <c r="Y2182" s="5"/>
      <c r="Z2182" s="16"/>
      <c r="AA2182" s="16"/>
      <c r="AB2182" s="16"/>
      <c r="AE2182" s="16"/>
      <c r="AG2182" s="22">
        <f t="shared" si="387"/>
        <v>0</v>
      </c>
      <c r="AH2182" s="6"/>
      <c r="AJ2182" s="20">
        <f t="shared" si="388"/>
        <v>0</v>
      </c>
      <c r="AK2182" s="50"/>
      <c r="AL2182" s="6"/>
      <c r="AM2182" s="20">
        <f t="shared" si="389"/>
        <v>0</v>
      </c>
      <c r="AN2182" s="20">
        <f t="shared" si="390"/>
        <v>2500</v>
      </c>
      <c r="AP2182" s="20">
        <f t="shared" si="391"/>
        <v>2500</v>
      </c>
      <c r="AQ2182" s="7"/>
      <c r="AR2182" s="20"/>
      <c r="AS2182" s="51"/>
    </row>
    <row r="2183" spans="1:48" s="29" customFormat="1" ht="27.75" customHeight="1" x14ac:dyDescent="0.2">
      <c r="A2183" s="17">
        <v>1872</v>
      </c>
      <c r="B2183" s="46">
        <v>1</v>
      </c>
      <c r="C2183" s="16" t="s">
        <v>52</v>
      </c>
      <c r="D2183" s="48">
        <v>14075</v>
      </c>
      <c r="E2183" s="47">
        <v>125</v>
      </c>
      <c r="F2183" s="48">
        <v>3316</v>
      </c>
      <c r="G2183" s="53">
        <v>2</v>
      </c>
      <c r="H2183" s="48">
        <v>0</v>
      </c>
      <c r="I2183" s="48">
        <v>0</v>
      </c>
      <c r="J2183" s="48">
        <v>37</v>
      </c>
      <c r="K2183" s="63"/>
      <c r="L2183" s="63"/>
      <c r="M2183" s="63"/>
      <c r="N2183" s="63">
        <v>37</v>
      </c>
      <c r="O2183" s="63"/>
      <c r="P2183" s="21">
        <v>4</v>
      </c>
      <c r="Q2183" s="19">
        <f>+(H2183*400)+(I2183*100)+J2183</f>
        <v>37</v>
      </c>
      <c r="R2183" s="14">
        <v>250</v>
      </c>
      <c r="S2183" s="19">
        <f>+Q2183*R2183</f>
        <v>9250</v>
      </c>
      <c r="T2183" s="63"/>
      <c r="U2183" s="87"/>
      <c r="V2183" s="87"/>
      <c r="W2183" s="28"/>
      <c r="X2183" s="63"/>
      <c r="Y2183" s="28"/>
      <c r="Z2183" s="63"/>
      <c r="AA2183" s="63"/>
      <c r="AB2183" s="17"/>
      <c r="AC2183" s="32"/>
      <c r="AF2183" s="21"/>
      <c r="AG2183" s="21"/>
      <c r="AH2183" s="6"/>
      <c r="AI2183" s="21"/>
      <c r="AJ2183" s="20">
        <f>+AG2183*AH2183*AI2183</f>
        <v>0</v>
      </c>
      <c r="AK2183" s="50">
        <f>AB2183</f>
        <v>0</v>
      </c>
      <c r="AL2183" s="6"/>
      <c r="AM2183" s="20">
        <f>+AJ2183-(AL2183*AJ2183)</f>
        <v>0</v>
      </c>
      <c r="AN2183" s="20">
        <f t="shared" si="390"/>
        <v>9250</v>
      </c>
      <c r="AO2183" s="21"/>
      <c r="AP2183" s="20">
        <f>AN2183</f>
        <v>9250</v>
      </c>
      <c r="AQ2183" s="7">
        <v>3.0000000000000001E-3</v>
      </c>
      <c r="AR2183" s="20"/>
      <c r="AS2183" s="51"/>
      <c r="AT2183" s="21"/>
      <c r="AU2183" s="21"/>
      <c r="AV2183" s="21"/>
    </row>
    <row r="2184" spans="1:48" s="21" customFormat="1" ht="30" customHeight="1" x14ac:dyDescent="0.2">
      <c r="A2184" s="8">
        <v>1873</v>
      </c>
      <c r="B2184" s="46">
        <v>1</v>
      </c>
      <c r="C2184" s="16" t="s">
        <v>52</v>
      </c>
      <c r="D2184" s="48">
        <v>14079</v>
      </c>
      <c r="E2184" s="47">
        <v>129</v>
      </c>
      <c r="F2184" s="48">
        <v>3320</v>
      </c>
      <c r="G2184" s="49">
        <v>2</v>
      </c>
      <c r="H2184" s="48">
        <v>1</v>
      </c>
      <c r="I2184" s="48">
        <v>3</v>
      </c>
      <c r="J2184" s="48">
        <v>32</v>
      </c>
      <c r="K2184" s="3">
        <f>400+332</f>
        <v>732</v>
      </c>
      <c r="L2184" s="16"/>
      <c r="M2184" s="57"/>
      <c r="N2184" s="58"/>
      <c r="P2184" s="16">
        <v>1</v>
      </c>
      <c r="Q2184" s="20">
        <f t="shared" si="385"/>
        <v>732</v>
      </c>
      <c r="R2184" s="14">
        <v>200</v>
      </c>
      <c r="S2184" s="19">
        <f t="shared" si="386"/>
        <v>146400</v>
      </c>
      <c r="T2184" s="16"/>
      <c r="U2184" s="17"/>
      <c r="V2184" s="17"/>
      <c r="W2184" s="5"/>
      <c r="X2184" s="16"/>
      <c r="Y2184" s="5"/>
      <c r="Z2184" s="16"/>
      <c r="AA2184" s="16"/>
      <c r="AB2184" s="16"/>
      <c r="AE2184" s="16"/>
      <c r="AG2184" s="22">
        <f t="shared" si="387"/>
        <v>0</v>
      </c>
      <c r="AH2184" s="6"/>
      <c r="AJ2184" s="20">
        <f t="shared" si="388"/>
        <v>0</v>
      </c>
      <c r="AK2184" s="50"/>
      <c r="AL2184" s="6"/>
      <c r="AM2184" s="20">
        <f t="shared" si="389"/>
        <v>0</v>
      </c>
      <c r="AN2184" s="20">
        <f t="shared" si="390"/>
        <v>146400</v>
      </c>
      <c r="AP2184" s="20">
        <f t="shared" si="391"/>
        <v>146400</v>
      </c>
      <c r="AQ2184" s="7"/>
      <c r="AR2184" s="20"/>
      <c r="AS2184" s="51"/>
    </row>
    <row r="2185" spans="1:48" s="21" customFormat="1" ht="30" customHeight="1" x14ac:dyDescent="0.2">
      <c r="A2185" s="8">
        <v>1874</v>
      </c>
      <c r="B2185" s="46">
        <v>1</v>
      </c>
      <c r="C2185" s="16" t="s">
        <v>52</v>
      </c>
      <c r="D2185" s="48">
        <v>3024</v>
      </c>
      <c r="E2185" s="47">
        <v>70</v>
      </c>
      <c r="F2185" s="48">
        <v>2096</v>
      </c>
      <c r="G2185" s="49">
        <v>2</v>
      </c>
      <c r="H2185" s="48">
        <v>1</v>
      </c>
      <c r="I2185" s="48">
        <v>2</v>
      </c>
      <c r="J2185" s="48">
        <v>48</v>
      </c>
      <c r="K2185" s="3">
        <f>648-L2185</f>
        <v>648</v>
      </c>
      <c r="L2185" s="16"/>
      <c r="M2185" s="57"/>
      <c r="N2185" s="58"/>
      <c r="P2185" s="16">
        <v>1</v>
      </c>
      <c r="Q2185" s="20">
        <f t="shared" si="385"/>
        <v>648</v>
      </c>
      <c r="R2185" s="14">
        <v>200</v>
      </c>
      <c r="S2185" s="20">
        <f t="shared" si="386"/>
        <v>129600</v>
      </c>
      <c r="T2185" s="16"/>
      <c r="U2185" s="17" t="s">
        <v>57</v>
      </c>
      <c r="V2185" s="17" t="s">
        <v>56</v>
      </c>
      <c r="W2185" s="5"/>
      <c r="X2185" s="16"/>
      <c r="Y2185" s="5">
        <v>60</v>
      </c>
      <c r="Z2185" s="16"/>
      <c r="AA2185" s="16"/>
      <c r="AB2185" s="16">
        <f>62-31</f>
        <v>31</v>
      </c>
      <c r="AE2185" s="16"/>
      <c r="AG2185" s="22">
        <f t="shared" si="387"/>
        <v>60</v>
      </c>
      <c r="AH2185" s="6"/>
      <c r="AJ2185" s="20">
        <f t="shared" si="388"/>
        <v>0</v>
      </c>
      <c r="AK2185" s="50">
        <v>31</v>
      </c>
      <c r="AL2185" s="6"/>
      <c r="AM2185" s="20">
        <f t="shared" si="389"/>
        <v>0</v>
      </c>
      <c r="AN2185" s="20">
        <f t="shared" si="390"/>
        <v>129600</v>
      </c>
      <c r="AP2185" s="20">
        <f t="shared" si="391"/>
        <v>129600</v>
      </c>
      <c r="AQ2185" s="7"/>
      <c r="AR2185" s="20"/>
      <c r="AS2185" s="51"/>
    </row>
    <row r="2186" spans="1:48" s="21" customFormat="1" ht="30" customHeight="1" x14ac:dyDescent="0.2">
      <c r="A2186" s="8">
        <v>1875</v>
      </c>
      <c r="B2186" s="46">
        <v>1</v>
      </c>
      <c r="C2186" s="16" t="s">
        <v>52</v>
      </c>
      <c r="D2186" s="48">
        <v>3392</v>
      </c>
      <c r="E2186" s="47">
        <v>63</v>
      </c>
      <c r="F2186" s="48">
        <v>2178</v>
      </c>
      <c r="G2186" s="49">
        <v>2</v>
      </c>
      <c r="H2186" s="48">
        <v>4</v>
      </c>
      <c r="I2186" s="48">
        <v>0</v>
      </c>
      <c r="J2186" s="48">
        <v>7</v>
      </c>
      <c r="K2186" s="3">
        <v>1607</v>
      </c>
      <c r="L2186" s="16"/>
      <c r="M2186" s="57"/>
      <c r="N2186" s="58"/>
      <c r="P2186" s="16">
        <v>1</v>
      </c>
      <c r="Q2186" s="20">
        <f t="shared" si="385"/>
        <v>1607</v>
      </c>
      <c r="R2186" s="14">
        <v>160</v>
      </c>
      <c r="S2186" s="19">
        <f t="shared" si="386"/>
        <v>257120</v>
      </c>
      <c r="T2186" s="16"/>
      <c r="U2186" s="17"/>
      <c r="V2186" s="17"/>
      <c r="W2186" s="5"/>
      <c r="X2186" s="16"/>
      <c r="Y2186" s="5"/>
      <c r="Z2186" s="16"/>
      <c r="AA2186" s="16"/>
      <c r="AB2186" s="16"/>
      <c r="AE2186" s="16"/>
      <c r="AG2186" s="22">
        <f t="shared" si="387"/>
        <v>0</v>
      </c>
      <c r="AH2186" s="6"/>
      <c r="AJ2186" s="20">
        <f t="shared" si="388"/>
        <v>0</v>
      </c>
      <c r="AK2186" s="50"/>
      <c r="AL2186" s="6"/>
      <c r="AM2186" s="20">
        <f t="shared" si="389"/>
        <v>0</v>
      </c>
      <c r="AN2186" s="20">
        <f t="shared" si="390"/>
        <v>257120</v>
      </c>
      <c r="AP2186" s="20">
        <f t="shared" si="391"/>
        <v>257120</v>
      </c>
      <c r="AQ2186" s="7"/>
      <c r="AR2186" s="60"/>
      <c r="AS2186" s="128">
        <v>12</v>
      </c>
    </row>
    <row r="2187" spans="1:48" s="21" customFormat="1" ht="30" customHeight="1" x14ac:dyDescent="0.2">
      <c r="A2187" s="8">
        <v>1876</v>
      </c>
      <c r="B2187" s="46">
        <v>2</v>
      </c>
      <c r="C2187" s="16" t="s">
        <v>52</v>
      </c>
      <c r="D2187" s="48">
        <v>14078</v>
      </c>
      <c r="E2187" s="47">
        <v>128</v>
      </c>
      <c r="F2187" s="48">
        <v>3319</v>
      </c>
      <c r="G2187" s="49">
        <v>2</v>
      </c>
      <c r="H2187" s="48">
        <v>0</v>
      </c>
      <c r="I2187" s="48">
        <v>2</v>
      </c>
      <c r="J2187" s="48">
        <v>17</v>
      </c>
      <c r="K2187" s="3"/>
      <c r="L2187" s="16"/>
      <c r="M2187" s="57"/>
      <c r="N2187" s="58">
        <v>217</v>
      </c>
      <c r="P2187" s="16">
        <v>4</v>
      </c>
      <c r="Q2187" s="20">
        <f t="shared" si="385"/>
        <v>217</v>
      </c>
      <c r="R2187" s="14">
        <v>250</v>
      </c>
      <c r="S2187" s="19">
        <f t="shared" si="386"/>
        <v>54250</v>
      </c>
      <c r="T2187" s="16"/>
      <c r="U2187" s="17"/>
      <c r="V2187" s="17"/>
      <c r="W2187" s="5"/>
      <c r="X2187" s="16"/>
      <c r="Y2187" s="5"/>
      <c r="Z2187" s="16"/>
      <c r="AA2187" s="16"/>
      <c r="AB2187" s="16"/>
      <c r="AC2187" s="14"/>
      <c r="AD2187" s="14"/>
      <c r="AE2187" s="16"/>
      <c r="AG2187" s="22">
        <f t="shared" si="387"/>
        <v>0</v>
      </c>
      <c r="AH2187" s="6"/>
      <c r="AJ2187" s="20">
        <f t="shared" si="388"/>
        <v>0</v>
      </c>
      <c r="AK2187" s="50"/>
      <c r="AL2187" s="6"/>
      <c r="AM2187" s="20">
        <f t="shared" si="389"/>
        <v>0</v>
      </c>
      <c r="AN2187" s="20">
        <f t="shared" si="390"/>
        <v>54250</v>
      </c>
      <c r="AP2187" s="20">
        <f t="shared" si="391"/>
        <v>54250</v>
      </c>
      <c r="AQ2187" s="7">
        <v>3.0000000000000001E-3</v>
      </c>
      <c r="AR2187" s="25"/>
      <c r="AS2187" s="130"/>
    </row>
    <row r="2188" spans="1:48" s="21" customFormat="1" ht="30" customHeight="1" x14ac:dyDescent="0.2">
      <c r="A2188" s="8">
        <v>1877</v>
      </c>
      <c r="B2188" s="46">
        <v>1</v>
      </c>
      <c r="C2188" s="16" t="s">
        <v>52</v>
      </c>
      <c r="D2188" s="48">
        <v>3013</v>
      </c>
      <c r="E2188" s="47">
        <v>53</v>
      </c>
      <c r="F2188" s="48">
        <v>2081</v>
      </c>
      <c r="G2188" s="49">
        <v>2</v>
      </c>
      <c r="H2188" s="48">
        <v>1</v>
      </c>
      <c r="I2188" s="48">
        <v>0</v>
      </c>
      <c r="J2188" s="48">
        <v>35</v>
      </c>
      <c r="K2188" s="3">
        <v>435</v>
      </c>
      <c r="L2188" s="16"/>
      <c r="M2188" s="57"/>
      <c r="N2188" s="58"/>
      <c r="P2188" s="16">
        <v>1</v>
      </c>
      <c r="Q2188" s="20">
        <f t="shared" si="385"/>
        <v>435</v>
      </c>
      <c r="R2188" s="14">
        <v>160</v>
      </c>
      <c r="S2188" s="20">
        <f t="shared" si="386"/>
        <v>69600</v>
      </c>
      <c r="T2188" s="16"/>
      <c r="U2188" s="17"/>
      <c r="V2188" s="17"/>
      <c r="W2188" s="5"/>
      <c r="X2188" s="16"/>
      <c r="Y2188" s="5"/>
      <c r="Z2188" s="16"/>
      <c r="AA2188" s="16"/>
      <c r="AB2188" s="16"/>
      <c r="AE2188" s="16"/>
      <c r="AG2188" s="22">
        <f t="shared" si="387"/>
        <v>0</v>
      </c>
      <c r="AH2188" s="6"/>
      <c r="AJ2188" s="20">
        <f t="shared" si="388"/>
        <v>0</v>
      </c>
      <c r="AK2188" s="50"/>
      <c r="AL2188" s="6"/>
      <c r="AM2188" s="20">
        <f t="shared" si="389"/>
        <v>0</v>
      </c>
      <c r="AN2188" s="20">
        <f t="shared" si="390"/>
        <v>69600</v>
      </c>
      <c r="AP2188" s="20">
        <f t="shared" si="391"/>
        <v>69600</v>
      </c>
      <c r="AQ2188" s="7"/>
      <c r="AR2188" s="20"/>
      <c r="AS2188" s="51"/>
    </row>
    <row r="2189" spans="1:48" s="21" customFormat="1" ht="30" customHeight="1" x14ac:dyDescent="0.2">
      <c r="A2189" s="8">
        <v>1878</v>
      </c>
      <c r="B2189" s="46">
        <v>2</v>
      </c>
      <c r="C2189" s="16" t="s">
        <v>52</v>
      </c>
      <c r="D2189" s="48">
        <v>3023</v>
      </c>
      <c r="E2189" s="47">
        <v>69</v>
      </c>
      <c r="F2189" s="48">
        <v>2095</v>
      </c>
      <c r="G2189" s="49">
        <v>2</v>
      </c>
      <c r="H2189" s="48">
        <v>0</v>
      </c>
      <c r="I2189" s="48">
        <v>0</v>
      </c>
      <c r="J2189" s="48">
        <v>22</v>
      </c>
      <c r="K2189" s="3"/>
      <c r="L2189" s="16">
        <v>22</v>
      </c>
      <c r="M2189" s="57"/>
      <c r="N2189" s="58"/>
      <c r="P2189" s="16">
        <v>2</v>
      </c>
      <c r="Q2189" s="20">
        <f t="shared" si="385"/>
        <v>22</v>
      </c>
      <c r="R2189" s="14">
        <v>200</v>
      </c>
      <c r="S2189" s="19">
        <f t="shared" si="386"/>
        <v>4400</v>
      </c>
      <c r="T2189" s="16"/>
      <c r="U2189" s="17" t="s">
        <v>63</v>
      </c>
      <c r="V2189" s="17" t="s">
        <v>56</v>
      </c>
      <c r="W2189" s="5"/>
      <c r="X2189" s="16"/>
      <c r="Y2189" s="5">
        <v>56</v>
      </c>
      <c r="Z2189" s="16"/>
      <c r="AA2189" s="16"/>
      <c r="AB2189" s="16">
        <f>62-21</f>
        <v>41</v>
      </c>
      <c r="AC2189" s="14"/>
      <c r="AD2189" s="14"/>
      <c r="AE2189" s="16"/>
      <c r="AG2189" s="22">
        <f t="shared" si="387"/>
        <v>56</v>
      </c>
      <c r="AH2189" s="6"/>
      <c r="AJ2189" s="20">
        <f t="shared" si="388"/>
        <v>0</v>
      </c>
      <c r="AK2189" s="50">
        <v>41</v>
      </c>
      <c r="AL2189" s="6"/>
      <c r="AM2189" s="20">
        <f t="shared" si="389"/>
        <v>0</v>
      </c>
      <c r="AN2189" s="20">
        <f t="shared" si="390"/>
        <v>4400</v>
      </c>
      <c r="AP2189" s="20">
        <f t="shared" si="391"/>
        <v>4400</v>
      </c>
      <c r="AQ2189" s="7"/>
      <c r="AR2189" s="20"/>
      <c r="AS2189" s="51"/>
    </row>
    <row r="2190" spans="1:48" s="21" customFormat="1" ht="30" customHeight="1" x14ac:dyDescent="0.2">
      <c r="A2190" s="8">
        <v>1879</v>
      </c>
      <c r="B2190" s="46">
        <v>1</v>
      </c>
      <c r="C2190" s="16" t="s">
        <v>52</v>
      </c>
      <c r="D2190" s="48">
        <v>14077</v>
      </c>
      <c r="E2190" s="47">
        <v>127</v>
      </c>
      <c r="F2190" s="48">
        <v>3318</v>
      </c>
      <c r="G2190" s="49">
        <v>2</v>
      </c>
      <c r="H2190" s="48">
        <v>1</v>
      </c>
      <c r="I2190" s="48">
        <v>2</v>
      </c>
      <c r="J2190" s="48">
        <v>97</v>
      </c>
      <c r="K2190" s="3">
        <f>697-L2190</f>
        <v>665.8</v>
      </c>
      <c r="L2190" s="16">
        <f>124.8/4</f>
        <v>31.2</v>
      </c>
      <c r="M2190" s="57"/>
      <c r="N2190" s="58"/>
      <c r="P2190" s="16">
        <v>5</v>
      </c>
      <c r="Q2190" s="20">
        <f t="shared" si="385"/>
        <v>697</v>
      </c>
      <c r="R2190" s="14">
        <v>200</v>
      </c>
      <c r="S2190" s="19">
        <f t="shared" si="386"/>
        <v>139400</v>
      </c>
      <c r="T2190" s="16"/>
      <c r="U2190" s="17"/>
      <c r="V2190" s="17"/>
      <c r="W2190" s="5"/>
      <c r="X2190" s="16"/>
      <c r="Y2190" s="5">
        <v>124.8</v>
      </c>
      <c r="Z2190" s="16"/>
      <c r="AA2190" s="16"/>
      <c r="AB2190" s="16">
        <f>62-41</f>
        <v>21</v>
      </c>
      <c r="AC2190" s="14"/>
      <c r="AD2190" s="14"/>
      <c r="AE2190" s="16"/>
      <c r="AG2190" s="22">
        <f t="shared" si="387"/>
        <v>124.8</v>
      </c>
      <c r="AH2190" s="6"/>
      <c r="AJ2190" s="20">
        <f t="shared" si="388"/>
        <v>0</v>
      </c>
      <c r="AK2190" s="50">
        <v>21</v>
      </c>
      <c r="AL2190" s="6"/>
      <c r="AM2190" s="20">
        <f t="shared" si="389"/>
        <v>0</v>
      </c>
      <c r="AN2190" s="20">
        <f t="shared" si="390"/>
        <v>139400</v>
      </c>
      <c r="AP2190" s="20">
        <f t="shared" si="391"/>
        <v>139400</v>
      </c>
      <c r="AQ2190" s="7"/>
      <c r="AR2190" s="20"/>
      <c r="AS2190" s="51"/>
    </row>
    <row r="2191" spans="1:48" s="21" customFormat="1" ht="30" customHeight="1" x14ac:dyDescent="0.2">
      <c r="A2191" s="8">
        <v>1880</v>
      </c>
      <c r="B2191" s="46">
        <v>2</v>
      </c>
      <c r="C2191" s="16" t="s">
        <v>52</v>
      </c>
      <c r="D2191" s="48">
        <v>14084</v>
      </c>
      <c r="E2191" s="47">
        <v>134</v>
      </c>
      <c r="F2191" s="48">
        <v>3325</v>
      </c>
      <c r="G2191" s="49">
        <v>2</v>
      </c>
      <c r="H2191" s="48">
        <v>4</v>
      </c>
      <c r="I2191" s="48">
        <v>3</v>
      </c>
      <c r="J2191" s="48">
        <v>94</v>
      </c>
      <c r="K2191" s="3">
        <f>1600+394</f>
        <v>1994</v>
      </c>
      <c r="L2191" s="16"/>
      <c r="M2191" s="57"/>
      <c r="N2191" s="58"/>
      <c r="P2191" s="16"/>
      <c r="Q2191" s="20">
        <f t="shared" si="385"/>
        <v>1994</v>
      </c>
      <c r="R2191" s="14">
        <v>160</v>
      </c>
      <c r="S2191" s="20">
        <f t="shared" si="386"/>
        <v>319040</v>
      </c>
      <c r="T2191" s="16"/>
      <c r="U2191" s="17"/>
      <c r="V2191" s="17"/>
      <c r="W2191" s="5"/>
      <c r="X2191" s="16"/>
      <c r="Y2191" s="5"/>
      <c r="Z2191" s="16"/>
      <c r="AA2191" s="16"/>
      <c r="AB2191" s="16"/>
      <c r="AC2191" s="14"/>
      <c r="AD2191" s="14"/>
      <c r="AE2191" s="16"/>
      <c r="AG2191" s="22">
        <f t="shared" si="387"/>
        <v>0</v>
      </c>
      <c r="AH2191" s="6"/>
      <c r="AJ2191" s="20">
        <f t="shared" si="388"/>
        <v>0</v>
      </c>
      <c r="AK2191" s="50"/>
      <c r="AL2191" s="6"/>
      <c r="AM2191" s="20">
        <f t="shared" si="389"/>
        <v>0</v>
      </c>
      <c r="AN2191" s="20">
        <f t="shared" si="390"/>
        <v>319040</v>
      </c>
      <c r="AP2191" s="20">
        <f t="shared" si="391"/>
        <v>319040</v>
      </c>
      <c r="AQ2191" s="7"/>
      <c r="AR2191" s="20"/>
      <c r="AS2191" s="51"/>
    </row>
    <row r="2192" spans="1:48" s="21" customFormat="1" ht="30" customHeight="1" x14ac:dyDescent="0.2">
      <c r="A2192" s="8">
        <v>1881</v>
      </c>
      <c r="B2192" s="46">
        <v>3</v>
      </c>
      <c r="C2192" s="16" t="s">
        <v>52</v>
      </c>
      <c r="D2192" s="48">
        <v>26612</v>
      </c>
      <c r="E2192" s="47">
        <v>173</v>
      </c>
      <c r="F2192" s="48">
        <v>4991</v>
      </c>
      <c r="G2192" s="49">
        <v>2</v>
      </c>
      <c r="H2192" s="48">
        <v>0</v>
      </c>
      <c r="I2192" s="48">
        <v>0</v>
      </c>
      <c r="J2192" s="48">
        <v>64</v>
      </c>
      <c r="K2192" s="3"/>
      <c r="L2192" s="16"/>
      <c r="M2192" s="57"/>
      <c r="N2192" s="58">
        <v>64</v>
      </c>
      <c r="P2192" s="16">
        <v>4</v>
      </c>
      <c r="Q2192" s="20">
        <f t="shared" si="385"/>
        <v>64</v>
      </c>
      <c r="R2192" s="14">
        <v>250</v>
      </c>
      <c r="S2192" s="19">
        <f t="shared" si="386"/>
        <v>16000</v>
      </c>
      <c r="T2192" s="16"/>
      <c r="U2192" s="17"/>
      <c r="V2192" s="17"/>
      <c r="W2192" s="5"/>
      <c r="X2192" s="16"/>
      <c r="Y2192" s="5"/>
      <c r="Z2192" s="16"/>
      <c r="AA2192" s="16"/>
      <c r="AB2192" s="16"/>
      <c r="AC2192" s="14"/>
      <c r="AD2192" s="14"/>
      <c r="AE2192" s="16"/>
      <c r="AG2192" s="22">
        <f t="shared" si="387"/>
        <v>0</v>
      </c>
      <c r="AH2192" s="6"/>
      <c r="AJ2192" s="20">
        <f t="shared" si="388"/>
        <v>0</v>
      </c>
      <c r="AK2192" s="50"/>
      <c r="AL2192" s="6"/>
      <c r="AM2192" s="20">
        <f t="shared" si="389"/>
        <v>0</v>
      </c>
      <c r="AN2192" s="20">
        <f t="shared" si="390"/>
        <v>16000</v>
      </c>
      <c r="AP2192" s="20">
        <f t="shared" si="391"/>
        <v>16000</v>
      </c>
      <c r="AQ2192" s="7">
        <v>3.0000000000000001E-3</v>
      </c>
      <c r="AR2192" s="20"/>
      <c r="AS2192" s="51"/>
    </row>
    <row r="2193" spans="1:48" s="17" customFormat="1" ht="30" customHeight="1" x14ac:dyDescent="0.2">
      <c r="A2193" s="2">
        <v>1882</v>
      </c>
      <c r="B2193" s="46">
        <v>4</v>
      </c>
      <c r="C2193" s="16" t="s">
        <v>52</v>
      </c>
      <c r="D2193" s="48">
        <v>14076</v>
      </c>
      <c r="E2193" s="47">
        <v>126</v>
      </c>
      <c r="F2193" s="48">
        <v>3317</v>
      </c>
      <c r="G2193" s="49">
        <v>2</v>
      </c>
      <c r="H2193" s="48">
        <v>0</v>
      </c>
      <c r="I2193" s="48">
        <v>0</v>
      </c>
      <c r="J2193" s="48">
        <v>36</v>
      </c>
      <c r="K2193" s="28"/>
      <c r="M2193" s="63"/>
      <c r="N2193" s="18">
        <v>36</v>
      </c>
      <c r="O2193" s="14"/>
      <c r="P2193" s="21">
        <v>4</v>
      </c>
      <c r="Q2193" s="19">
        <f t="shared" si="385"/>
        <v>36</v>
      </c>
      <c r="R2193" s="14">
        <v>250</v>
      </c>
      <c r="S2193" s="19">
        <f t="shared" si="386"/>
        <v>9000</v>
      </c>
      <c r="W2193" s="4"/>
      <c r="Y2193" s="67"/>
      <c r="AC2193" s="21"/>
      <c r="AE2193" s="14" t="s">
        <v>195</v>
      </c>
      <c r="AF2193" s="21"/>
      <c r="AG2193" s="22"/>
      <c r="AH2193" s="21"/>
      <c r="AI2193" s="21"/>
      <c r="AJ2193" s="20">
        <f t="shared" si="388"/>
        <v>0</v>
      </c>
      <c r="AK2193" s="50">
        <f>AB2193</f>
        <v>0</v>
      </c>
      <c r="AL2193" s="6"/>
      <c r="AM2193" s="20">
        <f t="shared" si="389"/>
        <v>0</v>
      </c>
      <c r="AN2193" s="20">
        <f t="shared" si="390"/>
        <v>9000</v>
      </c>
      <c r="AO2193" s="21"/>
      <c r="AP2193" s="20">
        <f t="shared" si="391"/>
        <v>9000</v>
      </c>
      <c r="AQ2193" s="7">
        <v>3.0000000000000001E-3</v>
      </c>
      <c r="AR2193" s="20"/>
      <c r="AS2193" s="51"/>
      <c r="AT2193" s="21"/>
      <c r="AU2193" s="21"/>
      <c r="AV2193" s="21"/>
    </row>
    <row r="2194" spans="1:48" ht="30" customHeight="1" x14ac:dyDescent="0.2">
      <c r="A2194" s="8">
        <v>1883</v>
      </c>
      <c r="B2194" s="13">
        <v>1</v>
      </c>
      <c r="C2194" s="16" t="s">
        <v>69</v>
      </c>
      <c r="E2194" s="17">
        <v>152</v>
      </c>
      <c r="F2194" s="17">
        <v>10</v>
      </c>
      <c r="G2194" s="13">
        <v>2</v>
      </c>
      <c r="H2194" s="17">
        <v>2</v>
      </c>
      <c r="I2194" s="17">
        <v>2</v>
      </c>
      <c r="J2194" s="17">
        <v>24</v>
      </c>
      <c r="K2194" s="10">
        <v>1024</v>
      </c>
      <c r="P2194" s="17">
        <v>1</v>
      </c>
      <c r="Q2194" s="20">
        <f t="shared" si="385"/>
        <v>1024</v>
      </c>
      <c r="R2194" s="14">
        <v>160</v>
      </c>
      <c r="S2194" s="19">
        <f t="shared" si="386"/>
        <v>163840</v>
      </c>
      <c r="AG2194" s="22">
        <f t="shared" ref="AG2194:AG2260" si="392">Y2194</f>
        <v>0</v>
      </c>
      <c r="AJ2194" s="20">
        <f t="shared" si="388"/>
        <v>0</v>
      </c>
      <c r="AM2194" s="20">
        <f t="shared" si="389"/>
        <v>0</v>
      </c>
      <c r="AN2194" s="20">
        <f t="shared" si="390"/>
        <v>163840</v>
      </c>
      <c r="AP2194" s="20">
        <f t="shared" si="391"/>
        <v>163840</v>
      </c>
      <c r="AQ2194" s="12">
        <v>1E-4</v>
      </c>
      <c r="AR2194" s="20"/>
    </row>
    <row r="2195" spans="1:48" s="21" customFormat="1" ht="30" customHeight="1" x14ac:dyDescent="0.2">
      <c r="A2195" s="8">
        <v>1884</v>
      </c>
      <c r="B2195" s="46">
        <v>1</v>
      </c>
      <c r="C2195" s="16" t="s">
        <v>52</v>
      </c>
      <c r="D2195" s="48">
        <v>23815</v>
      </c>
      <c r="E2195" s="47">
        <v>163</v>
      </c>
      <c r="F2195" s="48">
        <v>4719</v>
      </c>
      <c r="G2195" s="49">
        <v>2</v>
      </c>
      <c r="H2195" s="48">
        <v>0</v>
      </c>
      <c r="I2195" s="48">
        <v>1</v>
      </c>
      <c r="J2195" s="48">
        <v>16</v>
      </c>
      <c r="K2195" s="3"/>
      <c r="L2195" s="16">
        <v>116</v>
      </c>
      <c r="M2195" s="57"/>
      <c r="N2195" s="58"/>
      <c r="P2195" s="16">
        <v>2</v>
      </c>
      <c r="Q2195" s="20">
        <f t="shared" si="385"/>
        <v>116</v>
      </c>
      <c r="R2195" s="14">
        <v>250</v>
      </c>
      <c r="S2195" s="20">
        <f t="shared" si="386"/>
        <v>29000</v>
      </c>
      <c r="T2195" s="16"/>
      <c r="U2195" s="17" t="s">
        <v>57</v>
      </c>
      <c r="V2195" s="17" t="s">
        <v>56</v>
      </c>
      <c r="W2195" s="5"/>
      <c r="X2195" s="16"/>
      <c r="Y2195" s="5">
        <v>84</v>
      </c>
      <c r="Z2195" s="16"/>
      <c r="AA2195" s="16"/>
      <c r="AB2195" s="16">
        <f>62-41</f>
        <v>21</v>
      </c>
      <c r="AC2195" s="14"/>
      <c r="AD2195" s="14"/>
      <c r="AE2195" s="21" t="s">
        <v>196</v>
      </c>
      <c r="AG2195" s="22">
        <f t="shared" si="392"/>
        <v>84</v>
      </c>
      <c r="AH2195" s="6"/>
      <c r="AJ2195" s="20">
        <f t="shared" si="388"/>
        <v>0</v>
      </c>
      <c r="AK2195" s="50">
        <v>21</v>
      </c>
      <c r="AL2195" s="6"/>
      <c r="AM2195" s="20">
        <f t="shared" si="389"/>
        <v>0</v>
      </c>
      <c r="AN2195" s="20">
        <f t="shared" si="390"/>
        <v>29000</v>
      </c>
      <c r="AP2195" s="20">
        <f t="shared" si="391"/>
        <v>29000</v>
      </c>
      <c r="AQ2195" s="7"/>
      <c r="AR2195" s="20"/>
      <c r="AS2195" s="51"/>
    </row>
    <row r="2196" spans="1:48" s="21" customFormat="1" ht="30" customHeight="1" x14ac:dyDescent="0.2">
      <c r="A2196" s="8">
        <v>1885</v>
      </c>
      <c r="B2196" s="46">
        <v>1</v>
      </c>
      <c r="C2196" s="16" t="s">
        <v>52</v>
      </c>
      <c r="D2196" s="48">
        <v>2969</v>
      </c>
      <c r="E2196" s="47">
        <v>68</v>
      </c>
      <c r="F2196" s="48">
        <v>2036</v>
      </c>
      <c r="G2196" s="49">
        <v>2</v>
      </c>
      <c r="H2196" s="48">
        <v>0</v>
      </c>
      <c r="I2196" s="48">
        <v>1</v>
      </c>
      <c r="J2196" s="48">
        <v>42</v>
      </c>
      <c r="K2196" s="3"/>
      <c r="L2196" s="16">
        <v>142</v>
      </c>
      <c r="M2196" s="57"/>
      <c r="N2196" s="58"/>
      <c r="P2196" s="16">
        <v>2</v>
      </c>
      <c r="Q2196" s="20">
        <f t="shared" si="385"/>
        <v>142</v>
      </c>
      <c r="R2196" s="14">
        <v>250</v>
      </c>
      <c r="S2196" s="19">
        <f t="shared" si="386"/>
        <v>35500</v>
      </c>
      <c r="T2196" s="16"/>
      <c r="U2196" s="17"/>
      <c r="V2196" s="17"/>
      <c r="W2196" s="5"/>
      <c r="X2196" s="16"/>
      <c r="Y2196" s="5">
        <v>85</v>
      </c>
      <c r="Z2196" s="16"/>
      <c r="AA2196" s="16"/>
      <c r="AB2196" s="16">
        <f>62-41</f>
        <v>21</v>
      </c>
      <c r="AE2196" s="16"/>
      <c r="AG2196" s="22">
        <f t="shared" si="392"/>
        <v>85</v>
      </c>
      <c r="AH2196" s="6"/>
      <c r="AJ2196" s="20">
        <f t="shared" si="388"/>
        <v>0</v>
      </c>
      <c r="AK2196" s="50">
        <v>21</v>
      </c>
      <c r="AL2196" s="6"/>
      <c r="AM2196" s="20">
        <f t="shared" si="389"/>
        <v>0</v>
      </c>
      <c r="AN2196" s="20">
        <f t="shared" si="390"/>
        <v>35500</v>
      </c>
      <c r="AP2196" s="20">
        <f t="shared" si="391"/>
        <v>35500</v>
      </c>
      <c r="AQ2196" s="7"/>
      <c r="AR2196" s="20"/>
      <c r="AS2196" s="51"/>
    </row>
    <row r="2197" spans="1:48" s="21" customFormat="1" ht="30" customHeight="1" x14ac:dyDescent="0.2">
      <c r="A2197" s="131">
        <v>1886</v>
      </c>
      <c r="B2197" s="46">
        <v>1</v>
      </c>
      <c r="C2197" s="16" t="s">
        <v>52</v>
      </c>
      <c r="D2197" s="48">
        <v>1951</v>
      </c>
      <c r="E2197" s="47">
        <v>28</v>
      </c>
      <c r="F2197" s="48">
        <v>1308</v>
      </c>
      <c r="G2197" s="49">
        <v>2</v>
      </c>
      <c r="H2197" s="48">
        <v>2</v>
      </c>
      <c r="I2197" s="48">
        <v>0</v>
      </c>
      <c r="J2197" s="48">
        <v>54</v>
      </c>
      <c r="K2197" s="3">
        <f>854-L2197</f>
        <v>854</v>
      </c>
      <c r="L2197" s="16"/>
      <c r="M2197" s="57"/>
      <c r="N2197" s="58"/>
      <c r="P2197" s="16">
        <v>1</v>
      </c>
      <c r="Q2197" s="20">
        <f t="shared" si="385"/>
        <v>854</v>
      </c>
      <c r="R2197" s="14">
        <v>160</v>
      </c>
      <c r="S2197" s="19">
        <f t="shared" si="386"/>
        <v>136640</v>
      </c>
      <c r="T2197" s="16"/>
      <c r="U2197" s="17" t="s">
        <v>57</v>
      </c>
      <c r="V2197" s="17" t="s">
        <v>56</v>
      </c>
      <c r="W2197" s="5"/>
      <c r="X2197" s="16"/>
      <c r="Y2197" s="5">
        <v>164</v>
      </c>
      <c r="Z2197" s="16"/>
      <c r="AA2197" s="16"/>
      <c r="AB2197" s="16">
        <f>62-59</f>
        <v>3</v>
      </c>
      <c r="AC2197" s="21" t="s">
        <v>188</v>
      </c>
      <c r="AE2197" s="16"/>
      <c r="AG2197" s="22">
        <f t="shared" si="392"/>
        <v>164</v>
      </c>
      <c r="AH2197" s="6"/>
      <c r="AJ2197" s="20">
        <f t="shared" si="388"/>
        <v>0</v>
      </c>
      <c r="AK2197" s="50">
        <v>3</v>
      </c>
      <c r="AL2197" s="6"/>
      <c r="AM2197" s="20">
        <f t="shared" si="389"/>
        <v>0</v>
      </c>
      <c r="AN2197" s="20">
        <f t="shared" si="390"/>
        <v>136640</v>
      </c>
      <c r="AP2197" s="20">
        <f t="shared" si="391"/>
        <v>136640</v>
      </c>
      <c r="AQ2197" s="7"/>
      <c r="AR2197" s="20"/>
      <c r="AS2197" s="51"/>
    </row>
    <row r="2198" spans="1:48" s="21" customFormat="1" ht="30" customHeight="1" x14ac:dyDescent="0.2">
      <c r="A2198" s="131"/>
      <c r="B2198" s="46"/>
      <c r="C2198" s="16"/>
      <c r="D2198" s="48"/>
      <c r="E2198" s="47"/>
      <c r="F2198" s="48"/>
      <c r="G2198" s="49"/>
      <c r="H2198" s="48"/>
      <c r="I2198" s="48"/>
      <c r="J2198" s="48"/>
      <c r="K2198" s="3"/>
      <c r="L2198" s="16"/>
      <c r="M2198" s="57"/>
      <c r="N2198" s="58"/>
      <c r="P2198" s="16"/>
      <c r="Q2198" s="20">
        <f t="shared" si="385"/>
        <v>0</v>
      </c>
      <c r="R2198" s="14" t="e">
        <v>#N/A</v>
      </c>
      <c r="S2198" s="20" t="e">
        <f t="shared" si="386"/>
        <v>#N/A</v>
      </c>
      <c r="T2198" s="16"/>
      <c r="U2198" s="17" t="s">
        <v>57</v>
      </c>
      <c r="V2198" s="17" t="s">
        <v>56</v>
      </c>
      <c r="W2198" s="5"/>
      <c r="X2198" s="16"/>
      <c r="Y2198" s="5">
        <v>105</v>
      </c>
      <c r="Z2198" s="16"/>
      <c r="AA2198" s="16"/>
      <c r="AB2198" s="16">
        <f>62-31</f>
        <v>31</v>
      </c>
      <c r="AE2198" s="16"/>
      <c r="AG2198" s="22">
        <f t="shared" si="392"/>
        <v>105</v>
      </c>
      <c r="AH2198" s="6"/>
      <c r="AJ2198" s="20">
        <f t="shared" si="388"/>
        <v>0</v>
      </c>
      <c r="AK2198" s="50">
        <v>31</v>
      </c>
      <c r="AL2198" s="6"/>
      <c r="AM2198" s="20">
        <f t="shared" si="389"/>
        <v>0</v>
      </c>
      <c r="AN2198" s="20" t="e">
        <f t="shared" si="390"/>
        <v>#N/A</v>
      </c>
      <c r="AP2198" s="20" t="e">
        <f t="shared" si="391"/>
        <v>#N/A</v>
      </c>
      <c r="AQ2198" s="7"/>
      <c r="AR2198" s="20"/>
      <c r="AS2198" s="51"/>
    </row>
    <row r="2199" spans="1:48" s="21" customFormat="1" ht="30" customHeight="1" x14ac:dyDescent="0.2">
      <c r="A2199" s="131"/>
      <c r="B2199" s="46"/>
      <c r="C2199" s="16"/>
      <c r="D2199" s="48"/>
      <c r="E2199" s="47"/>
      <c r="F2199" s="48"/>
      <c r="G2199" s="49"/>
      <c r="H2199" s="48"/>
      <c r="I2199" s="48"/>
      <c r="J2199" s="48"/>
      <c r="K2199" s="3"/>
      <c r="L2199" s="16"/>
      <c r="M2199" s="57"/>
      <c r="N2199" s="58"/>
      <c r="P2199" s="16"/>
      <c r="Q2199" s="20">
        <f t="shared" si="385"/>
        <v>0</v>
      </c>
      <c r="R2199" s="14" t="e">
        <v>#N/A</v>
      </c>
      <c r="S2199" s="19" t="e">
        <f t="shared" si="386"/>
        <v>#N/A</v>
      </c>
      <c r="T2199" s="16"/>
      <c r="U2199" s="17" t="s">
        <v>57</v>
      </c>
      <c r="V2199" s="17" t="s">
        <v>56</v>
      </c>
      <c r="W2199" s="5"/>
      <c r="X2199" s="16"/>
      <c r="Y2199" s="5">
        <v>60</v>
      </c>
      <c r="Z2199" s="16"/>
      <c r="AA2199" s="16"/>
      <c r="AB2199" s="16">
        <v>2</v>
      </c>
      <c r="AC2199" s="21" t="s">
        <v>188</v>
      </c>
      <c r="AE2199" s="16"/>
      <c r="AG2199" s="22">
        <f t="shared" si="392"/>
        <v>60</v>
      </c>
      <c r="AH2199" s="6"/>
      <c r="AJ2199" s="20">
        <f t="shared" si="388"/>
        <v>0</v>
      </c>
      <c r="AK2199" s="50">
        <v>2</v>
      </c>
      <c r="AL2199" s="6"/>
      <c r="AM2199" s="20">
        <f t="shared" si="389"/>
        <v>0</v>
      </c>
      <c r="AN2199" s="20" t="e">
        <f t="shared" si="390"/>
        <v>#N/A</v>
      </c>
      <c r="AP2199" s="20" t="e">
        <f t="shared" si="391"/>
        <v>#N/A</v>
      </c>
      <c r="AQ2199" s="7"/>
      <c r="AR2199" s="20"/>
      <c r="AS2199" s="51"/>
    </row>
    <row r="2200" spans="1:48" s="21" customFormat="1" ht="30" customHeight="1" x14ac:dyDescent="0.2">
      <c r="A2200" s="8">
        <v>1887</v>
      </c>
      <c r="B2200" s="46">
        <v>2</v>
      </c>
      <c r="C2200" s="16" t="s">
        <v>52</v>
      </c>
      <c r="D2200" s="48">
        <v>30098</v>
      </c>
      <c r="E2200" s="47">
        <v>52</v>
      </c>
      <c r="F2200" s="48">
        <v>5777</v>
      </c>
      <c r="G2200" s="49">
        <v>2</v>
      </c>
      <c r="H2200" s="48">
        <v>0</v>
      </c>
      <c r="I2200" s="48">
        <v>0</v>
      </c>
      <c r="J2200" s="48">
        <v>27</v>
      </c>
      <c r="K2200" s="3">
        <v>27</v>
      </c>
      <c r="L2200" s="16"/>
      <c r="M2200" s="57"/>
      <c r="N2200" s="58"/>
      <c r="P2200" s="16">
        <v>1</v>
      </c>
      <c r="Q2200" s="20">
        <f t="shared" si="385"/>
        <v>27</v>
      </c>
      <c r="R2200" s="14">
        <v>160</v>
      </c>
      <c r="S2200" s="19">
        <f t="shared" si="386"/>
        <v>4320</v>
      </c>
      <c r="T2200" s="16"/>
      <c r="U2200" s="17"/>
      <c r="V2200" s="17"/>
      <c r="W2200" s="5"/>
      <c r="X2200" s="16"/>
      <c r="Y2200" s="5"/>
      <c r="Z2200" s="16"/>
      <c r="AA2200" s="16"/>
      <c r="AB2200" s="16"/>
      <c r="AE2200" s="16"/>
      <c r="AG2200" s="22">
        <f t="shared" si="392"/>
        <v>0</v>
      </c>
      <c r="AH2200" s="6"/>
      <c r="AJ2200" s="20">
        <f t="shared" si="388"/>
        <v>0</v>
      </c>
      <c r="AK2200" s="50"/>
      <c r="AL2200" s="6"/>
      <c r="AM2200" s="20">
        <f t="shared" si="389"/>
        <v>0</v>
      </c>
      <c r="AN2200" s="20">
        <f t="shared" si="390"/>
        <v>4320</v>
      </c>
      <c r="AP2200" s="20">
        <f t="shared" si="391"/>
        <v>4320</v>
      </c>
      <c r="AQ2200" s="7"/>
      <c r="AR2200" s="20"/>
      <c r="AS2200" s="51"/>
    </row>
    <row r="2201" spans="1:48" ht="30" customHeight="1" x14ac:dyDescent="0.2">
      <c r="A2201" s="2">
        <v>1888</v>
      </c>
      <c r="B2201" s="13">
        <v>3</v>
      </c>
      <c r="C2201" s="16" t="s">
        <v>65</v>
      </c>
      <c r="D2201" s="17">
        <v>882</v>
      </c>
      <c r="E2201" s="17">
        <v>168</v>
      </c>
      <c r="H2201" s="17">
        <v>4</v>
      </c>
      <c r="I2201" s="17">
        <v>3</v>
      </c>
      <c r="J2201" s="17">
        <v>23</v>
      </c>
      <c r="K2201" s="10">
        <v>1923</v>
      </c>
      <c r="Q2201" s="20">
        <f t="shared" si="385"/>
        <v>1923</v>
      </c>
      <c r="R2201" s="14">
        <v>200</v>
      </c>
      <c r="S2201" s="20">
        <f t="shared" si="386"/>
        <v>384600</v>
      </c>
      <c r="AE2201" s="17" t="s">
        <v>94</v>
      </c>
      <c r="AG2201" s="22">
        <f t="shared" si="392"/>
        <v>0</v>
      </c>
      <c r="AJ2201" s="20">
        <f t="shared" si="388"/>
        <v>0</v>
      </c>
      <c r="AM2201" s="20">
        <f t="shared" si="389"/>
        <v>0</v>
      </c>
      <c r="AN2201" s="20">
        <f t="shared" si="390"/>
        <v>384600</v>
      </c>
      <c r="AP2201" s="20">
        <f t="shared" si="391"/>
        <v>384600</v>
      </c>
      <c r="AQ2201" s="12">
        <v>1E-4</v>
      </c>
      <c r="AR2201" s="20"/>
    </row>
    <row r="2202" spans="1:48" s="21" customFormat="1" ht="30" customHeight="1" x14ac:dyDescent="0.2">
      <c r="A2202" s="8">
        <v>1889</v>
      </c>
      <c r="B2202" s="46">
        <v>1</v>
      </c>
      <c r="C2202" s="16" t="s">
        <v>52</v>
      </c>
      <c r="D2202" s="48">
        <v>1827</v>
      </c>
      <c r="E2202" s="47">
        <v>128</v>
      </c>
      <c r="F2202" s="48">
        <v>1217</v>
      </c>
      <c r="G2202" s="49">
        <v>2</v>
      </c>
      <c r="H2202" s="48">
        <v>1</v>
      </c>
      <c r="I2202" s="48">
        <v>3</v>
      </c>
      <c r="J2202" s="48">
        <v>24</v>
      </c>
      <c r="K2202" s="3">
        <f>400+324</f>
        <v>724</v>
      </c>
      <c r="L2202" s="16"/>
      <c r="M2202" s="57"/>
      <c r="N2202" s="58"/>
      <c r="P2202" s="16">
        <v>1</v>
      </c>
      <c r="Q2202" s="20">
        <f t="shared" si="385"/>
        <v>724</v>
      </c>
      <c r="R2202" s="14">
        <v>375</v>
      </c>
      <c r="S2202" s="19">
        <f t="shared" si="386"/>
        <v>271500</v>
      </c>
      <c r="T2202" s="16"/>
      <c r="U2202" s="17"/>
      <c r="V2202" s="17"/>
      <c r="W2202" s="5"/>
      <c r="X2202" s="16"/>
      <c r="Y2202" s="5"/>
      <c r="Z2202" s="16"/>
      <c r="AA2202" s="16"/>
      <c r="AB2202" s="16"/>
      <c r="AE2202" s="16"/>
      <c r="AG2202" s="22">
        <f t="shared" si="392"/>
        <v>0</v>
      </c>
      <c r="AH2202" s="6"/>
      <c r="AJ2202" s="20">
        <f t="shared" si="388"/>
        <v>0</v>
      </c>
      <c r="AK2202" s="50"/>
      <c r="AL2202" s="6"/>
      <c r="AM2202" s="20">
        <f t="shared" si="389"/>
        <v>0</v>
      </c>
      <c r="AN2202" s="20">
        <f t="shared" si="390"/>
        <v>271500</v>
      </c>
      <c r="AP2202" s="20">
        <f t="shared" si="391"/>
        <v>271500</v>
      </c>
      <c r="AQ2202" s="7"/>
      <c r="AR2202" s="20"/>
      <c r="AS2202" s="51">
        <v>117</v>
      </c>
    </row>
    <row r="2203" spans="1:48" s="21" customFormat="1" ht="30" customHeight="1" x14ac:dyDescent="0.2">
      <c r="A2203" s="2">
        <v>1890</v>
      </c>
      <c r="B2203" s="46">
        <v>2</v>
      </c>
      <c r="C2203" s="16" t="s">
        <v>52</v>
      </c>
      <c r="D2203" s="48">
        <v>1828</v>
      </c>
      <c r="E2203" s="47">
        <v>127</v>
      </c>
      <c r="F2203" s="48">
        <v>1218</v>
      </c>
      <c r="G2203" s="49">
        <v>2</v>
      </c>
      <c r="H2203" s="48">
        <v>0</v>
      </c>
      <c r="I2203" s="48">
        <v>1</v>
      </c>
      <c r="J2203" s="48">
        <v>34</v>
      </c>
      <c r="K2203" s="3"/>
      <c r="L2203" s="16">
        <v>130</v>
      </c>
      <c r="M2203" s="57">
        <v>4</v>
      </c>
      <c r="N2203" s="58"/>
      <c r="P2203" s="16">
        <v>2</v>
      </c>
      <c r="Q2203" s="20">
        <f t="shared" si="385"/>
        <v>134</v>
      </c>
      <c r="R2203" s="14">
        <v>2000</v>
      </c>
      <c r="S2203" s="19">
        <f t="shared" si="386"/>
        <v>268000</v>
      </c>
      <c r="T2203" s="16"/>
      <c r="U2203" s="17" t="s">
        <v>57</v>
      </c>
      <c r="V2203" s="17" t="s">
        <v>56</v>
      </c>
      <c r="W2203" s="5"/>
      <c r="X2203" s="16"/>
      <c r="Y2203" s="5">
        <f>264-6</f>
        <v>258</v>
      </c>
      <c r="Z2203" s="16"/>
      <c r="AA2203" s="16"/>
      <c r="AB2203" s="16">
        <v>38</v>
      </c>
      <c r="AE2203" s="16">
        <f>16/258</f>
        <v>6.2015503875968991E-2</v>
      </c>
      <c r="AF2203" s="21">
        <v>2</v>
      </c>
      <c r="AG2203" s="22">
        <f t="shared" si="392"/>
        <v>258</v>
      </c>
      <c r="AH2203" s="6">
        <v>0.94</v>
      </c>
      <c r="AI2203" s="21">
        <v>7250</v>
      </c>
      <c r="AJ2203" s="20">
        <f t="shared" si="388"/>
        <v>1758269.9999999998</v>
      </c>
      <c r="AK2203" s="50">
        <v>38</v>
      </c>
      <c r="AL2203" s="6">
        <v>0.66</v>
      </c>
      <c r="AM2203" s="20">
        <f t="shared" si="389"/>
        <v>597811.79999999981</v>
      </c>
      <c r="AN2203" s="20">
        <f t="shared" si="390"/>
        <v>865811.79999999981</v>
      </c>
      <c r="AP2203" s="20">
        <f t="shared" si="391"/>
        <v>865811.79999999981</v>
      </c>
      <c r="AQ2203" s="7"/>
      <c r="AR2203" s="20">
        <v>117</v>
      </c>
      <c r="AS2203" s="51"/>
    </row>
    <row r="2204" spans="1:48" s="21" customFormat="1" ht="30" customHeight="1" x14ac:dyDescent="0.2">
      <c r="A2204" s="2"/>
      <c r="B2204" s="46"/>
      <c r="C2204" s="16"/>
      <c r="D2204" s="48"/>
      <c r="E2204" s="47"/>
      <c r="F2204" s="48"/>
      <c r="G2204" s="49"/>
      <c r="H2204" s="48"/>
      <c r="I2204" s="48"/>
      <c r="J2204" s="48"/>
      <c r="K2204" s="3"/>
      <c r="L2204" s="16"/>
      <c r="M2204" s="57"/>
      <c r="N2204" s="58"/>
      <c r="P2204" s="16"/>
      <c r="Q2204" s="20"/>
      <c r="R2204" s="14" t="e">
        <v>#N/A</v>
      </c>
      <c r="S2204" s="19"/>
      <c r="T2204" s="16"/>
      <c r="U2204" s="17"/>
      <c r="V2204" s="17"/>
      <c r="W2204" s="5"/>
      <c r="X2204" s="16"/>
      <c r="Y2204" s="5"/>
      <c r="Z2204" s="16">
        <v>16</v>
      </c>
      <c r="AA2204" s="16"/>
      <c r="AB2204" s="16"/>
      <c r="AE2204" s="16"/>
      <c r="AF2204" s="21">
        <v>3</v>
      </c>
      <c r="AG2204" s="22">
        <v>258</v>
      </c>
      <c r="AH2204" s="6">
        <v>0.06</v>
      </c>
      <c r="AI2204" s="21">
        <v>7250</v>
      </c>
      <c r="AJ2204" s="20">
        <f t="shared" si="388"/>
        <v>112229.99999999999</v>
      </c>
      <c r="AK2204" s="50">
        <v>38</v>
      </c>
      <c r="AL2204" s="6">
        <v>0.66</v>
      </c>
      <c r="AM2204" s="20">
        <f t="shared" si="389"/>
        <v>38158.199999999997</v>
      </c>
      <c r="AN2204" s="20">
        <f>+(S2203*AH2204)+AM2204</f>
        <v>54238.2</v>
      </c>
      <c r="AP2204" s="20">
        <f t="shared" si="391"/>
        <v>54238.2</v>
      </c>
      <c r="AQ2204" s="7">
        <v>3.0000000000000001E-3</v>
      </c>
      <c r="AR2204" s="20"/>
      <c r="AS2204" s="51"/>
    </row>
    <row r="2205" spans="1:48" s="21" customFormat="1" ht="30" customHeight="1" x14ac:dyDescent="0.2">
      <c r="A2205" s="8">
        <v>1891</v>
      </c>
      <c r="B2205" s="46">
        <v>3</v>
      </c>
      <c r="C2205" s="16" t="s">
        <v>52</v>
      </c>
      <c r="D2205" s="48">
        <v>3595</v>
      </c>
      <c r="E2205" s="47">
        <v>53</v>
      </c>
      <c r="F2205" s="48">
        <v>2226</v>
      </c>
      <c r="G2205" s="49">
        <v>2</v>
      </c>
      <c r="H2205" s="48">
        <v>4</v>
      </c>
      <c r="I2205" s="48">
        <v>2</v>
      </c>
      <c r="J2205" s="48">
        <v>85</v>
      </c>
      <c r="K2205" s="3">
        <v>1885</v>
      </c>
      <c r="L2205" s="16"/>
      <c r="M2205" s="57"/>
      <c r="N2205" s="58"/>
      <c r="P2205" s="16">
        <v>1</v>
      </c>
      <c r="Q2205" s="20">
        <f t="shared" si="385"/>
        <v>1885</v>
      </c>
      <c r="R2205" s="14">
        <v>200</v>
      </c>
      <c r="S2205" s="20">
        <f t="shared" si="386"/>
        <v>377000</v>
      </c>
      <c r="T2205" s="16"/>
      <c r="U2205" s="17"/>
      <c r="V2205" s="17"/>
      <c r="W2205" s="5"/>
      <c r="X2205" s="16"/>
      <c r="Y2205" s="5"/>
      <c r="Z2205" s="16"/>
      <c r="AA2205" s="16"/>
      <c r="AB2205" s="16"/>
      <c r="AE2205" s="16"/>
      <c r="AG2205" s="22">
        <f t="shared" si="392"/>
        <v>0</v>
      </c>
      <c r="AH2205" s="6"/>
      <c r="AJ2205" s="20">
        <f t="shared" si="388"/>
        <v>0</v>
      </c>
      <c r="AK2205" s="50"/>
      <c r="AL2205" s="6"/>
      <c r="AM2205" s="20">
        <f t="shared" si="389"/>
        <v>0</v>
      </c>
      <c r="AN2205" s="20">
        <f t="shared" ref="AN2205:AN2241" si="393">+S2205+AM2205</f>
        <v>377000</v>
      </c>
      <c r="AP2205" s="20">
        <f t="shared" si="391"/>
        <v>377000</v>
      </c>
      <c r="AQ2205" s="7"/>
      <c r="AR2205" s="20"/>
      <c r="AS2205" s="51"/>
    </row>
    <row r="2206" spans="1:48" s="21" customFormat="1" ht="30" customHeight="1" x14ac:dyDescent="0.2">
      <c r="A2206" s="2">
        <v>1892</v>
      </c>
      <c r="B2206" s="46">
        <v>4</v>
      </c>
      <c r="C2206" s="16" t="s">
        <v>52</v>
      </c>
      <c r="D2206" s="48">
        <v>33213</v>
      </c>
      <c r="E2206" s="47">
        <v>256</v>
      </c>
      <c r="F2206" s="48">
        <v>6450</v>
      </c>
      <c r="G2206" s="49">
        <v>2</v>
      </c>
      <c r="H2206" s="48">
        <v>2</v>
      </c>
      <c r="I2206" s="48">
        <v>0</v>
      </c>
      <c r="J2206" s="48">
        <v>23</v>
      </c>
      <c r="K2206" s="3">
        <v>823</v>
      </c>
      <c r="L2206" s="16"/>
      <c r="M2206" s="57"/>
      <c r="N2206" s="58"/>
      <c r="P2206" s="16">
        <v>1</v>
      </c>
      <c r="Q2206" s="20">
        <f t="shared" si="385"/>
        <v>823</v>
      </c>
      <c r="R2206" s="14">
        <v>160</v>
      </c>
      <c r="S2206" s="19">
        <f t="shared" si="386"/>
        <v>131680</v>
      </c>
      <c r="T2206" s="16"/>
      <c r="U2206" s="17"/>
      <c r="V2206" s="17"/>
      <c r="W2206" s="5"/>
      <c r="X2206" s="16"/>
      <c r="Y2206" s="5"/>
      <c r="Z2206" s="16"/>
      <c r="AA2206" s="16"/>
      <c r="AB2206" s="16"/>
      <c r="AE2206" s="16"/>
      <c r="AG2206" s="22">
        <f t="shared" si="392"/>
        <v>0</v>
      </c>
      <c r="AH2206" s="6"/>
      <c r="AJ2206" s="20">
        <f t="shared" si="388"/>
        <v>0</v>
      </c>
      <c r="AK2206" s="50"/>
      <c r="AL2206" s="6"/>
      <c r="AM2206" s="20">
        <f t="shared" si="389"/>
        <v>0</v>
      </c>
      <c r="AN2206" s="20">
        <f t="shared" si="393"/>
        <v>131680</v>
      </c>
      <c r="AP2206" s="20">
        <f t="shared" si="391"/>
        <v>131680</v>
      </c>
      <c r="AQ2206" s="7"/>
      <c r="AR2206" s="20"/>
      <c r="AS2206" s="51"/>
    </row>
    <row r="2207" spans="1:48" s="21" customFormat="1" ht="30" customHeight="1" x14ac:dyDescent="0.2">
      <c r="A2207" s="8">
        <v>1893</v>
      </c>
      <c r="B2207" s="46">
        <v>1</v>
      </c>
      <c r="C2207" s="16" t="s">
        <v>52</v>
      </c>
      <c r="D2207" s="48">
        <v>1440</v>
      </c>
      <c r="E2207" s="47">
        <v>18</v>
      </c>
      <c r="F2207" s="48">
        <v>881</v>
      </c>
      <c r="G2207" s="49">
        <v>2</v>
      </c>
      <c r="H2207" s="48">
        <v>0</v>
      </c>
      <c r="I2207" s="48">
        <v>2</v>
      </c>
      <c r="J2207" s="48">
        <v>56</v>
      </c>
      <c r="K2207" s="3"/>
      <c r="L2207" s="16">
        <v>256</v>
      </c>
      <c r="M2207" s="57"/>
      <c r="N2207" s="58"/>
      <c r="P2207" s="16">
        <v>2</v>
      </c>
      <c r="Q2207" s="20">
        <f t="shared" si="385"/>
        <v>256</v>
      </c>
      <c r="R2207" s="14">
        <v>160</v>
      </c>
      <c r="S2207" s="19">
        <f t="shared" si="386"/>
        <v>40960</v>
      </c>
      <c r="T2207" s="16"/>
      <c r="U2207" s="17" t="s">
        <v>57</v>
      </c>
      <c r="V2207" s="17" t="s">
        <v>56</v>
      </c>
      <c r="W2207" s="5"/>
      <c r="X2207" s="16"/>
      <c r="Y2207" s="5">
        <v>250</v>
      </c>
      <c r="Z2207" s="16"/>
      <c r="AA2207" s="16"/>
      <c r="AB2207" s="16">
        <f>62-37</f>
        <v>25</v>
      </c>
      <c r="AE2207" s="16"/>
      <c r="AG2207" s="22">
        <f t="shared" si="392"/>
        <v>250</v>
      </c>
      <c r="AH2207" s="6"/>
      <c r="AJ2207" s="20">
        <f t="shared" si="388"/>
        <v>0</v>
      </c>
      <c r="AK2207" s="50">
        <v>25</v>
      </c>
      <c r="AL2207" s="6"/>
      <c r="AM2207" s="20">
        <f t="shared" si="389"/>
        <v>0</v>
      </c>
      <c r="AN2207" s="20">
        <f t="shared" si="393"/>
        <v>40960</v>
      </c>
      <c r="AP2207" s="20">
        <f t="shared" si="391"/>
        <v>40960</v>
      </c>
      <c r="AQ2207" s="7"/>
      <c r="AR2207" s="60"/>
      <c r="AS2207" s="128">
        <v>23</v>
      </c>
    </row>
    <row r="2208" spans="1:48" s="21" customFormat="1" ht="30" customHeight="1" x14ac:dyDescent="0.2">
      <c r="A2208" s="2">
        <v>1894</v>
      </c>
      <c r="B2208" s="46">
        <v>2</v>
      </c>
      <c r="C2208" s="16" t="s">
        <v>52</v>
      </c>
      <c r="D2208" s="48">
        <v>11645</v>
      </c>
      <c r="E2208" s="47">
        <v>150</v>
      </c>
      <c r="F2208" s="48">
        <v>3166</v>
      </c>
      <c r="G2208" s="49">
        <v>2</v>
      </c>
      <c r="H2208" s="48">
        <v>2</v>
      </c>
      <c r="I2208" s="48">
        <v>2</v>
      </c>
      <c r="J2208" s="48">
        <v>21.05</v>
      </c>
      <c r="K2208" s="3">
        <f>800+221.05</f>
        <v>1021.05</v>
      </c>
      <c r="L2208" s="16"/>
      <c r="M2208" s="57"/>
      <c r="N2208" s="58"/>
      <c r="P2208" s="16">
        <v>1</v>
      </c>
      <c r="Q2208" s="20">
        <f t="shared" si="385"/>
        <v>1021.05</v>
      </c>
      <c r="R2208" s="14">
        <v>160</v>
      </c>
      <c r="S2208" s="20">
        <f t="shared" si="386"/>
        <v>163368</v>
      </c>
      <c r="T2208" s="16"/>
      <c r="U2208" s="17"/>
      <c r="V2208" s="17"/>
      <c r="W2208" s="5"/>
      <c r="X2208" s="16"/>
      <c r="Y2208" s="5"/>
      <c r="Z2208" s="16"/>
      <c r="AA2208" s="16"/>
      <c r="AB2208" s="16"/>
      <c r="AE2208" s="16"/>
      <c r="AG2208" s="22">
        <f t="shared" si="392"/>
        <v>0</v>
      </c>
      <c r="AH2208" s="6"/>
      <c r="AJ2208" s="20">
        <f t="shared" si="388"/>
        <v>0</v>
      </c>
      <c r="AK2208" s="50"/>
      <c r="AL2208" s="6"/>
      <c r="AM2208" s="20">
        <f t="shared" si="389"/>
        <v>0</v>
      </c>
      <c r="AN2208" s="20">
        <f t="shared" si="393"/>
        <v>163368</v>
      </c>
      <c r="AP2208" s="20">
        <f t="shared" si="391"/>
        <v>163368</v>
      </c>
      <c r="AQ2208" s="7"/>
      <c r="AR2208" s="24"/>
      <c r="AS2208" s="129"/>
    </row>
    <row r="2209" spans="1:45" ht="30" customHeight="1" x14ac:dyDescent="0.2">
      <c r="A2209" s="8">
        <v>1895</v>
      </c>
      <c r="B2209" s="13">
        <v>3</v>
      </c>
      <c r="C2209" s="16" t="s">
        <v>69</v>
      </c>
      <c r="E2209" s="17">
        <v>161</v>
      </c>
      <c r="F2209" s="17">
        <v>9</v>
      </c>
      <c r="G2209" s="13">
        <v>2</v>
      </c>
      <c r="H2209" s="17">
        <v>4</v>
      </c>
      <c r="I2209" s="17">
        <v>3</v>
      </c>
      <c r="J2209" s="17">
        <v>99</v>
      </c>
      <c r="K2209" s="10">
        <v>1999</v>
      </c>
      <c r="P2209" s="17">
        <v>1</v>
      </c>
      <c r="Q2209" s="20">
        <f t="shared" si="385"/>
        <v>1999</v>
      </c>
      <c r="R2209" s="14">
        <v>160</v>
      </c>
      <c r="S2209" s="19">
        <f t="shared" si="386"/>
        <v>319840</v>
      </c>
      <c r="AG2209" s="22">
        <f t="shared" si="392"/>
        <v>0</v>
      </c>
      <c r="AJ2209" s="20">
        <f t="shared" si="388"/>
        <v>0</v>
      </c>
      <c r="AM2209" s="20">
        <f t="shared" si="389"/>
        <v>0</v>
      </c>
      <c r="AN2209" s="20">
        <f t="shared" si="393"/>
        <v>319840</v>
      </c>
      <c r="AP2209" s="20">
        <f t="shared" si="391"/>
        <v>319840</v>
      </c>
      <c r="AQ2209" s="12">
        <v>1E-4</v>
      </c>
      <c r="AR2209" s="25"/>
      <c r="AS2209" s="130"/>
    </row>
    <row r="2210" spans="1:45" s="21" customFormat="1" ht="30" customHeight="1" x14ac:dyDescent="0.2">
      <c r="A2210" s="2">
        <v>1896</v>
      </c>
      <c r="B2210" s="46">
        <v>1</v>
      </c>
      <c r="C2210" s="16" t="s">
        <v>52</v>
      </c>
      <c r="D2210" s="48">
        <v>33212</v>
      </c>
      <c r="E2210" s="47">
        <v>255</v>
      </c>
      <c r="F2210" s="48">
        <v>6449</v>
      </c>
      <c r="G2210" s="49">
        <v>2</v>
      </c>
      <c r="H2210" s="48">
        <v>0</v>
      </c>
      <c r="I2210" s="48">
        <v>1</v>
      </c>
      <c r="J2210" s="48">
        <v>37</v>
      </c>
      <c r="K2210" s="3"/>
      <c r="L2210" s="16"/>
      <c r="M2210" s="57"/>
      <c r="N2210" s="58"/>
      <c r="P2210" s="16">
        <v>2</v>
      </c>
      <c r="Q2210" s="20">
        <f t="shared" si="385"/>
        <v>137</v>
      </c>
      <c r="R2210" s="14">
        <v>2000</v>
      </c>
      <c r="S2210" s="19">
        <f t="shared" si="386"/>
        <v>274000</v>
      </c>
      <c r="T2210" s="16"/>
      <c r="U2210" s="17"/>
      <c r="V2210" s="17"/>
      <c r="W2210" s="5"/>
      <c r="X2210" s="16"/>
      <c r="Y2210" s="5">
        <v>66</v>
      </c>
      <c r="Z2210" s="16"/>
      <c r="AA2210" s="16"/>
      <c r="AB2210" s="16">
        <f>62-27</f>
        <v>35</v>
      </c>
      <c r="AE2210" s="16"/>
      <c r="AG2210" s="22">
        <f t="shared" si="392"/>
        <v>66</v>
      </c>
      <c r="AH2210" s="6"/>
      <c r="AJ2210" s="20">
        <f t="shared" si="388"/>
        <v>0</v>
      </c>
      <c r="AK2210" s="50">
        <v>35</v>
      </c>
      <c r="AL2210" s="6"/>
      <c r="AM2210" s="20">
        <f t="shared" si="389"/>
        <v>0</v>
      </c>
      <c r="AN2210" s="20">
        <f t="shared" si="393"/>
        <v>274000</v>
      </c>
      <c r="AP2210" s="20">
        <f t="shared" si="391"/>
        <v>274000</v>
      </c>
      <c r="AQ2210" s="7"/>
      <c r="AR2210" s="20"/>
      <c r="AS2210" s="51"/>
    </row>
    <row r="2211" spans="1:45" s="21" customFormat="1" ht="30" customHeight="1" x14ac:dyDescent="0.2">
      <c r="A2211" s="8">
        <v>1897</v>
      </c>
      <c r="B2211" s="46">
        <v>1</v>
      </c>
      <c r="C2211" s="16" t="s">
        <v>52</v>
      </c>
      <c r="D2211" s="48">
        <v>30991</v>
      </c>
      <c r="E2211" s="47">
        <v>99</v>
      </c>
      <c r="F2211" s="48">
        <v>5943</v>
      </c>
      <c r="G2211" s="49">
        <v>2</v>
      </c>
      <c r="H2211" s="48">
        <v>3</v>
      </c>
      <c r="I2211" s="48">
        <v>3</v>
      </c>
      <c r="J2211" s="48">
        <v>77.010000000000005</v>
      </c>
      <c r="K2211" s="3">
        <f>1200+377.01</f>
        <v>1577.01</v>
      </c>
      <c r="L2211" s="16"/>
      <c r="M2211" s="57"/>
      <c r="N2211" s="58"/>
      <c r="P2211" s="16">
        <v>1</v>
      </c>
      <c r="Q2211" s="20">
        <f t="shared" si="385"/>
        <v>1577.01</v>
      </c>
      <c r="R2211" s="14">
        <v>160</v>
      </c>
      <c r="S2211" s="20">
        <f t="shared" si="386"/>
        <v>252321.6</v>
      </c>
      <c r="T2211" s="16"/>
      <c r="U2211" s="17"/>
      <c r="V2211" s="17"/>
      <c r="W2211" s="5"/>
      <c r="X2211" s="16"/>
      <c r="Y2211" s="5"/>
      <c r="Z2211" s="16"/>
      <c r="AA2211" s="16"/>
      <c r="AB2211" s="16"/>
      <c r="AE2211" s="16"/>
      <c r="AG2211" s="22">
        <f t="shared" si="392"/>
        <v>0</v>
      </c>
      <c r="AH2211" s="6"/>
      <c r="AJ2211" s="20">
        <f t="shared" si="388"/>
        <v>0</v>
      </c>
      <c r="AK2211" s="50"/>
      <c r="AL2211" s="6"/>
      <c r="AM2211" s="20">
        <f t="shared" si="389"/>
        <v>0</v>
      </c>
      <c r="AN2211" s="20">
        <f t="shared" si="393"/>
        <v>252321.6</v>
      </c>
      <c r="AP2211" s="20">
        <f t="shared" si="391"/>
        <v>252321.6</v>
      </c>
      <c r="AQ2211" s="7"/>
      <c r="AR2211" s="20"/>
      <c r="AS2211" s="51"/>
    </row>
    <row r="2212" spans="1:45" s="21" customFormat="1" ht="30" customHeight="1" x14ac:dyDescent="0.2">
      <c r="A2212" s="2">
        <v>1898</v>
      </c>
      <c r="B2212" s="46">
        <v>1</v>
      </c>
      <c r="C2212" s="16" t="s">
        <v>52</v>
      </c>
      <c r="D2212" s="48">
        <v>3427</v>
      </c>
      <c r="E2212" s="47">
        <v>20</v>
      </c>
      <c r="F2212" s="48">
        <v>2201</v>
      </c>
      <c r="G2212" s="49">
        <v>2</v>
      </c>
      <c r="H2212" s="48">
        <v>0</v>
      </c>
      <c r="I2212" s="48">
        <v>1</v>
      </c>
      <c r="J2212" s="48">
        <v>17</v>
      </c>
      <c r="K2212" s="3"/>
      <c r="L2212" s="16">
        <v>117</v>
      </c>
      <c r="M2212" s="57"/>
      <c r="N2212" s="58"/>
      <c r="P2212" s="16">
        <v>2</v>
      </c>
      <c r="Q2212" s="20">
        <f t="shared" si="385"/>
        <v>117</v>
      </c>
      <c r="R2212" s="14">
        <v>200</v>
      </c>
      <c r="S2212" s="19">
        <f t="shared" si="386"/>
        <v>23400</v>
      </c>
      <c r="T2212" s="16"/>
      <c r="U2212" s="17" t="s">
        <v>57</v>
      </c>
      <c r="V2212" s="17" t="s">
        <v>56</v>
      </c>
      <c r="W2212" s="5"/>
      <c r="X2212" s="16"/>
      <c r="Y2212" s="5">
        <v>117</v>
      </c>
      <c r="Z2212" s="16"/>
      <c r="AA2212" s="16"/>
      <c r="AB2212" s="16">
        <f>62-42</f>
        <v>20</v>
      </c>
      <c r="AC2212" s="14"/>
      <c r="AD2212" s="14"/>
      <c r="AE2212" s="16"/>
      <c r="AG2212" s="22">
        <f t="shared" si="392"/>
        <v>117</v>
      </c>
      <c r="AH2212" s="6"/>
      <c r="AJ2212" s="20">
        <f t="shared" si="388"/>
        <v>0</v>
      </c>
      <c r="AK2212" s="50">
        <v>20</v>
      </c>
      <c r="AL2212" s="6"/>
      <c r="AM2212" s="20">
        <f t="shared" si="389"/>
        <v>0</v>
      </c>
      <c r="AN2212" s="20">
        <f t="shared" si="393"/>
        <v>23400</v>
      </c>
      <c r="AP2212" s="20">
        <f t="shared" si="391"/>
        <v>23400</v>
      </c>
      <c r="AQ2212" s="7"/>
      <c r="AR2212" s="20"/>
      <c r="AS2212" s="51"/>
    </row>
    <row r="2213" spans="1:45" s="21" customFormat="1" ht="30" customHeight="1" x14ac:dyDescent="0.2">
      <c r="A2213" s="8">
        <v>1899</v>
      </c>
      <c r="B2213" s="46">
        <v>2</v>
      </c>
      <c r="C2213" s="16" t="s">
        <v>52</v>
      </c>
      <c r="D2213" s="48">
        <v>25652</v>
      </c>
      <c r="E2213" s="47">
        <v>82</v>
      </c>
      <c r="F2213" s="48">
        <v>4722</v>
      </c>
      <c r="G2213" s="49">
        <v>2</v>
      </c>
      <c r="H2213" s="48">
        <v>0</v>
      </c>
      <c r="I2213" s="48">
        <v>0</v>
      </c>
      <c r="J2213" s="48">
        <v>73</v>
      </c>
      <c r="K2213" s="3">
        <v>73</v>
      </c>
      <c r="L2213" s="16"/>
      <c r="M2213" s="57"/>
      <c r="N2213" s="58"/>
      <c r="P2213" s="16">
        <v>1</v>
      </c>
      <c r="Q2213" s="20">
        <f t="shared" si="385"/>
        <v>73</v>
      </c>
      <c r="R2213" s="14">
        <v>200</v>
      </c>
      <c r="S2213" s="19">
        <f t="shared" si="386"/>
        <v>14600</v>
      </c>
      <c r="T2213" s="16"/>
      <c r="U2213" s="17"/>
      <c r="V2213" s="17"/>
      <c r="W2213" s="5"/>
      <c r="X2213" s="16"/>
      <c r="Y2213" s="5"/>
      <c r="Z2213" s="16"/>
      <c r="AA2213" s="16"/>
      <c r="AB2213" s="16"/>
      <c r="AE2213" s="16"/>
      <c r="AG2213" s="22">
        <f t="shared" si="392"/>
        <v>0</v>
      </c>
      <c r="AH2213" s="6"/>
      <c r="AJ2213" s="20">
        <f t="shared" si="388"/>
        <v>0</v>
      </c>
      <c r="AK2213" s="50"/>
      <c r="AL2213" s="6"/>
      <c r="AM2213" s="20">
        <f t="shared" si="389"/>
        <v>0</v>
      </c>
      <c r="AN2213" s="20">
        <f t="shared" si="393"/>
        <v>14600</v>
      </c>
      <c r="AP2213" s="20">
        <f t="shared" si="391"/>
        <v>14600</v>
      </c>
      <c r="AQ2213" s="7"/>
      <c r="AR2213" s="20"/>
      <c r="AS2213" s="51"/>
    </row>
    <row r="2214" spans="1:45" s="21" customFormat="1" ht="30" customHeight="1" x14ac:dyDescent="0.2">
      <c r="A2214" s="2">
        <v>1900</v>
      </c>
      <c r="B2214" s="46">
        <v>1</v>
      </c>
      <c r="C2214" s="16" t="s">
        <v>52</v>
      </c>
      <c r="D2214" s="48">
        <v>27022</v>
      </c>
      <c r="E2214" s="47">
        <v>175</v>
      </c>
      <c r="F2214" s="48">
        <v>5013</v>
      </c>
      <c r="G2214" s="49"/>
      <c r="H2214" s="48">
        <v>5</v>
      </c>
      <c r="I2214" s="48">
        <v>2</v>
      </c>
      <c r="J2214" s="48">
        <v>8</v>
      </c>
      <c r="K2214" s="3">
        <v>2208</v>
      </c>
      <c r="L2214" s="16"/>
      <c r="M2214" s="57"/>
      <c r="N2214" s="58"/>
      <c r="P2214" s="16">
        <v>1</v>
      </c>
      <c r="Q2214" s="20">
        <f t="shared" si="385"/>
        <v>2208</v>
      </c>
      <c r="R2214" s="14">
        <v>160</v>
      </c>
      <c r="S2214" s="20">
        <f t="shared" si="386"/>
        <v>353280</v>
      </c>
      <c r="T2214" s="16"/>
      <c r="U2214" s="17"/>
      <c r="V2214" s="17"/>
      <c r="W2214" s="5"/>
      <c r="X2214" s="16"/>
      <c r="Y2214" s="5"/>
      <c r="Z2214" s="16"/>
      <c r="AA2214" s="16"/>
      <c r="AB2214" s="16"/>
      <c r="AC2214" s="14"/>
      <c r="AD2214" s="14"/>
      <c r="AE2214" s="16"/>
      <c r="AG2214" s="22">
        <f t="shared" si="392"/>
        <v>0</v>
      </c>
      <c r="AH2214" s="6"/>
      <c r="AJ2214" s="20">
        <f t="shared" si="388"/>
        <v>0</v>
      </c>
      <c r="AK2214" s="50"/>
      <c r="AL2214" s="6"/>
      <c r="AM2214" s="20">
        <f t="shared" si="389"/>
        <v>0</v>
      </c>
      <c r="AN2214" s="20">
        <f t="shared" si="393"/>
        <v>353280</v>
      </c>
      <c r="AP2214" s="20">
        <f t="shared" si="391"/>
        <v>353280</v>
      </c>
      <c r="AQ2214" s="7"/>
      <c r="AR2214" s="20"/>
      <c r="AS2214" s="51">
        <v>14</v>
      </c>
    </row>
    <row r="2215" spans="1:45" s="21" customFormat="1" ht="30" customHeight="1" x14ac:dyDescent="0.2">
      <c r="A2215" s="8">
        <v>1901</v>
      </c>
      <c r="B2215" s="46">
        <v>1</v>
      </c>
      <c r="C2215" s="16" t="s">
        <v>52</v>
      </c>
      <c r="D2215" s="48">
        <v>25046</v>
      </c>
      <c r="E2215" s="47">
        <v>73</v>
      </c>
      <c r="F2215" s="48">
        <v>4956</v>
      </c>
      <c r="G2215" s="49">
        <v>1</v>
      </c>
      <c r="H2215" s="48">
        <v>5</v>
      </c>
      <c r="I2215" s="48">
        <v>1</v>
      </c>
      <c r="J2215" s="48">
        <v>85</v>
      </c>
      <c r="K2215" s="3">
        <v>2185</v>
      </c>
      <c r="L2215" s="16"/>
      <c r="M2215" s="57"/>
      <c r="N2215" s="58"/>
      <c r="P2215" s="16">
        <v>1</v>
      </c>
      <c r="Q2215" s="20">
        <f t="shared" si="385"/>
        <v>2185</v>
      </c>
      <c r="R2215" s="14">
        <v>160</v>
      </c>
      <c r="S2215" s="19">
        <f t="shared" si="386"/>
        <v>349600</v>
      </c>
      <c r="T2215" s="16"/>
      <c r="U2215" s="17"/>
      <c r="V2215" s="17"/>
      <c r="W2215" s="5"/>
      <c r="X2215" s="16"/>
      <c r="Y2215" s="5"/>
      <c r="Z2215" s="16"/>
      <c r="AA2215" s="16"/>
      <c r="AB2215" s="16"/>
      <c r="AC2215" s="14"/>
      <c r="AD2215" s="14"/>
      <c r="AE2215" s="16"/>
      <c r="AG2215" s="22">
        <f t="shared" si="392"/>
        <v>0</v>
      </c>
      <c r="AH2215" s="6"/>
      <c r="AJ2215" s="20">
        <f t="shared" si="388"/>
        <v>0</v>
      </c>
      <c r="AK2215" s="50"/>
      <c r="AL2215" s="6"/>
      <c r="AM2215" s="20">
        <f t="shared" si="389"/>
        <v>0</v>
      </c>
      <c r="AN2215" s="20">
        <f t="shared" si="393"/>
        <v>349600</v>
      </c>
      <c r="AP2215" s="20">
        <f t="shared" si="391"/>
        <v>349600</v>
      </c>
      <c r="AQ2215" s="7"/>
      <c r="AR2215" s="20"/>
      <c r="AS2215" s="51"/>
    </row>
    <row r="2216" spans="1:45" s="21" customFormat="1" ht="30" customHeight="1" x14ac:dyDescent="0.2">
      <c r="A2216" s="2">
        <v>1902</v>
      </c>
      <c r="B2216" s="46">
        <v>2</v>
      </c>
      <c r="C2216" s="16" t="s">
        <v>52</v>
      </c>
      <c r="D2216" s="48">
        <v>1815</v>
      </c>
      <c r="E2216" s="47">
        <v>118</v>
      </c>
      <c r="F2216" s="48">
        <v>1199</v>
      </c>
      <c r="G2216" s="49">
        <v>2</v>
      </c>
      <c r="H2216" s="48">
        <v>4</v>
      </c>
      <c r="I2216" s="48">
        <v>2</v>
      </c>
      <c r="J2216" s="48">
        <v>29</v>
      </c>
      <c r="K2216" s="3">
        <v>1829</v>
      </c>
      <c r="L2216" s="16"/>
      <c r="M2216" s="57"/>
      <c r="N2216" s="58"/>
      <c r="P2216" s="16">
        <v>1</v>
      </c>
      <c r="Q2216" s="20">
        <f t="shared" si="385"/>
        <v>1829</v>
      </c>
      <c r="R2216" s="14">
        <v>160</v>
      </c>
      <c r="S2216" s="19">
        <f t="shared" si="386"/>
        <v>292640</v>
      </c>
      <c r="T2216" s="16"/>
      <c r="U2216" s="17"/>
      <c r="V2216" s="17"/>
      <c r="W2216" s="5"/>
      <c r="X2216" s="16"/>
      <c r="Y2216" s="5"/>
      <c r="Z2216" s="16"/>
      <c r="AA2216" s="16"/>
      <c r="AB2216" s="16"/>
      <c r="AC2216" s="14"/>
      <c r="AD2216" s="14"/>
      <c r="AE2216" s="16"/>
      <c r="AG2216" s="22">
        <f t="shared" si="392"/>
        <v>0</v>
      </c>
      <c r="AH2216" s="6"/>
      <c r="AJ2216" s="20">
        <f t="shared" si="388"/>
        <v>0</v>
      </c>
      <c r="AK2216" s="50"/>
      <c r="AL2216" s="6"/>
      <c r="AM2216" s="20">
        <f t="shared" si="389"/>
        <v>0</v>
      </c>
      <c r="AN2216" s="20">
        <f t="shared" si="393"/>
        <v>292640</v>
      </c>
      <c r="AP2216" s="20">
        <f t="shared" si="391"/>
        <v>292640</v>
      </c>
      <c r="AQ2216" s="7"/>
      <c r="AR2216" s="20"/>
      <c r="AS2216" s="51"/>
    </row>
    <row r="2217" spans="1:45" s="21" customFormat="1" ht="30" customHeight="1" x14ac:dyDescent="0.2">
      <c r="A2217" s="8">
        <v>1903</v>
      </c>
      <c r="B2217" s="46">
        <v>3</v>
      </c>
      <c r="C2217" s="16" t="s">
        <v>52</v>
      </c>
      <c r="D2217" s="48">
        <v>1929</v>
      </c>
      <c r="E2217" s="47">
        <v>49</v>
      </c>
      <c r="F2217" s="48">
        <v>1295</v>
      </c>
      <c r="G2217" s="49">
        <v>2</v>
      </c>
      <c r="H2217" s="48">
        <v>3</v>
      </c>
      <c r="I2217" s="48">
        <v>3</v>
      </c>
      <c r="J2217" s="48">
        <v>24</v>
      </c>
      <c r="K2217" s="3">
        <f>1200+324</f>
        <v>1524</v>
      </c>
      <c r="L2217" s="16"/>
      <c r="M2217" s="57"/>
      <c r="N2217" s="58"/>
      <c r="P2217" s="16">
        <v>1</v>
      </c>
      <c r="Q2217" s="20">
        <f t="shared" si="385"/>
        <v>1524</v>
      </c>
      <c r="R2217" s="14">
        <v>160</v>
      </c>
      <c r="S2217" s="20">
        <f t="shared" si="386"/>
        <v>243840</v>
      </c>
      <c r="T2217" s="16"/>
      <c r="U2217" s="17"/>
      <c r="V2217" s="17"/>
      <c r="W2217" s="5"/>
      <c r="X2217" s="16"/>
      <c r="Y2217" s="5"/>
      <c r="Z2217" s="16"/>
      <c r="AA2217" s="16"/>
      <c r="AB2217" s="16"/>
      <c r="AC2217" s="14"/>
      <c r="AD2217" s="14"/>
      <c r="AE2217" s="16"/>
      <c r="AG2217" s="22">
        <f t="shared" si="392"/>
        <v>0</v>
      </c>
      <c r="AH2217" s="6"/>
      <c r="AJ2217" s="20">
        <f t="shared" si="388"/>
        <v>0</v>
      </c>
      <c r="AK2217" s="50"/>
      <c r="AL2217" s="6"/>
      <c r="AM2217" s="20">
        <f t="shared" si="389"/>
        <v>0</v>
      </c>
      <c r="AN2217" s="20">
        <f t="shared" si="393"/>
        <v>243840</v>
      </c>
      <c r="AP2217" s="20">
        <f t="shared" si="391"/>
        <v>243840</v>
      </c>
      <c r="AQ2217" s="7"/>
      <c r="AR2217" s="20"/>
      <c r="AS2217" s="51"/>
    </row>
    <row r="2218" spans="1:45" s="21" customFormat="1" ht="30" customHeight="1" x14ac:dyDescent="0.2">
      <c r="A2218" s="2">
        <v>1904</v>
      </c>
      <c r="B2218" s="46">
        <v>4</v>
      </c>
      <c r="C2218" s="16" t="s">
        <v>52</v>
      </c>
      <c r="D2218" s="48">
        <v>1961</v>
      </c>
      <c r="E2218" s="47">
        <v>16</v>
      </c>
      <c r="F2218" s="48">
        <v>1318</v>
      </c>
      <c r="G2218" s="49">
        <v>2</v>
      </c>
      <c r="H2218" s="48">
        <v>5</v>
      </c>
      <c r="I2218" s="48">
        <v>3</v>
      </c>
      <c r="J2218" s="48">
        <v>47</v>
      </c>
      <c r="K2218" s="3">
        <v>2347</v>
      </c>
      <c r="L2218" s="16"/>
      <c r="M2218" s="57"/>
      <c r="N2218" s="58"/>
      <c r="P2218" s="16">
        <v>1</v>
      </c>
      <c r="Q2218" s="20">
        <f t="shared" si="385"/>
        <v>2347</v>
      </c>
      <c r="R2218" s="14">
        <v>160</v>
      </c>
      <c r="S2218" s="19">
        <f t="shared" si="386"/>
        <v>375520</v>
      </c>
      <c r="T2218" s="16"/>
      <c r="U2218" s="17"/>
      <c r="V2218" s="17"/>
      <c r="W2218" s="5"/>
      <c r="X2218" s="16"/>
      <c r="Y2218" s="5"/>
      <c r="Z2218" s="16"/>
      <c r="AA2218" s="16"/>
      <c r="AB2218" s="16"/>
      <c r="AC2218" s="14"/>
      <c r="AD2218" s="14"/>
      <c r="AE2218" s="16"/>
      <c r="AG2218" s="22">
        <f t="shared" si="392"/>
        <v>0</v>
      </c>
      <c r="AH2218" s="6"/>
      <c r="AJ2218" s="20">
        <f t="shared" si="388"/>
        <v>0</v>
      </c>
      <c r="AK2218" s="50"/>
      <c r="AL2218" s="6"/>
      <c r="AM2218" s="20">
        <f t="shared" si="389"/>
        <v>0</v>
      </c>
      <c r="AN2218" s="20">
        <f t="shared" si="393"/>
        <v>375520</v>
      </c>
      <c r="AP2218" s="20">
        <f t="shared" si="391"/>
        <v>375520</v>
      </c>
      <c r="AQ2218" s="7"/>
      <c r="AR2218" s="20"/>
      <c r="AS2218" s="51"/>
    </row>
    <row r="2219" spans="1:45" s="21" customFormat="1" ht="30" customHeight="1" x14ac:dyDescent="0.2">
      <c r="A2219" s="8">
        <v>1905</v>
      </c>
      <c r="B2219" s="46">
        <v>5</v>
      </c>
      <c r="C2219" s="16" t="s">
        <v>52</v>
      </c>
      <c r="D2219" s="48">
        <v>12367</v>
      </c>
      <c r="E2219" s="47">
        <v>57</v>
      </c>
      <c r="F2219" s="48">
        <v>3235</v>
      </c>
      <c r="G2219" s="49">
        <v>2</v>
      </c>
      <c r="H2219" s="48">
        <v>1</v>
      </c>
      <c r="I2219" s="48">
        <v>3</v>
      </c>
      <c r="J2219" s="48">
        <v>60.07</v>
      </c>
      <c r="K2219" s="3">
        <v>760.07</v>
      </c>
      <c r="L2219" s="16"/>
      <c r="M2219" s="57"/>
      <c r="N2219" s="58"/>
      <c r="P2219" s="16">
        <v>1</v>
      </c>
      <c r="Q2219" s="20">
        <f t="shared" si="385"/>
        <v>760.07</v>
      </c>
      <c r="R2219" s="14">
        <v>160</v>
      </c>
      <c r="S2219" s="19">
        <f t="shared" si="386"/>
        <v>121611.20000000001</v>
      </c>
      <c r="T2219" s="16"/>
      <c r="U2219" s="17"/>
      <c r="V2219" s="17"/>
      <c r="W2219" s="5"/>
      <c r="X2219" s="16"/>
      <c r="Y2219" s="5"/>
      <c r="Z2219" s="16"/>
      <c r="AA2219" s="16"/>
      <c r="AB2219" s="16"/>
      <c r="AE2219" s="16"/>
      <c r="AG2219" s="22">
        <f t="shared" si="392"/>
        <v>0</v>
      </c>
      <c r="AH2219" s="6"/>
      <c r="AJ2219" s="20">
        <f t="shared" si="388"/>
        <v>0</v>
      </c>
      <c r="AK2219" s="50"/>
      <c r="AL2219" s="6"/>
      <c r="AM2219" s="20">
        <f t="shared" si="389"/>
        <v>0</v>
      </c>
      <c r="AN2219" s="20">
        <f t="shared" si="393"/>
        <v>121611.20000000001</v>
      </c>
      <c r="AP2219" s="20">
        <f t="shared" si="391"/>
        <v>121611.20000000001</v>
      </c>
      <c r="AQ2219" s="7"/>
      <c r="AR2219" s="20"/>
      <c r="AS2219" s="51"/>
    </row>
    <row r="2220" spans="1:45" s="21" customFormat="1" ht="30" customHeight="1" x14ac:dyDescent="0.2">
      <c r="A2220" s="2">
        <v>1906</v>
      </c>
      <c r="B2220" s="46">
        <v>6</v>
      </c>
      <c r="C2220" s="16" t="s">
        <v>52</v>
      </c>
      <c r="D2220" s="48">
        <v>22292</v>
      </c>
      <c r="E2220" s="47">
        <v>67</v>
      </c>
      <c r="F2220" s="48">
        <v>4799</v>
      </c>
      <c r="G2220" s="49">
        <v>2</v>
      </c>
      <c r="H2220" s="48">
        <v>4</v>
      </c>
      <c r="I2220" s="48">
        <v>2</v>
      </c>
      <c r="J2220" s="48">
        <v>56</v>
      </c>
      <c r="K2220" s="3">
        <v>1856</v>
      </c>
      <c r="L2220" s="16"/>
      <c r="M2220" s="57"/>
      <c r="N2220" s="58"/>
      <c r="P2220" s="16">
        <v>1</v>
      </c>
      <c r="Q2220" s="20">
        <f t="shared" si="385"/>
        <v>1856</v>
      </c>
      <c r="R2220" s="14">
        <v>160</v>
      </c>
      <c r="S2220" s="20">
        <f t="shared" si="386"/>
        <v>296960</v>
      </c>
      <c r="T2220" s="16"/>
      <c r="U2220" s="17"/>
      <c r="V2220" s="17"/>
      <c r="W2220" s="5"/>
      <c r="X2220" s="16"/>
      <c r="Y2220" s="5"/>
      <c r="Z2220" s="16"/>
      <c r="AA2220" s="16"/>
      <c r="AB2220" s="16"/>
      <c r="AE2220" s="16"/>
      <c r="AG2220" s="22">
        <f t="shared" si="392"/>
        <v>0</v>
      </c>
      <c r="AH2220" s="6"/>
      <c r="AJ2220" s="20">
        <f t="shared" si="388"/>
        <v>0</v>
      </c>
      <c r="AK2220" s="50"/>
      <c r="AL2220" s="6"/>
      <c r="AM2220" s="20">
        <f t="shared" si="389"/>
        <v>0</v>
      </c>
      <c r="AN2220" s="20">
        <f t="shared" si="393"/>
        <v>296960</v>
      </c>
      <c r="AP2220" s="20">
        <f t="shared" si="391"/>
        <v>296960</v>
      </c>
      <c r="AQ2220" s="7"/>
      <c r="AR2220" s="20"/>
      <c r="AS2220" s="51"/>
    </row>
    <row r="2221" spans="1:45" s="21" customFormat="1" ht="30" customHeight="1" x14ac:dyDescent="0.2">
      <c r="A2221" s="8">
        <v>1907</v>
      </c>
      <c r="B2221" s="46">
        <v>7</v>
      </c>
      <c r="C2221" s="16" t="s">
        <v>52</v>
      </c>
      <c r="D2221" s="48">
        <v>25685</v>
      </c>
      <c r="E2221" s="47">
        <v>544</v>
      </c>
      <c r="F2221" s="48">
        <v>5041</v>
      </c>
      <c r="G2221" s="49">
        <v>2</v>
      </c>
      <c r="H2221" s="48">
        <v>0</v>
      </c>
      <c r="I2221" s="48">
        <v>0</v>
      </c>
      <c r="J2221" s="48">
        <v>56.06</v>
      </c>
      <c r="K2221" s="3"/>
      <c r="L2221" s="16"/>
      <c r="M2221" s="57"/>
      <c r="N2221" s="58">
        <v>56.06</v>
      </c>
      <c r="P2221" s="16">
        <v>4</v>
      </c>
      <c r="Q2221" s="20">
        <f t="shared" si="385"/>
        <v>56.06</v>
      </c>
      <c r="R2221" s="14">
        <v>250</v>
      </c>
      <c r="S2221" s="19">
        <f t="shared" si="386"/>
        <v>14015</v>
      </c>
      <c r="T2221" s="16"/>
      <c r="U2221" s="17"/>
      <c r="V2221" s="17"/>
      <c r="W2221" s="5"/>
      <c r="X2221" s="16"/>
      <c r="Y2221" s="5"/>
      <c r="Z2221" s="16"/>
      <c r="AA2221" s="16"/>
      <c r="AB2221" s="16"/>
      <c r="AE2221" s="16"/>
      <c r="AG2221" s="22">
        <f t="shared" si="392"/>
        <v>0</v>
      </c>
      <c r="AH2221" s="6"/>
      <c r="AJ2221" s="20">
        <f t="shared" si="388"/>
        <v>0</v>
      </c>
      <c r="AK2221" s="50"/>
      <c r="AL2221" s="6"/>
      <c r="AM2221" s="20">
        <f t="shared" si="389"/>
        <v>0</v>
      </c>
      <c r="AN2221" s="20">
        <f t="shared" si="393"/>
        <v>14015</v>
      </c>
      <c r="AP2221" s="20">
        <f t="shared" si="391"/>
        <v>14015</v>
      </c>
      <c r="AQ2221" s="7">
        <v>3.0000000000000001E-3</v>
      </c>
      <c r="AR2221" s="20"/>
      <c r="AS2221" s="51"/>
    </row>
    <row r="2222" spans="1:45" s="21" customFormat="1" ht="30" customHeight="1" x14ac:dyDescent="0.2">
      <c r="A2222" s="2">
        <v>1908</v>
      </c>
      <c r="B2222" s="46">
        <v>8</v>
      </c>
      <c r="C2222" s="16" t="s">
        <v>52</v>
      </c>
      <c r="D2222" s="48">
        <v>30929</v>
      </c>
      <c r="E2222" s="47">
        <v>92</v>
      </c>
      <c r="F2222" s="48">
        <v>5881</v>
      </c>
      <c r="G2222" s="49">
        <v>2</v>
      </c>
      <c r="H2222" s="48">
        <v>8</v>
      </c>
      <c r="I2222" s="48">
        <v>1</v>
      </c>
      <c r="J2222" s="48">
        <v>2.0499999999999998</v>
      </c>
      <c r="K2222" s="3">
        <f>8*400+102.05</f>
        <v>3302.05</v>
      </c>
      <c r="L2222" s="16"/>
      <c r="M2222" s="57"/>
      <c r="N2222" s="58"/>
      <c r="P2222" s="16">
        <v>1</v>
      </c>
      <c r="Q2222" s="20">
        <f t="shared" si="385"/>
        <v>3302.05</v>
      </c>
      <c r="R2222" s="14">
        <v>160</v>
      </c>
      <c r="S2222" s="19">
        <f t="shared" si="386"/>
        <v>528328</v>
      </c>
      <c r="T2222" s="16"/>
      <c r="U2222" s="17"/>
      <c r="V2222" s="17"/>
      <c r="W2222" s="5"/>
      <c r="X2222" s="16"/>
      <c r="Y2222" s="5"/>
      <c r="Z2222" s="16"/>
      <c r="AA2222" s="16"/>
      <c r="AB2222" s="16"/>
      <c r="AE2222" s="16"/>
      <c r="AG2222" s="22">
        <f t="shared" si="392"/>
        <v>0</v>
      </c>
      <c r="AH2222" s="6"/>
      <c r="AJ2222" s="20">
        <f t="shared" si="388"/>
        <v>0</v>
      </c>
      <c r="AK2222" s="50"/>
      <c r="AL2222" s="6"/>
      <c r="AM2222" s="20">
        <f t="shared" si="389"/>
        <v>0</v>
      </c>
      <c r="AN2222" s="20">
        <f t="shared" si="393"/>
        <v>528328</v>
      </c>
      <c r="AP2222" s="20">
        <f t="shared" si="391"/>
        <v>528328</v>
      </c>
      <c r="AQ2222" s="7"/>
      <c r="AR2222" s="20"/>
      <c r="AS2222" s="51"/>
    </row>
    <row r="2223" spans="1:45" s="21" customFormat="1" ht="30" customHeight="1" x14ac:dyDescent="0.2">
      <c r="A2223" s="8">
        <v>1909</v>
      </c>
      <c r="B2223" s="46">
        <v>9</v>
      </c>
      <c r="C2223" s="16" t="s">
        <v>52</v>
      </c>
      <c r="D2223" s="48">
        <v>1856</v>
      </c>
      <c r="E2223" s="47">
        <v>79</v>
      </c>
      <c r="F2223" s="48">
        <v>1246</v>
      </c>
      <c r="G2223" s="49">
        <v>2</v>
      </c>
      <c r="H2223" s="48">
        <v>3</v>
      </c>
      <c r="I2223" s="48">
        <v>2</v>
      </c>
      <c r="J2223" s="48">
        <v>23</v>
      </c>
      <c r="K2223" s="3">
        <v>1423</v>
      </c>
      <c r="L2223" s="16"/>
      <c r="M2223" s="57"/>
      <c r="N2223" s="58"/>
      <c r="P2223" s="16">
        <v>1</v>
      </c>
      <c r="Q2223" s="20">
        <f t="shared" si="385"/>
        <v>1423</v>
      </c>
      <c r="R2223" s="14">
        <v>160</v>
      </c>
      <c r="S2223" s="20">
        <f t="shared" si="386"/>
        <v>227680</v>
      </c>
      <c r="T2223" s="16"/>
      <c r="U2223" s="17"/>
      <c r="V2223" s="17"/>
      <c r="W2223" s="5"/>
      <c r="X2223" s="16"/>
      <c r="Y2223" s="5"/>
      <c r="Z2223" s="16"/>
      <c r="AA2223" s="16"/>
      <c r="AB2223" s="16"/>
      <c r="AE2223" s="16"/>
      <c r="AG2223" s="22">
        <f t="shared" si="392"/>
        <v>0</v>
      </c>
      <c r="AH2223" s="6"/>
      <c r="AJ2223" s="20">
        <f t="shared" si="388"/>
        <v>0</v>
      </c>
      <c r="AK2223" s="50"/>
      <c r="AL2223" s="6"/>
      <c r="AM2223" s="20">
        <f t="shared" si="389"/>
        <v>0</v>
      </c>
      <c r="AN2223" s="20">
        <f t="shared" si="393"/>
        <v>227680</v>
      </c>
      <c r="AP2223" s="20">
        <f t="shared" si="391"/>
        <v>227680</v>
      </c>
      <c r="AQ2223" s="7"/>
      <c r="AR2223" s="20"/>
      <c r="AS2223" s="51"/>
    </row>
    <row r="2224" spans="1:45" s="21" customFormat="1" ht="30" customHeight="1" x14ac:dyDescent="0.2">
      <c r="A2224" s="2">
        <v>1910</v>
      </c>
      <c r="B2224" s="46">
        <v>10</v>
      </c>
      <c r="C2224" s="16" t="s">
        <v>52</v>
      </c>
      <c r="D2224" s="48">
        <v>1863</v>
      </c>
      <c r="E2224" s="47">
        <v>100</v>
      </c>
      <c r="F2224" s="48">
        <v>1253</v>
      </c>
      <c r="G2224" s="49">
        <v>2</v>
      </c>
      <c r="H2224" s="48">
        <v>2</v>
      </c>
      <c r="I2224" s="48">
        <v>0</v>
      </c>
      <c r="J2224" s="48">
        <v>11</v>
      </c>
      <c r="K2224" s="3">
        <v>811</v>
      </c>
      <c r="L2224" s="16"/>
      <c r="M2224" s="57"/>
      <c r="N2224" s="58"/>
      <c r="P2224" s="16">
        <v>1</v>
      </c>
      <c r="Q2224" s="20">
        <f t="shared" si="385"/>
        <v>811</v>
      </c>
      <c r="R2224" s="14">
        <v>160</v>
      </c>
      <c r="S2224" s="19">
        <f t="shared" si="386"/>
        <v>129760</v>
      </c>
      <c r="T2224" s="16"/>
      <c r="U2224" s="17"/>
      <c r="V2224" s="17"/>
      <c r="W2224" s="5"/>
      <c r="X2224" s="16"/>
      <c r="Y2224" s="5"/>
      <c r="Z2224" s="16"/>
      <c r="AA2224" s="16"/>
      <c r="AB2224" s="16"/>
      <c r="AE2224" s="16"/>
      <c r="AG2224" s="22">
        <f t="shared" si="392"/>
        <v>0</v>
      </c>
      <c r="AH2224" s="6"/>
      <c r="AJ2224" s="20">
        <f t="shared" si="388"/>
        <v>0</v>
      </c>
      <c r="AK2224" s="50"/>
      <c r="AL2224" s="6"/>
      <c r="AM2224" s="20">
        <f t="shared" si="389"/>
        <v>0</v>
      </c>
      <c r="AN2224" s="20">
        <f t="shared" si="393"/>
        <v>129760</v>
      </c>
      <c r="AP2224" s="20">
        <f t="shared" si="391"/>
        <v>129760</v>
      </c>
      <c r="AQ2224" s="7"/>
      <c r="AR2224" s="20"/>
      <c r="AS2224" s="51"/>
    </row>
    <row r="2225" spans="1:45" ht="30" customHeight="1" x14ac:dyDescent="0.2">
      <c r="A2225" s="8">
        <v>1911</v>
      </c>
      <c r="B2225" s="46">
        <v>11</v>
      </c>
      <c r="C2225" s="16" t="s">
        <v>65</v>
      </c>
      <c r="D2225" s="17">
        <v>746</v>
      </c>
      <c r="E2225" s="17">
        <v>32</v>
      </c>
      <c r="H2225" s="17">
        <v>3</v>
      </c>
      <c r="I2225" s="17">
        <v>0</v>
      </c>
      <c r="J2225" s="17">
        <v>15</v>
      </c>
      <c r="K2225" s="10">
        <f>1215-L2225</f>
        <v>1182</v>
      </c>
      <c r="L2225" s="17">
        <f>132/4</f>
        <v>33</v>
      </c>
      <c r="P2225" s="17">
        <v>1</v>
      </c>
      <c r="Q2225" s="20">
        <f t="shared" si="385"/>
        <v>1215</v>
      </c>
      <c r="R2225" s="14">
        <v>160</v>
      </c>
      <c r="S2225" s="19">
        <f t="shared" si="386"/>
        <v>194400</v>
      </c>
      <c r="AC2225" s="21"/>
      <c r="AD2225" s="21"/>
      <c r="AG2225" s="22">
        <f t="shared" si="392"/>
        <v>0</v>
      </c>
      <c r="AJ2225" s="20">
        <f t="shared" si="388"/>
        <v>0</v>
      </c>
      <c r="AM2225" s="20">
        <f t="shared" si="389"/>
        <v>0</v>
      </c>
      <c r="AN2225" s="20">
        <f t="shared" si="393"/>
        <v>194400</v>
      </c>
      <c r="AP2225" s="20">
        <f t="shared" si="391"/>
        <v>194400</v>
      </c>
      <c r="AQ2225" s="12">
        <v>1E-4</v>
      </c>
      <c r="AR2225" s="20"/>
    </row>
    <row r="2226" spans="1:45" ht="30" customHeight="1" x14ac:dyDescent="0.2">
      <c r="A2226" s="2">
        <v>1912</v>
      </c>
      <c r="B2226" s="46">
        <v>12</v>
      </c>
      <c r="C2226" s="16" t="s">
        <v>52</v>
      </c>
      <c r="D2226" s="17">
        <v>30929</v>
      </c>
      <c r="E2226" s="17">
        <v>92</v>
      </c>
      <c r="H2226" s="17">
        <v>8</v>
      </c>
      <c r="I2226" s="17">
        <v>1</v>
      </c>
      <c r="J2226" s="17">
        <v>2.5</v>
      </c>
      <c r="K2226" s="10">
        <v>3302.5</v>
      </c>
      <c r="P2226" s="17">
        <v>1</v>
      </c>
      <c r="Q2226" s="20">
        <f t="shared" si="385"/>
        <v>3302.5</v>
      </c>
      <c r="R2226" s="14">
        <v>160</v>
      </c>
      <c r="S2226" s="20">
        <f t="shared" si="386"/>
        <v>528400</v>
      </c>
      <c r="AC2226" s="21"/>
      <c r="AD2226" s="21"/>
      <c r="AE2226" s="17" t="s">
        <v>197</v>
      </c>
      <c r="AG2226" s="22">
        <f t="shared" si="392"/>
        <v>0</v>
      </c>
      <c r="AJ2226" s="20">
        <f t="shared" si="388"/>
        <v>0</v>
      </c>
      <c r="AM2226" s="20">
        <f t="shared" si="389"/>
        <v>0</v>
      </c>
      <c r="AN2226" s="20">
        <f t="shared" si="393"/>
        <v>528400</v>
      </c>
      <c r="AP2226" s="20">
        <f t="shared" si="391"/>
        <v>528400</v>
      </c>
      <c r="AR2226" s="20"/>
    </row>
    <row r="2227" spans="1:45" ht="30" customHeight="1" x14ac:dyDescent="0.2">
      <c r="A2227" s="8">
        <v>1913</v>
      </c>
      <c r="B2227" s="46">
        <v>13</v>
      </c>
      <c r="C2227" s="16" t="s">
        <v>65</v>
      </c>
      <c r="D2227" s="17">
        <v>2707</v>
      </c>
      <c r="E2227" s="17">
        <v>53</v>
      </c>
      <c r="H2227" s="17">
        <v>5</v>
      </c>
      <c r="I2227" s="17">
        <v>0</v>
      </c>
      <c r="J2227" s="17">
        <v>0</v>
      </c>
      <c r="K2227" s="10">
        <v>2000</v>
      </c>
      <c r="P2227" s="17">
        <v>1</v>
      </c>
      <c r="Q2227" s="20">
        <f t="shared" si="385"/>
        <v>2000</v>
      </c>
      <c r="R2227" s="14">
        <v>160</v>
      </c>
      <c r="S2227" s="19">
        <f t="shared" si="386"/>
        <v>320000</v>
      </c>
      <c r="AC2227" s="21"/>
      <c r="AD2227" s="21"/>
      <c r="AG2227" s="22">
        <f t="shared" si="392"/>
        <v>0</v>
      </c>
      <c r="AJ2227" s="20">
        <f t="shared" si="388"/>
        <v>0</v>
      </c>
      <c r="AM2227" s="20">
        <f t="shared" si="389"/>
        <v>0</v>
      </c>
      <c r="AN2227" s="20">
        <f t="shared" si="393"/>
        <v>320000</v>
      </c>
      <c r="AP2227" s="20">
        <f t="shared" si="391"/>
        <v>320000</v>
      </c>
      <c r="AQ2227" s="12">
        <v>1E-4</v>
      </c>
      <c r="AR2227" s="20"/>
    </row>
    <row r="2228" spans="1:45" s="21" customFormat="1" ht="30" customHeight="1" x14ac:dyDescent="0.2">
      <c r="A2228" s="8">
        <v>1914</v>
      </c>
      <c r="B2228" s="46">
        <v>1</v>
      </c>
      <c r="C2228" s="16" t="s">
        <v>52</v>
      </c>
      <c r="D2228" s="48">
        <v>1563</v>
      </c>
      <c r="E2228" s="47">
        <v>79</v>
      </c>
      <c r="F2228" s="48">
        <v>482</v>
      </c>
      <c r="G2228" s="49">
        <v>2</v>
      </c>
      <c r="H2228" s="48">
        <v>0</v>
      </c>
      <c r="I2228" s="48">
        <v>0</v>
      </c>
      <c r="J2228" s="48">
        <v>50</v>
      </c>
      <c r="K2228" s="3"/>
      <c r="L2228" s="16">
        <v>50</v>
      </c>
      <c r="M2228" s="57"/>
      <c r="N2228" s="58"/>
      <c r="P2228" s="16">
        <v>2</v>
      </c>
      <c r="Q2228" s="20">
        <f t="shared" si="385"/>
        <v>50</v>
      </c>
      <c r="R2228" s="14">
        <v>4500</v>
      </c>
      <c r="S2228" s="19">
        <f t="shared" si="386"/>
        <v>225000</v>
      </c>
      <c r="T2228" s="16"/>
      <c r="U2228" s="17"/>
      <c r="V2228" s="17"/>
      <c r="W2228" s="5"/>
      <c r="X2228" s="16"/>
      <c r="Y2228" s="5"/>
      <c r="Z2228" s="16"/>
      <c r="AA2228" s="16"/>
      <c r="AB2228" s="16"/>
      <c r="AE2228" s="16"/>
      <c r="AG2228" s="22">
        <f t="shared" si="392"/>
        <v>0</v>
      </c>
      <c r="AH2228" s="6"/>
      <c r="AJ2228" s="20">
        <f t="shared" si="388"/>
        <v>0</v>
      </c>
      <c r="AK2228" s="50"/>
      <c r="AL2228" s="6"/>
      <c r="AM2228" s="20">
        <f t="shared" si="389"/>
        <v>0</v>
      </c>
      <c r="AN2228" s="20">
        <f t="shared" si="393"/>
        <v>225000</v>
      </c>
      <c r="AP2228" s="20">
        <f t="shared" si="391"/>
        <v>225000</v>
      </c>
      <c r="AQ2228" s="7"/>
      <c r="AR2228" s="20"/>
      <c r="AS2228" s="51"/>
    </row>
    <row r="2229" spans="1:45" s="21" customFormat="1" ht="30" customHeight="1" x14ac:dyDescent="0.2">
      <c r="A2229" s="2">
        <v>1915</v>
      </c>
      <c r="B2229" s="46">
        <v>2</v>
      </c>
      <c r="C2229" s="16" t="s">
        <v>52</v>
      </c>
      <c r="D2229" s="48">
        <v>1962</v>
      </c>
      <c r="E2229" s="47">
        <v>15</v>
      </c>
      <c r="F2229" s="48">
        <v>1319</v>
      </c>
      <c r="G2229" s="49">
        <v>2</v>
      </c>
      <c r="H2229" s="48">
        <v>4</v>
      </c>
      <c r="I2229" s="48">
        <v>0</v>
      </c>
      <c r="J2229" s="48">
        <v>28</v>
      </c>
      <c r="K2229" s="3">
        <v>1628</v>
      </c>
      <c r="L2229" s="16"/>
      <c r="M2229" s="57"/>
      <c r="N2229" s="58"/>
      <c r="P2229" s="16">
        <v>1</v>
      </c>
      <c r="Q2229" s="20">
        <f t="shared" si="385"/>
        <v>1628</v>
      </c>
      <c r="R2229" s="14">
        <v>160</v>
      </c>
      <c r="S2229" s="20">
        <f t="shared" si="386"/>
        <v>260480</v>
      </c>
      <c r="T2229" s="16"/>
      <c r="U2229" s="17"/>
      <c r="V2229" s="17"/>
      <c r="W2229" s="5"/>
      <c r="X2229" s="16"/>
      <c r="Y2229" s="5"/>
      <c r="Z2229" s="16"/>
      <c r="AA2229" s="16"/>
      <c r="AB2229" s="16"/>
      <c r="AE2229" s="16"/>
      <c r="AG2229" s="22">
        <f t="shared" si="392"/>
        <v>0</v>
      </c>
      <c r="AH2229" s="6"/>
      <c r="AJ2229" s="20">
        <f t="shared" si="388"/>
        <v>0</v>
      </c>
      <c r="AK2229" s="50"/>
      <c r="AL2229" s="6"/>
      <c r="AM2229" s="20">
        <f t="shared" si="389"/>
        <v>0</v>
      </c>
      <c r="AN2229" s="20">
        <f t="shared" si="393"/>
        <v>260480</v>
      </c>
      <c r="AP2229" s="20">
        <f t="shared" si="391"/>
        <v>260480</v>
      </c>
      <c r="AQ2229" s="7"/>
      <c r="AR2229" s="20"/>
      <c r="AS2229" s="51"/>
    </row>
    <row r="2230" spans="1:45" s="21" customFormat="1" ht="30" customHeight="1" x14ac:dyDescent="0.2">
      <c r="A2230" s="8">
        <v>1916</v>
      </c>
      <c r="B2230" s="46">
        <v>3</v>
      </c>
      <c r="C2230" s="16" t="s">
        <v>52</v>
      </c>
      <c r="D2230" s="48">
        <v>1963</v>
      </c>
      <c r="E2230" s="47">
        <v>14</v>
      </c>
      <c r="F2230" s="48">
        <v>1320</v>
      </c>
      <c r="G2230" s="49">
        <v>2</v>
      </c>
      <c r="H2230" s="48">
        <v>1</v>
      </c>
      <c r="I2230" s="48">
        <v>3</v>
      </c>
      <c r="J2230" s="48">
        <v>67</v>
      </c>
      <c r="K2230" s="3">
        <v>767</v>
      </c>
      <c r="L2230" s="16"/>
      <c r="M2230" s="57"/>
      <c r="N2230" s="58"/>
      <c r="P2230" s="16">
        <v>1</v>
      </c>
      <c r="Q2230" s="20">
        <f t="shared" si="385"/>
        <v>767</v>
      </c>
      <c r="R2230" s="14">
        <v>160</v>
      </c>
      <c r="S2230" s="19">
        <f t="shared" si="386"/>
        <v>122720</v>
      </c>
      <c r="T2230" s="16"/>
      <c r="U2230" s="17"/>
      <c r="V2230" s="17"/>
      <c r="W2230" s="5"/>
      <c r="X2230" s="16"/>
      <c r="Y2230" s="5"/>
      <c r="Z2230" s="16"/>
      <c r="AA2230" s="16"/>
      <c r="AB2230" s="16"/>
      <c r="AE2230" s="16"/>
      <c r="AG2230" s="22">
        <f t="shared" si="392"/>
        <v>0</v>
      </c>
      <c r="AH2230" s="6"/>
      <c r="AJ2230" s="20">
        <f t="shared" si="388"/>
        <v>0</v>
      </c>
      <c r="AK2230" s="50"/>
      <c r="AL2230" s="6"/>
      <c r="AM2230" s="20">
        <f t="shared" si="389"/>
        <v>0</v>
      </c>
      <c r="AN2230" s="20">
        <f t="shared" si="393"/>
        <v>122720</v>
      </c>
      <c r="AP2230" s="20">
        <f t="shared" si="391"/>
        <v>122720</v>
      </c>
      <c r="AQ2230" s="7"/>
      <c r="AR2230" s="20"/>
      <c r="AS2230" s="51"/>
    </row>
    <row r="2231" spans="1:45" s="21" customFormat="1" ht="30" customHeight="1" x14ac:dyDescent="0.2">
      <c r="A2231" s="2">
        <v>1917</v>
      </c>
      <c r="B2231" s="46">
        <v>4</v>
      </c>
      <c r="C2231" s="16" t="s">
        <v>52</v>
      </c>
      <c r="D2231" s="48">
        <v>35785</v>
      </c>
      <c r="E2231" s="47">
        <v>157</v>
      </c>
      <c r="F2231" s="48">
        <v>7086</v>
      </c>
      <c r="G2231" s="49">
        <v>3</v>
      </c>
      <c r="H2231" s="48">
        <v>3</v>
      </c>
      <c r="I2231" s="48">
        <v>3</v>
      </c>
      <c r="J2231" s="48">
        <v>92</v>
      </c>
      <c r="K2231" s="3">
        <f>1200+392</f>
        <v>1592</v>
      </c>
      <c r="L2231" s="16"/>
      <c r="M2231" s="57"/>
      <c r="N2231" s="58"/>
      <c r="P2231" s="16">
        <v>1</v>
      </c>
      <c r="Q2231" s="20">
        <f t="shared" si="385"/>
        <v>1592</v>
      </c>
      <c r="R2231" s="14">
        <v>160</v>
      </c>
      <c r="S2231" s="19">
        <f t="shared" si="386"/>
        <v>254720</v>
      </c>
      <c r="T2231" s="16"/>
      <c r="U2231" s="17"/>
      <c r="V2231" s="17"/>
      <c r="W2231" s="5"/>
      <c r="X2231" s="16"/>
      <c r="Y2231" s="5"/>
      <c r="Z2231" s="16"/>
      <c r="AA2231" s="16"/>
      <c r="AB2231" s="16"/>
      <c r="AE2231" s="16"/>
      <c r="AG2231" s="22">
        <f t="shared" si="392"/>
        <v>0</v>
      </c>
      <c r="AH2231" s="6"/>
      <c r="AJ2231" s="20">
        <f t="shared" si="388"/>
        <v>0</v>
      </c>
      <c r="AK2231" s="50"/>
      <c r="AL2231" s="6"/>
      <c r="AM2231" s="20">
        <f t="shared" si="389"/>
        <v>0</v>
      </c>
      <c r="AN2231" s="20">
        <f t="shared" si="393"/>
        <v>254720</v>
      </c>
      <c r="AP2231" s="20">
        <f t="shared" si="391"/>
        <v>254720</v>
      </c>
      <c r="AQ2231" s="7"/>
      <c r="AR2231" s="20"/>
      <c r="AS2231" s="51"/>
    </row>
    <row r="2232" spans="1:45" ht="30" customHeight="1" x14ac:dyDescent="0.2">
      <c r="A2232" s="8">
        <v>1918</v>
      </c>
      <c r="B2232" s="13">
        <v>5</v>
      </c>
      <c r="C2232" s="16" t="s">
        <v>65</v>
      </c>
      <c r="D2232" s="17">
        <v>748</v>
      </c>
      <c r="E2232" s="17">
        <v>44</v>
      </c>
      <c r="H2232" s="17">
        <v>4</v>
      </c>
      <c r="I2232" s="17">
        <v>3</v>
      </c>
      <c r="J2232" s="17">
        <v>36</v>
      </c>
      <c r="K2232" s="10">
        <v>1936</v>
      </c>
      <c r="P2232" s="17">
        <v>1</v>
      </c>
      <c r="Q2232" s="20">
        <f t="shared" si="385"/>
        <v>1936</v>
      </c>
      <c r="R2232" s="14">
        <v>200</v>
      </c>
      <c r="S2232" s="20">
        <f t="shared" si="386"/>
        <v>387200</v>
      </c>
      <c r="AC2232" s="21"/>
      <c r="AD2232" s="21"/>
      <c r="AG2232" s="22">
        <f t="shared" si="392"/>
        <v>0</v>
      </c>
      <c r="AJ2232" s="20">
        <f t="shared" si="388"/>
        <v>0</v>
      </c>
      <c r="AM2232" s="20">
        <f t="shared" si="389"/>
        <v>0</v>
      </c>
      <c r="AN2232" s="20">
        <f t="shared" si="393"/>
        <v>387200</v>
      </c>
      <c r="AP2232" s="20">
        <f t="shared" si="391"/>
        <v>387200</v>
      </c>
      <c r="AQ2232" s="12">
        <v>1E-4</v>
      </c>
      <c r="AR2232" s="20"/>
    </row>
    <row r="2233" spans="1:45" ht="30" customHeight="1" x14ac:dyDescent="0.2">
      <c r="C2233" s="16"/>
      <c r="Q2233" s="20"/>
      <c r="AC2233" s="21"/>
      <c r="AD2233" s="21"/>
      <c r="AG2233" s="22"/>
      <c r="AJ2233" s="20"/>
      <c r="AM2233" s="20"/>
      <c r="AN2233" s="20"/>
      <c r="AP2233" s="20"/>
      <c r="AR2233" s="20"/>
    </row>
    <row r="2234" spans="1:45" s="21" customFormat="1" ht="30" customHeight="1" x14ac:dyDescent="0.2">
      <c r="A2234" s="8">
        <v>1919</v>
      </c>
      <c r="B2234" s="46">
        <v>1</v>
      </c>
      <c r="C2234" s="16" t="s">
        <v>52</v>
      </c>
      <c r="D2234" s="48">
        <v>2279</v>
      </c>
      <c r="E2234" s="47">
        <v>69</v>
      </c>
      <c r="F2234" s="48">
        <v>1763</v>
      </c>
      <c r="G2234" s="49">
        <v>3</v>
      </c>
      <c r="H2234" s="48">
        <v>0</v>
      </c>
      <c r="I2234" s="48">
        <v>0</v>
      </c>
      <c r="J2234" s="48">
        <v>70</v>
      </c>
      <c r="K2234" s="3">
        <v>70</v>
      </c>
      <c r="L2234" s="16"/>
      <c r="M2234" s="57"/>
      <c r="N2234" s="58"/>
      <c r="P2234" s="16">
        <v>1</v>
      </c>
      <c r="Q2234" s="20">
        <f t="shared" si="385"/>
        <v>70</v>
      </c>
      <c r="R2234" s="14">
        <v>250</v>
      </c>
      <c r="S2234" s="19">
        <f t="shared" si="386"/>
        <v>17500</v>
      </c>
      <c r="T2234" s="16"/>
      <c r="U2234" s="17"/>
      <c r="V2234" s="17"/>
      <c r="W2234" s="5"/>
      <c r="X2234" s="16"/>
      <c r="Y2234" s="5"/>
      <c r="Z2234" s="16"/>
      <c r="AA2234" s="16"/>
      <c r="AB2234" s="16"/>
      <c r="AE2234" s="16"/>
      <c r="AG2234" s="22">
        <f t="shared" si="392"/>
        <v>0</v>
      </c>
      <c r="AH2234" s="6"/>
      <c r="AJ2234" s="20">
        <f t="shared" si="388"/>
        <v>0</v>
      </c>
      <c r="AK2234" s="50"/>
      <c r="AL2234" s="6"/>
      <c r="AM2234" s="20">
        <f t="shared" si="389"/>
        <v>0</v>
      </c>
      <c r="AN2234" s="20">
        <f t="shared" si="393"/>
        <v>17500</v>
      </c>
      <c r="AP2234" s="20">
        <f t="shared" si="391"/>
        <v>17500</v>
      </c>
      <c r="AQ2234" s="7"/>
      <c r="AR2234" s="20"/>
      <c r="AS2234" s="51"/>
    </row>
    <row r="2235" spans="1:45" ht="30" customHeight="1" x14ac:dyDescent="0.2">
      <c r="C2235" s="16"/>
      <c r="Q2235" s="20"/>
      <c r="S2235" s="20"/>
      <c r="AC2235" s="21"/>
      <c r="AD2235" s="21"/>
      <c r="AG2235" s="22"/>
      <c r="AJ2235" s="20"/>
      <c r="AM2235" s="20"/>
      <c r="AN2235" s="20"/>
      <c r="AP2235" s="20"/>
      <c r="AR2235" s="20"/>
    </row>
    <row r="2236" spans="1:45" s="21" customFormat="1" ht="30" customHeight="1" x14ac:dyDescent="0.2">
      <c r="A2236" s="8">
        <v>1920</v>
      </c>
      <c r="B2236" s="46">
        <v>1</v>
      </c>
      <c r="C2236" s="16" t="s">
        <v>52</v>
      </c>
      <c r="D2236" s="48">
        <v>1925</v>
      </c>
      <c r="E2236" s="47">
        <v>126</v>
      </c>
      <c r="F2236" s="48">
        <v>1290</v>
      </c>
      <c r="G2236" s="49">
        <v>2</v>
      </c>
      <c r="H2236" s="48">
        <v>6</v>
      </c>
      <c r="I2236" s="48">
        <v>3</v>
      </c>
      <c r="J2236" s="48">
        <v>32</v>
      </c>
      <c r="K2236" s="3">
        <v>2732</v>
      </c>
      <c r="L2236" s="16"/>
      <c r="M2236" s="57"/>
      <c r="N2236" s="58"/>
      <c r="P2236" s="16">
        <v>1</v>
      </c>
      <c r="Q2236" s="20">
        <f t="shared" si="385"/>
        <v>2732</v>
      </c>
      <c r="R2236" s="14">
        <v>160</v>
      </c>
      <c r="S2236" s="19">
        <f t="shared" si="386"/>
        <v>437120</v>
      </c>
      <c r="T2236" s="16"/>
      <c r="U2236" s="17"/>
      <c r="V2236" s="17"/>
      <c r="W2236" s="5"/>
      <c r="X2236" s="16"/>
      <c r="Y2236" s="5"/>
      <c r="Z2236" s="16"/>
      <c r="AA2236" s="16"/>
      <c r="AB2236" s="16"/>
      <c r="AC2236" s="14"/>
      <c r="AD2236" s="14"/>
      <c r="AE2236" s="16"/>
      <c r="AG2236" s="22">
        <f t="shared" si="392"/>
        <v>0</v>
      </c>
      <c r="AH2236" s="6"/>
      <c r="AJ2236" s="20">
        <f t="shared" si="388"/>
        <v>0</v>
      </c>
      <c r="AK2236" s="50"/>
      <c r="AL2236" s="6"/>
      <c r="AM2236" s="20">
        <f t="shared" si="389"/>
        <v>0</v>
      </c>
      <c r="AN2236" s="20">
        <f t="shared" si="393"/>
        <v>437120</v>
      </c>
      <c r="AP2236" s="20">
        <f t="shared" si="391"/>
        <v>437120</v>
      </c>
      <c r="AQ2236" s="7"/>
      <c r="AR2236" s="20"/>
      <c r="AS2236" s="51"/>
    </row>
    <row r="2237" spans="1:45" s="21" customFormat="1" ht="30" customHeight="1" x14ac:dyDescent="0.2">
      <c r="A2237" s="8">
        <v>1921</v>
      </c>
      <c r="B2237" s="46">
        <v>1</v>
      </c>
      <c r="C2237" s="16" t="s">
        <v>52</v>
      </c>
      <c r="D2237" s="48">
        <v>1950</v>
      </c>
      <c r="E2237" s="47">
        <v>40</v>
      </c>
      <c r="F2237" s="48">
        <v>1307</v>
      </c>
      <c r="G2237" s="49">
        <v>2</v>
      </c>
      <c r="H2237" s="48">
        <v>8</v>
      </c>
      <c r="I2237" s="48">
        <v>2</v>
      </c>
      <c r="J2237" s="48">
        <v>20</v>
      </c>
      <c r="K2237" s="3">
        <f>3420-L2237</f>
        <v>3360</v>
      </c>
      <c r="L2237" s="16">
        <f>240/4</f>
        <v>60</v>
      </c>
      <c r="M2237" s="57"/>
      <c r="N2237" s="58"/>
      <c r="P2237" s="16">
        <v>5</v>
      </c>
      <c r="Q2237" s="20">
        <f t="shared" si="385"/>
        <v>3420</v>
      </c>
      <c r="R2237" s="14">
        <v>160</v>
      </c>
      <c r="S2237" s="19">
        <f t="shared" si="386"/>
        <v>547200</v>
      </c>
      <c r="T2237" s="16"/>
      <c r="U2237" s="17" t="s">
        <v>57</v>
      </c>
      <c r="V2237" s="17" t="s">
        <v>56</v>
      </c>
      <c r="W2237" s="5"/>
      <c r="X2237" s="16"/>
      <c r="Y2237" s="5">
        <v>240</v>
      </c>
      <c r="Z2237" s="16"/>
      <c r="AA2237" s="16"/>
      <c r="AB2237" s="16">
        <f>62-43</f>
        <v>19</v>
      </c>
      <c r="AE2237" s="16"/>
      <c r="AG2237" s="22">
        <f t="shared" si="392"/>
        <v>240</v>
      </c>
      <c r="AH2237" s="6"/>
      <c r="AJ2237" s="20">
        <f t="shared" si="388"/>
        <v>0</v>
      </c>
      <c r="AK2237" s="50">
        <v>19</v>
      </c>
      <c r="AL2237" s="6"/>
      <c r="AM2237" s="20">
        <f t="shared" si="389"/>
        <v>0</v>
      </c>
      <c r="AN2237" s="20">
        <f t="shared" si="393"/>
        <v>547200</v>
      </c>
      <c r="AP2237" s="20">
        <f t="shared" si="391"/>
        <v>547200</v>
      </c>
      <c r="AQ2237" s="7"/>
      <c r="AR2237" s="60"/>
      <c r="AS2237" s="128">
        <v>43</v>
      </c>
    </row>
    <row r="2238" spans="1:45" s="21" customFormat="1" ht="30" customHeight="1" x14ac:dyDescent="0.2">
      <c r="A2238" s="2">
        <v>1922</v>
      </c>
      <c r="B2238" s="46">
        <v>2</v>
      </c>
      <c r="C2238" s="16" t="s">
        <v>52</v>
      </c>
      <c r="D2238" s="48">
        <v>1960</v>
      </c>
      <c r="E2238" s="47">
        <v>17</v>
      </c>
      <c r="F2238" s="48">
        <v>1317</v>
      </c>
      <c r="G2238" s="49">
        <v>2</v>
      </c>
      <c r="H2238" s="48">
        <v>6</v>
      </c>
      <c r="I2238" s="48">
        <v>3</v>
      </c>
      <c r="J2238" s="48">
        <v>47</v>
      </c>
      <c r="K2238" s="3">
        <v>2747</v>
      </c>
      <c r="L2238" s="16"/>
      <c r="M2238" s="57"/>
      <c r="N2238" s="58"/>
      <c r="P2238" s="16">
        <v>1</v>
      </c>
      <c r="Q2238" s="20">
        <f t="shared" si="385"/>
        <v>2747</v>
      </c>
      <c r="R2238" s="14">
        <v>160</v>
      </c>
      <c r="S2238" s="20">
        <f t="shared" si="386"/>
        <v>439520</v>
      </c>
      <c r="T2238" s="16"/>
      <c r="U2238" s="17"/>
      <c r="V2238" s="17"/>
      <c r="W2238" s="5"/>
      <c r="X2238" s="16"/>
      <c r="Y2238" s="5"/>
      <c r="Z2238" s="16"/>
      <c r="AA2238" s="16"/>
      <c r="AB2238" s="16"/>
      <c r="AC2238" s="14"/>
      <c r="AD2238" s="14"/>
      <c r="AE2238" s="16"/>
      <c r="AG2238" s="22">
        <f t="shared" si="392"/>
        <v>0</v>
      </c>
      <c r="AH2238" s="6"/>
      <c r="AJ2238" s="20">
        <f t="shared" si="388"/>
        <v>0</v>
      </c>
      <c r="AK2238" s="50"/>
      <c r="AL2238" s="6"/>
      <c r="AM2238" s="20">
        <f t="shared" si="389"/>
        <v>0</v>
      </c>
      <c r="AN2238" s="20">
        <f t="shared" si="393"/>
        <v>439520</v>
      </c>
      <c r="AP2238" s="20">
        <f t="shared" si="391"/>
        <v>439520</v>
      </c>
      <c r="AQ2238" s="7"/>
      <c r="AR2238" s="25"/>
      <c r="AS2238" s="130"/>
    </row>
    <row r="2239" spans="1:45" s="21" customFormat="1" ht="30" customHeight="1" x14ac:dyDescent="0.2">
      <c r="A2239" s="8">
        <v>1923</v>
      </c>
      <c r="B2239" s="46">
        <v>1</v>
      </c>
      <c r="C2239" s="16" t="s">
        <v>52</v>
      </c>
      <c r="D2239" s="48">
        <v>1891</v>
      </c>
      <c r="E2239" s="47">
        <v>33</v>
      </c>
      <c r="F2239" s="48">
        <v>1281</v>
      </c>
      <c r="G2239" s="49">
        <v>2</v>
      </c>
      <c r="H2239" s="48">
        <v>1</v>
      </c>
      <c r="I2239" s="48">
        <v>3</v>
      </c>
      <c r="J2239" s="48">
        <v>95</v>
      </c>
      <c r="K2239" s="3">
        <v>1195</v>
      </c>
      <c r="L2239" s="16"/>
      <c r="M2239" s="57"/>
      <c r="N2239" s="58"/>
      <c r="P2239" s="16">
        <v>1</v>
      </c>
      <c r="Q2239" s="20">
        <f t="shared" si="385"/>
        <v>795</v>
      </c>
      <c r="R2239" s="14">
        <v>160</v>
      </c>
      <c r="S2239" s="19">
        <f t="shared" si="386"/>
        <v>127200</v>
      </c>
      <c r="T2239" s="16"/>
      <c r="U2239" s="17"/>
      <c r="V2239" s="17"/>
      <c r="W2239" s="5"/>
      <c r="X2239" s="16"/>
      <c r="Y2239" s="5"/>
      <c r="Z2239" s="16"/>
      <c r="AA2239" s="16"/>
      <c r="AB2239" s="16"/>
      <c r="AC2239" s="14"/>
      <c r="AD2239" s="14"/>
      <c r="AE2239" s="16"/>
      <c r="AG2239" s="22">
        <f t="shared" si="392"/>
        <v>0</v>
      </c>
      <c r="AH2239" s="6"/>
      <c r="AJ2239" s="20">
        <f t="shared" si="388"/>
        <v>0</v>
      </c>
      <c r="AK2239" s="50"/>
      <c r="AL2239" s="6"/>
      <c r="AM2239" s="20">
        <f t="shared" si="389"/>
        <v>0</v>
      </c>
      <c r="AN2239" s="20">
        <f t="shared" si="393"/>
        <v>127200</v>
      </c>
      <c r="AP2239" s="20">
        <f t="shared" si="391"/>
        <v>127200</v>
      </c>
      <c r="AQ2239" s="7"/>
      <c r="AR2239" s="60"/>
      <c r="AS2239" s="128">
        <f>22+26+42</f>
        <v>90</v>
      </c>
    </row>
    <row r="2240" spans="1:45" s="21" customFormat="1" ht="30" customHeight="1" x14ac:dyDescent="0.2">
      <c r="A2240" s="2">
        <v>1924</v>
      </c>
      <c r="B2240" s="46">
        <v>2</v>
      </c>
      <c r="C2240" s="16" t="s">
        <v>52</v>
      </c>
      <c r="D2240" s="48">
        <v>1897</v>
      </c>
      <c r="E2240" s="47">
        <v>27</v>
      </c>
      <c r="F2240" s="48">
        <v>1287</v>
      </c>
      <c r="G2240" s="49">
        <v>2</v>
      </c>
      <c r="H2240" s="48">
        <v>0</v>
      </c>
      <c r="I2240" s="48">
        <v>3</v>
      </c>
      <c r="J2240" s="48">
        <v>88</v>
      </c>
      <c r="K2240" s="3">
        <v>388</v>
      </c>
      <c r="L2240" s="16"/>
      <c r="M2240" s="57"/>
      <c r="N2240" s="58"/>
      <c r="P2240" s="16">
        <v>1</v>
      </c>
      <c r="Q2240" s="20">
        <f t="shared" si="385"/>
        <v>388</v>
      </c>
      <c r="R2240" s="14">
        <v>160</v>
      </c>
      <c r="S2240" s="19">
        <f t="shared" si="386"/>
        <v>62080</v>
      </c>
      <c r="T2240" s="16"/>
      <c r="U2240" s="17"/>
      <c r="V2240" s="17"/>
      <c r="W2240" s="5"/>
      <c r="X2240" s="16"/>
      <c r="Y2240" s="5"/>
      <c r="Z2240" s="16"/>
      <c r="AA2240" s="16"/>
      <c r="AB2240" s="16"/>
      <c r="AC2240" s="14"/>
      <c r="AD2240" s="14"/>
      <c r="AE2240" s="16"/>
      <c r="AG2240" s="22">
        <f t="shared" si="392"/>
        <v>0</v>
      </c>
      <c r="AH2240" s="6"/>
      <c r="AJ2240" s="20">
        <f t="shared" si="388"/>
        <v>0</v>
      </c>
      <c r="AK2240" s="50"/>
      <c r="AL2240" s="6"/>
      <c r="AM2240" s="20">
        <f t="shared" si="389"/>
        <v>0</v>
      </c>
      <c r="AN2240" s="20">
        <f t="shared" si="393"/>
        <v>62080</v>
      </c>
      <c r="AP2240" s="20">
        <f t="shared" si="391"/>
        <v>62080</v>
      </c>
      <c r="AQ2240" s="7"/>
      <c r="AR2240" s="24"/>
      <c r="AS2240" s="129"/>
    </row>
    <row r="2241" spans="1:45" s="21" customFormat="1" ht="30" customHeight="1" x14ac:dyDescent="0.2">
      <c r="A2241" s="8">
        <v>1925</v>
      </c>
      <c r="B2241" s="46">
        <v>3</v>
      </c>
      <c r="C2241" s="16" t="s">
        <v>52</v>
      </c>
      <c r="D2241" s="48">
        <v>2308</v>
      </c>
      <c r="E2241" s="47">
        <v>59</v>
      </c>
      <c r="F2241" s="48">
        <v>1065</v>
      </c>
      <c r="G2241" s="49">
        <v>3</v>
      </c>
      <c r="H2241" s="48">
        <v>0</v>
      </c>
      <c r="I2241" s="48">
        <v>0</v>
      </c>
      <c r="J2241" s="48">
        <v>27</v>
      </c>
      <c r="K2241" s="3"/>
      <c r="L2241" s="16">
        <v>27</v>
      </c>
      <c r="M2241" s="57"/>
      <c r="N2241" s="58"/>
      <c r="P2241" s="16">
        <v>2</v>
      </c>
      <c r="Q2241" s="20">
        <f t="shared" si="385"/>
        <v>27</v>
      </c>
      <c r="R2241" s="14">
        <v>2000</v>
      </c>
      <c r="S2241" s="20">
        <f t="shared" si="386"/>
        <v>54000</v>
      </c>
      <c r="T2241" s="16"/>
      <c r="U2241" s="17" t="s">
        <v>63</v>
      </c>
      <c r="V2241" s="17" t="s">
        <v>56</v>
      </c>
      <c r="W2241" s="5"/>
      <c r="X2241" s="16"/>
      <c r="Y2241" s="5">
        <v>80</v>
      </c>
      <c r="Z2241" s="16"/>
      <c r="AA2241" s="16"/>
      <c r="AB2241" s="16">
        <f>62-42</f>
        <v>20</v>
      </c>
      <c r="AC2241" s="14"/>
      <c r="AD2241" s="14"/>
      <c r="AE2241" s="16"/>
      <c r="AG2241" s="22">
        <f t="shared" si="392"/>
        <v>80</v>
      </c>
      <c r="AH2241" s="6"/>
      <c r="AJ2241" s="20">
        <f t="shared" si="388"/>
        <v>0</v>
      </c>
      <c r="AK2241" s="50">
        <v>20</v>
      </c>
      <c r="AL2241" s="6"/>
      <c r="AM2241" s="20">
        <f t="shared" si="389"/>
        <v>0</v>
      </c>
      <c r="AN2241" s="20">
        <f t="shared" si="393"/>
        <v>54000</v>
      </c>
      <c r="AP2241" s="20">
        <f t="shared" si="391"/>
        <v>54000</v>
      </c>
      <c r="AQ2241" s="7"/>
      <c r="AR2241" s="24"/>
      <c r="AS2241" s="129"/>
    </row>
    <row r="2242" spans="1:45" s="21" customFormat="1" ht="30" customHeight="1" x14ac:dyDescent="0.2">
      <c r="A2242" s="8"/>
      <c r="B2242" s="46"/>
      <c r="C2242" s="16"/>
      <c r="D2242" s="48"/>
      <c r="E2242" s="47"/>
      <c r="F2242" s="48"/>
      <c r="G2242" s="49"/>
      <c r="H2242" s="48"/>
      <c r="I2242" s="48"/>
      <c r="J2242" s="48"/>
      <c r="K2242" s="3"/>
      <c r="L2242" s="16"/>
      <c r="M2242" s="57"/>
      <c r="N2242" s="58"/>
      <c r="P2242" s="16"/>
      <c r="Q2242" s="20"/>
      <c r="R2242" s="14"/>
      <c r="S2242" s="20"/>
      <c r="T2242" s="16"/>
      <c r="U2242" s="17"/>
      <c r="V2242" s="17"/>
      <c r="W2242" s="5"/>
      <c r="X2242" s="16"/>
      <c r="Y2242" s="5"/>
      <c r="Z2242" s="16"/>
      <c r="AA2242" s="16"/>
      <c r="AB2242" s="16"/>
      <c r="AC2242" s="14"/>
      <c r="AD2242" s="14"/>
      <c r="AE2242" s="16"/>
      <c r="AG2242" s="22"/>
      <c r="AH2242" s="6"/>
      <c r="AJ2242" s="20"/>
      <c r="AK2242" s="50"/>
      <c r="AL2242" s="6"/>
      <c r="AM2242" s="20"/>
      <c r="AN2242" s="20"/>
      <c r="AP2242" s="20"/>
      <c r="AQ2242" s="7"/>
      <c r="AR2242" s="24"/>
      <c r="AS2242" s="129"/>
    </row>
    <row r="2243" spans="1:45" ht="30" customHeight="1" x14ac:dyDescent="0.2">
      <c r="A2243" s="2">
        <v>1926</v>
      </c>
      <c r="B2243" s="46">
        <v>5</v>
      </c>
      <c r="C2243" s="16" t="s">
        <v>65</v>
      </c>
      <c r="D2243" s="17">
        <v>475</v>
      </c>
      <c r="E2243" s="17">
        <v>28</v>
      </c>
      <c r="H2243" s="17">
        <v>5</v>
      </c>
      <c r="I2243" s="17">
        <v>1</v>
      </c>
      <c r="J2243" s="17">
        <v>51</v>
      </c>
      <c r="K2243" s="10">
        <v>2151</v>
      </c>
      <c r="P2243" s="17">
        <v>1</v>
      </c>
      <c r="Q2243" s="20">
        <f t="shared" si="385"/>
        <v>2151</v>
      </c>
      <c r="R2243" s="14">
        <v>160</v>
      </c>
      <c r="S2243" s="19">
        <f t="shared" si="386"/>
        <v>344160</v>
      </c>
      <c r="AG2243" s="22">
        <f t="shared" si="392"/>
        <v>0</v>
      </c>
      <c r="AJ2243" s="20">
        <f t="shared" si="388"/>
        <v>0</v>
      </c>
      <c r="AM2243" s="20">
        <f t="shared" si="389"/>
        <v>0</v>
      </c>
      <c r="AN2243" s="20">
        <f t="shared" ref="AN2243:AN2248" si="394">+S2243+AM2243</f>
        <v>344160</v>
      </c>
      <c r="AP2243" s="20">
        <f t="shared" si="391"/>
        <v>344160</v>
      </c>
      <c r="AQ2243" s="12">
        <v>1E-4</v>
      </c>
      <c r="AR2243" s="24"/>
      <c r="AS2243" s="129"/>
    </row>
    <row r="2244" spans="1:45" ht="30" customHeight="1" x14ac:dyDescent="0.2">
      <c r="A2244" s="8">
        <v>1927</v>
      </c>
      <c r="B2244" s="46">
        <v>6</v>
      </c>
      <c r="C2244" s="16" t="s">
        <v>65</v>
      </c>
      <c r="D2244" s="17">
        <v>3822</v>
      </c>
      <c r="E2244" s="17">
        <v>33</v>
      </c>
      <c r="H2244" s="17">
        <v>4</v>
      </c>
      <c r="I2244" s="17">
        <v>2</v>
      </c>
      <c r="J2244" s="17">
        <v>61</v>
      </c>
      <c r="K2244" s="10">
        <v>1861</v>
      </c>
      <c r="P2244" s="17">
        <v>1</v>
      </c>
      <c r="Q2244" s="20">
        <f t="shared" si="385"/>
        <v>1861</v>
      </c>
      <c r="R2244" s="14">
        <v>200</v>
      </c>
      <c r="S2244" s="19">
        <f t="shared" si="386"/>
        <v>372200</v>
      </c>
      <c r="AC2244" s="21"/>
      <c r="AD2244" s="21"/>
      <c r="AG2244" s="22">
        <f t="shared" si="392"/>
        <v>0</v>
      </c>
      <c r="AJ2244" s="20">
        <f t="shared" si="388"/>
        <v>0</v>
      </c>
      <c r="AM2244" s="20">
        <f t="shared" si="389"/>
        <v>0</v>
      </c>
      <c r="AN2244" s="20">
        <f t="shared" si="394"/>
        <v>372200</v>
      </c>
      <c r="AP2244" s="20">
        <f t="shared" si="391"/>
        <v>372200</v>
      </c>
      <c r="AQ2244" s="12">
        <v>1E-4</v>
      </c>
      <c r="AR2244" s="25"/>
      <c r="AS2244" s="130"/>
    </row>
    <row r="2245" spans="1:45" s="21" customFormat="1" ht="30" customHeight="1" x14ac:dyDescent="0.2">
      <c r="A2245" s="2">
        <v>1928</v>
      </c>
      <c r="B2245" s="46">
        <v>1</v>
      </c>
      <c r="C2245" s="16" t="s">
        <v>52</v>
      </c>
      <c r="D2245" s="48">
        <v>34386</v>
      </c>
      <c r="E2245" s="47">
        <v>20</v>
      </c>
      <c r="F2245" s="48">
        <v>1303</v>
      </c>
      <c r="G2245" s="49">
        <v>2</v>
      </c>
      <c r="H2245" s="48">
        <v>8</v>
      </c>
      <c r="I2245" s="48">
        <v>1</v>
      </c>
      <c r="J2245" s="48">
        <v>82</v>
      </c>
      <c r="K2245" s="3">
        <v>3382</v>
      </c>
      <c r="L2245" s="16"/>
      <c r="M2245" s="57"/>
      <c r="N2245" s="58"/>
      <c r="P2245" s="16">
        <v>1</v>
      </c>
      <c r="Q2245" s="20">
        <f t="shared" si="385"/>
        <v>3382</v>
      </c>
      <c r="R2245" s="14">
        <v>160</v>
      </c>
      <c r="S2245" s="20">
        <f t="shared" si="386"/>
        <v>541120</v>
      </c>
      <c r="T2245" s="16"/>
      <c r="U2245" s="17"/>
      <c r="V2245" s="17"/>
      <c r="W2245" s="5"/>
      <c r="X2245" s="16"/>
      <c r="Y2245" s="5"/>
      <c r="Z2245" s="16"/>
      <c r="AA2245" s="16"/>
      <c r="AB2245" s="16"/>
      <c r="AC2245" s="14"/>
      <c r="AD2245" s="14"/>
      <c r="AE2245" s="16"/>
      <c r="AG2245" s="22">
        <f t="shared" si="392"/>
        <v>0</v>
      </c>
      <c r="AH2245" s="6"/>
      <c r="AJ2245" s="20">
        <f t="shared" si="388"/>
        <v>0</v>
      </c>
      <c r="AK2245" s="50"/>
      <c r="AL2245" s="6"/>
      <c r="AM2245" s="20">
        <f t="shared" si="389"/>
        <v>0</v>
      </c>
      <c r="AN2245" s="20">
        <f t="shared" si="394"/>
        <v>541120</v>
      </c>
      <c r="AP2245" s="20">
        <f t="shared" si="391"/>
        <v>541120</v>
      </c>
      <c r="AQ2245" s="7"/>
      <c r="AR2245" s="20"/>
      <c r="AS2245" s="51"/>
    </row>
    <row r="2246" spans="1:45" ht="30" customHeight="1" x14ac:dyDescent="0.2">
      <c r="A2246" s="8"/>
      <c r="C2246" s="16"/>
      <c r="Q2246" s="20"/>
      <c r="AC2246" s="21"/>
      <c r="AD2246" s="21"/>
      <c r="AG2246" s="22"/>
      <c r="AJ2246" s="20"/>
      <c r="AM2246" s="20"/>
      <c r="AN2246" s="20"/>
      <c r="AP2246" s="20"/>
      <c r="AR2246" s="20"/>
    </row>
    <row r="2247" spans="1:45" s="21" customFormat="1" ht="30" customHeight="1" x14ac:dyDescent="0.2">
      <c r="A2247" s="2">
        <v>1929</v>
      </c>
      <c r="B2247" s="46">
        <v>1</v>
      </c>
      <c r="C2247" s="16" t="s">
        <v>52</v>
      </c>
      <c r="D2247" s="48">
        <v>1820</v>
      </c>
      <c r="E2247" s="47">
        <v>12</v>
      </c>
      <c r="F2247" s="48">
        <v>1207</v>
      </c>
      <c r="G2247" s="49">
        <v>2</v>
      </c>
      <c r="H2247" s="48">
        <v>4</v>
      </c>
      <c r="I2247" s="48">
        <v>1</v>
      </c>
      <c r="J2247" s="48">
        <v>77</v>
      </c>
      <c r="K2247" s="3">
        <v>1777</v>
      </c>
      <c r="L2247" s="16"/>
      <c r="M2247" s="57"/>
      <c r="N2247" s="58"/>
      <c r="P2247" s="16">
        <v>1</v>
      </c>
      <c r="Q2247" s="20">
        <f t="shared" si="385"/>
        <v>1777</v>
      </c>
      <c r="R2247" s="14">
        <v>160</v>
      </c>
      <c r="S2247" s="19">
        <f t="shared" si="386"/>
        <v>284320</v>
      </c>
      <c r="T2247" s="16"/>
      <c r="U2247" s="17"/>
      <c r="V2247" s="17"/>
      <c r="W2247" s="5"/>
      <c r="X2247" s="16"/>
      <c r="Y2247" s="5"/>
      <c r="Z2247" s="16"/>
      <c r="AA2247" s="16"/>
      <c r="AB2247" s="16"/>
      <c r="AE2247" s="16"/>
      <c r="AG2247" s="22">
        <f t="shared" si="392"/>
        <v>0</v>
      </c>
      <c r="AH2247" s="6"/>
      <c r="AJ2247" s="20">
        <f t="shared" si="388"/>
        <v>0</v>
      </c>
      <c r="AK2247" s="50"/>
      <c r="AL2247" s="6"/>
      <c r="AM2247" s="20">
        <f t="shared" si="389"/>
        <v>0</v>
      </c>
      <c r="AN2247" s="20">
        <f t="shared" si="394"/>
        <v>284320</v>
      </c>
      <c r="AP2247" s="20">
        <f t="shared" si="391"/>
        <v>284320</v>
      </c>
      <c r="AQ2247" s="7"/>
      <c r="AR2247" s="96" t="s">
        <v>198</v>
      </c>
      <c r="AS2247" s="96">
        <f>76+780</f>
        <v>856</v>
      </c>
    </row>
    <row r="2248" spans="1:45" s="21" customFormat="1" ht="30" customHeight="1" x14ac:dyDescent="0.2">
      <c r="A2248" s="8">
        <v>1930</v>
      </c>
      <c r="B2248" s="46">
        <v>2</v>
      </c>
      <c r="C2248" s="16" t="s">
        <v>52</v>
      </c>
      <c r="D2248" s="48">
        <v>1941</v>
      </c>
      <c r="E2248" s="47">
        <v>22</v>
      </c>
      <c r="F2248" s="48">
        <v>1337</v>
      </c>
      <c r="G2248" s="49">
        <v>2</v>
      </c>
      <c r="H2248" s="48">
        <v>2</v>
      </c>
      <c r="I2248" s="48">
        <v>1</v>
      </c>
      <c r="J2248" s="48">
        <v>13</v>
      </c>
      <c r="K2248" s="3">
        <v>913</v>
      </c>
      <c r="L2248" s="16"/>
      <c r="M2248" s="57"/>
      <c r="N2248" s="58"/>
      <c r="P2248" s="16">
        <v>1</v>
      </c>
      <c r="Q2248" s="20">
        <f t="shared" ref="Q2248:Q2315" si="395">+(H2248*400)+(I2248*100)+J2248</f>
        <v>913</v>
      </c>
      <c r="R2248" s="14">
        <v>160</v>
      </c>
      <c r="S2248" s="20">
        <f t="shared" ref="S2248:S2315" si="396">+Q2248*R2248</f>
        <v>146080</v>
      </c>
      <c r="T2248" s="16"/>
      <c r="U2248" s="17"/>
      <c r="V2248" s="17"/>
      <c r="W2248" s="5"/>
      <c r="X2248" s="16"/>
      <c r="Y2248" s="5"/>
      <c r="Z2248" s="16"/>
      <c r="AA2248" s="16"/>
      <c r="AB2248" s="16"/>
      <c r="AE2248" s="16"/>
      <c r="AG2248" s="22">
        <f t="shared" si="392"/>
        <v>0</v>
      </c>
      <c r="AH2248" s="6"/>
      <c r="AJ2248" s="20">
        <f t="shared" ref="AJ2248:AJ2315" si="397">+AG2248*AH2248*AI2248</f>
        <v>0</v>
      </c>
      <c r="AK2248" s="50"/>
      <c r="AL2248" s="6"/>
      <c r="AM2248" s="20">
        <f t="shared" ref="AM2248:AM2315" si="398">+AJ2248-(AL2248*AJ2248)</f>
        <v>0</v>
      </c>
      <c r="AN2248" s="20">
        <f t="shared" si="394"/>
        <v>146080</v>
      </c>
      <c r="AP2248" s="20">
        <f t="shared" ref="AP2248:AP2315" si="399">AN2248</f>
        <v>146080</v>
      </c>
      <c r="AQ2248" s="7"/>
      <c r="AR2248" s="24">
        <v>780</v>
      </c>
      <c r="AS2248" s="97"/>
    </row>
    <row r="2249" spans="1:45" s="21" customFormat="1" ht="30" customHeight="1" x14ac:dyDescent="0.2">
      <c r="A2249" s="8"/>
      <c r="B2249" s="46"/>
      <c r="C2249" s="16"/>
      <c r="D2249" s="48"/>
      <c r="E2249" s="47"/>
      <c r="F2249" s="48"/>
      <c r="G2249" s="49"/>
      <c r="H2249" s="48"/>
      <c r="I2249" s="48"/>
      <c r="J2249" s="48"/>
      <c r="K2249" s="3"/>
      <c r="L2249" s="16"/>
      <c r="M2249" s="57"/>
      <c r="N2249" s="58"/>
      <c r="P2249" s="16"/>
      <c r="Q2249" s="20"/>
      <c r="R2249" s="14"/>
      <c r="S2249" s="20"/>
      <c r="T2249" s="16"/>
      <c r="U2249" s="17"/>
      <c r="V2249" s="17"/>
      <c r="W2249" s="5"/>
      <c r="X2249" s="16"/>
      <c r="Y2249" s="5"/>
      <c r="Z2249" s="16"/>
      <c r="AA2249" s="16"/>
      <c r="AB2249" s="16"/>
      <c r="AE2249" s="16"/>
      <c r="AG2249" s="22"/>
      <c r="AH2249" s="6"/>
      <c r="AJ2249" s="20"/>
      <c r="AK2249" s="50"/>
      <c r="AL2249" s="6"/>
      <c r="AM2249" s="20"/>
      <c r="AN2249" s="20"/>
      <c r="AP2249" s="20"/>
      <c r="AQ2249" s="7"/>
      <c r="AR2249" s="24"/>
      <c r="AS2249" s="97"/>
    </row>
    <row r="2250" spans="1:45" s="21" customFormat="1" ht="30" customHeight="1" x14ac:dyDescent="0.2">
      <c r="A2250" s="2">
        <v>1931</v>
      </c>
      <c r="B2250" s="46">
        <v>3</v>
      </c>
      <c r="C2250" s="16" t="s">
        <v>52</v>
      </c>
      <c r="D2250" s="48">
        <v>28201</v>
      </c>
      <c r="E2250" s="47">
        <v>45</v>
      </c>
      <c r="F2250" s="48">
        <v>5055</v>
      </c>
      <c r="G2250" s="49">
        <v>2</v>
      </c>
      <c r="H2250" s="48">
        <v>1</v>
      </c>
      <c r="I2250" s="48">
        <v>2</v>
      </c>
      <c r="J2250" s="48">
        <v>8</v>
      </c>
      <c r="K2250" s="3">
        <v>608</v>
      </c>
      <c r="L2250" s="16"/>
      <c r="M2250" s="57"/>
      <c r="N2250" s="58"/>
      <c r="P2250" s="16">
        <v>1</v>
      </c>
      <c r="Q2250" s="20">
        <f t="shared" si="395"/>
        <v>608</v>
      </c>
      <c r="R2250" s="14">
        <v>200</v>
      </c>
      <c r="S2250" s="19">
        <f t="shared" si="396"/>
        <v>121600</v>
      </c>
      <c r="T2250" s="16"/>
      <c r="U2250" s="17"/>
      <c r="V2250" s="17"/>
      <c r="W2250" s="5"/>
      <c r="X2250" s="16"/>
      <c r="Y2250" s="5"/>
      <c r="Z2250" s="16"/>
      <c r="AA2250" s="16"/>
      <c r="AB2250" s="16"/>
      <c r="AE2250" s="16"/>
      <c r="AG2250" s="22">
        <f t="shared" si="392"/>
        <v>0</v>
      </c>
      <c r="AH2250" s="6"/>
      <c r="AJ2250" s="20">
        <f t="shared" si="397"/>
        <v>0</v>
      </c>
      <c r="AK2250" s="50"/>
      <c r="AL2250" s="6"/>
      <c r="AM2250" s="20">
        <f t="shared" si="398"/>
        <v>0</v>
      </c>
      <c r="AN2250" s="20">
        <f>+S2250+AM2250</f>
        <v>121600</v>
      </c>
      <c r="AP2250" s="20">
        <f t="shared" si="399"/>
        <v>121600</v>
      </c>
      <c r="AQ2250" s="7"/>
      <c r="AR2250" s="24"/>
      <c r="AS2250" s="97"/>
    </row>
    <row r="2251" spans="1:45" s="21" customFormat="1" ht="30" customHeight="1" x14ac:dyDescent="0.2">
      <c r="A2251" s="8">
        <v>1932</v>
      </c>
      <c r="B2251" s="46">
        <v>4</v>
      </c>
      <c r="C2251" s="16" t="s">
        <v>52</v>
      </c>
      <c r="D2251" s="48">
        <v>30987</v>
      </c>
      <c r="E2251" s="47">
        <v>94</v>
      </c>
      <c r="F2251" s="48">
        <v>5939</v>
      </c>
      <c r="G2251" s="49">
        <v>2</v>
      </c>
      <c r="H2251" s="48">
        <v>3</v>
      </c>
      <c r="I2251" s="48">
        <v>3</v>
      </c>
      <c r="J2251" s="48">
        <v>43.03</v>
      </c>
      <c r="K2251" s="3">
        <f>1200+343.03</f>
        <v>1543.03</v>
      </c>
      <c r="L2251" s="16"/>
      <c r="M2251" s="57"/>
      <c r="N2251" s="58"/>
      <c r="P2251" s="16">
        <v>1</v>
      </c>
      <c r="Q2251" s="20">
        <f t="shared" si="395"/>
        <v>1543.03</v>
      </c>
      <c r="R2251" s="14">
        <v>160</v>
      </c>
      <c r="S2251" s="19">
        <f t="shared" si="396"/>
        <v>246884.8</v>
      </c>
      <c r="T2251" s="16"/>
      <c r="U2251" s="17"/>
      <c r="V2251" s="17"/>
      <c r="W2251" s="5"/>
      <c r="X2251" s="16"/>
      <c r="Y2251" s="5"/>
      <c r="Z2251" s="16"/>
      <c r="AA2251" s="16"/>
      <c r="AB2251" s="16"/>
      <c r="AE2251" s="16"/>
      <c r="AG2251" s="22">
        <f t="shared" si="392"/>
        <v>0</v>
      </c>
      <c r="AH2251" s="6"/>
      <c r="AJ2251" s="20">
        <f t="shared" si="397"/>
        <v>0</v>
      </c>
      <c r="AK2251" s="50"/>
      <c r="AL2251" s="6"/>
      <c r="AM2251" s="20">
        <f t="shared" si="398"/>
        <v>0</v>
      </c>
      <c r="AN2251" s="20">
        <f>+S2251+AM2251</f>
        <v>246884.8</v>
      </c>
      <c r="AP2251" s="20">
        <f t="shared" si="399"/>
        <v>246884.8</v>
      </c>
      <c r="AQ2251" s="7"/>
      <c r="AR2251" s="24"/>
      <c r="AS2251" s="97"/>
    </row>
    <row r="2252" spans="1:45" s="21" customFormat="1" ht="30" customHeight="1" x14ac:dyDescent="0.2">
      <c r="A2252" s="2">
        <v>1933</v>
      </c>
      <c r="B2252" s="46">
        <v>5</v>
      </c>
      <c r="C2252" s="16" t="s">
        <v>52</v>
      </c>
      <c r="D2252" s="48">
        <v>30988</v>
      </c>
      <c r="E2252" s="47">
        <v>95</v>
      </c>
      <c r="F2252" s="48">
        <v>5940</v>
      </c>
      <c r="G2252" s="49">
        <v>2</v>
      </c>
      <c r="H2252" s="48">
        <v>3</v>
      </c>
      <c r="I2252" s="48">
        <v>2</v>
      </c>
      <c r="J2252" s="48">
        <v>82.06</v>
      </c>
      <c r="K2252" s="3">
        <v>1482.06</v>
      </c>
      <c r="L2252" s="16"/>
      <c r="M2252" s="57"/>
      <c r="N2252" s="58"/>
      <c r="P2252" s="16">
        <v>1</v>
      </c>
      <c r="Q2252" s="20">
        <f t="shared" si="395"/>
        <v>1482.06</v>
      </c>
      <c r="R2252" s="14">
        <v>160</v>
      </c>
      <c r="S2252" s="20">
        <f t="shared" si="396"/>
        <v>237129.59999999998</v>
      </c>
      <c r="T2252" s="16"/>
      <c r="U2252" s="17"/>
      <c r="V2252" s="17"/>
      <c r="W2252" s="5"/>
      <c r="X2252" s="16"/>
      <c r="Y2252" s="5"/>
      <c r="Z2252" s="16"/>
      <c r="AA2252" s="16"/>
      <c r="AB2252" s="16"/>
      <c r="AE2252" s="16"/>
      <c r="AG2252" s="22">
        <f t="shared" si="392"/>
        <v>0</v>
      </c>
      <c r="AH2252" s="6"/>
      <c r="AJ2252" s="20">
        <f t="shared" si="397"/>
        <v>0</v>
      </c>
      <c r="AK2252" s="50"/>
      <c r="AL2252" s="6"/>
      <c r="AM2252" s="20">
        <f t="shared" si="398"/>
        <v>0</v>
      </c>
      <c r="AN2252" s="20">
        <f>+S2252+AM2252</f>
        <v>237129.59999999998</v>
      </c>
      <c r="AP2252" s="20">
        <f t="shared" si="399"/>
        <v>237129.59999999998</v>
      </c>
      <c r="AQ2252" s="7"/>
      <c r="AR2252" s="24"/>
      <c r="AS2252" s="97"/>
    </row>
    <row r="2253" spans="1:45" s="21" customFormat="1" ht="30" customHeight="1" x14ac:dyDescent="0.2">
      <c r="A2253" s="8">
        <v>1934</v>
      </c>
      <c r="B2253" s="46">
        <v>6</v>
      </c>
      <c r="C2253" s="16" t="s">
        <v>52</v>
      </c>
      <c r="D2253" s="48">
        <v>24547</v>
      </c>
      <c r="E2253" s="47">
        <v>285</v>
      </c>
      <c r="F2253" s="48">
        <v>4895</v>
      </c>
      <c r="G2253" s="49">
        <v>2</v>
      </c>
      <c r="H2253" s="48">
        <v>0</v>
      </c>
      <c r="I2253" s="48">
        <v>0</v>
      </c>
      <c r="J2253" s="48">
        <v>72</v>
      </c>
      <c r="K2253" s="3"/>
      <c r="L2253" s="16"/>
      <c r="M2253" s="57"/>
      <c r="N2253" s="58"/>
      <c r="O2253" s="21">
        <v>72</v>
      </c>
      <c r="P2253" s="16">
        <v>2</v>
      </c>
      <c r="Q2253" s="20">
        <f t="shared" si="395"/>
        <v>72</v>
      </c>
      <c r="R2253" s="14">
        <v>2000</v>
      </c>
      <c r="S2253" s="19">
        <f t="shared" si="396"/>
        <v>144000</v>
      </c>
      <c r="T2253" s="16"/>
      <c r="U2253" s="17"/>
      <c r="V2253" s="17"/>
      <c r="W2253" s="5"/>
      <c r="X2253" s="16"/>
      <c r="Y2253" s="5">
        <v>80</v>
      </c>
      <c r="Z2253" s="16"/>
      <c r="AA2253" s="16"/>
      <c r="AB2253" s="16">
        <f>62-46</f>
        <v>16</v>
      </c>
      <c r="AE2253" s="16">
        <f>32/80</f>
        <v>0.4</v>
      </c>
      <c r="AF2253" s="21">
        <v>2</v>
      </c>
      <c r="AG2253" s="22">
        <f t="shared" si="392"/>
        <v>80</v>
      </c>
      <c r="AH2253" s="6">
        <v>0.6</v>
      </c>
      <c r="AI2253" s="21">
        <v>7250</v>
      </c>
      <c r="AJ2253" s="20">
        <f t="shared" si="397"/>
        <v>348000</v>
      </c>
      <c r="AK2253" s="50">
        <v>16</v>
      </c>
      <c r="AL2253" s="6">
        <v>0.22</v>
      </c>
      <c r="AM2253" s="20">
        <f t="shared" si="398"/>
        <v>271440</v>
      </c>
      <c r="AN2253" s="20">
        <f>+(S2253*0.5)+AM2253</f>
        <v>343440</v>
      </c>
      <c r="AP2253" s="20">
        <f t="shared" si="399"/>
        <v>343440</v>
      </c>
      <c r="AQ2253" s="7"/>
      <c r="AR2253" s="24"/>
      <c r="AS2253" s="97"/>
    </row>
    <row r="2254" spans="1:45" s="21" customFormat="1" ht="30" customHeight="1" x14ac:dyDescent="0.2">
      <c r="A2254" s="8"/>
      <c r="B2254" s="46"/>
      <c r="C2254" s="16"/>
      <c r="D2254" s="48"/>
      <c r="E2254" s="47"/>
      <c r="F2254" s="48"/>
      <c r="G2254" s="49"/>
      <c r="H2254" s="48"/>
      <c r="I2254" s="48"/>
      <c r="J2254" s="48"/>
      <c r="K2254" s="3"/>
      <c r="L2254" s="16"/>
      <c r="M2254" s="57"/>
      <c r="N2254" s="58"/>
      <c r="P2254" s="16"/>
      <c r="Q2254" s="20"/>
      <c r="R2254" s="14" t="e">
        <v>#N/A</v>
      </c>
      <c r="S2254" s="19"/>
      <c r="T2254" s="16"/>
      <c r="U2254" s="17"/>
      <c r="V2254" s="17"/>
      <c r="W2254" s="5"/>
      <c r="X2254" s="16"/>
      <c r="Y2254" s="5"/>
      <c r="Z2254" s="16">
        <v>32</v>
      </c>
      <c r="AA2254" s="16"/>
      <c r="AB2254" s="16"/>
      <c r="AE2254" s="16"/>
      <c r="AF2254" s="21">
        <v>3</v>
      </c>
      <c r="AG2254" s="22">
        <v>80</v>
      </c>
      <c r="AH2254" s="6">
        <v>0.4</v>
      </c>
      <c r="AI2254" s="21">
        <v>7250</v>
      </c>
      <c r="AJ2254" s="20">
        <f t="shared" si="397"/>
        <v>232000</v>
      </c>
      <c r="AK2254" s="50">
        <v>16</v>
      </c>
      <c r="AL2254" s="6">
        <v>0.22</v>
      </c>
      <c r="AM2254" s="20">
        <f t="shared" si="398"/>
        <v>180960</v>
      </c>
      <c r="AN2254" s="20">
        <f>+(S2253*0.4)+AM2254</f>
        <v>238560</v>
      </c>
      <c r="AP2254" s="20">
        <f t="shared" si="399"/>
        <v>238560</v>
      </c>
      <c r="AQ2254" s="7">
        <v>3.0000000000000001E-3</v>
      </c>
      <c r="AR2254" s="24"/>
      <c r="AS2254" s="97"/>
    </row>
    <row r="2255" spans="1:45" ht="30" customHeight="1" x14ac:dyDescent="0.2">
      <c r="A2255" s="8">
        <v>1935</v>
      </c>
      <c r="B2255" s="13">
        <v>7</v>
      </c>
      <c r="C2255" s="16" t="s">
        <v>65</v>
      </c>
      <c r="D2255" s="17">
        <v>1999</v>
      </c>
      <c r="E2255" s="17">
        <v>33</v>
      </c>
      <c r="H2255" s="17">
        <v>4</v>
      </c>
      <c r="I2255" s="17">
        <v>3</v>
      </c>
      <c r="J2255" s="17">
        <v>6</v>
      </c>
      <c r="K2255" s="10">
        <v>1906</v>
      </c>
      <c r="P2255" s="17">
        <v>1</v>
      </c>
      <c r="Q2255" s="20">
        <f t="shared" si="395"/>
        <v>1906</v>
      </c>
      <c r="R2255" s="14">
        <v>200</v>
      </c>
      <c r="S2255" s="19">
        <f t="shared" si="396"/>
        <v>381200</v>
      </c>
      <c r="AG2255" s="22">
        <f t="shared" si="392"/>
        <v>0</v>
      </c>
      <c r="AJ2255" s="20">
        <f t="shared" si="397"/>
        <v>0</v>
      </c>
      <c r="AM2255" s="20">
        <f t="shared" si="398"/>
        <v>0</v>
      </c>
      <c r="AN2255" s="20">
        <f t="shared" ref="AN2255:AN2279" si="400">+S2255+AM2255</f>
        <v>381200</v>
      </c>
      <c r="AP2255" s="20">
        <f t="shared" si="399"/>
        <v>381200</v>
      </c>
      <c r="AQ2255" s="12">
        <v>1E-4</v>
      </c>
      <c r="AR2255" s="24"/>
      <c r="AS2255" s="97"/>
    </row>
    <row r="2256" spans="1:45" ht="30" customHeight="1" x14ac:dyDescent="0.2">
      <c r="C2256" s="16"/>
      <c r="Q2256" s="20"/>
      <c r="S2256" s="20"/>
      <c r="AG2256" s="22"/>
      <c r="AJ2256" s="20"/>
      <c r="AM2256" s="20"/>
      <c r="AN2256" s="20"/>
      <c r="AP2256" s="20"/>
      <c r="AR2256" s="25"/>
      <c r="AS2256" s="98"/>
    </row>
    <row r="2257" spans="1:45" s="21" customFormat="1" ht="30" customHeight="1" x14ac:dyDescent="0.2">
      <c r="A2257" s="8">
        <v>1936</v>
      </c>
      <c r="B2257" s="46">
        <v>1</v>
      </c>
      <c r="C2257" s="16" t="s">
        <v>52</v>
      </c>
      <c r="D2257" s="48">
        <v>36740</v>
      </c>
      <c r="E2257" s="47">
        <v>71</v>
      </c>
      <c r="F2257" s="48">
        <v>7056</v>
      </c>
      <c r="G2257" s="49">
        <v>2</v>
      </c>
      <c r="H2257" s="48">
        <v>9</v>
      </c>
      <c r="I2257" s="48">
        <v>2</v>
      </c>
      <c r="J2257" s="48">
        <v>72</v>
      </c>
      <c r="K2257" s="3">
        <v>2672</v>
      </c>
      <c r="L2257" s="16"/>
      <c r="M2257" s="57"/>
      <c r="N2257" s="58"/>
      <c r="P2257" s="16">
        <v>1</v>
      </c>
      <c r="Q2257" s="20">
        <f t="shared" si="395"/>
        <v>3872</v>
      </c>
      <c r="R2257" s="14">
        <v>160</v>
      </c>
      <c r="S2257" s="19">
        <f t="shared" si="396"/>
        <v>619520</v>
      </c>
      <c r="T2257" s="16"/>
      <c r="U2257" s="17"/>
      <c r="V2257" s="17"/>
      <c r="W2257" s="5"/>
      <c r="X2257" s="16"/>
      <c r="Y2257" s="5"/>
      <c r="Z2257" s="16"/>
      <c r="AA2257" s="16"/>
      <c r="AB2257" s="16"/>
      <c r="AE2257" s="16"/>
      <c r="AG2257" s="22">
        <f t="shared" si="392"/>
        <v>0</v>
      </c>
      <c r="AH2257" s="6"/>
      <c r="AJ2257" s="20">
        <f t="shared" si="397"/>
        <v>0</v>
      </c>
      <c r="AK2257" s="50"/>
      <c r="AL2257" s="6"/>
      <c r="AM2257" s="20">
        <f t="shared" si="398"/>
        <v>0</v>
      </c>
      <c r="AN2257" s="20">
        <f t="shared" si="400"/>
        <v>619520</v>
      </c>
      <c r="AP2257" s="20">
        <f t="shared" si="399"/>
        <v>619520</v>
      </c>
      <c r="AQ2257" s="7"/>
      <c r="AR2257" s="20"/>
      <c r="AS2257" s="51" t="s">
        <v>199</v>
      </c>
    </row>
    <row r="2258" spans="1:45" s="21" customFormat="1" ht="30" customHeight="1" x14ac:dyDescent="0.2">
      <c r="A2258" s="2">
        <v>1937</v>
      </c>
      <c r="B2258" s="46">
        <v>1</v>
      </c>
      <c r="C2258" s="16" t="s">
        <v>52</v>
      </c>
      <c r="D2258" s="48">
        <v>1669</v>
      </c>
      <c r="E2258" s="47">
        <v>2</v>
      </c>
      <c r="F2258" s="48">
        <v>935</v>
      </c>
      <c r="G2258" s="49">
        <v>2</v>
      </c>
      <c r="H2258" s="48">
        <v>0</v>
      </c>
      <c r="I2258" s="48">
        <v>2</v>
      </c>
      <c r="J2258" s="48">
        <v>27</v>
      </c>
      <c r="K2258" s="3"/>
      <c r="L2258" s="3">
        <v>227</v>
      </c>
      <c r="M2258" s="57"/>
      <c r="N2258" s="58"/>
      <c r="P2258" s="16">
        <v>2</v>
      </c>
      <c r="Q2258" s="20">
        <f t="shared" si="395"/>
        <v>227</v>
      </c>
      <c r="R2258" s="14">
        <v>200</v>
      </c>
      <c r="S2258" s="19">
        <f t="shared" si="396"/>
        <v>45400</v>
      </c>
      <c r="T2258" s="16"/>
      <c r="U2258" s="17"/>
      <c r="V2258" s="17"/>
      <c r="W2258" s="5"/>
      <c r="X2258" s="16"/>
      <c r="Y2258" s="5"/>
      <c r="Z2258" s="16"/>
      <c r="AA2258" s="16"/>
      <c r="AB2258" s="16"/>
      <c r="AE2258" s="16"/>
      <c r="AG2258" s="22">
        <f t="shared" si="392"/>
        <v>0</v>
      </c>
      <c r="AH2258" s="6"/>
      <c r="AJ2258" s="20">
        <f t="shared" si="397"/>
        <v>0</v>
      </c>
      <c r="AK2258" s="50"/>
      <c r="AL2258" s="6"/>
      <c r="AM2258" s="20">
        <f t="shared" si="398"/>
        <v>0</v>
      </c>
      <c r="AN2258" s="20">
        <f t="shared" si="400"/>
        <v>45400</v>
      </c>
      <c r="AP2258" s="20">
        <f t="shared" si="399"/>
        <v>45400</v>
      </c>
      <c r="AQ2258" s="7"/>
      <c r="AR2258" s="20"/>
      <c r="AS2258" s="51"/>
    </row>
    <row r="2259" spans="1:45" s="21" customFormat="1" ht="30" customHeight="1" x14ac:dyDescent="0.2">
      <c r="A2259" s="8">
        <v>1938</v>
      </c>
      <c r="B2259" s="46">
        <v>2</v>
      </c>
      <c r="C2259" s="16" t="s">
        <v>52</v>
      </c>
      <c r="D2259" s="48">
        <v>1850</v>
      </c>
      <c r="E2259" s="47">
        <v>120</v>
      </c>
      <c r="F2259" s="48">
        <v>1240</v>
      </c>
      <c r="G2259" s="49"/>
      <c r="H2259" s="48">
        <v>4</v>
      </c>
      <c r="I2259" s="48">
        <v>1</v>
      </c>
      <c r="J2259" s="48">
        <v>74</v>
      </c>
      <c r="K2259" s="3">
        <v>1774</v>
      </c>
      <c r="L2259" s="16"/>
      <c r="M2259" s="57"/>
      <c r="N2259" s="58"/>
      <c r="P2259" s="16">
        <v>1</v>
      </c>
      <c r="Q2259" s="20">
        <f t="shared" si="395"/>
        <v>1774</v>
      </c>
      <c r="R2259" s="14">
        <v>160</v>
      </c>
      <c r="S2259" s="20">
        <f t="shared" si="396"/>
        <v>283840</v>
      </c>
      <c r="T2259" s="16"/>
      <c r="U2259" s="17"/>
      <c r="V2259" s="17"/>
      <c r="W2259" s="5"/>
      <c r="X2259" s="16"/>
      <c r="Y2259" s="5"/>
      <c r="Z2259" s="16"/>
      <c r="AA2259" s="16"/>
      <c r="AB2259" s="16"/>
      <c r="AE2259" s="16"/>
      <c r="AG2259" s="22">
        <f t="shared" si="392"/>
        <v>0</v>
      </c>
      <c r="AH2259" s="6"/>
      <c r="AJ2259" s="20">
        <f t="shared" si="397"/>
        <v>0</v>
      </c>
      <c r="AK2259" s="50"/>
      <c r="AL2259" s="6"/>
      <c r="AM2259" s="20">
        <f t="shared" si="398"/>
        <v>0</v>
      </c>
      <c r="AN2259" s="20">
        <f t="shared" si="400"/>
        <v>283840</v>
      </c>
      <c r="AP2259" s="20">
        <f t="shared" si="399"/>
        <v>283840</v>
      </c>
      <c r="AQ2259" s="7"/>
      <c r="AR2259" s="20"/>
      <c r="AS2259" s="51"/>
    </row>
    <row r="2260" spans="1:45" s="21" customFormat="1" ht="30" customHeight="1" x14ac:dyDescent="0.2">
      <c r="A2260" s="2">
        <v>1939</v>
      </c>
      <c r="B2260" s="46">
        <v>3</v>
      </c>
      <c r="C2260" s="16" t="s">
        <v>52</v>
      </c>
      <c r="D2260" s="48">
        <v>27896</v>
      </c>
      <c r="E2260" s="47">
        <v>217</v>
      </c>
      <c r="F2260" s="48">
        <v>5077</v>
      </c>
      <c r="G2260" s="49">
        <v>3</v>
      </c>
      <c r="H2260" s="48">
        <v>2</v>
      </c>
      <c r="I2260" s="48">
        <v>3</v>
      </c>
      <c r="J2260" s="48">
        <v>32</v>
      </c>
      <c r="K2260" s="3">
        <v>1132</v>
      </c>
      <c r="L2260" s="16"/>
      <c r="M2260" s="57"/>
      <c r="N2260" s="58"/>
      <c r="P2260" s="16">
        <v>1</v>
      </c>
      <c r="Q2260" s="20">
        <f t="shared" si="395"/>
        <v>1132</v>
      </c>
      <c r="R2260" s="14">
        <v>160</v>
      </c>
      <c r="S2260" s="19">
        <f t="shared" si="396"/>
        <v>181120</v>
      </c>
      <c r="T2260" s="16"/>
      <c r="U2260" s="17"/>
      <c r="V2260" s="17"/>
      <c r="W2260" s="5"/>
      <c r="X2260" s="16"/>
      <c r="Y2260" s="5"/>
      <c r="Z2260" s="16"/>
      <c r="AA2260" s="16"/>
      <c r="AB2260" s="16"/>
      <c r="AE2260" s="16"/>
      <c r="AG2260" s="22">
        <f t="shared" si="392"/>
        <v>0</v>
      </c>
      <c r="AH2260" s="6"/>
      <c r="AJ2260" s="20">
        <f t="shared" si="397"/>
        <v>0</v>
      </c>
      <c r="AK2260" s="50"/>
      <c r="AL2260" s="6"/>
      <c r="AM2260" s="20">
        <f t="shared" si="398"/>
        <v>0</v>
      </c>
      <c r="AN2260" s="20">
        <f t="shared" si="400"/>
        <v>181120</v>
      </c>
      <c r="AP2260" s="20">
        <f t="shared" si="399"/>
        <v>181120</v>
      </c>
      <c r="AQ2260" s="7"/>
      <c r="AR2260" s="20"/>
      <c r="AS2260" s="51"/>
    </row>
    <row r="2261" spans="1:45" ht="30" customHeight="1" x14ac:dyDescent="0.2">
      <c r="A2261" s="8"/>
      <c r="C2261" s="16"/>
      <c r="L2261" s="10"/>
      <c r="Q2261" s="20"/>
      <c r="AG2261" s="22"/>
      <c r="AJ2261" s="20"/>
      <c r="AM2261" s="20"/>
      <c r="AN2261" s="20"/>
      <c r="AP2261" s="20"/>
      <c r="AR2261" s="20"/>
    </row>
    <row r="2262" spans="1:45" ht="30" customHeight="1" x14ac:dyDescent="0.2">
      <c r="C2262" s="16"/>
      <c r="Q2262" s="20"/>
      <c r="S2262" s="20"/>
      <c r="AG2262" s="22"/>
      <c r="AJ2262" s="20"/>
      <c r="AM2262" s="20"/>
      <c r="AN2262" s="20"/>
      <c r="AP2262" s="20"/>
      <c r="AR2262" s="20"/>
    </row>
    <row r="2263" spans="1:45" s="21" customFormat="1" ht="30" customHeight="1" x14ac:dyDescent="0.2">
      <c r="A2263" s="8">
        <v>1940</v>
      </c>
      <c r="B2263" s="46">
        <v>1</v>
      </c>
      <c r="C2263" s="16" t="s">
        <v>52</v>
      </c>
      <c r="D2263" s="48">
        <v>27894</v>
      </c>
      <c r="E2263" s="47">
        <v>215</v>
      </c>
      <c r="F2263" s="48">
        <v>5075</v>
      </c>
      <c r="G2263" s="49">
        <v>3</v>
      </c>
      <c r="H2263" s="48">
        <v>2</v>
      </c>
      <c r="I2263" s="48">
        <v>2</v>
      </c>
      <c r="J2263" s="48">
        <v>97</v>
      </c>
      <c r="K2263" s="3">
        <v>1097</v>
      </c>
      <c r="L2263" s="16"/>
      <c r="M2263" s="57"/>
      <c r="N2263" s="58"/>
      <c r="P2263" s="16">
        <v>1</v>
      </c>
      <c r="Q2263" s="20">
        <f t="shared" si="395"/>
        <v>1097</v>
      </c>
      <c r="R2263" s="14">
        <v>160</v>
      </c>
      <c r="S2263" s="19">
        <f t="shared" si="396"/>
        <v>175520</v>
      </c>
      <c r="T2263" s="16"/>
      <c r="U2263" s="17"/>
      <c r="V2263" s="17"/>
      <c r="W2263" s="5"/>
      <c r="X2263" s="16"/>
      <c r="Y2263" s="5"/>
      <c r="Z2263" s="16"/>
      <c r="AA2263" s="16"/>
      <c r="AB2263" s="16"/>
      <c r="AE2263" s="16"/>
      <c r="AG2263" s="22">
        <f t="shared" ref="AG2263:AG2326" si="401">Y2263</f>
        <v>0</v>
      </c>
      <c r="AH2263" s="6"/>
      <c r="AJ2263" s="20">
        <f t="shared" si="397"/>
        <v>0</v>
      </c>
      <c r="AK2263" s="50"/>
      <c r="AL2263" s="6"/>
      <c r="AM2263" s="20">
        <f t="shared" si="398"/>
        <v>0</v>
      </c>
      <c r="AN2263" s="20">
        <f t="shared" si="400"/>
        <v>175520</v>
      </c>
      <c r="AP2263" s="20">
        <f t="shared" si="399"/>
        <v>175520</v>
      </c>
      <c r="AQ2263" s="7"/>
      <c r="AR2263" s="20"/>
      <c r="AS2263" s="51"/>
    </row>
    <row r="2264" spans="1:45" s="21" customFormat="1" ht="30" customHeight="1" x14ac:dyDescent="0.2">
      <c r="A2264" s="2">
        <v>1941</v>
      </c>
      <c r="B2264" s="46">
        <v>2</v>
      </c>
      <c r="C2264" s="16" t="s">
        <v>52</v>
      </c>
      <c r="D2264" s="48">
        <v>27898</v>
      </c>
      <c r="E2264" s="47">
        <v>219</v>
      </c>
      <c r="F2264" s="48">
        <v>5079</v>
      </c>
      <c r="G2264" s="49">
        <v>3</v>
      </c>
      <c r="H2264" s="48">
        <v>2</v>
      </c>
      <c r="I2264" s="48">
        <v>1</v>
      </c>
      <c r="J2264" s="48">
        <v>14</v>
      </c>
      <c r="K2264" s="3">
        <v>914</v>
      </c>
      <c r="L2264" s="16"/>
      <c r="M2264" s="57"/>
      <c r="N2264" s="58"/>
      <c r="P2264" s="16">
        <v>1</v>
      </c>
      <c r="Q2264" s="20">
        <f t="shared" si="395"/>
        <v>914</v>
      </c>
      <c r="R2264" s="14">
        <v>160</v>
      </c>
      <c r="S2264" s="19">
        <f t="shared" si="396"/>
        <v>146240</v>
      </c>
      <c r="T2264" s="16"/>
      <c r="U2264" s="17"/>
      <c r="V2264" s="17"/>
      <c r="W2264" s="5"/>
      <c r="X2264" s="16"/>
      <c r="Y2264" s="5"/>
      <c r="Z2264" s="16"/>
      <c r="AA2264" s="16"/>
      <c r="AB2264" s="16"/>
      <c r="AC2264" s="14"/>
      <c r="AD2264" s="14"/>
      <c r="AE2264" s="16"/>
      <c r="AG2264" s="22">
        <f t="shared" si="401"/>
        <v>0</v>
      </c>
      <c r="AH2264" s="6"/>
      <c r="AJ2264" s="20">
        <f t="shared" si="397"/>
        <v>0</v>
      </c>
      <c r="AK2264" s="50"/>
      <c r="AL2264" s="6"/>
      <c r="AM2264" s="20">
        <f t="shared" si="398"/>
        <v>0</v>
      </c>
      <c r="AN2264" s="20">
        <f t="shared" si="400"/>
        <v>146240</v>
      </c>
      <c r="AP2264" s="20">
        <f t="shared" si="399"/>
        <v>146240</v>
      </c>
      <c r="AQ2264" s="7"/>
      <c r="AR2264" s="20"/>
      <c r="AS2264" s="51"/>
    </row>
    <row r="2265" spans="1:45" s="21" customFormat="1" ht="30" customHeight="1" x14ac:dyDescent="0.2">
      <c r="A2265" s="8">
        <v>1942</v>
      </c>
      <c r="B2265" s="46">
        <v>1</v>
      </c>
      <c r="C2265" s="16" t="s">
        <v>52</v>
      </c>
      <c r="D2265" s="48">
        <v>1728</v>
      </c>
      <c r="E2265" s="47">
        <v>1</v>
      </c>
      <c r="F2265" s="48">
        <v>931</v>
      </c>
      <c r="G2265" s="49">
        <v>2</v>
      </c>
      <c r="H2265" s="48">
        <v>0</v>
      </c>
      <c r="I2265" s="48">
        <v>1</v>
      </c>
      <c r="J2265" s="48">
        <v>90</v>
      </c>
      <c r="K2265" s="3">
        <v>190</v>
      </c>
      <c r="L2265" s="16"/>
      <c r="M2265" s="57"/>
      <c r="N2265" s="58"/>
      <c r="P2265" s="16">
        <v>1</v>
      </c>
      <c r="Q2265" s="20">
        <f t="shared" si="395"/>
        <v>190</v>
      </c>
      <c r="R2265" s="14">
        <v>160</v>
      </c>
      <c r="S2265" s="20">
        <f t="shared" si="396"/>
        <v>30400</v>
      </c>
      <c r="T2265" s="16"/>
      <c r="U2265" s="17"/>
      <c r="V2265" s="17"/>
      <c r="W2265" s="5"/>
      <c r="X2265" s="16"/>
      <c r="Y2265" s="5"/>
      <c r="Z2265" s="16"/>
      <c r="AA2265" s="16"/>
      <c r="AB2265" s="16"/>
      <c r="AE2265" s="16"/>
      <c r="AG2265" s="22">
        <f t="shared" si="401"/>
        <v>0</v>
      </c>
      <c r="AH2265" s="6"/>
      <c r="AJ2265" s="20">
        <f t="shared" si="397"/>
        <v>0</v>
      </c>
      <c r="AK2265" s="50"/>
      <c r="AL2265" s="6"/>
      <c r="AM2265" s="20">
        <f t="shared" si="398"/>
        <v>0</v>
      </c>
      <c r="AN2265" s="20">
        <f t="shared" si="400"/>
        <v>30400</v>
      </c>
      <c r="AP2265" s="20">
        <f t="shared" si="399"/>
        <v>30400</v>
      </c>
      <c r="AQ2265" s="7"/>
      <c r="AR2265" s="20"/>
      <c r="AS2265" s="51"/>
    </row>
    <row r="2266" spans="1:45" s="21" customFormat="1" ht="30" customHeight="1" x14ac:dyDescent="0.2">
      <c r="A2266" s="2">
        <v>1943</v>
      </c>
      <c r="B2266" s="46">
        <v>2</v>
      </c>
      <c r="C2266" s="16" t="s">
        <v>52</v>
      </c>
      <c r="D2266" s="48">
        <v>1847</v>
      </c>
      <c r="E2266" s="47">
        <v>96</v>
      </c>
      <c r="F2266" s="48">
        <v>1237</v>
      </c>
      <c r="G2266" s="49">
        <v>2</v>
      </c>
      <c r="H2266" s="48">
        <v>0</v>
      </c>
      <c r="I2266" s="48">
        <v>1</v>
      </c>
      <c r="J2266" s="48">
        <v>9</v>
      </c>
      <c r="K2266" s="3"/>
      <c r="L2266" s="16">
        <v>109</v>
      </c>
      <c r="M2266" s="57"/>
      <c r="N2266" s="58"/>
      <c r="P2266" s="16">
        <v>2</v>
      </c>
      <c r="Q2266" s="20">
        <f t="shared" si="395"/>
        <v>109</v>
      </c>
      <c r="R2266" s="14">
        <v>250</v>
      </c>
      <c r="S2266" s="19">
        <f t="shared" si="396"/>
        <v>27250</v>
      </c>
      <c r="T2266" s="16"/>
      <c r="U2266" s="17" t="s">
        <v>57</v>
      </c>
      <c r="V2266" s="17" t="s">
        <v>56</v>
      </c>
      <c r="W2266" s="5"/>
      <c r="X2266" s="16"/>
      <c r="Y2266" s="5">
        <v>152</v>
      </c>
      <c r="Z2266" s="16"/>
      <c r="AA2266" s="16"/>
      <c r="AB2266" s="16">
        <f>62-52</f>
        <v>10</v>
      </c>
      <c r="AC2266" s="14"/>
      <c r="AD2266" s="14"/>
      <c r="AE2266" s="16"/>
      <c r="AG2266" s="22">
        <f t="shared" si="401"/>
        <v>152</v>
      </c>
      <c r="AH2266" s="6"/>
      <c r="AJ2266" s="20">
        <f t="shared" si="397"/>
        <v>0</v>
      </c>
      <c r="AK2266" s="50">
        <v>10</v>
      </c>
      <c r="AL2266" s="6"/>
      <c r="AM2266" s="20">
        <f t="shared" si="398"/>
        <v>0</v>
      </c>
      <c r="AN2266" s="20">
        <f t="shared" si="400"/>
        <v>27250</v>
      </c>
      <c r="AP2266" s="20">
        <f t="shared" si="399"/>
        <v>27250</v>
      </c>
      <c r="AQ2266" s="7"/>
      <c r="AR2266" s="20"/>
      <c r="AS2266" s="51"/>
    </row>
    <row r="2267" spans="1:45" s="21" customFormat="1" ht="30" customHeight="1" x14ac:dyDescent="0.2">
      <c r="A2267" s="8">
        <v>1944</v>
      </c>
      <c r="B2267" s="46">
        <v>3</v>
      </c>
      <c r="C2267" s="16" t="s">
        <v>52</v>
      </c>
      <c r="D2267" s="48">
        <v>27895</v>
      </c>
      <c r="E2267" s="47">
        <v>216</v>
      </c>
      <c r="F2267" s="48">
        <v>5076</v>
      </c>
      <c r="G2267" s="49">
        <v>3</v>
      </c>
      <c r="H2267" s="48">
        <v>2</v>
      </c>
      <c r="I2267" s="48">
        <v>3</v>
      </c>
      <c r="J2267" s="48">
        <v>76</v>
      </c>
      <c r="K2267" s="3">
        <v>1176</v>
      </c>
      <c r="L2267" s="16"/>
      <c r="M2267" s="57"/>
      <c r="N2267" s="58"/>
      <c r="P2267" s="16">
        <v>1</v>
      </c>
      <c r="Q2267" s="20">
        <f t="shared" si="395"/>
        <v>1176</v>
      </c>
      <c r="R2267" s="14">
        <v>160</v>
      </c>
      <c r="S2267" s="19">
        <f t="shared" si="396"/>
        <v>188160</v>
      </c>
      <c r="T2267" s="16"/>
      <c r="U2267" s="17"/>
      <c r="V2267" s="17"/>
      <c r="W2267" s="5"/>
      <c r="X2267" s="16"/>
      <c r="Y2267" s="5"/>
      <c r="Z2267" s="16"/>
      <c r="AA2267" s="16"/>
      <c r="AB2267" s="16"/>
      <c r="AC2267" s="14"/>
      <c r="AD2267" s="14"/>
      <c r="AE2267" s="16"/>
      <c r="AG2267" s="22">
        <f t="shared" si="401"/>
        <v>0</v>
      </c>
      <c r="AH2267" s="6"/>
      <c r="AJ2267" s="20">
        <f t="shared" si="397"/>
        <v>0</v>
      </c>
      <c r="AK2267" s="50"/>
      <c r="AL2267" s="6"/>
      <c r="AM2267" s="20">
        <f t="shared" si="398"/>
        <v>0</v>
      </c>
      <c r="AN2267" s="20">
        <f t="shared" si="400"/>
        <v>188160</v>
      </c>
      <c r="AP2267" s="20">
        <f t="shared" si="399"/>
        <v>188160</v>
      </c>
      <c r="AQ2267" s="7"/>
      <c r="AR2267" s="20"/>
      <c r="AS2267" s="51"/>
    </row>
    <row r="2268" spans="1:45" s="21" customFormat="1" ht="30" customHeight="1" x14ac:dyDescent="0.2">
      <c r="A2268" s="2">
        <v>1945</v>
      </c>
      <c r="B2268" s="46">
        <v>4</v>
      </c>
      <c r="C2268" s="16" t="s">
        <v>52</v>
      </c>
      <c r="D2268" s="48">
        <v>27899</v>
      </c>
      <c r="E2268" s="47">
        <v>220</v>
      </c>
      <c r="F2268" s="48">
        <v>5080</v>
      </c>
      <c r="G2268" s="49">
        <v>3</v>
      </c>
      <c r="H2268" s="48">
        <v>2</v>
      </c>
      <c r="I2268" s="48">
        <v>1</v>
      </c>
      <c r="J2268" s="48">
        <v>2</v>
      </c>
      <c r="K2268" s="3">
        <v>902</v>
      </c>
      <c r="L2268" s="16"/>
      <c r="M2268" s="57"/>
      <c r="N2268" s="58"/>
      <c r="P2268" s="16">
        <v>1</v>
      </c>
      <c r="Q2268" s="20">
        <f t="shared" si="395"/>
        <v>902</v>
      </c>
      <c r="R2268" s="14">
        <v>160</v>
      </c>
      <c r="S2268" s="20">
        <f t="shared" si="396"/>
        <v>144320</v>
      </c>
      <c r="T2268" s="16"/>
      <c r="U2268" s="17"/>
      <c r="V2268" s="17"/>
      <c r="W2268" s="5"/>
      <c r="X2268" s="16"/>
      <c r="Y2268" s="5"/>
      <c r="Z2268" s="16"/>
      <c r="AA2268" s="16"/>
      <c r="AB2268" s="16"/>
      <c r="AC2268" s="14"/>
      <c r="AD2268" s="14"/>
      <c r="AE2268" s="16"/>
      <c r="AG2268" s="22">
        <f t="shared" si="401"/>
        <v>0</v>
      </c>
      <c r="AH2268" s="6"/>
      <c r="AJ2268" s="20">
        <f t="shared" si="397"/>
        <v>0</v>
      </c>
      <c r="AK2268" s="50"/>
      <c r="AL2268" s="6"/>
      <c r="AM2268" s="20">
        <f t="shared" si="398"/>
        <v>0</v>
      </c>
      <c r="AN2268" s="20">
        <f t="shared" si="400"/>
        <v>144320</v>
      </c>
      <c r="AP2268" s="20">
        <f t="shared" si="399"/>
        <v>144320</v>
      </c>
      <c r="AQ2268" s="7"/>
      <c r="AR2268" s="20"/>
      <c r="AS2268" s="51"/>
    </row>
    <row r="2269" spans="1:45" ht="30" customHeight="1" x14ac:dyDescent="0.2">
      <c r="A2269" s="8">
        <v>1946</v>
      </c>
      <c r="B2269" s="46">
        <v>5</v>
      </c>
      <c r="C2269" s="16" t="s">
        <v>65</v>
      </c>
      <c r="D2269" s="17">
        <v>1133</v>
      </c>
      <c r="E2269" s="17">
        <v>66</v>
      </c>
      <c r="H2269" s="17">
        <v>2</v>
      </c>
      <c r="I2269" s="17">
        <v>3</v>
      </c>
      <c r="J2269" s="17">
        <v>68</v>
      </c>
      <c r="K2269" s="10">
        <v>1168</v>
      </c>
      <c r="Q2269" s="20">
        <f t="shared" si="395"/>
        <v>1168</v>
      </c>
      <c r="R2269" s="14">
        <v>3000</v>
      </c>
      <c r="S2269" s="19">
        <f t="shared" si="396"/>
        <v>3504000</v>
      </c>
      <c r="AE2269" s="17" t="s">
        <v>94</v>
      </c>
      <c r="AG2269" s="22">
        <f t="shared" si="401"/>
        <v>0</v>
      </c>
      <c r="AJ2269" s="20">
        <f t="shared" si="397"/>
        <v>0</v>
      </c>
      <c r="AM2269" s="20">
        <f t="shared" si="398"/>
        <v>0</v>
      </c>
      <c r="AN2269" s="20">
        <f t="shared" si="400"/>
        <v>3504000</v>
      </c>
      <c r="AP2269" s="20">
        <f t="shared" si="399"/>
        <v>3504000</v>
      </c>
      <c r="AQ2269" s="12">
        <v>1E-4</v>
      </c>
      <c r="AR2269" s="20"/>
    </row>
    <row r="2270" spans="1:45" ht="30" customHeight="1" x14ac:dyDescent="0.2">
      <c r="B2270" s="46"/>
      <c r="C2270" s="16"/>
      <c r="Q2270" s="20"/>
      <c r="AG2270" s="22"/>
      <c r="AJ2270" s="20"/>
      <c r="AM2270" s="20"/>
      <c r="AN2270" s="20"/>
      <c r="AP2270" s="20"/>
      <c r="AR2270" s="20"/>
    </row>
    <row r="2271" spans="1:45" ht="30" customHeight="1" x14ac:dyDescent="0.2">
      <c r="A2271" s="8">
        <v>1948</v>
      </c>
      <c r="B2271" s="46">
        <v>7</v>
      </c>
      <c r="C2271" s="16" t="s">
        <v>65</v>
      </c>
      <c r="D2271" s="17">
        <v>3649</v>
      </c>
      <c r="E2271" s="17">
        <v>649</v>
      </c>
      <c r="H2271" s="17">
        <v>2</v>
      </c>
      <c r="I2271" s="17">
        <v>1</v>
      </c>
      <c r="J2271" s="17">
        <v>6</v>
      </c>
      <c r="K2271" s="10">
        <v>906</v>
      </c>
      <c r="Q2271" s="20">
        <f t="shared" si="395"/>
        <v>906</v>
      </c>
      <c r="R2271" s="14">
        <v>160</v>
      </c>
      <c r="S2271" s="20">
        <f t="shared" si="396"/>
        <v>144960</v>
      </c>
      <c r="AC2271" s="21"/>
      <c r="AD2271" s="21"/>
      <c r="AE2271" s="17" t="s">
        <v>95</v>
      </c>
      <c r="AG2271" s="22">
        <f t="shared" si="401"/>
        <v>0</v>
      </c>
      <c r="AJ2271" s="20">
        <f t="shared" si="397"/>
        <v>0</v>
      </c>
      <c r="AM2271" s="20">
        <f t="shared" si="398"/>
        <v>0</v>
      </c>
      <c r="AN2271" s="20">
        <f t="shared" si="400"/>
        <v>144960</v>
      </c>
      <c r="AP2271" s="20">
        <f t="shared" si="399"/>
        <v>144960</v>
      </c>
      <c r="AQ2271" s="12">
        <v>1E-4</v>
      </c>
      <c r="AR2271" s="20"/>
    </row>
    <row r="2272" spans="1:45" ht="30" customHeight="1" x14ac:dyDescent="0.2">
      <c r="A2272" s="2">
        <v>1949</v>
      </c>
      <c r="B2272" s="46">
        <v>8</v>
      </c>
      <c r="C2272" s="16" t="s">
        <v>65</v>
      </c>
      <c r="D2272" s="17">
        <v>3650</v>
      </c>
      <c r="E2272" s="17">
        <v>650</v>
      </c>
      <c r="H2272" s="17">
        <v>2</v>
      </c>
      <c r="I2272" s="17">
        <v>1</v>
      </c>
      <c r="J2272" s="17">
        <v>52</v>
      </c>
      <c r="K2272" s="10">
        <v>952</v>
      </c>
      <c r="Q2272" s="20">
        <f t="shared" si="395"/>
        <v>952</v>
      </c>
      <c r="R2272" s="14">
        <v>160</v>
      </c>
      <c r="S2272" s="19">
        <f t="shared" si="396"/>
        <v>152320</v>
      </c>
      <c r="AC2272" s="21"/>
      <c r="AD2272" s="21"/>
      <c r="AE2272" s="17" t="s">
        <v>86</v>
      </c>
      <c r="AG2272" s="22">
        <f t="shared" si="401"/>
        <v>0</v>
      </c>
      <c r="AJ2272" s="20">
        <f t="shared" si="397"/>
        <v>0</v>
      </c>
      <c r="AM2272" s="20">
        <f t="shared" si="398"/>
        <v>0</v>
      </c>
      <c r="AN2272" s="20">
        <f t="shared" si="400"/>
        <v>152320</v>
      </c>
      <c r="AP2272" s="20">
        <f t="shared" si="399"/>
        <v>152320</v>
      </c>
      <c r="AQ2272" s="12">
        <v>1E-4</v>
      </c>
      <c r="AR2272" s="20"/>
    </row>
    <row r="2273" spans="1:45" ht="30" customHeight="1" x14ac:dyDescent="0.2">
      <c r="A2273" s="8"/>
      <c r="B2273" s="46"/>
      <c r="C2273" s="16"/>
      <c r="Q2273" s="20"/>
      <c r="AC2273" s="21"/>
      <c r="AD2273" s="21"/>
      <c r="AG2273" s="22"/>
      <c r="AJ2273" s="20"/>
      <c r="AM2273" s="20"/>
      <c r="AN2273" s="20"/>
      <c r="AP2273" s="20"/>
      <c r="AR2273" s="20"/>
    </row>
    <row r="2274" spans="1:45" ht="30" customHeight="1" x14ac:dyDescent="0.2">
      <c r="B2274" s="46"/>
      <c r="C2274" s="16"/>
      <c r="Q2274" s="20"/>
      <c r="S2274" s="20"/>
      <c r="AC2274" s="21"/>
      <c r="AD2274" s="21"/>
      <c r="AG2274" s="22"/>
      <c r="AJ2274" s="20"/>
      <c r="AM2274" s="20"/>
      <c r="AN2274" s="20"/>
      <c r="AP2274" s="20"/>
      <c r="AR2274" s="20"/>
    </row>
    <row r="2275" spans="1:45" ht="30" customHeight="1" x14ac:dyDescent="0.2">
      <c r="A2275" s="8"/>
      <c r="B2275" s="46"/>
      <c r="C2275" s="16"/>
      <c r="Q2275" s="20"/>
      <c r="AC2275" s="21"/>
      <c r="AD2275" s="21"/>
      <c r="AG2275" s="22"/>
      <c r="AJ2275" s="20"/>
      <c r="AM2275" s="20"/>
      <c r="AN2275" s="20"/>
      <c r="AP2275" s="20"/>
      <c r="AR2275" s="20"/>
    </row>
    <row r="2276" spans="1:45" ht="30" customHeight="1" x14ac:dyDescent="0.2">
      <c r="B2276" s="46"/>
      <c r="C2276" s="16"/>
      <c r="Q2276" s="20"/>
      <c r="AC2276" s="21"/>
      <c r="AD2276" s="21"/>
      <c r="AG2276" s="22"/>
      <c r="AJ2276" s="20"/>
      <c r="AM2276" s="20"/>
      <c r="AN2276" s="20"/>
      <c r="AP2276" s="20"/>
      <c r="AR2276" s="20"/>
    </row>
    <row r="2277" spans="1:45" s="21" customFormat="1" ht="30" customHeight="1" x14ac:dyDescent="0.2">
      <c r="A2277" s="8">
        <v>1950</v>
      </c>
      <c r="B2277" s="46">
        <v>1</v>
      </c>
      <c r="C2277" s="16" t="s">
        <v>52</v>
      </c>
      <c r="D2277" s="48">
        <v>2499</v>
      </c>
      <c r="E2277" s="47">
        <v>97</v>
      </c>
      <c r="F2277" s="48">
        <v>1503</v>
      </c>
      <c r="G2277" s="49"/>
      <c r="H2277" s="48">
        <v>0</v>
      </c>
      <c r="I2277" s="48">
        <v>1</v>
      </c>
      <c r="J2277" s="48">
        <v>19</v>
      </c>
      <c r="K2277" s="3">
        <v>119</v>
      </c>
      <c r="L2277" s="16"/>
      <c r="M2277" s="57"/>
      <c r="N2277" s="58"/>
      <c r="P2277" s="16">
        <v>1</v>
      </c>
      <c r="Q2277" s="20">
        <f t="shared" si="395"/>
        <v>119</v>
      </c>
      <c r="R2277" s="14">
        <v>160</v>
      </c>
      <c r="S2277" s="20">
        <f t="shared" si="396"/>
        <v>19040</v>
      </c>
      <c r="T2277" s="16"/>
      <c r="U2277" s="17"/>
      <c r="V2277" s="17"/>
      <c r="W2277" s="5"/>
      <c r="X2277" s="16"/>
      <c r="Y2277" s="5"/>
      <c r="Z2277" s="16"/>
      <c r="AA2277" s="16"/>
      <c r="AB2277" s="16"/>
      <c r="AC2277" s="14"/>
      <c r="AD2277" s="14"/>
      <c r="AE2277" s="16"/>
      <c r="AG2277" s="22">
        <f t="shared" si="401"/>
        <v>0</v>
      </c>
      <c r="AH2277" s="6"/>
      <c r="AJ2277" s="20">
        <f t="shared" si="397"/>
        <v>0</v>
      </c>
      <c r="AK2277" s="50"/>
      <c r="AL2277" s="6"/>
      <c r="AM2277" s="20">
        <f t="shared" si="398"/>
        <v>0</v>
      </c>
      <c r="AN2277" s="20">
        <f t="shared" si="400"/>
        <v>19040</v>
      </c>
      <c r="AP2277" s="20">
        <f t="shared" si="399"/>
        <v>19040</v>
      </c>
      <c r="AQ2277" s="7"/>
      <c r="AR2277" s="20"/>
      <c r="AS2277" s="51"/>
    </row>
    <row r="2278" spans="1:45" s="21" customFormat="1" ht="30" customHeight="1" x14ac:dyDescent="0.2">
      <c r="A2278" s="2">
        <v>1951</v>
      </c>
      <c r="B2278" s="46">
        <v>1</v>
      </c>
      <c r="C2278" s="16" t="s">
        <v>52</v>
      </c>
      <c r="D2278" s="48">
        <v>27897</v>
      </c>
      <c r="E2278" s="47">
        <v>218</v>
      </c>
      <c r="F2278" s="48">
        <v>5078</v>
      </c>
      <c r="G2278" s="49">
        <v>3</v>
      </c>
      <c r="H2278" s="48">
        <v>0</v>
      </c>
      <c r="I2278" s="48">
        <v>1</v>
      </c>
      <c r="J2278" s="48">
        <v>36</v>
      </c>
      <c r="K2278" s="3">
        <v>136</v>
      </c>
      <c r="L2278" s="16"/>
      <c r="M2278" s="57"/>
      <c r="N2278" s="58"/>
      <c r="P2278" s="16">
        <v>1</v>
      </c>
      <c r="Q2278" s="20">
        <f t="shared" si="395"/>
        <v>136</v>
      </c>
      <c r="R2278" s="14">
        <v>160</v>
      </c>
      <c r="S2278" s="19">
        <f t="shared" si="396"/>
        <v>21760</v>
      </c>
      <c r="T2278" s="16"/>
      <c r="U2278" s="17"/>
      <c r="V2278" s="17"/>
      <c r="W2278" s="5"/>
      <c r="X2278" s="16"/>
      <c r="Y2278" s="5"/>
      <c r="Z2278" s="16"/>
      <c r="AA2278" s="16"/>
      <c r="AB2278" s="16"/>
      <c r="AC2278" s="14"/>
      <c r="AD2278" s="14"/>
      <c r="AE2278" s="16"/>
      <c r="AG2278" s="22">
        <f t="shared" si="401"/>
        <v>0</v>
      </c>
      <c r="AH2278" s="6"/>
      <c r="AJ2278" s="20">
        <f t="shared" si="397"/>
        <v>0</v>
      </c>
      <c r="AK2278" s="50"/>
      <c r="AL2278" s="6"/>
      <c r="AM2278" s="20">
        <f t="shared" si="398"/>
        <v>0</v>
      </c>
      <c r="AN2278" s="20">
        <f t="shared" si="400"/>
        <v>21760</v>
      </c>
      <c r="AP2278" s="20">
        <f t="shared" si="399"/>
        <v>21760</v>
      </c>
      <c r="AQ2278" s="7"/>
      <c r="AR2278" s="20"/>
      <c r="AS2278" s="51"/>
    </row>
    <row r="2279" spans="1:45" s="21" customFormat="1" ht="30" customHeight="1" x14ac:dyDescent="0.2">
      <c r="A2279" s="8">
        <v>1952</v>
      </c>
      <c r="B2279" s="46">
        <v>2</v>
      </c>
      <c r="C2279" s="16" t="s">
        <v>52</v>
      </c>
      <c r="D2279" s="48">
        <v>27900</v>
      </c>
      <c r="E2279" s="47">
        <v>221</v>
      </c>
      <c r="F2279" s="48">
        <v>5081</v>
      </c>
      <c r="G2279" s="49">
        <v>3</v>
      </c>
      <c r="H2279" s="48">
        <v>2</v>
      </c>
      <c r="I2279" s="48">
        <v>1</v>
      </c>
      <c r="J2279" s="48">
        <v>21</v>
      </c>
      <c r="K2279" s="3">
        <v>921</v>
      </c>
      <c r="L2279" s="16"/>
      <c r="M2279" s="57"/>
      <c r="N2279" s="58"/>
      <c r="P2279" s="16">
        <v>1</v>
      </c>
      <c r="Q2279" s="20">
        <f t="shared" si="395"/>
        <v>921</v>
      </c>
      <c r="R2279" s="14">
        <v>160</v>
      </c>
      <c r="S2279" s="19">
        <f t="shared" si="396"/>
        <v>147360</v>
      </c>
      <c r="T2279" s="16"/>
      <c r="U2279" s="17"/>
      <c r="V2279" s="17"/>
      <c r="W2279" s="5"/>
      <c r="X2279" s="16"/>
      <c r="Y2279" s="5"/>
      <c r="Z2279" s="16"/>
      <c r="AA2279" s="16"/>
      <c r="AB2279" s="16"/>
      <c r="AE2279" s="16"/>
      <c r="AG2279" s="22">
        <f t="shared" si="401"/>
        <v>0</v>
      </c>
      <c r="AH2279" s="6"/>
      <c r="AJ2279" s="20">
        <f t="shared" si="397"/>
        <v>0</v>
      </c>
      <c r="AK2279" s="50"/>
      <c r="AL2279" s="6"/>
      <c r="AM2279" s="20">
        <f t="shared" si="398"/>
        <v>0</v>
      </c>
      <c r="AN2279" s="20">
        <f t="shared" si="400"/>
        <v>147360</v>
      </c>
      <c r="AP2279" s="20">
        <f t="shared" si="399"/>
        <v>147360</v>
      </c>
      <c r="AQ2279" s="7"/>
      <c r="AR2279" s="20"/>
      <c r="AS2279" s="51"/>
    </row>
    <row r="2280" spans="1:45" ht="30" customHeight="1" x14ac:dyDescent="0.2">
      <c r="C2280" s="16"/>
      <c r="Q2280" s="20"/>
      <c r="S2280" s="20"/>
      <c r="AG2280" s="22"/>
      <c r="AJ2280" s="20"/>
      <c r="AM2280" s="20"/>
      <c r="AN2280" s="20"/>
      <c r="AP2280" s="20"/>
      <c r="AR2280" s="20"/>
    </row>
    <row r="2281" spans="1:45" s="21" customFormat="1" ht="30" customHeight="1" x14ac:dyDescent="0.2">
      <c r="A2281" s="131">
        <v>1953</v>
      </c>
      <c r="B2281" s="46">
        <v>1</v>
      </c>
      <c r="C2281" s="16" t="s">
        <v>52</v>
      </c>
      <c r="D2281" s="48">
        <v>1447</v>
      </c>
      <c r="E2281" s="47">
        <v>24</v>
      </c>
      <c r="F2281" s="48">
        <v>901</v>
      </c>
      <c r="G2281" s="49">
        <v>2</v>
      </c>
      <c r="H2281" s="48">
        <v>0</v>
      </c>
      <c r="I2281" s="48">
        <v>2</v>
      </c>
      <c r="J2281" s="48">
        <v>8</v>
      </c>
      <c r="K2281" s="3"/>
      <c r="L2281" s="16"/>
      <c r="M2281" s="57"/>
      <c r="N2281" s="58"/>
      <c r="O2281" s="21">
        <v>208</v>
      </c>
      <c r="P2281" s="16">
        <v>5</v>
      </c>
      <c r="Q2281" s="20">
        <f t="shared" si="395"/>
        <v>208</v>
      </c>
      <c r="R2281" s="14">
        <v>2000</v>
      </c>
      <c r="S2281" s="19">
        <f t="shared" si="396"/>
        <v>416000</v>
      </c>
      <c r="T2281" s="16"/>
      <c r="U2281" s="17"/>
      <c r="V2281" s="17"/>
      <c r="W2281" s="5"/>
      <c r="X2281" s="16"/>
      <c r="Y2281" s="5"/>
      <c r="Z2281" s="16"/>
      <c r="AA2281" s="16"/>
      <c r="AB2281" s="16"/>
      <c r="AE2281" s="16"/>
      <c r="AG2281" s="22"/>
      <c r="AH2281" s="6"/>
      <c r="AJ2281" s="20"/>
      <c r="AK2281" s="50"/>
      <c r="AL2281" s="6"/>
      <c r="AM2281" s="20"/>
      <c r="AN2281" s="20"/>
      <c r="AP2281" s="20"/>
      <c r="AQ2281" s="7"/>
      <c r="AR2281" s="96">
        <f>35+79</f>
        <v>114</v>
      </c>
      <c r="AS2281" s="96">
        <f>114+750</f>
        <v>864</v>
      </c>
    </row>
    <row r="2282" spans="1:45" s="21" customFormat="1" ht="30" customHeight="1" x14ac:dyDescent="0.2">
      <c r="A2282" s="131"/>
      <c r="B2282" s="46"/>
      <c r="C2282" s="16"/>
      <c r="D2282" s="48"/>
      <c r="E2282" s="47"/>
      <c r="F2282" s="48"/>
      <c r="G2282" s="49"/>
      <c r="H2282" s="48"/>
      <c r="I2282" s="48"/>
      <c r="J2282" s="48"/>
      <c r="K2282" s="3"/>
      <c r="L2282" s="16"/>
      <c r="M2282" s="57"/>
      <c r="N2282" s="58"/>
      <c r="P2282" s="16"/>
      <c r="Q2282" s="20"/>
      <c r="R2282" s="14" t="e">
        <v>#N/A</v>
      </c>
      <c r="S2282" s="19"/>
      <c r="T2282" s="16">
        <v>1</v>
      </c>
      <c r="U2282" s="17" t="s">
        <v>57</v>
      </c>
      <c r="V2282" s="17" t="s">
        <v>56</v>
      </c>
      <c r="W2282" s="5">
        <v>85</v>
      </c>
      <c r="X2282" s="16"/>
      <c r="Y2282" s="5">
        <v>60</v>
      </c>
      <c r="Z2282" s="16"/>
      <c r="AA2282" s="16"/>
      <c r="AB2282" s="16">
        <v>30</v>
      </c>
      <c r="AE2282" s="16"/>
      <c r="AF2282" s="21">
        <v>2</v>
      </c>
      <c r="AG2282" s="22">
        <v>85</v>
      </c>
      <c r="AH2282" s="6">
        <v>0.71</v>
      </c>
      <c r="AI2282" s="21">
        <v>7250</v>
      </c>
      <c r="AJ2282" s="20">
        <f>+AG2282*AH2282*AI2282</f>
        <v>437537.49999999994</v>
      </c>
      <c r="AK2282" s="50">
        <v>30</v>
      </c>
      <c r="AL2282" s="6">
        <v>0.5</v>
      </c>
      <c r="AM2282" s="20">
        <f>+AJ2282-(AL2282*AJ2282)</f>
        <v>218768.74999999997</v>
      </c>
      <c r="AN2282" s="20">
        <f>+(224640*AH2282)+AM2282</f>
        <v>378263.14999999997</v>
      </c>
      <c r="AP2282" s="20">
        <f>AN2282</f>
        <v>378263.14999999997</v>
      </c>
      <c r="AQ2282" s="7"/>
      <c r="AR2282" s="97"/>
      <c r="AS2282" s="97"/>
    </row>
    <row r="2283" spans="1:45" s="21" customFormat="1" ht="30" customHeight="1" x14ac:dyDescent="0.2">
      <c r="A2283" s="131"/>
      <c r="B2283" s="46"/>
      <c r="C2283" s="16"/>
      <c r="D2283" s="48"/>
      <c r="E2283" s="47"/>
      <c r="F2283" s="48"/>
      <c r="G2283" s="49"/>
      <c r="H2283" s="48"/>
      <c r="I2283" s="48"/>
      <c r="J2283" s="48"/>
      <c r="K2283" s="3"/>
      <c r="L2283" s="16"/>
      <c r="M2283" s="57"/>
      <c r="N2283" s="58"/>
      <c r="P2283" s="16"/>
      <c r="Q2283" s="20"/>
      <c r="R2283" s="14" t="e">
        <v>#N/A</v>
      </c>
      <c r="S2283" s="19"/>
      <c r="T2283" s="16"/>
      <c r="U2283" s="17"/>
      <c r="V2283" s="17"/>
      <c r="W2283" s="5"/>
      <c r="X2283" s="16"/>
      <c r="Y2283" s="5"/>
      <c r="Z2283" s="16">
        <v>25</v>
      </c>
      <c r="AA2283" s="16"/>
      <c r="AB2283" s="16"/>
      <c r="AE2283" s="16"/>
      <c r="AF2283" s="21">
        <v>3</v>
      </c>
      <c r="AG2283" s="22">
        <v>85</v>
      </c>
      <c r="AH2283" s="6">
        <v>0.28999999999999998</v>
      </c>
      <c r="AI2283" s="21">
        <v>7250</v>
      </c>
      <c r="AJ2283" s="20">
        <f t="shared" si="397"/>
        <v>178712.5</v>
      </c>
      <c r="AK2283" s="50">
        <v>30</v>
      </c>
      <c r="AL2283" s="6">
        <v>0.5</v>
      </c>
      <c r="AM2283" s="20">
        <f>+AJ2283-(AL2283*AJ2283)</f>
        <v>89356.25</v>
      </c>
      <c r="AN2283" s="20">
        <f>+(224640*AH2283)+AM2283</f>
        <v>154501.85</v>
      </c>
      <c r="AP2283" s="20">
        <f t="shared" si="399"/>
        <v>154501.85</v>
      </c>
      <c r="AQ2283" s="7">
        <v>3.0000000000000001E-3</v>
      </c>
      <c r="AR2283" s="97"/>
      <c r="AS2283" s="97"/>
    </row>
    <row r="2284" spans="1:45" s="21" customFormat="1" ht="30" customHeight="1" x14ac:dyDescent="0.2">
      <c r="A2284" s="131"/>
      <c r="B2284" s="46"/>
      <c r="C2284" s="16"/>
      <c r="D2284" s="48"/>
      <c r="E2284" s="47"/>
      <c r="F2284" s="48"/>
      <c r="G2284" s="49"/>
      <c r="H2284" s="48"/>
      <c r="I2284" s="48"/>
      <c r="J2284" s="48"/>
      <c r="K2284" s="3"/>
      <c r="L2284" s="16"/>
      <c r="M2284" s="57"/>
      <c r="N2284" s="58"/>
      <c r="P2284" s="16"/>
      <c r="Q2284" s="20"/>
      <c r="R2284" s="14" t="e">
        <v>#N/A</v>
      </c>
      <c r="S2284" s="19"/>
      <c r="T2284" s="16">
        <v>2</v>
      </c>
      <c r="U2284" s="17" t="s">
        <v>57</v>
      </c>
      <c r="V2284" s="17" t="s">
        <v>56</v>
      </c>
      <c r="W2284" s="5">
        <v>72</v>
      </c>
      <c r="X2284" s="16"/>
      <c r="Y2284" s="5">
        <v>72</v>
      </c>
      <c r="Z2284" s="16"/>
      <c r="AA2284" s="16"/>
      <c r="AB2284" s="16">
        <f>62-61</f>
        <v>1</v>
      </c>
      <c r="AE2284" s="16"/>
      <c r="AG2284" s="22">
        <f t="shared" si="401"/>
        <v>72</v>
      </c>
      <c r="AH2284" s="6"/>
      <c r="AJ2284" s="20">
        <f t="shared" si="397"/>
        <v>0</v>
      </c>
      <c r="AK2284" s="50">
        <v>1</v>
      </c>
      <c r="AL2284" s="6"/>
      <c r="AM2284" s="20">
        <f t="shared" si="398"/>
        <v>0</v>
      </c>
      <c r="AN2284" s="20">
        <f t="shared" ref="AN2284:AN2326" si="402">+S2284+AM2284</f>
        <v>0</v>
      </c>
      <c r="AP2284" s="20">
        <f t="shared" si="399"/>
        <v>0</v>
      </c>
      <c r="AQ2284" s="7"/>
      <c r="AR2284" s="24">
        <v>750</v>
      </c>
      <c r="AS2284" s="97"/>
    </row>
    <row r="2285" spans="1:45" s="21" customFormat="1" ht="30" customHeight="1" x14ac:dyDescent="0.2">
      <c r="A2285" s="8">
        <v>1954</v>
      </c>
      <c r="B2285" s="46">
        <v>2</v>
      </c>
      <c r="C2285" s="16" t="s">
        <v>52</v>
      </c>
      <c r="D2285" s="48">
        <v>1879</v>
      </c>
      <c r="E2285" s="47">
        <v>8</v>
      </c>
      <c r="F2285" s="48">
        <v>1269</v>
      </c>
      <c r="G2285" s="49">
        <v>2</v>
      </c>
      <c r="H2285" s="48">
        <v>11</v>
      </c>
      <c r="I2285" s="48">
        <v>3</v>
      </c>
      <c r="J2285" s="48">
        <v>4</v>
      </c>
      <c r="K2285" s="3">
        <f>11*400+304</f>
        <v>4704</v>
      </c>
      <c r="L2285" s="16"/>
      <c r="M2285" s="57"/>
      <c r="N2285" s="58"/>
      <c r="P2285" s="16">
        <v>1</v>
      </c>
      <c r="Q2285" s="20">
        <f t="shared" si="395"/>
        <v>4704</v>
      </c>
      <c r="R2285" s="14">
        <v>160</v>
      </c>
      <c r="S2285" s="20">
        <f t="shared" si="396"/>
        <v>752640</v>
      </c>
      <c r="T2285" s="16"/>
      <c r="U2285" s="17"/>
      <c r="V2285" s="17"/>
      <c r="W2285" s="5"/>
      <c r="X2285" s="16"/>
      <c r="Y2285" s="5"/>
      <c r="Z2285" s="16"/>
      <c r="AA2285" s="16"/>
      <c r="AB2285" s="16"/>
      <c r="AE2285" s="16"/>
      <c r="AG2285" s="22">
        <f t="shared" si="401"/>
        <v>0</v>
      </c>
      <c r="AH2285" s="6"/>
      <c r="AJ2285" s="20">
        <f t="shared" si="397"/>
        <v>0</v>
      </c>
      <c r="AK2285" s="50"/>
      <c r="AL2285" s="6"/>
      <c r="AM2285" s="20">
        <f t="shared" si="398"/>
        <v>0</v>
      </c>
      <c r="AN2285" s="20">
        <f t="shared" si="402"/>
        <v>752640</v>
      </c>
      <c r="AP2285" s="20">
        <f t="shared" si="399"/>
        <v>752640</v>
      </c>
      <c r="AQ2285" s="7"/>
      <c r="AR2285" s="25"/>
      <c r="AS2285" s="98"/>
    </row>
    <row r="2286" spans="1:45" ht="30" customHeight="1" x14ac:dyDescent="0.2">
      <c r="A2286" s="2">
        <v>1955</v>
      </c>
      <c r="B2286" s="13">
        <v>1</v>
      </c>
      <c r="C2286" s="16" t="s">
        <v>65</v>
      </c>
      <c r="D2286" s="17">
        <v>3621</v>
      </c>
      <c r="E2286" s="17">
        <v>271</v>
      </c>
      <c r="H2286" s="17">
        <v>2</v>
      </c>
      <c r="I2286" s="17">
        <v>3</v>
      </c>
      <c r="J2286" s="17">
        <v>27</v>
      </c>
      <c r="K2286" s="10">
        <v>1127</v>
      </c>
      <c r="P2286" s="17">
        <v>1</v>
      </c>
      <c r="Q2286" s="20">
        <f t="shared" si="395"/>
        <v>1127</v>
      </c>
      <c r="R2286" s="14">
        <v>160</v>
      </c>
      <c r="S2286" s="19">
        <f t="shared" si="396"/>
        <v>180320</v>
      </c>
      <c r="AC2286" s="21"/>
      <c r="AD2286" s="21"/>
      <c r="AG2286" s="22">
        <f t="shared" si="401"/>
        <v>0</v>
      </c>
      <c r="AJ2286" s="20">
        <f t="shared" si="397"/>
        <v>0</v>
      </c>
      <c r="AM2286" s="20">
        <f t="shared" si="398"/>
        <v>0</v>
      </c>
      <c r="AN2286" s="20">
        <f t="shared" si="402"/>
        <v>180320</v>
      </c>
      <c r="AP2286" s="20">
        <f t="shared" si="399"/>
        <v>180320</v>
      </c>
      <c r="AQ2286" s="12">
        <v>1E-4</v>
      </c>
      <c r="AR2286" s="20"/>
    </row>
    <row r="2287" spans="1:45" ht="30" customHeight="1" x14ac:dyDescent="0.2">
      <c r="A2287" s="8">
        <v>1956</v>
      </c>
      <c r="B2287" s="13">
        <v>1</v>
      </c>
      <c r="C2287" s="16" t="s">
        <v>65</v>
      </c>
      <c r="D2287" s="17">
        <v>334</v>
      </c>
      <c r="E2287" s="17">
        <v>80</v>
      </c>
      <c r="G2287" s="13">
        <v>3</v>
      </c>
      <c r="H2287" s="17">
        <v>3</v>
      </c>
      <c r="I2287" s="17">
        <v>2</v>
      </c>
      <c r="J2287" s="17">
        <v>67</v>
      </c>
      <c r="K2287" s="10">
        <v>1467</v>
      </c>
      <c r="Q2287" s="20">
        <f t="shared" si="395"/>
        <v>1467</v>
      </c>
      <c r="R2287" s="14">
        <v>160</v>
      </c>
      <c r="S2287" s="19">
        <f t="shared" si="396"/>
        <v>234720</v>
      </c>
      <c r="AC2287" s="21"/>
      <c r="AD2287" s="21"/>
      <c r="AG2287" s="22">
        <f t="shared" si="401"/>
        <v>0</v>
      </c>
      <c r="AJ2287" s="20">
        <f t="shared" si="397"/>
        <v>0</v>
      </c>
      <c r="AM2287" s="20">
        <f t="shared" si="398"/>
        <v>0</v>
      </c>
      <c r="AN2287" s="20">
        <f t="shared" si="402"/>
        <v>234720</v>
      </c>
      <c r="AP2287" s="20">
        <f t="shared" si="399"/>
        <v>234720</v>
      </c>
      <c r="AQ2287" s="12">
        <v>1E-4</v>
      </c>
      <c r="AR2287" s="20"/>
      <c r="AS2287" s="26">
        <v>11</v>
      </c>
    </row>
    <row r="2288" spans="1:45" ht="30" customHeight="1" x14ac:dyDescent="0.2">
      <c r="A2288" s="2">
        <v>1957</v>
      </c>
      <c r="B2288" s="13">
        <v>1</v>
      </c>
      <c r="C2288" s="16" t="s">
        <v>65</v>
      </c>
      <c r="D2288" s="17">
        <v>3620</v>
      </c>
      <c r="E2288" s="17">
        <v>273</v>
      </c>
      <c r="G2288" s="13">
        <v>3</v>
      </c>
      <c r="H2288" s="17">
        <v>4</v>
      </c>
      <c r="I2288" s="17">
        <v>1</v>
      </c>
      <c r="J2288" s="17">
        <v>23</v>
      </c>
      <c r="K2288" s="10">
        <v>1723</v>
      </c>
      <c r="Q2288" s="20">
        <f t="shared" si="395"/>
        <v>1723</v>
      </c>
      <c r="R2288" s="14">
        <v>250</v>
      </c>
      <c r="S2288" s="20">
        <f t="shared" si="396"/>
        <v>430750</v>
      </c>
      <c r="AC2288" s="21"/>
      <c r="AD2288" s="21"/>
      <c r="AE2288" s="17" t="s">
        <v>95</v>
      </c>
      <c r="AG2288" s="22">
        <f t="shared" si="401"/>
        <v>0</v>
      </c>
      <c r="AJ2288" s="20">
        <f t="shared" si="397"/>
        <v>0</v>
      </c>
      <c r="AM2288" s="20">
        <f t="shared" si="398"/>
        <v>0</v>
      </c>
      <c r="AN2288" s="20">
        <f t="shared" si="402"/>
        <v>430750</v>
      </c>
      <c r="AP2288" s="20">
        <f t="shared" si="399"/>
        <v>430750</v>
      </c>
      <c r="AQ2288" s="12">
        <v>1E-4</v>
      </c>
      <c r="AR2288" s="20"/>
      <c r="AS2288" s="26">
        <v>13</v>
      </c>
    </row>
    <row r="2289" spans="1:45" s="21" customFormat="1" ht="30" customHeight="1" x14ac:dyDescent="0.2">
      <c r="A2289" s="8">
        <v>1958</v>
      </c>
      <c r="B2289" s="46">
        <v>1</v>
      </c>
      <c r="C2289" s="16" t="s">
        <v>52</v>
      </c>
      <c r="D2289" s="48">
        <v>11748</v>
      </c>
      <c r="E2289" s="47">
        <v>96</v>
      </c>
      <c r="F2289" s="48">
        <v>3204</v>
      </c>
      <c r="G2289" s="49">
        <v>2</v>
      </c>
      <c r="H2289" s="48">
        <v>1</v>
      </c>
      <c r="I2289" s="48">
        <v>2</v>
      </c>
      <c r="J2289" s="48">
        <v>98.05</v>
      </c>
      <c r="K2289" s="3"/>
      <c r="L2289" s="16">
        <v>1098.05</v>
      </c>
      <c r="M2289" s="57"/>
      <c r="N2289" s="58"/>
      <c r="P2289" s="16">
        <v>2</v>
      </c>
      <c r="Q2289" s="20">
        <f t="shared" si="395"/>
        <v>698.05</v>
      </c>
      <c r="R2289" s="14">
        <v>160</v>
      </c>
      <c r="S2289" s="19">
        <f t="shared" si="396"/>
        <v>111688</v>
      </c>
      <c r="T2289" s="16"/>
      <c r="U2289" s="17" t="s">
        <v>57</v>
      </c>
      <c r="V2289" s="17" t="s">
        <v>56</v>
      </c>
      <c r="W2289" s="5"/>
      <c r="X2289" s="16"/>
      <c r="Y2289" s="5">
        <v>54</v>
      </c>
      <c r="Z2289" s="16"/>
      <c r="AA2289" s="16"/>
      <c r="AB2289" s="16">
        <f>62-45</f>
        <v>17</v>
      </c>
      <c r="AE2289" s="16"/>
      <c r="AG2289" s="22">
        <f t="shared" si="401"/>
        <v>54</v>
      </c>
      <c r="AH2289" s="6"/>
      <c r="AJ2289" s="20">
        <f t="shared" si="397"/>
        <v>0</v>
      </c>
      <c r="AK2289" s="50">
        <v>17</v>
      </c>
      <c r="AL2289" s="6"/>
      <c r="AM2289" s="20">
        <f t="shared" si="398"/>
        <v>0</v>
      </c>
      <c r="AN2289" s="20">
        <f t="shared" si="402"/>
        <v>111688</v>
      </c>
      <c r="AP2289" s="20">
        <f t="shared" si="399"/>
        <v>111688</v>
      </c>
      <c r="AQ2289" s="7"/>
      <c r="AR2289" s="20"/>
      <c r="AS2289" s="51"/>
    </row>
    <row r="2290" spans="1:45" s="21" customFormat="1" ht="30" customHeight="1" x14ac:dyDescent="0.2">
      <c r="A2290" s="2">
        <v>1959</v>
      </c>
      <c r="B2290" s="46">
        <v>1</v>
      </c>
      <c r="C2290" s="16" t="s">
        <v>52</v>
      </c>
      <c r="D2290" s="48">
        <v>1497</v>
      </c>
      <c r="E2290" s="47">
        <v>91</v>
      </c>
      <c r="F2290" s="48">
        <v>1211</v>
      </c>
      <c r="G2290" s="49">
        <v>2</v>
      </c>
      <c r="H2290" s="48">
        <v>4</v>
      </c>
      <c r="I2290" s="48">
        <v>1</v>
      </c>
      <c r="J2290" s="48">
        <v>29</v>
      </c>
      <c r="K2290" s="3">
        <v>1729</v>
      </c>
      <c r="L2290" s="16"/>
      <c r="M2290" s="57"/>
      <c r="N2290" s="58"/>
      <c r="P2290" s="16">
        <v>1</v>
      </c>
      <c r="Q2290" s="20">
        <f t="shared" si="395"/>
        <v>1729</v>
      </c>
      <c r="R2290" s="14">
        <v>160</v>
      </c>
      <c r="S2290" s="19">
        <f t="shared" si="396"/>
        <v>276640</v>
      </c>
      <c r="T2290" s="16"/>
      <c r="U2290" s="17"/>
      <c r="V2290" s="17"/>
      <c r="W2290" s="5"/>
      <c r="X2290" s="16"/>
      <c r="Y2290" s="5"/>
      <c r="Z2290" s="16"/>
      <c r="AA2290" s="16"/>
      <c r="AB2290" s="16"/>
      <c r="AE2290" s="16"/>
      <c r="AG2290" s="22">
        <f t="shared" si="401"/>
        <v>0</v>
      </c>
      <c r="AH2290" s="6"/>
      <c r="AJ2290" s="20">
        <f t="shared" si="397"/>
        <v>0</v>
      </c>
      <c r="AK2290" s="50"/>
      <c r="AL2290" s="6"/>
      <c r="AM2290" s="20">
        <f t="shared" si="398"/>
        <v>0</v>
      </c>
      <c r="AN2290" s="20">
        <f t="shared" si="402"/>
        <v>276640</v>
      </c>
      <c r="AP2290" s="20">
        <f t="shared" si="399"/>
        <v>276640</v>
      </c>
      <c r="AQ2290" s="7"/>
      <c r="AR2290" s="20"/>
      <c r="AS2290" s="51"/>
    </row>
    <row r="2291" spans="1:45" s="21" customFormat="1" ht="30" customHeight="1" x14ac:dyDescent="0.2">
      <c r="A2291" s="8">
        <v>1960</v>
      </c>
      <c r="B2291" s="46">
        <v>2</v>
      </c>
      <c r="C2291" s="16" t="s">
        <v>52</v>
      </c>
      <c r="D2291" s="48">
        <v>1609</v>
      </c>
      <c r="E2291" s="47">
        <v>2</v>
      </c>
      <c r="F2291" s="48">
        <v>561</v>
      </c>
      <c r="G2291" s="49">
        <v>2</v>
      </c>
      <c r="H2291" s="48">
        <v>12</v>
      </c>
      <c r="I2291" s="48">
        <v>0</v>
      </c>
      <c r="J2291" s="48">
        <v>84</v>
      </c>
      <c r="K2291" s="3">
        <f>12*400+84</f>
        <v>4884</v>
      </c>
      <c r="L2291" s="16"/>
      <c r="M2291" s="57"/>
      <c r="N2291" s="58"/>
      <c r="P2291" s="16">
        <v>1</v>
      </c>
      <c r="Q2291" s="20">
        <f t="shared" si="395"/>
        <v>4884</v>
      </c>
      <c r="R2291" s="14">
        <v>200</v>
      </c>
      <c r="S2291" s="20">
        <f t="shared" si="396"/>
        <v>976800</v>
      </c>
      <c r="T2291" s="16"/>
      <c r="U2291" s="17"/>
      <c r="V2291" s="17"/>
      <c r="W2291" s="5"/>
      <c r="X2291" s="16"/>
      <c r="Y2291" s="5"/>
      <c r="Z2291" s="16"/>
      <c r="AA2291" s="16"/>
      <c r="AB2291" s="16"/>
      <c r="AE2291" s="16"/>
      <c r="AG2291" s="22">
        <f t="shared" si="401"/>
        <v>0</v>
      </c>
      <c r="AH2291" s="6"/>
      <c r="AJ2291" s="20">
        <f t="shared" si="397"/>
        <v>0</v>
      </c>
      <c r="AK2291" s="50"/>
      <c r="AL2291" s="6"/>
      <c r="AM2291" s="20">
        <f t="shared" si="398"/>
        <v>0</v>
      </c>
      <c r="AN2291" s="20">
        <f t="shared" si="402"/>
        <v>976800</v>
      </c>
      <c r="AP2291" s="20">
        <f t="shared" si="399"/>
        <v>976800</v>
      </c>
      <c r="AQ2291" s="7"/>
      <c r="AR2291" s="20"/>
      <c r="AS2291" s="51"/>
    </row>
    <row r="2292" spans="1:45" s="21" customFormat="1" ht="30" customHeight="1" x14ac:dyDescent="0.2">
      <c r="A2292" s="2">
        <v>1961</v>
      </c>
      <c r="B2292" s="46">
        <v>3</v>
      </c>
      <c r="C2292" s="16" t="s">
        <v>52</v>
      </c>
      <c r="D2292" s="48">
        <v>2431</v>
      </c>
      <c r="E2292" s="47">
        <v>60</v>
      </c>
      <c r="F2292" s="48">
        <v>430</v>
      </c>
      <c r="G2292" s="49">
        <v>2</v>
      </c>
      <c r="H2292" s="48">
        <v>1</v>
      </c>
      <c r="I2292" s="48">
        <v>1</v>
      </c>
      <c r="J2292" s="48">
        <v>59</v>
      </c>
      <c r="K2292" s="3">
        <v>559</v>
      </c>
      <c r="L2292" s="16"/>
      <c r="M2292" s="57"/>
      <c r="N2292" s="58"/>
      <c r="P2292" s="16">
        <v>4</v>
      </c>
      <c r="Q2292" s="20">
        <f t="shared" si="395"/>
        <v>559</v>
      </c>
      <c r="R2292" s="14">
        <v>3350</v>
      </c>
      <c r="S2292" s="19">
        <f t="shared" si="396"/>
        <v>1872650</v>
      </c>
      <c r="T2292" s="16"/>
      <c r="U2292" s="17"/>
      <c r="V2292" s="17"/>
      <c r="W2292" s="5"/>
      <c r="X2292" s="16"/>
      <c r="Y2292" s="5"/>
      <c r="Z2292" s="16"/>
      <c r="AA2292" s="16"/>
      <c r="AB2292" s="16"/>
      <c r="AE2292" s="16"/>
      <c r="AG2292" s="22">
        <f t="shared" si="401"/>
        <v>0</v>
      </c>
      <c r="AH2292" s="6"/>
      <c r="AJ2292" s="20">
        <f t="shared" si="397"/>
        <v>0</v>
      </c>
      <c r="AK2292" s="50"/>
      <c r="AL2292" s="6"/>
      <c r="AM2292" s="20">
        <f t="shared" si="398"/>
        <v>0</v>
      </c>
      <c r="AN2292" s="20">
        <f t="shared" si="402"/>
        <v>1872650</v>
      </c>
      <c r="AP2292" s="20">
        <f t="shared" si="399"/>
        <v>1872650</v>
      </c>
      <c r="AQ2292" s="7">
        <v>3.0000000000000001E-3</v>
      </c>
      <c r="AR2292" s="20"/>
      <c r="AS2292" s="51"/>
    </row>
    <row r="2293" spans="1:45" s="21" customFormat="1" ht="30" customHeight="1" x14ac:dyDescent="0.2">
      <c r="A2293" s="8">
        <v>1962</v>
      </c>
      <c r="B2293" s="46">
        <v>4</v>
      </c>
      <c r="C2293" s="16" t="s">
        <v>52</v>
      </c>
      <c r="D2293" s="48">
        <v>31019</v>
      </c>
      <c r="E2293" s="47">
        <v>187</v>
      </c>
      <c r="F2293" s="48">
        <v>5969</v>
      </c>
      <c r="G2293" s="49">
        <v>2</v>
      </c>
      <c r="H2293" s="48">
        <v>1</v>
      </c>
      <c r="I2293" s="48">
        <v>0</v>
      </c>
      <c r="J2293" s="48">
        <v>37.090000000000003</v>
      </c>
      <c r="K2293" s="3"/>
      <c r="L2293" s="16">
        <v>837.09</v>
      </c>
      <c r="M2293" s="57"/>
      <c r="N2293" s="58"/>
      <c r="P2293" s="16">
        <v>2</v>
      </c>
      <c r="Q2293" s="20">
        <f t="shared" si="395"/>
        <v>437.09000000000003</v>
      </c>
      <c r="R2293" s="14">
        <v>160</v>
      </c>
      <c r="S2293" s="19">
        <f t="shared" si="396"/>
        <v>69934.400000000009</v>
      </c>
      <c r="T2293" s="16"/>
      <c r="U2293" s="17" t="s">
        <v>57</v>
      </c>
      <c r="V2293" s="17" t="s">
        <v>56</v>
      </c>
      <c r="W2293" s="5"/>
      <c r="X2293" s="16"/>
      <c r="Y2293" s="5">
        <v>280</v>
      </c>
      <c r="Z2293" s="16"/>
      <c r="AA2293" s="16"/>
      <c r="AB2293" s="16">
        <f>62-27</f>
        <v>35</v>
      </c>
      <c r="AE2293" s="16"/>
      <c r="AG2293" s="22">
        <f t="shared" si="401"/>
        <v>280</v>
      </c>
      <c r="AH2293" s="6"/>
      <c r="AJ2293" s="20">
        <f t="shared" si="397"/>
        <v>0</v>
      </c>
      <c r="AK2293" s="50">
        <v>35</v>
      </c>
      <c r="AL2293" s="6"/>
      <c r="AM2293" s="20">
        <f t="shared" si="398"/>
        <v>0</v>
      </c>
      <c r="AN2293" s="20">
        <f t="shared" si="402"/>
        <v>69934.400000000009</v>
      </c>
      <c r="AP2293" s="20">
        <f t="shared" si="399"/>
        <v>69934.400000000009</v>
      </c>
      <c r="AQ2293" s="7"/>
      <c r="AR2293" s="20"/>
      <c r="AS2293" s="51"/>
    </row>
    <row r="2294" spans="1:45" s="21" customFormat="1" ht="30" customHeight="1" x14ac:dyDescent="0.2">
      <c r="A2294" s="2">
        <v>1963</v>
      </c>
      <c r="B2294" s="46">
        <v>5</v>
      </c>
      <c r="C2294" s="16" t="s">
        <v>52</v>
      </c>
      <c r="D2294" s="48">
        <v>31862</v>
      </c>
      <c r="E2294" s="47">
        <v>202</v>
      </c>
      <c r="F2294" s="48">
        <v>6241</v>
      </c>
      <c r="G2294" s="49">
        <v>2</v>
      </c>
      <c r="H2294" s="48">
        <v>0</v>
      </c>
      <c r="I2294" s="48">
        <v>0</v>
      </c>
      <c r="J2294" s="48">
        <v>50</v>
      </c>
      <c r="K2294" s="3"/>
      <c r="L2294" s="16">
        <v>50</v>
      </c>
      <c r="M2294" s="57"/>
      <c r="N2294" s="58"/>
      <c r="P2294" s="16">
        <v>2</v>
      </c>
      <c r="Q2294" s="20">
        <f t="shared" si="395"/>
        <v>50</v>
      </c>
      <c r="R2294" s="14">
        <v>4500</v>
      </c>
      <c r="S2294" s="20">
        <f t="shared" si="396"/>
        <v>225000</v>
      </c>
      <c r="T2294" s="16"/>
      <c r="U2294" s="17"/>
      <c r="V2294" s="17"/>
      <c r="W2294" s="5"/>
      <c r="X2294" s="16"/>
      <c r="Y2294" s="5"/>
      <c r="Z2294" s="16"/>
      <c r="AA2294" s="16"/>
      <c r="AB2294" s="16"/>
      <c r="AE2294" s="16"/>
      <c r="AG2294" s="22">
        <f t="shared" si="401"/>
        <v>0</v>
      </c>
      <c r="AH2294" s="6"/>
      <c r="AJ2294" s="20">
        <f t="shared" si="397"/>
        <v>0</v>
      </c>
      <c r="AK2294" s="50"/>
      <c r="AL2294" s="6"/>
      <c r="AM2294" s="20">
        <f t="shared" si="398"/>
        <v>0</v>
      </c>
      <c r="AN2294" s="20">
        <f t="shared" si="402"/>
        <v>225000</v>
      </c>
      <c r="AP2294" s="20">
        <f t="shared" si="399"/>
        <v>225000</v>
      </c>
      <c r="AQ2294" s="7"/>
      <c r="AR2294" s="20"/>
      <c r="AS2294" s="51"/>
    </row>
    <row r="2295" spans="1:45" ht="30" customHeight="1" x14ac:dyDescent="0.2">
      <c r="A2295" s="8"/>
      <c r="C2295" s="16"/>
      <c r="Q2295" s="20"/>
      <c r="AG2295" s="22"/>
      <c r="AJ2295" s="20"/>
      <c r="AM2295" s="20"/>
      <c r="AN2295" s="20"/>
      <c r="AP2295" s="20"/>
      <c r="AR2295" s="20"/>
    </row>
    <row r="2296" spans="1:45" s="21" customFormat="1" ht="30" customHeight="1" x14ac:dyDescent="0.2">
      <c r="A2296" s="2">
        <v>1964</v>
      </c>
      <c r="B2296" s="46">
        <v>1</v>
      </c>
      <c r="C2296" s="16" t="s">
        <v>52</v>
      </c>
      <c r="D2296" s="48">
        <v>1549</v>
      </c>
      <c r="E2296" s="47">
        <v>54</v>
      </c>
      <c r="F2296" s="48">
        <v>467</v>
      </c>
      <c r="G2296" s="49">
        <v>2</v>
      </c>
      <c r="H2296" s="48">
        <v>2</v>
      </c>
      <c r="I2296" s="48">
        <v>0</v>
      </c>
      <c r="J2296" s="48">
        <v>20.05</v>
      </c>
      <c r="K2296" s="3">
        <v>820.05</v>
      </c>
      <c r="L2296" s="16"/>
      <c r="M2296" s="57"/>
      <c r="N2296" s="58"/>
      <c r="P2296" s="16">
        <v>1</v>
      </c>
      <c r="Q2296" s="20">
        <f t="shared" si="395"/>
        <v>820.05</v>
      </c>
      <c r="R2296" s="14">
        <v>200</v>
      </c>
      <c r="S2296" s="19">
        <f t="shared" si="396"/>
        <v>164010</v>
      </c>
      <c r="T2296" s="16"/>
      <c r="U2296" s="17"/>
      <c r="V2296" s="17"/>
      <c r="W2296" s="5"/>
      <c r="X2296" s="16"/>
      <c r="Y2296" s="5"/>
      <c r="Z2296" s="16"/>
      <c r="AA2296" s="16"/>
      <c r="AB2296" s="16"/>
      <c r="AE2296" s="16"/>
      <c r="AG2296" s="22">
        <f t="shared" si="401"/>
        <v>0</v>
      </c>
      <c r="AH2296" s="6"/>
      <c r="AJ2296" s="20">
        <f t="shared" si="397"/>
        <v>0</v>
      </c>
      <c r="AK2296" s="50"/>
      <c r="AL2296" s="6"/>
      <c r="AM2296" s="20">
        <f t="shared" si="398"/>
        <v>0</v>
      </c>
      <c r="AN2296" s="20">
        <f t="shared" si="402"/>
        <v>164010</v>
      </c>
      <c r="AP2296" s="20">
        <f t="shared" si="399"/>
        <v>164010</v>
      </c>
      <c r="AQ2296" s="7"/>
      <c r="AR2296" s="60"/>
      <c r="AS2296" s="128">
        <v>13</v>
      </c>
    </row>
    <row r="2297" spans="1:45" s="21" customFormat="1" ht="30" customHeight="1" x14ac:dyDescent="0.2">
      <c r="A2297" s="8">
        <v>1965</v>
      </c>
      <c r="B2297" s="46">
        <v>2</v>
      </c>
      <c r="C2297" s="16" t="s">
        <v>52</v>
      </c>
      <c r="D2297" s="48">
        <v>29708</v>
      </c>
      <c r="E2297" s="47">
        <v>113</v>
      </c>
      <c r="F2297" s="48">
        <v>5480</v>
      </c>
      <c r="G2297" s="49">
        <v>2</v>
      </c>
      <c r="H2297" s="48">
        <v>0</v>
      </c>
      <c r="I2297" s="48">
        <v>2</v>
      </c>
      <c r="J2297" s="48">
        <v>70</v>
      </c>
      <c r="K2297" s="3"/>
      <c r="L2297" s="16">
        <v>270</v>
      </c>
      <c r="M2297" s="57"/>
      <c r="N2297" s="58"/>
      <c r="P2297" s="16">
        <v>2</v>
      </c>
      <c r="Q2297" s="20">
        <f t="shared" si="395"/>
        <v>270</v>
      </c>
      <c r="R2297" s="14">
        <v>160</v>
      </c>
      <c r="S2297" s="20">
        <f t="shared" si="396"/>
        <v>43200</v>
      </c>
      <c r="T2297" s="16"/>
      <c r="U2297" s="17" t="s">
        <v>57</v>
      </c>
      <c r="V2297" s="17" t="s">
        <v>56</v>
      </c>
      <c r="W2297" s="5"/>
      <c r="X2297" s="16"/>
      <c r="Y2297" s="5">
        <v>85</v>
      </c>
      <c r="Z2297" s="16"/>
      <c r="AA2297" s="16"/>
      <c r="AB2297" s="16">
        <f>62-33</f>
        <v>29</v>
      </c>
      <c r="AE2297" s="16"/>
      <c r="AG2297" s="22">
        <f t="shared" si="401"/>
        <v>85</v>
      </c>
      <c r="AH2297" s="6"/>
      <c r="AJ2297" s="20">
        <f t="shared" si="397"/>
        <v>0</v>
      </c>
      <c r="AK2297" s="50">
        <v>29</v>
      </c>
      <c r="AL2297" s="6"/>
      <c r="AM2297" s="20">
        <f t="shared" si="398"/>
        <v>0</v>
      </c>
      <c r="AN2297" s="20">
        <f t="shared" si="402"/>
        <v>43200</v>
      </c>
      <c r="AP2297" s="20">
        <f t="shared" si="399"/>
        <v>43200</v>
      </c>
      <c r="AQ2297" s="7"/>
      <c r="AR2297" s="24"/>
      <c r="AS2297" s="129"/>
    </row>
    <row r="2298" spans="1:45" s="21" customFormat="1" ht="30" customHeight="1" x14ac:dyDescent="0.2">
      <c r="A2298" s="2">
        <v>1966</v>
      </c>
      <c r="B2298" s="46">
        <v>3</v>
      </c>
      <c r="C2298" s="16" t="s">
        <v>52</v>
      </c>
      <c r="D2298" s="48">
        <v>33783</v>
      </c>
      <c r="E2298" s="47">
        <v>55</v>
      </c>
      <c r="F2298" s="48">
        <v>6744</v>
      </c>
      <c r="G2298" s="49">
        <v>2</v>
      </c>
      <c r="H2298" s="48">
        <v>2</v>
      </c>
      <c r="I2298" s="48">
        <v>0</v>
      </c>
      <c r="J2298" s="48">
        <v>84</v>
      </c>
      <c r="K2298" s="3">
        <v>884</v>
      </c>
      <c r="L2298" s="16"/>
      <c r="M2298" s="57"/>
      <c r="N2298" s="58"/>
      <c r="P2298" s="16">
        <v>1</v>
      </c>
      <c r="Q2298" s="20">
        <f t="shared" si="395"/>
        <v>884</v>
      </c>
      <c r="R2298" s="14">
        <v>160</v>
      </c>
      <c r="S2298" s="19">
        <f t="shared" si="396"/>
        <v>141440</v>
      </c>
      <c r="T2298" s="16"/>
      <c r="U2298" s="17"/>
      <c r="V2298" s="17"/>
      <c r="W2298" s="5"/>
      <c r="X2298" s="16"/>
      <c r="Y2298" s="5"/>
      <c r="Z2298" s="16"/>
      <c r="AA2298" s="16"/>
      <c r="AB2298" s="16"/>
      <c r="AC2298" s="14"/>
      <c r="AD2298" s="14"/>
      <c r="AE2298" s="16"/>
      <c r="AG2298" s="22">
        <f t="shared" si="401"/>
        <v>0</v>
      </c>
      <c r="AH2298" s="6"/>
      <c r="AJ2298" s="20">
        <f t="shared" si="397"/>
        <v>0</v>
      </c>
      <c r="AK2298" s="50"/>
      <c r="AL2298" s="6"/>
      <c r="AM2298" s="20">
        <f t="shared" si="398"/>
        <v>0</v>
      </c>
      <c r="AN2298" s="20">
        <f t="shared" si="402"/>
        <v>141440</v>
      </c>
      <c r="AP2298" s="20">
        <f t="shared" si="399"/>
        <v>141440</v>
      </c>
      <c r="AQ2298" s="7"/>
      <c r="AR2298" s="24"/>
      <c r="AS2298" s="129"/>
    </row>
    <row r="2299" spans="1:45" s="21" customFormat="1" ht="30" customHeight="1" x14ac:dyDescent="0.2">
      <c r="A2299" s="8">
        <v>1967</v>
      </c>
      <c r="B2299" s="46">
        <v>4</v>
      </c>
      <c r="C2299" s="16" t="s">
        <v>52</v>
      </c>
      <c r="D2299" s="48">
        <v>34355</v>
      </c>
      <c r="E2299" s="47">
        <v>56</v>
      </c>
      <c r="F2299" s="48">
        <v>6844</v>
      </c>
      <c r="G2299" s="49">
        <v>2</v>
      </c>
      <c r="H2299" s="48">
        <v>2</v>
      </c>
      <c r="I2299" s="48">
        <v>1</v>
      </c>
      <c r="J2299" s="48">
        <v>9</v>
      </c>
      <c r="K2299" s="3">
        <v>909</v>
      </c>
      <c r="L2299" s="16"/>
      <c r="M2299" s="57"/>
      <c r="N2299" s="58"/>
      <c r="P2299" s="16">
        <v>1</v>
      </c>
      <c r="Q2299" s="20">
        <f t="shared" si="395"/>
        <v>909</v>
      </c>
      <c r="R2299" s="14">
        <v>160</v>
      </c>
      <c r="S2299" s="19">
        <f t="shared" si="396"/>
        <v>145440</v>
      </c>
      <c r="T2299" s="16"/>
      <c r="U2299" s="17"/>
      <c r="V2299" s="17"/>
      <c r="W2299" s="5"/>
      <c r="X2299" s="16"/>
      <c r="Y2299" s="5"/>
      <c r="Z2299" s="16"/>
      <c r="AA2299" s="16"/>
      <c r="AB2299" s="16"/>
      <c r="AE2299" s="16"/>
      <c r="AG2299" s="22">
        <f t="shared" si="401"/>
        <v>0</v>
      </c>
      <c r="AH2299" s="6"/>
      <c r="AJ2299" s="20">
        <f t="shared" si="397"/>
        <v>0</v>
      </c>
      <c r="AK2299" s="50"/>
      <c r="AL2299" s="6"/>
      <c r="AM2299" s="20">
        <f t="shared" si="398"/>
        <v>0</v>
      </c>
      <c r="AN2299" s="20">
        <f t="shared" si="402"/>
        <v>145440</v>
      </c>
      <c r="AP2299" s="20">
        <f t="shared" si="399"/>
        <v>145440</v>
      </c>
      <c r="AQ2299" s="7"/>
      <c r="AR2299" s="25"/>
      <c r="AS2299" s="130"/>
    </row>
    <row r="2300" spans="1:45" s="21" customFormat="1" ht="30" customHeight="1" x14ac:dyDescent="0.2">
      <c r="A2300" s="2">
        <v>1968</v>
      </c>
      <c r="B2300" s="46">
        <v>1</v>
      </c>
      <c r="C2300" s="16" t="s">
        <v>52</v>
      </c>
      <c r="D2300" s="48">
        <v>37708</v>
      </c>
      <c r="E2300" s="47">
        <v>248</v>
      </c>
      <c r="F2300" s="48">
        <v>7632</v>
      </c>
      <c r="G2300" s="49">
        <v>2</v>
      </c>
      <c r="H2300" s="48">
        <v>0</v>
      </c>
      <c r="I2300" s="48">
        <v>1</v>
      </c>
      <c r="J2300" s="48">
        <v>1</v>
      </c>
      <c r="K2300" s="3">
        <v>101</v>
      </c>
      <c r="L2300" s="16"/>
      <c r="M2300" s="57"/>
      <c r="N2300" s="58"/>
      <c r="P2300" s="16">
        <v>1</v>
      </c>
      <c r="Q2300" s="20">
        <f t="shared" si="395"/>
        <v>101</v>
      </c>
      <c r="R2300" s="14">
        <v>250</v>
      </c>
      <c r="S2300" s="20">
        <f t="shared" si="396"/>
        <v>25250</v>
      </c>
      <c r="T2300" s="16"/>
      <c r="U2300" s="17"/>
      <c r="V2300" s="17"/>
      <c r="W2300" s="5"/>
      <c r="X2300" s="16"/>
      <c r="Y2300" s="5"/>
      <c r="Z2300" s="16"/>
      <c r="AA2300" s="16"/>
      <c r="AB2300" s="16"/>
      <c r="AC2300" s="14"/>
      <c r="AD2300" s="14"/>
      <c r="AE2300" s="16"/>
      <c r="AG2300" s="22">
        <f t="shared" si="401"/>
        <v>0</v>
      </c>
      <c r="AH2300" s="6"/>
      <c r="AJ2300" s="20">
        <f t="shared" si="397"/>
        <v>0</v>
      </c>
      <c r="AK2300" s="50"/>
      <c r="AL2300" s="6"/>
      <c r="AM2300" s="20">
        <f t="shared" si="398"/>
        <v>0</v>
      </c>
      <c r="AN2300" s="20">
        <f t="shared" si="402"/>
        <v>25250</v>
      </c>
      <c r="AP2300" s="20">
        <f t="shared" si="399"/>
        <v>25250</v>
      </c>
      <c r="AQ2300" s="7"/>
      <c r="AR2300" s="20"/>
      <c r="AS2300" s="51"/>
    </row>
    <row r="2301" spans="1:45" s="21" customFormat="1" ht="30" customHeight="1" x14ac:dyDescent="0.2">
      <c r="A2301" s="8">
        <v>1969</v>
      </c>
      <c r="B2301" s="46">
        <v>1</v>
      </c>
      <c r="C2301" s="16" t="s">
        <v>52</v>
      </c>
      <c r="D2301" s="48">
        <v>1559</v>
      </c>
      <c r="E2301" s="47">
        <v>79</v>
      </c>
      <c r="F2301" s="48">
        <v>477</v>
      </c>
      <c r="G2301" s="49">
        <v>2</v>
      </c>
      <c r="H2301" s="48">
        <v>1</v>
      </c>
      <c r="I2301" s="48">
        <v>0</v>
      </c>
      <c r="J2301" s="48">
        <v>58</v>
      </c>
      <c r="K2301" s="3"/>
      <c r="L2301" s="16">
        <v>458</v>
      </c>
      <c r="M2301" s="57"/>
      <c r="N2301" s="58"/>
      <c r="P2301" s="16">
        <v>2</v>
      </c>
      <c r="Q2301" s="20">
        <f t="shared" si="395"/>
        <v>458</v>
      </c>
      <c r="R2301" s="14">
        <v>160</v>
      </c>
      <c r="S2301" s="19">
        <f t="shared" si="396"/>
        <v>73280</v>
      </c>
      <c r="T2301" s="16"/>
      <c r="U2301" s="17" t="s">
        <v>57</v>
      </c>
      <c r="V2301" s="17" t="s">
        <v>56</v>
      </c>
      <c r="W2301" s="5"/>
      <c r="X2301" s="16"/>
      <c r="Y2301" s="5">
        <v>71.25</v>
      </c>
      <c r="Z2301" s="16"/>
      <c r="AA2301" s="16"/>
      <c r="AB2301" s="16">
        <f>62-39</f>
        <v>23</v>
      </c>
      <c r="AC2301" s="14"/>
      <c r="AD2301" s="14"/>
      <c r="AE2301" s="16"/>
      <c r="AG2301" s="22">
        <f t="shared" si="401"/>
        <v>71.25</v>
      </c>
      <c r="AH2301" s="6"/>
      <c r="AJ2301" s="20">
        <f t="shared" si="397"/>
        <v>0</v>
      </c>
      <c r="AK2301" s="50">
        <v>23</v>
      </c>
      <c r="AL2301" s="6"/>
      <c r="AM2301" s="20">
        <f t="shared" si="398"/>
        <v>0</v>
      </c>
      <c r="AN2301" s="20">
        <f t="shared" si="402"/>
        <v>73280</v>
      </c>
      <c r="AP2301" s="20">
        <f t="shared" si="399"/>
        <v>73280</v>
      </c>
      <c r="AQ2301" s="7"/>
      <c r="AR2301" s="20"/>
      <c r="AS2301" s="51"/>
    </row>
    <row r="2302" spans="1:45" s="21" customFormat="1" ht="30" customHeight="1" x14ac:dyDescent="0.2">
      <c r="A2302" s="2">
        <v>1970</v>
      </c>
      <c r="B2302" s="46">
        <v>1</v>
      </c>
      <c r="C2302" s="16" t="s">
        <v>52</v>
      </c>
      <c r="D2302" s="48">
        <v>1496</v>
      </c>
      <c r="E2302" s="47">
        <v>92</v>
      </c>
      <c r="F2302" s="48">
        <v>1210</v>
      </c>
      <c r="G2302" s="49">
        <v>2</v>
      </c>
      <c r="H2302" s="48">
        <v>1</v>
      </c>
      <c r="I2302" s="48">
        <v>0</v>
      </c>
      <c r="J2302" s="48">
        <v>66</v>
      </c>
      <c r="K2302" s="3">
        <v>466</v>
      </c>
      <c r="L2302" s="16"/>
      <c r="M2302" s="57"/>
      <c r="N2302" s="58"/>
      <c r="P2302" s="16">
        <v>1</v>
      </c>
      <c r="Q2302" s="20">
        <f t="shared" si="395"/>
        <v>466</v>
      </c>
      <c r="R2302" s="14">
        <v>160</v>
      </c>
      <c r="S2302" s="19">
        <f t="shared" si="396"/>
        <v>74560</v>
      </c>
      <c r="T2302" s="16"/>
      <c r="U2302" s="17"/>
      <c r="V2302" s="17"/>
      <c r="W2302" s="5"/>
      <c r="X2302" s="16"/>
      <c r="Y2302" s="5"/>
      <c r="Z2302" s="16"/>
      <c r="AA2302" s="16"/>
      <c r="AB2302" s="16"/>
      <c r="AC2302" s="14"/>
      <c r="AD2302" s="14"/>
      <c r="AE2302" s="16"/>
      <c r="AG2302" s="22">
        <f t="shared" si="401"/>
        <v>0</v>
      </c>
      <c r="AH2302" s="6"/>
      <c r="AJ2302" s="20">
        <f t="shared" si="397"/>
        <v>0</v>
      </c>
      <c r="AK2302" s="50"/>
      <c r="AL2302" s="6"/>
      <c r="AM2302" s="20">
        <f t="shared" si="398"/>
        <v>0</v>
      </c>
      <c r="AN2302" s="20">
        <f t="shared" si="402"/>
        <v>74560</v>
      </c>
      <c r="AP2302" s="20">
        <f t="shared" si="399"/>
        <v>74560</v>
      </c>
      <c r="AQ2302" s="7"/>
      <c r="AR2302" s="60"/>
      <c r="AS2302" s="128">
        <v>93</v>
      </c>
    </row>
    <row r="2303" spans="1:45" s="21" customFormat="1" ht="30" customHeight="1" x14ac:dyDescent="0.2">
      <c r="A2303" s="8">
        <v>1971</v>
      </c>
      <c r="B2303" s="46">
        <v>2</v>
      </c>
      <c r="C2303" s="16" t="s">
        <v>52</v>
      </c>
      <c r="D2303" s="48">
        <v>1821</v>
      </c>
      <c r="E2303" s="47">
        <v>2</v>
      </c>
      <c r="F2303" s="48">
        <v>1208</v>
      </c>
      <c r="G2303" s="49">
        <v>2</v>
      </c>
      <c r="H2303" s="48">
        <v>3</v>
      </c>
      <c r="I2303" s="48">
        <v>2</v>
      </c>
      <c r="J2303" s="48">
        <v>10</v>
      </c>
      <c r="K2303" s="3">
        <v>1410</v>
      </c>
      <c r="L2303" s="16"/>
      <c r="M2303" s="57"/>
      <c r="N2303" s="58"/>
      <c r="P2303" s="16">
        <v>1</v>
      </c>
      <c r="Q2303" s="20">
        <f t="shared" si="395"/>
        <v>1410</v>
      </c>
      <c r="R2303" s="14">
        <v>160</v>
      </c>
      <c r="S2303" s="20">
        <f t="shared" si="396"/>
        <v>225600</v>
      </c>
      <c r="T2303" s="16"/>
      <c r="U2303" s="17"/>
      <c r="V2303" s="17"/>
      <c r="W2303" s="5"/>
      <c r="X2303" s="16"/>
      <c r="Y2303" s="5"/>
      <c r="Z2303" s="16"/>
      <c r="AA2303" s="16"/>
      <c r="AB2303" s="16"/>
      <c r="AC2303" s="14"/>
      <c r="AD2303" s="14"/>
      <c r="AE2303" s="16"/>
      <c r="AG2303" s="22">
        <f t="shared" si="401"/>
        <v>0</v>
      </c>
      <c r="AH2303" s="6"/>
      <c r="AJ2303" s="20">
        <f t="shared" si="397"/>
        <v>0</v>
      </c>
      <c r="AK2303" s="50"/>
      <c r="AL2303" s="6"/>
      <c r="AM2303" s="20">
        <f t="shared" si="398"/>
        <v>0</v>
      </c>
      <c r="AN2303" s="20">
        <f t="shared" si="402"/>
        <v>225600</v>
      </c>
      <c r="AP2303" s="20">
        <f t="shared" si="399"/>
        <v>225600</v>
      </c>
      <c r="AQ2303" s="7"/>
      <c r="AR2303" s="24"/>
      <c r="AS2303" s="129"/>
    </row>
    <row r="2304" spans="1:45" s="21" customFormat="1" ht="30" customHeight="1" x14ac:dyDescent="0.2">
      <c r="A2304" s="2">
        <v>1972</v>
      </c>
      <c r="B2304" s="46">
        <v>3</v>
      </c>
      <c r="C2304" s="16" t="s">
        <v>52</v>
      </c>
      <c r="D2304" s="48">
        <v>1822</v>
      </c>
      <c r="E2304" s="47">
        <v>3</v>
      </c>
      <c r="F2304" s="48">
        <v>1209</v>
      </c>
      <c r="G2304" s="49">
        <v>2</v>
      </c>
      <c r="H2304" s="48">
        <v>12</v>
      </c>
      <c r="I2304" s="48">
        <v>0</v>
      </c>
      <c r="J2304" s="48">
        <v>28.09</v>
      </c>
      <c r="K2304" s="3">
        <f>12*400+28.09</f>
        <v>4828.09</v>
      </c>
      <c r="L2304" s="16"/>
      <c r="M2304" s="57"/>
      <c r="N2304" s="58"/>
      <c r="P2304" s="16">
        <v>1</v>
      </c>
      <c r="Q2304" s="20">
        <f t="shared" si="395"/>
        <v>4828.09</v>
      </c>
      <c r="R2304" s="14">
        <v>160</v>
      </c>
      <c r="S2304" s="19">
        <f t="shared" si="396"/>
        <v>772494.4</v>
      </c>
      <c r="T2304" s="16"/>
      <c r="U2304" s="17"/>
      <c r="V2304" s="17"/>
      <c r="W2304" s="5"/>
      <c r="X2304" s="16"/>
      <c r="Y2304" s="5"/>
      <c r="Z2304" s="16"/>
      <c r="AA2304" s="16"/>
      <c r="AB2304" s="16"/>
      <c r="AC2304" s="14"/>
      <c r="AD2304" s="14"/>
      <c r="AE2304" s="16"/>
      <c r="AG2304" s="22">
        <f t="shared" si="401"/>
        <v>0</v>
      </c>
      <c r="AH2304" s="6"/>
      <c r="AJ2304" s="20">
        <f t="shared" si="397"/>
        <v>0</v>
      </c>
      <c r="AK2304" s="50"/>
      <c r="AL2304" s="6"/>
      <c r="AM2304" s="20">
        <f t="shared" si="398"/>
        <v>0</v>
      </c>
      <c r="AN2304" s="20">
        <f t="shared" si="402"/>
        <v>772494.4</v>
      </c>
      <c r="AP2304" s="20">
        <f t="shared" si="399"/>
        <v>772494.4</v>
      </c>
      <c r="AQ2304" s="7"/>
      <c r="AR2304" s="24"/>
      <c r="AS2304" s="129"/>
    </row>
    <row r="2305" spans="1:45" s="21" customFormat="1" ht="30" customHeight="1" x14ac:dyDescent="0.2">
      <c r="A2305" s="8">
        <v>1973</v>
      </c>
      <c r="B2305" s="46">
        <v>4</v>
      </c>
      <c r="C2305" s="16" t="s">
        <v>52</v>
      </c>
      <c r="D2305" s="48">
        <v>11746</v>
      </c>
      <c r="E2305" s="47">
        <v>95</v>
      </c>
      <c r="F2305" s="48">
        <v>3202</v>
      </c>
      <c r="G2305" s="49">
        <v>2</v>
      </c>
      <c r="H2305" s="48">
        <v>1</v>
      </c>
      <c r="I2305" s="48">
        <v>3</v>
      </c>
      <c r="J2305" s="48">
        <v>75.069999999999993</v>
      </c>
      <c r="K2305" s="3">
        <v>775.07</v>
      </c>
      <c r="L2305" s="16"/>
      <c r="M2305" s="57"/>
      <c r="N2305" s="58"/>
      <c r="P2305" s="16">
        <v>1</v>
      </c>
      <c r="Q2305" s="20">
        <f t="shared" si="395"/>
        <v>775.06999999999994</v>
      </c>
      <c r="R2305" s="14">
        <v>160</v>
      </c>
      <c r="S2305" s="19">
        <f t="shared" si="396"/>
        <v>124011.19999999998</v>
      </c>
      <c r="T2305" s="16"/>
      <c r="U2305" s="17"/>
      <c r="V2305" s="17"/>
      <c r="W2305" s="5"/>
      <c r="X2305" s="16"/>
      <c r="Y2305" s="5"/>
      <c r="Z2305" s="16"/>
      <c r="AA2305" s="16"/>
      <c r="AB2305" s="16"/>
      <c r="AE2305" s="16"/>
      <c r="AG2305" s="22">
        <f t="shared" si="401"/>
        <v>0</v>
      </c>
      <c r="AH2305" s="6"/>
      <c r="AJ2305" s="20">
        <f t="shared" si="397"/>
        <v>0</v>
      </c>
      <c r="AK2305" s="50"/>
      <c r="AL2305" s="6"/>
      <c r="AM2305" s="20">
        <f t="shared" si="398"/>
        <v>0</v>
      </c>
      <c r="AN2305" s="20">
        <f t="shared" si="402"/>
        <v>124011.19999999998</v>
      </c>
      <c r="AP2305" s="20">
        <f t="shared" si="399"/>
        <v>124011.19999999998</v>
      </c>
      <c r="AQ2305" s="7"/>
      <c r="AR2305" s="24"/>
      <c r="AS2305" s="129"/>
    </row>
    <row r="2306" spans="1:45" s="21" customFormat="1" ht="30" customHeight="1" x14ac:dyDescent="0.2">
      <c r="A2306" s="2">
        <v>1974</v>
      </c>
      <c r="B2306" s="46">
        <v>5</v>
      </c>
      <c r="C2306" s="16" t="s">
        <v>52</v>
      </c>
      <c r="D2306" s="48">
        <v>11747</v>
      </c>
      <c r="E2306" s="47">
        <v>52</v>
      </c>
      <c r="F2306" s="48">
        <v>3203</v>
      </c>
      <c r="G2306" s="49">
        <v>2</v>
      </c>
      <c r="H2306" s="48">
        <v>2</v>
      </c>
      <c r="I2306" s="48">
        <v>2</v>
      </c>
      <c r="J2306" s="48">
        <v>48</v>
      </c>
      <c r="K2306" s="3">
        <v>1048</v>
      </c>
      <c r="L2306" s="16"/>
      <c r="M2306" s="57"/>
      <c r="N2306" s="58"/>
      <c r="P2306" s="16">
        <v>1</v>
      </c>
      <c r="Q2306" s="20">
        <f t="shared" si="395"/>
        <v>1048</v>
      </c>
      <c r="R2306" s="14">
        <v>160</v>
      </c>
      <c r="S2306" s="20">
        <f t="shared" si="396"/>
        <v>167680</v>
      </c>
      <c r="T2306" s="16"/>
      <c r="U2306" s="17"/>
      <c r="V2306" s="17"/>
      <c r="W2306" s="5"/>
      <c r="X2306" s="16"/>
      <c r="Y2306" s="5"/>
      <c r="Z2306" s="16"/>
      <c r="AA2306" s="16"/>
      <c r="AB2306" s="16"/>
      <c r="AE2306" s="16"/>
      <c r="AG2306" s="22">
        <f t="shared" si="401"/>
        <v>0</v>
      </c>
      <c r="AH2306" s="6"/>
      <c r="AJ2306" s="20">
        <f t="shared" si="397"/>
        <v>0</v>
      </c>
      <c r="AK2306" s="50"/>
      <c r="AL2306" s="6"/>
      <c r="AM2306" s="20">
        <f t="shared" si="398"/>
        <v>0</v>
      </c>
      <c r="AN2306" s="20">
        <f t="shared" si="402"/>
        <v>167680</v>
      </c>
      <c r="AP2306" s="20">
        <f t="shared" si="399"/>
        <v>167680</v>
      </c>
      <c r="AQ2306" s="7"/>
      <c r="AR2306" s="24"/>
      <c r="AS2306" s="129"/>
    </row>
    <row r="2307" spans="1:45" s="21" customFormat="1" ht="30" customHeight="1" x14ac:dyDescent="0.2">
      <c r="A2307" s="8">
        <v>1975</v>
      </c>
      <c r="B2307" s="46">
        <v>6</v>
      </c>
      <c r="C2307" s="16" t="s">
        <v>52</v>
      </c>
      <c r="D2307" s="48">
        <v>31026</v>
      </c>
      <c r="E2307" s="47">
        <v>88</v>
      </c>
      <c r="F2307" s="48">
        <v>5976</v>
      </c>
      <c r="G2307" s="49">
        <v>2</v>
      </c>
      <c r="H2307" s="48">
        <v>9</v>
      </c>
      <c r="I2307" s="48">
        <v>2</v>
      </c>
      <c r="J2307" s="48">
        <v>17.02</v>
      </c>
      <c r="K2307" s="3">
        <f>0.0225+217.02</f>
        <v>217.04250000000002</v>
      </c>
      <c r="L2307" s="16"/>
      <c r="M2307" s="57"/>
      <c r="N2307" s="58"/>
      <c r="P2307" s="16">
        <v>1</v>
      </c>
      <c r="Q2307" s="20">
        <f t="shared" si="395"/>
        <v>3817.02</v>
      </c>
      <c r="R2307" s="14">
        <v>160</v>
      </c>
      <c r="S2307" s="19">
        <f t="shared" si="396"/>
        <v>610723.19999999995</v>
      </c>
      <c r="T2307" s="16"/>
      <c r="U2307" s="17"/>
      <c r="V2307" s="17"/>
      <c r="W2307" s="5"/>
      <c r="X2307" s="16"/>
      <c r="Y2307" s="5"/>
      <c r="Z2307" s="16"/>
      <c r="AA2307" s="16"/>
      <c r="AB2307" s="16"/>
      <c r="AE2307" s="16"/>
      <c r="AG2307" s="22">
        <f t="shared" si="401"/>
        <v>0</v>
      </c>
      <c r="AH2307" s="6"/>
      <c r="AJ2307" s="20">
        <f t="shared" si="397"/>
        <v>0</v>
      </c>
      <c r="AK2307" s="50"/>
      <c r="AL2307" s="6"/>
      <c r="AM2307" s="20">
        <f t="shared" si="398"/>
        <v>0</v>
      </c>
      <c r="AN2307" s="20">
        <f t="shared" si="402"/>
        <v>610723.19999999995</v>
      </c>
      <c r="AP2307" s="20">
        <f t="shared" si="399"/>
        <v>610723.19999999995</v>
      </c>
      <c r="AQ2307" s="7"/>
      <c r="AR2307" s="24"/>
      <c r="AS2307" s="129"/>
    </row>
    <row r="2308" spans="1:45" s="21" customFormat="1" ht="30" customHeight="1" x14ac:dyDescent="0.2">
      <c r="A2308" s="2">
        <v>1976</v>
      </c>
      <c r="B2308" s="46">
        <v>7</v>
      </c>
      <c r="C2308" s="16" t="s">
        <v>52</v>
      </c>
      <c r="D2308" s="48">
        <v>37710</v>
      </c>
      <c r="E2308" s="47">
        <v>250</v>
      </c>
      <c r="F2308" s="48">
        <v>7634</v>
      </c>
      <c r="G2308" s="49">
        <v>2</v>
      </c>
      <c r="H2308" s="48">
        <v>0</v>
      </c>
      <c r="I2308" s="48">
        <v>0</v>
      </c>
      <c r="J2308" s="48">
        <v>33</v>
      </c>
      <c r="K2308" s="3">
        <v>33</v>
      </c>
      <c r="L2308" s="16"/>
      <c r="M2308" s="57"/>
      <c r="N2308" s="58"/>
      <c r="P2308" s="16">
        <v>1</v>
      </c>
      <c r="Q2308" s="20">
        <f t="shared" si="395"/>
        <v>33</v>
      </c>
      <c r="R2308" s="14">
        <v>250</v>
      </c>
      <c r="S2308" s="19">
        <f t="shared" si="396"/>
        <v>8250</v>
      </c>
      <c r="T2308" s="16"/>
      <c r="U2308" s="17"/>
      <c r="V2308" s="17"/>
      <c r="W2308" s="5"/>
      <c r="X2308" s="16"/>
      <c r="Y2308" s="5"/>
      <c r="Z2308" s="16"/>
      <c r="AA2308" s="16"/>
      <c r="AB2308" s="16"/>
      <c r="AE2308" s="16"/>
      <c r="AG2308" s="22">
        <f t="shared" si="401"/>
        <v>0</v>
      </c>
      <c r="AH2308" s="6"/>
      <c r="AJ2308" s="20">
        <f t="shared" si="397"/>
        <v>0</v>
      </c>
      <c r="AK2308" s="50"/>
      <c r="AL2308" s="6"/>
      <c r="AM2308" s="20">
        <f t="shared" si="398"/>
        <v>0</v>
      </c>
      <c r="AN2308" s="20">
        <f t="shared" si="402"/>
        <v>8250</v>
      </c>
      <c r="AP2308" s="20">
        <f t="shared" si="399"/>
        <v>8250</v>
      </c>
      <c r="AQ2308" s="7"/>
      <c r="AR2308" s="25"/>
      <c r="AS2308" s="130"/>
    </row>
    <row r="2309" spans="1:45" s="21" customFormat="1" ht="30" customHeight="1" x14ac:dyDescent="0.2">
      <c r="A2309" s="8">
        <v>1977</v>
      </c>
      <c r="B2309" s="46">
        <v>1</v>
      </c>
      <c r="C2309" s="16" t="s">
        <v>52</v>
      </c>
      <c r="D2309" s="48">
        <v>11749</v>
      </c>
      <c r="E2309" s="47">
        <v>53</v>
      </c>
      <c r="F2309" s="48">
        <v>3205</v>
      </c>
      <c r="G2309" s="49">
        <v>2</v>
      </c>
      <c r="H2309" s="48">
        <v>16</v>
      </c>
      <c r="I2309" s="48">
        <v>0</v>
      </c>
      <c r="J2309" s="48">
        <v>83</v>
      </c>
      <c r="K2309" s="3">
        <f>16*400+83</f>
        <v>6483</v>
      </c>
      <c r="L2309" s="16"/>
      <c r="M2309" s="57"/>
      <c r="N2309" s="58"/>
      <c r="P2309" s="16">
        <v>1</v>
      </c>
      <c r="Q2309" s="20">
        <f t="shared" si="395"/>
        <v>6483</v>
      </c>
      <c r="R2309" s="14">
        <v>160</v>
      </c>
      <c r="S2309" s="20">
        <f t="shared" si="396"/>
        <v>1037280</v>
      </c>
      <c r="T2309" s="16"/>
      <c r="U2309" s="17"/>
      <c r="V2309" s="17"/>
      <c r="W2309" s="5"/>
      <c r="X2309" s="16"/>
      <c r="Y2309" s="5"/>
      <c r="Z2309" s="16"/>
      <c r="AA2309" s="16"/>
      <c r="AB2309" s="16"/>
      <c r="AE2309" s="16"/>
      <c r="AG2309" s="22">
        <f t="shared" si="401"/>
        <v>0</v>
      </c>
      <c r="AH2309" s="6"/>
      <c r="AJ2309" s="20">
        <f t="shared" si="397"/>
        <v>0</v>
      </c>
      <c r="AK2309" s="50"/>
      <c r="AL2309" s="6"/>
      <c r="AM2309" s="20">
        <f t="shared" si="398"/>
        <v>0</v>
      </c>
      <c r="AN2309" s="20">
        <f t="shared" si="402"/>
        <v>1037280</v>
      </c>
      <c r="AP2309" s="20">
        <f t="shared" si="399"/>
        <v>1037280</v>
      </c>
      <c r="AQ2309" s="7"/>
      <c r="AR2309" s="20"/>
      <c r="AS2309" s="51">
        <v>49</v>
      </c>
    </row>
    <row r="2310" spans="1:45" s="21" customFormat="1" ht="30" customHeight="1" x14ac:dyDescent="0.2">
      <c r="A2310" s="2">
        <v>1978</v>
      </c>
      <c r="B2310" s="46">
        <v>1</v>
      </c>
      <c r="C2310" s="16" t="s">
        <v>52</v>
      </c>
      <c r="D2310" s="48">
        <v>11744</v>
      </c>
      <c r="E2310" s="47">
        <v>93</v>
      </c>
      <c r="F2310" s="48">
        <v>3200</v>
      </c>
      <c r="G2310" s="49">
        <v>2</v>
      </c>
      <c r="H2310" s="48">
        <v>1</v>
      </c>
      <c r="I2310" s="48">
        <v>1</v>
      </c>
      <c r="J2310" s="48">
        <v>31.06</v>
      </c>
      <c r="K2310" s="3">
        <f>531.06-L2310</f>
        <v>503.05999999999995</v>
      </c>
      <c r="L2310" s="16">
        <f>112/4</f>
        <v>28</v>
      </c>
      <c r="M2310" s="57"/>
      <c r="N2310" s="58"/>
      <c r="P2310" s="16">
        <v>5</v>
      </c>
      <c r="Q2310" s="20">
        <f t="shared" si="395"/>
        <v>531.05999999999995</v>
      </c>
      <c r="R2310" s="14">
        <v>250</v>
      </c>
      <c r="S2310" s="19">
        <f t="shared" si="396"/>
        <v>132765</v>
      </c>
      <c r="T2310" s="16"/>
      <c r="U2310" s="17" t="s">
        <v>57</v>
      </c>
      <c r="V2310" s="17" t="s">
        <v>56</v>
      </c>
      <c r="W2310" s="5"/>
      <c r="X2310" s="16"/>
      <c r="Y2310" s="5">
        <v>112</v>
      </c>
      <c r="Z2310" s="16"/>
      <c r="AA2310" s="16"/>
      <c r="AB2310" s="16">
        <f>62-45</f>
        <v>17</v>
      </c>
      <c r="AE2310" s="16"/>
      <c r="AG2310" s="22">
        <f t="shared" si="401"/>
        <v>112</v>
      </c>
      <c r="AH2310" s="6"/>
      <c r="AJ2310" s="20">
        <f t="shared" si="397"/>
        <v>0</v>
      </c>
      <c r="AK2310" s="50">
        <v>17</v>
      </c>
      <c r="AL2310" s="6"/>
      <c r="AM2310" s="20">
        <f t="shared" si="398"/>
        <v>0</v>
      </c>
      <c r="AN2310" s="20">
        <f t="shared" si="402"/>
        <v>132765</v>
      </c>
      <c r="AP2310" s="20">
        <f t="shared" si="399"/>
        <v>132765</v>
      </c>
      <c r="AQ2310" s="7"/>
      <c r="AR2310" s="20"/>
      <c r="AS2310" s="51"/>
    </row>
    <row r="2311" spans="1:45" s="21" customFormat="1" ht="30" customHeight="1" x14ac:dyDescent="0.2">
      <c r="A2311" s="8">
        <v>1979</v>
      </c>
      <c r="B2311" s="46">
        <v>2</v>
      </c>
      <c r="C2311" s="16" t="s">
        <v>52</v>
      </c>
      <c r="D2311" s="48">
        <v>28319</v>
      </c>
      <c r="E2311" s="47">
        <v>46</v>
      </c>
      <c r="F2311" s="48">
        <v>5060</v>
      </c>
      <c r="G2311" s="49">
        <v>2</v>
      </c>
      <c r="H2311" s="48">
        <v>3</v>
      </c>
      <c r="I2311" s="48">
        <v>1</v>
      </c>
      <c r="J2311" s="48">
        <v>12</v>
      </c>
      <c r="K2311" s="3">
        <v>1312</v>
      </c>
      <c r="L2311" s="16"/>
      <c r="M2311" s="57"/>
      <c r="N2311" s="58"/>
      <c r="P2311" s="16">
        <v>1</v>
      </c>
      <c r="Q2311" s="20">
        <f t="shared" si="395"/>
        <v>1312</v>
      </c>
      <c r="R2311" s="14">
        <v>160</v>
      </c>
      <c r="S2311" s="20">
        <f t="shared" si="396"/>
        <v>209920</v>
      </c>
      <c r="T2311" s="16"/>
      <c r="U2311" s="17"/>
      <c r="V2311" s="17"/>
      <c r="W2311" s="5"/>
      <c r="X2311" s="16"/>
      <c r="Y2311" s="5"/>
      <c r="Z2311" s="16"/>
      <c r="AA2311" s="16"/>
      <c r="AB2311" s="16"/>
      <c r="AE2311" s="16"/>
      <c r="AG2311" s="22">
        <f t="shared" si="401"/>
        <v>0</v>
      </c>
      <c r="AH2311" s="6"/>
      <c r="AJ2311" s="20">
        <f t="shared" si="397"/>
        <v>0</v>
      </c>
      <c r="AK2311" s="50"/>
      <c r="AL2311" s="6"/>
      <c r="AM2311" s="20">
        <f t="shared" si="398"/>
        <v>0</v>
      </c>
      <c r="AN2311" s="20">
        <f t="shared" si="402"/>
        <v>209920</v>
      </c>
      <c r="AP2311" s="20">
        <f t="shared" si="399"/>
        <v>209920</v>
      </c>
      <c r="AQ2311" s="7"/>
      <c r="AR2311" s="20"/>
      <c r="AS2311" s="51"/>
    </row>
    <row r="2312" spans="1:45" s="21" customFormat="1" ht="30" customHeight="1" x14ac:dyDescent="0.2">
      <c r="A2312" s="2">
        <v>1980</v>
      </c>
      <c r="B2312" s="46">
        <v>3</v>
      </c>
      <c r="C2312" s="16" t="s">
        <v>52</v>
      </c>
      <c r="D2312" s="48">
        <v>30951</v>
      </c>
      <c r="E2312" s="47">
        <v>61</v>
      </c>
      <c r="F2312" s="48">
        <v>5903</v>
      </c>
      <c r="G2312" s="49">
        <v>2</v>
      </c>
      <c r="H2312" s="48">
        <v>2</v>
      </c>
      <c r="I2312" s="48">
        <v>3</v>
      </c>
      <c r="J2312" s="48">
        <v>72.02</v>
      </c>
      <c r="K2312" s="3">
        <v>1172.02</v>
      </c>
      <c r="L2312" s="16"/>
      <c r="M2312" s="57"/>
      <c r="N2312" s="58"/>
      <c r="P2312" s="16">
        <v>1</v>
      </c>
      <c r="Q2312" s="20">
        <f t="shared" si="395"/>
        <v>1172.02</v>
      </c>
      <c r="R2312" s="14">
        <v>200</v>
      </c>
      <c r="S2312" s="19">
        <f t="shared" si="396"/>
        <v>234404</v>
      </c>
      <c r="T2312" s="16"/>
      <c r="U2312" s="17"/>
      <c r="V2312" s="17"/>
      <c r="W2312" s="5"/>
      <c r="X2312" s="16"/>
      <c r="Y2312" s="5"/>
      <c r="Z2312" s="16"/>
      <c r="AA2312" s="16"/>
      <c r="AB2312" s="16"/>
      <c r="AE2312" s="16"/>
      <c r="AG2312" s="22">
        <f t="shared" si="401"/>
        <v>0</v>
      </c>
      <c r="AH2312" s="6"/>
      <c r="AJ2312" s="20">
        <f t="shared" si="397"/>
        <v>0</v>
      </c>
      <c r="AK2312" s="50"/>
      <c r="AL2312" s="6"/>
      <c r="AM2312" s="20">
        <f t="shared" si="398"/>
        <v>0</v>
      </c>
      <c r="AN2312" s="20">
        <f t="shared" si="402"/>
        <v>234404</v>
      </c>
      <c r="AP2312" s="20">
        <f t="shared" si="399"/>
        <v>234404</v>
      </c>
      <c r="AQ2312" s="7"/>
      <c r="AR2312" s="20"/>
      <c r="AS2312" s="51"/>
    </row>
    <row r="2313" spans="1:45" s="21" customFormat="1" ht="30" customHeight="1" x14ac:dyDescent="0.2">
      <c r="A2313" s="8">
        <v>1981</v>
      </c>
      <c r="B2313" s="46">
        <v>1</v>
      </c>
      <c r="C2313" s="16" t="s">
        <v>52</v>
      </c>
      <c r="D2313" s="48">
        <v>20192</v>
      </c>
      <c r="E2313" s="47">
        <v>34</v>
      </c>
      <c r="F2313" s="48">
        <v>4573</v>
      </c>
      <c r="G2313" s="49">
        <v>2</v>
      </c>
      <c r="H2313" s="48">
        <v>9</v>
      </c>
      <c r="I2313" s="48">
        <v>3</v>
      </c>
      <c r="J2313" s="48">
        <v>40</v>
      </c>
      <c r="K2313" s="3">
        <f>9*400+340</f>
        <v>3940</v>
      </c>
      <c r="L2313" s="16"/>
      <c r="M2313" s="57"/>
      <c r="N2313" s="58"/>
      <c r="P2313" s="16">
        <v>1</v>
      </c>
      <c r="Q2313" s="20">
        <f t="shared" si="395"/>
        <v>3940</v>
      </c>
      <c r="R2313" s="14">
        <v>160</v>
      </c>
      <c r="S2313" s="19">
        <f t="shared" si="396"/>
        <v>630400</v>
      </c>
      <c r="T2313" s="16"/>
      <c r="U2313" s="17"/>
      <c r="V2313" s="17"/>
      <c r="W2313" s="5"/>
      <c r="X2313" s="16"/>
      <c r="Y2313" s="5"/>
      <c r="Z2313" s="16"/>
      <c r="AA2313" s="16"/>
      <c r="AB2313" s="16"/>
      <c r="AE2313" s="16"/>
      <c r="AG2313" s="22">
        <f t="shared" si="401"/>
        <v>0</v>
      </c>
      <c r="AH2313" s="6"/>
      <c r="AJ2313" s="20">
        <f t="shared" si="397"/>
        <v>0</v>
      </c>
      <c r="AK2313" s="50"/>
      <c r="AL2313" s="6"/>
      <c r="AM2313" s="20">
        <f t="shared" si="398"/>
        <v>0</v>
      </c>
      <c r="AN2313" s="20">
        <f t="shared" si="402"/>
        <v>630400</v>
      </c>
      <c r="AP2313" s="20">
        <f t="shared" si="399"/>
        <v>630400</v>
      </c>
      <c r="AQ2313" s="7"/>
      <c r="AR2313" s="20"/>
      <c r="AS2313" s="51"/>
    </row>
    <row r="2314" spans="1:45" s="21" customFormat="1" ht="30" customHeight="1" x14ac:dyDescent="0.2">
      <c r="A2314" s="2">
        <v>1982</v>
      </c>
      <c r="B2314" s="46">
        <v>2</v>
      </c>
      <c r="C2314" s="16" t="s">
        <v>52</v>
      </c>
      <c r="D2314" s="48">
        <v>30952</v>
      </c>
      <c r="E2314" s="47">
        <v>62</v>
      </c>
      <c r="F2314" s="48">
        <v>5904</v>
      </c>
      <c r="G2314" s="49">
        <v>2</v>
      </c>
      <c r="H2314" s="48">
        <v>3</v>
      </c>
      <c r="I2314" s="48">
        <v>0</v>
      </c>
      <c r="J2314" s="48">
        <v>67</v>
      </c>
      <c r="K2314" s="3">
        <v>1267</v>
      </c>
      <c r="L2314" s="16"/>
      <c r="M2314" s="57"/>
      <c r="N2314" s="58"/>
      <c r="P2314" s="16">
        <v>1</v>
      </c>
      <c r="Q2314" s="20">
        <f t="shared" si="395"/>
        <v>1267</v>
      </c>
      <c r="R2314" s="14">
        <v>200</v>
      </c>
      <c r="S2314" s="20">
        <f t="shared" si="396"/>
        <v>253400</v>
      </c>
      <c r="T2314" s="16"/>
      <c r="U2314" s="17"/>
      <c r="V2314" s="17"/>
      <c r="W2314" s="5"/>
      <c r="X2314" s="16"/>
      <c r="Y2314" s="5"/>
      <c r="Z2314" s="16"/>
      <c r="AA2314" s="16"/>
      <c r="AB2314" s="16"/>
      <c r="AC2314" s="14"/>
      <c r="AD2314" s="14"/>
      <c r="AE2314" s="16"/>
      <c r="AG2314" s="22">
        <f t="shared" si="401"/>
        <v>0</v>
      </c>
      <c r="AH2314" s="6"/>
      <c r="AJ2314" s="20">
        <f t="shared" si="397"/>
        <v>0</v>
      </c>
      <c r="AK2314" s="50"/>
      <c r="AL2314" s="6"/>
      <c r="AM2314" s="20">
        <f t="shared" si="398"/>
        <v>0</v>
      </c>
      <c r="AN2314" s="20">
        <f t="shared" si="402"/>
        <v>253400</v>
      </c>
      <c r="AP2314" s="20">
        <f t="shared" si="399"/>
        <v>253400</v>
      </c>
      <c r="AQ2314" s="7"/>
      <c r="AR2314" s="20"/>
      <c r="AS2314" s="51"/>
    </row>
    <row r="2315" spans="1:45" s="21" customFormat="1" ht="30" customHeight="1" x14ac:dyDescent="0.2">
      <c r="A2315" s="8">
        <v>1983</v>
      </c>
      <c r="B2315" s="46">
        <v>3</v>
      </c>
      <c r="C2315" s="16" t="s">
        <v>52</v>
      </c>
      <c r="D2315" s="48">
        <v>30953</v>
      </c>
      <c r="E2315" s="47">
        <v>63</v>
      </c>
      <c r="F2315" s="48">
        <v>5905</v>
      </c>
      <c r="G2315" s="49">
        <v>2</v>
      </c>
      <c r="H2315" s="48">
        <v>4</v>
      </c>
      <c r="I2315" s="48">
        <v>1</v>
      </c>
      <c r="J2315" s="48">
        <v>26.02</v>
      </c>
      <c r="K2315" s="3">
        <v>1726.02</v>
      </c>
      <c r="L2315" s="16"/>
      <c r="M2315" s="57"/>
      <c r="N2315" s="58"/>
      <c r="P2315" s="16">
        <v>1</v>
      </c>
      <c r="Q2315" s="20">
        <f t="shared" si="395"/>
        <v>1726.02</v>
      </c>
      <c r="R2315" s="14">
        <v>200</v>
      </c>
      <c r="S2315" s="19">
        <f t="shared" si="396"/>
        <v>345204</v>
      </c>
      <c r="T2315" s="16"/>
      <c r="U2315" s="17"/>
      <c r="V2315" s="17"/>
      <c r="W2315" s="5"/>
      <c r="X2315" s="16"/>
      <c r="Y2315" s="5"/>
      <c r="Z2315" s="16"/>
      <c r="AA2315" s="16"/>
      <c r="AB2315" s="16"/>
      <c r="AE2315" s="16"/>
      <c r="AG2315" s="22">
        <f t="shared" si="401"/>
        <v>0</v>
      </c>
      <c r="AH2315" s="6"/>
      <c r="AJ2315" s="20">
        <f t="shared" si="397"/>
        <v>0</v>
      </c>
      <c r="AK2315" s="50"/>
      <c r="AL2315" s="6"/>
      <c r="AM2315" s="20">
        <f t="shared" si="398"/>
        <v>0</v>
      </c>
      <c r="AN2315" s="20">
        <f t="shared" si="402"/>
        <v>345204</v>
      </c>
      <c r="AP2315" s="20">
        <f t="shared" si="399"/>
        <v>345204</v>
      </c>
      <c r="AQ2315" s="7"/>
      <c r="AR2315" s="20"/>
      <c r="AS2315" s="51"/>
    </row>
    <row r="2316" spans="1:45" s="21" customFormat="1" ht="30" customHeight="1" x14ac:dyDescent="0.2">
      <c r="A2316" s="2">
        <v>1984</v>
      </c>
      <c r="B2316" s="46">
        <v>4</v>
      </c>
      <c r="C2316" s="16" t="s">
        <v>52</v>
      </c>
      <c r="D2316" s="48">
        <v>2211</v>
      </c>
      <c r="E2316" s="47">
        <v>2</v>
      </c>
      <c r="F2316" s="48">
        <v>1661</v>
      </c>
      <c r="G2316" s="49">
        <v>3</v>
      </c>
      <c r="H2316" s="48">
        <v>11</v>
      </c>
      <c r="I2316" s="48">
        <v>1</v>
      </c>
      <c r="J2316" s="48">
        <v>79</v>
      </c>
      <c r="K2316" s="3">
        <f>+(11*400+179)-L2316</f>
        <v>4540.5</v>
      </c>
      <c r="L2316" s="16">
        <f>154/4</f>
        <v>38.5</v>
      </c>
      <c r="M2316" s="57"/>
      <c r="N2316" s="58"/>
      <c r="P2316" s="16">
        <v>2</v>
      </c>
      <c r="Q2316" s="20">
        <f t="shared" ref="Q2316:Q2385" si="403">+(H2316*400)+(I2316*100)+J2316</f>
        <v>4579</v>
      </c>
      <c r="R2316" s="14">
        <v>200</v>
      </c>
      <c r="S2316" s="19">
        <f t="shared" ref="S2316:S2385" si="404">+Q2316*R2316</f>
        <v>915800</v>
      </c>
      <c r="T2316" s="16"/>
      <c r="U2316" s="17" t="s">
        <v>57</v>
      </c>
      <c r="V2316" s="17" t="s">
        <v>56</v>
      </c>
      <c r="W2316" s="5"/>
      <c r="X2316" s="16"/>
      <c r="Y2316" s="5">
        <v>154</v>
      </c>
      <c r="Z2316" s="16"/>
      <c r="AA2316" s="16"/>
      <c r="AB2316" s="16">
        <f>62-55</f>
        <v>7</v>
      </c>
      <c r="AC2316" s="14"/>
      <c r="AD2316" s="14"/>
      <c r="AE2316" s="16"/>
      <c r="AG2316" s="22">
        <f t="shared" si="401"/>
        <v>154</v>
      </c>
      <c r="AH2316" s="6"/>
      <c r="AJ2316" s="20">
        <f t="shared" ref="AJ2316:AJ2385" si="405">+AG2316*AH2316*AI2316</f>
        <v>0</v>
      </c>
      <c r="AK2316" s="50">
        <v>7</v>
      </c>
      <c r="AL2316" s="6"/>
      <c r="AM2316" s="20">
        <f t="shared" ref="AM2316:AM2385" si="406">+AJ2316-(AL2316*AJ2316)</f>
        <v>0</v>
      </c>
      <c r="AN2316" s="20">
        <f t="shared" si="402"/>
        <v>915800</v>
      </c>
      <c r="AP2316" s="20">
        <f t="shared" ref="AP2316:AP2385" si="407">AN2316</f>
        <v>915800</v>
      </c>
      <c r="AQ2316" s="7"/>
      <c r="AR2316" s="20"/>
      <c r="AS2316" s="51"/>
    </row>
    <row r="2317" spans="1:45" s="21" customFormat="1" ht="30" customHeight="1" x14ac:dyDescent="0.2">
      <c r="A2317" s="8">
        <v>1985</v>
      </c>
      <c r="B2317" s="46">
        <v>5</v>
      </c>
      <c r="C2317" s="16" t="s">
        <v>52</v>
      </c>
      <c r="D2317" s="48">
        <v>16796</v>
      </c>
      <c r="E2317" s="47">
        <v>24</v>
      </c>
      <c r="F2317" s="48">
        <v>3754</v>
      </c>
      <c r="G2317" s="49">
        <v>4</v>
      </c>
      <c r="H2317" s="48">
        <v>2</v>
      </c>
      <c r="I2317" s="48">
        <v>2</v>
      </c>
      <c r="J2317" s="48">
        <v>6</v>
      </c>
      <c r="K2317" s="3">
        <v>1006</v>
      </c>
      <c r="L2317" s="16"/>
      <c r="M2317" s="57"/>
      <c r="N2317" s="58"/>
      <c r="P2317" s="16">
        <v>1</v>
      </c>
      <c r="Q2317" s="20">
        <f t="shared" si="403"/>
        <v>1006</v>
      </c>
      <c r="R2317" s="14">
        <v>160</v>
      </c>
      <c r="S2317" s="20">
        <f t="shared" si="404"/>
        <v>160960</v>
      </c>
      <c r="T2317" s="16"/>
      <c r="U2317" s="17"/>
      <c r="V2317" s="17"/>
      <c r="W2317" s="5"/>
      <c r="X2317" s="16"/>
      <c r="Y2317" s="5"/>
      <c r="Z2317" s="16"/>
      <c r="AA2317" s="16"/>
      <c r="AB2317" s="16"/>
      <c r="AC2317" s="14"/>
      <c r="AD2317" s="14"/>
      <c r="AE2317" s="16"/>
      <c r="AG2317" s="22">
        <f t="shared" si="401"/>
        <v>0</v>
      </c>
      <c r="AH2317" s="6"/>
      <c r="AJ2317" s="20">
        <f t="shared" si="405"/>
        <v>0</v>
      </c>
      <c r="AK2317" s="50"/>
      <c r="AL2317" s="6"/>
      <c r="AM2317" s="20">
        <f t="shared" si="406"/>
        <v>0</v>
      </c>
      <c r="AN2317" s="20">
        <f t="shared" si="402"/>
        <v>160960</v>
      </c>
      <c r="AP2317" s="20">
        <f t="shared" si="407"/>
        <v>160960</v>
      </c>
      <c r="AQ2317" s="7"/>
      <c r="AR2317" s="20"/>
      <c r="AS2317" s="51"/>
    </row>
    <row r="2318" spans="1:45" s="21" customFormat="1" ht="30" customHeight="1" x14ac:dyDescent="0.2">
      <c r="A2318" s="2">
        <v>1986</v>
      </c>
      <c r="B2318" s="46">
        <v>6</v>
      </c>
      <c r="C2318" s="16" t="s">
        <v>52</v>
      </c>
      <c r="D2318" s="48">
        <v>28710</v>
      </c>
      <c r="E2318" s="47">
        <v>1</v>
      </c>
      <c r="F2318" s="48">
        <v>5005</v>
      </c>
      <c r="G2318" s="49">
        <v>4</v>
      </c>
      <c r="H2318" s="48">
        <v>0</v>
      </c>
      <c r="I2318" s="48">
        <v>1</v>
      </c>
      <c r="J2318" s="48">
        <v>4</v>
      </c>
      <c r="K2318" s="3"/>
      <c r="L2318" s="16"/>
      <c r="M2318" s="57"/>
      <c r="N2318" s="58">
        <v>104</v>
      </c>
      <c r="P2318" s="16">
        <v>4</v>
      </c>
      <c r="Q2318" s="20">
        <f t="shared" si="403"/>
        <v>104</v>
      </c>
      <c r="R2318" s="14">
        <v>2000</v>
      </c>
      <c r="S2318" s="19">
        <f t="shared" si="404"/>
        <v>208000</v>
      </c>
      <c r="T2318" s="16"/>
      <c r="U2318" s="17"/>
      <c r="V2318" s="17"/>
      <c r="W2318" s="5"/>
      <c r="X2318" s="16"/>
      <c r="Y2318" s="5"/>
      <c r="Z2318" s="16"/>
      <c r="AA2318" s="16"/>
      <c r="AB2318" s="16"/>
      <c r="AC2318" s="14"/>
      <c r="AD2318" s="14"/>
      <c r="AE2318" s="16"/>
      <c r="AG2318" s="22">
        <f t="shared" si="401"/>
        <v>0</v>
      </c>
      <c r="AH2318" s="6"/>
      <c r="AJ2318" s="20">
        <f t="shared" si="405"/>
        <v>0</v>
      </c>
      <c r="AK2318" s="50"/>
      <c r="AL2318" s="6"/>
      <c r="AM2318" s="20">
        <f t="shared" si="406"/>
        <v>0</v>
      </c>
      <c r="AN2318" s="20">
        <f t="shared" si="402"/>
        <v>208000</v>
      </c>
      <c r="AP2318" s="20">
        <f t="shared" si="407"/>
        <v>208000</v>
      </c>
      <c r="AQ2318" s="7">
        <v>3.0000000000000001E-3</v>
      </c>
      <c r="AR2318" s="20"/>
      <c r="AS2318" s="51"/>
    </row>
    <row r="2319" spans="1:45" s="21" customFormat="1" ht="30" customHeight="1" x14ac:dyDescent="0.2">
      <c r="A2319" s="8">
        <v>1987</v>
      </c>
      <c r="B2319" s="46">
        <v>7</v>
      </c>
      <c r="C2319" s="16" t="s">
        <v>52</v>
      </c>
      <c r="D2319" s="48">
        <v>24540</v>
      </c>
      <c r="E2319" s="47">
        <v>169</v>
      </c>
      <c r="F2319" s="48">
        <v>4920</v>
      </c>
      <c r="G2319" s="49">
        <v>2</v>
      </c>
      <c r="H2319" s="48">
        <v>0</v>
      </c>
      <c r="I2319" s="48">
        <v>0</v>
      </c>
      <c r="J2319" s="48">
        <v>43</v>
      </c>
      <c r="K2319" s="3"/>
      <c r="L2319" s="16"/>
      <c r="M2319" s="57"/>
      <c r="N2319" s="58">
        <v>43</v>
      </c>
      <c r="P2319" s="16">
        <v>4</v>
      </c>
      <c r="Q2319" s="20">
        <f t="shared" si="403"/>
        <v>43</v>
      </c>
      <c r="R2319" s="14">
        <v>2000</v>
      </c>
      <c r="S2319" s="19">
        <f t="shared" si="404"/>
        <v>86000</v>
      </c>
      <c r="T2319" s="16"/>
      <c r="U2319" s="17"/>
      <c r="V2319" s="17"/>
      <c r="W2319" s="5"/>
      <c r="X2319" s="16"/>
      <c r="Y2319" s="5"/>
      <c r="Z2319" s="16"/>
      <c r="AA2319" s="16"/>
      <c r="AB2319" s="16"/>
      <c r="AC2319" s="14"/>
      <c r="AD2319" s="14"/>
      <c r="AE2319" s="16"/>
      <c r="AG2319" s="22">
        <f t="shared" si="401"/>
        <v>0</v>
      </c>
      <c r="AH2319" s="6"/>
      <c r="AJ2319" s="20">
        <f t="shared" si="405"/>
        <v>0</v>
      </c>
      <c r="AK2319" s="50"/>
      <c r="AL2319" s="6"/>
      <c r="AM2319" s="20">
        <f t="shared" si="406"/>
        <v>0</v>
      </c>
      <c r="AN2319" s="20">
        <f t="shared" si="402"/>
        <v>86000</v>
      </c>
      <c r="AP2319" s="20">
        <f t="shared" si="407"/>
        <v>86000</v>
      </c>
      <c r="AQ2319" s="7">
        <v>3.0000000000000001E-3</v>
      </c>
      <c r="AR2319" s="20"/>
      <c r="AS2319" s="51"/>
    </row>
    <row r="2320" spans="1:45" ht="30" customHeight="1" x14ac:dyDescent="0.2">
      <c r="A2320" s="8">
        <v>1988</v>
      </c>
      <c r="B2320" s="46">
        <v>8</v>
      </c>
      <c r="C2320" s="16" t="s">
        <v>65</v>
      </c>
      <c r="D2320" s="17">
        <v>3031</v>
      </c>
      <c r="E2320" s="17">
        <v>230</v>
      </c>
      <c r="H2320" s="17">
        <v>9</v>
      </c>
      <c r="I2320" s="17">
        <v>2</v>
      </c>
      <c r="J2320" s="17">
        <v>40</v>
      </c>
      <c r="K2320" s="10">
        <f>9*400+240</f>
        <v>3840</v>
      </c>
      <c r="P2320" s="17">
        <v>1</v>
      </c>
      <c r="Q2320" s="20">
        <f>+(H2320*400)+(I2320*100)+J2320</f>
        <v>3840</v>
      </c>
      <c r="R2320" s="14">
        <v>160</v>
      </c>
      <c r="S2320" s="19">
        <f>+Q2320*R2320</f>
        <v>614400</v>
      </c>
      <c r="AC2320" s="21"/>
      <c r="AD2320" s="21"/>
      <c r="AG2320" s="22">
        <f>Y2320</f>
        <v>0</v>
      </c>
      <c r="AJ2320" s="20">
        <f>+AG2320*AH2320*AI2320</f>
        <v>0</v>
      </c>
      <c r="AM2320" s="20">
        <f>+AJ2320-(AL2320*AJ2320)</f>
        <v>0</v>
      </c>
      <c r="AN2320" s="20">
        <f t="shared" si="402"/>
        <v>614400</v>
      </c>
      <c r="AP2320" s="20">
        <f>AN2320</f>
        <v>614400</v>
      </c>
      <c r="AQ2320" s="12">
        <v>1E-4</v>
      </c>
      <c r="AR2320" s="20"/>
    </row>
    <row r="2321" spans="1:45" ht="30" customHeight="1" x14ac:dyDescent="0.2">
      <c r="A2321" s="2">
        <v>1989</v>
      </c>
      <c r="B2321" s="46">
        <v>8</v>
      </c>
      <c r="C2321" s="16" t="s">
        <v>65</v>
      </c>
      <c r="D2321" s="17">
        <v>865</v>
      </c>
      <c r="E2321" s="17">
        <v>136</v>
      </c>
      <c r="H2321" s="17">
        <v>4</v>
      </c>
      <c r="I2321" s="17">
        <v>3</v>
      </c>
      <c r="J2321" s="17">
        <v>0</v>
      </c>
      <c r="K2321" s="10">
        <v>1900</v>
      </c>
      <c r="Q2321" s="20">
        <f t="shared" si="403"/>
        <v>1900</v>
      </c>
      <c r="R2321" s="14">
        <v>160</v>
      </c>
      <c r="S2321" s="20">
        <f t="shared" si="404"/>
        <v>304000</v>
      </c>
      <c r="AE2321" s="17" t="s">
        <v>94</v>
      </c>
      <c r="AG2321" s="22">
        <f t="shared" si="401"/>
        <v>0</v>
      </c>
      <c r="AJ2321" s="20">
        <f t="shared" si="405"/>
        <v>0</v>
      </c>
      <c r="AM2321" s="20">
        <f t="shared" si="406"/>
        <v>0</v>
      </c>
      <c r="AN2321" s="20">
        <f t="shared" si="402"/>
        <v>304000</v>
      </c>
      <c r="AP2321" s="20">
        <f t="shared" si="407"/>
        <v>304000</v>
      </c>
      <c r="AQ2321" s="12">
        <v>1E-4</v>
      </c>
      <c r="AR2321" s="20"/>
    </row>
    <row r="2322" spans="1:45" ht="30" customHeight="1" x14ac:dyDescent="0.2">
      <c r="A2322" s="2">
        <v>1990</v>
      </c>
      <c r="B2322" s="46">
        <v>10</v>
      </c>
      <c r="C2322" s="16" t="s">
        <v>65</v>
      </c>
      <c r="D2322" s="17">
        <v>997</v>
      </c>
      <c r="E2322" s="17">
        <v>140</v>
      </c>
      <c r="H2322" s="17">
        <v>4</v>
      </c>
      <c r="I2322" s="17">
        <v>2</v>
      </c>
      <c r="J2322" s="17">
        <v>0</v>
      </c>
      <c r="K2322" s="10">
        <v>1800</v>
      </c>
      <c r="Q2322" s="20">
        <f t="shared" si="403"/>
        <v>1800</v>
      </c>
      <c r="R2322" s="14">
        <v>160</v>
      </c>
      <c r="S2322" s="19">
        <f t="shared" si="404"/>
        <v>288000</v>
      </c>
      <c r="AE2322" s="17" t="s">
        <v>94</v>
      </c>
      <c r="AG2322" s="22">
        <f t="shared" si="401"/>
        <v>0</v>
      </c>
      <c r="AJ2322" s="20">
        <f t="shared" si="405"/>
        <v>0</v>
      </c>
      <c r="AM2322" s="20">
        <f t="shared" si="406"/>
        <v>0</v>
      </c>
      <c r="AN2322" s="20">
        <f t="shared" si="402"/>
        <v>288000</v>
      </c>
      <c r="AP2322" s="20">
        <f t="shared" si="407"/>
        <v>288000</v>
      </c>
      <c r="AQ2322" s="12">
        <v>1E-4</v>
      </c>
      <c r="AR2322" s="20"/>
    </row>
    <row r="2323" spans="1:45" s="21" customFormat="1" ht="30" customHeight="1" x14ac:dyDescent="0.2">
      <c r="A2323" s="8">
        <v>1991</v>
      </c>
      <c r="B2323" s="46">
        <v>1</v>
      </c>
      <c r="C2323" s="16" t="s">
        <v>52</v>
      </c>
      <c r="D2323" s="48">
        <v>30969</v>
      </c>
      <c r="E2323" s="47">
        <v>107</v>
      </c>
      <c r="F2323" s="48">
        <v>5921</v>
      </c>
      <c r="G2323" s="49">
        <v>2</v>
      </c>
      <c r="H2323" s="48">
        <v>2</v>
      </c>
      <c r="I2323" s="48">
        <v>0</v>
      </c>
      <c r="J2323" s="48">
        <v>9.08</v>
      </c>
      <c r="K2323" s="3">
        <v>809.08</v>
      </c>
      <c r="L2323" s="16"/>
      <c r="M2323" s="57"/>
      <c r="N2323" s="58"/>
      <c r="P2323" s="16">
        <v>1</v>
      </c>
      <c r="Q2323" s="20">
        <f t="shared" si="403"/>
        <v>809.08</v>
      </c>
      <c r="R2323" s="14">
        <v>160</v>
      </c>
      <c r="S2323" s="20">
        <f t="shared" si="404"/>
        <v>129452.8</v>
      </c>
      <c r="T2323" s="16"/>
      <c r="U2323" s="17"/>
      <c r="V2323" s="17"/>
      <c r="W2323" s="5"/>
      <c r="X2323" s="16"/>
      <c r="Y2323" s="5"/>
      <c r="Z2323" s="16"/>
      <c r="AA2323" s="16"/>
      <c r="AB2323" s="16"/>
      <c r="AC2323" s="14"/>
      <c r="AD2323" s="14"/>
      <c r="AE2323" s="16"/>
      <c r="AG2323" s="22">
        <f t="shared" si="401"/>
        <v>0</v>
      </c>
      <c r="AH2323" s="6"/>
      <c r="AJ2323" s="20">
        <f t="shared" si="405"/>
        <v>0</v>
      </c>
      <c r="AK2323" s="50"/>
      <c r="AL2323" s="6"/>
      <c r="AM2323" s="20">
        <f t="shared" si="406"/>
        <v>0</v>
      </c>
      <c r="AN2323" s="20">
        <f t="shared" si="402"/>
        <v>129452.8</v>
      </c>
      <c r="AP2323" s="20">
        <f t="shared" si="407"/>
        <v>129452.8</v>
      </c>
      <c r="AQ2323" s="7"/>
      <c r="AR2323" s="20"/>
      <c r="AS2323" s="51"/>
    </row>
    <row r="2324" spans="1:45" s="21" customFormat="1" ht="30" customHeight="1" x14ac:dyDescent="0.2">
      <c r="A2324" s="2">
        <v>1992</v>
      </c>
      <c r="B2324" s="46">
        <v>1</v>
      </c>
      <c r="C2324" s="16" t="s">
        <v>52</v>
      </c>
      <c r="D2324" s="48">
        <v>11745</v>
      </c>
      <c r="E2324" s="47">
        <v>94</v>
      </c>
      <c r="F2324" s="48">
        <v>3201</v>
      </c>
      <c r="G2324" s="49">
        <v>2</v>
      </c>
      <c r="H2324" s="48">
        <v>1</v>
      </c>
      <c r="I2324" s="48">
        <v>1</v>
      </c>
      <c r="J2324" s="48">
        <v>30.02</v>
      </c>
      <c r="K2324" s="3">
        <v>530.02</v>
      </c>
      <c r="L2324" s="16"/>
      <c r="M2324" s="57"/>
      <c r="N2324" s="58"/>
      <c r="P2324" s="16">
        <v>1</v>
      </c>
      <c r="Q2324" s="20">
        <f t="shared" si="403"/>
        <v>530.02</v>
      </c>
      <c r="R2324" s="14">
        <v>250</v>
      </c>
      <c r="S2324" s="19">
        <f t="shared" si="404"/>
        <v>132505</v>
      </c>
      <c r="T2324" s="16"/>
      <c r="U2324" s="17"/>
      <c r="V2324" s="17"/>
      <c r="W2324" s="5"/>
      <c r="X2324" s="16"/>
      <c r="Y2324" s="5"/>
      <c r="Z2324" s="16"/>
      <c r="AA2324" s="16"/>
      <c r="AB2324" s="16"/>
      <c r="AE2324" s="16"/>
      <c r="AG2324" s="22">
        <f t="shared" si="401"/>
        <v>0</v>
      </c>
      <c r="AH2324" s="6"/>
      <c r="AJ2324" s="20">
        <f t="shared" si="405"/>
        <v>0</v>
      </c>
      <c r="AK2324" s="50"/>
      <c r="AL2324" s="6"/>
      <c r="AM2324" s="20">
        <f t="shared" si="406"/>
        <v>0</v>
      </c>
      <c r="AN2324" s="20">
        <f t="shared" si="402"/>
        <v>132505</v>
      </c>
      <c r="AP2324" s="20">
        <f t="shared" si="407"/>
        <v>132505</v>
      </c>
      <c r="AQ2324" s="7"/>
      <c r="AR2324" s="20"/>
      <c r="AS2324" s="51"/>
    </row>
    <row r="2325" spans="1:45" s="21" customFormat="1" ht="30" customHeight="1" x14ac:dyDescent="0.2">
      <c r="A2325" s="8">
        <v>1993</v>
      </c>
      <c r="B2325" s="46">
        <v>1</v>
      </c>
      <c r="C2325" s="16" t="s">
        <v>52</v>
      </c>
      <c r="D2325" s="48">
        <v>1555</v>
      </c>
      <c r="E2325" s="47">
        <v>73</v>
      </c>
      <c r="F2325" s="48">
        <v>473</v>
      </c>
      <c r="G2325" s="49">
        <v>2</v>
      </c>
      <c r="H2325" s="48">
        <v>2</v>
      </c>
      <c r="I2325" s="48">
        <v>1</v>
      </c>
      <c r="J2325" s="48">
        <v>51</v>
      </c>
      <c r="K2325" s="3">
        <v>951</v>
      </c>
      <c r="L2325" s="16"/>
      <c r="M2325" s="57"/>
      <c r="N2325" s="58"/>
      <c r="P2325" s="16">
        <v>1</v>
      </c>
      <c r="Q2325" s="20">
        <f t="shared" si="403"/>
        <v>951</v>
      </c>
      <c r="R2325" s="14">
        <v>160</v>
      </c>
      <c r="S2325" s="19">
        <f t="shared" si="404"/>
        <v>152160</v>
      </c>
      <c r="T2325" s="16"/>
      <c r="U2325" s="17"/>
      <c r="V2325" s="17"/>
      <c r="W2325" s="5"/>
      <c r="X2325" s="16"/>
      <c r="Y2325" s="5"/>
      <c r="Z2325" s="16"/>
      <c r="AA2325" s="16"/>
      <c r="AB2325" s="16"/>
      <c r="AE2325" s="16"/>
      <c r="AG2325" s="22">
        <f t="shared" si="401"/>
        <v>0</v>
      </c>
      <c r="AH2325" s="6"/>
      <c r="AJ2325" s="20">
        <f t="shared" si="405"/>
        <v>0</v>
      </c>
      <c r="AK2325" s="50"/>
      <c r="AL2325" s="6"/>
      <c r="AM2325" s="20">
        <f t="shared" si="406"/>
        <v>0</v>
      </c>
      <c r="AN2325" s="20">
        <f t="shared" si="402"/>
        <v>152160</v>
      </c>
      <c r="AP2325" s="20">
        <f t="shared" si="407"/>
        <v>152160</v>
      </c>
      <c r="AQ2325" s="7"/>
      <c r="AR2325" s="20"/>
      <c r="AS2325" s="51"/>
    </row>
    <row r="2326" spans="1:45" s="21" customFormat="1" ht="30" customHeight="1" x14ac:dyDescent="0.2">
      <c r="A2326" s="2">
        <v>1994</v>
      </c>
      <c r="B2326" s="46">
        <v>1</v>
      </c>
      <c r="C2326" s="16" t="s">
        <v>52</v>
      </c>
      <c r="D2326" s="48">
        <v>1486</v>
      </c>
      <c r="E2326" s="47">
        <v>51</v>
      </c>
      <c r="F2326" s="48">
        <v>550</v>
      </c>
      <c r="G2326" s="49">
        <v>2</v>
      </c>
      <c r="H2326" s="48">
        <v>0</v>
      </c>
      <c r="I2326" s="48">
        <v>3</v>
      </c>
      <c r="J2326" s="48">
        <v>37</v>
      </c>
      <c r="K2326" s="3">
        <v>337</v>
      </c>
      <c r="L2326" s="16"/>
      <c r="M2326" s="57"/>
      <c r="N2326" s="58"/>
      <c r="P2326" s="16">
        <v>1</v>
      </c>
      <c r="Q2326" s="20">
        <f t="shared" si="403"/>
        <v>337</v>
      </c>
      <c r="R2326" s="14">
        <v>200</v>
      </c>
      <c r="S2326" s="20">
        <f t="shared" si="404"/>
        <v>67400</v>
      </c>
      <c r="T2326" s="16"/>
      <c r="U2326" s="17"/>
      <c r="V2326" s="17"/>
      <c r="W2326" s="5"/>
      <c r="X2326" s="16"/>
      <c r="Y2326" s="5"/>
      <c r="Z2326" s="16"/>
      <c r="AA2326" s="16"/>
      <c r="AB2326" s="16"/>
      <c r="AE2326" s="16"/>
      <c r="AG2326" s="22">
        <f t="shared" si="401"/>
        <v>0</v>
      </c>
      <c r="AH2326" s="6"/>
      <c r="AJ2326" s="20">
        <f t="shared" si="405"/>
        <v>0</v>
      </c>
      <c r="AK2326" s="50"/>
      <c r="AL2326" s="6"/>
      <c r="AM2326" s="20">
        <f t="shared" si="406"/>
        <v>0</v>
      </c>
      <c r="AN2326" s="20">
        <f t="shared" si="402"/>
        <v>67400</v>
      </c>
      <c r="AP2326" s="20">
        <f t="shared" si="407"/>
        <v>67400</v>
      </c>
      <c r="AQ2326" s="7"/>
      <c r="AR2326" s="60"/>
      <c r="AS2326" s="128">
        <v>13</v>
      </c>
    </row>
    <row r="2327" spans="1:45" s="21" customFormat="1" ht="30" customHeight="1" x14ac:dyDescent="0.2">
      <c r="A2327" s="8">
        <v>1995</v>
      </c>
      <c r="B2327" s="46">
        <v>2</v>
      </c>
      <c r="C2327" s="16" t="s">
        <v>52</v>
      </c>
      <c r="D2327" s="48">
        <v>21282</v>
      </c>
      <c r="E2327" s="47">
        <v>244</v>
      </c>
      <c r="F2327" s="48">
        <v>4657</v>
      </c>
      <c r="G2327" s="49">
        <v>2</v>
      </c>
      <c r="H2327" s="48">
        <v>3</v>
      </c>
      <c r="I2327" s="48">
        <v>3</v>
      </c>
      <c r="J2327" s="48">
        <v>10</v>
      </c>
      <c r="K2327" s="3">
        <f>1510-L2327</f>
        <v>1510</v>
      </c>
      <c r="L2327" s="16"/>
      <c r="M2327" s="57"/>
      <c r="N2327" s="58"/>
      <c r="P2327" s="16">
        <v>5</v>
      </c>
      <c r="Q2327" s="20">
        <f t="shared" si="403"/>
        <v>1510</v>
      </c>
      <c r="R2327" s="14">
        <v>160</v>
      </c>
      <c r="S2327" s="19">
        <f t="shared" si="404"/>
        <v>241600</v>
      </c>
      <c r="T2327" s="16"/>
      <c r="U2327" s="17"/>
      <c r="V2327" s="17"/>
      <c r="W2327" s="5"/>
      <c r="X2327" s="16"/>
      <c r="Y2327" s="5"/>
      <c r="Z2327" s="16"/>
      <c r="AA2327" s="16"/>
      <c r="AB2327" s="16"/>
      <c r="AE2327" s="16"/>
      <c r="AG2327" s="22"/>
      <c r="AH2327" s="6"/>
      <c r="AJ2327" s="20"/>
      <c r="AK2327" s="50"/>
      <c r="AL2327" s="6"/>
      <c r="AM2327" s="20"/>
      <c r="AN2327" s="20"/>
      <c r="AP2327" s="20"/>
      <c r="AQ2327" s="7"/>
      <c r="AR2327" s="24"/>
      <c r="AS2327" s="129"/>
    </row>
    <row r="2328" spans="1:45" s="21" customFormat="1" ht="30" customHeight="1" x14ac:dyDescent="0.2">
      <c r="A2328" s="8"/>
      <c r="B2328" s="46"/>
      <c r="C2328" s="16"/>
      <c r="D2328" s="48"/>
      <c r="E2328" s="47"/>
      <c r="F2328" s="48"/>
      <c r="G2328" s="49"/>
      <c r="H2328" s="48"/>
      <c r="I2328" s="48"/>
      <c r="J2328" s="48"/>
      <c r="K2328" s="3"/>
      <c r="L2328" s="16"/>
      <c r="M2328" s="57"/>
      <c r="N2328" s="58"/>
      <c r="P2328" s="16">
        <v>1</v>
      </c>
      <c r="Q2328" s="20">
        <f>1510-25</f>
        <v>1485</v>
      </c>
      <c r="R2328" s="14">
        <v>160</v>
      </c>
      <c r="S2328" s="19">
        <f t="shared" si="404"/>
        <v>237600</v>
      </c>
      <c r="T2328" s="16"/>
      <c r="U2328" s="17"/>
      <c r="V2328" s="17"/>
      <c r="W2328" s="5"/>
      <c r="X2328" s="16"/>
      <c r="Y2328" s="5"/>
      <c r="Z2328" s="16"/>
      <c r="AA2328" s="16"/>
      <c r="AB2328" s="16"/>
      <c r="AE2328" s="16"/>
      <c r="AG2328" s="22"/>
      <c r="AH2328" s="6"/>
      <c r="AJ2328" s="20"/>
      <c r="AK2328" s="50"/>
      <c r="AL2328" s="6"/>
      <c r="AM2328" s="20"/>
      <c r="AN2328" s="20"/>
      <c r="AP2328" s="20"/>
      <c r="AQ2328" s="7"/>
      <c r="AR2328" s="24"/>
      <c r="AS2328" s="129"/>
    </row>
    <row r="2329" spans="1:45" s="21" customFormat="1" ht="30" customHeight="1" x14ac:dyDescent="0.2">
      <c r="A2329" s="8"/>
      <c r="B2329" s="46"/>
      <c r="C2329" s="16"/>
      <c r="D2329" s="48"/>
      <c r="E2329" s="47"/>
      <c r="F2329" s="48"/>
      <c r="G2329" s="49"/>
      <c r="H2329" s="48"/>
      <c r="I2329" s="48"/>
      <c r="J2329" s="48"/>
      <c r="K2329" s="3"/>
      <c r="L2329" s="16"/>
      <c r="M2329" s="57"/>
      <c r="N2329" s="58"/>
      <c r="P2329" s="16">
        <v>2</v>
      </c>
      <c r="Q2329" s="20">
        <v>25</v>
      </c>
      <c r="R2329" s="14">
        <v>160</v>
      </c>
      <c r="S2329" s="19">
        <f t="shared" si="404"/>
        <v>4000</v>
      </c>
      <c r="T2329" s="16"/>
      <c r="U2329" s="17"/>
      <c r="V2329" s="17"/>
      <c r="W2329" s="5"/>
      <c r="X2329" s="16"/>
      <c r="Y2329" s="5"/>
      <c r="Z2329" s="16"/>
      <c r="AA2329" s="16"/>
      <c r="AB2329" s="16"/>
      <c r="AE2329" s="16"/>
      <c r="AG2329" s="22"/>
      <c r="AH2329" s="6"/>
      <c r="AJ2329" s="20"/>
      <c r="AK2329" s="50"/>
      <c r="AL2329" s="6"/>
      <c r="AM2329" s="20"/>
      <c r="AN2329" s="20"/>
      <c r="AP2329" s="20"/>
      <c r="AQ2329" s="7"/>
      <c r="AR2329" s="24"/>
      <c r="AS2329" s="129"/>
    </row>
    <row r="2330" spans="1:45" s="21" customFormat="1" ht="30" customHeight="1" x14ac:dyDescent="0.2">
      <c r="A2330" s="8"/>
      <c r="B2330" s="46"/>
      <c r="C2330" s="16"/>
      <c r="D2330" s="48"/>
      <c r="E2330" s="47"/>
      <c r="F2330" s="48"/>
      <c r="G2330" s="49"/>
      <c r="H2330" s="48"/>
      <c r="I2330" s="48"/>
      <c r="J2330" s="48"/>
      <c r="K2330" s="3"/>
      <c r="L2330" s="16"/>
      <c r="M2330" s="57"/>
      <c r="N2330" s="58"/>
      <c r="P2330" s="16"/>
      <c r="Q2330" s="20"/>
      <c r="R2330" s="14"/>
      <c r="S2330" s="19"/>
      <c r="T2330" s="16">
        <v>1</v>
      </c>
      <c r="U2330" s="17" t="s">
        <v>57</v>
      </c>
      <c r="V2330" s="17" t="s">
        <v>56</v>
      </c>
      <c r="W2330" s="5">
        <v>50</v>
      </c>
      <c r="X2330" s="16"/>
      <c r="Y2330" s="5">
        <v>50</v>
      </c>
      <c r="Z2330" s="16"/>
      <c r="AA2330" s="16"/>
      <c r="AB2330" s="16">
        <v>30</v>
      </c>
      <c r="AE2330" s="16">
        <f>85/4</f>
        <v>21.25</v>
      </c>
      <c r="AF2330" s="21">
        <v>2</v>
      </c>
      <c r="AG2330" s="22">
        <f t="shared" ref="AG2330:AG2393" si="408">Y2330</f>
        <v>50</v>
      </c>
      <c r="AH2330" s="6">
        <v>1</v>
      </c>
      <c r="AI2330" s="21">
        <v>7250</v>
      </c>
      <c r="AJ2330" s="20">
        <f>+AG2330*AH2330*AI2330</f>
        <v>362500</v>
      </c>
      <c r="AK2330" s="50">
        <v>30</v>
      </c>
      <c r="AL2330" s="6">
        <v>0.5</v>
      </c>
      <c r="AM2330" s="20">
        <f>+AJ2330-(AL2330*AJ2330)</f>
        <v>181250</v>
      </c>
      <c r="AN2330" s="20">
        <f>+(S2329*0.5)+AM2330</f>
        <v>183250</v>
      </c>
      <c r="AP2330" s="20">
        <f>AN2330</f>
        <v>183250</v>
      </c>
      <c r="AQ2330" s="7">
        <v>2.0000000000000001E-4</v>
      </c>
      <c r="AR2330" s="24"/>
      <c r="AS2330" s="129"/>
    </row>
    <row r="2331" spans="1:45" s="21" customFormat="1" ht="30" customHeight="1" x14ac:dyDescent="0.2">
      <c r="A2331" s="2"/>
      <c r="B2331" s="46"/>
      <c r="C2331" s="16"/>
      <c r="D2331" s="48"/>
      <c r="E2331" s="47"/>
      <c r="F2331" s="48"/>
      <c r="G2331" s="49"/>
      <c r="H2331" s="48"/>
      <c r="I2331" s="48"/>
      <c r="J2331" s="48"/>
      <c r="K2331" s="3"/>
      <c r="L2331" s="16"/>
      <c r="M2331" s="57"/>
      <c r="N2331" s="58"/>
      <c r="P2331" s="16"/>
      <c r="Q2331" s="20"/>
      <c r="R2331" s="14"/>
      <c r="S2331" s="19"/>
      <c r="T2331" s="16">
        <v>2</v>
      </c>
      <c r="U2331" s="17" t="s">
        <v>57</v>
      </c>
      <c r="V2331" s="17" t="s">
        <v>56</v>
      </c>
      <c r="W2331" s="5">
        <v>35</v>
      </c>
      <c r="X2331" s="16"/>
      <c r="Y2331" s="5">
        <v>35</v>
      </c>
      <c r="Z2331" s="16"/>
      <c r="AA2331" s="16"/>
      <c r="AB2331" s="16">
        <v>30</v>
      </c>
      <c r="AE2331" s="16"/>
      <c r="AF2331" s="21">
        <v>2</v>
      </c>
      <c r="AG2331" s="22">
        <f t="shared" si="408"/>
        <v>35</v>
      </c>
      <c r="AH2331" s="6">
        <v>1</v>
      </c>
      <c r="AI2331" s="21">
        <v>7250</v>
      </c>
      <c r="AJ2331" s="20">
        <f t="shared" si="405"/>
        <v>253750</v>
      </c>
      <c r="AK2331" s="50">
        <v>22</v>
      </c>
      <c r="AL2331" s="6">
        <v>0.34</v>
      </c>
      <c r="AM2331" s="20">
        <f t="shared" si="406"/>
        <v>167475</v>
      </c>
      <c r="AN2331" s="20">
        <f>+(S2329*0.5)+AM2331</f>
        <v>169475</v>
      </c>
      <c r="AP2331" s="20">
        <f t="shared" si="407"/>
        <v>169475</v>
      </c>
      <c r="AQ2331" s="7"/>
      <c r="AR2331" s="24"/>
      <c r="AS2331" s="129"/>
    </row>
    <row r="2332" spans="1:45" ht="30" customHeight="1" x14ac:dyDescent="0.2">
      <c r="A2332" s="8">
        <v>1996</v>
      </c>
      <c r="B2332" s="13">
        <v>3</v>
      </c>
      <c r="C2332" s="16" t="s">
        <v>65</v>
      </c>
      <c r="D2332" s="17">
        <v>2804</v>
      </c>
      <c r="E2332" s="17">
        <v>224</v>
      </c>
      <c r="H2332" s="17">
        <v>1</v>
      </c>
      <c r="I2332" s="17">
        <v>2</v>
      </c>
      <c r="J2332" s="17">
        <v>24</v>
      </c>
      <c r="K2332" s="10">
        <v>624</v>
      </c>
      <c r="P2332" s="17">
        <v>1</v>
      </c>
      <c r="Q2332" s="20">
        <f t="shared" si="403"/>
        <v>624</v>
      </c>
      <c r="R2332" s="14">
        <v>200</v>
      </c>
      <c r="S2332" s="20">
        <f t="shared" si="404"/>
        <v>124800</v>
      </c>
      <c r="AC2332" s="21"/>
      <c r="AD2332" s="21"/>
      <c r="AG2332" s="22">
        <f t="shared" si="408"/>
        <v>0</v>
      </c>
      <c r="AJ2332" s="20">
        <f t="shared" si="405"/>
        <v>0</v>
      </c>
      <c r="AM2332" s="20">
        <f t="shared" si="406"/>
        <v>0</v>
      </c>
      <c r="AN2332" s="20">
        <f t="shared" ref="AN2332:AN2359" si="409">+S2332+AM2332</f>
        <v>124800</v>
      </c>
      <c r="AP2332" s="20">
        <f t="shared" si="407"/>
        <v>124800</v>
      </c>
      <c r="AQ2332" s="12">
        <v>1E-4</v>
      </c>
      <c r="AR2332" s="25"/>
      <c r="AS2332" s="130"/>
    </row>
    <row r="2333" spans="1:45" s="21" customFormat="1" ht="30" customHeight="1" x14ac:dyDescent="0.2">
      <c r="A2333" s="8">
        <v>1997</v>
      </c>
      <c r="B2333" s="46">
        <v>1</v>
      </c>
      <c r="C2333" s="16" t="s">
        <v>52</v>
      </c>
      <c r="D2333" s="48">
        <v>1803</v>
      </c>
      <c r="E2333" s="47">
        <v>1</v>
      </c>
      <c r="F2333" s="48">
        <v>1187</v>
      </c>
      <c r="G2333" s="49">
        <v>2</v>
      </c>
      <c r="H2333" s="48">
        <v>3</v>
      </c>
      <c r="I2333" s="48">
        <v>2</v>
      </c>
      <c r="J2333" s="48">
        <v>96</v>
      </c>
      <c r="K2333" s="3">
        <v>1496</v>
      </c>
      <c r="L2333" s="16"/>
      <c r="M2333" s="57"/>
      <c r="N2333" s="58"/>
      <c r="P2333" s="16">
        <v>1</v>
      </c>
      <c r="Q2333" s="20">
        <f t="shared" si="403"/>
        <v>1496</v>
      </c>
      <c r="R2333" s="14">
        <v>160</v>
      </c>
      <c r="S2333" s="19">
        <f t="shared" si="404"/>
        <v>239360</v>
      </c>
      <c r="T2333" s="16"/>
      <c r="U2333" s="17"/>
      <c r="V2333" s="17"/>
      <c r="W2333" s="5"/>
      <c r="X2333" s="16"/>
      <c r="Y2333" s="5"/>
      <c r="Z2333" s="16"/>
      <c r="AA2333" s="16"/>
      <c r="AB2333" s="16"/>
      <c r="AE2333" s="16"/>
      <c r="AG2333" s="22">
        <f t="shared" si="408"/>
        <v>0</v>
      </c>
      <c r="AH2333" s="6"/>
      <c r="AJ2333" s="20">
        <f t="shared" si="405"/>
        <v>0</v>
      </c>
      <c r="AK2333" s="50"/>
      <c r="AL2333" s="6"/>
      <c r="AM2333" s="20">
        <f t="shared" si="406"/>
        <v>0</v>
      </c>
      <c r="AN2333" s="20">
        <f t="shared" si="409"/>
        <v>239360</v>
      </c>
      <c r="AP2333" s="20">
        <f t="shared" si="407"/>
        <v>239360</v>
      </c>
      <c r="AQ2333" s="7"/>
      <c r="AR2333" s="60"/>
      <c r="AS2333" s="128">
        <v>7</v>
      </c>
    </row>
    <row r="2334" spans="1:45" s="21" customFormat="1" ht="30" customHeight="1" x14ac:dyDescent="0.2">
      <c r="A2334" s="8">
        <v>1998</v>
      </c>
      <c r="B2334" s="46">
        <v>2</v>
      </c>
      <c r="C2334" s="16" t="s">
        <v>52</v>
      </c>
      <c r="D2334" s="48">
        <v>1804</v>
      </c>
      <c r="E2334" s="47">
        <v>77</v>
      </c>
      <c r="F2334" s="48">
        <v>1188</v>
      </c>
      <c r="G2334" s="49">
        <v>2</v>
      </c>
      <c r="H2334" s="48">
        <v>0</v>
      </c>
      <c r="I2334" s="48">
        <v>2</v>
      </c>
      <c r="J2334" s="48">
        <v>4</v>
      </c>
      <c r="K2334" s="3">
        <v>204</v>
      </c>
      <c r="L2334" s="16"/>
      <c r="M2334" s="57"/>
      <c r="N2334" s="58"/>
      <c r="P2334" s="16">
        <v>1</v>
      </c>
      <c r="Q2334" s="20">
        <f t="shared" si="403"/>
        <v>204</v>
      </c>
      <c r="R2334" s="14">
        <v>200</v>
      </c>
      <c r="S2334" s="20">
        <f t="shared" si="404"/>
        <v>40800</v>
      </c>
      <c r="T2334" s="16"/>
      <c r="U2334" s="17"/>
      <c r="V2334" s="17"/>
      <c r="W2334" s="5"/>
      <c r="X2334" s="16"/>
      <c r="Y2334" s="5"/>
      <c r="Z2334" s="16"/>
      <c r="AA2334" s="16"/>
      <c r="AB2334" s="16"/>
      <c r="AE2334" s="16"/>
      <c r="AG2334" s="22">
        <f t="shared" si="408"/>
        <v>0</v>
      </c>
      <c r="AH2334" s="6"/>
      <c r="AJ2334" s="20">
        <f t="shared" si="405"/>
        <v>0</v>
      </c>
      <c r="AK2334" s="50"/>
      <c r="AL2334" s="6"/>
      <c r="AM2334" s="20">
        <f t="shared" si="406"/>
        <v>0</v>
      </c>
      <c r="AN2334" s="20">
        <f t="shared" si="409"/>
        <v>40800</v>
      </c>
      <c r="AP2334" s="20">
        <f t="shared" si="407"/>
        <v>40800</v>
      </c>
      <c r="AQ2334" s="7"/>
      <c r="AR2334" s="24"/>
      <c r="AS2334" s="129"/>
    </row>
    <row r="2335" spans="1:45" s="21" customFormat="1" ht="30" customHeight="1" x14ac:dyDescent="0.2">
      <c r="A2335" s="8">
        <v>1999</v>
      </c>
      <c r="B2335" s="46">
        <v>3</v>
      </c>
      <c r="C2335" s="16" t="s">
        <v>52</v>
      </c>
      <c r="D2335" s="48">
        <v>24490</v>
      </c>
      <c r="E2335" s="47">
        <v>102</v>
      </c>
      <c r="F2335" s="48">
        <v>4947</v>
      </c>
      <c r="G2335" s="49">
        <v>2</v>
      </c>
      <c r="H2335" s="48">
        <v>2</v>
      </c>
      <c r="I2335" s="48">
        <v>1</v>
      </c>
      <c r="J2335" s="48">
        <v>30</v>
      </c>
      <c r="K2335" s="3">
        <f>930-L2335</f>
        <v>879</v>
      </c>
      <c r="L2335" s="16">
        <f>204/4</f>
        <v>51</v>
      </c>
      <c r="M2335" s="57"/>
      <c r="N2335" s="58"/>
      <c r="P2335" s="16">
        <v>5</v>
      </c>
      <c r="Q2335" s="20">
        <f t="shared" si="403"/>
        <v>930</v>
      </c>
      <c r="R2335" s="14">
        <v>160</v>
      </c>
      <c r="S2335" s="19">
        <f t="shared" si="404"/>
        <v>148800</v>
      </c>
      <c r="T2335" s="16"/>
      <c r="U2335" s="17" t="s">
        <v>57</v>
      </c>
      <c r="V2335" s="17" t="s">
        <v>56</v>
      </c>
      <c r="W2335" s="5"/>
      <c r="X2335" s="16"/>
      <c r="Y2335" s="5">
        <v>204</v>
      </c>
      <c r="Z2335" s="16"/>
      <c r="AA2335" s="16"/>
      <c r="AB2335" s="16">
        <f>62-32</f>
        <v>30</v>
      </c>
      <c r="AE2335" s="16"/>
      <c r="AG2335" s="22">
        <f t="shared" si="408"/>
        <v>204</v>
      </c>
      <c r="AH2335" s="6"/>
      <c r="AJ2335" s="20">
        <f t="shared" si="405"/>
        <v>0</v>
      </c>
      <c r="AK2335" s="50">
        <v>30</v>
      </c>
      <c r="AL2335" s="6"/>
      <c r="AM2335" s="20">
        <f t="shared" si="406"/>
        <v>0</v>
      </c>
      <c r="AN2335" s="20">
        <f t="shared" si="409"/>
        <v>148800</v>
      </c>
      <c r="AP2335" s="20">
        <f t="shared" si="407"/>
        <v>148800</v>
      </c>
      <c r="AQ2335" s="7"/>
      <c r="AR2335" s="25"/>
      <c r="AS2335" s="130"/>
    </row>
    <row r="2336" spans="1:45" s="21" customFormat="1" ht="30" customHeight="1" x14ac:dyDescent="0.2">
      <c r="A2336" s="8">
        <v>2000</v>
      </c>
      <c r="B2336" s="46">
        <v>1</v>
      </c>
      <c r="C2336" s="16" t="s">
        <v>52</v>
      </c>
      <c r="D2336" s="48">
        <v>24488</v>
      </c>
      <c r="E2336" s="47">
        <v>100</v>
      </c>
      <c r="F2336" s="48">
        <v>4945</v>
      </c>
      <c r="G2336" s="49">
        <v>2</v>
      </c>
      <c r="H2336" s="48">
        <v>2</v>
      </c>
      <c r="I2336" s="48">
        <v>2</v>
      </c>
      <c r="J2336" s="48">
        <v>46</v>
      </c>
      <c r="K2336" s="3">
        <f>1046-L2336</f>
        <v>1010.375</v>
      </c>
      <c r="L2336" s="16">
        <f>142.5/4</f>
        <v>35.625</v>
      </c>
      <c r="M2336" s="57"/>
      <c r="N2336" s="58"/>
      <c r="P2336" s="16">
        <v>5</v>
      </c>
      <c r="Q2336" s="20">
        <f t="shared" si="403"/>
        <v>1046</v>
      </c>
      <c r="R2336" s="14">
        <v>160</v>
      </c>
      <c r="S2336" s="19">
        <f t="shared" si="404"/>
        <v>167360</v>
      </c>
      <c r="T2336" s="16"/>
      <c r="U2336" s="17"/>
      <c r="V2336" s="17"/>
      <c r="W2336" s="5"/>
      <c r="X2336" s="16"/>
      <c r="Y2336" s="5">
        <v>142.5</v>
      </c>
      <c r="Z2336" s="16"/>
      <c r="AA2336" s="16"/>
      <c r="AB2336" s="16">
        <f>62-35</f>
        <v>27</v>
      </c>
      <c r="AE2336" s="16"/>
      <c r="AG2336" s="22">
        <f t="shared" si="408"/>
        <v>142.5</v>
      </c>
      <c r="AH2336" s="6"/>
      <c r="AJ2336" s="20">
        <f t="shared" si="405"/>
        <v>0</v>
      </c>
      <c r="AK2336" s="50">
        <v>27</v>
      </c>
      <c r="AL2336" s="6"/>
      <c r="AM2336" s="20">
        <f t="shared" si="406"/>
        <v>0</v>
      </c>
      <c r="AN2336" s="20">
        <f t="shared" si="409"/>
        <v>167360</v>
      </c>
      <c r="AP2336" s="20">
        <f t="shared" si="407"/>
        <v>167360</v>
      </c>
      <c r="AQ2336" s="7"/>
      <c r="AR2336" s="20"/>
      <c r="AS2336" s="51">
        <v>9</v>
      </c>
    </row>
    <row r="2337" spans="1:45" s="21" customFormat="1" ht="30" customHeight="1" x14ac:dyDescent="0.2">
      <c r="A2337" s="8">
        <v>2001</v>
      </c>
      <c r="B2337" s="46">
        <v>1</v>
      </c>
      <c r="C2337" s="16" t="s">
        <v>52</v>
      </c>
      <c r="D2337" s="48">
        <v>1487</v>
      </c>
      <c r="E2337" s="47">
        <v>50</v>
      </c>
      <c r="F2337" s="48">
        <v>551</v>
      </c>
      <c r="G2337" s="49">
        <v>2</v>
      </c>
      <c r="H2337" s="48">
        <v>3</v>
      </c>
      <c r="I2337" s="48">
        <v>1</v>
      </c>
      <c r="J2337" s="48">
        <v>31</v>
      </c>
      <c r="K2337" s="3">
        <v>1331</v>
      </c>
      <c r="L2337" s="16"/>
      <c r="M2337" s="57"/>
      <c r="N2337" s="58"/>
      <c r="P2337" s="16">
        <v>1</v>
      </c>
      <c r="Q2337" s="20">
        <f t="shared" si="403"/>
        <v>1331</v>
      </c>
      <c r="R2337" s="14">
        <v>160</v>
      </c>
      <c r="S2337" s="20">
        <f t="shared" si="404"/>
        <v>212960</v>
      </c>
      <c r="T2337" s="16"/>
      <c r="U2337" s="17"/>
      <c r="V2337" s="17"/>
      <c r="W2337" s="5"/>
      <c r="X2337" s="16"/>
      <c r="Y2337" s="5"/>
      <c r="Z2337" s="16"/>
      <c r="AA2337" s="16"/>
      <c r="AB2337" s="16"/>
      <c r="AE2337" s="16"/>
      <c r="AG2337" s="22">
        <f t="shared" si="408"/>
        <v>0</v>
      </c>
      <c r="AH2337" s="6"/>
      <c r="AJ2337" s="20">
        <f t="shared" si="405"/>
        <v>0</v>
      </c>
      <c r="AK2337" s="50"/>
      <c r="AL2337" s="6"/>
      <c r="AM2337" s="20">
        <f t="shared" si="406"/>
        <v>0</v>
      </c>
      <c r="AN2337" s="20">
        <f t="shared" si="409"/>
        <v>212960</v>
      </c>
      <c r="AP2337" s="20">
        <f t="shared" si="407"/>
        <v>212960</v>
      </c>
      <c r="AQ2337" s="7"/>
      <c r="AR2337" s="60"/>
      <c r="AS2337" s="128">
        <v>51</v>
      </c>
    </row>
    <row r="2338" spans="1:45" s="21" customFormat="1" ht="30" customHeight="1" x14ac:dyDescent="0.2">
      <c r="A2338" s="8">
        <v>2002</v>
      </c>
      <c r="B2338" s="46">
        <v>2</v>
      </c>
      <c r="C2338" s="16" t="s">
        <v>52</v>
      </c>
      <c r="D2338" s="48">
        <v>1553</v>
      </c>
      <c r="E2338" s="47">
        <v>75</v>
      </c>
      <c r="F2338" s="48">
        <v>471</v>
      </c>
      <c r="G2338" s="49">
        <v>2</v>
      </c>
      <c r="H2338" s="48">
        <v>8</v>
      </c>
      <c r="I2338" s="48">
        <v>2</v>
      </c>
      <c r="J2338" s="48">
        <v>12</v>
      </c>
      <c r="K2338" s="3">
        <f>3412-L2338</f>
        <v>3412</v>
      </c>
      <c r="L2338" s="16"/>
      <c r="M2338" s="57"/>
      <c r="N2338" s="58"/>
      <c r="P2338" s="16">
        <v>1</v>
      </c>
      <c r="Q2338" s="20">
        <f t="shared" si="403"/>
        <v>3412</v>
      </c>
      <c r="R2338" s="14">
        <v>160</v>
      </c>
      <c r="S2338" s="19">
        <f t="shared" si="404"/>
        <v>545920</v>
      </c>
      <c r="T2338" s="16"/>
      <c r="U2338" s="17" t="s">
        <v>57</v>
      </c>
      <c r="V2338" s="17" t="s">
        <v>56</v>
      </c>
      <c r="W2338" s="5"/>
      <c r="X2338" s="16"/>
      <c r="Y2338" s="5">
        <v>35</v>
      </c>
      <c r="Z2338" s="16"/>
      <c r="AA2338" s="16"/>
      <c r="AB2338" s="16">
        <f>62-41</f>
        <v>21</v>
      </c>
      <c r="AE2338" s="16"/>
      <c r="AG2338" s="22">
        <f t="shared" si="408"/>
        <v>35</v>
      </c>
      <c r="AH2338" s="6"/>
      <c r="AJ2338" s="20">
        <f t="shared" si="405"/>
        <v>0</v>
      </c>
      <c r="AK2338" s="50">
        <v>21</v>
      </c>
      <c r="AL2338" s="6"/>
      <c r="AM2338" s="20">
        <f t="shared" si="406"/>
        <v>0</v>
      </c>
      <c r="AN2338" s="20">
        <f t="shared" si="409"/>
        <v>545920</v>
      </c>
      <c r="AP2338" s="20">
        <f t="shared" si="407"/>
        <v>545920</v>
      </c>
      <c r="AQ2338" s="7"/>
      <c r="AR2338" s="25"/>
      <c r="AS2338" s="130"/>
    </row>
    <row r="2339" spans="1:45" s="21" customFormat="1" ht="30" customHeight="1" x14ac:dyDescent="0.2">
      <c r="A2339" s="8">
        <v>2003</v>
      </c>
      <c r="B2339" s="46">
        <v>1</v>
      </c>
      <c r="C2339" s="16" t="s">
        <v>52</v>
      </c>
      <c r="D2339" s="48">
        <v>24489</v>
      </c>
      <c r="E2339" s="47">
        <v>101</v>
      </c>
      <c r="F2339" s="48">
        <v>4946</v>
      </c>
      <c r="G2339" s="49">
        <v>2</v>
      </c>
      <c r="H2339" s="48">
        <v>1</v>
      </c>
      <c r="I2339" s="48">
        <v>3</v>
      </c>
      <c r="J2339" s="48">
        <v>52</v>
      </c>
      <c r="K2339" s="3">
        <f>752-L2339</f>
        <v>725</v>
      </c>
      <c r="L2339" s="16">
        <f>108/4</f>
        <v>27</v>
      </c>
      <c r="M2339" s="57"/>
      <c r="N2339" s="58"/>
      <c r="P2339" s="16">
        <v>5</v>
      </c>
      <c r="Q2339" s="20">
        <f t="shared" si="403"/>
        <v>752</v>
      </c>
      <c r="R2339" s="14">
        <v>160</v>
      </c>
      <c r="S2339" s="19">
        <f t="shared" si="404"/>
        <v>120320</v>
      </c>
      <c r="T2339" s="16"/>
      <c r="U2339" s="17" t="s">
        <v>57</v>
      </c>
      <c r="V2339" s="17" t="s">
        <v>56</v>
      </c>
      <c r="W2339" s="5"/>
      <c r="X2339" s="16"/>
      <c r="Y2339" s="5">
        <v>108</v>
      </c>
      <c r="Z2339" s="16"/>
      <c r="AA2339" s="16"/>
      <c r="AB2339" s="16">
        <f>62-21</f>
        <v>41</v>
      </c>
      <c r="AE2339" s="16"/>
      <c r="AG2339" s="22">
        <f t="shared" si="408"/>
        <v>108</v>
      </c>
      <c r="AH2339" s="6"/>
      <c r="AJ2339" s="20">
        <f t="shared" si="405"/>
        <v>0</v>
      </c>
      <c r="AK2339" s="50">
        <v>41</v>
      </c>
      <c r="AL2339" s="6"/>
      <c r="AM2339" s="20">
        <f t="shared" si="406"/>
        <v>0</v>
      </c>
      <c r="AN2339" s="20">
        <f t="shared" si="409"/>
        <v>120320</v>
      </c>
      <c r="AP2339" s="20">
        <f t="shared" si="407"/>
        <v>120320</v>
      </c>
      <c r="AQ2339" s="7"/>
      <c r="AR2339" s="60"/>
      <c r="AS2339" s="128">
        <v>5</v>
      </c>
    </row>
    <row r="2340" spans="1:45" s="21" customFormat="1" ht="30" customHeight="1" x14ac:dyDescent="0.2">
      <c r="A2340" s="8">
        <v>2004</v>
      </c>
      <c r="B2340" s="46">
        <v>2</v>
      </c>
      <c r="C2340" s="16" t="s">
        <v>52</v>
      </c>
      <c r="D2340" s="48">
        <v>36301</v>
      </c>
      <c r="E2340" s="47">
        <v>72</v>
      </c>
      <c r="F2340" s="48">
        <v>3660</v>
      </c>
      <c r="G2340" s="49">
        <v>2</v>
      </c>
      <c r="H2340" s="48">
        <v>3</v>
      </c>
      <c r="I2340" s="48">
        <v>3</v>
      </c>
      <c r="J2340" s="48">
        <v>97</v>
      </c>
      <c r="K2340" s="3">
        <v>1597</v>
      </c>
      <c r="L2340" s="16"/>
      <c r="M2340" s="57"/>
      <c r="N2340" s="58"/>
      <c r="P2340" s="16">
        <v>1</v>
      </c>
      <c r="Q2340" s="20">
        <f t="shared" si="403"/>
        <v>1597</v>
      </c>
      <c r="R2340" s="14">
        <v>160</v>
      </c>
      <c r="S2340" s="20">
        <f t="shared" si="404"/>
        <v>255520</v>
      </c>
      <c r="T2340" s="16"/>
      <c r="U2340" s="17"/>
      <c r="V2340" s="17"/>
      <c r="W2340" s="5"/>
      <c r="X2340" s="16"/>
      <c r="Y2340" s="5"/>
      <c r="Z2340" s="16"/>
      <c r="AA2340" s="16"/>
      <c r="AB2340" s="16"/>
      <c r="AC2340" s="14"/>
      <c r="AD2340" s="14"/>
      <c r="AE2340" s="16"/>
      <c r="AG2340" s="22">
        <f t="shared" si="408"/>
        <v>0</v>
      </c>
      <c r="AH2340" s="6"/>
      <c r="AJ2340" s="20">
        <f t="shared" si="405"/>
        <v>0</v>
      </c>
      <c r="AK2340" s="50"/>
      <c r="AL2340" s="6"/>
      <c r="AM2340" s="20">
        <f t="shared" si="406"/>
        <v>0</v>
      </c>
      <c r="AN2340" s="20">
        <f t="shared" si="409"/>
        <v>255520</v>
      </c>
      <c r="AP2340" s="20">
        <f t="shared" si="407"/>
        <v>255520</v>
      </c>
      <c r="AQ2340" s="7"/>
      <c r="AR2340" s="25"/>
      <c r="AS2340" s="130"/>
    </row>
    <row r="2341" spans="1:45" s="21" customFormat="1" ht="30" customHeight="1" x14ac:dyDescent="0.2">
      <c r="A2341" s="8">
        <v>2005</v>
      </c>
      <c r="B2341" s="46">
        <v>1</v>
      </c>
      <c r="C2341" s="16" t="s">
        <v>52</v>
      </c>
      <c r="D2341" s="48">
        <v>1556</v>
      </c>
      <c r="E2341" s="47">
        <v>72</v>
      </c>
      <c r="F2341" s="48">
        <v>474</v>
      </c>
      <c r="G2341" s="49">
        <v>2</v>
      </c>
      <c r="H2341" s="48">
        <v>3</v>
      </c>
      <c r="I2341" s="48">
        <v>3</v>
      </c>
      <c r="J2341" s="48">
        <v>33</v>
      </c>
      <c r="K2341" s="3">
        <v>1533</v>
      </c>
      <c r="L2341" s="16"/>
      <c r="M2341" s="57"/>
      <c r="N2341" s="58"/>
      <c r="P2341" s="16">
        <v>1</v>
      </c>
      <c r="Q2341" s="20">
        <f t="shared" si="403"/>
        <v>1533</v>
      </c>
      <c r="R2341" s="14">
        <v>160</v>
      </c>
      <c r="S2341" s="19">
        <f t="shared" si="404"/>
        <v>245280</v>
      </c>
      <c r="T2341" s="16"/>
      <c r="U2341" s="17"/>
      <c r="V2341" s="17"/>
      <c r="W2341" s="5"/>
      <c r="X2341" s="16"/>
      <c r="Y2341" s="5"/>
      <c r="Z2341" s="16"/>
      <c r="AA2341" s="16"/>
      <c r="AB2341" s="16"/>
      <c r="AE2341" s="16"/>
      <c r="AG2341" s="22">
        <f t="shared" si="408"/>
        <v>0</v>
      </c>
      <c r="AH2341" s="6"/>
      <c r="AJ2341" s="20">
        <f t="shared" si="405"/>
        <v>0</v>
      </c>
      <c r="AK2341" s="50"/>
      <c r="AL2341" s="6"/>
      <c r="AM2341" s="20">
        <f t="shared" si="406"/>
        <v>0</v>
      </c>
      <c r="AN2341" s="20">
        <f t="shared" si="409"/>
        <v>245280</v>
      </c>
      <c r="AP2341" s="20">
        <f t="shared" si="407"/>
        <v>245280</v>
      </c>
      <c r="AQ2341" s="7"/>
      <c r="AR2341" s="20"/>
      <c r="AS2341" s="51">
        <v>22</v>
      </c>
    </row>
    <row r="2342" spans="1:45" s="21" customFormat="1" ht="30" customHeight="1" x14ac:dyDescent="0.2">
      <c r="A2342" s="8">
        <v>2006</v>
      </c>
      <c r="B2342" s="46">
        <v>1</v>
      </c>
      <c r="C2342" s="16" t="s">
        <v>52</v>
      </c>
      <c r="D2342" s="48">
        <v>1485</v>
      </c>
      <c r="E2342" s="47">
        <v>52</v>
      </c>
      <c r="F2342" s="48">
        <v>549</v>
      </c>
      <c r="G2342" s="49">
        <v>2</v>
      </c>
      <c r="H2342" s="48">
        <v>2</v>
      </c>
      <c r="I2342" s="48">
        <v>3</v>
      </c>
      <c r="J2342" s="48">
        <v>42</v>
      </c>
      <c r="K2342" s="3">
        <v>1142</v>
      </c>
      <c r="L2342" s="16"/>
      <c r="M2342" s="57"/>
      <c r="N2342" s="58"/>
      <c r="P2342" s="16">
        <v>1</v>
      </c>
      <c r="Q2342" s="20">
        <f t="shared" si="403"/>
        <v>1142</v>
      </c>
      <c r="R2342" s="14">
        <v>200</v>
      </c>
      <c r="S2342" s="19">
        <f t="shared" si="404"/>
        <v>228400</v>
      </c>
      <c r="T2342" s="16"/>
      <c r="U2342" s="17"/>
      <c r="V2342" s="17"/>
      <c r="W2342" s="5"/>
      <c r="X2342" s="16"/>
      <c r="Y2342" s="5"/>
      <c r="Z2342" s="16"/>
      <c r="AA2342" s="16"/>
      <c r="AB2342" s="16"/>
      <c r="AC2342" s="14"/>
      <c r="AD2342" s="14"/>
      <c r="AE2342" s="16"/>
      <c r="AG2342" s="22">
        <f t="shared" si="408"/>
        <v>0</v>
      </c>
      <c r="AH2342" s="6"/>
      <c r="AJ2342" s="20">
        <f t="shared" si="405"/>
        <v>0</v>
      </c>
      <c r="AK2342" s="50"/>
      <c r="AL2342" s="6"/>
      <c r="AM2342" s="20">
        <f t="shared" si="406"/>
        <v>0</v>
      </c>
      <c r="AN2342" s="20">
        <f t="shared" si="409"/>
        <v>228400</v>
      </c>
      <c r="AP2342" s="20">
        <f t="shared" si="407"/>
        <v>228400</v>
      </c>
      <c r="AQ2342" s="7"/>
      <c r="AR2342" s="20"/>
      <c r="AS2342" s="51">
        <v>44</v>
      </c>
    </row>
    <row r="2343" spans="1:45" s="21" customFormat="1" ht="30" customHeight="1" x14ac:dyDescent="0.2">
      <c r="A2343" s="131">
        <v>2007</v>
      </c>
      <c r="B2343" s="46">
        <v>1</v>
      </c>
      <c r="C2343" s="16" t="s">
        <v>52</v>
      </c>
      <c r="D2343" s="48">
        <v>1552</v>
      </c>
      <c r="E2343" s="47">
        <v>57</v>
      </c>
      <c r="F2343" s="48">
        <v>470</v>
      </c>
      <c r="G2343" s="49">
        <v>2</v>
      </c>
      <c r="H2343" s="48">
        <v>1</v>
      </c>
      <c r="I2343" s="48">
        <v>3</v>
      </c>
      <c r="J2343" s="48">
        <v>98</v>
      </c>
      <c r="K2343" s="3">
        <f>798-L2343</f>
        <v>798</v>
      </c>
      <c r="L2343" s="16"/>
      <c r="M2343" s="57"/>
      <c r="N2343" s="58"/>
      <c r="P2343" s="16">
        <v>1</v>
      </c>
      <c r="Q2343" s="20">
        <f t="shared" si="403"/>
        <v>798</v>
      </c>
      <c r="R2343" s="14">
        <v>200</v>
      </c>
      <c r="S2343" s="20">
        <f t="shared" si="404"/>
        <v>159600</v>
      </c>
      <c r="T2343" s="16">
        <v>1</v>
      </c>
      <c r="U2343" s="17" t="s">
        <v>57</v>
      </c>
      <c r="V2343" s="17" t="s">
        <v>56</v>
      </c>
      <c r="W2343" s="5"/>
      <c r="X2343" s="16"/>
      <c r="Y2343" s="5">
        <v>127.5</v>
      </c>
      <c r="Z2343" s="16"/>
      <c r="AA2343" s="16"/>
      <c r="AB2343" s="16">
        <f>62-59</f>
        <v>3</v>
      </c>
      <c r="AC2343" s="14"/>
      <c r="AD2343" s="14"/>
      <c r="AE2343" s="16"/>
      <c r="AG2343" s="22">
        <f t="shared" si="408"/>
        <v>127.5</v>
      </c>
      <c r="AH2343" s="6"/>
      <c r="AJ2343" s="20">
        <f t="shared" si="405"/>
        <v>0</v>
      </c>
      <c r="AK2343" s="50">
        <v>3</v>
      </c>
      <c r="AL2343" s="6"/>
      <c r="AM2343" s="20">
        <f t="shared" si="406"/>
        <v>0</v>
      </c>
      <c r="AN2343" s="20">
        <f t="shared" si="409"/>
        <v>159600</v>
      </c>
      <c r="AP2343" s="20">
        <f t="shared" si="407"/>
        <v>159600</v>
      </c>
      <c r="AQ2343" s="7"/>
      <c r="AR2343" s="60"/>
      <c r="AS2343" s="128">
        <v>12</v>
      </c>
    </row>
    <row r="2344" spans="1:45" s="21" customFormat="1" ht="30" customHeight="1" x14ac:dyDescent="0.2">
      <c r="A2344" s="131"/>
      <c r="B2344" s="46"/>
      <c r="C2344" s="16"/>
      <c r="D2344" s="48"/>
      <c r="E2344" s="47"/>
      <c r="F2344" s="48"/>
      <c r="G2344" s="49"/>
      <c r="H2344" s="48"/>
      <c r="I2344" s="48"/>
      <c r="J2344" s="48"/>
      <c r="K2344" s="3"/>
      <c r="L2344" s="16"/>
      <c r="M2344" s="57"/>
      <c r="N2344" s="58"/>
      <c r="P2344" s="16"/>
      <c r="Q2344" s="20">
        <f t="shared" si="403"/>
        <v>0</v>
      </c>
      <c r="R2344" s="14" t="e">
        <v>#N/A</v>
      </c>
      <c r="S2344" s="19" t="e">
        <f t="shared" si="404"/>
        <v>#N/A</v>
      </c>
      <c r="T2344" s="16">
        <v>2</v>
      </c>
      <c r="U2344" s="17" t="s">
        <v>57</v>
      </c>
      <c r="V2344" s="17" t="s">
        <v>56</v>
      </c>
      <c r="W2344" s="5"/>
      <c r="X2344" s="16"/>
      <c r="Y2344" s="5">
        <v>112.5</v>
      </c>
      <c r="Z2344" s="16"/>
      <c r="AA2344" s="16"/>
      <c r="AB2344" s="16">
        <f>62-40</f>
        <v>22</v>
      </c>
      <c r="AC2344" s="14"/>
      <c r="AD2344" s="14"/>
      <c r="AE2344" s="16"/>
      <c r="AG2344" s="22">
        <f t="shared" si="408"/>
        <v>112.5</v>
      </c>
      <c r="AH2344" s="6"/>
      <c r="AJ2344" s="20">
        <f t="shared" si="405"/>
        <v>0</v>
      </c>
      <c r="AK2344" s="50">
        <v>22</v>
      </c>
      <c r="AL2344" s="6"/>
      <c r="AM2344" s="20">
        <f t="shared" si="406"/>
        <v>0</v>
      </c>
      <c r="AN2344" s="20" t="e">
        <f t="shared" si="409"/>
        <v>#N/A</v>
      </c>
      <c r="AP2344" s="20" t="e">
        <f t="shared" si="407"/>
        <v>#N/A</v>
      </c>
      <c r="AQ2344" s="7"/>
      <c r="AR2344" s="24"/>
      <c r="AS2344" s="129"/>
    </row>
    <row r="2345" spans="1:45" s="21" customFormat="1" ht="30" customHeight="1" x14ac:dyDescent="0.2">
      <c r="A2345" s="8">
        <v>2008</v>
      </c>
      <c r="B2345" s="46">
        <v>2</v>
      </c>
      <c r="C2345" s="16" t="s">
        <v>52</v>
      </c>
      <c r="D2345" s="48">
        <v>2437</v>
      </c>
      <c r="E2345" s="47">
        <v>103</v>
      </c>
      <c r="F2345" s="48">
        <v>438</v>
      </c>
      <c r="G2345" s="49">
        <v>2</v>
      </c>
      <c r="H2345" s="48">
        <v>1</v>
      </c>
      <c r="I2345" s="48">
        <v>3</v>
      </c>
      <c r="J2345" s="48">
        <v>70</v>
      </c>
      <c r="K2345" s="3"/>
      <c r="L2345" s="16">
        <v>770</v>
      </c>
      <c r="M2345" s="57"/>
      <c r="N2345" s="58"/>
      <c r="P2345" s="16">
        <v>2</v>
      </c>
      <c r="Q2345" s="20">
        <f t="shared" si="403"/>
        <v>770</v>
      </c>
      <c r="R2345" s="14">
        <v>200</v>
      </c>
      <c r="S2345" s="19">
        <f t="shared" si="404"/>
        <v>154000</v>
      </c>
      <c r="T2345" s="16"/>
      <c r="U2345" s="17" t="s">
        <v>57</v>
      </c>
      <c r="V2345" s="17" t="s">
        <v>56</v>
      </c>
      <c r="W2345" s="5"/>
      <c r="X2345" s="16"/>
      <c r="Y2345" s="5">
        <v>90</v>
      </c>
      <c r="Z2345" s="16"/>
      <c r="AA2345" s="16"/>
      <c r="AB2345" s="16">
        <f>62-23</f>
        <v>39</v>
      </c>
      <c r="AC2345" s="14"/>
      <c r="AD2345" s="14"/>
      <c r="AE2345" s="16"/>
      <c r="AG2345" s="22">
        <f t="shared" si="408"/>
        <v>90</v>
      </c>
      <c r="AH2345" s="6"/>
      <c r="AJ2345" s="20">
        <f t="shared" si="405"/>
        <v>0</v>
      </c>
      <c r="AK2345" s="50">
        <v>39</v>
      </c>
      <c r="AL2345" s="6"/>
      <c r="AM2345" s="20">
        <f t="shared" si="406"/>
        <v>0</v>
      </c>
      <c r="AN2345" s="20">
        <f t="shared" si="409"/>
        <v>154000</v>
      </c>
      <c r="AP2345" s="20">
        <f t="shared" si="407"/>
        <v>154000</v>
      </c>
      <c r="AQ2345" s="7"/>
      <c r="AR2345" s="24"/>
      <c r="AS2345" s="129"/>
    </row>
    <row r="2346" spans="1:45" s="21" customFormat="1" ht="30" customHeight="1" x14ac:dyDescent="0.2">
      <c r="A2346" s="8">
        <v>2009</v>
      </c>
      <c r="B2346" s="46">
        <v>3</v>
      </c>
      <c r="C2346" s="16" t="s">
        <v>52</v>
      </c>
      <c r="D2346" s="48">
        <v>25788</v>
      </c>
      <c r="E2346" s="47">
        <v>38</v>
      </c>
      <c r="F2346" s="48">
        <v>5001</v>
      </c>
      <c r="G2346" s="49">
        <v>2</v>
      </c>
      <c r="H2346" s="48">
        <v>2</v>
      </c>
      <c r="I2346" s="48">
        <v>0</v>
      </c>
      <c r="J2346" s="48">
        <v>82</v>
      </c>
      <c r="K2346" s="3">
        <v>882</v>
      </c>
      <c r="L2346" s="16"/>
      <c r="M2346" s="57"/>
      <c r="N2346" s="58"/>
      <c r="P2346" s="16">
        <v>1</v>
      </c>
      <c r="Q2346" s="20">
        <f t="shared" si="403"/>
        <v>882</v>
      </c>
      <c r="R2346" s="14">
        <v>160</v>
      </c>
      <c r="S2346" s="20">
        <f t="shared" si="404"/>
        <v>141120</v>
      </c>
      <c r="T2346" s="16"/>
      <c r="U2346" s="17"/>
      <c r="V2346" s="17"/>
      <c r="W2346" s="5"/>
      <c r="X2346" s="16"/>
      <c r="Y2346" s="5"/>
      <c r="Z2346" s="16"/>
      <c r="AA2346" s="16"/>
      <c r="AB2346" s="16"/>
      <c r="AC2346" s="14"/>
      <c r="AD2346" s="14"/>
      <c r="AE2346" s="16"/>
      <c r="AG2346" s="22">
        <f t="shared" si="408"/>
        <v>0</v>
      </c>
      <c r="AH2346" s="6"/>
      <c r="AJ2346" s="20">
        <f t="shared" si="405"/>
        <v>0</v>
      </c>
      <c r="AK2346" s="50"/>
      <c r="AL2346" s="6"/>
      <c r="AM2346" s="20">
        <f t="shared" si="406"/>
        <v>0</v>
      </c>
      <c r="AN2346" s="20">
        <f t="shared" si="409"/>
        <v>141120</v>
      </c>
      <c r="AP2346" s="20">
        <f t="shared" si="407"/>
        <v>141120</v>
      </c>
      <c r="AQ2346" s="7"/>
      <c r="AR2346" s="25"/>
      <c r="AS2346" s="130"/>
    </row>
    <row r="2347" spans="1:45" s="21" customFormat="1" ht="30" customHeight="1" x14ac:dyDescent="0.2">
      <c r="A2347" s="8">
        <v>2010</v>
      </c>
      <c r="B2347" s="46">
        <v>1</v>
      </c>
      <c r="C2347" s="16" t="s">
        <v>52</v>
      </c>
      <c r="D2347" s="48">
        <v>1956</v>
      </c>
      <c r="E2347" s="47">
        <v>13</v>
      </c>
      <c r="F2347" s="48">
        <v>1313</v>
      </c>
      <c r="G2347" s="49">
        <v>2</v>
      </c>
      <c r="H2347" s="48">
        <v>1</v>
      </c>
      <c r="I2347" s="48">
        <v>3</v>
      </c>
      <c r="J2347" s="48">
        <v>51</v>
      </c>
      <c r="K2347" s="3">
        <v>751</v>
      </c>
      <c r="L2347" s="16"/>
      <c r="M2347" s="57"/>
      <c r="N2347" s="58"/>
      <c r="P2347" s="16">
        <v>1</v>
      </c>
      <c r="Q2347" s="20">
        <f t="shared" si="403"/>
        <v>751</v>
      </c>
      <c r="R2347" s="14">
        <v>160</v>
      </c>
      <c r="S2347" s="19">
        <f t="shared" si="404"/>
        <v>120160</v>
      </c>
      <c r="T2347" s="16"/>
      <c r="U2347" s="17"/>
      <c r="V2347" s="17"/>
      <c r="W2347" s="5"/>
      <c r="X2347" s="16"/>
      <c r="Y2347" s="5"/>
      <c r="Z2347" s="16"/>
      <c r="AA2347" s="16"/>
      <c r="AB2347" s="16"/>
      <c r="AC2347" s="14"/>
      <c r="AD2347" s="14"/>
      <c r="AE2347" s="16"/>
      <c r="AG2347" s="22">
        <f t="shared" si="408"/>
        <v>0</v>
      </c>
      <c r="AH2347" s="6"/>
      <c r="AJ2347" s="20">
        <f t="shared" si="405"/>
        <v>0</v>
      </c>
      <c r="AK2347" s="50"/>
      <c r="AL2347" s="6"/>
      <c r="AM2347" s="20">
        <f t="shared" si="406"/>
        <v>0</v>
      </c>
      <c r="AN2347" s="20">
        <f t="shared" si="409"/>
        <v>120160</v>
      </c>
      <c r="AP2347" s="20">
        <f t="shared" si="407"/>
        <v>120160</v>
      </c>
      <c r="AQ2347" s="7"/>
      <c r="AR2347" s="60"/>
      <c r="AS2347" s="128">
        <v>26</v>
      </c>
    </row>
    <row r="2348" spans="1:45" ht="30" customHeight="1" x14ac:dyDescent="0.2">
      <c r="A2348" s="8">
        <v>2011</v>
      </c>
      <c r="B2348" s="13">
        <v>2</v>
      </c>
      <c r="C2348" s="16" t="s">
        <v>65</v>
      </c>
      <c r="D2348" s="17">
        <v>2798</v>
      </c>
      <c r="E2348" s="17">
        <v>378</v>
      </c>
      <c r="H2348" s="17">
        <v>0</v>
      </c>
      <c r="I2348" s="17">
        <v>0</v>
      </c>
      <c r="J2348" s="17">
        <v>32</v>
      </c>
      <c r="K2348" s="10">
        <v>32</v>
      </c>
      <c r="P2348" s="17">
        <v>1</v>
      </c>
      <c r="Q2348" s="20">
        <f t="shared" si="403"/>
        <v>32</v>
      </c>
      <c r="R2348" s="14">
        <v>200</v>
      </c>
      <c r="S2348" s="19">
        <f t="shared" si="404"/>
        <v>6400</v>
      </c>
      <c r="AE2348" s="17" t="s">
        <v>95</v>
      </c>
      <c r="AG2348" s="22">
        <f t="shared" si="408"/>
        <v>0</v>
      </c>
      <c r="AJ2348" s="20">
        <f t="shared" si="405"/>
        <v>0</v>
      </c>
      <c r="AM2348" s="20">
        <f t="shared" si="406"/>
        <v>0</v>
      </c>
      <c r="AN2348" s="20">
        <f t="shared" si="409"/>
        <v>6400</v>
      </c>
      <c r="AP2348" s="20">
        <f t="shared" si="407"/>
        <v>6400</v>
      </c>
      <c r="AQ2348" s="12">
        <v>1E-4</v>
      </c>
      <c r="AR2348" s="24"/>
      <c r="AS2348" s="129"/>
    </row>
    <row r="2349" spans="1:45" ht="30" customHeight="1" x14ac:dyDescent="0.2">
      <c r="A2349" s="8"/>
      <c r="C2349" s="16"/>
      <c r="Q2349" s="20"/>
      <c r="S2349" s="20"/>
      <c r="AC2349" s="21"/>
      <c r="AD2349" s="21"/>
      <c r="AG2349" s="22"/>
      <c r="AJ2349" s="20"/>
      <c r="AM2349" s="20"/>
      <c r="AN2349" s="20"/>
      <c r="AP2349" s="20"/>
      <c r="AR2349" s="25"/>
      <c r="AS2349" s="130"/>
    </row>
    <row r="2350" spans="1:45" s="21" customFormat="1" ht="30" customHeight="1" x14ac:dyDescent="0.2">
      <c r="A2350" s="8">
        <v>2012</v>
      </c>
      <c r="B2350" s="46">
        <v>1</v>
      </c>
      <c r="C2350" s="16" t="s">
        <v>52</v>
      </c>
      <c r="D2350" s="48">
        <v>18755</v>
      </c>
      <c r="E2350" s="47">
        <v>99</v>
      </c>
      <c r="F2350" s="48">
        <v>4318</v>
      </c>
      <c r="G2350" s="49">
        <v>2</v>
      </c>
      <c r="H2350" s="48">
        <v>2</v>
      </c>
      <c r="I2350" s="48">
        <v>3</v>
      </c>
      <c r="J2350" s="48">
        <v>0</v>
      </c>
      <c r="K2350" s="3">
        <v>1100</v>
      </c>
      <c r="L2350" s="16"/>
      <c r="M2350" s="57"/>
      <c r="N2350" s="58"/>
      <c r="P2350" s="16">
        <v>1</v>
      </c>
      <c r="Q2350" s="20">
        <f t="shared" si="403"/>
        <v>1100</v>
      </c>
      <c r="R2350" s="14">
        <v>200</v>
      </c>
      <c r="S2350" s="19">
        <f t="shared" si="404"/>
        <v>220000</v>
      </c>
      <c r="T2350" s="16"/>
      <c r="U2350" s="17"/>
      <c r="V2350" s="17"/>
      <c r="W2350" s="5"/>
      <c r="X2350" s="16"/>
      <c r="Y2350" s="5"/>
      <c r="Z2350" s="16"/>
      <c r="AA2350" s="16"/>
      <c r="AB2350" s="16"/>
      <c r="AE2350" s="16"/>
      <c r="AG2350" s="22">
        <f t="shared" si="408"/>
        <v>0</v>
      </c>
      <c r="AH2350" s="6"/>
      <c r="AJ2350" s="20">
        <f t="shared" si="405"/>
        <v>0</v>
      </c>
      <c r="AK2350" s="50"/>
      <c r="AL2350" s="6"/>
      <c r="AM2350" s="20">
        <f t="shared" si="406"/>
        <v>0</v>
      </c>
      <c r="AN2350" s="20">
        <f t="shared" si="409"/>
        <v>220000</v>
      </c>
      <c r="AP2350" s="20">
        <f t="shared" si="407"/>
        <v>220000</v>
      </c>
      <c r="AQ2350" s="7"/>
      <c r="AR2350" s="20"/>
      <c r="AS2350" s="51">
        <v>15</v>
      </c>
    </row>
    <row r="2351" spans="1:45" s="21" customFormat="1" ht="30" customHeight="1" x14ac:dyDescent="0.2">
      <c r="A2351" s="131">
        <v>2013</v>
      </c>
      <c r="B2351" s="46">
        <v>1</v>
      </c>
      <c r="C2351" s="16" t="s">
        <v>52</v>
      </c>
      <c r="D2351" s="48">
        <v>1554</v>
      </c>
      <c r="E2351" s="47">
        <v>74</v>
      </c>
      <c r="F2351" s="48">
        <v>472</v>
      </c>
      <c r="G2351" s="49">
        <v>2</v>
      </c>
      <c r="H2351" s="48">
        <v>7</v>
      </c>
      <c r="I2351" s="48">
        <v>2</v>
      </c>
      <c r="J2351" s="48">
        <v>21</v>
      </c>
      <c r="K2351" s="3">
        <f>3021-L2351</f>
        <v>2944.5</v>
      </c>
      <c r="L2351" s="16">
        <f>+(162+90+54)/4</f>
        <v>76.5</v>
      </c>
      <c r="M2351" s="57"/>
      <c r="N2351" s="58"/>
      <c r="P2351" s="16">
        <v>5</v>
      </c>
      <c r="Q2351" s="20">
        <f t="shared" si="403"/>
        <v>3021</v>
      </c>
      <c r="R2351" s="14">
        <v>160</v>
      </c>
      <c r="S2351" s="19">
        <f t="shared" si="404"/>
        <v>483360</v>
      </c>
      <c r="T2351" s="16"/>
      <c r="U2351" s="17" t="s">
        <v>57</v>
      </c>
      <c r="V2351" s="17" t="s">
        <v>56</v>
      </c>
      <c r="W2351" s="5"/>
      <c r="X2351" s="16"/>
      <c r="Y2351" s="5">
        <v>162</v>
      </c>
      <c r="Z2351" s="16"/>
      <c r="AA2351" s="16"/>
      <c r="AB2351" s="16">
        <f>62-41</f>
        <v>21</v>
      </c>
      <c r="AE2351" s="16"/>
      <c r="AG2351" s="22">
        <f t="shared" si="408"/>
        <v>162</v>
      </c>
      <c r="AH2351" s="6"/>
      <c r="AJ2351" s="20">
        <f t="shared" si="405"/>
        <v>0</v>
      </c>
      <c r="AK2351" s="50">
        <v>21</v>
      </c>
      <c r="AL2351" s="6"/>
      <c r="AM2351" s="20">
        <f t="shared" si="406"/>
        <v>0</v>
      </c>
      <c r="AN2351" s="20">
        <f t="shared" si="409"/>
        <v>483360</v>
      </c>
      <c r="AP2351" s="20">
        <f t="shared" si="407"/>
        <v>483360</v>
      </c>
      <c r="AQ2351" s="7"/>
      <c r="AR2351" s="60"/>
      <c r="AS2351" s="128">
        <v>23</v>
      </c>
    </row>
    <row r="2352" spans="1:45" s="21" customFormat="1" ht="30" customHeight="1" x14ac:dyDescent="0.2">
      <c r="A2352" s="131"/>
      <c r="B2352" s="46"/>
      <c r="C2352" s="16"/>
      <c r="D2352" s="48"/>
      <c r="E2352" s="47"/>
      <c r="F2352" s="48"/>
      <c r="G2352" s="49"/>
      <c r="H2352" s="48"/>
      <c r="I2352" s="48"/>
      <c r="J2352" s="48"/>
      <c r="K2352" s="3"/>
      <c r="L2352" s="16"/>
      <c r="M2352" s="57"/>
      <c r="N2352" s="58"/>
      <c r="P2352" s="16"/>
      <c r="Q2352" s="20">
        <f t="shared" si="403"/>
        <v>0</v>
      </c>
      <c r="R2352" s="14" t="e">
        <v>#N/A</v>
      </c>
      <c r="S2352" s="20" t="e">
        <f t="shared" si="404"/>
        <v>#N/A</v>
      </c>
      <c r="T2352" s="16"/>
      <c r="U2352" s="17" t="s">
        <v>57</v>
      </c>
      <c r="V2352" s="17" t="s">
        <v>56</v>
      </c>
      <c r="W2352" s="5"/>
      <c r="X2352" s="16"/>
      <c r="Y2352" s="5">
        <v>90</v>
      </c>
      <c r="Z2352" s="16"/>
      <c r="AA2352" s="16"/>
      <c r="AB2352" s="16">
        <f>62-38</f>
        <v>24</v>
      </c>
      <c r="AE2352" s="16"/>
      <c r="AG2352" s="22">
        <f t="shared" si="408"/>
        <v>90</v>
      </c>
      <c r="AH2352" s="6"/>
      <c r="AJ2352" s="20">
        <f t="shared" si="405"/>
        <v>0</v>
      </c>
      <c r="AK2352" s="50">
        <v>24</v>
      </c>
      <c r="AL2352" s="6"/>
      <c r="AM2352" s="20">
        <f t="shared" si="406"/>
        <v>0</v>
      </c>
      <c r="AN2352" s="20" t="e">
        <f t="shared" si="409"/>
        <v>#N/A</v>
      </c>
      <c r="AP2352" s="20" t="e">
        <f t="shared" si="407"/>
        <v>#N/A</v>
      </c>
      <c r="AQ2352" s="7"/>
      <c r="AR2352" s="25"/>
      <c r="AS2352" s="130"/>
    </row>
    <row r="2353" spans="1:45" s="21" customFormat="1" ht="30" customHeight="1" x14ac:dyDescent="0.2">
      <c r="A2353" s="131"/>
      <c r="B2353" s="46"/>
      <c r="C2353" s="16"/>
      <c r="D2353" s="48"/>
      <c r="E2353" s="47"/>
      <c r="F2353" s="48"/>
      <c r="G2353" s="49"/>
      <c r="H2353" s="48"/>
      <c r="I2353" s="48"/>
      <c r="J2353" s="48"/>
      <c r="K2353" s="3"/>
      <c r="L2353" s="16"/>
      <c r="M2353" s="57"/>
      <c r="N2353" s="58"/>
      <c r="P2353" s="16"/>
      <c r="Q2353" s="20">
        <f t="shared" si="403"/>
        <v>0</v>
      </c>
      <c r="R2353" s="14" t="e">
        <v>#N/A</v>
      </c>
      <c r="S2353" s="19" t="e">
        <f t="shared" si="404"/>
        <v>#N/A</v>
      </c>
      <c r="T2353" s="16"/>
      <c r="U2353" s="17" t="s">
        <v>104</v>
      </c>
      <c r="V2353" s="17" t="s">
        <v>56</v>
      </c>
      <c r="W2353" s="5"/>
      <c r="X2353" s="16"/>
      <c r="Y2353" s="5">
        <v>54</v>
      </c>
      <c r="Z2353" s="16"/>
      <c r="AA2353" s="16"/>
      <c r="AB2353" s="16">
        <f>62-47</f>
        <v>15</v>
      </c>
      <c r="AE2353" s="16"/>
      <c r="AG2353" s="22">
        <f t="shared" si="408"/>
        <v>54</v>
      </c>
      <c r="AH2353" s="6"/>
      <c r="AJ2353" s="20">
        <f t="shared" si="405"/>
        <v>0</v>
      </c>
      <c r="AK2353" s="50">
        <v>15</v>
      </c>
      <c r="AL2353" s="6"/>
      <c r="AM2353" s="20">
        <f t="shared" si="406"/>
        <v>0</v>
      </c>
      <c r="AN2353" s="20" t="e">
        <f t="shared" si="409"/>
        <v>#N/A</v>
      </c>
      <c r="AP2353" s="20" t="e">
        <f t="shared" si="407"/>
        <v>#N/A</v>
      </c>
      <c r="AQ2353" s="7"/>
      <c r="AR2353" s="20"/>
      <c r="AS2353" s="51"/>
    </row>
    <row r="2354" spans="1:45" s="21" customFormat="1" ht="30" customHeight="1" x14ac:dyDescent="0.2">
      <c r="A2354" s="8">
        <v>2014</v>
      </c>
      <c r="B2354" s="46">
        <v>1</v>
      </c>
      <c r="C2354" s="16" t="s">
        <v>52</v>
      </c>
      <c r="D2354" s="48">
        <v>2189</v>
      </c>
      <c r="E2354" s="47">
        <v>63</v>
      </c>
      <c r="F2354" s="48">
        <v>1802</v>
      </c>
      <c r="G2354" s="49">
        <v>3</v>
      </c>
      <c r="H2354" s="48">
        <v>0</v>
      </c>
      <c r="I2354" s="48">
        <v>0</v>
      </c>
      <c r="J2354" s="48">
        <v>91</v>
      </c>
      <c r="K2354" s="3"/>
      <c r="L2354" s="16"/>
      <c r="M2354" s="57"/>
      <c r="N2354" s="58"/>
      <c r="P2354" s="16">
        <v>2</v>
      </c>
      <c r="Q2354" s="20">
        <f t="shared" si="403"/>
        <v>91</v>
      </c>
      <c r="R2354" s="14">
        <v>250</v>
      </c>
      <c r="S2354" s="19">
        <f t="shared" si="404"/>
        <v>22750</v>
      </c>
      <c r="T2354" s="16"/>
      <c r="U2354" s="17" t="s">
        <v>57</v>
      </c>
      <c r="V2354" s="17" t="s">
        <v>56</v>
      </c>
      <c r="W2354" s="5"/>
      <c r="X2354" s="16"/>
      <c r="Y2354" s="5">
        <v>160</v>
      </c>
      <c r="Z2354" s="16"/>
      <c r="AA2354" s="16"/>
      <c r="AB2354" s="16">
        <f>62-47</f>
        <v>15</v>
      </c>
      <c r="AE2354" s="16"/>
      <c r="AG2354" s="22">
        <f t="shared" si="408"/>
        <v>160</v>
      </c>
      <c r="AH2354" s="6"/>
      <c r="AJ2354" s="20">
        <f t="shared" si="405"/>
        <v>0</v>
      </c>
      <c r="AK2354" s="50">
        <v>15</v>
      </c>
      <c r="AL2354" s="6"/>
      <c r="AM2354" s="20">
        <f t="shared" si="406"/>
        <v>0</v>
      </c>
      <c r="AN2354" s="20">
        <f t="shared" si="409"/>
        <v>22750</v>
      </c>
      <c r="AP2354" s="20">
        <f t="shared" si="407"/>
        <v>22750</v>
      </c>
      <c r="AQ2354" s="7"/>
      <c r="AR2354" s="20"/>
      <c r="AS2354" s="51">
        <v>14</v>
      </c>
    </row>
    <row r="2355" spans="1:45" s="21" customFormat="1" ht="30" customHeight="1" x14ac:dyDescent="0.2">
      <c r="A2355" s="8">
        <v>2015</v>
      </c>
      <c r="B2355" s="46">
        <v>1</v>
      </c>
      <c r="C2355" s="16" t="s">
        <v>52</v>
      </c>
      <c r="D2355" s="48">
        <v>2608</v>
      </c>
      <c r="E2355" s="47">
        <v>18</v>
      </c>
      <c r="F2355" s="48">
        <v>1864</v>
      </c>
      <c r="G2355" s="49">
        <v>1</v>
      </c>
      <c r="H2355" s="48">
        <v>0</v>
      </c>
      <c r="I2355" s="48">
        <v>3</v>
      </c>
      <c r="J2355" s="48">
        <v>14</v>
      </c>
      <c r="K2355" s="3">
        <v>314</v>
      </c>
      <c r="L2355" s="16"/>
      <c r="M2355" s="57"/>
      <c r="N2355" s="58"/>
      <c r="P2355" s="16">
        <v>1</v>
      </c>
      <c r="Q2355" s="20">
        <f t="shared" si="403"/>
        <v>314</v>
      </c>
      <c r="R2355" s="14">
        <v>250</v>
      </c>
      <c r="S2355" s="20">
        <f t="shared" si="404"/>
        <v>78500</v>
      </c>
      <c r="T2355" s="16"/>
      <c r="U2355" s="17"/>
      <c r="V2355" s="17"/>
      <c r="W2355" s="5"/>
      <c r="X2355" s="16"/>
      <c r="Y2355" s="5"/>
      <c r="Z2355" s="16"/>
      <c r="AA2355" s="16"/>
      <c r="AB2355" s="16"/>
      <c r="AE2355" s="16"/>
      <c r="AG2355" s="22">
        <f t="shared" si="408"/>
        <v>0</v>
      </c>
      <c r="AH2355" s="6"/>
      <c r="AJ2355" s="20">
        <f t="shared" si="405"/>
        <v>0</v>
      </c>
      <c r="AK2355" s="50"/>
      <c r="AL2355" s="6"/>
      <c r="AM2355" s="20">
        <f t="shared" si="406"/>
        <v>0</v>
      </c>
      <c r="AN2355" s="20">
        <f t="shared" si="409"/>
        <v>78500</v>
      </c>
      <c r="AP2355" s="20">
        <f t="shared" si="407"/>
        <v>78500</v>
      </c>
      <c r="AQ2355" s="7"/>
      <c r="AR2355" s="20"/>
      <c r="AS2355" s="51"/>
    </row>
    <row r="2356" spans="1:45" s="21" customFormat="1" ht="30" customHeight="1" x14ac:dyDescent="0.2">
      <c r="A2356" s="8">
        <v>2016</v>
      </c>
      <c r="B2356" s="46">
        <v>1</v>
      </c>
      <c r="C2356" s="16" t="s">
        <v>52</v>
      </c>
      <c r="D2356" s="48">
        <v>35718</v>
      </c>
      <c r="E2356" s="47">
        <v>374</v>
      </c>
      <c r="F2356" s="48">
        <v>7063</v>
      </c>
      <c r="G2356" s="49">
        <v>1</v>
      </c>
      <c r="H2356" s="48">
        <v>3</v>
      </c>
      <c r="I2356" s="48">
        <v>0</v>
      </c>
      <c r="J2356" s="48">
        <v>3.03</v>
      </c>
      <c r="K2356" s="3">
        <v>1203.03</v>
      </c>
      <c r="L2356" s="16"/>
      <c r="M2356" s="57"/>
      <c r="N2356" s="58"/>
      <c r="P2356" s="16">
        <v>1</v>
      </c>
      <c r="Q2356" s="20">
        <f t="shared" si="403"/>
        <v>1203.03</v>
      </c>
      <c r="R2356" s="14">
        <v>160</v>
      </c>
      <c r="S2356" s="19">
        <f t="shared" si="404"/>
        <v>192484.8</v>
      </c>
      <c r="T2356" s="16"/>
      <c r="U2356" s="17"/>
      <c r="V2356" s="17"/>
      <c r="W2356" s="5"/>
      <c r="X2356" s="16"/>
      <c r="Y2356" s="5"/>
      <c r="Z2356" s="16"/>
      <c r="AA2356" s="16"/>
      <c r="AB2356" s="16"/>
      <c r="AE2356" s="16"/>
      <c r="AG2356" s="22">
        <f t="shared" si="408"/>
        <v>0</v>
      </c>
      <c r="AH2356" s="6"/>
      <c r="AJ2356" s="20">
        <f t="shared" si="405"/>
        <v>0</v>
      </c>
      <c r="AK2356" s="50"/>
      <c r="AL2356" s="6"/>
      <c r="AM2356" s="20">
        <f t="shared" si="406"/>
        <v>0</v>
      </c>
      <c r="AN2356" s="20">
        <f t="shared" si="409"/>
        <v>192484.8</v>
      </c>
      <c r="AP2356" s="20">
        <f t="shared" si="407"/>
        <v>192484.8</v>
      </c>
      <c r="AQ2356" s="7"/>
      <c r="AR2356" s="20"/>
      <c r="AS2356" s="51"/>
    </row>
    <row r="2357" spans="1:45" s="21" customFormat="1" ht="30" customHeight="1" x14ac:dyDescent="0.2">
      <c r="A2357" s="8">
        <v>2017</v>
      </c>
      <c r="B2357" s="46">
        <v>1</v>
      </c>
      <c r="C2357" s="16" t="s">
        <v>52</v>
      </c>
      <c r="D2357" s="48">
        <v>35719</v>
      </c>
      <c r="E2357" s="47">
        <v>375</v>
      </c>
      <c r="F2357" s="48">
        <v>7064</v>
      </c>
      <c r="G2357" s="49">
        <v>1</v>
      </c>
      <c r="H2357" s="48">
        <v>1</v>
      </c>
      <c r="I2357" s="48">
        <v>0</v>
      </c>
      <c r="J2357" s="48">
        <v>61.03</v>
      </c>
      <c r="K2357" s="3">
        <v>461.03</v>
      </c>
      <c r="L2357" s="16"/>
      <c r="M2357" s="57"/>
      <c r="N2357" s="58"/>
      <c r="P2357" s="16">
        <v>1</v>
      </c>
      <c r="Q2357" s="20">
        <f t="shared" si="403"/>
        <v>461.03</v>
      </c>
      <c r="R2357" s="14">
        <v>160</v>
      </c>
      <c r="S2357" s="19">
        <f t="shared" si="404"/>
        <v>73764.799999999988</v>
      </c>
      <c r="T2357" s="16"/>
      <c r="U2357" s="17"/>
      <c r="V2357" s="17"/>
      <c r="W2357" s="5"/>
      <c r="X2357" s="16"/>
      <c r="Y2357" s="5"/>
      <c r="Z2357" s="16"/>
      <c r="AA2357" s="16"/>
      <c r="AB2357" s="16"/>
      <c r="AE2357" s="16"/>
      <c r="AG2357" s="22">
        <f t="shared" si="408"/>
        <v>0</v>
      </c>
      <c r="AH2357" s="6"/>
      <c r="AJ2357" s="20">
        <f t="shared" si="405"/>
        <v>0</v>
      </c>
      <c r="AK2357" s="50"/>
      <c r="AL2357" s="6"/>
      <c r="AM2357" s="20">
        <f t="shared" si="406"/>
        <v>0</v>
      </c>
      <c r="AN2357" s="20">
        <f t="shared" si="409"/>
        <v>73764.799999999988</v>
      </c>
      <c r="AP2357" s="20">
        <f t="shared" si="407"/>
        <v>73764.799999999988</v>
      </c>
      <c r="AQ2357" s="7"/>
      <c r="AR2357" s="20"/>
      <c r="AS2357" s="51"/>
    </row>
    <row r="2358" spans="1:45" s="21" customFormat="1" ht="30" customHeight="1" x14ac:dyDescent="0.2">
      <c r="A2358" s="8">
        <v>2018</v>
      </c>
      <c r="B2358" s="46">
        <v>1</v>
      </c>
      <c r="C2358" s="16" t="s">
        <v>52</v>
      </c>
      <c r="D2358" s="48">
        <v>838</v>
      </c>
      <c r="E2358" s="47">
        <v>49</v>
      </c>
      <c r="F2358" s="48">
        <v>127</v>
      </c>
      <c r="G2358" s="49">
        <v>1</v>
      </c>
      <c r="H2358" s="48">
        <v>0</v>
      </c>
      <c r="I2358" s="48">
        <v>1</v>
      </c>
      <c r="J2358" s="48">
        <v>21</v>
      </c>
      <c r="K2358" s="3"/>
      <c r="L2358" s="16">
        <v>121</v>
      </c>
      <c r="M2358" s="57"/>
      <c r="N2358" s="58"/>
      <c r="P2358" s="16">
        <v>2</v>
      </c>
      <c r="Q2358" s="20">
        <f t="shared" si="403"/>
        <v>121</v>
      </c>
      <c r="R2358" s="14">
        <v>160</v>
      </c>
      <c r="S2358" s="20">
        <f t="shared" si="404"/>
        <v>19360</v>
      </c>
      <c r="T2358" s="16"/>
      <c r="U2358" s="17" t="s">
        <v>57</v>
      </c>
      <c r="V2358" s="17" t="s">
        <v>56</v>
      </c>
      <c r="W2358" s="5"/>
      <c r="X2358" s="16"/>
      <c r="Y2358" s="5">
        <v>300</v>
      </c>
      <c r="Z2358" s="16"/>
      <c r="AA2358" s="16"/>
      <c r="AB2358" s="16">
        <f>62-41</f>
        <v>21</v>
      </c>
      <c r="AE2358" s="16"/>
      <c r="AF2358" s="21">
        <v>2</v>
      </c>
      <c r="AG2358" s="22">
        <f t="shared" si="408"/>
        <v>300</v>
      </c>
      <c r="AH2358" s="6"/>
      <c r="AJ2358" s="20">
        <f t="shared" si="405"/>
        <v>0</v>
      </c>
      <c r="AK2358" s="50">
        <v>21</v>
      </c>
      <c r="AL2358" s="6"/>
      <c r="AM2358" s="20">
        <f t="shared" si="406"/>
        <v>0</v>
      </c>
      <c r="AN2358" s="20">
        <f t="shared" si="409"/>
        <v>19360</v>
      </c>
      <c r="AP2358" s="20">
        <f t="shared" si="407"/>
        <v>19360</v>
      </c>
      <c r="AQ2358" s="7"/>
      <c r="AR2358" s="60">
        <v>78</v>
      </c>
      <c r="AS2358" s="96">
        <f>78+2250</f>
        <v>2328</v>
      </c>
    </row>
    <row r="2359" spans="1:45" s="21" customFormat="1" ht="30" customHeight="1" x14ac:dyDescent="0.2">
      <c r="A2359" s="8">
        <v>2019</v>
      </c>
      <c r="B2359" s="46">
        <v>2</v>
      </c>
      <c r="C2359" s="16" t="s">
        <v>52</v>
      </c>
      <c r="D2359" s="48">
        <v>986</v>
      </c>
      <c r="E2359" s="47">
        <v>31</v>
      </c>
      <c r="F2359" s="48">
        <v>232</v>
      </c>
      <c r="G2359" s="49">
        <v>1</v>
      </c>
      <c r="H2359" s="48">
        <v>14</v>
      </c>
      <c r="I2359" s="48">
        <v>0</v>
      </c>
      <c r="J2359" s="48">
        <v>45</v>
      </c>
      <c r="K2359" s="3">
        <f>14*400+45</f>
        <v>5645</v>
      </c>
      <c r="L2359" s="16"/>
      <c r="M2359" s="57"/>
      <c r="N2359" s="58"/>
      <c r="P2359" s="16">
        <v>1</v>
      </c>
      <c r="Q2359" s="20">
        <f t="shared" si="403"/>
        <v>5645</v>
      </c>
      <c r="R2359" s="14">
        <v>200</v>
      </c>
      <c r="S2359" s="19">
        <f t="shared" si="404"/>
        <v>1129000</v>
      </c>
      <c r="T2359" s="16"/>
      <c r="U2359" s="17"/>
      <c r="V2359" s="17"/>
      <c r="W2359" s="5"/>
      <c r="X2359" s="16"/>
      <c r="Y2359" s="5"/>
      <c r="Z2359" s="16"/>
      <c r="AA2359" s="16"/>
      <c r="AB2359" s="16"/>
      <c r="AE2359" s="16"/>
      <c r="AG2359" s="22">
        <f t="shared" si="408"/>
        <v>0</v>
      </c>
      <c r="AH2359" s="6"/>
      <c r="AJ2359" s="20">
        <f t="shared" si="405"/>
        <v>0</v>
      </c>
      <c r="AK2359" s="50"/>
      <c r="AL2359" s="6"/>
      <c r="AM2359" s="20">
        <f t="shared" si="406"/>
        <v>0</v>
      </c>
      <c r="AN2359" s="20">
        <f t="shared" si="409"/>
        <v>1129000</v>
      </c>
      <c r="AP2359" s="20">
        <f t="shared" si="407"/>
        <v>1129000</v>
      </c>
      <c r="AQ2359" s="7"/>
      <c r="AR2359" s="24">
        <v>2250</v>
      </c>
      <c r="AS2359" s="97"/>
    </row>
    <row r="2360" spans="1:45" s="21" customFormat="1" ht="30" customHeight="1" x14ac:dyDescent="0.2">
      <c r="A2360" s="131">
        <v>2020</v>
      </c>
      <c r="B2360" s="46">
        <v>3</v>
      </c>
      <c r="C2360" s="16" t="s">
        <v>52</v>
      </c>
      <c r="D2360" s="48">
        <v>2924</v>
      </c>
      <c r="E2360" s="47">
        <v>142</v>
      </c>
      <c r="F2360" s="48">
        <v>1923</v>
      </c>
      <c r="G2360" s="49">
        <v>1</v>
      </c>
      <c r="H2360" s="48">
        <v>1</v>
      </c>
      <c r="I2360" s="48">
        <v>0</v>
      </c>
      <c r="J2360" s="48">
        <v>47</v>
      </c>
      <c r="K2360" s="3"/>
      <c r="L2360" s="16"/>
      <c r="M2360" s="57"/>
      <c r="N2360" s="58"/>
      <c r="O2360" s="21">
        <v>447</v>
      </c>
      <c r="P2360" s="16">
        <v>5</v>
      </c>
      <c r="Q2360" s="20">
        <f t="shared" si="403"/>
        <v>447</v>
      </c>
      <c r="R2360" s="14">
        <v>3000</v>
      </c>
      <c r="S2360" s="19">
        <f t="shared" si="404"/>
        <v>1341000</v>
      </c>
      <c r="T2360" s="16">
        <v>1</v>
      </c>
      <c r="U2360" s="17" t="s">
        <v>63</v>
      </c>
      <c r="V2360" s="17" t="s">
        <v>56</v>
      </c>
      <c r="W2360" s="5"/>
      <c r="X2360" s="16"/>
      <c r="Y2360" s="5">
        <v>176</v>
      </c>
      <c r="Z2360" s="16"/>
      <c r="AA2360" s="16"/>
      <c r="AB2360" s="16">
        <f>62-48</f>
        <v>14</v>
      </c>
      <c r="AE2360" s="16"/>
      <c r="AG2360" s="22">
        <f t="shared" si="408"/>
        <v>176</v>
      </c>
      <c r="AH2360" s="6"/>
      <c r="AJ2360" s="20">
        <f t="shared" si="405"/>
        <v>0</v>
      </c>
      <c r="AK2360" s="50">
        <v>14</v>
      </c>
      <c r="AL2360" s="6">
        <v>0.18</v>
      </c>
      <c r="AM2360" s="20">
        <f t="shared" si="406"/>
        <v>0</v>
      </c>
      <c r="AN2360" s="20">
        <f>+(S2360*21.33)+AM2360</f>
        <v>28603529.999999996</v>
      </c>
      <c r="AP2360" s="20">
        <f t="shared" si="407"/>
        <v>28603529.999999996</v>
      </c>
      <c r="AQ2360" s="7"/>
      <c r="AR2360" s="24"/>
      <c r="AS2360" s="97"/>
    </row>
    <row r="2361" spans="1:45" s="21" customFormat="1" ht="30" customHeight="1" x14ac:dyDescent="0.2">
      <c r="A2361" s="131"/>
      <c r="B2361" s="46"/>
      <c r="C2361" s="16"/>
      <c r="D2361" s="48"/>
      <c r="E2361" s="47"/>
      <c r="F2361" s="48"/>
      <c r="G2361" s="49"/>
      <c r="H2361" s="48"/>
      <c r="I2361" s="48"/>
      <c r="J2361" s="48"/>
      <c r="K2361" s="3"/>
      <c r="L2361" s="16"/>
      <c r="M2361" s="57"/>
      <c r="N2361" s="58"/>
      <c r="P2361" s="16"/>
      <c r="Q2361" s="20"/>
      <c r="R2361" s="14"/>
      <c r="S2361" s="20"/>
      <c r="T2361" s="16">
        <v>2</v>
      </c>
      <c r="U2361" s="17" t="s">
        <v>63</v>
      </c>
      <c r="V2361" s="17" t="s">
        <v>56</v>
      </c>
      <c r="W2361" s="5"/>
      <c r="X2361" s="16"/>
      <c r="Y2361" s="5">
        <v>160</v>
      </c>
      <c r="Z2361" s="16"/>
      <c r="AA2361" s="16"/>
      <c r="AB2361" s="16">
        <f>62-44</f>
        <v>18</v>
      </c>
      <c r="AE2361" s="16"/>
      <c r="AF2361" s="21">
        <v>2</v>
      </c>
      <c r="AG2361" s="22">
        <f t="shared" si="408"/>
        <v>160</v>
      </c>
      <c r="AH2361" s="6">
        <v>1</v>
      </c>
      <c r="AJ2361" s="20">
        <f t="shared" si="405"/>
        <v>0</v>
      </c>
      <c r="AK2361" s="50">
        <v>18</v>
      </c>
      <c r="AL2361" s="6">
        <v>0.26</v>
      </c>
      <c r="AM2361" s="20">
        <f t="shared" si="406"/>
        <v>0</v>
      </c>
      <c r="AN2361" s="20">
        <f>+(S2360*0.19)+AM2361</f>
        <v>254790</v>
      </c>
      <c r="AP2361" s="20">
        <f t="shared" si="407"/>
        <v>254790</v>
      </c>
      <c r="AQ2361" s="7"/>
      <c r="AR2361" s="24"/>
      <c r="AS2361" s="97"/>
    </row>
    <row r="2362" spans="1:45" s="21" customFormat="1" ht="30" customHeight="1" x14ac:dyDescent="0.2">
      <c r="A2362" s="131"/>
      <c r="B2362" s="46"/>
      <c r="C2362" s="16"/>
      <c r="D2362" s="48"/>
      <c r="E2362" s="47"/>
      <c r="F2362" s="48"/>
      <c r="G2362" s="49"/>
      <c r="H2362" s="48"/>
      <c r="I2362" s="48"/>
      <c r="J2362" s="48"/>
      <c r="K2362" s="3"/>
      <c r="L2362" s="16"/>
      <c r="M2362" s="57"/>
      <c r="N2362" s="58"/>
      <c r="P2362" s="16"/>
      <c r="Q2362" s="20"/>
      <c r="R2362" s="14"/>
      <c r="S2362" s="19"/>
      <c r="T2362" s="16">
        <v>3</v>
      </c>
      <c r="U2362" s="17" t="s">
        <v>174</v>
      </c>
      <c r="V2362" s="17" t="s">
        <v>56</v>
      </c>
      <c r="W2362" s="5"/>
      <c r="X2362" s="16"/>
      <c r="Y2362" s="5">
        <v>147.25</v>
      </c>
      <c r="Z2362" s="16"/>
      <c r="AA2362" s="16"/>
      <c r="AB2362" s="16">
        <f>62-55</f>
        <v>7</v>
      </c>
      <c r="AE2362" s="16"/>
      <c r="AF2362" s="21">
        <v>2</v>
      </c>
      <c r="AG2362" s="22">
        <f t="shared" si="408"/>
        <v>147.25</v>
      </c>
      <c r="AH2362" s="6">
        <v>1</v>
      </c>
      <c r="AJ2362" s="20">
        <f t="shared" si="405"/>
        <v>0</v>
      </c>
      <c r="AK2362" s="50">
        <v>7</v>
      </c>
      <c r="AL2362" s="6">
        <v>7.0000000000000007E-2</v>
      </c>
      <c r="AM2362" s="20">
        <f t="shared" si="406"/>
        <v>0</v>
      </c>
      <c r="AN2362" s="20">
        <f>+(S2360*0.18)+AM2362</f>
        <v>241380</v>
      </c>
      <c r="AP2362" s="20">
        <f t="shared" si="407"/>
        <v>241380</v>
      </c>
      <c r="AQ2362" s="7"/>
      <c r="AR2362" s="24"/>
      <c r="AS2362" s="97"/>
    </row>
    <row r="2363" spans="1:45" s="21" customFormat="1" ht="30" customHeight="1" x14ac:dyDescent="0.2">
      <c r="A2363" s="131"/>
      <c r="B2363" s="46"/>
      <c r="C2363" s="16"/>
      <c r="D2363" s="48"/>
      <c r="E2363" s="47"/>
      <c r="F2363" s="48"/>
      <c r="G2363" s="49"/>
      <c r="H2363" s="48"/>
      <c r="I2363" s="48"/>
      <c r="J2363" s="48"/>
      <c r="K2363" s="3"/>
      <c r="L2363" s="16"/>
      <c r="M2363" s="57"/>
      <c r="N2363" s="58"/>
      <c r="P2363" s="16"/>
      <c r="Q2363" s="20"/>
      <c r="R2363" s="14"/>
      <c r="S2363" s="19"/>
      <c r="T2363" s="16">
        <v>4</v>
      </c>
      <c r="U2363" s="17" t="s">
        <v>104</v>
      </c>
      <c r="V2363" s="17" t="s">
        <v>56</v>
      </c>
      <c r="W2363" s="5"/>
      <c r="X2363" s="16"/>
      <c r="Y2363" s="5">
        <v>80</v>
      </c>
      <c r="Z2363" s="16"/>
      <c r="AA2363" s="16"/>
      <c r="AB2363" s="16">
        <f>62-44</f>
        <v>18</v>
      </c>
      <c r="AE2363" s="16"/>
      <c r="AF2363" s="21">
        <v>2</v>
      </c>
      <c r="AG2363" s="22">
        <f t="shared" si="408"/>
        <v>80</v>
      </c>
      <c r="AH2363" s="6">
        <v>1</v>
      </c>
      <c r="AJ2363" s="20">
        <f t="shared" si="405"/>
        <v>0</v>
      </c>
      <c r="AK2363" s="50">
        <v>18</v>
      </c>
      <c r="AL2363" s="6">
        <v>0.26</v>
      </c>
      <c r="AM2363" s="20">
        <f t="shared" si="406"/>
        <v>0</v>
      </c>
      <c r="AN2363" s="20">
        <f>+(S2360*0.1)+AM2363</f>
        <v>134100</v>
      </c>
      <c r="AP2363" s="20">
        <f t="shared" si="407"/>
        <v>134100</v>
      </c>
      <c r="AQ2363" s="7"/>
      <c r="AR2363" s="24"/>
      <c r="AS2363" s="97"/>
    </row>
    <row r="2364" spans="1:45" s="21" customFormat="1" ht="30" customHeight="1" x14ac:dyDescent="0.2">
      <c r="A2364" s="131"/>
      <c r="B2364" s="46"/>
      <c r="C2364" s="16"/>
      <c r="D2364" s="48"/>
      <c r="E2364" s="47"/>
      <c r="F2364" s="48"/>
      <c r="G2364" s="49"/>
      <c r="H2364" s="48"/>
      <c r="I2364" s="48"/>
      <c r="J2364" s="48"/>
      <c r="K2364" s="3"/>
      <c r="L2364" s="16"/>
      <c r="M2364" s="57"/>
      <c r="N2364" s="58"/>
      <c r="P2364" s="16"/>
      <c r="Q2364" s="20"/>
      <c r="R2364" s="14"/>
      <c r="S2364" s="20"/>
      <c r="T2364" s="16">
        <v>5</v>
      </c>
      <c r="U2364" s="17" t="s">
        <v>63</v>
      </c>
      <c r="V2364" s="17" t="s">
        <v>56</v>
      </c>
      <c r="W2364" s="5">
        <v>64</v>
      </c>
      <c r="X2364" s="16"/>
      <c r="Y2364" s="5">
        <v>27</v>
      </c>
      <c r="Z2364" s="16"/>
      <c r="AA2364" s="16"/>
      <c r="AB2364" s="16">
        <f>62-44</f>
        <v>18</v>
      </c>
      <c r="AE2364" s="16" t="s">
        <v>200</v>
      </c>
      <c r="AF2364" s="21">
        <v>2</v>
      </c>
      <c r="AG2364" s="22">
        <f t="shared" si="408"/>
        <v>27</v>
      </c>
      <c r="AH2364" s="6">
        <v>0.42</v>
      </c>
      <c r="AI2364" s="21">
        <v>8100</v>
      </c>
      <c r="AJ2364" s="20">
        <f t="shared" si="405"/>
        <v>91854</v>
      </c>
      <c r="AK2364" s="50">
        <v>18</v>
      </c>
      <c r="AL2364" s="6">
        <v>0.26</v>
      </c>
      <c r="AM2364" s="20">
        <f>+AJ2364-(AL2364*AJ2364)</f>
        <v>67971.959999999992</v>
      </c>
      <c r="AN2364" s="20">
        <f>+((S2360*0.8)*0.42)+AM2364</f>
        <v>518547.95999999996</v>
      </c>
      <c r="AP2364" s="20">
        <f t="shared" si="407"/>
        <v>518547.95999999996</v>
      </c>
      <c r="AQ2364" s="7">
        <v>2.0000000000000001E-4</v>
      </c>
      <c r="AR2364" s="24"/>
      <c r="AS2364" s="97"/>
    </row>
    <row r="2365" spans="1:45" s="21" customFormat="1" ht="30" customHeight="1" x14ac:dyDescent="0.2">
      <c r="A2365" s="131"/>
      <c r="B2365" s="46"/>
      <c r="C2365" s="16"/>
      <c r="D2365" s="48"/>
      <c r="E2365" s="47"/>
      <c r="F2365" s="48"/>
      <c r="G2365" s="49"/>
      <c r="H2365" s="48"/>
      <c r="I2365" s="48"/>
      <c r="J2365" s="48"/>
      <c r="K2365" s="3"/>
      <c r="L2365" s="16"/>
      <c r="M2365" s="57"/>
      <c r="N2365" s="58"/>
      <c r="P2365" s="16"/>
      <c r="Q2365" s="20"/>
      <c r="R2365" s="14"/>
      <c r="S2365" s="20"/>
      <c r="T2365" s="16"/>
      <c r="U2365" s="17"/>
      <c r="V2365" s="17"/>
      <c r="W2365" s="5"/>
      <c r="X2365" s="16"/>
      <c r="Y2365" s="5"/>
      <c r="Z2365" s="16">
        <v>37</v>
      </c>
      <c r="AA2365" s="16"/>
      <c r="AB2365" s="16"/>
      <c r="AE2365" s="16">
        <f>64/825</f>
        <v>7.7575757575757576E-2</v>
      </c>
      <c r="AF2365" s="21">
        <v>3</v>
      </c>
      <c r="AG2365" s="22">
        <v>64</v>
      </c>
      <c r="AH2365" s="6">
        <v>0.57999999999999996</v>
      </c>
      <c r="AI2365" s="21">
        <v>8100</v>
      </c>
      <c r="AJ2365" s="20">
        <f t="shared" si="405"/>
        <v>300672</v>
      </c>
      <c r="AK2365" s="50">
        <v>18</v>
      </c>
      <c r="AL2365" s="6">
        <v>0.26</v>
      </c>
      <c r="AM2365" s="20">
        <f t="shared" si="406"/>
        <v>222497.28</v>
      </c>
      <c r="AN2365" s="20">
        <f>+((S2360*0.08)*0.58)+AM2365</f>
        <v>284719.68</v>
      </c>
      <c r="AP2365" s="20">
        <f t="shared" si="407"/>
        <v>284719.68</v>
      </c>
      <c r="AQ2365" s="7">
        <v>3.0000000000000001E-3</v>
      </c>
      <c r="AR2365" s="24"/>
      <c r="AS2365" s="97"/>
    </row>
    <row r="2366" spans="1:45" s="21" customFormat="1" ht="30" customHeight="1" x14ac:dyDescent="0.2">
      <c r="A2366" s="131"/>
      <c r="B2366" s="46"/>
      <c r="C2366" s="16"/>
      <c r="D2366" s="48"/>
      <c r="E2366" s="47"/>
      <c r="F2366" s="48"/>
      <c r="G2366" s="49"/>
      <c r="H2366" s="48"/>
      <c r="I2366" s="48"/>
      <c r="J2366" s="48"/>
      <c r="K2366" s="3"/>
      <c r="L2366" s="16"/>
      <c r="M2366" s="57"/>
      <c r="N2366" s="58"/>
      <c r="P2366" s="16"/>
      <c r="Q2366" s="20"/>
      <c r="R2366" s="14"/>
      <c r="S2366" s="19"/>
      <c r="T2366" s="16">
        <v>6</v>
      </c>
      <c r="U2366" s="17" t="s">
        <v>63</v>
      </c>
      <c r="V2366" s="17" t="s">
        <v>56</v>
      </c>
      <c r="W2366" s="5"/>
      <c r="X2366" s="16"/>
      <c r="Y2366" s="5">
        <v>88</v>
      </c>
      <c r="Z2366" s="16"/>
      <c r="AA2366" s="16"/>
      <c r="AB2366" s="16">
        <f>62-44</f>
        <v>18</v>
      </c>
      <c r="AE2366" s="16">
        <f>176+160+147.25+80+64+88+109.75</f>
        <v>825</v>
      </c>
      <c r="AF2366" s="21">
        <v>2</v>
      </c>
      <c r="AG2366" s="22">
        <f t="shared" si="408"/>
        <v>88</v>
      </c>
      <c r="AH2366" s="6">
        <v>1</v>
      </c>
      <c r="AJ2366" s="20">
        <f t="shared" si="405"/>
        <v>0</v>
      </c>
      <c r="AK2366" s="50">
        <v>18</v>
      </c>
      <c r="AL2366" s="6">
        <v>0.26</v>
      </c>
      <c r="AM2366" s="20">
        <f t="shared" si="406"/>
        <v>0</v>
      </c>
      <c r="AN2366" s="20">
        <f>+S2366+AM2366</f>
        <v>0</v>
      </c>
      <c r="AP2366" s="20">
        <f t="shared" si="407"/>
        <v>0</v>
      </c>
      <c r="AQ2366" s="7"/>
      <c r="AR2366" s="24"/>
      <c r="AS2366" s="97"/>
    </row>
    <row r="2367" spans="1:45" s="21" customFormat="1" ht="30" customHeight="1" x14ac:dyDescent="0.2">
      <c r="A2367" s="8"/>
      <c r="B2367" s="46"/>
      <c r="C2367" s="16"/>
      <c r="D2367" s="48"/>
      <c r="E2367" s="47"/>
      <c r="F2367" s="48"/>
      <c r="G2367" s="49"/>
      <c r="H2367" s="48"/>
      <c r="I2367" s="48"/>
      <c r="J2367" s="48"/>
      <c r="K2367" s="3"/>
      <c r="L2367" s="16"/>
      <c r="M2367" s="57"/>
      <c r="N2367" s="58"/>
      <c r="P2367" s="16"/>
      <c r="Q2367" s="20"/>
      <c r="R2367" s="14"/>
      <c r="S2367" s="19"/>
      <c r="T2367" s="16">
        <v>7</v>
      </c>
      <c r="U2367" s="17" t="s">
        <v>57</v>
      </c>
      <c r="V2367" s="17" t="s">
        <v>56</v>
      </c>
      <c r="W2367" s="5">
        <v>109.75</v>
      </c>
      <c r="X2367" s="16"/>
      <c r="Y2367" s="5"/>
      <c r="Z2367" s="16">
        <v>109.75</v>
      </c>
      <c r="AA2367" s="16"/>
      <c r="AB2367" s="16">
        <v>2</v>
      </c>
      <c r="AE2367" s="16">
        <f>76+33.75</f>
        <v>109.75</v>
      </c>
      <c r="AF2367" s="21">
        <v>3</v>
      </c>
      <c r="AG2367" s="22">
        <v>109.75</v>
      </c>
      <c r="AH2367" s="6">
        <v>1</v>
      </c>
      <c r="AI2367" s="21">
        <v>7250</v>
      </c>
      <c r="AJ2367" s="20">
        <f t="shared" si="405"/>
        <v>795687.5</v>
      </c>
      <c r="AK2367" s="50">
        <v>2</v>
      </c>
      <c r="AL2367" s="6">
        <v>0.02</v>
      </c>
      <c r="AM2367" s="20">
        <f t="shared" si="406"/>
        <v>779773.75</v>
      </c>
      <c r="AN2367" s="20">
        <f>+S2367+AM2367</f>
        <v>779773.75</v>
      </c>
      <c r="AP2367" s="20">
        <f t="shared" si="407"/>
        <v>779773.75</v>
      </c>
      <c r="AQ2367" s="7">
        <v>3.0000000000000001E-3</v>
      </c>
      <c r="AR2367" s="24"/>
      <c r="AS2367" s="97"/>
    </row>
    <row r="2368" spans="1:45" ht="30" customHeight="1" x14ac:dyDescent="0.2">
      <c r="A2368" s="2">
        <v>2021</v>
      </c>
      <c r="B2368" s="13">
        <v>4</v>
      </c>
      <c r="C2368" s="16" t="s">
        <v>69</v>
      </c>
      <c r="E2368" s="17">
        <v>2329</v>
      </c>
      <c r="F2368" s="17">
        <v>10</v>
      </c>
      <c r="G2368" s="13">
        <v>1</v>
      </c>
      <c r="H2368" s="17">
        <v>13</v>
      </c>
      <c r="I2368" s="17">
        <v>2</v>
      </c>
      <c r="J2368" s="17">
        <v>36</v>
      </c>
      <c r="K2368" s="10">
        <v>5436</v>
      </c>
      <c r="P2368" s="17">
        <v>1</v>
      </c>
      <c r="Q2368" s="20">
        <f t="shared" si="403"/>
        <v>5436</v>
      </c>
      <c r="R2368" s="14">
        <v>160</v>
      </c>
      <c r="S2368" s="19">
        <f t="shared" si="404"/>
        <v>869760</v>
      </c>
      <c r="AG2368" s="22">
        <f t="shared" si="408"/>
        <v>0</v>
      </c>
      <c r="AJ2368" s="20">
        <f t="shared" si="405"/>
        <v>0</v>
      </c>
      <c r="AM2368" s="20">
        <f t="shared" si="406"/>
        <v>0</v>
      </c>
      <c r="AN2368" s="20">
        <f>+S2368+AM2368</f>
        <v>869760</v>
      </c>
      <c r="AP2368" s="20">
        <f t="shared" si="407"/>
        <v>869760</v>
      </c>
      <c r="AQ2368" s="12">
        <v>1E-4</v>
      </c>
      <c r="AR2368" s="25"/>
      <c r="AS2368" s="98"/>
    </row>
    <row r="2369" spans="1:45" s="21" customFormat="1" ht="30" customHeight="1" x14ac:dyDescent="0.2">
      <c r="A2369" s="8">
        <v>2022</v>
      </c>
      <c r="B2369" s="46">
        <v>1</v>
      </c>
      <c r="C2369" s="16" t="s">
        <v>52</v>
      </c>
      <c r="D2369" s="48">
        <v>32588</v>
      </c>
      <c r="E2369" s="47">
        <v>141</v>
      </c>
      <c r="F2369" s="48">
        <v>6426</v>
      </c>
      <c r="G2369" s="49">
        <v>1</v>
      </c>
      <c r="H2369" s="48">
        <v>0</v>
      </c>
      <c r="I2369" s="48">
        <v>3</v>
      </c>
      <c r="J2369" s="48">
        <v>34</v>
      </c>
      <c r="K2369" s="3">
        <v>334</v>
      </c>
      <c r="L2369" s="16"/>
      <c r="M2369" s="57"/>
      <c r="N2369" s="58"/>
      <c r="P2369" s="16">
        <v>1</v>
      </c>
      <c r="Q2369" s="20">
        <f t="shared" si="403"/>
        <v>334</v>
      </c>
      <c r="R2369" s="14">
        <v>250</v>
      </c>
      <c r="S2369" s="20">
        <f t="shared" si="404"/>
        <v>83500</v>
      </c>
      <c r="T2369" s="16"/>
      <c r="U2369" s="17"/>
      <c r="V2369" s="17"/>
      <c r="W2369" s="5"/>
      <c r="X2369" s="16"/>
      <c r="Y2369" s="5"/>
      <c r="Z2369" s="16"/>
      <c r="AA2369" s="16"/>
      <c r="AB2369" s="16"/>
      <c r="AE2369" s="16"/>
      <c r="AG2369" s="22">
        <f t="shared" si="408"/>
        <v>0</v>
      </c>
      <c r="AH2369" s="6"/>
      <c r="AJ2369" s="20">
        <f t="shared" si="405"/>
        <v>0</v>
      </c>
      <c r="AK2369" s="50"/>
      <c r="AL2369" s="6"/>
      <c r="AM2369" s="20">
        <f t="shared" si="406"/>
        <v>0</v>
      </c>
      <c r="AN2369" s="20">
        <f>+S2369+AM2369</f>
        <v>83500</v>
      </c>
      <c r="AP2369" s="20">
        <f t="shared" si="407"/>
        <v>83500</v>
      </c>
      <c r="AQ2369" s="7"/>
      <c r="AR2369" s="20"/>
      <c r="AS2369" s="51"/>
    </row>
    <row r="2370" spans="1:45" s="21" customFormat="1" ht="30" customHeight="1" x14ac:dyDescent="0.2">
      <c r="A2370" s="8"/>
      <c r="B2370" s="46"/>
      <c r="C2370" s="16"/>
      <c r="D2370" s="48"/>
      <c r="E2370" s="47"/>
      <c r="F2370" s="48"/>
      <c r="G2370" s="49"/>
      <c r="H2370" s="48"/>
      <c r="I2370" s="48"/>
      <c r="J2370" s="48"/>
      <c r="K2370" s="3"/>
      <c r="L2370" s="16"/>
      <c r="M2370" s="57"/>
      <c r="N2370" s="58"/>
      <c r="P2370" s="16"/>
      <c r="Q2370" s="20"/>
      <c r="R2370" s="14"/>
      <c r="S2370" s="20"/>
      <c r="T2370" s="16"/>
      <c r="U2370" s="17"/>
      <c r="V2370" s="17"/>
      <c r="W2370" s="5"/>
      <c r="X2370" s="16"/>
      <c r="Y2370" s="5"/>
      <c r="Z2370" s="16"/>
      <c r="AA2370" s="16"/>
      <c r="AB2370" s="16"/>
      <c r="AE2370" s="16"/>
      <c r="AG2370" s="22"/>
      <c r="AH2370" s="6"/>
      <c r="AJ2370" s="20"/>
      <c r="AK2370" s="50"/>
      <c r="AL2370" s="6"/>
      <c r="AM2370" s="20"/>
      <c r="AN2370" s="20"/>
      <c r="AP2370" s="20"/>
      <c r="AQ2370" s="7"/>
      <c r="AR2370" s="20"/>
      <c r="AS2370" s="51"/>
    </row>
    <row r="2371" spans="1:45" ht="30" customHeight="1" x14ac:dyDescent="0.2">
      <c r="C2371" s="16"/>
      <c r="Q2371" s="20"/>
      <c r="AG2371" s="22"/>
      <c r="AJ2371" s="20"/>
      <c r="AM2371" s="20"/>
      <c r="AN2371" s="20"/>
      <c r="AP2371" s="20"/>
      <c r="AR2371" s="20"/>
    </row>
    <row r="2372" spans="1:45" ht="30" customHeight="1" x14ac:dyDescent="0.2">
      <c r="A2372" s="8"/>
      <c r="C2372" s="16"/>
      <c r="Q2372" s="20"/>
      <c r="AE2372" s="14"/>
      <c r="AG2372" s="22"/>
      <c r="AJ2372" s="20"/>
      <c r="AM2372" s="20"/>
      <c r="AN2372" s="20"/>
      <c r="AP2372" s="20"/>
      <c r="AR2372" s="20"/>
    </row>
    <row r="2373" spans="1:45" s="21" customFormat="1" ht="30" customHeight="1" x14ac:dyDescent="0.2">
      <c r="A2373" s="2">
        <v>2023</v>
      </c>
      <c r="B2373" s="46">
        <v>1</v>
      </c>
      <c r="C2373" s="16" t="s">
        <v>52</v>
      </c>
      <c r="D2373" s="48">
        <v>8351</v>
      </c>
      <c r="E2373" s="47">
        <v>21</v>
      </c>
      <c r="F2373" s="48">
        <v>3141</v>
      </c>
      <c r="G2373" s="49">
        <v>4</v>
      </c>
      <c r="H2373" s="48">
        <v>0</v>
      </c>
      <c r="I2373" s="48">
        <v>1</v>
      </c>
      <c r="J2373" s="48">
        <v>2.0699999999999998</v>
      </c>
      <c r="K2373" s="3"/>
      <c r="L2373" s="16">
        <v>102.07</v>
      </c>
      <c r="M2373" s="57"/>
      <c r="N2373" s="58"/>
      <c r="P2373" s="16">
        <v>2</v>
      </c>
      <c r="Q2373" s="20">
        <f t="shared" si="403"/>
        <v>102.07</v>
      </c>
      <c r="R2373" s="14">
        <v>2000</v>
      </c>
      <c r="S2373" s="20">
        <f t="shared" si="404"/>
        <v>204140</v>
      </c>
      <c r="T2373" s="16"/>
      <c r="U2373" s="17" t="s">
        <v>57</v>
      </c>
      <c r="V2373" s="17" t="s">
        <v>88</v>
      </c>
      <c r="W2373" s="5"/>
      <c r="X2373" s="16"/>
      <c r="Y2373" s="5">
        <v>102.5</v>
      </c>
      <c r="Z2373" s="16"/>
      <c r="AA2373" s="16"/>
      <c r="AB2373" s="16">
        <f>62-37</f>
        <v>25</v>
      </c>
      <c r="AE2373" s="16"/>
      <c r="AG2373" s="22">
        <f t="shared" si="408"/>
        <v>102.5</v>
      </c>
      <c r="AH2373" s="6"/>
      <c r="AJ2373" s="20">
        <f t="shared" si="405"/>
        <v>0</v>
      </c>
      <c r="AK2373" s="50">
        <v>25</v>
      </c>
      <c r="AL2373" s="6"/>
      <c r="AM2373" s="20">
        <f t="shared" si="406"/>
        <v>0</v>
      </c>
      <c r="AN2373" s="20">
        <f t="shared" ref="AN2373:AN2402" si="410">+S2373+AM2373</f>
        <v>204140</v>
      </c>
      <c r="AP2373" s="20">
        <f t="shared" si="407"/>
        <v>204140</v>
      </c>
      <c r="AQ2373" s="7"/>
      <c r="AR2373" s="20"/>
      <c r="AS2373" s="51"/>
    </row>
    <row r="2374" spans="1:45" ht="30" customHeight="1" x14ac:dyDescent="0.2">
      <c r="A2374" s="8"/>
      <c r="C2374" s="16"/>
      <c r="Q2374" s="20"/>
      <c r="AC2374" s="21"/>
      <c r="AD2374" s="21"/>
      <c r="AG2374" s="22"/>
      <c r="AJ2374" s="20"/>
      <c r="AM2374" s="20"/>
      <c r="AN2374" s="20"/>
      <c r="AP2374" s="20"/>
      <c r="AR2374" s="20"/>
    </row>
    <row r="2375" spans="1:45" s="21" customFormat="1" ht="30" customHeight="1" x14ac:dyDescent="0.2">
      <c r="A2375" s="2">
        <v>2024</v>
      </c>
      <c r="B2375" s="46">
        <v>1</v>
      </c>
      <c r="C2375" s="16" t="s">
        <v>52</v>
      </c>
      <c r="D2375" s="48">
        <v>430</v>
      </c>
      <c r="E2375" s="47">
        <v>501</v>
      </c>
      <c r="F2375" s="48">
        <v>27</v>
      </c>
      <c r="G2375" s="49">
        <v>3</v>
      </c>
      <c r="H2375" s="48">
        <v>120</v>
      </c>
      <c r="I2375" s="48">
        <v>1</v>
      </c>
      <c r="J2375" s="48">
        <v>12.09</v>
      </c>
      <c r="K2375" s="3">
        <f>120*400+112.09</f>
        <v>48112.09</v>
      </c>
      <c r="L2375" s="16"/>
      <c r="M2375" s="57"/>
      <c r="N2375" s="58"/>
      <c r="P2375" s="16">
        <v>1</v>
      </c>
      <c r="Q2375" s="20">
        <f t="shared" si="403"/>
        <v>48112.09</v>
      </c>
      <c r="R2375" s="14">
        <v>200</v>
      </c>
      <c r="S2375" s="19">
        <f t="shared" si="404"/>
        <v>9622418</v>
      </c>
      <c r="T2375" s="16"/>
      <c r="U2375" s="17"/>
      <c r="V2375" s="17"/>
      <c r="W2375" s="5"/>
      <c r="X2375" s="16"/>
      <c r="Y2375" s="5"/>
      <c r="Z2375" s="16"/>
      <c r="AA2375" s="16"/>
      <c r="AB2375" s="16"/>
      <c r="AC2375" s="14"/>
      <c r="AD2375" s="14"/>
      <c r="AE2375" s="16"/>
      <c r="AG2375" s="22">
        <f t="shared" si="408"/>
        <v>0</v>
      </c>
      <c r="AH2375" s="6"/>
      <c r="AJ2375" s="20">
        <f t="shared" si="405"/>
        <v>0</v>
      </c>
      <c r="AK2375" s="50"/>
      <c r="AL2375" s="6"/>
      <c r="AM2375" s="20">
        <f t="shared" si="406"/>
        <v>0</v>
      </c>
      <c r="AN2375" s="20">
        <f t="shared" si="410"/>
        <v>9622418</v>
      </c>
      <c r="AP2375" s="20">
        <f t="shared" si="407"/>
        <v>9622418</v>
      </c>
      <c r="AQ2375" s="7"/>
      <c r="AR2375" s="60"/>
      <c r="AS2375" s="128">
        <v>699</v>
      </c>
    </row>
    <row r="2376" spans="1:45" s="21" customFormat="1" ht="30" customHeight="1" x14ac:dyDescent="0.2">
      <c r="A2376" s="8">
        <v>2025</v>
      </c>
      <c r="B2376" s="46">
        <v>2</v>
      </c>
      <c r="C2376" s="16" t="s">
        <v>52</v>
      </c>
      <c r="D2376" s="48">
        <v>17676</v>
      </c>
      <c r="E2376" s="47">
        <v>13</v>
      </c>
      <c r="F2376" s="48">
        <v>3804</v>
      </c>
      <c r="G2376" s="49">
        <v>3</v>
      </c>
      <c r="H2376" s="48">
        <v>2</v>
      </c>
      <c r="I2376" s="48">
        <v>3</v>
      </c>
      <c r="J2376" s="48">
        <v>76</v>
      </c>
      <c r="K2376" s="3">
        <v>1176</v>
      </c>
      <c r="L2376" s="16"/>
      <c r="M2376" s="57"/>
      <c r="N2376" s="58"/>
      <c r="P2376" s="16">
        <v>1</v>
      </c>
      <c r="Q2376" s="20">
        <f t="shared" si="403"/>
        <v>1176</v>
      </c>
      <c r="R2376" s="14">
        <v>200</v>
      </c>
      <c r="S2376" s="20">
        <f t="shared" si="404"/>
        <v>235200</v>
      </c>
      <c r="T2376" s="16"/>
      <c r="U2376" s="17"/>
      <c r="V2376" s="17"/>
      <c r="W2376" s="5"/>
      <c r="X2376" s="16"/>
      <c r="Y2376" s="5"/>
      <c r="Z2376" s="16"/>
      <c r="AA2376" s="16"/>
      <c r="AB2376" s="16"/>
      <c r="AE2376" s="16"/>
      <c r="AG2376" s="22">
        <f t="shared" si="408"/>
        <v>0</v>
      </c>
      <c r="AH2376" s="6"/>
      <c r="AJ2376" s="20">
        <f t="shared" si="405"/>
        <v>0</v>
      </c>
      <c r="AK2376" s="50"/>
      <c r="AL2376" s="6"/>
      <c r="AM2376" s="20">
        <f t="shared" si="406"/>
        <v>0</v>
      </c>
      <c r="AN2376" s="20">
        <f t="shared" si="410"/>
        <v>235200</v>
      </c>
      <c r="AP2376" s="20">
        <f t="shared" si="407"/>
        <v>235200</v>
      </c>
      <c r="AQ2376" s="7"/>
      <c r="AR2376" s="24"/>
      <c r="AS2376" s="129"/>
    </row>
    <row r="2377" spans="1:45" ht="30" customHeight="1" x14ac:dyDescent="0.2">
      <c r="C2377" s="16"/>
      <c r="Q2377" s="20"/>
      <c r="AG2377" s="22"/>
      <c r="AJ2377" s="20"/>
      <c r="AM2377" s="20"/>
      <c r="AN2377" s="20"/>
      <c r="AP2377" s="20"/>
      <c r="AR2377" s="24"/>
      <c r="AS2377" s="129"/>
    </row>
    <row r="2378" spans="1:45" ht="30" customHeight="1" x14ac:dyDescent="0.2">
      <c r="A2378" s="8"/>
      <c r="C2378" s="16"/>
      <c r="Q2378" s="20"/>
      <c r="AG2378" s="22"/>
      <c r="AJ2378" s="20"/>
      <c r="AM2378" s="20"/>
      <c r="AN2378" s="20"/>
      <c r="AP2378" s="20"/>
      <c r="AR2378" s="25"/>
      <c r="AS2378" s="130"/>
    </row>
    <row r="2379" spans="1:45" s="21" customFormat="1" ht="30" customHeight="1" x14ac:dyDescent="0.2">
      <c r="A2379" s="2">
        <v>2026</v>
      </c>
      <c r="B2379" s="46">
        <v>1</v>
      </c>
      <c r="C2379" s="16" t="s">
        <v>52</v>
      </c>
      <c r="D2379" s="48">
        <v>37711</v>
      </c>
      <c r="E2379" s="47">
        <v>5</v>
      </c>
      <c r="F2379" s="48">
        <v>6842</v>
      </c>
      <c r="G2379" s="49">
        <v>2</v>
      </c>
      <c r="H2379" s="48">
        <v>6</v>
      </c>
      <c r="I2379" s="48">
        <v>2</v>
      </c>
      <c r="J2379" s="48">
        <v>71.069999999999993</v>
      </c>
      <c r="K2379" s="3">
        <v>2671.07</v>
      </c>
      <c r="L2379" s="16"/>
      <c r="M2379" s="57"/>
      <c r="N2379" s="58"/>
      <c r="P2379" s="16">
        <v>1</v>
      </c>
      <c r="Q2379" s="20">
        <f t="shared" si="403"/>
        <v>2671.07</v>
      </c>
      <c r="R2379" s="14">
        <v>160</v>
      </c>
      <c r="S2379" s="20">
        <f t="shared" si="404"/>
        <v>427371.2</v>
      </c>
      <c r="T2379" s="16"/>
      <c r="U2379" s="17"/>
      <c r="V2379" s="17"/>
      <c r="W2379" s="5"/>
      <c r="X2379" s="16"/>
      <c r="Y2379" s="5"/>
      <c r="Z2379" s="16"/>
      <c r="AA2379" s="16"/>
      <c r="AB2379" s="16"/>
      <c r="AC2379" s="14"/>
      <c r="AD2379" s="14"/>
      <c r="AE2379" s="16"/>
      <c r="AG2379" s="22">
        <f t="shared" si="408"/>
        <v>0</v>
      </c>
      <c r="AH2379" s="6"/>
      <c r="AJ2379" s="20">
        <f t="shared" si="405"/>
        <v>0</v>
      </c>
      <c r="AK2379" s="50"/>
      <c r="AL2379" s="6"/>
      <c r="AM2379" s="20">
        <f t="shared" si="406"/>
        <v>0</v>
      </c>
      <c r="AN2379" s="20">
        <f t="shared" si="410"/>
        <v>427371.2</v>
      </c>
      <c r="AP2379" s="20">
        <f t="shared" si="407"/>
        <v>427371.2</v>
      </c>
      <c r="AQ2379" s="7"/>
      <c r="AR2379" s="20"/>
      <c r="AS2379" s="51"/>
    </row>
    <row r="2380" spans="1:45" ht="30" customHeight="1" x14ac:dyDescent="0.2">
      <c r="A2380" s="8"/>
      <c r="C2380" s="16"/>
      <c r="Q2380" s="20"/>
      <c r="AG2380" s="22"/>
      <c r="AJ2380" s="20"/>
      <c r="AM2380" s="20"/>
      <c r="AN2380" s="20"/>
      <c r="AP2380" s="20"/>
      <c r="AR2380" s="20"/>
    </row>
    <row r="2381" spans="1:45" s="21" customFormat="1" ht="30" customHeight="1" x14ac:dyDescent="0.2">
      <c r="A2381" s="2">
        <v>2027</v>
      </c>
      <c r="B2381" s="46">
        <v>1</v>
      </c>
      <c r="C2381" s="16" t="s">
        <v>52</v>
      </c>
      <c r="D2381" s="48">
        <v>3425</v>
      </c>
      <c r="E2381" s="47">
        <v>23</v>
      </c>
      <c r="F2381" s="48">
        <v>2199</v>
      </c>
      <c r="G2381" s="49">
        <v>2</v>
      </c>
      <c r="H2381" s="48">
        <v>5</v>
      </c>
      <c r="I2381" s="48">
        <v>0</v>
      </c>
      <c r="J2381" s="48">
        <v>16</v>
      </c>
      <c r="K2381" s="3">
        <v>2016</v>
      </c>
      <c r="L2381" s="16"/>
      <c r="M2381" s="57"/>
      <c r="N2381" s="58"/>
      <c r="P2381" s="16">
        <v>1</v>
      </c>
      <c r="Q2381" s="20">
        <f t="shared" si="403"/>
        <v>2016</v>
      </c>
      <c r="R2381" s="14">
        <v>160</v>
      </c>
      <c r="S2381" s="19">
        <f t="shared" si="404"/>
        <v>322560</v>
      </c>
      <c r="T2381" s="16"/>
      <c r="U2381" s="17"/>
      <c r="V2381" s="17"/>
      <c r="W2381" s="5"/>
      <c r="X2381" s="16"/>
      <c r="Y2381" s="5"/>
      <c r="Z2381" s="16"/>
      <c r="AA2381" s="16"/>
      <c r="AB2381" s="16"/>
      <c r="AC2381" s="14"/>
      <c r="AD2381" s="14"/>
      <c r="AE2381" s="16"/>
      <c r="AG2381" s="22">
        <f t="shared" si="408"/>
        <v>0</v>
      </c>
      <c r="AH2381" s="6"/>
      <c r="AJ2381" s="20">
        <f t="shared" si="405"/>
        <v>0</v>
      </c>
      <c r="AK2381" s="50"/>
      <c r="AL2381" s="6"/>
      <c r="AM2381" s="20">
        <f t="shared" si="406"/>
        <v>0</v>
      </c>
      <c r="AN2381" s="20">
        <f t="shared" si="410"/>
        <v>322560</v>
      </c>
      <c r="AP2381" s="20">
        <f t="shared" si="407"/>
        <v>322560</v>
      </c>
      <c r="AQ2381" s="7"/>
      <c r="AR2381" s="20"/>
      <c r="AS2381" s="51"/>
    </row>
    <row r="2382" spans="1:45" s="21" customFormat="1" ht="30" customHeight="1" x14ac:dyDescent="0.2">
      <c r="A2382" s="8">
        <v>2028</v>
      </c>
      <c r="B2382" s="46">
        <v>1</v>
      </c>
      <c r="C2382" s="16" t="s">
        <v>52</v>
      </c>
      <c r="D2382" s="48">
        <v>1149</v>
      </c>
      <c r="E2382" s="47">
        <v>21</v>
      </c>
      <c r="F2382" s="48">
        <v>964</v>
      </c>
      <c r="G2382" s="49">
        <v>1</v>
      </c>
      <c r="H2382" s="48">
        <v>11</v>
      </c>
      <c r="I2382" s="48">
        <v>3</v>
      </c>
      <c r="J2382" s="48">
        <v>17</v>
      </c>
      <c r="K2382" s="3">
        <f>11*400+317</f>
        <v>4717</v>
      </c>
      <c r="L2382" s="16"/>
      <c r="M2382" s="57"/>
      <c r="N2382" s="58"/>
      <c r="P2382" s="16">
        <v>1</v>
      </c>
      <c r="Q2382" s="20">
        <f t="shared" si="403"/>
        <v>4717</v>
      </c>
      <c r="R2382" s="14">
        <v>160</v>
      </c>
      <c r="S2382" s="20">
        <f t="shared" si="404"/>
        <v>754720</v>
      </c>
      <c r="T2382" s="16"/>
      <c r="U2382" s="17"/>
      <c r="V2382" s="17"/>
      <c r="W2382" s="5"/>
      <c r="X2382" s="16"/>
      <c r="Y2382" s="5"/>
      <c r="Z2382" s="16"/>
      <c r="AA2382" s="16"/>
      <c r="AB2382" s="16"/>
      <c r="AC2382" s="14"/>
      <c r="AD2382" s="14"/>
      <c r="AE2382" s="16"/>
      <c r="AG2382" s="22">
        <f t="shared" si="408"/>
        <v>0</v>
      </c>
      <c r="AH2382" s="6"/>
      <c r="AJ2382" s="20">
        <f t="shared" si="405"/>
        <v>0</v>
      </c>
      <c r="AK2382" s="50"/>
      <c r="AL2382" s="6"/>
      <c r="AM2382" s="20">
        <f t="shared" si="406"/>
        <v>0</v>
      </c>
      <c r="AN2382" s="20">
        <f t="shared" si="410"/>
        <v>754720</v>
      </c>
      <c r="AP2382" s="20">
        <f t="shared" si="407"/>
        <v>754720</v>
      </c>
      <c r="AQ2382" s="7"/>
      <c r="AR2382" s="60"/>
      <c r="AS2382" s="128">
        <v>9</v>
      </c>
    </row>
    <row r="2383" spans="1:45" s="21" customFormat="1" ht="30" customHeight="1" x14ac:dyDescent="0.2">
      <c r="A2383" s="131">
        <v>2029</v>
      </c>
      <c r="B2383" s="46">
        <v>2</v>
      </c>
      <c r="C2383" s="16" t="s">
        <v>52</v>
      </c>
      <c r="D2383" s="48">
        <v>1330</v>
      </c>
      <c r="E2383" s="47">
        <v>132</v>
      </c>
      <c r="F2383" s="48">
        <v>618</v>
      </c>
      <c r="G2383" s="49">
        <v>1</v>
      </c>
      <c r="H2383" s="48">
        <v>0</v>
      </c>
      <c r="I2383" s="48">
        <v>1</v>
      </c>
      <c r="J2383" s="48">
        <v>57</v>
      </c>
      <c r="K2383" s="3"/>
      <c r="L2383" s="16"/>
      <c r="M2383" s="57"/>
      <c r="N2383" s="58"/>
      <c r="P2383" s="16">
        <v>2</v>
      </c>
      <c r="Q2383" s="20">
        <f t="shared" si="403"/>
        <v>157</v>
      </c>
      <c r="R2383" s="14">
        <v>3000</v>
      </c>
      <c r="S2383" s="19">
        <f t="shared" si="404"/>
        <v>471000</v>
      </c>
      <c r="T2383" s="16"/>
      <c r="U2383" s="17" t="s">
        <v>57</v>
      </c>
      <c r="V2383" s="17" t="s">
        <v>56</v>
      </c>
      <c r="W2383" s="5"/>
      <c r="X2383" s="16"/>
      <c r="Y2383" s="5">
        <v>105</v>
      </c>
      <c r="Z2383" s="16"/>
      <c r="AA2383" s="16"/>
      <c r="AB2383" s="16">
        <f>62-3</f>
        <v>59</v>
      </c>
      <c r="AC2383" s="14"/>
      <c r="AD2383" s="14"/>
      <c r="AE2383" s="16"/>
      <c r="AG2383" s="22">
        <f t="shared" si="408"/>
        <v>105</v>
      </c>
      <c r="AH2383" s="6"/>
      <c r="AJ2383" s="20">
        <f t="shared" si="405"/>
        <v>0</v>
      </c>
      <c r="AK2383" s="50">
        <v>59</v>
      </c>
      <c r="AL2383" s="6"/>
      <c r="AM2383" s="20">
        <f t="shared" si="406"/>
        <v>0</v>
      </c>
      <c r="AN2383" s="20">
        <f t="shared" si="410"/>
        <v>471000</v>
      </c>
      <c r="AP2383" s="20">
        <f t="shared" si="407"/>
        <v>471000</v>
      </c>
      <c r="AQ2383" s="7"/>
      <c r="AR2383" s="24"/>
      <c r="AS2383" s="129"/>
    </row>
    <row r="2384" spans="1:45" s="21" customFormat="1" ht="30" customHeight="1" x14ac:dyDescent="0.2">
      <c r="A2384" s="131"/>
      <c r="B2384" s="46"/>
      <c r="C2384" s="16"/>
      <c r="D2384" s="48"/>
      <c r="E2384" s="47"/>
      <c r="F2384" s="48"/>
      <c r="G2384" s="49"/>
      <c r="H2384" s="48"/>
      <c r="I2384" s="48"/>
      <c r="J2384" s="48"/>
      <c r="K2384" s="3"/>
      <c r="L2384" s="16"/>
      <c r="M2384" s="57"/>
      <c r="N2384" s="58"/>
      <c r="P2384" s="16"/>
      <c r="Q2384" s="20">
        <f t="shared" si="403"/>
        <v>0</v>
      </c>
      <c r="R2384" s="14" t="e">
        <v>#N/A</v>
      </c>
      <c r="S2384" s="19" t="e">
        <f t="shared" si="404"/>
        <v>#N/A</v>
      </c>
      <c r="T2384" s="16"/>
      <c r="U2384" s="17" t="s">
        <v>57</v>
      </c>
      <c r="V2384" s="17" t="s">
        <v>56</v>
      </c>
      <c r="W2384" s="5"/>
      <c r="X2384" s="16"/>
      <c r="Y2384" s="5">
        <v>81</v>
      </c>
      <c r="Z2384" s="16"/>
      <c r="AA2384" s="16"/>
      <c r="AB2384" s="16">
        <f>62-24</f>
        <v>38</v>
      </c>
      <c r="AC2384" s="14"/>
      <c r="AD2384" s="14"/>
      <c r="AE2384" s="16"/>
      <c r="AG2384" s="22">
        <f t="shared" si="408"/>
        <v>81</v>
      </c>
      <c r="AH2384" s="6"/>
      <c r="AJ2384" s="20">
        <f t="shared" si="405"/>
        <v>0</v>
      </c>
      <c r="AK2384" s="50">
        <v>38</v>
      </c>
      <c r="AL2384" s="6"/>
      <c r="AM2384" s="20">
        <f t="shared" si="406"/>
        <v>0</v>
      </c>
      <c r="AN2384" s="20" t="e">
        <f t="shared" si="410"/>
        <v>#N/A</v>
      </c>
      <c r="AP2384" s="20" t="e">
        <f t="shared" si="407"/>
        <v>#N/A</v>
      </c>
      <c r="AQ2384" s="7"/>
      <c r="AR2384" s="24"/>
      <c r="AS2384" s="129"/>
    </row>
    <row r="2385" spans="1:45" s="21" customFormat="1" ht="30" customHeight="1" x14ac:dyDescent="0.2">
      <c r="A2385" s="8">
        <v>2030</v>
      </c>
      <c r="B2385" s="46">
        <v>3</v>
      </c>
      <c r="C2385" s="16" t="s">
        <v>52</v>
      </c>
      <c r="D2385" s="48">
        <v>1809</v>
      </c>
      <c r="E2385" s="47">
        <v>122</v>
      </c>
      <c r="F2385" s="48">
        <v>1193</v>
      </c>
      <c r="G2385" s="49">
        <v>2</v>
      </c>
      <c r="H2385" s="48">
        <v>3</v>
      </c>
      <c r="I2385" s="48">
        <v>0</v>
      </c>
      <c r="J2385" s="48">
        <v>48</v>
      </c>
      <c r="K2385" s="3"/>
      <c r="L2385" s="16"/>
      <c r="M2385" s="57"/>
      <c r="N2385" s="58">
        <v>1248</v>
      </c>
      <c r="P2385" s="16">
        <v>4</v>
      </c>
      <c r="Q2385" s="20">
        <f t="shared" si="403"/>
        <v>1248</v>
      </c>
      <c r="R2385" s="14">
        <v>160</v>
      </c>
      <c r="S2385" s="20">
        <f t="shared" si="404"/>
        <v>199680</v>
      </c>
      <c r="T2385" s="16"/>
      <c r="U2385" s="17"/>
      <c r="V2385" s="17"/>
      <c r="W2385" s="5"/>
      <c r="X2385" s="16"/>
      <c r="Y2385" s="5"/>
      <c r="Z2385" s="16"/>
      <c r="AA2385" s="16"/>
      <c r="AB2385" s="16"/>
      <c r="AC2385" s="14"/>
      <c r="AD2385" s="14"/>
      <c r="AE2385" s="16"/>
      <c r="AG2385" s="22">
        <f t="shared" si="408"/>
        <v>0</v>
      </c>
      <c r="AH2385" s="6"/>
      <c r="AJ2385" s="20">
        <f t="shared" si="405"/>
        <v>0</v>
      </c>
      <c r="AK2385" s="50"/>
      <c r="AL2385" s="6"/>
      <c r="AM2385" s="20">
        <f t="shared" si="406"/>
        <v>0</v>
      </c>
      <c r="AN2385" s="20">
        <f t="shared" si="410"/>
        <v>199680</v>
      </c>
      <c r="AP2385" s="20">
        <f t="shared" si="407"/>
        <v>199680</v>
      </c>
      <c r="AQ2385" s="7">
        <v>3.0000000000000001E-3</v>
      </c>
      <c r="AR2385" s="25"/>
      <c r="AS2385" s="130"/>
    </row>
    <row r="2386" spans="1:45" s="21" customFormat="1" ht="30" customHeight="1" x14ac:dyDescent="0.2">
      <c r="A2386" s="8">
        <v>2031</v>
      </c>
      <c r="B2386" s="46">
        <v>1</v>
      </c>
      <c r="C2386" s="16" t="s">
        <v>52</v>
      </c>
      <c r="D2386" s="48">
        <v>31090</v>
      </c>
      <c r="E2386" s="47">
        <v>106</v>
      </c>
      <c r="F2386" s="48">
        <v>6040</v>
      </c>
      <c r="G2386" s="49">
        <v>2</v>
      </c>
      <c r="H2386" s="48">
        <v>0</v>
      </c>
      <c r="I2386" s="48">
        <v>0</v>
      </c>
      <c r="J2386" s="48">
        <v>30.09</v>
      </c>
      <c r="K2386" s="16">
        <v>30.09</v>
      </c>
      <c r="L2386" s="16"/>
      <c r="M2386" s="57"/>
      <c r="N2386" s="58"/>
      <c r="P2386" s="16">
        <v>1</v>
      </c>
      <c r="Q2386" s="20">
        <f t="shared" ref="Q2386:Q2429" si="411">+(H2386*400)+(I2386*100)+J2386</f>
        <v>30.09</v>
      </c>
      <c r="R2386" s="14">
        <v>250</v>
      </c>
      <c r="S2386" s="19">
        <f t="shared" ref="S2386:S2429" si="412">+Q2386*R2386</f>
        <v>7522.5</v>
      </c>
      <c r="T2386" s="16"/>
      <c r="U2386" s="17"/>
      <c r="V2386" s="17"/>
      <c r="W2386" s="5"/>
      <c r="X2386" s="16"/>
      <c r="Y2386" s="5"/>
      <c r="Z2386" s="16"/>
      <c r="AA2386" s="16"/>
      <c r="AB2386" s="16"/>
      <c r="AE2386" s="16"/>
      <c r="AG2386" s="22">
        <f t="shared" si="408"/>
        <v>0</v>
      </c>
      <c r="AH2386" s="6"/>
      <c r="AJ2386" s="20">
        <f t="shared" ref="AJ2386:AJ2429" si="413">+AG2386*AH2386*AI2386</f>
        <v>0</v>
      </c>
      <c r="AK2386" s="50"/>
      <c r="AL2386" s="6"/>
      <c r="AM2386" s="20">
        <f t="shared" ref="AM2386:AM2429" si="414">+AJ2386-(AL2386*AJ2386)</f>
        <v>0</v>
      </c>
      <c r="AN2386" s="20">
        <f t="shared" si="410"/>
        <v>7522.5</v>
      </c>
      <c r="AP2386" s="20">
        <f t="shared" ref="AP2386:AP2429" si="415">AN2386</f>
        <v>7522.5</v>
      </c>
      <c r="AQ2386" s="7"/>
      <c r="AR2386" s="60"/>
      <c r="AS2386" s="128">
        <v>2</v>
      </c>
    </row>
    <row r="2387" spans="1:45" s="21" customFormat="1" ht="30" customHeight="1" x14ac:dyDescent="0.2">
      <c r="A2387" s="8">
        <v>2032</v>
      </c>
      <c r="B2387" s="46">
        <v>2</v>
      </c>
      <c r="C2387" s="16" t="s">
        <v>52</v>
      </c>
      <c r="D2387" s="48">
        <v>31091</v>
      </c>
      <c r="E2387" s="47">
        <v>107</v>
      </c>
      <c r="F2387" s="48">
        <v>6041</v>
      </c>
      <c r="G2387" s="49">
        <v>2</v>
      </c>
      <c r="H2387" s="48">
        <v>0</v>
      </c>
      <c r="I2387" s="48">
        <v>0</v>
      </c>
      <c r="J2387" s="48">
        <v>27.01</v>
      </c>
      <c r="K2387" s="16">
        <v>27.01</v>
      </c>
      <c r="L2387" s="16"/>
      <c r="M2387" s="57"/>
      <c r="N2387" s="58"/>
      <c r="P2387" s="16">
        <v>1</v>
      </c>
      <c r="Q2387" s="20">
        <f t="shared" si="411"/>
        <v>27.01</v>
      </c>
      <c r="R2387" s="14">
        <v>250</v>
      </c>
      <c r="S2387" s="19">
        <f t="shared" si="412"/>
        <v>6752.5</v>
      </c>
      <c r="T2387" s="16"/>
      <c r="U2387" s="17"/>
      <c r="V2387" s="17"/>
      <c r="W2387" s="5"/>
      <c r="X2387" s="16"/>
      <c r="Y2387" s="5"/>
      <c r="Z2387" s="16"/>
      <c r="AA2387" s="16"/>
      <c r="AB2387" s="16"/>
      <c r="AE2387" s="16"/>
      <c r="AG2387" s="22">
        <f t="shared" si="408"/>
        <v>0</v>
      </c>
      <c r="AH2387" s="6"/>
      <c r="AJ2387" s="20">
        <f t="shared" si="413"/>
        <v>0</v>
      </c>
      <c r="AK2387" s="50"/>
      <c r="AL2387" s="6"/>
      <c r="AM2387" s="20">
        <f t="shared" si="414"/>
        <v>0</v>
      </c>
      <c r="AN2387" s="20">
        <f t="shared" si="410"/>
        <v>6752.5</v>
      </c>
      <c r="AP2387" s="20">
        <f t="shared" si="415"/>
        <v>6752.5</v>
      </c>
      <c r="AQ2387" s="7"/>
      <c r="AR2387" s="24"/>
      <c r="AS2387" s="129"/>
    </row>
    <row r="2388" spans="1:45" s="21" customFormat="1" ht="30" customHeight="1" x14ac:dyDescent="0.2">
      <c r="A2388" s="8">
        <v>2033</v>
      </c>
      <c r="B2388" s="46">
        <v>3</v>
      </c>
      <c r="C2388" s="16" t="s">
        <v>52</v>
      </c>
      <c r="D2388" s="48">
        <v>31092</v>
      </c>
      <c r="E2388" s="47">
        <v>108</v>
      </c>
      <c r="F2388" s="48">
        <v>6042</v>
      </c>
      <c r="G2388" s="49">
        <v>2</v>
      </c>
      <c r="H2388" s="48">
        <v>0</v>
      </c>
      <c r="I2388" s="48">
        <v>0</v>
      </c>
      <c r="J2388" s="48">
        <v>27.05</v>
      </c>
      <c r="K2388" s="16">
        <v>27.05</v>
      </c>
      <c r="L2388" s="16"/>
      <c r="M2388" s="57"/>
      <c r="N2388" s="58"/>
      <c r="P2388" s="16">
        <v>1</v>
      </c>
      <c r="Q2388" s="20">
        <f t="shared" si="411"/>
        <v>27.05</v>
      </c>
      <c r="R2388" s="14">
        <v>250</v>
      </c>
      <c r="S2388" s="20">
        <f t="shared" si="412"/>
        <v>6762.5</v>
      </c>
      <c r="T2388" s="16"/>
      <c r="U2388" s="17"/>
      <c r="V2388" s="17"/>
      <c r="W2388" s="5"/>
      <c r="X2388" s="16"/>
      <c r="Y2388" s="5"/>
      <c r="Z2388" s="16"/>
      <c r="AA2388" s="16"/>
      <c r="AB2388" s="16"/>
      <c r="AE2388" s="16"/>
      <c r="AG2388" s="22">
        <f t="shared" si="408"/>
        <v>0</v>
      </c>
      <c r="AH2388" s="6"/>
      <c r="AJ2388" s="20">
        <f t="shared" si="413"/>
        <v>0</v>
      </c>
      <c r="AK2388" s="50"/>
      <c r="AL2388" s="6"/>
      <c r="AM2388" s="20">
        <f t="shared" si="414"/>
        <v>0</v>
      </c>
      <c r="AN2388" s="20">
        <f t="shared" si="410"/>
        <v>6762.5</v>
      </c>
      <c r="AP2388" s="20">
        <f t="shared" si="415"/>
        <v>6762.5</v>
      </c>
      <c r="AQ2388" s="7"/>
      <c r="AR2388" s="24"/>
      <c r="AS2388" s="129"/>
    </row>
    <row r="2389" spans="1:45" s="21" customFormat="1" ht="30" customHeight="1" x14ac:dyDescent="0.2">
      <c r="A2389" s="8">
        <v>2034</v>
      </c>
      <c r="B2389" s="46">
        <v>4</v>
      </c>
      <c r="C2389" s="16" t="s">
        <v>52</v>
      </c>
      <c r="D2389" s="48">
        <v>31093</v>
      </c>
      <c r="E2389" s="47">
        <v>109</v>
      </c>
      <c r="F2389" s="48">
        <v>6043</v>
      </c>
      <c r="G2389" s="49">
        <v>2</v>
      </c>
      <c r="H2389" s="48">
        <v>0</v>
      </c>
      <c r="I2389" s="48">
        <v>0</v>
      </c>
      <c r="J2389" s="48">
        <v>27.06</v>
      </c>
      <c r="K2389" s="16">
        <v>27.06</v>
      </c>
      <c r="L2389" s="16"/>
      <c r="M2389" s="57"/>
      <c r="N2389" s="58"/>
      <c r="P2389" s="16">
        <v>1</v>
      </c>
      <c r="Q2389" s="20">
        <f t="shared" si="411"/>
        <v>27.06</v>
      </c>
      <c r="R2389" s="14">
        <v>250</v>
      </c>
      <c r="S2389" s="19">
        <f t="shared" si="412"/>
        <v>6765</v>
      </c>
      <c r="T2389" s="16"/>
      <c r="U2389" s="17"/>
      <c r="V2389" s="17"/>
      <c r="W2389" s="5"/>
      <c r="X2389" s="16"/>
      <c r="Y2389" s="5"/>
      <c r="Z2389" s="16"/>
      <c r="AA2389" s="16"/>
      <c r="AB2389" s="16"/>
      <c r="AE2389" s="16"/>
      <c r="AG2389" s="22">
        <f t="shared" si="408"/>
        <v>0</v>
      </c>
      <c r="AH2389" s="6"/>
      <c r="AJ2389" s="20">
        <f t="shared" si="413"/>
        <v>0</v>
      </c>
      <c r="AK2389" s="50"/>
      <c r="AL2389" s="6"/>
      <c r="AM2389" s="20">
        <f t="shared" si="414"/>
        <v>0</v>
      </c>
      <c r="AN2389" s="20">
        <f t="shared" si="410"/>
        <v>6765</v>
      </c>
      <c r="AP2389" s="20">
        <f t="shared" si="415"/>
        <v>6765</v>
      </c>
      <c r="AQ2389" s="7"/>
      <c r="AR2389" s="24"/>
      <c r="AS2389" s="129"/>
    </row>
    <row r="2390" spans="1:45" s="21" customFormat="1" ht="30" customHeight="1" x14ac:dyDescent="0.2">
      <c r="A2390" s="8">
        <v>2035</v>
      </c>
      <c r="B2390" s="46">
        <v>5</v>
      </c>
      <c r="C2390" s="16" t="s">
        <v>52</v>
      </c>
      <c r="D2390" s="48">
        <v>31094</v>
      </c>
      <c r="E2390" s="47">
        <v>110</v>
      </c>
      <c r="F2390" s="48">
        <v>6044</v>
      </c>
      <c r="G2390" s="49">
        <v>2</v>
      </c>
      <c r="H2390" s="48">
        <v>0</v>
      </c>
      <c r="I2390" s="48">
        <v>0</v>
      </c>
      <c r="J2390" s="48">
        <v>30</v>
      </c>
      <c r="K2390" s="16">
        <v>30</v>
      </c>
      <c r="L2390" s="16"/>
      <c r="M2390" s="57"/>
      <c r="N2390" s="58"/>
      <c r="P2390" s="16">
        <v>1</v>
      </c>
      <c r="Q2390" s="20">
        <f t="shared" si="411"/>
        <v>30</v>
      </c>
      <c r="R2390" s="14">
        <v>250</v>
      </c>
      <c r="S2390" s="19">
        <f t="shared" si="412"/>
        <v>7500</v>
      </c>
      <c r="T2390" s="16"/>
      <c r="U2390" s="17"/>
      <c r="V2390" s="17"/>
      <c r="W2390" s="5"/>
      <c r="X2390" s="16"/>
      <c r="Y2390" s="5"/>
      <c r="Z2390" s="16"/>
      <c r="AA2390" s="16"/>
      <c r="AB2390" s="16"/>
      <c r="AE2390" s="16"/>
      <c r="AG2390" s="22">
        <f t="shared" si="408"/>
        <v>0</v>
      </c>
      <c r="AH2390" s="6"/>
      <c r="AJ2390" s="20">
        <f t="shared" si="413"/>
        <v>0</v>
      </c>
      <c r="AK2390" s="50"/>
      <c r="AL2390" s="6"/>
      <c r="AM2390" s="20">
        <f t="shared" si="414"/>
        <v>0</v>
      </c>
      <c r="AN2390" s="20">
        <f t="shared" si="410"/>
        <v>7500</v>
      </c>
      <c r="AP2390" s="20">
        <f t="shared" si="415"/>
        <v>7500</v>
      </c>
      <c r="AQ2390" s="7"/>
      <c r="AR2390" s="24"/>
      <c r="AS2390" s="129"/>
    </row>
    <row r="2391" spans="1:45" s="21" customFormat="1" ht="30" customHeight="1" x14ac:dyDescent="0.2">
      <c r="A2391" s="8">
        <v>2036</v>
      </c>
      <c r="B2391" s="46">
        <v>6</v>
      </c>
      <c r="C2391" s="16" t="s">
        <v>52</v>
      </c>
      <c r="D2391" s="48">
        <v>31095</v>
      </c>
      <c r="E2391" s="47">
        <v>105</v>
      </c>
      <c r="F2391" s="48">
        <v>6045</v>
      </c>
      <c r="G2391" s="49">
        <v>2</v>
      </c>
      <c r="H2391" s="48">
        <v>0</v>
      </c>
      <c r="I2391" s="48">
        <v>0</v>
      </c>
      <c r="J2391" s="48">
        <v>32.04</v>
      </c>
      <c r="K2391" s="3">
        <v>32.04</v>
      </c>
      <c r="L2391" s="16"/>
      <c r="M2391" s="57"/>
      <c r="N2391" s="58"/>
      <c r="P2391" s="16">
        <v>1</v>
      </c>
      <c r="Q2391" s="20">
        <f t="shared" si="411"/>
        <v>32.04</v>
      </c>
      <c r="R2391" s="14">
        <v>250</v>
      </c>
      <c r="S2391" s="20">
        <f t="shared" si="412"/>
        <v>8010</v>
      </c>
      <c r="T2391" s="16"/>
      <c r="U2391" s="17"/>
      <c r="V2391" s="17"/>
      <c r="W2391" s="5"/>
      <c r="X2391" s="16"/>
      <c r="Y2391" s="5"/>
      <c r="Z2391" s="16"/>
      <c r="AA2391" s="16"/>
      <c r="AB2391" s="16"/>
      <c r="AE2391" s="16"/>
      <c r="AG2391" s="22">
        <f t="shared" si="408"/>
        <v>0</v>
      </c>
      <c r="AH2391" s="6"/>
      <c r="AJ2391" s="20">
        <f t="shared" si="413"/>
        <v>0</v>
      </c>
      <c r="AK2391" s="50"/>
      <c r="AL2391" s="6"/>
      <c r="AM2391" s="20">
        <f t="shared" si="414"/>
        <v>0</v>
      </c>
      <c r="AN2391" s="20">
        <f t="shared" si="410"/>
        <v>8010</v>
      </c>
      <c r="AP2391" s="20">
        <f t="shared" si="415"/>
        <v>8010</v>
      </c>
      <c r="AQ2391" s="7"/>
      <c r="AR2391" s="24"/>
      <c r="AS2391" s="129"/>
    </row>
    <row r="2392" spans="1:45" ht="30" customHeight="1" x14ac:dyDescent="0.2">
      <c r="A2392" s="8"/>
      <c r="C2392" s="16"/>
      <c r="Q2392" s="20"/>
      <c r="AG2392" s="22"/>
      <c r="AJ2392" s="20"/>
      <c r="AM2392" s="20"/>
      <c r="AN2392" s="20"/>
      <c r="AP2392" s="20"/>
      <c r="AR2392" s="25"/>
      <c r="AS2392" s="130"/>
    </row>
    <row r="2393" spans="1:45" ht="30" customHeight="1" x14ac:dyDescent="0.2">
      <c r="A2393" s="8">
        <v>2037</v>
      </c>
      <c r="B2393" s="13">
        <v>1</v>
      </c>
      <c r="C2393" s="16" t="s">
        <v>69</v>
      </c>
      <c r="E2393" s="17">
        <v>153</v>
      </c>
      <c r="F2393" s="17">
        <v>4</v>
      </c>
      <c r="G2393" s="13">
        <v>1</v>
      </c>
      <c r="H2393" s="17">
        <v>7</v>
      </c>
      <c r="I2393" s="17">
        <v>3</v>
      </c>
      <c r="J2393" s="17">
        <v>48</v>
      </c>
      <c r="K2393" s="10">
        <v>3148</v>
      </c>
      <c r="P2393" s="17">
        <v>1</v>
      </c>
      <c r="Q2393" s="20">
        <f t="shared" si="411"/>
        <v>3148</v>
      </c>
      <c r="R2393" s="14">
        <v>200</v>
      </c>
      <c r="S2393" s="19">
        <f t="shared" si="412"/>
        <v>629600</v>
      </c>
      <c r="AG2393" s="22">
        <f t="shared" si="408"/>
        <v>0</v>
      </c>
      <c r="AJ2393" s="20">
        <f t="shared" si="413"/>
        <v>0</v>
      </c>
      <c r="AM2393" s="20">
        <f t="shared" si="414"/>
        <v>0</v>
      </c>
      <c r="AN2393" s="20">
        <f t="shared" si="410"/>
        <v>629600</v>
      </c>
      <c r="AP2393" s="20">
        <f t="shared" si="415"/>
        <v>629600</v>
      </c>
      <c r="AQ2393" s="12">
        <v>1E-4</v>
      </c>
      <c r="AR2393" s="20"/>
      <c r="AS2393" s="26">
        <v>44</v>
      </c>
    </row>
    <row r="2394" spans="1:45" s="21" customFormat="1" ht="30" customHeight="1" x14ac:dyDescent="0.2">
      <c r="A2394" s="8">
        <v>2038</v>
      </c>
      <c r="B2394" s="46">
        <v>1</v>
      </c>
      <c r="C2394" s="16" t="s">
        <v>52</v>
      </c>
      <c r="D2394" s="48">
        <v>29230</v>
      </c>
      <c r="E2394" s="47">
        <v>249</v>
      </c>
      <c r="F2394" s="48">
        <v>5425</v>
      </c>
      <c r="G2394" s="49">
        <v>1</v>
      </c>
      <c r="H2394" s="48">
        <v>1</v>
      </c>
      <c r="I2394" s="48">
        <v>0</v>
      </c>
      <c r="J2394" s="48">
        <v>76</v>
      </c>
      <c r="K2394" s="3">
        <v>476</v>
      </c>
      <c r="L2394" s="16"/>
      <c r="M2394" s="57"/>
      <c r="N2394" s="58"/>
      <c r="P2394" s="16">
        <v>1</v>
      </c>
      <c r="Q2394" s="20">
        <f t="shared" si="411"/>
        <v>476</v>
      </c>
      <c r="R2394" s="14">
        <v>1500</v>
      </c>
      <c r="S2394" s="20">
        <f t="shared" si="412"/>
        <v>714000</v>
      </c>
      <c r="T2394" s="16"/>
      <c r="U2394" s="17"/>
      <c r="V2394" s="17"/>
      <c r="W2394" s="5"/>
      <c r="X2394" s="16"/>
      <c r="Y2394" s="5"/>
      <c r="Z2394" s="16"/>
      <c r="AA2394" s="16"/>
      <c r="AB2394" s="16"/>
      <c r="AE2394" s="16"/>
      <c r="AG2394" s="22">
        <f t="shared" ref="AG2394:AG2429" si="416">Y2394</f>
        <v>0</v>
      </c>
      <c r="AH2394" s="6"/>
      <c r="AJ2394" s="20">
        <f t="shared" si="413"/>
        <v>0</v>
      </c>
      <c r="AK2394" s="50"/>
      <c r="AL2394" s="6"/>
      <c r="AM2394" s="20">
        <f t="shared" si="414"/>
        <v>0</v>
      </c>
      <c r="AN2394" s="20">
        <f t="shared" si="410"/>
        <v>714000</v>
      </c>
      <c r="AP2394" s="20">
        <f t="shared" si="415"/>
        <v>714000</v>
      </c>
      <c r="AQ2394" s="7"/>
      <c r="AR2394" s="60"/>
      <c r="AS2394" s="128">
        <v>134</v>
      </c>
    </row>
    <row r="2395" spans="1:45" ht="30" customHeight="1" x14ac:dyDescent="0.2">
      <c r="A2395" s="8">
        <v>2039</v>
      </c>
      <c r="B2395" s="13">
        <v>2</v>
      </c>
      <c r="C2395" s="16" t="s">
        <v>69</v>
      </c>
      <c r="E2395" s="17">
        <v>153</v>
      </c>
      <c r="F2395" s="17">
        <v>3</v>
      </c>
      <c r="G2395" s="13">
        <v>1</v>
      </c>
      <c r="H2395" s="17">
        <v>22</v>
      </c>
      <c r="I2395" s="17">
        <v>3</v>
      </c>
      <c r="J2395" s="17">
        <v>60</v>
      </c>
      <c r="K2395" s="10">
        <v>9160</v>
      </c>
      <c r="P2395" s="17">
        <v>1</v>
      </c>
      <c r="Q2395" s="20">
        <f t="shared" si="411"/>
        <v>9160</v>
      </c>
      <c r="R2395" s="14">
        <v>200</v>
      </c>
      <c r="S2395" s="19">
        <f t="shared" si="412"/>
        <v>1832000</v>
      </c>
      <c r="AG2395" s="22">
        <f t="shared" si="416"/>
        <v>0</v>
      </c>
      <c r="AJ2395" s="20">
        <f t="shared" si="413"/>
        <v>0</v>
      </c>
      <c r="AM2395" s="20">
        <f t="shared" si="414"/>
        <v>0</v>
      </c>
      <c r="AN2395" s="20">
        <f t="shared" si="410"/>
        <v>1832000</v>
      </c>
      <c r="AP2395" s="20">
        <f t="shared" si="415"/>
        <v>1832000</v>
      </c>
      <c r="AQ2395" s="12">
        <v>1E-4</v>
      </c>
      <c r="AR2395" s="25"/>
      <c r="AS2395" s="130"/>
    </row>
    <row r="2396" spans="1:45" s="21" customFormat="1" ht="30" customHeight="1" x14ac:dyDescent="0.2">
      <c r="A2396" s="8">
        <v>2040</v>
      </c>
      <c r="B2396" s="46">
        <v>1</v>
      </c>
      <c r="C2396" s="16" t="s">
        <v>52</v>
      </c>
      <c r="D2396" s="48">
        <v>3767</v>
      </c>
      <c r="E2396" s="47">
        <v>33</v>
      </c>
      <c r="F2396" s="48">
        <v>2291</v>
      </c>
      <c r="G2396" s="49">
        <v>2</v>
      </c>
      <c r="H2396" s="48">
        <v>8</v>
      </c>
      <c r="I2396" s="48">
        <v>2</v>
      </c>
      <c r="J2396" s="48">
        <v>33</v>
      </c>
      <c r="K2396" s="3">
        <v>3433</v>
      </c>
      <c r="L2396" s="16"/>
      <c r="M2396" s="57"/>
      <c r="N2396" s="58"/>
      <c r="P2396" s="16">
        <v>1</v>
      </c>
      <c r="Q2396" s="20">
        <f t="shared" si="411"/>
        <v>3433</v>
      </c>
      <c r="R2396" s="14">
        <v>200</v>
      </c>
      <c r="S2396" s="19">
        <f t="shared" si="412"/>
        <v>686600</v>
      </c>
      <c r="T2396" s="16"/>
      <c r="U2396" s="17"/>
      <c r="V2396" s="17"/>
      <c r="W2396" s="5"/>
      <c r="X2396" s="16"/>
      <c r="Y2396" s="5"/>
      <c r="Z2396" s="16"/>
      <c r="AA2396" s="16"/>
      <c r="AB2396" s="16"/>
      <c r="AE2396" s="16" t="s">
        <v>171</v>
      </c>
      <c r="AG2396" s="22">
        <f t="shared" si="416"/>
        <v>0</v>
      </c>
      <c r="AH2396" s="6"/>
      <c r="AJ2396" s="20">
        <f t="shared" si="413"/>
        <v>0</v>
      </c>
      <c r="AK2396" s="50"/>
      <c r="AL2396" s="6"/>
      <c r="AM2396" s="20">
        <f t="shared" si="414"/>
        <v>0</v>
      </c>
      <c r="AN2396" s="20">
        <f t="shared" si="410"/>
        <v>686600</v>
      </c>
      <c r="AP2396" s="20">
        <f t="shared" si="415"/>
        <v>686600</v>
      </c>
      <c r="AQ2396" s="7"/>
      <c r="AR2396" s="60"/>
      <c r="AS2396" s="128">
        <v>92</v>
      </c>
    </row>
    <row r="2397" spans="1:45" s="21" customFormat="1" ht="30" customHeight="1" x14ac:dyDescent="0.2">
      <c r="A2397" s="8">
        <v>2041</v>
      </c>
      <c r="B2397" s="46">
        <v>2</v>
      </c>
      <c r="C2397" s="16" t="s">
        <v>52</v>
      </c>
      <c r="D2397" s="48">
        <v>3796</v>
      </c>
      <c r="E2397" s="47">
        <v>34</v>
      </c>
      <c r="F2397" s="48">
        <v>2292</v>
      </c>
      <c r="G2397" s="49">
        <v>2</v>
      </c>
      <c r="H2397" s="48">
        <v>8</v>
      </c>
      <c r="I2397" s="48">
        <v>0</v>
      </c>
      <c r="J2397" s="48">
        <v>66</v>
      </c>
      <c r="K2397" s="3">
        <v>3266</v>
      </c>
      <c r="L2397" s="16"/>
      <c r="M2397" s="57"/>
      <c r="N2397" s="58"/>
      <c r="P2397" s="16">
        <v>1</v>
      </c>
      <c r="Q2397" s="20">
        <f t="shared" si="411"/>
        <v>3266</v>
      </c>
      <c r="R2397" s="14">
        <v>200</v>
      </c>
      <c r="S2397" s="20">
        <f t="shared" si="412"/>
        <v>653200</v>
      </c>
      <c r="T2397" s="16"/>
      <c r="U2397" s="17"/>
      <c r="V2397" s="17"/>
      <c r="W2397" s="5"/>
      <c r="X2397" s="16"/>
      <c r="Y2397" s="5"/>
      <c r="Z2397" s="16"/>
      <c r="AA2397" s="16"/>
      <c r="AB2397" s="16"/>
      <c r="AE2397" s="16"/>
      <c r="AG2397" s="22">
        <f t="shared" si="416"/>
        <v>0</v>
      </c>
      <c r="AH2397" s="6"/>
      <c r="AJ2397" s="20">
        <f t="shared" si="413"/>
        <v>0</v>
      </c>
      <c r="AK2397" s="50"/>
      <c r="AL2397" s="6"/>
      <c r="AM2397" s="20">
        <f t="shared" si="414"/>
        <v>0</v>
      </c>
      <c r="AN2397" s="20">
        <f t="shared" si="410"/>
        <v>653200</v>
      </c>
      <c r="AP2397" s="20">
        <f t="shared" si="415"/>
        <v>653200</v>
      </c>
      <c r="AQ2397" s="7"/>
      <c r="AR2397" s="25"/>
      <c r="AS2397" s="130"/>
    </row>
    <row r="2398" spans="1:45" s="21" customFormat="1" ht="30" customHeight="1" x14ac:dyDescent="0.2">
      <c r="A2398" s="8">
        <v>2042</v>
      </c>
      <c r="B2398" s="46">
        <v>1</v>
      </c>
      <c r="C2398" s="16" t="s">
        <v>52</v>
      </c>
      <c r="D2398" s="48">
        <v>389</v>
      </c>
      <c r="E2398" s="47">
        <v>502</v>
      </c>
      <c r="F2398" s="48">
        <v>46</v>
      </c>
      <c r="G2398" s="49">
        <v>1</v>
      </c>
      <c r="H2398" s="48">
        <v>3</v>
      </c>
      <c r="I2398" s="48">
        <v>1</v>
      </c>
      <c r="J2398" s="48">
        <v>44.02</v>
      </c>
      <c r="K2398" s="3">
        <v>1344.02</v>
      </c>
      <c r="L2398" s="16"/>
      <c r="M2398" s="57"/>
      <c r="N2398" s="58"/>
      <c r="P2398" s="16">
        <v>1</v>
      </c>
      <c r="Q2398" s="20">
        <f t="shared" si="411"/>
        <v>1344.02</v>
      </c>
      <c r="R2398" s="14">
        <v>200</v>
      </c>
      <c r="S2398" s="19">
        <f t="shared" si="412"/>
        <v>268804</v>
      </c>
      <c r="T2398" s="16"/>
      <c r="U2398" s="17"/>
      <c r="V2398" s="17"/>
      <c r="W2398" s="5"/>
      <c r="X2398" s="16"/>
      <c r="Y2398" s="5"/>
      <c r="Z2398" s="16"/>
      <c r="AA2398" s="16"/>
      <c r="AB2398" s="16"/>
      <c r="AE2398" s="16"/>
      <c r="AG2398" s="22">
        <f t="shared" si="416"/>
        <v>0</v>
      </c>
      <c r="AH2398" s="6"/>
      <c r="AJ2398" s="20">
        <f t="shared" si="413"/>
        <v>0</v>
      </c>
      <c r="AK2398" s="50"/>
      <c r="AL2398" s="6"/>
      <c r="AM2398" s="20">
        <f t="shared" si="414"/>
        <v>0</v>
      </c>
      <c r="AN2398" s="20">
        <f t="shared" si="410"/>
        <v>268804</v>
      </c>
      <c r="AP2398" s="20">
        <f t="shared" si="415"/>
        <v>268804</v>
      </c>
      <c r="AQ2398" s="7"/>
      <c r="AR2398" s="60"/>
      <c r="AS2398" s="128">
        <v>107</v>
      </c>
    </row>
    <row r="2399" spans="1:45" s="21" customFormat="1" ht="30" customHeight="1" x14ac:dyDescent="0.2">
      <c r="A2399" s="8">
        <v>2043</v>
      </c>
      <c r="B2399" s="46">
        <v>2</v>
      </c>
      <c r="C2399" s="16" t="s">
        <v>52</v>
      </c>
      <c r="D2399" s="48">
        <v>1136</v>
      </c>
      <c r="E2399" s="47">
        <v>32</v>
      </c>
      <c r="F2399" s="48">
        <v>716</v>
      </c>
      <c r="G2399" s="49">
        <v>1</v>
      </c>
      <c r="H2399" s="48">
        <v>10</v>
      </c>
      <c r="I2399" s="48">
        <v>2</v>
      </c>
      <c r="J2399" s="48">
        <v>94</v>
      </c>
      <c r="K2399" s="3">
        <v>4294</v>
      </c>
      <c r="L2399" s="16"/>
      <c r="M2399" s="57"/>
      <c r="N2399" s="58"/>
      <c r="P2399" s="16">
        <v>1</v>
      </c>
      <c r="Q2399" s="20">
        <f t="shared" si="411"/>
        <v>4294</v>
      </c>
      <c r="R2399" s="14">
        <v>160</v>
      </c>
      <c r="S2399" s="19">
        <f t="shared" si="412"/>
        <v>687040</v>
      </c>
      <c r="T2399" s="16"/>
      <c r="U2399" s="17"/>
      <c r="V2399" s="17"/>
      <c r="W2399" s="5"/>
      <c r="X2399" s="16"/>
      <c r="Y2399" s="5"/>
      <c r="Z2399" s="16"/>
      <c r="AA2399" s="16"/>
      <c r="AB2399" s="16"/>
      <c r="AE2399" s="16"/>
      <c r="AG2399" s="22">
        <f t="shared" si="416"/>
        <v>0</v>
      </c>
      <c r="AH2399" s="6"/>
      <c r="AJ2399" s="20">
        <f t="shared" si="413"/>
        <v>0</v>
      </c>
      <c r="AK2399" s="50"/>
      <c r="AL2399" s="6"/>
      <c r="AM2399" s="20">
        <f t="shared" si="414"/>
        <v>0</v>
      </c>
      <c r="AN2399" s="20">
        <f t="shared" si="410"/>
        <v>687040</v>
      </c>
      <c r="AP2399" s="20">
        <f t="shared" si="415"/>
        <v>687040</v>
      </c>
      <c r="AQ2399" s="7"/>
      <c r="AR2399" s="24"/>
      <c r="AS2399" s="129"/>
    </row>
    <row r="2400" spans="1:45" s="21" customFormat="1" ht="30" customHeight="1" x14ac:dyDescent="0.2">
      <c r="A2400" s="8">
        <v>2044</v>
      </c>
      <c r="B2400" s="46">
        <v>3</v>
      </c>
      <c r="C2400" s="16" t="s">
        <v>52</v>
      </c>
      <c r="D2400" s="48">
        <v>1176</v>
      </c>
      <c r="E2400" s="47">
        <v>1</v>
      </c>
      <c r="F2400" s="48">
        <v>1015</v>
      </c>
      <c r="G2400" s="49">
        <v>1</v>
      </c>
      <c r="H2400" s="48">
        <v>9</v>
      </c>
      <c r="I2400" s="48">
        <v>0</v>
      </c>
      <c r="J2400" s="48">
        <v>13</v>
      </c>
      <c r="K2400" s="3">
        <f>9*400+13</f>
        <v>3613</v>
      </c>
      <c r="L2400" s="16"/>
      <c r="M2400" s="57"/>
      <c r="N2400" s="58"/>
      <c r="P2400" s="16">
        <v>1</v>
      </c>
      <c r="Q2400" s="20">
        <f t="shared" si="411"/>
        <v>3613</v>
      </c>
      <c r="R2400" s="14">
        <v>160</v>
      </c>
      <c r="S2400" s="20">
        <f t="shared" si="412"/>
        <v>578080</v>
      </c>
      <c r="T2400" s="16"/>
      <c r="U2400" s="17"/>
      <c r="V2400" s="17"/>
      <c r="W2400" s="5"/>
      <c r="X2400" s="16"/>
      <c r="Y2400" s="5"/>
      <c r="Z2400" s="16"/>
      <c r="AA2400" s="16"/>
      <c r="AB2400" s="16"/>
      <c r="AC2400" s="14"/>
      <c r="AD2400" s="14"/>
      <c r="AE2400" s="16"/>
      <c r="AG2400" s="22">
        <f t="shared" si="416"/>
        <v>0</v>
      </c>
      <c r="AH2400" s="6"/>
      <c r="AJ2400" s="20">
        <f t="shared" si="413"/>
        <v>0</v>
      </c>
      <c r="AK2400" s="50"/>
      <c r="AL2400" s="6"/>
      <c r="AM2400" s="20">
        <f t="shared" si="414"/>
        <v>0</v>
      </c>
      <c r="AN2400" s="20">
        <f t="shared" si="410"/>
        <v>578080</v>
      </c>
      <c r="AP2400" s="20">
        <f t="shared" si="415"/>
        <v>578080</v>
      </c>
      <c r="AQ2400" s="7"/>
      <c r="AR2400" s="24"/>
      <c r="AS2400" s="129"/>
    </row>
    <row r="2401" spans="1:45" s="21" customFormat="1" ht="30" customHeight="1" x14ac:dyDescent="0.2">
      <c r="A2401" s="8">
        <v>2045</v>
      </c>
      <c r="B2401" s="46">
        <v>4</v>
      </c>
      <c r="C2401" s="16" t="s">
        <v>52</v>
      </c>
      <c r="D2401" s="48">
        <v>25996</v>
      </c>
      <c r="E2401" s="47">
        <v>507</v>
      </c>
      <c r="F2401" s="48">
        <v>4913</v>
      </c>
      <c r="G2401" s="49">
        <v>1</v>
      </c>
      <c r="H2401" s="48">
        <v>0</v>
      </c>
      <c r="I2401" s="48">
        <v>0</v>
      </c>
      <c r="J2401" s="48">
        <v>30</v>
      </c>
      <c r="K2401" s="3"/>
      <c r="L2401" s="16">
        <v>30</v>
      </c>
      <c r="M2401" s="57"/>
      <c r="N2401" s="58"/>
      <c r="P2401" s="16">
        <v>2</v>
      </c>
      <c r="Q2401" s="20">
        <f t="shared" si="411"/>
        <v>30</v>
      </c>
      <c r="R2401" s="14">
        <v>3000</v>
      </c>
      <c r="S2401" s="19">
        <f t="shared" si="412"/>
        <v>90000</v>
      </c>
      <c r="T2401" s="16"/>
      <c r="U2401" s="17" t="s">
        <v>63</v>
      </c>
      <c r="V2401" s="17" t="s">
        <v>56</v>
      </c>
      <c r="W2401" s="5">
        <v>190</v>
      </c>
      <c r="X2401" s="16"/>
      <c r="Y2401" s="5">
        <v>190</v>
      </c>
      <c r="Z2401" s="16"/>
      <c r="AA2401" s="16"/>
      <c r="AB2401" s="16"/>
      <c r="AE2401" s="16"/>
      <c r="AF2401" s="21">
        <v>2</v>
      </c>
      <c r="AG2401" s="22">
        <f t="shared" si="416"/>
        <v>190</v>
      </c>
      <c r="AH2401" s="6">
        <v>1</v>
      </c>
      <c r="AI2401" s="21">
        <v>8100</v>
      </c>
      <c r="AJ2401" s="20">
        <f t="shared" si="413"/>
        <v>1539000</v>
      </c>
      <c r="AK2401" s="50">
        <v>2</v>
      </c>
      <c r="AL2401" s="6">
        <v>0.02</v>
      </c>
      <c r="AM2401" s="20">
        <f t="shared" si="414"/>
        <v>1508220</v>
      </c>
      <c r="AN2401" s="20">
        <f t="shared" si="410"/>
        <v>1598220</v>
      </c>
      <c r="AP2401" s="20">
        <f t="shared" si="415"/>
        <v>1598220</v>
      </c>
      <c r="AQ2401" s="7"/>
      <c r="AR2401" s="24"/>
      <c r="AS2401" s="129"/>
    </row>
    <row r="2402" spans="1:45" s="21" customFormat="1" ht="30" customHeight="1" x14ac:dyDescent="0.2">
      <c r="A2402" s="8">
        <v>2046</v>
      </c>
      <c r="B2402" s="46">
        <v>5</v>
      </c>
      <c r="C2402" s="16" t="s">
        <v>52</v>
      </c>
      <c r="D2402" s="48">
        <v>25997</v>
      </c>
      <c r="E2402" s="47">
        <v>508</v>
      </c>
      <c r="F2402" s="48">
        <v>4914</v>
      </c>
      <c r="G2402" s="49">
        <v>1</v>
      </c>
      <c r="H2402" s="48">
        <v>0</v>
      </c>
      <c r="I2402" s="48">
        <v>0</v>
      </c>
      <c r="J2402" s="48">
        <v>33</v>
      </c>
      <c r="K2402" s="3"/>
      <c r="L2402" s="16">
        <v>33</v>
      </c>
      <c r="M2402" s="57"/>
      <c r="N2402" s="58"/>
      <c r="P2402" s="16">
        <v>2</v>
      </c>
      <c r="Q2402" s="20">
        <f t="shared" si="411"/>
        <v>33</v>
      </c>
      <c r="R2402" s="14">
        <v>3000</v>
      </c>
      <c r="S2402" s="19">
        <f t="shared" si="412"/>
        <v>99000</v>
      </c>
      <c r="T2402" s="16"/>
      <c r="U2402" s="17" t="s">
        <v>63</v>
      </c>
      <c r="V2402" s="17" t="s">
        <v>56</v>
      </c>
      <c r="W2402" s="5">
        <v>190</v>
      </c>
      <c r="X2402" s="16"/>
      <c r="Y2402" s="5">
        <v>190</v>
      </c>
      <c r="Z2402" s="16"/>
      <c r="AA2402" s="16"/>
      <c r="AB2402" s="16"/>
      <c r="AC2402" s="14"/>
      <c r="AD2402" s="14"/>
      <c r="AE2402" s="16">
        <f>95*2</f>
        <v>190</v>
      </c>
      <c r="AF2402" s="21">
        <v>2</v>
      </c>
      <c r="AG2402" s="22">
        <f t="shared" si="416"/>
        <v>190</v>
      </c>
      <c r="AH2402" s="6">
        <v>0.87</v>
      </c>
      <c r="AI2402" s="21">
        <v>8100</v>
      </c>
      <c r="AJ2402" s="20">
        <f t="shared" si="413"/>
        <v>1338930</v>
      </c>
      <c r="AK2402" s="50">
        <v>2</v>
      </c>
      <c r="AL2402" s="6">
        <v>0.02</v>
      </c>
      <c r="AM2402" s="20">
        <f t="shared" si="414"/>
        <v>1312151.3999999999</v>
      </c>
      <c r="AN2402" s="20">
        <f t="shared" si="410"/>
        <v>1411151.4</v>
      </c>
      <c r="AP2402" s="20">
        <f t="shared" si="415"/>
        <v>1411151.4</v>
      </c>
      <c r="AQ2402" s="7"/>
      <c r="AR2402" s="24"/>
      <c r="AS2402" s="129"/>
    </row>
    <row r="2403" spans="1:45" s="21" customFormat="1" ht="30" customHeight="1" x14ac:dyDescent="0.2">
      <c r="A2403" s="8"/>
      <c r="B2403" s="46"/>
      <c r="C2403" s="16"/>
      <c r="D2403" s="48"/>
      <c r="E2403" s="47"/>
      <c r="F2403" s="48"/>
      <c r="G2403" s="49"/>
      <c r="H2403" s="48"/>
      <c r="I2403" s="48"/>
      <c r="J2403" s="48"/>
      <c r="K2403" s="3"/>
      <c r="L2403" s="16"/>
      <c r="M2403" s="57"/>
      <c r="N2403" s="58"/>
      <c r="P2403" s="16"/>
      <c r="Q2403" s="20"/>
      <c r="R2403" s="14" t="e">
        <v>#N/A</v>
      </c>
      <c r="S2403" s="19"/>
      <c r="T2403" s="16"/>
      <c r="U2403" s="17"/>
      <c r="V2403" s="17"/>
      <c r="W2403" s="5"/>
      <c r="X2403" s="16"/>
      <c r="Y2403" s="5"/>
      <c r="Z2403" s="16">
        <v>20</v>
      </c>
      <c r="AA2403" s="16"/>
      <c r="AB2403" s="16"/>
      <c r="AC2403" s="14"/>
      <c r="AD2403" s="14"/>
      <c r="AE2403" s="16" t="s">
        <v>201</v>
      </c>
      <c r="AF2403" s="21">
        <v>3</v>
      </c>
      <c r="AG2403" s="22">
        <v>100</v>
      </c>
      <c r="AH2403" s="6">
        <v>0.13</v>
      </c>
      <c r="AI2403" s="21">
        <v>8100</v>
      </c>
      <c r="AJ2403" s="20">
        <f>+AG2403*AH2403*AI2403</f>
        <v>105300</v>
      </c>
      <c r="AK2403" s="50">
        <v>2</v>
      </c>
      <c r="AL2403" s="6">
        <v>0.02</v>
      </c>
      <c r="AM2403" s="20">
        <f t="shared" si="414"/>
        <v>103194</v>
      </c>
      <c r="AN2403" s="20">
        <f>+(S2402*0.1)+AM2403</f>
        <v>113094</v>
      </c>
      <c r="AP2403" s="20">
        <f t="shared" si="415"/>
        <v>113094</v>
      </c>
      <c r="AQ2403" s="7">
        <v>3.0000000000000001E-3</v>
      </c>
      <c r="AR2403" s="24"/>
      <c r="AS2403" s="129"/>
    </row>
    <row r="2404" spans="1:45" s="21" customFormat="1" ht="30" customHeight="1" x14ac:dyDescent="0.2">
      <c r="A2404" s="8">
        <v>2047</v>
      </c>
      <c r="B2404" s="46">
        <v>6</v>
      </c>
      <c r="C2404" s="16" t="s">
        <v>52</v>
      </c>
      <c r="D2404" s="48">
        <v>32382</v>
      </c>
      <c r="E2404" s="47">
        <v>510</v>
      </c>
      <c r="F2404" s="48">
        <v>6403</v>
      </c>
      <c r="G2404" s="49">
        <v>1</v>
      </c>
      <c r="H2404" s="48">
        <v>4</v>
      </c>
      <c r="I2404" s="48">
        <v>3</v>
      </c>
      <c r="J2404" s="48">
        <v>58.04</v>
      </c>
      <c r="K2404" s="3">
        <v>1958.04</v>
      </c>
      <c r="L2404" s="16"/>
      <c r="M2404" s="57"/>
      <c r="N2404" s="58"/>
      <c r="P2404" s="16">
        <v>1</v>
      </c>
      <c r="Q2404" s="20">
        <f t="shared" si="411"/>
        <v>1958.04</v>
      </c>
      <c r="R2404" s="14">
        <v>200</v>
      </c>
      <c r="S2404" s="20">
        <f t="shared" si="412"/>
        <v>391608</v>
      </c>
      <c r="T2404" s="16"/>
      <c r="U2404" s="17"/>
      <c r="V2404" s="17"/>
      <c r="W2404" s="5"/>
      <c r="X2404" s="16"/>
      <c r="Y2404" s="5"/>
      <c r="Z2404" s="16"/>
      <c r="AA2404" s="16"/>
      <c r="AB2404" s="16"/>
      <c r="AC2404" s="14"/>
      <c r="AD2404" s="14"/>
      <c r="AE2404" s="16"/>
      <c r="AG2404" s="22">
        <f t="shared" si="416"/>
        <v>0</v>
      </c>
      <c r="AH2404" s="6"/>
      <c r="AJ2404" s="20">
        <f t="shared" si="413"/>
        <v>0</v>
      </c>
      <c r="AK2404" s="50"/>
      <c r="AL2404" s="6"/>
      <c r="AM2404" s="20">
        <f t="shared" si="414"/>
        <v>0</v>
      </c>
      <c r="AN2404" s="20">
        <f>+S2404+AM2404</f>
        <v>391608</v>
      </c>
      <c r="AP2404" s="20">
        <f t="shared" si="415"/>
        <v>391608</v>
      </c>
      <c r="AQ2404" s="7"/>
      <c r="AR2404" s="25"/>
      <c r="AS2404" s="130"/>
    </row>
    <row r="2405" spans="1:45" s="21" customFormat="1" ht="22.5" customHeight="1" x14ac:dyDescent="0.2">
      <c r="A2405" s="9">
        <v>2048</v>
      </c>
      <c r="B2405" s="46">
        <v>1</v>
      </c>
      <c r="C2405" s="16" t="s">
        <v>52</v>
      </c>
      <c r="D2405" s="48">
        <v>1369</v>
      </c>
      <c r="E2405" s="47">
        <v>58</v>
      </c>
      <c r="F2405" s="48">
        <v>659</v>
      </c>
      <c r="G2405" s="49">
        <v>1</v>
      </c>
      <c r="H2405" s="48">
        <v>14</v>
      </c>
      <c r="I2405" s="48">
        <v>1</v>
      </c>
      <c r="J2405" s="48">
        <v>25</v>
      </c>
      <c r="K2405" s="3">
        <f>+(14*400+125)-M2405</f>
        <v>5576.875</v>
      </c>
      <c r="L2405" s="16"/>
      <c r="M2405" s="57">
        <f>+(240+352.5)/4</f>
        <v>148.125</v>
      </c>
      <c r="N2405" s="58"/>
      <c r="P2405" s="16">
        <v>5</v>
      </c>
      <c r="Q2405" s="20">
        <f t="shared" si="411"/>
        <v>5725</v>
      </c>
      <c r="R2405" s="14">
        <v>750</v>
      </c>
      <c r="S2405" s="19">
        <f t="shared" si="412"/>
        <v>4293750</v>
      </c>
      <c r="T2405" s="16"/>
      <c r="U2405" s="17"/>
      <c r="V2405" s="17"/>
      <c r="W2405" s="5"/>
      <c r="X2405" s="16"/>
      <c r="Y2405" s="5"/>
      <c r="Z2405" s="16"/>
      <c r="AA2405" s="16"/>
      <c r="AB2405" s="16"/>
      <c r="AC2405" s="14"/>
      <c r="AD2405" s="14"/>
      <c r="AE2405" s="16"/>
      <c r="AF2405" s="21">
        <v>5</v>
      </c>
      <c r="AG2405" s="22"/>
      <c r="AH2405" s="6"/>
      <c r="AJ2405" s="20"/>
      <c r="AK2405" s="50"/>
      <c r="AL2405" s="6"/>
      <c r="AM2405" s="20"/>
      <c r="AN2405" s="20"/>
      <c r="AP2405" s="20"/>
      <c r="AQ2405" s="7"/>
      <c r="AR2405" s="60">
        <v>29</v>
      </c>
      <c r="AS2405" s="118">
        <v>4349</v>
      </c>
    </row>
    <row r="2406" spans="1:45" s="21" customFormat="1" ht="22.5" customHeight="1" x14ac:dyDescent="0.2">
      <c r="A2406" s="9"/>
      <c r="B2406" s="46"/>
      <c r="C2406" s="16"/>
      <c r="D2406" s="48"/>
      <c r="E2406" s="47"/>
      <c r="F2406" s="48"/>
      <c r="G2406" s="49"/>
      <c r="H2406" s="48"/>
      <c r="I2406" s="48"/>
      <c r="J2406" s="48"/>
      <c r="K2406" s="3"/>
      <c r="L2406" s="16"/>
      <c r="M2406" s="57"/>
      <c r="N2406" s="58"/>
      <c r="P2406" s="16">
        <v>1</v>
      </c>
      <c r="Q2406" s="20">
        <v>5380</v>
      </c>
      <c r="R2406" s="14">
        <v>750</v>
      </c>
      <c r="S2406" s="19">
        <f t="shared" si="412"/>
        <v>4035000</v>
      </c>
      <c r="T2406" s="16">
        <v>1</v>
      </c>
      <c r="U2406" s="17"/>
      <c r="V2406" s="17"/>
      <c r="W2406" s="5"/>
      <c r="X2406" s="16"/>
      <c r="Y2406" s="5"/>
      <c r="Z2406" s="16"/>
      <c r="AA2406" s="16"/>
      <c r="AB2406" s="16"/>
      <c r="AC2406" s="14"/>
      <c r="AD2406" s="14"/>
      <c r="AE2406" s="16">
        <f>5725-75-270</f>
        <v>5380</v>
      </c>
      <c r="AG2406" s="22"/>
      <c r="AH2406" s="6"/>
      <c r="AJ2406" s="20"/>
      <c r="AK2406" s="50"/>
      <c r="AL2406" s="6"/>
      <c r="AM2406" s="20"/>
      <c r="AN2406" s="20"/>
      <c r="AP2406" s="20"/>
      <c r="AQ2406" s="7"/>
      <c r="AR2406" s="24">
        <v>4320</v>
      </c>
      <c r="AS2406" s="119"/>
    </row>
    <row r="2407" spans="1:45" s="21" customFormat="1" ht="22.5" customHeight="1" x14ac:dyDescent="0.2">
      <c r="A2407" s="9"/>
      <c r="B2407" s="46"/>
      <c r="C2407" s="16"/>
      <c r="D2407" s="48"/>
      <c r="E2407" s="47"/>
      <c r="F2407" s="48"/>
      <c r="G2407" s="49"/>
      <c r="H2407" s="48"/>
      <c r="I2407" s="48"/>
      <c r="J2407" s="48"/>
      <c r="K2407" s="3"/>
      <c r="L2407" s="16"/>
      <c r="M2407" s="57"/>
      <c r="N2407" s="58"/>
      <c r="P2407" s="16">
        <v>3</v>
      </c>
      <c r="Q2407" s="20">
        <v>75</v>
      </c>
      <c r="R2407" s="14">
        <v>750</v>
      </c>
      <c r="S2407" s="19">
        <f t="shared" si="412"/>
        <v>56250</v>
      </c>
      <c r="T2407" s="16">
        <v>2</v>
      </c>
      <c r="U2407" s="17" t="s">
        <v>174</v>
      </c>
      <c r="V2407" s="17" t="s">
        <v>56</v>
      </c>
      <c r="W2407" s="5">
        <v>300</v>
      </c>
      <c r="X2407" s="16"/>
      <c r="Y2407" s="5"/>
      <c r="Z2407" s="16">
        <v>300</v>
      </c>
      <c r="AA2407" s="16"/>
      <c r="AB2407" s="16">
        <v>6</v>
      </c>
      <c r="AC2407" s="14"/>
      <c r="AD2407" s="14"/>
      <c r="AE2407" s="16" t="s">
        <v>202</v>
      </c>
      <c r="AF2407" s="21">
        <v>3</v>
      </c>
      <c r="AG2407" s="22">
        <v>300</v>
      </c>
      <c r="AH2407" s="6">
        <v>1</v>
      </c>
      <c r="AI2407" s="21">
        <v>5800</v>
      </c>
      <c r="AJ2407" s="20">
        <f>+AG2407*AH2407*AI2407</f>
        <v>1740000</v>
      </c>
      <c r="AK2407" s="50">
        <v>6</v>
      </c>
      <c r="AL2407" s="6">
        <v>0.06</v>
      </c>
      <c r="AM2407" s="20">
        <f>+AJ2407-(AL2407*AJ2407)</f>
        <v>1635600</v>
      </c>
      <c r="AN2407" s="20">
        <f>+S2407+AM2407</f>
        <v>1691850</v>
      </c>
      <c r="AP2407" s="20">
        <f>AN2407</f>
        <v>1691850</v>
      </c>
      <c r="AQ2407" s="7">
        <v>3.0000000000000001E-3</v>
      </c>
      <c r="AR2407" s="24"/>
      <c r="AS2407" s="119"/>
    </row>
    <row r="2408" spans="1:45" s="21" customFormat="1" ht="22.5" customHeight="1" x14ac:dyDescent="0.2">
      <c r="A2408" s="9"/>
      <c r="B2408" s="46"/>
      <c r="C2408" s="16"/>
      <c r="D2408" s="48"/>
      <c r="E2408" s="47"/>
      <c r="F2408" s="48"/>
      <c r="G2408" s="49"/>
      <c r="H2408" s="48"/>
      <c r="I2408" s="48"/>
      <c r="J2408" s="48"/>
      <c r="K2408" s="3"/>
      <c r="L2408" s="16"/>
      <c r="M2408" s="57"/>
      <c r="N2408" s="58"/>
      <c r="P2408" s="16">
        <v>3</v>
      </c>
      <c r="Q2408" s="20">
        <v>270</v>
      </c>
      <c r="R2408" s="14">
        <v>750</v>
      </c>
      <c r="S2408" s="19">
        <f>+Q2408*R2408</f>
        <v>202500</v>
      </c>
      <c r="T2408" s="16"/>
      <c r="U2408" s="17"/>
      <c r="V2408" s="17"/>
      <c r="W2408" s="5"/>
      <c r="X2408" s="16"/>
      <c r="Y2408" s="5"/>
      <c r="Z2408" s="16"/>
      <c r="AA2408" s="16"/>
      <c r="AB2408" s="16"/>
      <c r="AC2408" s="14"/>
      <c r="AD2408" s="14"/>
      <c r="AE2408" s="16"/>
      <c r="AG2408" s="22"/>
      <c r="AH2408" s="6"/>
      <c r="AJ2408" s="20"/>
      <c r="AK2408" s="50"/>
      <c r="AL2408" s="6"/>
      <c r="AM2408" s="20">
        <f>+AJ2408-(AL2408*AJ2408)</f>
        <v>0</v>
      </c>
      <c r="AN2408" s="20">
        <f>+S2408+AM2408</f>
        <v>202500</v>
      </c>
      <c r="AP2408" s="20">
        <f>AN2408</f>
        <v>202500</v>
      </c>
      <c r="AQ2408" s="7">
        <v>3.0000000000000001E-3</v>
      </c>
      <c r="AR2408" s="24"/>
      <c r="AS2408" s="97"/>
    </row>
    <row r="2409" spans="1:45" s="21" customFormat="1" ht="22.5" customHeight="1" x14ac:dyDescent="0.2">
      <c r="A2409" s="9"/>
      <c r="B2409" s="46"/>
      <c r="C2409" s="16"/>
      <c r="D2409" s="48"/>
      <c r="E2409" s="47"/>
      <c r="F2409" s="48"/>
      <c r="G2409" s="49"/>
      <c r="H2409" s="48"/>
      <c r="I2409" s="48"/>
      <c r="J2409" s="48"/>
      <c r="K2409" s="3"/>
      <c r="L2409" s="16"/>
      <c r="M2409" s="57"/>
      <c r="N2409" s="58"/>
      <c r="P2409" s="16"/>
      <c r="Q2409" s="20"/>
      <c r="R2409" s="14"/>
      <c r="S2409" s="19"/>
      <c r="T2409" s="16">
        <v>3</v>
      </c>
      <c r="U2409" s="17" t="s">
        <v>55</v>
      </c>
      <c r="V2409" s="17" t="s">
        <v>56</v>
      </c>
      <c r="W2409" s="5">
        <f>14*8</f>
        <v>112</v>
      </c>
      <c r="X2409" s="16"/>
      <c r="Y2409" s="5"/>
      <c r="Z2409" s="16"/>
      <c r="AA2409" s="16"/>
      <c r="AB2409" s="16">
        <v>6</v>
      </c>
      <c r="AC2409" s="14"/>
      <c r="AD2409" s="14"/>
      <c r="AE2409" s="16" t="s">
        <v>203</v>
      </c>
      <c r="AF2409" s="21">
        <v>3</v>
      </c>
      <c r="AG2409" s="22">
        <v>112</v>
      </c>
      <c r="AH2409" s="6">
        <v>1</v>
      </c>
      <c r="AI2409" s="21">
        <v>5650</v>
      </c>
      <c r="AJ2409" s="20">
        <f>+AG2409*AH2409*AI2409</f>
        <v>632800</v>
      </c>
      <c r="AK2409" s="50">
        <v>6</v>
      </c>
      <c r="AL2409" s="6">
        <v>0.06</v>
      </c>
      <c r="AM2409" s="20">
        <f>+AJ2409-(AL2409*AJ2409)</f>
        <v>594832</v>
      </c>
      <c r="AN2409" s="20">
        <f>+S2409+AM2409</f>
        <v>594832</v>
      </c>
      <c r="AP2409" s="20">
        <f>AN2409</f>
        <v>594832</v>
      </c>
      <c r="AQ2409" s="7">
        <v>3.0000000000000001E-3</v>
      </c>
      <c r="AR2409" s="24"/>
      <c r="AS2409" s="97"/>
    </row>
    <row r="2410" spans="1:45" s="21" customFormat="1" ht="22.5" customHeight="1" x14ac:dyDescent="0.2">
      <c r="A2410" s="9"/>
      <c r="B2410" s="46"/>
      <c r="C2410" s="16"/>
      <c r="D2410" s="48"/>
      <c r="E2410" s="47"/>
      <c r="F2410" s="48"/>
      <c r="G2410" s="49"/>
      <c r="H2410" s="48"/>
      <c r="I2410" s="48"/>
      <c r="J2410" s="48"/>
      <c r="K2410" s="3"/>
      <c r="L2410" s="16"/>
      <c r="M2410" s="57"/>
      <c r="N2410" s="58"/>
      <c r="P2410" s="16"/>
      <c r="Q2410" s="20"/>
      <c r="R2410" s="14"/>
      <c r="S2410" s="19"/>
      <c r="T2410" s="16"/>
      <c r="U2410" s="17" t="s">
        <v>57</v>
      </c>
      <c r="V2410" s="17" t="s">
        <v>56</v>
      </c>
      <c r="W2410" s="5">
        <f>8*4</f>
        <v>32</v>
      </c>
      <c r="X2410" s="16"/>
      <c r="Y2410" s="5"/>
      <c r="Z2410" s="16">
        <v>32</v>
      </c>
      <c r="AA2410" s="16"/>
      <c r="AB2410" s="16">
        <v>6</v>
      </c>
      <c r="AC2410" s="14"/>
      <c r="AD2410" s="14"/>
      <c r="AE2410" s="16"/>
      <c r="AF2410" s="21">
        <v>3</v>
      </c>
      <c r="AG2410" s="22">
        <v>32</v>
      </c>
      <c r="AH2410" s="6">
        <v>1</v>
      </c>
      <c r="AI2410" s="21">
        <v>7250</v>
      </c>
      <c r="AJ2410" s="20">
        <f>+AG2410*AH2410*AI2410</f>
        <v>232000</v>
      </c>
      <c r="AK2410" s="50">
        <v>6</v>
      </c>
      <c r="AL2410" s="6">
        <v>0.06</v>
      </c>
      <c r="AM2410" s="20">
        <f>+AJ2410-(AL2410*AJ2410)</f>
        <v>218080</v>
      </c>
      <c r="AN2410" s="20">
        <f>+S2410+AM2410</f>
        <v>218080</v>
      </c>
      <c r="AP2410" s="20">
        <f>AN2410</f>
        <v>218080</v>
      </c>
      <c r="AQ2410" s="7">
        <v>3.0000000000000001E-3</v>
      </c>
      <c r="AR2410" s="24"/>
      <c r="AS2410" s="97"/>
    </row>
    <row r="2411" spans="1:45" s="21" customFormat="1" ht="22.5" customHeight="1" x14ac:dyDescent="0.2">
      <c r="A2411" s="9"/>
      <c r="B2411" s="46"/>
      <c r="C2411" s="16"/>
      <c r="D2411" s="48"/>
      <c r="E2411" s="47"/>
      <c r="F2411" s="48"/>
      <c r="G2411" s="49"/>
      <c r="H2411" s="48"/>
      <c r="I2411" s="48"/>
      <c r="J2411" s="48"/>
      <c r="K2411" s="3"/>
      <c r="L2411" s="16"/>
      <c r="M2411" s="57"/>
      <c r="N2411" s="58"/>
      <c r="P2411" s="16"/>
      <c r="Q2411" s="20"/>
      <c r="R2411" s="14"/>
      <c r="S2411" s="19"/>
      <c r="T2411" s="16"/>
      <c r="U2411" s="17" t="s">
        <v>55</v>
      </c>
      <c r="V2411" s="17" t="s">
        <v>56</v>
      </c>
      <c r="W2411" s="5">
        <f>8.4*8</f>
        <v>67.2</v>
      </c>
      <c r="X2411" s="16"/>
      <c r="Y2411" s="5"/>
      <c r="Z2411" s="16">
        <v>67.2</v>
      </c>
      <c r="AA2411" s="16"/>
      <c r="AB2411" s="16">
        <v>6</v>
      </c>
      <c r="AC2411" s="14"/>
      <c r="AD2411" s="14"/>
      <c r="AE2411" s="16"/>
      <c r="AF2411" s="21">
        <v>3</v>
      </c>
      <c r="AG2411" s="22">
        <v>67.2</v>
      </c>
      <c r="AH2411" s="6">
        <v>1</v>
      </c>
      <c r="AI2411" s="21">
        <v>5650</v>
      </c>
      <c r="AJ2411" s="20">
        <f>+AG2411*AH2411*AI2411</f>
        <v>379680</v>
      </c>
      <c r="AK2411" s="50">
        <v>6</v>
      </c>
      <c r="AL2411" s="6">
        <v>0.06</v>
      </c>
      <c r="AM2411" s="20">
        <f>+AJ2411-(AL2411*AJ2411)</f>
        <v>356899.2</v>
      </c>
      <c r="AN2411" s="20">
        <f>+S2411+AM2411</f>
        <v>356899.2</v>
      </c>
      <c r="AP2411" s="20">
        <f>AN2411</f>
        <v>356899.2</v>
      </c>
      <c r="AQ2411" s="7">
        <v>3.0000000000000001E-3</v>
      </c>
      <c r="AR2411" s="24"/>
      <c r="AS2411" s="97"/>
    </row>
    <row r="2412" spans="1:45" s="21" customFormat="1" ht="22.5" customHeight="1" x14ac:dyDescent="0.2">
      <c r="A2412" s="9">
        <v>2049</v>
      </c>
      <c r="B2412" s="46">
        <v>2</v>
      </c>
      <c r="C2412" s="16" t="s">
        <v>52</v>
      </c>
      <c r="D2412" s="48">
        <v>21216</v>
      </c>
      <c r="E2412" s="47">
        <v>198</v>
      </c>
      <c r="F2412" s="48">
        <v>4717</v>
      </c>
      <c r="G2412" s="49">
        <v>1</v>
      </c>
      <c r="H2412" s="48">
        <v>0</v>
      </c>
      <c r="I2412" s="48">
        <v>2</v>
      </c>
      <c r="J2412" s="48">
        <v>74</v>
      </c>
      <c r="K2412" s="3"/>
      <c r="L2412" s="16"/>
      <c r="M2412" s="57"/>
      <c r="N2412" s="58"/>
      <c r="P2412" s="16">
        <v>5</v>
      </c>
      <c r="Q2412" s="20">
        <f t="shared" si="411"/>
        <v>274</v>
      </c>
      <c r="R2412" s="14">
        <v>3000</v>
      </c>
      <c r="S2412" s="20">
        <f t="shared" si="412"/>
        <v>822000</v>
      </c>
      <c r="T2412" s="16">
        <v>1</v>
      </c>
      <c r="U2412" s="17" t="s">
        <v>63</v>
      </c>
      <c r="V2412" s="17" t="s">
        <v>56</v>
      </c>
      <c r="W2412" s="5">
        <v>144</v>
      </c>
      <c r="X2412" s="16"/>
      <c r="Y2412" s="5"/>
      <c r="Z2412" s="16">
        <v>144</v>
      </c>
      <c r="AA2412" s="16"/>
      <c r="AB2412" s="16">
        <f>62-52</f>
        <v>10</v>
      </c>
      <c r="AC2412" s="14"/>
      <c r="AD2412" s="16">
        <f>144/522</f>
        <v>0.27586206896551724</v>
      </c>
      <c r="AE2412" s="16" t="s">
        <v>204</v>
      </c>
      <c r="AF2412" s="21">
        <v>3</v>
      </c>
      <c r="AG2412" s="22">
        <v>144</v>
      </c>
      <c r="AH2412" s="6">
        <v>1</v>
      </c>
      <c r="AI2412" s="21">
        <v>8100</v>
      </c>
      <c r="AJ2412" s="20">
        <f t="shared" si="413"/>
        <v>1166400</v>
      </c>
      <c r="AK2412" s="50">
        <v>10</v>
      </c>
      <c r="AL2412" s="6">
        <v>0.1</v>
      </c>
      <c r="AM2412" s="20">
        <f t="shared" si="414"/>
        <v>1049760</v>
      </c>
      <c r="AN2412" s="20">
        <f>+(S2412*AD2412)+AM2412</f>
        <v>1276518.6206896552</v>
      </c>
      <c r="AP2412" s="20">
        <f t="shared" si="415"/>
        <v>1276518.6206896552</v>
      </c>
      <c r="AQ2412" s="7">
        <v>3.0000000000000001E-3</v>
      </c>
      <c r="AR2412" s="24"/>
      <c r="AS2412" s="97"/>
    </row>
    <row r="2413" spans="1:45" s="21" customFormat="1" ht="22.5" customHeight="1" x14ac:dyDescent="0.2">
      <c r="A2413" s="9"/>
      <c r="B2413" s="46"/>
      <c r="C2413" s="16"/>
      <c r="D2413" s="48"/>
      <c r="E2413" s="47"/>
      <c r="F2413" s="48"/>
      <c r="G2413" s="49"/>
      <c r="H2413" s="48"/>
      <c r="I2413" s="48"/>
      <c r="J2413" s="48"/>
      <c r="K2413" s="3"/>
      <c r="L2413" s="16"/>
      <c r="M2413" s="57"/>
      <c r="N2413" s="58"/>
      <c r="P2413" s="16"/>
      <c r="Q2413" s="20">
        <f t="shared" si="411"/>
        <v>0</v>
      </c>
      <c r="R2413" s="14" t="e">
        <v>#N/A</v>
      </c>
      <c r="S2413" s="19" t="e">
        <f t="shared" si="412"/>
        <v>#N/A</v>
      </c>
      <c r="T2413" s="16">
        <v>2</v>
      </c>
      <c r="U2413" s="17" t="s">
        <v>63</v>
      </c>
      <c r="V2413" s="17" t="s">
        <v>56</v>
      </c>
      <c r="W2413" s="5">
        <v>90</v>
      </c>
      <c r="X2413" s="16"/>
      <c r="Y2413" s="5">
        <v>67.5</v>
      </c>
      <c r="Z2413" s="16">
        <v>22.5</v>
      </c>
      <c r="AA2413" s="16"/>
      <c r="AB2413" s="16">
        <f>62-51</f>
        <v>11</v>
      </c>
      <c r="AC2413" s="14"/>
      <c r="AD2413" s="16">
        <f>90/522</f>
        <v>0.17241379310344829</v>
      </c>
      <c r="AE2413" s="16" t="s">
        <v>205</v>
      </c>
      <c r="AF2413" s="21">
        <v>2</v>
      </c>
      <c r="AG2413" s="22">
        <v>90</v>
      </c>
      <c r="AH2413" s="6">
        <v>0.75</v>
      </c>
      <c r="AI2413" s="21">
        <v>8100</v>
      </c>
      <c r="AJ2413" s="20">
        <f t="shared" si="413"/>
        <v>546750</v>
      </c>
      <c r="AK2413" s="50">
        <v>11</v>
      </c>
      <c r="AL2413" s="6">
        <v>0.12</v>
      </c>
      <c r="AM2413" s="20">
        <f t="shared" si="414"/>
        <v>481140</v>
      </c>
      <c r="AN2413" s="20">
        <f>+((S2412*AD2413)*AH2413)+AM2413</f>
        <v>587433.10344827583</v>
      </c>
      <c r="AP2413" s="20">
        <f t="shared" si="415"/>
        <v>587433.10344827583</v>
      </c>
      <c r="AQ2413" s="7">
        <v>2.0000000000000001E-4</v>
      </c>
      <c r="AR2413" s="24"/>
      <c r="AS2413" s="97"/>
    </row>
    <row r="2414" spans="1:45" s="21" customFormat="1" ht="22.5" customHeight="1" x14ac:dyDescent="0.2">
      <c r="A2414" s="9"/>
      <c r="B2414" s="46"/>
      <c r="C2414" s="16"/>
      <c r="D2414" s="48"/>
      <c r="E2414" s="47"/>
      <c r="F2414" s="48"/>
      <c r="G2414" s="49"/>
      <c r="H2414" s="48"/>
      <c r="I2414" s="48"/>
      <c r="J2414" s="48"/>
      <c r="K2414" s="3"/>
      <c r="L2414" s="16"/>
      <c r="M2414" s="57"/>
      <c r="N2414" s="58"/>
      <c r="P2414" s="16"/>
      <c r="Q2414" s="20"/>
      <c r="R2414" s="14"/>
      <c r="S2414" s="19"/>
      <c r="T2414" s="16"/>
      <c r="U2414" s="17"/>
      <c r="V2414" s="17"/>
      <c r="W2414" s="5"/>
      <c r="X2414" s="16"/>
      <c r="Y2414" s="5"/>
      <c r="Z2414" s="16"/>
      <c r="AA2414" s="16"/>
      <c r="AB2414" s="16"/>
      <c r="AC2414" s="14"/>
      <c r="AD2414" s="16"/>
      <c r="AE2414" s="16"/>
      <c r="AF2414" s="21">
        <v>3</v>
      </c>
      <c r="AG2414" s="22">
        <v>90</v>
      </c>
      <c r="AH2414" s="6">
        <v>0.25</v>
      </c>
      <c r="AI2414" s="21">
        <v>8100</v>
      </c>
      <c r="AJ2414" s="20">
        <f t="shared" si="413"/>
        <v>182250</v>
      </c>
      <c r="AK2414" s="50">
        <v>11</v>
      </c>
      <c r="AL2414" s="6">
        <v>0.12</v>
      </c>
      <c r="AM2414" s="20">
        <f t="shared" si="414"/>
        <v>160380</v>
      </c>
      <c r="AN2414" s="20">
        <f>+((S2412*AD2413)*AH2414)+AM2414</f>
        <v>195811.03448275861</v>
      </c>
      <c r="AP2414" s="20">
        <f t="shared" si="415"/>
        <v>195811.03448275861</v>
      </c>
      <c r="AQ2414" s="7">
        <v>3.0000000000000001E-3</v>
      </c>
      <c r="AR2414" s="24"/>
      <c r="AS2414" s="97"/>
    </row>
    <row r="2415" spans="1:45" s="21" customFormat="1" ht="22.5" customHeight="1" x14ac:dyDescent="0.2">
      <c r="A2415" s="9"/>
      <c r="B2415" s="46"/>
      <c r="C2415" s="16"/>
      <c r="D2415" s="48"/>
      <c r="E2415" s="47"/>
      <c r="F2415" s="48"/>
      <c r="G2415" s="49"/>
      <c r="H2415" s="48"/>
      <c r="I2415" s="48"/>
      <c r="J2415" s="48"/>
      <c r="K2415" s="3"/>
      <c r="L2415" s="16"/>
      <c r="M2415" s="57"/>
      <c r="N2415" s="58"/>
      <c r="P2415" s="16"/>
      <c r="Q2415" s="20">
        <f t="shared" si="411"/>
        <v>0</v>
      </c>
      <c r="R2415" s="14" t="e">
        <v>#N/A</v>
      </c>
      <c r="S2415" s="19" t="e">
        <f t="shared" si="412"/>
        <v>#N/A</v>
      </c>
      <c r="T2415" s="16">
        <v>3</v>
      </c>
      <c r="U2415" s="17" t="s">
        <v>63</v>
      </c>
      <c r="V2415" s="17" t="s">
        <v>56</v>
      </c>
      <c r="W2415" s="5"/>
      <c r="X2415" s="16"/>
      <c r="Y2415" s="5">
        <v>90</v>
      </c>
      <c r="Z2415" s="16"/>
      <c r="AA2415" s="16"/>
      <c r="AB2415" s="16">
        <f>62-51</f>
        <v>11</v>
      </c>
      <c r="AC2415" s="14"/>
      <c r="AD2415" s="16">
        <f>90/522</f>
        <v>0.17241379310344829</v>
      </c>
      <c r="AE2415" s="16">
        <f>144+90+90+36+36+36+90</f>
        <v>522</v>
      </c>
      <c r="AF2415" s="21">
        <v>2</v>
      </c>
      <c r="AG2415" s="22">
        <f t="shared" si="416"/>
        <v>90</v>
      </c>
      <c r="AH2415" s="6">
        <v>1</v>
      </c>
      <c r="AI2415" s="21">
        <v>8100</v>
      </c>
      <c r="AJ2415" s="20">
        <f t="shared" si="413"/>
        <v>729000</v>
      </c>
      <c r="AK2415" s="50">
        <v>11</v>
      </c>
      <c r="AL2415" s="6">
        <v>0.12</v>
      </c>
      <c r="AM2415" s="20">
        <f t="shared" si="414"/>
        <v>641520</v>
      </c>
      <c r="AN2415" s="20">
        <f>+(S2412*AD2415)+AM2415</f>
        <v>783244.13793103443</v>
      </c>
      <c r="AP2415" s="20">
        <f t="shared" si="415"/>
        <v>783244.13793103443</v>
      </c>
      <c r="AQ2415" s="7">
        <v>2.0000000000000001E-4</v>
      </c>
      <c r="AR2415" s="24"/>
      <c r="AS2415" s="97"/>
    </row>
    <row r="2416" spans="1:45" s="21" customFormat="1" ht="22.5" customHeight="1" x14ac:dyDescent="0.2">
      <c r="A2416" s="9"/>
      <c r="B2416" s="46"/>
      <c r="C2416" s="16"/>
      <c r="D2416" s="48"/>
      <c r="E2416" s="47"/>
      <c r="F2416" s="48"/>
      <c r="G2416" s="49"/>
      <c r="H2416" s="48"/>
      <c r="I2416" s="48"/>
      <c r="J2416" s="48"/>
      <c r="K2416" s="3"/>
      <c r="L2416" s="16"/>
      <c r="M2416" s="57"/>
      <c r="N2416" s="58"/>
      <c r="P2416" s="16"/>
      <c r="Q2416" s="20">
        <f t="shared" si="411"/>
        <v>0</v>
      </c>
      <c r="R2416" s="14" t="e">
        <v>#N/A</v>
      </c>
      <c r="S2416" s="20" t="e">
        <f t="shared" si="412"/>
        <v>#N/A</v>
      </c>
      <c r="T2416" s="16">
        <v>4</v>
      </c>
      <c r="U2416" s="17" t="s">
        <v>63</v>
      </c>
      <c r="V2416" s="17" t="s">
        <v>56</v>
      </c>
      <c r="W2416" s="5"/>
      <c r="X2416" s="16"/>
      <c r="Y2416" s="5">
        <v>36</v>
      </c>
      <c r="Z2416" s="16"/>
      <c r="AA2416" s="16"/>
      <c r="AB2416" s="16">
        <f>62-52</f>
        <v>10</v>
      </c>
      <c r="AC2416" s="14"/>
      <c r="AD2416" s="16">
        <f>36/522</f>
        <v>6.8965517241379309E-2</v>
      </c>
      <c r="AE2416" s="16"/>
      <c r="AF2416" s="21">
        <v>2</v>
      </c>
      <c r="AG2416" s="22">
        <f t="shared" si="416"/>
        <v>36</v>
      </c>
      <c r="AH2416" s="6">
        <v>1</v>
      </c>
      <c r="AI2416" s="21">
        <v>8100</v>
      </c>
      <c r="AJ2416" s="20">
        <f t="shared" si="413"/>
        <v>291600</v>
      </c>
      <c r="AK2416" s="50">
        <v>10</v>
      </c>
      <c r="AL2416" s="6">
        <v>0.1</v>
      </c>
      <c r="AM2416" s="20">
        <f t="shared" si="414"/>
        <v>262440</v>
      </c>
      <c r="AN2416" s="20">
        <f>+(S2412*AD2416)+AM2416</f>
        <v>319129.6551724138</v>
      </c>
      <c r="AP2416" s="20">
        <f t="shared" si="415"/>
        <v>319129.6551724138</v>
      </c>
      <c r="AQ2416" s="7">
        <v>2.0000000000000001E-4</v>
      </c>
      <c r="AR2416" s="24"/>
      <c r="AS2416" s="97"/>
    </row>
    <row r="2417" spans="1:49" s="21" customFormat="1" ht="22.5" customHeight="1" x14ac:dyDescent="0.2">
      <c r="A2417" s="9"/>
      <c r="B2417" s="46"/>
      <c r="C2417" s="16"/>
      <c r="D2417" s="48"/>
      <c r="E2417" s="47"/>
      <c r="F2417" s="48"/>
      <c r="G2417" s="49"/>
      <c r="H2417" s="48"/>
      <c r="I2417" s="48"/>
      <c r="J2417" s="48"/>
      <c r="K2417" s="3"/>
      <c r="L2417" s="16"/>
      <c r="M2417" s="57"/>
      <c r="N2417" s="58"/>
      <c r="P2417" s="16"/>
      <c r="Q2417" s="20">
        <f t="shared" si="411"/>
        <v>0</v>
      </c>
      <c r="R2417" s="14" t="e">
        <v>#N/A</v>
      </c>
      <c r="S2417" s="19" t="e">
        <f t="shared" si="412"/>
        <v>#N/A</v>
      </c>
      <c r="T2417" s="16">
        <v>5</v>
      </c>
      <c r="U2417" s="17" t="s">
        <v>63</v>
      </c>
      <c r="V2417" s="17" t="s">
        <v>56</v>
      </c>
      <c r="W2417" s="5"/>
      <c r="X2417" s="16"/>
      <c r="Y2417" s="5">
        <v>36</v>
      </c>
      <c r="Z2417" s="16"/>
      <c r="AA2417" s="16"/>
      <c r="AB2417" s="16">
        <v>10</v>
      </c>
      <c r="AC2417" s="14"/>
      <c r="AD2417" s="16">
        <f>36/522</f>
        <v>6.8965517241379309E-2</v>
      </c>
      <c r="AE2417" s="16"/>
      <c r="AF2417" s="21">
        <v>2</v>
      </c>
      <c r="AG2417" s="22">
        <f t="shared" si="416"/>
        <v>36</v>
      </c>
      <c r="AH2417" s="6">
        <v>1</v>
      </c>
      <c r="AI2417" s="21">
        <v>8100</v>
      </c>
      <c r="AJ2417" s="20">
        <f t="shared" si="413"/>
        <v>291600</v>
      </c>
      <c r="AK2417" s="50">
        <v>10</v>
      </c>
      <c r="AL2417" s="6">
        <v>0.1</v>
      </c>
      <c r="AM2417" s="20">
        <f t="shared" si="414"/>
        <v>262440</v>
      </c>
      <c r="AN2417" s="20">
        <f>+(S2412*AD2417)+AM2417</f>
        <v>319129.6551724138</v>
      </c>
      <c r="AP2417" s="20">
        <f t="shared" si="415"/>
        <v>319129.6551724138</v>
      </c>
      <c r="AQ2417" s="7">
        <v>2.0000000000000001E-4</v>
      </c>
      <c r="AR2417" s="24"/>
      <c r="AS2417" s="97"/>
    </row>
    <row r="2418" spans="1:49" s="21" customFormat="1" ht="22.5" customHeight="1" x14ac:dyDescent="0.2">
      <c r="A2418" s="9"/>
      <c r="B2418" s="46"/>
      <c r="C2418" s="16"/>
      <c r="D2418" s="48"/>
      <c r="E2418" s="47"/>
      <c r="F2418" s="48"/>
      <c r="G2418" s="49"/>
      <c r="H2418" s="48"/>
      <c r="I2418" s="48"/>
      <c r="J2418" s="48"/>
      <c r="K2418" s="3"/>
      <c r="L2418" s="16"/>
      <c r="M2418" s="57"/>
      <c r="N2418" s="58"/>
      <c r="P2418" s="16"/>
      <c r="Q2418" s="20">
        <f t="shared" si="411"/>
        <v>0</v>
      </c>
      <c r="R2418" s="14" t="e">
        <v>#N/A</v>
      </c>
      <c r="S2418" s="19" t="e">
        <f t="shared" si="412"/>
        <v>#N/A</v>
      </c>
      <c r="T2418" s="16">
        <v>6</v>
      </c>
      <c r="U2418" s="17" t="s">
        <v>63</v>
      </c>
      <c r="V2418" s="17" t="s">
        <v>56</v>
      </c>
      <c r="W2418" s="5"/>
      <c r="X2418" s="16"/>
      <c r="Y2418" s="5">
        <v>36</v>
      </c>
      <c r="Z2418" s="16"/>
      <c r="AA2418" s="16"/>
      <c r="AB2418" s="16">
        <v>10</v>
      </c>
      <c r="AC2418" s="14"/>
      <c r="AD2418" s="16">
        <f>36/522</f>
        <v>6.8965517241379309E-2</v>
      </c>
      <c r="AE2418" s="16"/>
      <c r="AF2418" s="21">
        <v>2</v>
      </c>
      <c r="AG2418" s="22">
        <f t="shared" si="416"/>
        <v>36</v>
      </c>
      <c r="AH2418" s="6">
        <v>1</v>
      </c>
      <c r="AI2418" s="21">
        <v>8100</v>
      </c>
      <c r="AJ2418" s="20">
        <f t="shared" si="413"/>
        <v>291600</v>
      </c>
      <c r="AK2418" s="50">
        <v>10</v>
      </c>
      <c r="AL2418" s="6">
        <v>0.1</v>
      </c>
      <c r="AM2418" s="20">
        <f t="shared" si="414"/>
        <v>262440</v>
      </c>
      <c r="AN2418" s="20">
        <f>+(S2412*AD2418)+AM2418</f>
        <v>319129.6551724138</v>
      </c>
      <c r="AP2418" s="20">
        <f t="shared" si="415"/>
        <v>319129.6551724138</v>
      </c>
      <c r="AQ2418" s="7">
        <v>2.0000000000000001E-4</v>
      </c>
      <c r="AR2418" s="24"/>
      <c r="AS2418" s="97"/>
    </row>
    <row r="2419" spans="1:49" s="21" customFormat="1" ht="22.5" customHeight="1" x14ac:dyDescent="0.2">
      <c r="A2419" s="9"/>
      <c r="B2419" s="46"/>
      <c r="C2419" s="16"/>
      <c r="D2419" s="48"/>
      <c r="E2419" s="47"/>
      <c r="F2419" s="48"/>
      <c r="G2419" s="49"/>
      <c r="H2419" s="48"/>
      <c r="I2419" s="48"/>
      <c r="J2419" s="48"/>
      <c r="K2419" s="3"/>
      <c r="L2419" s="16"/>
      <c r="M2419" s="57"/>
      <c r="N2419" s="58"/>
      <c r="P2419" s="16"/>
      <c r="Q2419" s="20">
        <f t="shared" si="411"/>
        <v>0</v>
      </c>
      <c r="R2419" s="14" t="e">
        <v>#N/A</v>
      </c>
      <c r="S2419" s="20" t="e">
        <f t="shared" si="412"/>
        <v>#N/A</v>
      </c>
      <c r="T2419" s="16">
        <v>7</v>
      </c>
      <c r="U2419" s="17" t="s">
        <v>63</v>
      </c>
      <c r="V2419" s="17" t="s">
        <v>56</v>
      </c>
      <c r="W2419" s="5"/>
      <c r="X2419" s="16"/>
      <c r="Y2419" s="5">
        <v>90</v>
      </c>
      <c r="Z2419" s="16"/>
      <c r="AA2419" s="16"/>
      <c r="AB2419" s="16">
        <f>62-51</f>
        <v>11</v>
      </c>
      <c r="AC2419" s="14"/>
      <c r="AD2419" s="16">
        <f>90/522</f>
        <v>0.17241379310344829</v>
      </c>
      <c r="AE2419" s="16"/>
      <c r="AF2419" s="21">
        <v>2</v>
      </c>
      <c r="AG2419" s="22">
        <v>90</v>
      </c>
      <c r="AH2419" s="6">
        <v>1</v>
      </c>
      <c r="AI2419" s="21">
        <v>8100</v>
      </c>
      <c r="AJ2419" s="20">
        <f t="shared" si="413"/>
        <v>729000</v>
      </c>
      <c r="AK2419" s="50">
        <v>11</v>
      </c>
      <c r="AL2419" s="6">
        <v>0.12</v>
      </c>
      <c r="AM2419" s="20">
        <f t="shared" si="414"/>
        <v>641520</v>
      </c>
      <c r="AN2419" s="20">
        <f>+(S2412*AD2419)+AM2419</f>
        <v>783244.13793103443</v>
      </c>
      <c r="AP2419" s="20">
        <f t="shared" si="415"/>
        <v>783244.13793103443</v>
      </c>
      <c r="AQ2419" s="7">
        <v>2.0000000000000001E-4</v>
      </c>
      <c r="AR2419" s="24"/>
      <c r="AS2419" s="97"/>
    </row>
    <row r="2420" spans="1:49" s="21" customFormat="1" ht="22.5" customHeight="1" x14ac:dyDescent="0.2">
      <c r="A2420" s="8">
        <v>2050</v>
      </c>
      <c r="B2420" s="46">
        <v>3</v>
      </c>
      <c r="C2420" s="16" t="s">
        <v>52</v>
      </c>
      <c r="D2420" s="48">
        <v>3859</v>
      </c>
      <c r="E2420" s="47">
        <v>31</v>
      </c>
      <c r="F2420" s="48">
        <v>2413</v>
      </c>
      <c r="G2420" s="49">
        <v>2</v>
      </c>
      <c r="H2420" s="48">
        <v>2</v>
      </c>
      <c r="I2420" s="48">
        <v>1</v>
      </c>
      <c r="J2420" s="48">
        <v>56</v>
      </c>
      <c r="K2420" s="3">
        <v>956</v>
      </c>
      <c r="L2420" s="16"/>
      <c r="M2420" s="57"/>
      <c r="N2420" s="58"/>
      <c r="P2420" s="16">
        <v>1</v>
      </c>
      <c r="Q2420" s="20">
        <f t="shared" si="411"/>
        <v>956</v>
      </c>
      <c r="R2420" s="14">
        <v>200</v>
      </c>
      <c r="S2420" s="19">
        <f t="shared" si="412"/>
        <v>191200</v>
      </c>
      <c r="T2420" s="16"/>
      <c r="U2420" s="17"/>
      <c r="V2420" s="17"/>
      <c r="W2420" s="5"/>
      <c r="X2420" s="16"/>
      <c r="Y2420" s="5"/>
      <c r="Z2420" s="16"/>
      <c r="AA2420" s="16"/>
      <c r="AB2420" s="16"/>
      <c r="AC2420" s="14"/>
      <c r="AD2420" s="14"/>
      <c r="AE2420" s="16"/>
      <c r="AG2420" s="22">
        <f t="shared" si="416"/>
        <v>0</v>
      </c>
      <c r="AH2420" s="6"/>
      <c r="AJ2420" s="20">
        <f t="shared" si="413"/>
        <v>0</v>
      </c>
      <c r="AK2420" s="50"/>
      <c r="AL2420" s="6"/>
      <c r="AM2420" s="20">
        <f t="shared" si="414"/>
        <v>0</v>
      </c>
      <c r="AN2420" s="20">
        <f t="shared" ref="AN2420:AN2429" si="417">+S2420+AM2420</f>
        <v>191200</v>
      </c>
      <c r="AP2420" s="20">
        <f t="shared" si="415"/>
        <v>191200</v>
      </c>
      <c r="AQ2420" s="7"/>
      <c r="AR2420" s="24"/>
      <c r="AS2420" s="97"/>
    </row>
    <row r="2421" spans="1:49" s="21" customFormat="1" ht="22.5" customHeight="1" x14ac:dyDescent="0.2">
      <c r="A2421" s="8">
        <v>2051</v>
      </c>
      <c r="B2421" s="46">
        <v>4</v>
      </c>
      <c r="C2421" s="16" t="s">
        <v>52</v>
      </c>
      <c r="D2421" s="48">
        <v>4595</v>
      </c>
      <c r="E2421" s="47">
        <v>146</v>
      </c>
      <c r="F2421" s="48">
        <v>2114</v>
      </c>
      <c r="G2421" s="49">
        <v>2</v>
      </c>
      <c r="H2421" s="48">
        <v>4</v>
      </c>
      <c r="I2421" s="48">
        <v>2</v>
      </c>
      <c r="J2421" s="48">
        <v>49</v>
      </c>
      <c r="K2421" s="3">
        <v>1849</v>
      </c>
      <c r="L2421" s="16"/>
      <c r="M2421" s="57"/>
      <c r="N2421" s="58"/>
      <c r="P2421" s="16">
        <v>1</v>
      </c>
      <c r="Q2421" s="20">
        <f t="shared" si="411"/>
        <v>1849</v>
      </c>
      <c r="R2421" s="14">
        <v>160</v>
      </c>
      <c r="S2421" s="19">
        <f t="shared" si="412"/>
        <v>295840</v>
      </c>
      <c r="T2421" s="16"/>
      <c r="U2421" s="17"/>
      <c r="V2421" s="17"/>
      <c r="W2421" s="5"/>
      <c r="X2421" s="16"/>
      <c r="Y2421" s="5"/>
      <c r="Z2421" s="16"/>
      <c r="AA2421" s="16"/>
      <c r="AB2421" s="16"/>
      <c r="AE2421" s="16"/>
      <c r="AG2421" s="22">
        <f t="shared" si="416"/>
        <v>0</v>
      </c>
      <c r="AH2421" s="6"/>
      <c r="AJ2421" s="20">
        <f t="shared" si="413"/>
        <v>0</v>
      </c>
      <c r="AK2421" s="50"/>
      <c r="AL2421" s="6"/>
      <c r="AM2421" s="20">
        <f t="shared" si="414"/>
        <v>0</v>
      </c>
      <c r="AN2421" s="20">
        <f t="shared" si="417"/>
        <v>295840</v>
      </c>
      <c r="AP2421" s="20">
        <f t="shared" si="415"/>
        <v>295840</v>
      </c>
      <c r="AQ2421" s="7"/>
      <c r="AR2421" s="24"/>
      <c r="AS2421" s="97"/>
    </row>
    <row r="2422" spans="1:49" s="21" customFormat="1" ht="22.5" customHeight="1" x14ac:dyDescent="0.2">
      <c r="A2422" s="8">
        <v>2052</v>
      </c>
      <c r="B2422" s="46">
        <v>5</v>
      </c>
      <c r="C2422" s="16" t="s">
        <v>52</v>
      </c>
      <c r="D2422" s="48">
        <v>31051</v>
      </c>
      <c r="E2422" s="47">
        <v>127</v>
      </c>
      <c r="F2422" s="48">
        <v>6001</v>
      </c>
      <c r="G2422" s="49">
        <v>2</v>
      </c>
      <c r="H2422" s="48">
        <v>13</v>
      </c>
      <c r="I2422" s="48">
        <v>2</v>
      </c>
      <c r="J2422" s="48">
        <v>77.06</v>
      </c>
      <c r="K2422" s="3">
        <f>13*400+277.06</f>
        <v>5477.06</v>
      </c>
      <c r="L2422" s="16"/>
      <c r="M2422" s="57"/>
      <c r="N2422" s="58"/>
      <c r="P2422" s="16">
        <v>1</v>
      </c>
      <c r="Q2422" s="20">
        <f t="shared" si="411"/>
        <v>5477.06</v>
      </c>
      <c r="R2422" s="14">
        <v>200</v>
      </c>
      <c r="S2422" s="20">
        <f t="shared" si="412"/>
        <v>1095412</v>
      </c>
      <c r="T2422" s="16"/>
      <c r="U2422" s="17"/>
      <c r="V2422" s="17"/>
      <c r="W2422" s="5"/>
      <c r="X2422" s="16"/>
      <c r="Y2422" s="5"/>
      <c r="Z2422" s="16"/>
      <c r="AA2422" s="16"/>
      <c r="AB2422" s="16"/>
      <c r="AE2422" s="16"/>
      <c r="AG2422" s="22">
        <f t="shared" si="416"/>
        <v>0</v>
      </c>
      <c r="AH2422" s="6"/>
      <c r="AJ2422" s="20">
        <f t="shared" si="413"/>
        <v>0</v>
      </c>
      <c r="AK2422" s="50"/>
      <c r="AL2422" s="6"/>
      <c r="AM2422" s="20">
        <f t="shared" si="414"/>
        <v>0</v>
      </c>
      <c r="AN2422" s="20">
        <f t="shared" si="417"/>
        <v>1095412</v>
      </c>
      <c r="AP2422" s="20">
        <f t="shared" si="415"/>
        <v>1095412</v>
      </c>
      <c r="AQ2422" s="7"/>
      <c r="AR2422" s="24"/>
      <c r="AS2422" s="97"/>
    </row>
    <row r="2423" spans="1:49" ht="22.5" customHeight="1" x14ac:dyDescent="0.2">
      <c r="A2423" s="8">
        <v>2053</v>
      </c>
      <c r="B2423" s="46">
        <v>6</v>
      </c>
      <c r="C2423" s="16" t="s">
        <v>69</v>
      </c>
      <c r="E2423" s="17">
        <v>163</v>
      </c>
      <c r="F2423" s="17">
        <v>4</v>
      </c>
      <c r="G2423" s="13">
        <v>2</v>
      </c>
      <c r="H2423" s="17">
        <v>2</v>
      </c>
      <c r="I2423" s="17">
        <v>3</v>
      </c>
      <c r="J2423" s="17">
        <v>77</v>
      </c>
      <c r="K2423" s="10">
        <v>1177</v>
      </c>
      <c r="P2423" s="17">
        <v>1</v>
      </c>
      <c r="Q2423" s="20">
        <f>+(H2423*400)+(I2423*100)+J2423</f>
        <v>1177</v>
      </c>
      <c r="R2423" s="14">
        <v>200</v>
      </c>
      <c r="S2423" s="19">
        <f>+Q2423*R2423</f>
        <v>235400</v>
      </c>
      <c r="AG2423" s="22">
        <f>Y2423</f>
        <v>0</v>
      </c>
      <c r="AJ2423" s="20">
        <f>+AG2423*AH2423*AI2423</f>
        <v>0</v>
      </c>
      <c r="AM2423" s="20">
        <f>+AJ2423-(AL2423*AJ2423)</f>
        <v>0</v>
      </c>
      <c r="AN2423" s="20">
        <f t="shared" si="417"/>
        <v>235400</v>
      </c>
      <c r="AP2423" s="20">
        <f>AN2423</f>
        <v>235400</v>
      </c>
      <c r="AQ2423" s="12">
        <v>1E-4</v>
      </c>
      <c r="AR2423" s="24"/>
      <c r="AS2423" s="97"/>
    </row>
    <row r="2424" spans="1:49" ht="22.5" customHeight="1" x14ac:dyDescent="0.2">
      <c r="A2424" s="8">
        <v>2054</v>
      </c>
      <c r="B2424" s="46">
        <v>7</v>
      </c>
      <c r="C2424" s="16" t="s">
        <v>69</v>
      </c>
      <c r="E2424" s="17">
        <v>2328</v>
      </c>
      <c r="F2424" s="17">
        <v>5</v>
      </c>
      <c r="G2424" s="13">
        <v>1</v>
      </c>
      <c r="H2424" s="17">
        <v>22</v>
      </c>
      <c r="I2424" s="17">
        <v>3</v>
      </c>
      <c r="J2424" s="17">
        <v>84</v>
      </c>
      <c r="K2424" s="10">
        <v>9184</v>
      </c>
      <c r="P2424" s="17">
        <v>1</v>
      </c>
      <c r="Q2424" s="20">
        <f>+(H2424*400)+(I2424*100)+J2424</f>
        <v>9184</v>
      </c>
      <c r="R2424" s="14">
        <v>160</v>
      </c>
      <c r="S2424" s="20">
        <f>+Q2424*R2424</f>
        <v>1469440</v>
      </c>
      <c r="AG2424" s="22">
        <f>Y2424</f>
        <v>0</v>
      </c>
      <c r="AJ2424" s="20">
        <f>+AG2424*AH2424*AI2424</f>
        <v>0</v>
      </c>
      <c r="AM2424" s="20">
        <f>+AJ2424-(AL2424*AJ2424)</f>
        <v>0</v>
      </c>
      <c r="AN2424" s="20">
        <f t="shared" si="417"/>
        <v>1469440</v>
      </c>
      <c r="AP2424" s="20">
        <f>AN2424</f>
        <v>1469440</v>
      </c>
      <c r="AQ2424" s="12">
        <v>1E-4</v>
      </c>
      <c r="AR2424" s="24"/>
      <c r="AS2424" s="97"/>
    </row>
    <row r="2425" spans="1:49" ht="22.5" customHeight="1" x14ac:dyDescent="0.2">
      <c r="A2425" s="8">
        <v>2055</v>
      </c>
      <c r="B2425" s="46">
        <v>8</v>
      </c>
      <c r="C2425" s="16" t="s">
        <v>69</v>
      </c>
      <c r="E2425" s="17">
        <v>157</v>
      </c>
      <c r="F2425" s="17">
        <v>9</v>
      </c>
      <c r="G2425" s="13">
        <v>1</v>
      </c>
      <c r="H2425" s="17">
        <v>9</v>
      </c>
      <c r="I2425" s="17">
        <v>1</v>
      </c>
      <c r="J2425" s="17">
        <v>53</v>
      </c>
      <c r="K2425" s="10">
        <v>3753</v>
      </c>
      <c r="P2425" s="17">
        <v>1</v>
      </c>
      <c r="Q2425" s="20">
        <f>+(H2425*400)+(I2425*100)+J2425</f>
        <v>3753</v>
      </c>
      <c r="R2425" s="14">
        <v>160</v>
      </c>
      <c r="S2425" s="19">
        <f>+Q2425*R2425</f>
        <v>600480</v>
      </c>
      <c r="AG2425" s="22">
        <f>Y2425</f>
        <v>0</v>
      </c>
      <c r="AJ2425" s="20">
        <f>+AG2425*AH2425*AI2425</f>
        <v>0</v>
      </c>
      <c r="AM2425" s="20">
        <f>+AJ2425-(AL2425*AJ2425)</f>
        <v>0</v>
      </c>
      <c r="AN2425" s="20">
        <f t="shared" si="417"/>
        <v>600480</v>
      </c>
      <c r="AP2425" s="20">
        <f>AN2425</f>
        <v>600480</v>
      </c>
      <c r="AQ2425" s="12">
        <v>1E-4</v>
      </c>
      <c r="AR2425" s="25"/>
      <c r="AS2425" s="98"/>
      <c r="AW2425" s="14" t="s">
        <v>119</v>
      </c>
    </row>
    <row r="2426" spans="1:49" ht="30" customHeight="1" x14ac:dyDescent="0.2">
      <c r="A2426" s="8">
        <v>2056</v>
      </c>
      <c r="B2426" s="13">
        <v>6</v>
      </c>
      <c r="C2426" s="16" t="s">
        <v>65</v>
      </c>
      <c r="D2426" s="17">
        <v>1027</v>
      </c>
      <c r="E2426" s="17">
        <v>195</v>
      </c>
      <c r="H2426" s="17">
        <v>17</v>
      </c>
      <c r="I2426" s="17">
        <v>2</v>
      </c>
      <c r="J2426" s="17">
        <v>80</v>
      </c>
      <c r="K2426" s="10">
        <f>17*400+280</f>
        <v>7080</v>
      </c>
      <c r="Q2426" s="20">
        <f t="shared" si="411"/>
        <v>7080</v>
      </c>
      <c r="R2426" s="14">
        <v>200</v>
      </c>
      <c r="S2426" s="19">
        <f t="shared" si="412"/>
        <v>1416000</v>
      </c>
      <c r="AE2426" s="17" t="s">
        <v>94</v>
      </c>
      <c r="AG2426" s="22">
        <f t="shared" si="416"/>
        <v>0</v>
      </c>
      <c r="AJ2426" s="20">
        <f t="shared" si="413"/>
        <v>0</v>
      </c>
      <c r="AM2426" s="20">
        <f t="shared" si="414"/>
        <v>0</v>
      </c>
      <c r="AN2426" s="20">
        <f t="shared" si="417"/>
        <v>1416000</v>
      </c>
      <c r="AP2426" s="20">
        <f t="shared" si="415"/>
        <v>1416000</v>
      </c>
      <c r="AQ2426" s="12">
        <v>1E-4</v>
      </c>
      <c r="AR2426" s="24"/>
      <c r="AS2426" s="97"/>
    </row>
    <row r="2427" spans="1:49" s="21" customFormat="1" ht="30" customHeight="1" x14ac:dyDescent="0.2">
      <c r="A2427" s="8">
        <v>2057</v>
      </c>
      <c r="B2427" s="46">
        <v>1</v>
      </c>
      <c r="C2427" s="16" t="s">
        <v>52</v>
      </c>
      <c r="D2427" s="48">
        <v>1167</v>
      </c>
      <c r="E2427" s="47">
        <v>10</v>
      </c>
      <c r="F2427" s="48">
        <v>1005</v>
      </c>
      <c r="G2427" s="49">
        <v>1</v>
      </c>
      <c r="H2427" s="48">
        <v>10</v>
      </c>
      <c r="I2427" s="48">
        <v>2</v>
      </c>
      <c r="J2427" s="48">
        <v>63</v>
      </c>
      <c r="K2427" s="3">
        <v>4263</v>
      </c>
      <c r="L2427" s="16"/>
      <c r="M2427" s="57"/>
      <c r="N2427" s="58"/>
      <c r="P2427" s="16">
        <v>1</v>
      </c>
      <c r="Q2427" s="20">
        <f t="shared" si="411"/>
        <v>4263</v>
      </c>
      <c r="R2427" s="14">
        <v>160</v>
      </c>
      <c r="S2427" s="19">
        <f t="shared" si="412"/>
        <v>682080</v>
      </c>
      <c r="T2427" s="16"/>
      <c r="U2427" s="17"/>
      <c r="V2427" s="17"/>
      <c r="W2427" s="5"/>
      <c r="X2427" s="16"/>
      <c r="Y2427" s="5"/>
      <c r="Z2427" s="16"/>
      <c r="AA2427" s="16"/>
      <c r="AB2427" s="16"/>
      <c r="AE2427" s="16"/>
      <c r="AG2427" s="22">
        <f t="shared" si="416"/>
        <v>0</v>
      </c>
      <c r="AH2427" s="6"/>
      <c r="AJ2427" s="20">
        <f t="shared" si="413"/>
        <v>0</v>
      </c>
      <c r="AK2427" s="50"/>
      <c r="AL2427" s="6"/>
      <c r="AM2427" s="20">
        <f t="shared" si="414"/>
        <v>0</v>
      </c>
      <c r="AN2427" s="20">
        <f t="shared" si="417"/>
        <v>682080</v>
      </c>
      <c r="AP2427" s="20">
        <f t="shared" si="415"/>
        <v>682080</v>
      </c>
      <c r="AQ2427" s="7"/>
      <c r="AR2427" s="60"/>
      <c r="AS2427" s="96">
        <f>82+89</f>
        <v>171</v>
      </c>
      <c r="AW2427" s="21" t="s">
        <v>102</v>
      </c>
    </row>
    <row r="2428" spans="1:49" s="21" customFormat="1" ht="30" customHeight="1" x14ac:dyDescent="0.2">
      <c r="A2428" s="8">
        <v>2058</v>
      </c>
      <c r="B2428" s="46">
        <v>2</v>
      </c>
      <c r="C2428" s="16" t="s">
        <v>52</v>
      </c>
      <c r="D2428" s="48">
        <v>1415</v>
      </c>
      <c r="E2428" s="47">
        <v>14</v>
      </c>
      <c r="F2428" s="48">
        <v>610</v>
      </c>
      <c r="G2428" s="49">
        <v>1</v>
      </c>
      <c r="H2428" s="48">
        <v>0</v>
      </c>
      <c r="I2428" s="48">
        <v>2</v>
      </c>
      <c r="J2428" s="48">
        <v>17</v>
      </c>
      <c r="K2428" s="3">
        <v>217</v>
      </c>
      <c r="L2428" s="16"/>
      <c r="M2428" s="57"/>
      <c r="N2428" s="58"/>
      <c r="P2428" s="16">
        <v>1</v>
      </c>
      <c r="Q2428" s="20">
        <f t="shared" si="411"/>
        <v>217</v>
      </c>
      <c r="R2428" s="14">
        <v>200</v>
      </c>
      <c r="S2428" s="20">
        <f t="shared" si="412"/>
        <v>43400</v>
      </c>
      <c r="T2428" s="16"/>
      <c r="U2428" s="17"/>
      <c r="V2428" s="17"/>
      <c r="W2428" s="5"/>
      <c r="X2428" s="16"/>
      <c r="Y2428" s="5"/>
      <c r="Z2428" s="16"/>
      <c r="AA2428" s="16"/>
      <c r="AB2428" s="16"/>
      <c r="AE2428" s="16"/>
      <c r="AG2428" s="22">
        <f t="shared" si="416"/>
        <v>0</v>
      </c>
      <c r="AH2428" s="6"/>
      <c r="AJ2428" s="20">
        <f t="shared" si="413"/>
        <v>0</v>
      </c>
      <c r="AK2428" s="50"/>
      <c r="AL2428" s="6"/>
      <c r="AM2428" s="20">
        <f t="shared" si="414"/>
        <v>0</v>
      </c>
      <c r="AN2428" s="20">
        <f t="shared" si="417"/>
        <v>43400</v>
      </c>
      <c r="AP2428" s="20">
        <f t="shared" si="415"/>
        <v>43400</v>
      </c>
      <c r="AQ2428" s="7"/>
      <c r="AR2428" s="24"/>
      <c r="AS2428" s="97"/>
    </row>
    <row r="2429" spans="1:49" s="21" customFormat="1" ht="30" customHeight="1" x14ac:dyDescent="0.2">
      <c r="A2429" s="8">
        <v>2059</v>
      </c>
      <c r="B2429" s="46">
        <v>3</v>
      </c>
      <c r="C2429" s="16" t="s">
        <v>52</v>
      </c>
      <c r="D2429" s="48">
        <v>2898</v>
      </c>
      <c r="E2429" s="47">
        <v>33</v>
      </c>
      <c r="F2429" s="48">
        <v>1917</v>
      </c>
      <c r="G2429" s="49">
        <v>1</v>
      </c>
      <c r="H2429" s="48">
        <v>8</v>
      </c>
      <c r="I2429" s="48">
        <v>0</v>
      </c>
      <c r="J2429" s="48">
        <v>59</v>
      </c>
      <c r="K2429" s="3">
        <v>3259</v>
      </c>
      <c r="L2429" s="16"/>
      <c r="M2429" s="57"/>
      <c r="N2429" s="58"/>
      <c r="P2429" s="16">
        <v>1</v>
      </c>
      <c r="Q2429" s="20">
        <f t="shared" si="411"/>
        <v>3259</v>
      </c>
      <c r="R2429" s="14">
        <v>160</v>
      </c>
      <c r="S2429" s="19">
        <f t="shared" si="412"/>
        <v>521440</v>
      </c>
      <c r="T2429" s="16"/>
      <c r="U2429" s="17"/>
      <c r="V2429" s="17"/>
      <c r="W2429" s="5"/>
      <c r="X2429" s="16"/>
      <c r="Y2429" s="5"/>
      <c r="Z2429" s="16"/>
      <c r="AA2429" s="16"/>
      <c r="AB2429" s="16"/>
      <c r="AE2429" s="16"/>
      <c r="AG2429" s="22">
        <f t="shared" si="416"/>
        <v>0</v>
      </c>
      <c r="AH2429" s="6"/>
      <c r="AJ2429" s="20">
        <f t="shared" si="413"/>
        <v>0</v>
      </c>
      <c r="AK2429" s="50"/>
      <c r="AL2429" s="6"/>
      <c r="AM2429" s="20">
        <f t="shared" si="414"/>
        <v>0</v>
      </c>
      <c r="AN2429" s="20">
        <f t="shared" si="417"/>
        <v>521440</v>
      </c>
      <c r="AP2429" s="20">
        <f t="shared" si="415"/>
        <v>521440</v>
      </c>
      <c r="AQ2429" s="7"/>
      <c r="AR2429" s="24"/>
      <c r="AS2429" s="97"/>
    </row>
    <row r="2430" spans="1:49" ht="30" customHeight="1" x14ac:dyDescent="0.2">
      <c r="R2430" s="14" t="e">
        <v>#N/A</v>
      </c>
    </row>
    <row r="2431" spans="1:49" s="21" customFormat="1" ht="30" customHeight="1" x14ac:dyDescent="0.2">
      <c r="A2431" s="8">
        <v>2060</v>
      </c>
      <c r="B2431" s="46">
        <v>5</v>
      </c>
      <c r="C2431" s="16" t="s">
        <v>52</v>
      </c>
      <c r="D2431" s="48">
        <v>25998</v>
      </c>
      <c r="E2431" s="47">
        <v>509</v>
      </c>
      <c r="F2431" s="48">
        <v>4915</v>
      </c>
      <c r="G2431" s="49">
        <v>1</v>
      </c>
      <c r="H2431" s="48">
        <v>0</v>
      </c>
      <c r="I2431" s="48">
        <v>0</v>
      </c>
      <c r="J2431" s="48">
        <v>36</v>
      </c>
      <c r="K2431" s="3"/>
      <c r="L2431" s="16">
        <v>36</v>
      </c>
      <c r="M2431" s="57"/>
      <c r="N2431" s="58"/>
      <c r="P2431" s="16"/>
      <c r="Q2431" s="20">
        <f t="shared" ref="Q2431:Q2494" si="418">+(H2431*400)+(I2431*100)+J2431</f>
        <v>36</v>
      </c>
      <c r="R2431" s="14">
        <v>3000</v>
      </c>
      <c r="S2431" s="20">
        <f t="shared" ref="S2431:S2494" si="419">+Q2431*R2431</f>
        <v>108000</v>
      </c>
      <c r="T2431" s="16"/>
      <c r="U2431" s="17" t="s">
        <v>63</v>
      </c>
      <c r="V2431" s="17" t="s">
        <v>56</v>
      </c>
      <c r="W2431" s="5">
        <v>190</v>
      </c>
      <c r="X2431" s="16"/>
      <c r="Y2431" s="5">
        <v>190</v>
      </c>
      <c r="Z2431" s="16"/>
      <c r="AA2431" s="16"/>
      <c r="AB2431" s="16"/>
      <c r="AE2431" s="16"/>
      <c r="AG2431" s="22">
        <f t="shared" ref="AG2431:AG2494" si="420">Y2431</f>
        <v>190</v>
      </c>
      <c r="AH2431" s="6"/>
      <c r="AJ2431" s="20">
        <f t="shared" ref="AJ2431:AJ2494" si="421">+AG2431*AH2431*AI2431</f>
        <v>0</v>
      </c>
      <c r="AK2431" s="50"/>
      <c r="AL2431" s="6"/>
      <c r="AM2431" s="20">
        <f t="shared" ref="AM2431:AM2494" si="422">+AJ2431-(AL2431*AJ2431)</f>
        <v>0</v>
      </c>
      <c r="AN2431" s="20">
        <f>+S2431+AM2431</f>
        <v>108000</v>
      </c>
      <c r="AP2431" s="20">
        <f t="shared" ref="AP2431:AP2494" si="423">AN2431</f>
        <v>108000</v>
      </c>
      <c r="AQ2431" s="7"/>
      <c r="AR2431" s="24"/>
      <c r="AS2431" s="97"/>
    </row>
    <row r="2432" spans="1:49" s="21" customFormat="1" ht="30" customHeight="1" x14ac:dyDescent="0.2">
      <c r="A2432" s="8">
        <v>2061</v>
      </c>
      <c r="B2432" s="46">
        <v>6</v>
      </c>
      <c r="C2432" s="16" t="s">
        <v>52</v>
      </c>
      <c r="D2432" s="48">
        <v>1218</v>
      </c>
      <c r="E2432" s="47">
        <v>14</v>
      </c>
      <c r="F2432" s="48">
        <v>1393</v>
      </c>
      <c r="G2432" s="49">
        <v>1</v>
      </c>
      <c r="H2432" s="48">
        <v>16</v>
      </c>
      <c r="I2432" s="48">
        <v>0</v>
      </c>
      <c r="J2432" s="48">
        <v>91</v>
      </c>
      <c r="K2432" s="3">
        <f>16*400+91</f>
        <v>6491</v>
      </c>
      <c r="L2432" s="16"/>
      <c r="M2432" s="57"/>
      <c r="N2432" s="58"/>
      <c r="P2432" s="16">
        <v>1</v>
      </c>
      <c r="Q2432" s="20">
        <f t="shared" si="418"/>
        <v>6491</v>
      </c>
      <c r="R2432" s="14">
        <v>200</v>
      </c>
      <c r="S2432" s="19">
        <f t="shared" si="419"/>
        <v>1298200</v>
      </c>
      <c r="T2432" s="16"/>
      <c r="U2432" s="17"/>
      <c r="V2432" s="17"/>
      <c r="W2432" s="5"/>
      <c r="X2432" s="16"/>
      <c r="Y2432" s="5"/>
      <c r="Z2432" s="16"/>
      <c r="AA2432" s="16"/>
      <c r="AB2432" s="16"/>
      <c r="AE2432" s="16"/>
      <c r="AG2432" s="22">
        <f t="shared" si="420"/>
        <v>0</v>
      </c>
      <c r="AH2432" s="6"/>
      <c r="AJ2432" s="20">
        <f t="shared" si="421"/>
        <v>0</v>
      </c>
      <c r="AK2432" s="50"/>
      <c r="AL2432" s="6"/>
      <c r="AM2432" s="20">
        <f t="shared" si="422"/>
        <v>0</v>
      </c>
      <c r="AN2432" s="20">
        <f>+S2432+AM2432</f>
        <v>1298200</v>
      </c>
      <c r="AP2432" s="20">
        <f t="shared" si="423"/>
        <v>1298200</v>
      </c>
      <c r="AQ2432" s="7"/>
      <c r="AR2432" s="25"/>
      <c r="AS2432" s="98"/>
    </row>
    <row r="2433" spans="1:45" s="21" customFormat="1" ht="23.25" customHeight="1" x14ac:dyDescent="0.2">
      <c r="A2433" s="9">
        <v>2062</v>
      </c>
      <c r="B2433" s="46">
        <v>1</v>
      </c>
      <c r="C2433" s="16" t="s">
        <v>52</v>
      </c>
      <c r="D2433" s="48">
        <v>391</v>
      </c>
      <c r="E2433" s="47">
        <v>503</v>
      </c>
      <c r="F2433" s="48">
        <v>47</v>
      </c>
      <c r="G2433" s="49">
        <v>1</v>
      </c>
      <c r="H2433" s="48">
        <v>4</v>
      </c>
      <c r="I2433" s="48">
        <v>0</v>
      </c>
      <c r="J2433" s="48">
        <v>51</v>
      </c>
      <c r="K2433" s="3"/>
      <c r="L2433" s="16">
        <v>1651</v>
      </c>
      <c r="M2433" s="57"/>
      <c r="N2433" s="58"/>
      <c r="P2433" s="16">
        <v>2</v>
      </c>
      <c r="Q2433" s="20">
        <f t="shared" si="418"/>
        <v>1651</v>
      </c>
      <c r="R2433" s="14">
        <v>1950</v>
      </c>
      <c r="S2433" s="19">
        <f t="shared" si="419"/>
        <v>3219450</v>
      </c>
      <c r="T2433" s="16">
        <v>1</v>
      </c>
      <c r="U2433" s="17" t="s">
        <v>63</v>
      </c>
      <c r="V2433" s="17" t="s">
        <v>56</v>
      </c>
      <c r="W2433" s="5">
        <v>360</v>
      </c>
      <c r="X2433" s="16"/>
      <c r="Y2433" s="109">
        <f>180+180</f>
        <v>360</v>
      </c>
      <c r="Z2433" s="16"/>
      <c r="AA2433" s="16"/>
      <c r="AB2433" s="16">
        <f>63-43</f>
        <v>20</v>
      </c>
      <c r="AE2433" s="16">
        <f>360+90+90+129.2+71.4+71.4+71.4+71.4+200+27+135</f>
        <v>1316.8</v>
      </c>
      <c r="AF2433" s="21">
        <v>2</v>
      </c>
      <c r="AG2433" s="22">
        <f t="shared" si="420"/>
        <v>360</v>
      </c>
      <c r="AH2433" s="6">
        <v>1</v>
      </c>
      <c r="AI2433" s="21">
        <v>8100</v>
      </c>
      <c r="AJ2433" s="20">
        <f t="shared" si="421"/>
        <v>2916000</v>
      </c>
      <c r="AK2433" s="50">
        <v>20</v>
      </c>
      <c r="AL2433" s="6">
        <v>0.3</v>
      </c>
      <c r="AM2433" s="20">
        <f t="shared" si="422"/>
        <v>2041200</v>
      </c>
      <c r="AN2433" s="20">
        <f>+(S2433*0.27)+AM2433</f>
        <v>2910451.5</v>
      </c>
      <c r="AO2433" s="21">
        <v>50</v>
      </c>
      <c r="AP2433" s="20">
        <f>AN2433</f>
        <v>2910451.5</v>
      </c>
      <c r="AQ2433" s="7"/>
      <c r="AR2433" s="96">
        <f>45+30</f>
        <v>75</v>
      </c>
      <c r="AS2433" s="96">
        <f>+AR2433+AR2434</f>
        <v>11175</v>
      </c>
    </row>
    <row r="2434" spans="1:45" s="21" customFormat="1" ht="23.25" customHeight="1" x14ac:dyDescent="0.2">
      <c r="A2434" s="9"/>
      <c r="B2434" s="46"/>
      <c r="C2434" s="16"/>
      <c r="D2434" s="48"/>
      <c r="E2434" s="47"/>
      <c r="F2434" s="48"/>
      <c r="G2434" s="49"/>
      <c r="H2434" s="48"/>
      <c r="I2434" s="48"/>
      <c r="J2434" s="48"/>
      <c r="K2434" s="3"/>
      <c r="L2434" s="16"/>
      <c r="M2434" s="57"/>
      <c r="N2434" s="58"/>
      <c r="P2434" s="16"/>
      <c r="Q2434" s="20">
        <f>+Q2433*0.06</f>
        <v>99.06</v>
      </c>
      <c r="R2434" s="14" t="e">
        <v>#N/A</v>
      </c>
      <c r="S2434" s="20"/>
      <c r="T2434" s="16">
        <v>2</v>
      </c>
      <c r="U2434" s="17" t="s">
        <v>63</v>
      </c>
      <c r="V2434" s="17" t="s">
        <v>56</v>
      </c>
      <c r="W2434" s="5">
        <f>4.5*20</f>
        <v>90</v>
      </c>
      <c r="X2434" s="16"/>
      <c r="Y2434" s="5">
        <f>90-22.5</f>
        <v>67.5</v>
      </c>
      <c r="Z2434" s="16">
        <f>4.5*5</f>
        <v>22.5</v>
      </c>
      <c r="AA2434" s="16"/>
      <c r="AB2434" s="16">
        <f>63-40</f>
        <v>23</v>
      </c>
      <c r="AE2434" s="16" t="s">
        <v>207</v>
      </c>
      <c r="AF2434" s="21">
        <v>2</v>
      </c>
      <c r="AG2434" s="22">
        <v>90</v>
      </c>
      <c r="AH2434" s="6">
        <v>0.75</v>
      </c>
      <c r="AI2434" s="21">
        <v>7250</v>
      </c>
      <c r="AJ2434" s="20">
        <f t="shared" si="421"/>
        <v>489375</v>
      </c>
      <c r="AK2434" s="50">
        <v>23</v>
      </c>
      <c r="AL2434" s="6">
        <v>0.36</v>
      </c>
      <c r="AM2434" s="20">
        <f t="shared" si="422"/>
        <v>313200</v>
      </c>
      <c r="AN2434" s="20">
        <f>+((S2433*0.06)*0.75)+AM2434</f>
        <v>458075.25</v>
      </c>
      <c r="AP2434" s="20">
        <f>AN2434</f>
        <v>458075.25</v>
      </c>
      <c r="AQ2434" s="7">
        <v>2.0000000000000001E-4</v>
      </c>
      <c r="AR2434" s="97">
        <v>11100</v>
      </c>
      <c r="AS2434" s="97"/>
    </row>
    <row r="2435" spans="1:45" s="21" customFormat="1" ht="23.25" customHeight="1" x14ac:dyDescent="0.2">
      <c r="A2435" s="9"/>
      <c r="B2435" s="46"/>
      <c r="C2435" s="16"/>
      <c r="D2435" s="48"/>
      <c r="E2435" s="47"/>
      <c r="F2435" s="48"/>
      <c r="G2435" s="49"/>
      <c r="H2435" s="48"/>
      <c r="I2435" s="48"/>
      <c r="J2435" s="48"/>
      <c r="K2435" s="3"/>
      <c r="L2435" s="16"/>
      <c r="M2435" s="57"/>
      <c r="N2435" s="58"/>
      <c r="P2435" s="16"/>
      <c r="Q2435" s="20"/>
      <c r="R2435" s="14" t="e">
        <v>#N/A</v>
      </c>
      <c r="S2435" s="20"/>
      <c r="T2435" s="16"/>
      <c r="U2435" s="17"/>
      <c r="V2435" s="17"/>
      <c r="W2435" s="5"/>
      <c r="X2435" s="16"/>
      <c r="Y2435" s="5"/>
      <c r="Z2435" s="16"/>
      <c r="AA2435" s="16"/>
      <c r="AB2435" s="16"/>
      <c r="AE2435" s="16">
        <f>100/1316.8</f>
        <v>7.5941676792223578E-2</v>
      </c>
      <c r="AF2435" s="21">
        <v>3</v>
      </c>
      <c r="AG2435" s="22">
        <v>90</v>
      </c>
      <c r="AH2435" s="6">
        <v>0.25</v>
      </c>
      <c r="AI2435" s="21">
        <v>7250</v>
      </c>
      <c r="AJ2435" s="20">
        <f t="shared" si="421"/>
        <v>163125</v>
      </c>
      <c r="AK2435" s="50">
        <v>23</v>
      </c>
      <c r="AL2435" s="6">
        <v>0.36</v>
      </c>
      <c r="AM2435" s="20">
        <f t="shared" si="422"/>
        <v>104400</v>
      </c>
      <c r="AN2435" s="20">
        <f>+((S2433*0.06)*0.25)+AM2435</f>
        <v>152691.75</v>
      </c>
      <c r="AP2435" s="20">
        <f>AN2435</f>
        <v>152691.75</v>
      </c>
      <c r="AQ2435" s="7">
        <v>3.0000000000000001E-3</v>
      </c>
      <c r="AR2435" s="97"/>
      <c r="AS2435" s="97"/>
    </row>
    <row r="2436" spans="1:45" s="21" customFormat="1" ht="23.25" customHeight="1" x14ac:dyDescent="0.2">
      <c r="A2436" s="9"/>
      <c r="B2436" s="46"/>
      <c r="C2436" s="16"/>
      <c r="D2436" s="48"/>
      <c r="E2436" s="47"/>
      <c r="F2436" s="48"/>
      <c r="G2436" s="49"/>
      <c r="H2436" s="48"/>
      <c r="I2436" s="48"/>
      <c r="J2436" s="48"/>
      <c r="K2436" s="3"/>
      <c r="L2436" s="16"/>
      <c r="M2436" s="57"/>
      <c r="N2436" s="58"/>
      <c r="P2436" s="16"/>
      <c r="Q2436" s="20"/>
      <c r="R2436" s="14" t="e">
        <v>#N/A</v>
      </c>
      <c r="S2436" s="20"/>
      <c r="T2436" s="16">
        <v>3</v>
      </c>
      <c r="U2436" s="17" t="s">
        <v>63</v>
      </c>
      <c r="V2436" s="17" t="s">
        <v>56</v>
      </c>
      <c r="W2436" s="5">
        <f>4.5*20</f>
        <v>90</v>
      </c>
      <c r="X2436" s="16"/>
      <c r="Y2436" s="5">
        <v>67.5</v>
      </c>
      <c r="Z2436" s="16">
        <v>22.5</v>
      </c>
      <c r="AA2436" s="16"/>
      <c r="AB2436" s="16"/>
      <c r="AE2436" s="16" t="s">
        <v>208</v>
      </c>
      <c r="AF2436" s="21">
        <v>2</v>
      </c>
      <c r="AG2436" s="22">
        <v>90</v>
      </c>
      <c r="AH2436" s="6">
        <v>0.75</v>
      </c>
      <c r="AI2436" s="21">
        <v>7250</v>
      </c>
      <c r="AJ2436" s="20">
        <f t="shared" si="421"/>
        <v>489375</v>
      </c>
      <c r="AK2436" s="50">
        <v>23</v>
      </c>
      <c r="AL2436" s="6">
        <v>0.36</v>
      </c>
      <c r="AM2436" s="20">
        <f t="shared" si="422"/>
        <v>313200</v>
      </c>
      <c r="AN2436" s="20">
        <f>+((S2433*0.06)*0.75)+AM2436</f>
        <v>458075.25</v>
      </c>
      <c r="AP2436" s="20">
        <f>AN2436</f>
        <v>458075.25</v>
      </c>
      <c r="AQ2436" s="7">
        <v>2.0000000000000001E-4</v>
      </c>
      <c r="AR2436" s="119"/>
      <c r="AS2436" s="97"/>
    </row>
    <row r="2437" spans="1:45" s="21" customFormat="1" ht="23.25" customHeight="1" x14ac:dyDescent="0.2">
      <c r="A2437" s="9"/>
      <c r="B2437" s="46"/>
      <c r="C2437" s="16"/>
      <c r="D2437" s="48"/>
      <c r="E2437" s="47"/>
      <c r="F2437" s="48"/>
      <c r="G2437" s="49"/>
      <c r="H2437" s="48"/>
      <c r="I2437" s="48"/>
      <c r="J2437" s="48"/>
      <c r="K2437" s="3"/>
      <c r="L2437" s="16"/>
      <c r="M2437" s="57"/>
      <c r="N2437" s="58"/>
      <c r="P2437" s="16"/>
      <c r="Q2437" s="20"/>
      <c r="R2437" s="14" t="e">
        <v>#N/A</v>
      </c>
      <c r="S2437" s="20"/>
      <c r="T2437" s="16"/>
      <c r="U2437" s="17"/>
      <c r="V2437" s="17"/>
      <c r="W2437" s="5"/>
      <c r="X2437" s="16"/>
      <c r="Y2437" s="5"/>
      <c r="Z2437" s="16"/>
      <c r="AA2437" s="16"/>
      <c r="AB2437" s="16"/>
      <c r="AE2437" s="16"/>
      <c r="AF2437" s="21">
        <v>3</v>
      </c>
      <c r="AG2437" s="22">
        <v>90</v>
      </c>
      <c r="AH2437" s="6">
        <v>0.25</v>
      </c>
      <c r="AI2437" s="21">
        <v>7250</v>
      </c>
      <c r="AJ2437" s="20">
        <f t="shared" si="421"/>
        <v>163125</v>
      </c>
      <c r="AK2437" s="50">
        <v>23</v>
      </c>
      <c r="AL2437" s="6">
        <v>0.36</v>
      </c>
      <c r="AM2437" s="20">
        <f>+AJ2437-(AL2437*AJ2437)</f>
        <v>104400</v>
      </c>
      <c r="AN2437" s="20">
        <f>+((S2433*0.06)*0.25)+AM2437</f>
        <v>152691.75</v>
      </c>
      <c r="AP2437" s="20">
        <f>AN2437</f>
        <v>152691.75</v>
      </c>
      <c r="AQ2437" s="7">
        <v>3.0000000000000001E-3</v>
      </c>
      <c r="AR2437" s="97"/>
      <c r="AS2437" s="97"/>
    </row>
    <row r="2438" spans="1:45" s="21" customFormat="1" ht="23.25" customHeight="1" x14ac:dyDescent="0.2">
      <c r="A2438" s="9"/>
      <c r="B2438" s="46"/>
      <c r="C2438" s="16"/>
      <c r="D2438" s="48"/>
      <c r="E2438" s="47"/>
      <c r="F2438" s="48"/>
      <c r="G2438" s="49"/>
      <c r="H2438" s="48"/>
      <c r="I2438" s="48"/>
      <c r="J2438" s="48"/>
      <c r="K2438" s="3"/>
      <c r="L2438" s="16"/>
      <c r="M2438" s="57"/>
      <c r="N2438" s="58"/>
      <c r="P2438" s="16"/>
      <c r="Q2438" s="20"/>
      <c r="R2438" s="14" t="e">
        <v>#N/A</v>
      </c>
      <c r="S2438" s="19"/>
      <c r="T2438" s="16">
        <v>4</v>
      </c>
      <c r="U2438" s="17" t="s">
        <v>63</v>
      </c>
      <c r="V2438" s="17" t="s">
        <v>56</v>
      </c>
      <c r="W2438" s="5">
        <f>+(3.8*2)*17</f>
        <v>129.19999999999999</v>
      </c>
      <c r="X2438" s="16"/>
      <c r="Y2438" s="5"/>
      <c r="Z2438" s="16">
        <v>129.19999999999999</v>
      </c>
      <c r="AA2438" s="16"/>
      <c r="AB2438" s="16">
        <f>63-52</f>
        <v>11</v>
      </c>
      <c r="AE2438" s="16" t="s">
        <v>209</v>
      </c>
      <c r="AF2438" s="21">
        <v>3</v>
      </c>
      <c r="AG2438" s="22">
        <v>129.19999999999999</v>
      </c>
      <c r="AH2438" s="6">
        <v>1</v>
      </c>
      <c r="AI2438" s="21">
        <v>7250</v>
      </c>
      <c r="AJ2438" s="20">
        <f t="shared" si="421"/>
        <v>936699.99999999988</v>
      </c>
      <c r="AK2438" s="50">
        <v>11</v>
      </c>
      <c r="AL2438" s="6">
        <v>0.12</v>
      </c>
      <c r="AM2438" s="20">
        <f t="shared" si="422"/>
        <v>824295.99999999988</v>
      </c>
      <c r="AN2438" s="20">
        <f>+((S2433*0.1))+AM2438</f>
        <v>1146241</v>
      </c>
      <c r="AP2438" s="20">
        <f t="shared" si="423"/>
        <v>1146241</v>
      </c>
      <c r="AQ2438" s="7">
        <v>3.0000000000000001E-3</v>
      </c>
      <c r="AR2438" s="24"/>
      <c r="AS2438" s="97"/>
    </row>
    <row r="2439" spans="1:45" s="21" customFormat="1" ht="23.25" customHeight="1" x14ac:dyDescent="0.2">
      <c r="A2439" s="9"/>
      <c r="B2439" s="46"/>
      <c r="C2439" s="16"/>
      <c r="D2439" s="48"/>
      <c r="E2439" s="47"/>
      <c r="F2439" s="48"/>
      <c r="G2439" s="49"/>
      <c r="H2439" s="48"/>
      <c r="I2439" s="48"/>
      <c r="J2439" s="48"/>
      <c r="K2439" s="3"/>
      <c r="L2439" s="16"/>
      <c r="M2439" s="57"/>
      <c r="N2439" s="58"/>
      <c r="P2439" s="16"/>
      <c r="Q2439" s="20"/>
      <c r="R2439" s="14" t="e">
        <v>#N/A</v>
      </c>
      <c r="S2439" s="19"/>
      <c r="T2439" s="16">
        <v>5</v>
      </c>
      <c r="U2439" s="17" t="s">
        <v>63</v>
      </c>
      <c r="V2439" s="17" t="s">
        <v>56</v>
      </c>
      <c r="W2439" s="5">
        <f>4.2*17</f>
        <v>71.400000000000006</v>
      </c>
      <c r="X2439" s="16"/>
      <c r="Y2439" s="5">
        <v>71.400000000000006</v>
      </c>
      <c r="Z2439" s="16"/>
      <c r="AA2439" s="16"/>
      <c r="AB2439" s="16"/>
      <c r="AE2439" s="16" t="s">
        <v>210</v>
      </c>
      <c r="AF2439" s="21">
        <v>2</v>
      </c>
      <c r="AG2439" s="22">
        <f t="shared" si="420"/>
        <v>71.400000000000006</v>
      </c>
      <c r="AH2439" s="6">
        <v>1</v>
      </c>
      <c r="AI2439" s="21">
        <v>7250</v>
      </c>
      <c r="AJ2439" s="20">
        <f t="shared" si="421"/>
        <v>517650.00000000006</v>
      </c>
      <c r="AK2439" s="50">
        <v>11</v>
      </c>
      <c r="AL2439" s="6">
        <v>0.12</v>
      </c>
      <c r="AM2439" s="20">
        <f t="shared" si="422"/>
        <v>455532.00000000006</v>
      </c>
      <c r="AN2439" s="20">
        <f>+((S2433*0.05))+AM2439</f>
        <v>616504.5</v>
      </c>
      <c r="AP2439" s="20">
        <f t="shared" si="423"/>
        <v>616504.5</v>
      </c>
      <c r="AQ2439" s="7">
        <v>2.0000000000000001E-4</v>
      </c>
      <c r="AR2439" s="24"/>
      <c r="AS2439" s="97"/>
    </row>
    <row r="2440" spans="1:45" s="21" customFormat="1" ht="23.25" customHeight="1" x14ac:dyDescent="0.2">
      <c r="A2440" s="9"/>
      <c r="B2440" s="46"/>
      <c r="C2440" s="16"/>
      <c r="D2440" s="48"/>
      <c r="E2440" s="47"/>
      <c r="F2440" s="48"/>
      <c r="G2440" s="49"/>
      <c r="H2440" s="48"/>
      <c r="I2440" s="48"/>
      <c r="J2440" s="48"/>
      <c r="K2440" s="3"/>
      <c r="L2440" s="16"/>
      <c r="M2440" s="57"/>
      <c r="N2440" s="58"/>
      <c r="P2440" s="16"/>
      <c r="Q2440" s="20"/>
      <c r="R2440" s="14" t="e">
        <v>#N/A</v>
      </c>
      <c r="S2440" s="20"/>
      <c r="T2440" s="16">
        <v>7</v>
      </c>
      <c r="U2440" s="17" t="s">
        <v>63</v>
      </c>
      <c r="V2440" s="17" t="s">
        <v>56</v>
      </c>
      <c r="W2440" s="5">
        <f>4.2*17</f>
        <v>71.400000000000006</v>
      </c>
      <c r="X2440" s="16"/>
      <c r="Y2440" s="5">
        <v>71.400000000000006</v>
      </c>
      <c r="Z2440" s="16"/>
      <c r="AA2440" s="16"/>
      <c r="AB2440" s="16">
        <f>63-57</f>
        <v>6</v>
      </c>
      <c r="AE2440" s="16" t="s">
        <v>211</v>
      </c>
      <c r="AF2440" s="21">
        <v>2</v>
      </c>
      <c r="AG2440" s="22">
        <f t="shared" si="420"/>
        <v>71.400000000000006</v>
      </c>
      <c r="AH2440" s="6">
        <v>1</v>
      </c>
      <c r="AI2440" s="21">
        <v>7250</v>
      </c>
      <c r="AJ2440" s="20">
        <f t="shared" si="421"/>
        <v>517650.00000000006</v>
      </c>
      <c r="AK2440" s="50">
        <v>6</v>
      </c>
      <c r="AL2440" s="6">
        <v>0.06</v>
      </c>
      <c r="AM2440" s="20">
        <f t="shared" si="422"/>
        <v>486591.00000000006</v>
      </c>
      <c r="AN2440" s="20">
        <f>+((S2433*0.05))+AM2440</f>
        <v>647563.5</v>
      </c>
      <c r="AP2440" s="20">
        <f t="shared" si="423"/>
        <v>647563.5</v>
      </c>
      <c r="AQ2440" s="7">
        <v>2.0000000000000001E-4</v>
      </c>
      <c r="AR2440" s="24"/>
      <c r="AS2440" s="97"/>
    </row>
    <row r="2441" spans="1:45" s="21" customFormat="1" ht="23.25" customHeight="1" x14ac:dyDescent="0.2">
      <c r="A2441" s="9"/>
      <c r="B2441" s="46"/>
      <c r="C2441" s="16"/>
      <c r="D2441" s="48"/>
      <c r="E2441" s="47"/>
      <c r="F2441" s="48"/>
      <c r="G2441" s="49"/>
      <c r="H2441" s="48"/>
      <c r="I2441" s="48"/>
      <c r="J2441" s="48"/>
      <c r="K2441" s="3"/>
      <c r="L2441" s="16"/>
      <c r="M2441" s="57"/>
      <c r="N2441" s="58"/>
      <c r="P2441" s="16"/>
      <c r="Q2441" s="20"/>
      <c r="R2441" s="14" t="e">
        <v>#N/A</v>
      </c>
      <c r="S2441" s="20"/>
      <c r="T2441" s="16">
        <v>8</v>
      </c>
      <c r="U2441" s="17" t="s">
        <v>63</v>
      </c>
      <c r="V2441" s="17" t="s">
        <v>56</v>
      </c>
      <c r="W2441" s="5">
        <v>71.400000000000006</v>
      </c>
      <c r="X2441" s="16"/>
      <c r="Y2441" s="5">
        <v>71.400000000000006</v>
      </c>
      <c r="Z2441" s="16"/>
      <c r="AA2441" s="16"/>
      <c r="AB2441" s="16">
        <v>6</v>
      </c>
      <c r="AE2441" s="16" t="s">
        <v>212</v>
      </c>
      <c r="AF2441" s="21">
        <v>3</v>
      </c>
      <c r="AG2441" s="22">
        <f t="shared" si="420"/>
        <v>71.400000000000006</v>
      </c>
      <c r="AH2441" s="6">
        <v>1</v>
      </c>
      <c r="AI2441" s="21">
        <v>7250</v>
      </c>
      <c r="AJ2441" s="20">
        <f t="shared" si="421"/>
        <v>517650.00000000006</v>
      </c>
      <c r="AK2441" s="50">
        <v>6</v>
      </c>
      <c r="AL2441" s="6">
        <v>0.06</v>
      </c>
      <c r="AM2441" s="20">
        <f t="shared" si="422"/>
        <v>486591.00000000006</v>
      </c>
      <c r="AN2441" s="20">
        <f>+((S2433*0.05))+AM2441</f>
        <v>647563.5</v>
      </c>
      <c r="AP2441" s="20">
        <f t="shared" si="423"/>
        <v>647563.5</v>
      </c>
      <c r="AQ2441" s="7">
        <v>3.0000000000000001E-3</v>
      </c>
      <c r="AR2441" s="24"/>
      <c r="AS2441" s="97"/>
    </row>
    <row r="2442" spans="1:45" s="21" customFormat="1" ht="23.25" customHeight="1" x14ac:dyDescent="0.2">
      <c r="A2442" s="9"/>
      <c r="B2442" s="46"/>
      <c r="C2442" s="16"/>
      <c r="D2442" s="48"/>
      <c r="E2442" s="47"/>
      <c r="F2442" s="48"/>
      <c r="G2442" s="49"/>
      <c r="H2442" s="48"/>
      <c r="I2442" s="48"/>
      <c r="J2442" s="48"/>
      <c r="K2442" s="3"/>
      <c r="L2442" s="16"/>
      <c r="M2442" s="57"/>
      <c r="N2442" s="58"/>
      <c r="P2442" s="16"/>
      <c r="Q2442" s="20"/>
      <c r="R2442" s="14" t="e">
        <v>#N/A</v>
      </c>
      <c r="S2442" s="20"/>
      <c r="T2442" s="16">
        <v>9</v>
      </c>
      <c r="U2442" s="17" t="s">
        <v>63</v>
      </c>
      <c r="V2442" s="17" t="s">
        <v>56</v>
      </c>
      <c r="W2442" s="5">
        <v>71.400000000000006</v>
      </c>
      <c r="X2442" s="16"/>
      <c r="Y2442" s="5">
        <v>71.400000000000006</v>
      </c>
      <c r="Z2442" s="16"/>
      <c r="AA2442" s="16"/>
      <c r="AB2442" s="16">
        <v>6</v>
      </c>
      <c r="AE2442" s="16" t="s">
        <v>213</v>
      </c>
      <c r="AF2442" s="21">
        <v>2</v>
      </c>
      <c r="AG2442" s="22">
        <f t="shared" si="420"/>
        <v>71.400000000000006</v>
      </c>
      <c r="AH2442" s="6">
        <v>1</v>
      </c>
      <c r="AI2442" s="21">
        <v>7250</v>
      </c>
      <c r="AJ2442" s="20">
        <f t="shared" si="421"/>
        <v>517650.00000000006</v>
      </c>
      <c r="AK2442" s="50">
        <v>6</v>
      </c>
      <c r="AL2442" s="6">
        <v>0.06</v>
      </c>
      <c r="AM2442" s="20">
        <f t="shared" si="422"/>
        <v>486591.00000000006</v>
      </c>
      <c r="AN2442" s="20">
        <f>+((S2433*0.05))+AM2442</f>
        <v>647563.5</v>
      </c>
      <c r="AP2442" s="20">
        <f t="shared" si="423"/>
        <v>647563.5</v>
      </c>
      <c r="AQ2442" s="7">
        <v>2.0000000000000001E-4</v>
      </c>
      <c r="AR2442" s="24"/>
      <c r="AS2442" s="97"/>
    </row>
    <row r="2443" spans="1:45" s="21" customFormat="1" ht="23.25" customHeight="1" x14ac:dyDescent="0.2">
      <c r="A2443" s="9"/>
      <c r="B2443" s="46"/>
      <c r="C2443" s="16"/>
      <c r="D2443" s="48"/>
      <c r="E2443" s="47"/>
      <c r="F2443" s="48"/>
      <c r="G2443" s="49"/>
      <c r="H2443" s="48"/>
      <c r="I2443" s="48"/>
      <c r="J2443" s="48"/>
      <c r="K2443" s="3"/>
      <c r="L2443" s="16"/>
      <c r="M2443" s="57"/>
      <c r="N2443" s="58"/>
      <c r="P2443" s="16"/>
      <c r="Q2443" s="20"/>
      <c r="R2443" s="14" t="e">
        <v>#N/A</v>
      </c>
      <c r="S2443" s="20"/>
      <c r="T2443" s="16">
        <v>10</v>
      </c>
      <c r="U2443" s="17" t="s">
        <v>63</v>
      </c>
      <c r="V2443" s="17" t="s">
        <v>56</v>
      </c>
      <c r="W2443" s="5">
        <f>5*20</f>
        <v>100</v>
      </c>
      <c r="X2443" s="16"/>
      <c r="Y2443" s="5">
        <v>100</v>
      </c>
      <c r="Z2443" s="16"/>
      <c r="AA2443" s="16"/>
      <c r="AB2443" s="16">
        <v>11</v>
      </c>
      <c r="AE2443" s="16" t="s">
        <v>214</v>
      </c>
      <c r="AG2443" s="22">
        <f t="shared" si="420"/>
        <v>100</v>
      </c>
      <c r="AH2443" s="6">
        <v>1</v>
      </c>
      <c r="AI2443" s="21">
        <v>7250</v>
      </c>
      <c r="AJ2443" s="20">
        <f t="shared" si="421"/>
        <v>725000</v>
      </c>
      <c r="AK2443" s="50">
        <v>11</v>
      </c>
      <c r="AL2443" s="6">
        <v>0.12</v>
      </c>
      <c r="AM2443" s="20">
        <f t="shared" si="422"/>
        <v>638000</v>
      </c>
      <c r="AN2443" s="20">
        <f>+((S2433*0.08))+AM2443</f>
        <v>895556</v>
      </c>
      <c r="AP2443" s="20">
        <f t="shared" si="423"/>
        <v>895556</v>
      </c>
      <c r="AQ2443" s="7">
        <v>2.0000000000000001E-4</v>
      </c>
      <c r="AR2443" s="24"/>
      <c r="AS2443" s="97"/>
    </row>
    <row r="2444" spans="1:45" s="21" customFormat="1" ht="23.25" customHeight="1" x14ac:dyDescent="0.2">
      <c r="A2444" s="9"/>
      <c r="B2444" s="46"/>
      <c r="C2444" s="16"/>
      <c r="D2444" s="48"/>
      <c r="E2444" s="47"/>
      <c r="F2444" s="48"/>
      <c r="G2444" s="49"/>
      <c r="H2444" s="48"/>
      <c r="I2444" s="48"/>
      <c r="J2444" s="48"/>
      <c r="K2444" s="3"/>
      <c r="L2444" s="16"/>
      <c r="M2444" s="57"/>
      <c r="N2444" s="58"/>
      <c r="P2444" s="16"/>
      <c r="Q2444" s="20"/>
      <c r="R2444" s="14" t="e">
        <v>#N/A</v>
      </c>
      <c r="S2444" s="20"/>
      <c r="T2444" s="16">
        <v>11</v>
      </c>
      <c r="U2444" s="17" t="s">
        <v>63</v>
      </c>
      <c r="V2444" s="17" t="s">
        <v>56</v>
      </c>
      <c r="W2444" s="5">
        <f>5*20</f>
        <v>100</v>
      </c>
      <c r="X2444" s="16"/>
      <c r="Y2444" s="5">
        <v>75</v>
      </c>
      <c r="Z2444" s="16">
        <v>25</v>
      </c>
      <c r="AA2444" s="16"/>
      <c r="AB2444" s="16">
        <v>11</v>
      </c>
      <c r="AE2444" s="16" t="s">
        <v>215</v>
      </c>
      <c r="AG2444" s="22">
        <v>100</v>
      </c>
      <c r="AH2444" s="6">
        <v>0.75</v>
      </c>
      <c r="AI2444" s="21">
        <v>7250</v>
      </c>
      <c r="AJ2444" s="20">
        <f t="shared" si="421"/>
        <v>543750</v>
      </c>
      <c r="AK2444" s="50">
        <v>11</v>
      </c>
      <c r="AL2444" s="6">
        <v>0.12</v>
      </c>
      <c r="AM2444" s="20">
        <f t="shared" si="422"/>
        <v>478500</v>
      </c>
      <c r="AN2444" s="20">
        <f>+((S2433*0.08)*0.75)+AM2444</f>
        <v>671667</v>
      </c>
      <c r="AP2444" s="20">
        <f t="shared" si="423"/>
        <v>671667</v>
      </c>
      <c r="AQ2444" s="7">
        <v>2.0000000000000001E-4</v>
      </c>
      <c r="AR2444" s="24"/>
      <c r="AS2444" s="97"/>
    </row>
    <row r="2445" spans="1:45" s="21" customFormat="1" ht="23.25" customHeight="1" x14ac:dyDescent="0.2">
      <c r="A2445" s="9"/>
      <c r="B2445" s="46"/>
      <c r="C2445" s="16"/>
      <c r="D2445" s="48"/>
      <c r="E2445" s="47"/>
      <c r="F2445" s="48"/>
      <c r="G2445" s="49"/>
      <c r="H2445" s="48"/>
      <c r="I2445" s="48"/>
      <c r="J2445" s="48"/>
      <c r="K2445" s="3"/>
      <c r="L2445" s="16"/>
      <c r="M2445" s="57"/>
      <c r="N2445" s="58"/>
      <c r="P2445" s="16"/>
      <c r="Q2445" s="20"/>
      <c r="R2445" s="14" t="e">
        <v>#N/A</v>
      </c>
      <c r="S2445" s="20"/>
      <c r="T2445" s="16"/>
      <c r="U2445" s="17"/>
      <c r="V2445" s="17"/>
      <c r="W2445" s="5"/>
      <c r="X2445" s="16"/>
      <c r="Y2445" s="5"/>
      <c r="Z2445" s="16"/>
      <c r="AA2445" s="16"/>
      <c r="AB2445" s="16"/>
      <c r="AE2445" s="16"/>
      <c r="AG2445" s="22">
        <v>100</v>
      </c>
      <c r="AH2445" s="6">
        <v>0.25</v>
      </c>
      <c r="AI2445" s="21">
        <v>7250</v>
      </c>
      <c r="AJ2445" s="20">
        <f t="shared" si="421"/>
        <v>181250</v>
      </c>
      <c r="AK2445" s="50">
        <v>11</v>
      </c>
      <c r="AL2445" s="6">
        <v>0.12</v>
      </c>
      <c r="AM2445" s="20">
        <f t="shared" si="422"/>
        <v>159500</v>
      </c>
      <c r="AN2445" s="20">
        <f>+((S2433*0.08)*0.25)+AM2445</f>
        <v>223889</v>
      </c>
      <c r="AP2445" s="20">
        <f t="shared" si="423"/>
        <v>223889</v>
      </c>
      <c r="AQ2445" s="7">
        <v>3.0000000000000001E-3</v>
      </c>
      <c r="AR2445" s="24"/>
      <c r="AS2445" s="97"/>
    </row>
    <row r="2446" spans="1:45" s="21" customFormat="1" ht="23.25" customHeight="1" x14ac:dyDescent="0.2">
      <c r="A2446" s="9"/>
      <c r="B2446" s="46"/>
      <c r="C2446" s="16"/>
      <c r="D2446" s="48"/>
      <c r="E2446" s="47"/>
      <c r="F2446" s="48"/>
      <c r="G2446" s="49"/>
      <c r="H2446" s="48"/>
      <c r="I2446" s="48"/>
      <c r="J2446" s="48"/>
      <c r="K2446" s="3"/>
      <c r="L2446" s="16"/>
      <c r="M2446" s="57"/>
      <c r="N2446" s="58"/>
      <c r="P2446" s="16"/>
      <c r="Q2446" s="20"/>
      <c r="R2446" s="14" t="e">
        <v>#N/A</v>
      </c>
      <c r="S2446" s="20"/>
      <c r="T2446" s="16">
        <v>12</v>
      </c>
      <c r="U2446" s="17" t="s">
        <v>101</v>
      </c>
      <c r="V2446" s="17" t="s">
        <v>56</v>
      </c>
      <c r="W2446" s="5">
        <v>27</v>
      </c>
      <c r="X2446" s="16"/>
      <c r="Y2446" s="5"/>
      <c r="Z2446" s="16">
        <v>27</v>
      </c>
      <c r="AA2446" s="16"/>
      <c r="AB2446" s="16">
        <v>4</v>
      </c>
      <c r="AE2446" s="16" t="s">
        <v>216</v>
      </c>
      <c r="AG2446" s="22">
        <v>27</v>
      </c>
      <c r="AH2446" s="6">
        <v>1</v>
      </c>
      <c r="AI2446" s="21">
        <v>3750</v>
      </c>
      <c r="AJ2446" s="20">
        <f t="shared" si="421"/>
        <v>101250</v>
      </c>
      <c r="AK2446" s="50">
        <v>4</v>
      </c>
      <c r="AL2446" s="6">
        <v>0.04</v>
      </c>
      <c r="AM2446" s="20">
        <f t="shared" si="422"/>
        <v>97200</v>
      </c>
      <c r="AN2446" s="20">
        <f>+((S2433*0.02))+AM2446</f>
        <v>161589</v>
      </c>
      <c r="AP2446" s="20">
        <f t="shared" si="423"/>
        <v>161589</v>
      </c>
      <c r="AQ2446" s="7">
        <v>3.0000000000000001E-3</v>
      </c>
      <c r="AR2446" s="24"/>
      <c r="AS2446" s="97"/>
    </row>
    <row r="2447" spans="1:45" s="21" customFormat="1" ht="23.25" customHeight="1" x14ac:dyDescent="0.2">
      <c r="A2447" s="9"/>
      <c r="B2447" s="46"/>
      <c r="C2447" s="16"/>
      <c r="D2447" s="48"/>
      <c r="E2447" s="47"/>
      <c r="F2447" s="48"/>
      <c r="G2447" s="49"/>
      <c r="H2447" s="48"/>
      <c r="I2447" s="48"/>
      <c r="J2447" s="48"/>
      <c r="K2447" s="3"/>
      <c r="L2447" s="16"/>
      <c r="M2447" s="57"/>
      <c r="N2447" s="58"/>
      <c r="P2447" s="16"/>
      <c r="Q2447" s="20"/>
      <c r="R2447" s="14" t="e">
        <v>#N/A</v>
      </c>
      <c r="S2447" s="20"/>
      <c r="T2447" s="16">
        <v>13</v>
      </c>
      <c r="U2447" s="17" t="s">
        <v>101</v>
      </c>
      <c r="V2447" s="17" t="s">
        <v>56</v>
      </c>
      <c r="W2447" s="5">
        <f>15*9</f>
        <v>135</v>
      </c>
      <c r="X2447" s="16"/>
      <c r="Y2447" s="5"/>
      <c r="Z2447" s="16">
        <v>135</v>
      </c>
      <c r="AA2447" s="16"/>
      <c r="AB2447" s="16"/>
      <c r="AE2447" s="16"/>
      <c r="AG2447" s="22">
        <v>135</v>
      </c>
      <c r="AH2447" s="6">
        <v>1</v>
      </c>
      <c r="AI2447" s="21">
        <v>3750</v>
      </c>
      <c r="AJ2447" s="20">
        <f t="shared" si="421"/>
        <v>506250</v>
      </c>
      <c r="AK2447" s="50">
        <v>4</v>
      </c>
      <c r="AL2447" s="6">
        <v>0.04</v>
      </c>
      <c r="AM2447" s="20">
        <f t="shared" si="422"/>
        <v>486000</v>
      </c>
      <c r="AN2447" s="20">
        <f>+((S2433*0.1))+AM2447</f>
        <v>807945</v>
      </c>
      <c r="AP2447" s="20">
        <f t="shared" si="423"/>
        <v>807945</v>
      </c>
      <c r="AQ2447" s="7">
        <v>3.0000000000000001E-3</v>
      </c>
      <c r="AR2447" s="24"/>
      <c r="AS2447" s="97"/>
    </row>
    <row r="2448" spans="1:45" s="21" customFormat="1" ht="23.25" customHeight="1" x14ac:dyDescent="0.2">
      <c r="A2448" s="8">
        <v>2063</v>
      </c>
      <c r="B2448" s="46">
        <v>2</v>
      </c>
      <c r="C2448" s="16" t="s">
        <v>52</v>
      </c>
      <c r="D2448" s="48">
        <v>1158</v>
      </c>
      <c r="E2448" s="47">
        <v>2</v>
      </c>
      <c r="F2448" s="48">
        <v>975</v>
      </c>
      <c r="G2448" s="49">
        <v>1</v>
      </c>
      <c r="H2448" s="48">
        <v>8</v>
      </c>
      <c r="I2448" s="48">
        <v>0</v>
      </c>
      <c r="J2448" s="48">
        <v>3</v>
      </c>
      <c r="K2448" s="3">
        <v>3203</v>
      </c>
      <c r="L2448" s="16"/>
      <c r="M2448" s="57"/>
      <c r="N2448" s="58"/>
      <c r="P2448" s="16">
        <v>1</v>
      </c>
      <c r="Q2448" s="20">
        <f t="shared" si="418"/>
        <v>3203</v>
      </c>
      <c r="R2448" s="14">
        <v>160</v>
      </c>
      <c r="S2448" s="19">
        <f t="shared" si="419"/>
        <v>512480</v>
      </c>
      <c r="T2448" s="16"/>
      <c r="U2448" s="17"/>
      <c r="V2448" s="17"/>
      <c r="W2448" s="5"/>
      <c r="X2448" s="16"/>
      <c r="Y2448" s="5"/>
      <c r="Z2448" s="16"/>
      <c r="AA2448" s="16"/>
      <c r="AB2448" s="16"/>
      <c r="AE2448" s="16"/>
      <c r="AG2448" s="22">
        <f t="shared" si="420"/>
        <v>0</v>
      </c>
      <c r="AH2448" s="6"/>
      <c r="AJ2448" s="20">
        <f t="shared" si="421"/>
        <v>0</v>
      </c>
      <c r="AK2448" s="50"/>
      <c r="AL2448" s="6"/>
      <c r="AM2448" s="20">
        <f t="shared" si="422"/>
        <v>0</v>
      </c>
      <c r="AN2448" s="20">
        <f t="shared" ref="AN2448:AN2479" si="424">+S2448+AM2448</f>
        <v>512480</v>
      </c>
      <c r="AP2448" s="20">
        <f t="shared" si="423"/>
        <v>512480</v>
      </c>
      <c r="AQ2448" s="7"/>
      <c r="AR2448" s="24"/>
      <c r="AS2448" s="97"/>
    </row>
    <row r="2449" spans="1:50" s="21" customFormat="1" ht="23.25" customHeight="1" x14ac:dyDescent="0.2">
      <c r="A2449" s="8">
        <v>2064</v>
      </c>
      <c r="B2449" s="46">
        <v>3</v>
      </c>
      <c r="C2449" s="16" t="s">
        <v>52</v>
      </c>
      <c r="D2449" s="48">
        <v>1159</v>
      </c>
      <c r="E2449" s="47">
        <v>1</v>
      </c>
      <c r="F2449" s="48">
        <v>976</v>
      </c>
      <c r="G2449" s="49">
        <v>1</v>
      </c>
      <c r="H2449" s="48">
        <v>7</v>
      </c>
      <c r="I2449" s="48">
        <v>0</v>
      </c>
      <c r="J2449" s="48">
        <v>22</v>
      </c>
      <c r="K2449" s="3">
        <v>2822</v>
      </c>
      <c r="L2449" s="16"/>
      <c r="M2449" s="57"/>
      <c r="N2449" s="58"/>
      <c r="P2449" s="16">
        <v>1</v>
      </c>
      <c r="Q2449" s="20">
        <f t="shared" si="418"/>
        <v>2822</v>
      </c>
      <c r="R2449" s="14">
        <v>160</v>
      </c>
      <c r="S2449" s="19">
        <f t="shared" si="419"/>
        <v>451520</v>
      </c>
      <c r="T2449" s="16"/>
      <c r="U2449" s="17"/>
      <c r="V2449" s="17"/>
      <c r="W2449" s="5"/>
      <c r="X2449" s="16"/>
      <c r="Y2449" s="5"/>
      <c r="Z2449" s="16"/>
      <c r="AA2449" s="16"/>
      <c r="AB2449" s="16"/>
      <c r="AE2449" s="16"/>
      <c r="AG2449" s="22">
        <f t="shared" si="420"/>
        <v>0</v>
      </c>
      <c r="AH2449" s="6"/>
      <c r="AJ2449" s="20">
        <f t="shared" si="421"/>
        <v>0</v>
      </c>
      <c r="AK2449" s="50"/>
      <c r="AL2449" s="6"/>
      <c r="AM2449" s="20">
        <f t="shared" si="422"/>
        <v>0</v>
      </c>
      <c r="AN2449" s="20">
        <f t="shared" si="424"/>
        <v>451520</v>
      </c>
      <c r="AP2449" s="20">
        <f t="shared" si="423"/>
        <v>451520</v>
      </c>
      <c r="AQ2449" s="7"/>
      <c r="AR2449" s="24"/>
      <c r="AS2449" s="97"/>
    </row>
    <row r="2450" spans="1:50" s="21" customFormat="1" ht="23.25" customHeight="1" x14ac:dyDescent="0.2">
      <c r="A2450" s="8">
        <v>2065</v>
      </c>
      <c r="B2450" s="46">
        <v>4</v>
      </c>
      <c r="C2450" s="16" t="s">
        <v>52</v>
      </c>
      <c r="D2450" s="48">
        <v>25994</v>
      </c>
      <c r="E2450" s="47">
        <v>505</v>
      </c>
      <c r="F2450" s="48">
        <v>4911</v>
      </c>
      <c r="G2450" s="49">
        <v>1</v>
      </c>
      <c r="H2450" s="48">
        <v>0</v>
      </c>
      <c r="I2450" s="48">
        <v>0</v>
      </c>
      <c r="J2450" s="48">
        <v>39</v>
      </c>
      <c r="K2450" s="3">
        <v>39</v>
      </c>
      <c r="L2450" s="16"/>
      <c r="M2450" s="57"/>
      <c r="N2450" s="58"/>
      <c r="P2450" s="16">
        <v>1</v>
      </c>
      <c r="Q2450" s="20">
        <f t="shared" si="418"/>
        <v>39</v>
      </c>
      <c r="R2450" s="14">
        <v>3000</v>
      </c>
      <c r="S2450" s="20">
        <f t="shared" si="419"/>
        <v>117000</v>
      </c>
      <c r="T2450" s="16"/>
      <c r="U2450" s="17"/>
      <c r="V2450" s="17"/>
      <c r="W2450" s="5"/>
      <c r="X2450" s="16"/>
      <c r="Y2450" s="5"/>
      <c r="Z2450" s="16"/>
      <c r="AA2450" s="16"/>
      <c r="AB2450" s="16"/>
      <c r="AC2450" s="14"/>
      <c r="AD2450" s="14"/>
      <c r="AE2450" s="16"/>
      <c r="AG2450" s="22">
        <f t="shared" si="420"/>
        <v>0</v>
      </c>
      <c r="AH2450" s="6"/>
      <c r="AJ2450" s="20">
        <f t="shared" si="421"/>
        <v>0</v>
      </c>
      <c r="AK2450" s="50"/>
      <c r="AL2450" s="6"/>
      <c r="AM2450" s="20">
        <f t="shared" si="422"/>
        <v>0</v>
      </c>
      <c r="AN2450" s="20">
        <f t="shared" si="424"/>
        <v>117000</v>
      </c>
      <c r="AP2450" s="20">
        <f t="shared" si="423"/>
        <v>117000</v>
      </c>
      <c r="AQ2450" s="7"/>
      <c r="AR2450" s="24"/>
      <c r="AS2450" s="97"/>
    </row>
    <row r="2451" spans="1:50" s="21" customFormat="1" ht="23.25" customHeight="1" x14ac:dyDescent="0.2">
      <c r="A2451" s="8">
        <v>2066</v>
      </c>
      <c r="B2451" s="46">
        <v>5</v>
      </c>
      <c r="C2451" s="16" t="s">
        <v>52</v>
      </c>
      <c r="D2451" s="48">
        <v>25995</v>
      </c>
      <c r="E2451" s="47">
        <v>506</v>
      </c>
      <c r="F2451" s="48">
        <v>4912</v>
      </c>
      <c r="G2451" s="49">
        <v>1</v>
      </c>
      <c r="H2451" s="48">
        <v>0</v>
      </c>
      <c r="I2451" s="48">
        <v>1</v>
      </c>
      <c r="J2451" s="48">
        <v>25</v>
      </c>
      <c r="K2451" s="3">
        <v>125</v>
      </c>
      <c r="L2451" s="16"/>
      <c r="M2451" s="57"/>
      <c r="N2451" s="58"/>
      <c r="P2451" s="16">
        <v>1</v>
      </c>
      <c r="Q2451" s="20">
        <f t="shared" si="418"/>
        <v>125</v>
      </c>
      <c r="R2451" s="14">
        <v>3000</v>
      </c>
      <c r="S2451" s="19">
        <f t="shared" si="419"/>
        <v>375000</v>
      </c>
      <c r="T2451" s="16"/>
      <c r="U2451" s="17" t="s">
        <v>174</v>
      </c>
      <c r="V2451" s="17" t="s">
        <v>56</v>
      </c>
      <c r="W2451" s="5">
        <v>110</v>
      </c>
      <c r="X2451" s="16"/>
      <c r="Y2451" s="5"/>
      <c r="Z2451" s="16">
        <v>110</v>
      </c>
      <c r="AA2451" s="16"/>
      <c r="AB2451" s="16"/>
      <c r="AE2451" s="16" t="s">
        <v>217</v>
      </c>
      <c r="AF2451" s="21">
        <v>3</v>
      </c>
      <c r="AG2451" s="22">
        <v>121</v>
      </c>
      <c r="AH2451" s="6">
        <v>1</v>
      </c>
      <c r="AI2451" s="21">
        <v>5800</v>
      </c>
      <c r="AJ2451" s="20">
        <f t="shared" si="421"/>
        <v>701800</v>
      </c>
      <c r="AK2451" s="50">
        <v>4</v>
      </c>
      <c r="AL2451" s="6">
        <v>0.04</v>
      </c>
      <c r="AM2451" s="20">
        <f t="shared" si="422"/>
        <v>673728</v>
      </c>
      <c r="AN2451" s="20">
        <f t="shared" si="424"/>
        <v>1048728</v>
      </c>
      <c r="AP2451" s="20">
        <f t="shared" si="423"/>
        <v>1048728</v>
      </c>
      <c r="AQ2451" s="7">
        <v>3.0000000000000001E-3</v>
      </c>
      <c r="AR2451" s="24"/>
      <c r="AS2451" s="97"/>
    </row>
    <row r="2452" spans="1:50" s="21" customFormat="1" ht="23.25" customHeight="1" x14ac:dyDescent="0.2">
      <c r="A2452" s="8">
        <v>2067</v>
      </c>
      <c r="B2452" s="46">
        <v>6</v>
      </c>
      <c r="C2452" s="16" t="s">
        <v>52</v>
      </c>
      <c r="D2452" s="48">
        <v>4596</v>
      </c>
      <c r="E2452" s="47">
        <v>147</v>
      </c>
      <c r="F2452" s="48">
        <v>2115</v>
      </c>
      <c r="G2452" s="49">
        <v>2</v>
      </c>
      <c r="H2452" s="48">
        <v>4</v>
      </c>
      <c r="I2452" s="48">
        <v>2</v>
      </c>
      <c r="J2452" s="48">
        <v>51</v>
      </c>
      <c r="K2452" s="3">
        <v>1851</v>
      </c>
      <c r="L2452" s="16"/>
      <c r="M2452" s="57"/>
      <c r="N2452" s="58"/>
      <c r="P2452" s="16">
        <v>1</v>
      </c>
      <c r="Q2452" s="20">
        <f t="shared" si="418"/>
        <v>1851</v>
      </c>
      <c r="R2452" s="14">
        <v>160</v>
      </c>
      <c r="S2452" s="19">
        <f t="shared" si="419"/>
        <v>296160</v>
      </c>
      <c r="T2452" s="16"/>
      <c r="U2452" s="17"/>
      <c r="V2452" s="17"/>
      <c r="W2452" s="5"/>
      <c r="X2452" s="16"/>
      <c r="Y2452" s="5"/>
      <c r="Z2452" s="16"/>
      <c r="AA2452" s="16"/>
      <c r="AB2452" s="16"/>
      <c r="AC2452" s="14"/>
      <c r="AD2452" s="14"/>
      <c r="AE2452" s="16"/>
      <c r="AG2452" s="22">
        <f t="shared" si="420"/>
        <v>0</v>
      </c>
      <c r="AH2452" s="6"/>
      <c r="AJ2452" s="20">
        <f t="shared" si="421"/>
        <v>0</v>
      </c>
      <c r="AK2452" s="50"/>
      <c r="AL2452" s="6"/>
      <c r="AM2452" s="20">
        <f t="shared" si="422"/>
        <v>0</v>
      </c>
      <c r="AN2452" s="20">
        <f t="shared" si="424"/>
        <v>296160</v>
      </c>
      <c r="AP2452" s="20">
        <f t="shared" si="423"/>
        <v>296160</v>
      </c>
      <c r="AQ2452" s="7"/>
      <c r="AR2452" s="24"/>
      <c r="AS2452" s="97"/>
    </row>
    <row r="2453" spans="1:50" s="21" customFormat="1" ht="23.25" customHeight="1" x14ac:dyDescent="0.2">
      <c r="A2453" s="8">
        <v>2068</v>
      </c>
      <c r="B2453" s="46">
        <v>7</v>
      </c>
      <c r="C2453" s="16" t="s">
        <v>52</v>
      </c>
      <c r="D2453" s="48">
        <v>1832</v>
      </c>
      <c r="E2453" s="47">
        <v>82</v>
      </c>
      <c r="F2453" s="48">
        <v>1222</v>
      </c>
      <c r="G2453" s="49">
        <v>2</v>
      </c>
      <c r="H2453" s="48">
        <v>5</v>
      </c>
      <c r="I2453" s="48">
        <v>1</v>
      </c>
      <c r="J2453" s="48">
        <v>90</v>
      </c>
      <c r="K2453" s="3">
        <v>2190</v>
      </c>
      <c r="L2453" s="16"/>
      <c r="M2453" s="57"/>
      <c r="N2453" s="58"/>
      <c r="P2453" s="16">
        <v>1</v>
      </c>
      <c r="Q2453" s="20">
        <f t="shared" si="418"/>
        <v>2190</v>
      </c>
      <c r="R2453" s="14">
        <v>160</v>
      </c>
      <c r="S2453" s="20">
        <f t="shared" si="419"/>
        <v>350400</v>
      </c>
      <c r="T2453" s="16"/>
      <c r="U2453" s="17"/>
      <c r="V2453" s="17"/>
      <c r="W2453" s="5"/>
      <c r="X2453" s="16"/>
      <c r="Y2453" s="5"/>
      <c r="Z2453" s="16"/>
      <c r="AA2453" s="16"/>
      <c r="AB2453" s="16"/>
      <c r="AC2453" s="14"/>
      <c r="AD2453" s="14"/>
      <c r="AE2453" s="16"/>
      <c r="AG2453" s="22">
        <f t="shared" si="420"/>
        <v>0</v>
      </c>
      <c r="AH2453" s="6"/>
      <c r="AJ2453" s="20">
        <f t="shared" si="421"/>
        <v>0</v>
      </c>
      <c r="AK2453" s="50"/>
      <c r="AL2453" s="6"/>
      <c r="AM2453" s="20">
        <f t="shared" si="422"/>
        <v>0</v>
      </c>
      <c r="AN2453" s="20">
        <f t="shared" si="424"/>
        <v>350400</v>
      </c>
      <c r="AP2453" s="20">
        <f t="shared" si="423"/>
        <v>350400</v>
      </c>
      <c r="AQ2453" s="7"/>
      <c r="AR2453" s="24"/>
      <c r="AS2453" s="97"/>
    </row>
    <row r="2454" spans="1:50" ht="23.25" customHeight="1" x14ac:dyDescent="0.2">
      <c r="A2454" s="8">
        <v>2069</v>
      </c>
      <c r="B2454" s="13">
        <v>8</v>
      </c>
      <c r="C2454" s="16" t="s">
        <v>69</v>
      </c>
      <c r="E2454" s="17">
        <v>2328</v>
      </c>
      <c r="F2454" s="17">
        <v>3</v>
      </c>
      <c r="G2454" s="13">
        <v>1</v>
      </c>
      <c r="H2454" s="17">
        <v>12</v>
      </c>
      <c r="I2454" s="17">
        <v>3</v>
      </c>
      <c r="J2454" s="17">
        <v>39</v>
      </c>
      <c r="K2454" s="10">
        <v>5139</v>
      </c>
      <c r="P2454" s="17">
        <v>1</v>
      </c>
      <c r="Q2454" s="20">
        <f t="shared" si="418"/>
        <v>5139</v>
      </c>
      <c r="R2454" s="14">
        <v>160</v>
      </c>
      <c r="S2454" s="19">
        <f t="shared" si="419"/>
        <v>822240</v>
      </c>
      <c r="AG2454" s="22">
        <f t="shared" si="420"/>
        <v>0</v>
      </c>
      <c r="AJ2454" s="20">
        <f t="shared" si="421"/>
        <v>0</v>
      </c>
      <c r="AM2454" s="20">
        <f t="shared" si="422"/>
        <v>0</v>
      </c>
      <c r="AN2454" s="20">
        <f t="shared" si="424"/>
        <v>822240</v>
      </c>
      <c r="AP2454" s="20">
        <f t="shared" si="423"/>
        <v>822240</v>
      </c>
      <c r="AQ2454" s="12">
        <v>1E-4</v>
      </c>
      <c r="AR2454" s="24"/>
      <c r="AS2454" s="97"/>
    </row>
    <row r="2455" spans="1:50" ht="23.25" customHeight="1" x14ac:dyDescent="0.2">
      <c r="A2455" s="8">
        <v>2070</v>
      </c>
      <c r="B2455" s="13">
        <v>9</v>
      </c>
      <c r="C2455" s="16" t="s">
        <v>69</v>
      </c>
      <c r="E2455" s="17">
        <v>2329</v>
      </c>
      <c r="F2455" s="17">
        <v>6</v>
      </c>
      <c r="G2455" s="13">
        <v>1</v>
      </c>
      <c r="H2455" s="17">
        <v>7</v>
      </c>
      <c r="I2455" s="17">
        <v>3</v>
      </c>
      <c r="J2455" s="17">
        <v>38</v>
      </c>
      <c r="K2455" s="10">
        <v>3138</v>
      </c>
      <c r="P2455" s="17">
        <v>1</v>
      </c>
      <c r="Q2455" s="20">
        <f t="shared" si="418"/>
        <v>3138</v>
      </c>
      <c r="R2455" s="14">
        <v>160</v>
      </c>
      <c r="S2455" s="19">
        <f t="shared" si="419"/>
        <v>502080</v>
      </c>
      <c r="AG2455" s="22">
        <f t="shared" si="420"/>
        <v>0</v>
      </c>
      <c r="AJ2455" s="20">
        <f t="shared" si="421"/>
        <v>0</v>
      </c>
      <c r="AM2455" s="20">
        <f t="shared" si="422"/>
        <v>0</v>
      </c>
      <c r="AN2455" s="20">
        <f t="shared" si="424"/>
        <v>502080</v>
      </c>
      <c r="AP2455" s="20">
        <f t="shared" si="423"/>
        <v>502080</v>
      </c>
      <c r="AQ2455" s="12">
        <v>1E-4</v>
      </c>
      <c r="AR2455" s="24"/>
      <c r="AS2455" s="97"/>
    </row>
    <row r="2456" spans="1:50" ht="23.25" customHeight="1" x14ac:dyDescent="0.2">
      <c r="A2456" s="8">
        <v>2071</v>
      </c>
      <c r="B2456" s="13">
        <v>10</v>
      </c>
      <c r="C2456" s="16" t="s">
        <v>69</v>
      </c>
      <c r="E2456" s="17">
        <v>2329</v>
      </c>
      <c r="F2456" s="17">
        <v>22</v>
      </c>
      <c r="G2456" s="13">
        <v>1</v>
      </c>
      <c r="H2456" s="17">
        <v>4</v>
      </c>
      <c r="I2456" s="17">
        <v>3</v>
      </c>
      <c r="J2456" s="17">
        <v>40</v>
      </c>
      <c r="K2456" s="10">
        <v>1940</v>
      </c>
      <c r="P2456" s="17">
        <v>1</v>
      </c>
      <c r="Q2456" s="20">
        <f t="shared" si="418"/>
        <v>1940</v>
      </c>
      <c r="R2456" s="14">
        <v>200</v>
      </c>
      <c r="S2456" s="20">
        <f t="shared" si="419"/>
        <v>388000</v>
      </c>
      <c r="AG2456" s="22">
        <f t="shared" si="420"/>
        <v>0</v>
      </c>
      <c r="AJ2456" s="20">
        <f t="shared" si="421"/>
        <v>0</v>
      </c>
      <c r="AM2456" s="20">
        <f t="shared" si="422"/>
        <v>0</v>
      </c>
      <c r="AN2456" s="20">
        <f t="shared" si="424"/>
        <v>388000</v>
      </c>
      <c r="AP2456" s="20">
        <f t="shared" si="423"/>
        <v>388000</v>
      </c>
      <c r="AQ2456" s="12">
        <v>1E-4</v>
      </c>
      <c r="AR2456" s="25"/>
      <c r="AS2456" s="98"/>
      <c r="AX2456" s="14" t="s">
        <v>102</v>
      </c>
    </row>
    <row r="2457" spans="1:50" s="21" customFormat="1" ht="30" customHeight="1" x14ac:dyDescent="0.2">
      <c r="A2457" s="8">
        <v>2072</v>
      </c>
      <c r="B2457" s="46">
        <v>1</v>
      </c>
      <c r="C2457" s="16" t="s">
        <v>52</v>
      </c>
      <c r="D2457" s="48">
        <v>963</v>
      </c>
      <c r="E2457" s="47">
        <v>12</v>
      </c>
      <c r="F2457" s="48">
        <v>372</v>
      </c>
      <c r="G2457" s="49">
        <v>1</v>
      </c>
      <c r="H2457" s="48">
        <v>1</v>
      </c>
      <c r="I2457" s="48">
        <v>1</v>
      </c>
      <c r="J2457" s="48">
        <v>17.02</v>
      </c>
      <c r="K2457" s="3">
        <v>517.02</v>
      </c>
      <c r="L2457" s="16"/>
      <c r="M2457" s="57"/>
      <c r="N2457" s="58"/>
      <c r="P2457" s="16">
        <v>1</v>
      </c>
      <c r="Q2457" s="20">
        <f t="shared" si="418"/>
        <v>517.02</v>
      </c>
      <c r="R2457" s="14">
        <v>3000</v>
      </c>
      <c r="S2457" s="19">
        <f t="shared" si="419"/>
        <v>1551060</v>
      </c>
      <c r="T2457" s="16"/>
      <c r="U2457" s="17"/>
      <c r="V2457" s="17"/>
      <c r="W2457" s="5"/>
      <c r="X2457" s="16"/>
      <c r="Y2457" s="5"/>
      <c r="Z2457" s="16"/>
      <c r="AA2457" s="16"/>
      <c r="AB2457" s="16"/>
      <c r="AC2457" s="14"/>
      <c r="AD2457" s="14"/>
      <c r="AE2457" s="16"/>
      <c r="AG2457" s="22">
        <f t="shared" si="420"/>
        <v>0</v>
      </c>
      <c r="AH2457" s="6"/>
      <c r="AJ2457" s="20">
        <f t="shared" si="421"/>
        <v>0</v>
      </c>
      <c r="AK2457" s="50"/>
      <c r="AL2457" s="6"/>
      <c r="AM2457" s="20">
        <f t="shared" si="422"/>
        <v>0</v>
      </c>
      <c r="AN2457" s="20">
        <f t="shared" si="424"/>
        <v>1551060</v>
      </c>
      <c r="AP2457" s="20">
        <f t="shared" si="423"/>
        <v>1551060</v>
      </c>
      <c r="AQ2457" s="7"/>
      <c r="AR2457" s="20"/>
      <c r="AS2457" s="51"/>
    </row>
    <row r="2458" spans="1:50" s="21" customFormat="1" ht="30" customHeight="1" x14ac:dyDescent="0.2">
      <c r="A2458" s="8">
        <v>2073</v>
      </c>
      <c r="B2458" s="46">
        <v>2</v>
      </c>
      <c r="C2458" s="16" t="s">
        <v>52</v>
      </c>
      <c r="D2458" s="48">
        <v>11693</v>
      </c>
      <c r="E2458" s="47">
        <v>66</v>
      </c>
      <c r="F2458" s="48">
        <v>3167</v>
      </c>
      <c r="G2458" s="49">
        <v>1</v>
      </c>
      <c r="H2458" s="48">
        <v>0</v>
      </c>
      <c r="I2458" s="48">
        <v>0</v>
      </c>
      <c r="J2458" s="48">
        <v>99.01</v>
      </c>
      <c r="K2458" s="3">
        <v>99.01</v>
      </c>
      <c r="L2458" s="16"/>
      <c r="M2458" s="57"/>
      <c r="N2458" s="58"/>
      <c r="P2458" s="16">
        <v>1</v>
      </c>
      <c r="Q2458" s="20">
        <f t="shared" si="418"/>
        <v>99.01</v>
      </c>
      <c r="R2458" s="14">
        <v>3000</v>
      </c>
      <c r="S2458" s="19">
        <f t="shared" si="419"/>
        <v>297030</v>
      </c>
      <c r="T2458" s="16"/>
      <c r="U2458" s="17"/>
      <c r="V2458" s="17"/>
      <c r="W2458" s="5"/>
      <c r="X2458" s="16"/>
      <c r="Y2458" s="5"/>
      <c r="Z2458" s="16"/>
      <c r="AA2458" s="16"/>
      <c r="AB2458" s="16"/>
      <c r="AC2458" s="14"/>
      <c r="AD2458" s="14"/>
      <c r="AE2458" s="16"/>
      <c r="AG2458" s="22">
        <f t="shared" si="420"/>
        <v>0</v>
      </c>
      <c r="AH2458" s="6"/>
      <c r="AJ2458" s="20">
        <f t="shared" si="421"/>
        <v>0</v>
      </c>
      <c r="AK2458" s="50"/>
      <c r="AL2458" s="6"/>
      <c r="AM2458" s="20">
        <f t="shared" si="422"/>
        <v>0</v>
      </c>
      <c r="AN2458" s="20">
        <f t="shared" si="424"/>
        <v>297030</v>
      </c>
      <c r="AP2458" s="20">
        <f t="shared" si="423"/>
        <v>297030</v>
      </c>
      <c r="AQ2458" s="7"/>
      <c r="AR2458" s="20"/>
      <c r="AS2458" s="51"/>
    </row>
    <row r="2459" spans="1:50" s="21" customFormat="1" ht="30" customHeight="1" x14ac:dyDescent="0.2">
      <c r="A2459" s="8">
        <v>2074</v>
      </c>
      <c r="B2459" s="46">
        <v>3</v>
      </c>
      <c r="C2459" s="16" t="s">
        <v>52</v>
      </c>
      <c r="D2459" s="48">
        <v>11694</v>
      </c>
      <c r="E2459" s="47">
        <v>67</v>
      </c>
      <c r="F2459" s="48">
        <v>3168</v>
      </c>
      <c r="G2459" s="49">
        <v>1</v>
      </c>
      <c r="H2459" s="48">
        <v>0</v>
      </c>
      <c r="I2459" s="48">
        <v>1</v>
      </c>
      <c r="J2459" s="48">
        <v>2.0299999999999998</v>
      </c>
      <c r="K2459" s="3">
        <v>102.03</v>
      </c>
      <c r="L2459" s="16"/>
      <c r="M2459" s="57"/>
      <c r="N2459" s="58"/>
      <c r="P2459" s="16">
        <v>1</v>
      </c>
      <c r="Q2459" s="20">
        <f t="shared" si="418"/>
        <v>102.03</v>
      </c>
      <c r="R2459" s="14">
        <v>3000</v>
      </c>
      <c r="S2459" s="20">
        <f t="shared" si="419"/>
        <v>306090</v>
      </c>
      <c r="T2459" s="16"/>
      <c r="U2459" s="17"/>
      <c r="V2459" s="17"/>
      <c r="W2459" s="5"/>
      <c r="X2459" s="16"/>
      <c r="Y2459" s="5"/>
      <c r="Z2459" s="16"/>
      <c r="AA2459" s="16"/>
      <c r="AB2459" s="16"/>
      <c r="AC2459" s="14"/>
      <c r="AD2459" s="14"/>
      <c r="AE2459" s="16"/>
      <c r="AG2459" s="22">
        <f t="shared" si="420"/>
        <v>0</v>
      </c>
      <c r="AH2459" s="6"/>
      <c r="AJ2459" s="20">
        <f t="shared" si="421"/>
        <v>0</v>
      </c>
      <c r="AK2459" s="50"/>
      <c r="AL2459" s="6"/>
      <c r="AM2459" s="20">
        <f t="shared" si="422"/>
        <v>0</v>
      </c>
      <c r="AN2459" s="20">
        <f t="shared" si="424"/>
        <v>306090</v>
      </c>
      <c r="AP2459" s="20">
        <f t="shared" si="423"/>
        <v>306090</v>
      </c>
      <c r="AQ2459" s="7"/>
      <c r="AR2459" s="20"/>
      <c r="AS2459" s="51"/>
    </row>
    <row r="2460" spans="1:50" s="21" customFormat="1" ht="30" customHeight="1" x14ac:dyDescent="0.2">
      <c r="A2460" s="8">
        <v>2075</v>
      </c>
      <c r="B2460" s="46">
        <v>4</v>
      </c>
      <c r="C2460" s="16" t="s">
        <v>52</v>
      </c>
      <c r="D2460" s="48">
        <v>11695</v>
      </c>
      <c r="E2460" s="47">
        <v>68</v>
      </c>
      <c r="F2460" s="48">
        <v>3169</v>
      </c>
      <c r="G2460" s="49">
        <v>1</v>
      </c>
      <c r="H2460" s="48">
        <v>0</v>
      </c>
      <c r="I2460" s="48">
        <v>1</v>
      </c>
      <c r="J2460" s="48">
        <v>5.05</v>
      </c>
      <c r="K2460" s="3">
        <v>105.05</v>
      </c>
      <c r="L2460" s="16"/>
      <c r="M2460" s="57"/>
      <c r="N2460" s="58"/>
      <c r="P2460" s="16">
        <v>1</v>
      </c>
      <c r="Q2460" s="20">
        <f t="shared" si="418"/>
        <v>105.05</v>
      </c>
      <c r="R2460" s="14">
        <v>3000</v>
      </c>
      <c r="S2460" s="19">
        <f t="shared" si="419"/>
        <v>315150</v>
      </c>
      <c r="T2460" s="16"/>
      <c r="U2460" s="17"/>
      <c r="V2460" s="17"/>
      <c r="W2460" s="5"/>
      <c r="X2460" s="16"/>
      <c r="Y2460" s="5"/>
      <c r="Z2460" s="16"/>
      <c r="AA2460" s="16"/>
      <c r="AB2460" s="16"/>
      <c r="AE2460" s="16"/>
      <c r="AG2460" s="22">
        <f t="shared" si="420"/>
        <v>0</v>
      </c>
      <c r="AH2460" s="6"/>
      <c r="AJ2460" s="20">
        <f t="shared" si="421"/>
        <v>0</v>
      </c>
      <c r="AK2460" s="50"/>
      <c r="AL2460" s="6"/>
      <c r="AM2460" s="20">
        <f t="shared" si="422"/>
        <v>0</v>
      </c>
      <c r="AN2460" s="20">
        <f t="shared" si="424"/>
        <v>315150</v>
      </c>
      <c r="AP2460" s="20">
        <f t="shared" si="423"/>
        <v>315150</v>
      </c>
      <c r="AQ2460" s="7"/>
      <c r="AR2460" s="20"/>
      <c r="AS2460" s="51"/>
    </row>
    <row r="2461" spans="1:50" s="21" customFormat="1" ht="30" customHeight="1" x14ac:dyDescent="0.2">
      <c r="A2461" s="8">
        <v>2076</v>
      </c>
      <c r="B2461" s="46">
        <v>5</v>
      </c>
      <c r="C2461" s="16" t="s">
        <v>52</v>
      </c>
      <c r="D2461" s="48">
        <v>11696</v>
      </c>
      <c r="E2461" s="47">
        <v>69</v>
      </c>
      <c r="F2461" s="48">
        <v>3170</v>
      </c>
      <c r="G2461" s="49">
        <v>1</v>
      </c>
      <c r="H2461" s="48">
        <v>0</v>
      </c>
      <c r="I2461" s="48">
        <v>1</v>
      </c>
      <c r="J2461" s="48">
        <v>8.07</v>
      </c>
      <c r="K2461" s="3">
        <v>108.07</v>
      </c>
      <c r="L2461" s="16"/>
      <c r="M2461" s="57"/>
      <c r="N2461" s="58"/>
      <c r="P2461" s="16">
        <v>1</v>
      </c>
      <c r="Q2461" s="20">
        <f t="shared" si="418"/>
        <v>108.07</v>
      </c>
      <c r="R2461" s="14">
        <v>3000</v>
      </c>
      <c r="S2461" s="19">
        <f t="shared" si="419"/>
        <v>324210</v>
      </c>
      <c r="T2461" s="16"/>
      <c r="U2461" s="17"/>
      <c r="V2461" s="17"/>
      <c r="W2461" s="5"/>
      <c r="X2461" s="16"/>
      <c r="Y2461" s="5"/>
      <c r="Z2461" s="16"/>
      <c r="AA2461" s="16"/>
      <c r="AB2461" s="16"/>
      <c r="AE2461" s="16"/>
      <c r="AG2461" s="22">
        <f t="shared" si="420"/>
        <v>0</v>
      </c>
      <c r="AH2461" s="6"/>
      <c r="AJ2461" s="20">
        <f t="shared" si="421"/>
        <v>0</v>
      </c>
      <c r="AK2461" s="50"/>
      <c r="AL2461" s="6"/>
      <c r="AM2461" s="20">
        <f t="shared" si="422"/>
        <v>0</v>
      </c>
      <c r="AN2461" s="20">
        <f t="shared" si="424"/>
        <v>324210</v>
      </c>
      <c r="AP2461" s="20">
        <f t="shared" si="423"/>
        <v>324210</v>
      </c>
      <c r="AQ2461" s="7"/>
      <c r="AR2461" s="20"/>
      <c r="AS2461" s="51"/>
    </row>
    <row r="2462" spans="1:50" s="21" customFormat="1" ht="30" customHeight="1" x14ac:dyDescent="0.2">
      <c r="A2462" s="8">
        <v>2077</v>
      </c>
      <c r="B2462" s="46">
        <v>1</v>
      </c>
      <c r="C2462" s="16" t="s">
        <v>52</v>
      </c>
      <c r="D2462" s="48">
        <v>1086</v>
      </c>
      <c r="E2462" s="47">
        <v>4</v>
      </c>
      <c r="F2462" s="48">
        <v>946</v>
      </c>
      <c r="G2462" s="49">
        <v>1</v>
      </c>
      <c r="H2462" s="48">
        <v>2</v>
      </c>
      <c r="I2462" s="48">
        <v>0</v>
      </c>
      <c r="J2462" s="48">
        <v>24</v>
      </c>
      <c r="K2462" s="3">
        <f>824-L2462</f>
        <v>799.625</v>
      </c>
      <c r="L2462" s="16">
        <f>97.5/4</f>
        <v>24.375</v>
      </c>
      <c r="M2462" s="57"/>
      <c r="N2462" s="58"/>
      <c r="P2462" s="16">
        <v>2</v>
      </c>
      <c r="Q2462" s="20">
        <f t="shared" si="418"/>
        <v>824</v>
      </c>
      <c r="R2462" s="14">
        <v>1500</v>
      </c>
      <c r="S2462" s="20">
        <f t="shared" si="419"/>
        <v>1236000</v>
      </c>
      <c r="T2462" s="16"/>
      <c r="U2462" s="17" t="s">
        <v>57</v>
      </c>
      <c r="V2462" s="17" t="s">
        <v>56</v>
      </c>
      <c r="W2462" s="5"/>
      <c r="X2462" s="16"/>
      <c r="Y2462" s="5">
        <v>97.5</v>
      </c>
      <c r="Z2462" s="16"/>
      <c r="AA2462" s="16"/>
      <c r="AB2462" s="16">
        <f>62-51</f>
        <v>11</v>
      </c>
      <c r="AE2462" s="16"/>
      <c r="AG2462" s="22">
        <f t="shared" si="420"/>
        <v>97.5</v>
      </c>
      <c r="AH2462" s="6"/>
      <c r="AJ2462" s="20">
        <f t="shared" si="421"/>
        <v>0</v>
      </c>
      <c r="AK2462" s="50">
        <v>11</v>
      </c>
      <c r="AL2462" s="6"/>
      <c r="AM2462" s="20">
        <f t="shared" si="422"/>
        <v>0</v>
      </c>
      <c r="AN2462" s="20">
        <f t="shared" si="424"/>
        <v>1236000</v>
      </c>
      <c r="AP2462" s="20">
        <f t="shared" si="423"/>
        <v>1236000</v>
      </c>
      <c r="AQ2462" s="7"/>
      <c r="AR2462" s="20"/>
      <c r="AS2462" s="51"/>
    </row>
    <row r="2463" spans="1:50" ht="30" customHeight="1" x14ac:dyDescent="0.2">
      <c r="A2463" s="8"/>
      <c r="C2463" s="16"/>
      <c r="Q2463" s="20"/>
      <c r="AG2463" s="22"/>
      <c r="AJ2463" s="20"/>
      <c r="AM2463" s="20"/>
      <c r="AN2463" s="20"/>
      <c r="AP2463" s="20"/>
      <c r="AR2463" s="20"/>
    </row>
    <row r="2464" spans="1:50" ht="30" customHeight="1" x14ac:dyDescent="0.2">
      <c r="A2464" s="8">
        <v>2078</v>
      </c>
      <c r="B2464" s="13">
        <v>1</v>
      </c>
      <c r="C2464" s="16" t="s">
        <v>69</v>
      </c>
      <c r="E2464" s="17">
        <v>152</v>
      </c>
      <c r="F2464" s="17">
        <v>1</v>
      </c>
      <c r="G2464" s="13">
        <v>2</v>
      </c>
      <c r="H2464" s="17">
        <v>18</v>
      </c>
      <c r="I2464" s="17">
        <v>2</v>
      </c>
      <c r="J2464" s="17">
        <v>89</v>
      </c>
      <c r="K2464" s="10">
        <v>7489</v>
      </c>
      <c r="P2464" s="17">
        <v>1</v>
      </c>
      <c r="Q2464" s="20">
        <f t="shared" si="418"/>
        <v>7489</v>
      </c>
      <c r="R2464" s="14">
        <v>200</v>
      </c>
      <c r="S2464" s="19">
        <f t="shared" si="419"/>
        <v>1497800</v>
      </c>
      <c r="AG2464" s="22">
        <f t="shared" si="420"/>
        <v>0</v>
      </c>
      <c r="AJ2464" s="20">
        <f t="shared" si="421"/>
        <v>0</v>
      </c>
      <c r="AM2464" s="20">
        <f t="shared" si="422"/>
        <v>0</v>
      </c>
      <c r="AN2464" s="20">
        <f t="shared" si="424"/>
        <v>1497800</v>
      </c>
      <c r="AP2464" s="20">
        <f t="shared" si="423"/>
        <v>1497800</v>
      </c>
      <c r="AQ2464" s="12">
        <v>1E-4</v>
      </c>
      <c r="AR2464" s="20"/>
    </row>
    <row r="2465" spans="1:45" s="21" customFormat="1" ht="30" customHeight="1" x14ac:dyDescent="0.2">
      <c r="A2465" s="8">
        <v>2079</v>
      </c>
      <c r="B2465" s="46">
        <v>1</v>
      </c>
      <c r="C2465" s="16" t="s">
        <v>52</v>
      </c>
      <c r="D2465" s="48">
        <v>2590</v>
      </c>
      <c r="E2465" s="47">
        <v>38</v>
      </c>
      <c r="F2465" s="48">
        <v>1846</v>
      </c>
      <c r="G2465" s="49">
        <v>1</v>
      </c>
      <c r="H2465" s="48">
        <v>0</v>
      </c>
      <c r="I2465" s="48">
        <v>1</v>
      </c>
      <c r="J2465" s="48">
        <v>54</v>
      </c>
      <c r="K2465" s="3"/>
      <c r="L2465" s="16">
        <v>154</v>
      </c>
      <c r="M2465" s="57"/>
      <c r="N2465" s="58"/>
      <c r="P2465" s="16">
        <v>2</v>
      </c>
      <c r="Q2465" s="20">
        <f t="shared" si="418"/>
        <v>154</v>
      </c>
      <c r="R2465" s="14">
        <v>250</v>
      </c>
      <c r="S2465" s="20">
        <f t="shared" si="419"/>
        <v>38500</v>
      </c>
      <c r="T2465" s="16"/>
      <c r="U2465" s="17" t="s">
        <v>57</v>
      </c>
      <c r="V2465" s="17" t="s">
        <v>56</v>
      </c>
      <c r="W2465" s="5"/>
      <c r="X2465" s="16"/>
      <c r="Y2465" s="5">
        <v>153</v>
      </c>
      <c r="Z2465" s="16"/>
      <c r="AA2465" s="16"/>
      <c r="AB2465" s="16">
        <f>62-42</f>
        <v>20</v>
      </c>
      <c r="AE2465" s="16"/>
      <c r="AG2465" s="22">
        <f t="shared" si="420"/>
        <v>153</v>
      </c>
      <c r="AH2465" s="6"/>
      <c r="AJ2465" s="20">
        <f t="shared" si="421"/>
        <v>0</v>
      </c>
      <c r="AK2465" s="50">
        <v>20</v>
      </c>
      <c r="AL2465" s="6"/>
      <c r="AM2465" s="20">
        <f t="shared" si="422"/>
        <v>0</v>
      </c>
      <c r="AN2465" s="20">
        <f t="shared" si="424"/>
        <v>38500</v>
      </c>
      <c r="AP2465" s="20">
        <f t="shared" si="423"/>
        <v>38500</v>
      </c>
      <c r="AQ2465" s="7"/>
      <c r="AR2465" s="20"/>
      <c r="AS2465" s="51"/>
    </row>
    <row r="2466" spans="1:45" s="21" customFormat="1" ht="30" customHeight="1" x14ac:dyDescent="0.2">
      <c r="A2466" s="8">
        <v>2080</v>
      </c>
      <c r="B2466" s="46">
        <v>1</v>
      </c>
      <c r="C2466" s="16" t="s">
        <v>52</v>
      </c>
      <c r="D2466" s="48">
        <v>12957</v>
      </c>
      <c r="E2466" s="47">
        <v>149</v>
      </c>
      <c r="F2466" s="48">
        <v>3280</v>
      </c>
      <c r="G2466" s="49">
        <v>1</v>
      </c>
      <c r="H2466" s="48">
        <v>0</v>
      </c>
      <c r="I2466" s="48">
        <v>0</v>
      </c>
      <c r="J2466" s="48">
        <v>61</v>
      </c>
      <c r="K2466" s="3"/>
      <c r="L2466" s="16">
        <v>61</v>
      </c>
      <c r="M2466" s="57"/>
      <c r="N2466" s="58"/>
      <c r="P2466" s="16">
        <v>2</v>
      </c>
      <c r="Q2466" s="20">
        <f t="shared" si="418"/>
        <v>61</v>
      </c>
      <c r="R2466" s="14">
        <v>250</v>
      </c>
      <c r="S2466" s="19">
        <f t="shared" si="419"/>
        <v>15250</v>
      </c>
      <c r="T2466" s="16"/>
      <c r="U2466" s="17" t="s">
        <v>57</v>
      </c>
      <c r="V2466" s="17" t="s">
        <v>56</v>
      </c>
      <c r="W2466" s="5"/>
      <c r="X2466" s="16"/>
      <c r="Y2466" s="5">
        <v>140</v>
      </c>
      <c r="Z2466" s="16"/>
      <c r="AA2466" s="16"/>
      <c r="AB2466" s="16">
        <f>62-41</f>
        <v>21</v>
      </c>
      <c r="AE2466" s="16"/>
      <c r="AG2466" s="22">
        <f t="shared" si="420"/>
        <v>140</v>
      </c>
      <c r="AH2466" s="6"/>
      <c r="AJ2466" s="20">
        <f t="shared" si="421"/>
        <v>0</v>
      </c>
      <c r="AK2466" s="50">
        <v>21</v>
      </c>
      <c r="AL2466" s="6"/>
      <c r="AM2466" s="20">
        <f t="shared" si="422"/>
        <v>0</v>
      </c>
      <c r="AN2466" s="20">
        <f t="shared" si="424"/>
        <v>15250</v>
      </c>
      <c r="AP2466" s="20">
        <f t="shared" si="423"/>
        <v>15250</v>
      </c>
      <c r="AQ2466" s="7"/>
      <c r="AR2466" s="20"/>
      <c r="AS2466" s="51"/>
    </row>
    <row r="2467" spans="1:45" s="21" customFormat="1" ht="30" customHeight="1" x14ac:dyDescent="0.2">
      <c r="A2467" s="8">
        <v>2081</v>
      </c>
      <c r="B2467" s="46">
        <v>1</v>
      </c>
      <c r="C2467" s="16" t="s">
        <v>52</v>
      </c>
      <c r="D2467" s="48">
        <v>837</v>
      </c>
      <c r="E2467" s="47">
        <v>46</v>
      </c>
      <c r="F2467" s="48">
        <v>126</v>
      </c>
      <c r="G2467" s="49">
        <v>1</v>
      </c>
      <c r="H2467" s="48">
        <v>0</v>
      </c>
      <c r="I2467" s="48">
        <v>1</v>
      </c>
      <c r="J2467" s="48">
        <v>11</v>
      </c>
      <c r="K2467" s="3"/>
      <c r="L2467" s="16">
        <v>111</v>
      </c>
      <c r="M2467" s="57"/>
      <c r="N2467" s="58"/>
      <c r="P2467" s="16">
        <v>2</v>
      </c>
      <c r="Q2467" s="20">
        <f t="shared" si="418"/>
        <v>111</v>
      </c>
      <c r="R2467" s="14">
        <v>3000</v>
      </c>
      <c r="S2467" s="19">
        <f t="shared" si="419"/>
        <v>333000</v>
      </c>
      <c r="T2467" s="16"/>
      <c r="U2467" s="17" t="s">
        <v>57</v>
      </c>
      <c r="V2467" s="17" t="s">
        <v>56</v>
      </c>
      <c r="W2467" s="5"/>
      <c r="X2467" s="16"/>
      <c r="Y2467" s="5">
        <v>152</v>
      </c>
      <c r="Z2467" s="16"/>
      <c r="AA2467" s="16"/>
      <c r="AB2467" s="16">
        <f>62-21</f>
        <v>41</v>
      </c>
      <c r="AE2467" s="16"/>
      <c r="AG2467" s="22">
        <f t="shared" si="420"/>
        <v>152</v>
      </c>
      <c r="AH2467" s="6"/>
      <c r="AJ2467" s="20">
        <f t="shared" si="421"/>
        <v>0</v>
      </c>
      <c r="AK2467" s="50">
        <v>41</v>
      </c>
      <c r="AL2467" s="6"/>
      <c r="AM2467" s="20">
        <f t="shared" si="422"/>
        <v>0</v>
      </c>
      <c r="AN2467" s="20">
        <f t="shared" si="424"/>
        <v>333000</v>
      </c>
      <c r="AP2467" s="20">
        <f t="shared" si="423"/>
        <v>333000</v>
      </c>
      <c r="AQ2467" s="7"/>
      <c r="AR2467" s="20"/>
      <c r="AS2467" s="51"/>
    </row>
    <row r="2468" spans="1:45" s="21" customFormat="1" ht="30" customHeight="1" x14ac:dyDescent="0.2">
      <c r="A2468" s="8">
        <v>2082</v>
      </c>
      <c r="B2468" s="46">
        <v>2</v>
      </c>
      <c r="C2468" s="16" t="s">
        <v>52</v>
      </c>
      <c r="D2468" s="48">
        <v>852</v>
      </c>
      <c r="E2468" s="47">
        <v>78</v>
      </c>
      <c r="F2468" s="48">
        <v>142</v>
      </c>
      <c r="G2468" s="49">
        <v>1</v>
      </c>
      <c r="H2468" s="48">
        <v>0</v>
      </c>
      <c r="I2468" s="48">
        <v>2</v>
      </c>
      <c r="J2468" s="48">
        <v>20</v>
      </c>
      <c r="K2468" s="3"/>
      <c r="L2468" s="16"/>
      <c r="M2468" s="57"/>
      <c r="N2468" s="58"/>
      <c r="P2468" s="16">
        <v>2</v>
      </c>
      <c r="Q2468" s="20">
        <f t="shared" si="418"/>
        <v>220</v>
      </c>
      <c r="R2468" s="14">
        <v>250</v>
      </c>
      <c r="S2468" s="20">
        <f t="shared" si="419"/>
        <v>55000</v>
      </c>
      <c r="T2468" s="16"/>
      <c r="U2468" s="17" t="s">
        <v>57</v>
      </c>
      <c r="V2468" s="17" t="s">
        <v>56</v>
      </c>
      <c r="W2468" s="5"/>
      <c r="X2468" s="16"/>
      <c r="Y2468" s="5">
        <v>180</v>
      </c>
      <c r="Z2468" s="16"/>
      <c r="AA2468" s="16"/>
      <c r="AB2468" s="16">
        <f>62-38</f>
        <v>24</v>
      </c>
      <c r="AE2468" s="16"/>
      <c r="AG2468" s="22">
        <f t="shared" si="420"/>
        <v>180</v>
      </c>
      <c r="AH2468" s="6"/>
      <c r="AJ2468" s="20">
        <f t="shared" si="421"/>
        <v>0</v>
      </c>
      <c r="AK2468" s="50">
        <v>24</v>
      </c>
      <c r="AL2468" s="6"/>
      <c r="AM2468" s="20">
        <f t="shared" si="422"/>
        <v>0</v>
      </c>
      <c r="AN2468" s="20">
        <f t="shared" si="424"/>
        <v>55000</v>
      </c>
      <c r="AP2468" s="20">
        <f t="shared" si="423"/>
        <v>55000</v>
      </c>
      <c r="AQ2468" s="7"/>
      <c r="AR2468" s="20"/>
      <c r="AS2468" s="51"/>
    </row>
    <row r="2469" spans="1:45" ht="30" customHeight="1" x14ac:dyDescent="0.2">
      <c r="A2469" s="8">
        <v>2083</v>
      </c>
      <c r="B2469" s="13">
        <v>3</v>
      </c>
      <c r="C2469" s="16" t="s">
        <v>65</v>
      </c>
      <c r="D2469" s="17">
        <v>1603</v>
      </c>
      <c r="E2469" s="17">
        <v>80</v>
      </c>
      <c r="H2469" s="17">
        <v>5</v>
      </c>
      <c r="I2469" s="17">
        <v>3</v>
      </c>
      <c r="J2469" s="17">
        <v>83</v>
      </c>
      <c r="K2469" s="10">
        <v>2383</v>
      </c>
      <c r="P2469" s="17">
        <v>1</v>
      </c>
      <c r="Q2469" s="20">
        <f t="shared" si="418"/>
        <v>2383</v>
      </c>
      <c r="R2469" s="14">
        <v>160</v>
      </c>
      <c r="S2469" s="19">
        <f t="shared" si="419"/>
        <v>381280</v>
      </c>
      <c r="AG2469" s="22">
        <f t="shared" si="420"/>
        <v>0</v>
      </c>
      <c r="AJ2469" s="20">
        <f t="shared" si="421"/>
        <v>0</v>
      </c>
      <c r="AM2469" s="20">
        <f t="shared" si="422"/>
        <v>0</v>
      </c>
      <c r="AN2469" s="20">
        <f t="shared" si="424"/>
        <v>381280</v>
      </c>
      <c r="AP2469" s="20">
        <f t="shared" si="423"/>
        <v>381280</v>
      </c>
      <c r="AQ2469" s="12">
        <v>1E-4</v>
      </c>
      <c r="AR2469" s="20"/>
    </row>
    <row r="2470" spans="1:45" ht="30" customHeight="1" x14ac:dyDescent="0.2">
      <c r="A2470" s="8">
        <v>2084</v>
      </c>
      <c r="B2470" s="13">
        <v>1</v>
      </c>
      <c r="C2470" s="16" t="s">
        <v>65</v>
      </c>
      <c r="D2470" s="17">
        <v>1796</v>
      </c>
      <c r="E2470" s="17">
        <v>84</v>
      </c>
      <c r="H2470" s="17">
        <v>10</v>
      </c>
      <c r="I2470" s="17">
        <v>2</v>
      </c>
      <c r="J2470" s="17">
        <v>43</v>
      </c>
      <c r="K2470" s="10">
        <v>4243</v>
      </c>
      <c r="P2470" s="17">
        <v>1</v>
      </c>
      <c r="Q2470" s="20">
        <f t="shared" si="418"/>
        <v>4243</v>
      </c>
      <c r="R2470" s="14">
        <v>160</v>
      </c>
      <c r="S2470" s="19">
        <f t="shared" si="419"/>
        <v>678880</v>
      </c>
      <c r="AC2470" s="21"/>
      <c r="AD2470" s="21"/>
      <c r="AG2470" s="22">
        <f t="shared" si="420"/>
        <v>0</v>
      </c>
      <c r="AJ2470" s="20">
        <f t="shared" si="421"/>
        <v>0</v>
      </c>
      <c r="AM2470" s="20">
        <f t="shared" si="422"/>
        <v>0</v>
      </c>
      <c r="AN2470" s="20">
        <f t="shared" si="424"/>
        <v>678880</v>
      </c>
      <c r="AP2470" s="20">
        <f t="shared" si="423"/>
        <v>678880</v>
      </c>
      <c r="AR2470" s="20"/>
      <c r="AS2470" s="26">
        <v>115</v>
      </c>
    </row>
    <row r="2471" spans="1:45" s="21" customFormat="1" ht="30" customHeight="1" x14ac:dyDescent="0.2">
      <c r="A2471" s="8">
        <v>2085</v>
      </c>
      <c r="B2471" s="46">
        <v>1</v>
      </c>
      <c r="C2471" s="16" t="s">
        <v>52</v>
      </c>
      <c r="D2471" s="48">
        <v>856</v>
      </c>
      <c r="E2471" s="47">
        <v>82</v>
      </c>
      <c r="F2471" s="48">
        <v>146</v>
      </c>
      <c r="G2471" s="49">
        <v>1</v>
      </c>
      <c r="H2471" s="48">
        <v>0</v>
      </c>
      <c r="I2471" s="48">
        <v>2</v>
      </c>
      <c r="J2471" s="48">
        <v>40</v>
      </c>
      <c r="K2471" s="3"/>
      <c r="L2471" s="16"/>
      <c r="M2471" s="57"/>
      <c r="N2471" s="58">
        <v>240</v>
      </c>
      <c r="P2471" s="16">
        <v>4</v>
      </c>
      <c r="Q2471" s="20">
        <f t="shared" si="418"/>
        <v>240</v>
      </c>
      <c r="R2471" s="14">
        <v>250</v>
      </c>
      <c r="S2471" s="20">
        <f t="shared" si="419"/>
        <v>60000</v>
      </c>
      <c r="T2471" s="16"/>
      <c r="U2471" s="17"/>
      <c r="V2471" s="17"/>
      <c r="W2471" s="5"/>
      <c r="X2471" s="16"/>
      <c r="Y2471" s="5"/>
      <c r="Z2471" s="16"/>
      <c r="AA2471" s="16"/>
      <c r="AB2471" s="16"/>
      <c r="AE2471" s="16"/>
      <c r="AG2471" s="22">
        <f t="shared" si="420"/>
        <v>0</v>
      </c>
      <c r="AH2471" s="6"/>
      <c r="AJ2471" s="20">
        <f t="shared" si="421"/>
        <v>0</v>
      </c>
      <c r="AK2471" s="50"/>
      <c r="AL2471" s="6"/>
      <c r="AM2471" s="20">
        <f t="shared" si="422"/>
        <v>0</v>
      </c>
      <c r="AN2471" s="20">
        <f t="shared" si="424"/>
        <v>60000</v>
      </c>
      <c r="AP2471" s="20">
        <f t="shared" si="423"/>
        <v>60000</v>
      </c>
      <c r="AQ2471" s="7">
        <v>3.0000000000000001E-3</v>
      </c>
      <c r="AR2471" s="20"/>
      <c r="AS2471" s="51"/>
    </row>
    <row r="2472" spans="1:45" s="21" customFormat="1" ht="30" customHeight="1" x14ac:dyDescent="0.2">
      <c r="A2472" s="8">
        <v>2086</v>
      </c>
      <c r="B2472" s="46">
        <v>2</v>
      </c>
      <c r="C2472" s="16" t="s">
        <v>52</v>
      </c>
      <c r="D2472" s="48">
        <v>1014</v>
      </c>
      <c r="E2472" s="47">
        <v>58</v>
      </c>
      <c r="F2472" s="48">
        <v>362</v>
      </c>
      <c r="G2472" s="49">
        <v>1</v>
      </c>
      <c r="H2472" s="48">
        <v>25</v>
      </c>
      <c r="I2472" s="48">
        <v>2</v>
      </c>
      <c r="J2472" s="48">
        <v>91</v>
      </c>
      <c r="K2472" s="3">
        <f>25*400+291</f>
        <v>10291</v>
      </c>
      <c r="L2472" s="16"/>
      <c r="M2472" s="57"/>
      <c r="N2472" s="58"/>
      <c r="P2472" s="16">
        <v>1</v>
      </c>
      <c r="Q2472" s="20">
        <f t="shared" si="418"/>
        <v>10291</v>
      </c>
      <c r="R2472" s="14">
        <v>160</v>
      </c>
      <c r="S2472" s="19">
        <f t="shared" si="419"/>
        <v>1646560</v>
      </c>
      <c r="T2472" s="16"/>
      <c r="U2472" s="17"/>
      <c r="V2472" s="17"/>
      <c r="W2472" s="5"/>
      <c r="X2472" s="16"/>
      <c r="Y2472" s="5"/>
      <c r="Z2472" s="16"/>
      <c r="AA2472" s="16"/>
      <c r="AB2472" s="16"/>
      <c r="AE2472" s="16"/>
      <c r="AG2472" s="22">
        <f t="shared" si="420"/>
        <v>0</v>
      </c>
      <c r="AH2472" s="6"/>
      <c r="AJ2472" s="20">
        <f t="shared" si="421"/>
        <v>0</v>
      </c>
      <c r="AK2472" s="50"/>
      <c r="AL2472" s="6"/>
      <c r="AM2472" s="20">
        <f t="shared" si="422"/>
        <v>0</v>
      </c>
      <c r="AN2472" s="20">
        <f t="shared" si="424"/>
        <v>1646560</v>
      </c>
      <c r="AP2472" s="20">
        <f t="shared" si="423"/>
        <v>1646560</v>
      </c>
      <c r="AQ2472" s="7"/>
      <c r="AR2472" s="20"/>
      <c r="AS2472" s="51"/>
    </row>
    <row r="2473" spans="1:45" s="21" customFormat="1" ht="30" customHeight="1" x14ac:dyDescent="0.2">
      <c r="A2473" s="8">
        <v>2087</v>
      </c>
      <c r="B2473" s="46">
        <v>1</v>
      </c>
      <c r="C2473" s="16" t="s">
        <v>52</v>
      </c>
      <c r="D2473" s="48">
        <v>835</v>
      </c>
      <c r="E2473" s="47">
        <v>43</v>
      </c>
      <c r="F2473" s="48">
        <v>124</v>
      </c>
      <c r="G2473" s="49">
        <v>1</v>
      </c>
      <c r="H2473" s="48">
        <v>0</v>
      </c>
      <c r="I2473" s="48">
        <v>0</v>
      </c>
      <c r="J2473" s="48">
        <v>59</v>
      </c>
      <c r="K2473" s="3"/>
      <c r="L2473" s="16">
        <v>59</v>
      </c>
      <c r="M2473" s="57"/>
      <c r="N2473" s="58"/>
      <c r="P2473" s="16">
        <v>2</v>
      </c>
      <c r="Q2473" s="20">
        <f t="shared" si="418"/>
        <v>59</v>
      </c>
      <c r="R2473" s="14">
        <v>3000</v>
      </c>
      <c r="S2473" s="19">
        <f t="shared" si="419"/>
        <v>177000</v>
      </c>
      <c r="T2473" s="16"/>
      <c r="U2473" s="17" t="s">
        <v>63</v>
      </c>
      <c r="V2473" s="17" t="s">
        <v>56</v>
      </c>
      <c r="W2473" s="5"/>
      <c r="X2473" s="16"/>
      <c r="Y2473" s="5">
        <v>100</v>
      </c>
      <c r="Z2473" s="16"/>
      <c r="AA2473" s="16"/>
      <c r="AB2473" s="16">
        <f>62-21</f>
        <v>41</v>
      </c>
      <c r="AE2473" s="16"/>
      <c r="AG2473" s="22">
        <f t="shared" si="420"/>
        <v>100</v>
      </c>
      <c r="AH2473" s="6"/>
      <c r="AJ2473" s="20">
        <f t="shared" si="421"/>
        <v>0</v>
      </c>
      <c r="AK2473" s="50">
        <v>41</v>
      </c>
      <c r="AL2473" s="6"/>
      <c r="AM2473" s="20">
        <f t="shared" si="422"/>
        <v>0</v>
      </c>
      <c r="AN2473" s="20">
        <f t="shared" si="424"/>
        <v>177000</v>
      </c>
      <c r="AP2473" s="20">
        <f t="shared" si="423"/>
        <v>177000</v>
      </c>
      <c r="AQ2473" s="7"/>
      <c r="AR2473" s="60"/>
      <c r="AS2473" s="128">
        <v>57</v>
      </c>
    </row>
    <row r="2474" spans="1:45" s="21" customFormat="1" ht="30" customHeight="1" x14ac:dyDescent="0.2">
      <c r="A2474" s="8">
        <v>2088</v>
      </c>
      <c r="B2474" s="46">
        <v>2</v>
      </c>
      <c r="C2474" s="16" t="s">
        <v>52</v>
      </c>
      <c r="D2474" s="48">
        <v>980</v>
      </c>
      <c r="E2474" s="47">
        <v>24</v>
      </c>
      <c r="F2474" s="48">
        <v>226</v>
      </c>
      <c r="G2474" s="49">
        <v>1</v>
      </c>
      <c r="H2474" s="48">
        <v>10</v>
      </c>
      <c r="I2474" s="48">
        <v>1</v>
      </c>
      <c r="J2474" s="48">
        <v>68</v>
      </c>
      <c r="K2474" s="3">
        <v>4168</v>
      </c>
      <c r="L2474" s="16"/>
      <c r="M2474" s="57"/>
      <c r="N2474" s="58"/>
      <c r="P2474" s="16">
        <v>1</v>
      </c>
      <c r="Q2474" s="20">
        <f t="shared" si="418"/>
        <v>4168</v>
      </c>
      <c r="R2474" s="14">
        <v>200</v>
      </c>
      <c r="S2474" s="20">
        <f t="shared" si="419"/>
        <v>833600</v>
      </c>
      <c r="T2474" s="16"/>
      <c r="U2474" s="17"/>
      <c r="V2474" s="17"/>
      <c r="W2474" s="5"/>
      <c r="X2474" s="16"/>
      <c r="Y2474" s="5"/>
      <c r="Z2474" s="16"/>
      <c r="AA2474" s="16"/>
      <c r="AB2474" s="16"/>
      <c r="AE2474" s="16"/>
      <c r="AG2474" s="22">
        <f t="shared" si="420"/>
        <v>0</v>
      </c>
      <c r="AH2474" s="6"/>
      <c r="AJ2474" s="20">
        <f t="shared" si="421"/>
        <v>0</v>
      </c>
      <c r="AK2474" s="50"/>
      <c r="AL2474" s="6"/>
      <c r="AM2474" s="20">
        <f t="shared" si="422"/>
        <v>0</v>
      </c>
      <c r="AN2474" s="20">
        <f t="shared" si="424"/>
        <v>833600</v>
      </c>
      <c r="AP2474" s="20">
        <f t="shared" si="423"/>
        <v>833600</v>
      </c>
      <c r="AQ2474" s="7"/>
      <c r="AR2474" s="25"/>
      <c r="AS2474" s="130"/>
    </row>
    <row r="2475" spans="1:45" ht="30" customHeight="1" x14ac:dyDescent="0.2">
      <c r="A2475" s="61">
        <v>2089</v>
      </c>
      <c r="B2475" s="46">
        <v>1</v>
      </c>
      <c r="C2475" s="16" t="s">
        <v>52</v>
      </c>
      <c r="D2475" s="48">
        <v>849</v>
      </c>
      <c r="E2475" s="47">
        <v>75</v>
      </c>
      <c r="F2475" s="48">
        <v>139</v>
      </c>
      <c r="G2475" s="49">
        <v>1</v>
      </c>
      <c r="H2475" s="48">
        <v>1</v>
      </c>
      <c r="I2475" s="48">
        <v>0</v>
      </c>
      <c r="J2475" s="48">
        <v>91</v>
      </c>
      <c r="L2475" s="17">
        <v>491</v>
      </c>
      <c r="P2475" s="17">
        <v>2</v>
      </c>
      <c r="Q2475" s="20">
        <f t="shared" si="418"/>
        <v>491</v>
      </c>
      <c r="R2475" s="14">
        <v>250</v>
      </c>
      <c r="S2475" s="20">
        <f t="shared" si="419"/>
        <v>122750</v>
      </c>
      <c r="U2475" s="17" t="s">
        <v>57</v>
      </c>
      <c r="V2475" s="17" t="s">
        <v>56</v>
      </c>
      <c r="Y2475" s="4">
        <v>221</v>
      </c>
      <c r="AB2475" s="17">
        <f>62-32</f>
        <v>30</v>
      </c>
      <c r="AC2475" s="21"/>
      <c r="AD2475" s="21"/>
      <c r="AE2475" s="17" t="s">
        <v>218</v>
      </c>
      <c r="AG2475" s="22">
        <f t="shared" si="420"/>
        <v>221</v>
      </c>
      <c r="AJ2475" s="20">
        <f t="shared" si="421"/>
        <v>0</v>
      </c>
      <c r="AK2475" s="23">
        <v>30</v>
      </c>
      <c r="AM2475" s="20">
        <f t="shared" si="422"/>
        <v>0</v>
      </c>
      <c r="AN2475" s="20">
        <f t="shared" si="424"/>
        <v>122750</v>
      </c>
      <c r="AP2475" s="20">
        <f t="shared" si="423"/>
        <v>122750</v>
      </c>
      <c r="AR2475" s="20"/>
    </row>
    <row r="2476" spans="1:45" ht="30" customHeight="1" x14ac:dyDescent="0.2">
      <c r="A2476" s="61"/>
      <c r="B2476" s="46"/>
      <c r="C2476" s="16"/>
      <c r="D2476" s="48"/>
      <c r="E2476" s="47"/>
      <c r="F2476" s="48"/>
      <c r="G2476" s="49"/>
      <c r="H2476" s="48"/>
      <c r="I2476" s="48"/>
      <c r="J2476" s="48"/>
      <c r="Q2476" s="20">
        <f t="shared" si="418"/>
        <v>0</v>
      </c>
      <c r="R2476" s="14" t="e">
        <v>#N/A</v>
      </c>
      <c r="S2476" s="19" t="e">
        <f t="shared" si="419"/>
        <v>#N/A</v>
      </c>
      <c r="U2476" s="17" t="s">
        <v>57</v>
      </c>
      <c r="V2476" s="17" t="s">
        <v>56</v>
      </c>
      <c r="Y2476" s="4">
        <v>60</v>
      </c>
      <c r="AB2476" s="17">
        <f>62-25</f>
        <v>37</v>
      </c>
      <c r="AC2476" s="21"/>
      <c r="AD2476" s="21"/>
      <c r="AG2476" s="22">
        <f t="shared" si="420"/>
        <v>60</v>
      </c>
      <c r="AJ2476" s="20">
        <f t="shared" si="421"/>
        <v>0</v>
      </c>
      <c r="AK2476" s="23">
        <v>37</v>
      </c>
      <c r="AM2476" s="20">
        <f t="shared" si="422"/>
        <v>0</v>
      </c>
      <c r="AN2476" s="20" t="e">
        <f t="shared" si="424"/>
        <v>#N/A</v>
      </c>
      <c r="AP2476" s="20" t="e">
        <f t="shared" si="423"/>
        <v>#N/A</v>
      </c>
      <c r="AR2476" s="20"/>
    </row>
    <row r="2477" spans="1:45" ht="30" customHeight="1" x14ac:dyDescent="0.2">
      <c r="A2477" s="61"/>
      <c r="B2477" s="46"/>
      <c r="C2477" s="16"/>
      <c r="D2477" s="48"/>
      <c r="E2477" s="47"/>
      <c r="F2477" s="48"/>
      <c r="G2477" s="49"/>
      <c r="H2477" s="48"/>
      <c r="I2477" s="48"/>
      <c r="J2477" s="48"/>
      <c r="Q2477" s="20">
        <f t="shared" si="418"/>
        <v>0</v>
      </c>
      <c r="R2477" s="14" t="e">
        <v>#N/A</v>
      </c>
      <c r="S2477" s="19" t="e">
        <f t="shared" si="419"/>
        <v>#N/A</v>
      </c>
      <c r="U2477" s="17" t="s">
        <v>57</v>
      </c>
      <c r="V2477" s="17" t="s">
        <v>56</v>
      </c>
      <c r="Y2477" s="4">
        <v>40.5</v>
      </c>
      <c r="AB2477" s="17">
        <f>62-45</f>
        <v>17</v>
      </c>
      <c r="AC2477" s="21"/>
      <c r="AD2477" s="21"/>
      <c r="AG2477" s="22">
        <f t="shared" si="420"/>
        <v>40.5</v>
      </c>
      <c r="AJ2477" s="20">
        <f t="shared" si="421"/>
        <v>0</v>
      </c>
      <c r="AK2477" s="23">
        <v>17</v>
      </c>
      <c r="AM2477" s="20">
        <f t="shared" si="422"/>
        <v>0</v>
      </c>
      <c r="AN2477" s="20" t="e">
        <f t="shared" si="424"/>
        <v>#N/A</v>
      </c>
      <c r="AP2477" s="20" t="e">
        <f t="shared" si="423"/>
        <v>#N/A</v>
      </c>
      <c r="AR2477" s="20"/>
    </row>
    <row r="2478" spans="1:45" s="21" customFormat="1" ht="30" customHeight="1" x14ac:dyDescent="0.2">
      <c r="A2478" s="8">
        <v>2090</v>
      </c>
      <c r="B2478" s="46">
        <v>1</v>
      </c>
      <c r="C2478" s="16" t="s">
        <v>52</v>
      </c>
      <c r="D2478" s="48">
        <v>978</v>
      </c>
      <c r="E2478" s="47">
        <v>23</v>
      </c>
      <c r="F2478" s="48">
        <v>222</v>
      </c>
      <c r="G2478" s="49">
        <v>1</v>
      </c>
      <c r="H2478" s="48">
        <v>3</v>
      </c>
      <c r="I2478" s="48">
        <v>0</v>
      </c>
      <c r="J2478" s="48">
        <v>79</v>
      </c>
      <c r="K2478" s="3">
        <v>1279</v>
      </c>
      <c r="L2478" s="16"/>
      <c r="M2478" s="57"/>
      <c r="N2478" s="58"/>
      <c r="P2478" s="16">
        <v>1</v>
      </c>
      <c r="Q2478" s="20">
        <f t="shared" si="418"/>
        <v>1279</v>
      </c>
      <c r="R2478" s="14">
        <v>160</v>
      </c>
      <c r="S2478" s="19">
        <f t="shared" si="419"/>
        <v>204640</v>
      </c>
      <c r="T2478" s="16"/>
      <c r="U2478" s="17"/>
      <c r="V2478" s="17"/>
      <c r="W2478" s="5"/>
      <c r="X2478" s="16"/>
      <c r="Y2478" s="5"/>
      <c r="Z2478" s="16"/>
      <c r="AA2478" s="16"/>
      <c r="AB2478" s="16"/>
      <c r="AC2478" s="14"/>
      <c r="AD2478" s="14"/>
      <c r="AE2478" s="16"/>
      <c r="AG2478" s="22">
        <f t="shared" si="420"/>
        <v>0</v>
      </c>
      <c r="AH2478" s="6"/>
      <c r="AJ2478" s="20">
        <f t="shared" si="421"/>
        <v>0</v>
      </c>
      <c r="AK2478" s="50"/>
      <c r="AL2478" s="6"/>
      <c r="AM2478" s="20">
        <f t="shared" si="422"/>
        <v>0</v>
      </c>
      <c r="AN2478" s="20">
        <f t="shared" si="424"/>
        <v>204640</v>
      </c>
      <c r="AP2478" s="20">
        <f t="shared" si="423"/>
        <v>204640</v>
      </c>
      <c r="AQ2478" s="7"/>
      <c r="AR2478" s="20"/>
      <c r="AS2478" s="51"/>
    </row>
    <row r="2479" spans="1:45" ht="30" customHeight="1" x14ac:dyDescent="0.2">
      <c r="A2479" s="2">
        <v>2091</v>
      </c>
      <c r="B2479" s="46">
        <v>1</v>
      </c>
      <c r="C2479" s="16" t="s">
        <v>52</v>
      </c>
      <c r="D2479" s="48">
        <v>1025</v>
      </c>
      <c r="E2479" s="47">
        <v>22</v>
      </c>
      <c r="F2479" s="48">
        <v>324</v>
      </c>
      <c r="G2479" s="49">
        <v>1</v>
      </c>
      <c r="H2479" s="48">
        <v>2</v>
      </c>
      <c r="I2479" s="48">
        <v>3</v>
      </c>
      <c r="J2479" s="48">
        <v>27</v>
      </c>
      <c r="K2479" s="10">
        <v>1127</v>
      </c>
      <c r="P2479" s="17">
        <v>1</v>
      </c>
      <c r="Q2479" s="20">
        <f t="shared" si="418"/>
        <v>1127</v>
      </c>
      <c r="R2479" s="14">
        <v>160</v>
      </c>
      <c r="S2479" s="20">
        <f t="shared" si="419"/>
        <v>180320</v>
      </c>
      <c r="AC2479" s="21"/>
      <c r="AD2479" s="21"/>
      <c r="AE2479" s="14" t="s">
        <v>218</v>
      </c>
      <c r="AG2479" s="22">
        <f t="shared" si="420"/>
        <v>0</v>
      </c>
      <c r="AJ2479" s="20">
        <f t="shared" si="421"/>
        <v>0</v>
      </c>
      <c r="AM2479" s="20">
        <f t="shared" si="422"/>
        <v>0</v>
      </c>
      <c r="AN2479" s="20">
        <f t="shared" si="424"/>
        <v>180320</v>
      </c>
      <c r="AP2479" s="20">
        <f t="shared" si="423"/>
        <v>180320</v>
      </c>
      <c r="AR2479" s="20"/>
    </row>
    <row r="2480" spans="1:45" s="21" customFormat="1" ht="30" customHeight="1" x14ac:dyDescent="0.2">
      <c r="A2480" s="8">
        <v>2092</v>
      </c>
      <c r="B2480" s="46">
        <v>2</v>
      </c>
      <c r="C2480" s="16" t="s">
        <v>52</v>
      </c>
      <c r="D2480" s="48">
        <v>31358</v>
      </c>
      <c r="E2480" s="47">
        <v>314</v>
      </c>
      <c r="F2480" s="48">
        <v>6177</v>
      </c>
      <c r="G2480" s="49">
        <v>1</v>
      </c>
      <c r="H2480" s="48">
        <v>0</v>
      </c>
      <c r="I2480" s="48">
        <v>2</v>
      </c>
      <c r="J2480" s="48">
        <v>69</v>
      </c>
      <c r="K2480" s="3">
        <v>269</v>
      </c>
      <c r="L2480" s="16"/>
      <c r="M2480" s="57"/>
      <c r="N2480" s="58"/>
      <c r="P2480" s="16">
        <v>1</v>
      </c>
      <c r="Q2480" s="20">
        <f t="shared" si="418"/>
        <v>269</v>
      </c>
      <c r="R2480" s="14">
        <v>160</v>
      </c>
      <c r="S2480" s="19">
        <f t="shared" si="419"/>
        <v>43040</v>
      </c>
      <c r="T2480" s="16"/>
      <c r="U2480" s="17"/>
      <c r="V2480" s="17"/>
      <c r="W2480" s="5"/>
      <c r="X2480" s="16"/>
      <c r="Y2480" s="5"/>
      <c r="Z2480" s="16"/>
      <c r="AA2480" s="16"/>
      <c r="AB2480" s="16"/>
      <c r="AE2480" s="16"/>
      <c r="AG2480" s="22">
        <f t="shared" si="420"/>
        <v>0</v>
      </c>
      <c r="AH2480" s="6"/>
      <c r="AJ2480" s="20">
        <f t="shared" si="421"/>
        <v>0</v>
      </c>
      <c r="AK2480" s="50"/>
      <c r="AL2480" s="6"/>
      <c r="AM2480" s="20">
        <f t="shared" si="422"/>
        <v>0</v>
      </c>
      <c r="AN2480" s="20">
        <f t="shared" ref="AN2480:AN2509" si="425">+S2480+AM2480</f>
        <v>43040</v>
      </c>
      <c r="AP2480" s="20">
        <f t="shared" si="423"/>
        <v>43040</v>
      </c>
      <c r="AQ2480" s="7"/>
      <c r="AR2480" s="20"/>
      <c r="AS2480" s="51"/>
    </row>
    <row r="2481" spans="1:45" s="21" customFormat="1" ht="30" customHeight="1" x14ac:dyDescent="0.2">
      <c r="A2481" s="8">
        <v>2093</v>
      </c>
      <c r="B2481" s="46">
        <v>3</v>
      </c>
      <c r="C2481" s="16" t="s">
        <v>52</v>
      </c>
      <c r="D2481" s="48">
        <v>35064</v>
      </c>
      <c r="E2481" s="47">
        <v>362</v>
      </c>
      <c r="F2481" s="48">
        <v>6885</v>
      </c>
      <c r="G2481" s="49">
        <v>1</v>
      </c>
      <c r="H2481" s="48">
        <v>0</v>
      </c>
      <c r="I2481" s="48">
        <v>2</v>
      </c>
      <c r="J2481" s="48">
        <v>92</v>
      </c>
      <c r="K2481" s="3">
        <v>292</v>
      </c>
      <c r="L2481" s="16"/>
      <c r="M2481" s="57"/>
      <c r="N2481" s="58"/>
      <c r="P2481" s="16">
        <v>1</v>
      </c>
      <c r="Q2481" s="20">
        <f t="shared" si="418"/>
        <v>292</v>
      </c>
      <c r="R2481" s="14">
        <v>160</v>
      </c>
      <c r="S2481" s="20">
        <f t="shared" si="419"/>
        <v>46720</v>
      </c>
      <c r="T2481" s="16"/>
      <c r="U2481" s="17"/>
      <c r="V2481" s="17"/>
      <c r="W2481" s="5"/>
      <c r="X2481" s="16"/>
      <c r="Y2481" s="5"/>
      <c r="Z2481" s="16"/>
      <c r="AA2481" s="16"/>
      <c r="AB2481" s="16"/>
      <c r="AC2481" s="14"/>
      <c r="AD2481" s="14"/>
      <c r="AE2481" s="16"/>
      <c r="AG2481" s="22">
        <f t="shared" si="420"/>
        <v>0</v>
      </c>
      <c r="AH2481" s="6"/>
      <c r="AJ2481" s="20">
        <f t="shared" si="421"/>
        <v>0</v>
      </c>
      <c r="AK2481" s="50"/>
      <c r="AL2481" s="6"/>
      <c r="AM2481" s="20">
        <f t="shared" si="422"/>
        <v>0</v>
      </c>
      <c r="AN2481" s="20">
        <f t="shared" si="425"/>
        <v>46720</v>
      </c>
      <c r="AP2481" s="20">
        <f t="shared" si="423"/>
        <v>46720</v>
      </c>
      <c r="AQ2481" s="7"/>
      <c r="AR2481" s="20"/>
      <c r="AS2481" s="51"/>
    </row>
    <row r="2482" spans="1:45" s="21" customFormat="1" ht="30" customHeight="1" x14ac:dyDescent="0.2">
      <c r="A2482" s="8">
        <v>2094</v>
      </c>
      <c r="B2482" s="46">
        <v>4</v>
      </c>
      <c r="C2482" s="16" t="s">
        <v>52</v>
      </c>
      <c r="D2482" s="48">
        <v>29446</v>
      </c>
      <c r="E2482" s="47">
        <v>124</v>
      </c>
      <c r="F2482" s="48">
        <v>5567</v>
      </c>
      <c r="G2482" s="49">
        <v>2</v>
      </c>
      <c r="H2482" s="48">
        <v>0</v>
      </c>
      <c r="I2482" s="48">
        <v>0</v>
      </c>
      <c r="J2482" s="48">
        <v>33</v>
      </c>
      <c r="K2482" s="3">
        <v>33</v>
      </c>
      <c r="L2482" s="16"/>
      <c r="M2482" s="57"/>
      <c r="N2482" s="58"/>
      <c r="P2482" s="16">
        <v>1</v>
      </c>
      <c r="Q2482" s="20">
        <f t="shared" si="418"/>
        <v>33</v>
      </c>
      <c r="R2482" s="14">
        <v>160</v>
      </c>
      <c r="S2482" s="19">
        <f t="shared" si="419"/>
        <v>5280</v>
      </c>
      <c r="T2482" s="16"/>
      <c r="U2482" s="17"/>
      <c r="V2482" s="17"/>
      <c r="W2482" s="5"/>
      <c r="X2482" s="16"/>
      <c r="Y2482" s="5"/>
      <c r="Z2482" s="16"/>
      <c r="AA2482" s="16"/>
      <c r="AB2482" s="16"/>
      <c r="AC2482" s="14"/>
      <c r="AD2482" s="14"/>
      <c r="AE2482" s="16"/>
      <c r="AG2482" s="22">
        <f t="shared" si="420"/>
        <v>0</v>
      </c>
      <c r="AH2482" s="6"/>
      <c r="AJ2482" s="20">
        <f t="shared" si="421"/>
        <v>0</v>
      </c>
      <c r="AK2482" s="50"/>
      <c r="AL2482" s="6"/>
      <c r="AM2482" s="20">
        <f t="shared" si="422"/>
        <v>0</v>
      </c>
      <c r="AN2482" s="20">
        <f t="shared" si="425"/>
        <v>5280</v>
      </c>
      <c r="AP2482" s="20">
        <f t="shared" si="423"/>
        <v>5280</v>
      </c>
      <c r="AQ2482" s="7"/>
      <c r="AR2482" s="20"/>
      <c r="AS2482" s="51"/>
    </row>
    <row r="2483" spans="1:45" s="21" customFormat="1" ht="30" customHeight="1" x14ac:dyDescent="0.2">
      <c r="A2483" s="8">
        <v>2095</v>
      </c>
      <c r="B2483" s="46">
        <v>5</v>
      </c>
      <c r="C2483" s="16" t="s">
        <v>52</v>
      </c>
      <c r="D2483" s="48">
        <v>29447</v>
      </c>
      <c r="E2483" s="47">
        <v>125</v>
      </c>
      <c r="F2483" s="48">
        <v>5568</v>
      </c>
      <c r="G2483" s="49">
        <v>2</v>
      </c>
      <c r="H2483" s="48">
        <v>0</v>
      </c>
      <c r="I2483" s="48">
        <v>0</v>
      </c>
      <c r="J2483" s="48">
        <v>32</v>
      </c>
      <c r="K2483" s="3">
        <v>32</v>
      </c>
      <c r="L2483" s="16"/>
      <c r="M2483" s="57"/>
      <c r="N2483" s="58"/>
      <c r="P2483" s="16">
        <v>1</v>
      </c>
      <c r="Q2483" s="20">
        <f t="shared" si="418"/>
        <v>32</v>
      </c>
      <c r="R2483" s="14">
        <v>160</v>
      </c>
      <c r="S2483" s="19">
        <f t="shared" si="419"/>
        <v>5120</v>
      </c>
      <c r="T2483" s="16"/>
      <c r="U2483" s="17"/>
      <c r="V2483" s="17"/>
      <c r="W2483" s="5"/>
      <c r="X2483" s="16"/>
      <c r="Y2483" s="5"/>
      <c r="Z2483" s="16"/>
      <c r="AA2483" s="16"/>
      <c r="AB2483" s="16"/>
      <c r="AC2483" s="14"/>
      <c r="AD2483" s="14"/>
      <c r="AE2483" s="16"/>
      <c r="AG2483" s="22">
        <f t="shared" si="420"/>
        <v>0</v>
      </c>
      <c r="AH2483" s="6"/>
      <c r="AJ2483" s="20">
        <f t="shared" si="421"/>
        <v>0</v>
      </c>
      <c r="AK2483" s="50"/>
      <c r="AL2483" s="6"/>
      <c r="AM2483" s="20">
        <f t="shared" si="422"/>
        <v>0</v>
      </c>
      <c r="AN2483" s="20">
        <f t="shared" si="425"/>
        <v>5120</v>
      </c>
      <c r="AP2483" s="20">
        <f t="shared" si="423"/>
        <v>5120</v>
      </c>
      <c r="AQ2483" s="7"/>
      <c r="AR2483" s="20"/>
      <c r="AS2483" s="51"/>
    </row>
    <row r="2484" spans="1:45" ht="30" customHeight="1" x14ac:dyDescent="0.2">
      <c r="A2484" s="8">
        <v>2096</v>
      </c>
      <c r="B2484" s="46">
        <v>6</v>
      </c>
      <c r="C2484" s="16" t="s">
        <v>52</v>
      </c>
      <c r="D2484" s="48">
        <v>29448</v>
      </c>
      <c r="E2484" s="47">
        <v>126</v>
      </c>
      <c r="F2484" s="48">
        <v>5569</v>
      </c>
      <c r="G2484" s="49">
        <v>2</v>
      </c>
      <c r="H2484" s="48">
        <v>0</v>
      </c>
      <c r="I2484" s="48">
        <v>0</v>
      </c>
      <c r="J2484" s="48">
        <v>32</v>
      </c>
      <c r="K2484" s="10">
        <v>32</v>
      </c>
      <c r="P2484" s="17">
        <v>1</v>
      </c>
      <c r="Q2484" s="20">
        <f t="shared" si="418"/>
        <v>32</v>
      </c>
      <c r="R2484" s="14">
        <v>160</v>
      </c>
      <c r="S2484" s="20">
        <f t="shared" si="419"/>
        <v>5120</v>
      </c>
      <c r="AG2484" s="22">
        <f t="shared" si="420"/>
        <v>0</v>
      </c>
      <c r="AJ2484" s="20">
        <f t="shared" si="421"/>
        <v>0</v>
      </c>
      <c r="AM2484" s="20">
        <f t="shared" si="422"/>
        <v>0</v>
      </c>
      <c r="AN2484" s="20">
        <f t="shared" si="425"/>
        <v>5120</v>
      </c>
      <c r="AP2484" s="20">
        <f t="shared" si="423"/>
        <v>5120</v>
      </c>
      <c r="AR2484" s="20"/>
    </row>
    <row r="2485" spans="1:45" ht="30" customHeight="1" x14ac:dyDescent="0.2">
      <c r="A2485" s="8">
        <v>2097</v>
      </c>
      <c r="B2485" s="46">
        <v>7</v>
      </c>
      <c r="C2485" s="16" t="s">
        <v>52</v>
      </c>
      <c r="D2485" s="48">
        <v>29449</v>
      </c>
      <c r="E2485" s="47">
        <v>127</v>
      </c>
      <c r="F2485" s="48">
        <v>5570</v>
      </c>
      <c r="G2485" s="49">
        <v>2</v>
      </c>
      <c r="H2485" s="48">
        <v>0</v>
      </c>
      <c r="I2485" s="48">
        <v>0</v>
      </c>
      <c r="J2485" s="48">
        <v>32</v>
      </c>
      <c r="K2485" s="10">
        <v>32</v>
      </c>
      <c r="P2485" s="17">
        <v>1</v>
      </c>
      <c r="Q2485" s="20">
        <f t="shared" si="418"/>
        <v>32</v>
      </c>
      <c r="R2485" s="14">
        <v>160</v>
      </c>
      <c r="S2485" s="19">
        <f t="shared" si="419"/>
        <v>5120</v>
      </c>
      <c r="AG2485" s="22">
        <f t="shared" si="420"/>
        <v>0</v>
      </c>
      <c r="AJ2485" s="20">
        <f t="shared" si="421"/>
        <v>0</v>
      </c>
      <c r="AM2485" s="20">
        <f t="shared" si="422"/>
        <v>0</v>
      </c>
      <c r="AN2485" s="20">
        <f t="shared" si="425"/>
        <v>5120</v>
      </c>
      <c r="AP2485" s="20">
        <f t="shared" si="423"/>
        <v>5120</v>
      </c>
      <c r="AR2485" s="20"/>
    </row>
    <row r="2486" spans="1:45" ht="30" customHeight="1" x14ac:dyDescent="0.2">
      <c r="A2486" s="8">
        <v>2098</v>
      </c>
      <c r="B2486" s="46">
        <v>8</v>
      </c>
      <c r="C2486" s="16" t="s">
        <v>52</v>
      </c>
      <c r="D2486" s="48">
        <v>29450</v>
      </c>
      <c r="E2486" s="47">
        <v>128</v>
      </c>
      <c r="F2486" s="48">
        <v>5571</v>
      </c>
      <c r="G2486" s="49">
        <v>2</v>
      </c>
      <c r="H2486" s="48">
        <v>0</v>
      </c>
      <c r="I2486" s="48">
        <v>0</v>
      </c>
      <c r="J2486" s="48">
        <v>32</v>
      </c>
      <c r="K2486" s="10">
        <v>32</v>
      </c>
      <c r="P2486" s="17">
        <v>1</v>
      </c>
      <c r="Q2486" s="20">
        <f t="shared" si="418"/>
        <v>32</v>
      </c>
      <c r="R2486" s="14">
        <v>160</v>
      </c>
      <c r="S2486" s="19">
        <f t="shared" si="419"/>
        <v>5120</v>
      </c>
      <c r="AC2486" s="21"/>
      <c r="AD2486" s="21"/>
      <c r="AG2486" s="22">
        <f t="shared" si="420"/>
        <v>0</v>
      </c>
      <c r="AJ2486" s="20">
        <f t="shared" si="421"/>
        <v>0</v>
      </c>
      <c r="AM2486" s="20">
        <f t="shared" si="422"/>
        <v>0</v>
      </c>
      <c r="AN2486" s="20">
        <f t="shared" si="425"/>
        <v>5120</v>
      </c>
      <c r="AP2486" s="20">
        <f t="shared" si="423"/>
        <v>5120</v>
      </c>
      <c r="AR2486" s="20"/>
    </row>
    <row r="2487" spans="1:45" ht="30" customHeight="1" x14ac:dyDescent="0.2">
      <c r="A2487" s="8">
        <v>2099</v>
      </c>
      <c r="B2487" s="46">
        <v>9</v>
      </c>
      <c r="C2487" s="16" t="s">
        <v>52</v>
      </c>
      <c r="D2487" s="48">
        <v>29451</v>
      </c>
      <c r="E2487" s="47">
        <v>129</v>
      </c>
      <c r="F2487" s="48">
        <v>5572</v>
      </c>
      <c r="G2487" s="49">
        <v>2</v>
      </c>
      <c r="H2487" s="48">
        <v>0</v>
      </c>
      <c r="I2487" s="48">
        <v>0</v>
      </c>
      <c r="J2487" s="48">
        <v>32</v>
      </c>
      <c r="K2487" s="10">
        <v>32</v>
      </c>
      <c r="P2487" s="17">
        <v>1</v>
      </c>
      <c r="Q2487" s="20">
        <f t="shared" si="418"/>
        <v>32</v>
      </c>
      <c r="R2487" s="14">
        <v>160</v>
      </c>
      <c r="S2487" s="20">
        <f t="shared" si="419"/>
        <v>5120</v>
      </c>
      <c r="AC2487" s="21"/>
      <c r="AD2487" s="21"/>
      <c r="AG2487" s="22">
        <f t="shared" si="420"/>
        <v>0</v>
      </c>
      <c r="AJ2487" s="20">
        <f t="shared" si="421"/>
        <v>0</v>
      </c>
      <c r="AM2487" s="20">
        <f t="shared" si="422"/>
        <v>0</v>
      </c>
      <c r="AN2487" s="20">
        <f t="shared" si="425"/>
        <v>5120</v>
      </c>
      <c r="AP2487" s="20">
        <f t="shared" si="423"/>
        <v>5120</v>
      </c>
      <c r="AR2487" s="20"/>
    </row>
    <row r="2488" spans="1:45" ht="30" customHeight="1" x14ac:dyDescent="0.2">
      <c r="A2488" s="8">
        <v>2100</v>
      </c>
      <c r="B2488" s="46">
        <v>10</v>
      </c>
      <c r="C2488" s="16" t="s">
        <v>52</v>
      </c>
      <c r="D2488" s="48">
        <v>29452</v>
      </c>
      <c r="E2488" s="47">
        <v>130</v>
      </c>
      <c r="F2488" s="48">
        <v>5573</v>
      </c>
      <c r="G2488" s="49">
        <v>2</v>
      </c>
      <c r="H2488" s="48">
        <v>0</v>
      </c>
      <c r="I2488" s="48">
        <v>0</v>
      </c>
      <c r="J2488" s="48">
        <v>31</v>
      </c>
      <c r="K2488" s="10">
        <v>31</v>
      </c>
      <c r="P2488" s="17">
        <v>1</v>
      </c>
      <c r="Q2488" s="20">
        <f t="shared" si="418"/>
        <v>31</v>
      </c>
      <c r="R2488" s="14">
        <v>160</v>
      </c>
      <c r="S2488" s="19">
        <f t="shared" si="419"/>
        <v>4960</v>
      </c>
      <c r="AC2488" s="21"/>
      <c r="AD2488" s="21"/>
      <c r="AG2488" s="22">
        <f t="shared" si="420"/>
        <v>0</v>
      </c>
      <c r="AJ2488" s="20">
        <f t="shared" si="421"/>
        <v>0</v>
      </c>
      <c r="AM2488" s="20">
        <f t="shared" si="422"/>
        <v>0</v>
      </c>
      <c r="AN2488" s="20">
        <f t="shared" si="425"/>
        <v>4960</v>
      </c>
      <c r="AP2488" s="20">
        <f t="shared" si="423"/>
        <v>4960</v>
      </c>
      <c r="AR2488" s="20"/>
    </row>
    <row r="2489" spans="1:45" ht="30" customHeight="1" x14ac:dyDescent="0.2">
      <c r="A2489" s="8">
        <v>2101</v>
      </c>
      <c r="B2489" s="46">
        <v>11</v>
      </c>
      <c r="C2489" s="16" t="s">
        <v>52</v>
      </c>
      <c r="D2489" s="48">
        <v>29453</v>
      </c>
      <c r="E2489" s="47">
        <v>131</v>
      </c>
      <c r="F2489" s="48">
        <v>5574</v>
      </c>
      <c r="G2489" s="49">
        <v>2</v>
      </c>
      <c r="H2489" s="48">
        <v>0</v>
      </c>
      <c r="I2489" s="48">
        <v>0</v>
      </c>
      <c r="J2489" s="48">
        <v>31</v>
      </c>
      <c r="K2489" s="10">
        <v>31</v>
      </c>
      <c r="P2489" s="17">
        <v>1</v>
      </c>
      <c r="Q2489" s="20">
        <f t="shared" si="418"/>
        <v>31</v>
      </c>
      <c r="R2489" s="14">
        <v>160</v>
      </c>
      <c r="S2489" s="19">
        <f t="shared" si="419"/>
        <v>4960</v>
      </c>
      <c r="AC2489" s="21"/>
      <c r="AD2489" s="21"/>
      <c r="AG2489" s="22">
        <f t="shared" si="420"/>
        <v>0</v>
      </c>
      <c r="AJ2489" s="20">
        <f t="shared" si="421"/>
        <v>0</v>
      </c>
      <c r="AM2489" s="20">
        <f t="shared" si="422"/>
        <v>0</v>
      </c>
      <c r="AN2489" s="20">
        <f t="shared" si="425"/>
        <v>4960</v>
      </c>
      <c r="AP2489" s="20">
        <f t="shared" si="423"/>
        <v>4960</v>
      </c>
      <c r="AR2489" s="20"/>
    </row>
    <row r="2490" spans="1:45" ht="30" customHeight="1" x14ac:dyDescent="0.2">
      <c r="A2490" s="8"/>
      <c r="B2490" s="46"/>
      <c r="C2490" s="16"/>
      <c r="Q2490" s="20"/>
      <c r="S2490" s="20"/>
      <c r="AC2490" s="21"/>
      <c r="AD2490" s="21"/>
      <c r="AG2490" s="22"/>
      <c r="AJ2490" s="20"/>
      <c r="AM2490" s="20"/>
      <c r="AN2490" s="20"/>
      <c r="AP2490" s="20"/>
      <c r="AR2490" s="20"/>
    </row>
    <row r="2491" spans="1:45" ht="30" customHeight="1" x14ac:dyDescent="0.2">
      <c r="A2491" s="8">
        <v>2102</v>
      </c>
      <c r="B2491" s="46">
        <v>1</v>
      </c>
      <c r="C2491" s="16" t="s">
        <v>52</v>
      </c>
      <c r="D2491" s="48">
        <v>20654</v>
      </c>
      <c r="E2491" s="47">
        <v>92</v>
      </c>
      <c r="F2491" s="48">
        <v>4647</v>
      </c>
      <c r="G2491" s="49">
        <v>1</v>
      </c>
      <c r="H2491" s="48">
        <v>0</v>
      </c>
      <c r="I2491" s="48">
        <v>0</v>
      </c>
      <c r="J2491" s="48">
        <v>66</v>
      </c>
      <c r="L2491" s="17">
        <v>66</v>
      </c>
      <c r="P2491" s="17">
        <v>2</v>
      </c>
      <c r="Q2491" s="20">
        <f t="shared" si="418"/>
        <v>66</v>
      </c>
      <c r="R2491" s="14">
        <v>250</v>
      </c>
      <c r="S2491" s="19">
        <f t="shared" si="419"/>
        <v>16500</v>
      </c>
      <c r="U2491" s="17" t="s">
        <v>57</v>
      </c>
      <c r="V2491" s="17" t="s">
        <v>56</v>
      </c>
      <c r="Y2491" s="4">
        <v>162</v>
      </c>
      <c r="AB2491" s="17">
        <f>62-38</f>
        <v>24</v>
      </c>
      <c r="AC2491" s="21"/>
      <c r="AD2491" s="21"/>
      <c r="AG2491" s="22">
        <f t="shared" si="420"/>
        <v>162</v>
      </c>
      <c r="AJ2491" s="20">
        <f t="shared" si="421"/>
        <v>0</v>
      </c>
      <c r="AK2491" s="23">
        <v>24</v>
      </c>
      <c r="AM2491" s="20">
        <f t="shared" si="422"/>
        <v>0</v>
      </c>
      <c r="AN2491" s="20">
        <f t="shared" si="425"/>
        <v>16500</v>
      </c>
      <c r="AP2491" s="20">
        <f t="shared" si="423"/>
        <v>16500</v>
      </c>
      <c r="AR2491" s="20"/>
    </row>
    <row r="2492" spans="1:45" ht="30" customHeight="1" x14ac:dyDescent="0.2">
      <c r="A2492" s="8">
        <v>2103</v>
      </c>
      <c r="B2492" s="46">
        <v>2</v>
      </c>
      <c r="C2492" s="16" t="s">
        <v>52</v>
      </c>
      <c r="D2492" s="48">
        <v>35065</v>
      </c>
      <c r="E2492" s="47">
        <v>363</v>
      </c>
      <c r="F2492" s="48">
        <v>6886</v>
      </c>
      <c r="G2492" s="49">
        <v>1</v>
      </c>
      <c r="H2492" s="48">
        <v>0</v>
      </c>
      <c r="I2492" s="48">
        <v>0</v>
      </c>
      <c r="J2492" s="48">
        <v>73</v>
      </c>
      <c r="K2492" s="10">
        <v>73</v>
      </c>
      <c r="P2492" s="17">
        <v>1</v>
      </c>
      <c r="Q2492" s="20">
        <f t="shared" si="418"/>
        <v>73</v>
      </c>
      <c r="R2492" s="14">
        <v>160</v>
      </c>
      <c r="S2492" s="19">
        <f t="shared" si="419"/>
        <v>11680</v>
      </c>
      <c r="AC2492" s="21"/>
      <c r="AD2492" s="21"/>
      <c r="AG2492" s="22">
        <f t="shared" si="420"/>
        <v>0</v>
      </c>
      <c r="AJ2492" s="20">
        <f t="shared" si="421"/>
        <v>0</v>
      </c>
      <c r="AM2492" s="20">
        <f t="shared" si="422"/>
        <v>0</v>
      </c>
      <c r="AN2492" s="20">
        <f t="shared" si="425"/>
        <v>11680</v>
      </c>
      <c r="AP2492" s="20">
        <f t="shared" si="423"/>
        <v>11680</v>
      </c>
      <c r="AR2492" s="20"/>
    </row>
    <row r="2493" spans="1:45" ht="30" customHeight="1" x14ac:dyDescent="0.2">
      <c r="A2493" s="8">
        <v>2104</v>
      </c>
      <c r="B2493" s="46">
        <v>1</v>
      </c>
      <c r="C2493" s="16" t="s">
        <v>52</v>
      </c>
      <c r="D2493" s="48">
        <v>10377</v>
      </c>
      <c r="E2493" s="47">
        <v>157</v>
      </c>
      <c r="F2493" s="48">
        <v>3145</v>
      </c>
      <c r="G2493" s="49">
        <v>2</v>
      </c>
      <c r="H2493" s="48">
        <v>0</v>
      </c>
      <c r="I2493" s="48">
        <v>1</v>
      </c>
      <c r="J2493" s="48">
        <v>85.01</v>
      </c>
      <c r="P2493" s="17">
        <v>2</v>
      </c>
      <c r="Q2493" s="20">
        <f t="shared" si="418"/>
        <v>185.01</v>
      </c>
      <c r="R2493" s="14">
        <v>1500</v>
      </c>
      <c r="S2493" s="20">
        <f t="shared" si="419"/>
        <v>277515</v>
      </c>
      <c r="U2493" s="17" t="s">
        <v>57</v>
      </c>
      <c r="V2493" s="17" t="s">
        <v>56</v>
      </c>
      <c r="Y2493" s="4">
        <v>82.5</v>
      </c>
      <c r="AB2493" s="17">
        <f>62-54</f>
        <v>8</v>
      </c>
      <c r="AC2493" s="21"/>
      <c r="AD2493" s="21"/>
      <c r="AG2493" s="22">
        <f t="shared" si="420"/>
        <v>82.5</v>
      </c>
      <c r="AJ2493" s="20">
        <f t="shared" si="421"/>
        <v>0</v>
      </c>
      <c r="AK2493" s="23">
        <v>8</v>
      </c>
      <c r="AM2493" s="20">
        <f t="shared" si="422"/>
        <v>0</v>
      </c>
      <c r="AN2493" s="20">
        <f t="shared" si="425"/>
        <v>277515</v>
      </c>
      <c r="AP2493" s="20">
        <f t="shared" si="423"/>
        <v>277515</v>
      </c>
      <c r="AR2493" s="20"/>
    </row>
    <row r="2494" spans="1:45" ht="30" customHeight="1" x14ac:dyDescent="0.2">
      <c r="A2494" s="8">
        <v>2105</v>
      </c>
      <c r="B2494" s="46">
        <v>2</v>
      </c>
      <c r="C2494" s="16" t="s">
        <v>52</v>
      </c>
      <c r="D2494" s="48">
        <v>11653</v>
      </c>
      <c r="E2494" s="47">
        <v>120</v>
      </c>
      <c r="F2494" s="48">
        <v>3177</v>
      </c>
      <c r="G2494" s="49">
        <v>2</v>
      </c>
      <c r="H2494" s="48">
        <v>1</v>
      </c>
      <c r="I2494" s="48">
        <v>0</v>
      </c>
      <c r="J2494" s="48">
        <v>87.09</v>
      </c>
      <c r="K2494" s="10">
        <v>487.09</v>
      </c>
      <c r="P2494" s="17">
        <v>1</v>
      </c>
      <c r="Q2494" s="20">
        <f t="shared" si="418"/>
        <v>487.09000000000003</v>
      </c>
      <c r="R2494" s="14">
        <v>160</v>
      </c>
      <c r="S2494" s="19">
        <f t="shared" si="419"/>
        <v>77934.400000000009</v>
      </c>
      <c r="AC2494" s="21"/>
      <c r="AD2494" s="21"/>
      <c r="AG2494" s="22">
        <f t="shared" si="420"/>
        <v>0</v>
      </c>
      <c r="AJ2494" s="20">
        <f t="shared" si="421"/>
        <v>0</v>
      </c>
      <c r="AM2494" s="20">
        <f t="shared" si="422"/>
        <v>0</v>
      </c>
      <c r="AN2494" s="20">
        <f t="shared" si="425"/>
        <v>77934.400000000009</v>
      </c>
      <c r="AP2494" s="20">
        <f t="shared" si="423"/>
        <v>77934.400000000009</v>
      </c>
      <c r="AR2494" s="20"/>
    </row>
    <row r="2495" spans="1:45" ht="30" customHeight="1" x14ac:dyDescent="0.2">
      <c r="A2495" s="8">
        <v>2106</v>
      </c>
      <c r="B2495" s="46">
        <v>3</v>
      </c>
      <c r="C2495" s="16" t="s">
        <v>65</v>
      </c>
      <c r="D2495" s="17">
        <v>861</v>
      </c>
      <c r="E2495" s="17">
        <v>132</v>
      </c>
      <c r="H2495" s="17">
        <v>5</v>
      </c>
      <c r="I2495" s="17">
        <v>1</v>
      </c>
      <c r="J2495" s="17">
        <v>53</v>
      </c>
      <c r="K2495" s="10">
        <v>2153</v>
      </c>
      <c r="P2495" s="17">
        <v>1</v>
      </c>
      <c r="Q2495" s="20">
        <f t="shared" ref="Q2495:Q2558" si="426">+(H2495*400)+(I2495*100)+J2495</f>
        <v>2153</v>
      </c>
      <c r="R2495" s="14">
        <v>3000</v>
      </c>
      <c r="S2495" s="19">
        <f t="shared" ref="S2495:S2519" si="427">+Q2495*R2495</f>
        <v>6459000</v>
      </c>
      <c r="AE2495" s="17" t="s">
        <v>94</v>
      </c>
      <c r="AG2495" s="22">
        <f t="shared" ref="AG2495:AG2519" si="428">Y2495</f>
        <v>0</v>
      </c>
      <c r="AJ2495" s="20">
        <f t="shared" ref="AJ2495:AJ2519" si="429">+AG2495*AH2495*AI2495</f>
        <v>0</v>
      </c>
      <c r="AM2495" s="20">
        <f t="shared" ref="AM2495:AM2519" si="430">+AJ2495-(AL2495*AJ2495)</f>
        <v>0</v>
      </c>
      <c r="AN2495" s="20">
        <f t="shared" si="425"/>
        <v>6459000</v>
      </c>
      <c r="AP2495" s="20">
        <f t="shared" ref="AP2495:AP2519" si="431">AN2495</f>
        <v>6459000</v>
      </c>
      <c r="AQ2495" s="12">
        <v>1E-4</v>
      </c>
      <c r="AR2495" s="20"/>
    </row>
    <row r="2496" spans="1:45" ht="30" customHeight="1" x14ac:dyDescent="0.2">
      <c r="A2496" s="8">
        <v>2107</v>
      </c>
      <c r="B2496" s="46">
        <v>4</v>
      </c>
      <c r="C2496" s="16" t="s">
        <v>65</v>
      </c>
      <c r="D2496" s="17">
        <v>869</v>
      </c>
      <c r="E2496" s="17">
        <v>142</v>
      </c>
      <c r="H2496" s="17">
        <v>3</v>
      </c>
      <c r="I2496" s="17">
        <v>1</v>
      </c>
      <c r="J2496" s="17">
        <v>85</v>
      </c>
      <c r="K2496" s="10">
        <v>1385</v>
      </c>
      <c r="Q2496" s="20">
        <f t="shared" si="426"/>
        <v>1385</v>
      </c>
      <c r="R2496" s="14">
        <v>200</v>
      </c>
      <c r="S2496" s="20">
        <f t="shared" si="427"/>
        <v>277000</v>
      </c>
      <c r="AE2496" s="17" t="s">
        <v>94</v>
      </c>
      <c r="AG2496" s="22">
        <f t="shared" si="428"/>
        <v>0</v>
      </c>
      <c r="AJ2496" s="20">
        <f t="shared" si="429"/>
        <v>0</v>
      </c>
      <c r="AM2496" s="20">
        <f t="shared" si="430"/>
        <v>0</v>
      </c>
      <c r="AN2496" s="20">
        <f t="shared" si="425"/>
        <v>277000</v>
      </c>
      <c r="AP2496" s="20">
        <f t="shared" si="431"/>
        <v>277000</v>
      </c>
      <c r="AQ2496" s="12">
        <v>1E-4</v>
      </c>
      <c r="AR2496" s="20"/>
    </row>
    <row r="2497" spans="1:45" ht="30" customHeight="1" x14ac:dyDescent="0.2">
      <c r="A2497" s="8">
        <v>2108</v>
      </c>
      <c r="B2497" s="13">
        <v>1</v>
      </c>
      <c r="C2497" s="16" t="s">
        <v>69</v>
      </c>
      <c r="E2497" s="17">
        <v>2328</v>
      </c>
      <c r="F2497" s="17">
        <v>11</v>
      </c>
      <c r="G2497" s="13">
        <v>2</v>
      </c>
      <c r="H2497" s="17">
        <v>10</v>
      </c>
      <c r="I2497" s="17">
        <v>3</v>
      </c>
      <c r="J2497" s="17">
        <v>46</v>
      </c>
      <c r="K2497" s="10">
        <v>4346</v>
      </c>
      <c r="P2497" s="17">
        <v>1</v>
      </c>
      <c r="Q2497" s="20">
        <f t="shared" si="426"/>
        <v>4346</v>
      </c>
      <c r="R2497" s="14">
        <v>160</v>
      </c>
      <c r="S2497" s="19">
        <f t="shared" si="427"/>
        <v>695360</v>
      </c>
      <c r="AG2497" s="22">
        <f t="shared" si="428"/>
        <v>0</v>
      </c>
      <c r="AJ2497" s="20">
        <f t="shared" si="429"/>
        <v>0</v>
      </c>
      <c r="AM2497" s="20">
        <f t="shared" si="430"/>
        <v>0</v>
      </c>
      <c r="AN2497" s="20">
        <f t="shared" si="425"/>
        <v>695360</v>
      </c>
      <c r="AP2497" s="20">
        <f t="shared" si="431"/>
        <v>695360</v>
      </c>
      <c r="AR2497" s="20"/>
    </row>
    <row r="2498" spans="1:45" ht="30" customHeight="1" x14ac:dyDescent="0.2">
      <c r="A2498" s="8">
        <v>2109</v>
      </c>
      <c r="B2498" s="46">
        <v>1</v>
      </c>
      <c r="C2498" s="16" t="s">
        <v>52</v>
      </c>
      <c r="D2498" s="48">
        <v>1053</v>
      </c>
      <c r="E2498" s="47">
        <v>60</v>
      </c>
      <c r="F2498" s="48">
        <v>664</v>
      </c>
      <c r="G2498" s="49">
        <v>1</v>
      </c>
      <c r="H2498" s="48">
        <v>0</v>
      </c>
      <c r="I2498" s="48">
        <v>1</v>
      </c>
      <c r="J2498" s="48">
        <v>5</v>
      </c>
      <c r="L2498" s="17">
        <v>105</v>
      </c>
      <c r="P2498" s="17">
        <v>2</v>
      </c>
      <c r="Q2498" s="20">
        <f t="shared" si="426"/>
        <v>105</v>
      </c>
      <c r="R2498" s="14">
        <v>250</v>
      </c>
      <c r="S2498" s="19">
        <f t="shared" si="427"/>
        <v>26250</v>
      </c>
      <c r="AC2498" s="21"/>
      <c r="AD2498" s="21"/>
      <c r="AG2498" s="22">
        <f t="shared" si="428"/>
        <v>0</v>
      </c>
      <c r="AJ2498" s="20">
        <f t="shared" si="429"/>
        <v>0</v>
      </c>
      <c r="AM2498" s="20">
        <f t="shared" si="430"/>
        <v>0</v>
      </c>
      <c r="AN2498" s="20">
        <f t="shared" si="425"/>
        <v>26250</v>
      </c>
      <c r="AP2498" s="20">
        <f t="shared" si="431"/>
        <v>26250</v>
      </c>
      <c r="AR2498" s="20"/>
    </row>
    <row r="2499" spans="1:45" ht="30" customHeight="1" x14ac:dyDescent="0.2">
      <c r="A2499" s="2">
        <v>2110</v>
      </c>
      <c r="B2499" s="46">
        <v>1</v>
      </c>
      <c r="C2499" s="16" t="s">
        <v>52</v>
      </c>
      <c r="D2499" s="48">
        <v>925</v>
      </c>
      <c r="E2499" s="47">
        <v>39</v>
      </c>
      <c r="F2499" s="48">
        <v>314</v>
      </c>
      <c r="G2499" s="49">
        <v>1</v>
      </c>
      <c r="H2499" s="48">
        <v>0</v>
      </c>
      <c r="I2499" s="48">
        <v>1</v>
      </c>
      <c r="J2499" s="48">
        <v>6</v>
      </c>
      <c r="L2499" s="17">
        <v>106</v>
      </c>
      <c r="P2499" s="17">
        <v>2</v>
      </c>
      <c r="Q2499" s="20">
        <f t="shared" si="426"/>
        <v>106</v>
      </c>
      <c r="R2499" s="14">
        <v>250</v>
      </c>
      <c r="S2499" s="19">
        <f t="shared" si="427"/>
        <v>26500</v>
      </c>
      <c r="AG2499" s="22">
        <f t="shared" si="428"/>
        <v>0</v>
      </c>
      <c r="AJ2499" s="20">
        <f t="shared" si="429"/>
        <v>0</v>
      </c>
      <c r="AM2499" s="20">
        <f t="shared" si="430"/>
        <v>0</v>
      </c>
      <c r="AN2499" s="20">
        <f t="shared" si="425"/>
        <v>26500</v>
      </c>
      <c r="AP2499" s="20">
        <f t="shared" si="431"/>
        <v>26500</v>
      </c>
      <c r="AR2499" s="60"/>
      <c r="AS2499" s="123" t="s">
        <v>219</v>
      </c>
    </row>
    <row r="2500" spans="1:45" ht="30" customHeight="1" x14ac:dyDescent="0.2">
      <c r="A2500" s="2">
        <v>2111</v>
      </c>
      <c r="B2500" s="46">
        <v>2</v>
      </c>
      <c r="C2500" s="16" t="s">
        <v>52</v>
      </c>
      <c r="D2500" s="48">
        <v>1070</v>
      </c>
      <c r="E2500" s="47">
        <v>28</v>
      </c>
      <c r="F2500" s="48">
        <v>685</v>
      </c>
      <c r="G2500" s="49">
        <v>1</v>
      </c>
      <c r="H2500" s="48">
        <v>4</v>
      </c>
      <c r="I2500" s="48">
        <v>1</v>
      </c>
      <c r="J2500" s="48">
        <v>77</v>
      </c>
      <c r="K2500" s="10">
        <v>1777</v>
      </c>
      <c r="P2500" s="17">
        <v>1</v>
      </c>
      <c r="Q2500" s="20">
        <f t="shared" si="426"/>
        <v>1777</v>
      </c>
      <c r="R2500" s="14">
        <v>160</v>
      </c>
      <c r="S2500" s="19">
        <f t="shared" si="427"/>
        <v>284320</v>
      </c>
      <c r="AC2500" s="21"/>
      <c r="AD2500" s="21"/>
      <c r="AG2500" s="22">
        <f t="shared" si="428"/>
        <v>0</v>
      </c>
      <c r="AJ2500" s="20">
        <f t="shared" si="429"/>
        <v>0</v>
      </c>
      <c r="AM2500" s="20">
        <f t="shared" si="430"/>
        <v>0</v>
      </c>
      <c r="AN2500" s="20">
        <f t="shared" si="425"/>
        <v>284320</v>
      </c>
      <c r="AP2500" s="20">
        <f t="shared" si="431"/>
        <v>284320</v>
      </c>
      <c r="AR2500" s="25"/>
      <c r="AS2500" s="125"/>
    </row>
    <row r="2501" spans="1:45" ht="30" customHeight="1" x14ac:dyDescent="0.2">
      <c r="A2501" s="2">
        <v>2112</v>
      </c>
      <c r="B2501" s="46">
        <v>1</v>
      </c>
      <c r="C2501" s="16" t="s">
        <v>52</v>
      </c>
      <c r="D2501" s="48">
        <v>900</v>
      </c>
      <c r="E2501" s="47">
        <v>67</v>
      </c>
      <c r="F2501" s="48">
        <v>195</v>
      </c>
      <c r="G2501" s="49">
        <v>1</v>
      </c>
      <c r="H2501" s="48">
        <v>0</v>
      </c>
      <c r="I2501" s="48">
        <v>1</v>
      </c>
      <c r="J2501" s="48">
        <v>39</v>
      </c>
      <c r="L2501" s="17">
        <v>139</v>
      </c>
      <c r="P2501" s="17">
        <v>2</v>
      </c>
      <c r="Q2501" s="20">
        <f t="shared" si="426"/>
        <v>139</v>
      </c>
      <c r="R2501" s="14">
        <v>250</v>
      </c>
      <c r="S2501" s="20">
        <f t="shared" si="427"/>
        <v>34750</v>
      </c>
      <c r="U2501" s="17" t="s">
        <v>57</v>
      </c>
      <c r="V2501" s="17" t="s">
        <v>56</v>
      </c>
      <c r="Y2501" s="4">
        <v>47.5</v>
      </c>
      <c r="AB2501" s="17">
        <f>62-53</f>
        <v>9</v>
      </c>
      <c r="AG2501" s="22">
        <f t="shared" si="428"/>
        <v>47.5</v>
      </c>
      <c r="AJ2501" s="20">
        <f t="shared" si="429"/>
        <v>0</v>
      </c>
      <c r="AK2501" s="23">
        <v>9</v>
      </c>
      <c r="AM2501" s="20">
        <f t="shared" si="430"/>
        <v>0</v>
      </c>
      <c r="AN2501" s="20">
        <f t="shared" si="425"/>
        <v>34750</v>
      </c>
      <c r="AP2501" s="20">
        <f t="shared" si="431"/>
        <v>34750</v>
      </c>
      <c r="AR2501" s="20"/>
    </row>
    <row r="2502" spans="1:45" ht="30" customHeight="1" x14ac:dyDescent="0.2">
      <c r="A2502" s="2">
        <v>2113</v>
      </c>
      <c r="B2502" s="46">
        <v>2</v>
      </c>
      <c r="C2502" s="16" t="s">
        <v>52</v>
      </c>
      <c r="D2502" s="48">
        <v>901</v>
      </c>
      <c r="E2502" s="47">
        <v>68</v>
      </c>
      <c r="F2502" s="48">
        <v>196</v>
      </c>
      <c r="G2502" s="49">
        <v>1</v>
      </c>
      <c r="H2502" s="48">
        <v>0</v>
      </c>
      <c r="I2502" s="48">
        <v>3</v>
      </c>
      <c r="J2502" s="48">
        <v>8</v>
      </c>
      <c r="K2502" s="10">
        <f>308-L2502</f>
        <v>242</v>
      </c>
      <c r="L2502" s="17">
        <f>264/4</f>
        <v>66</v>
      </c>
      <c r="P2502" s="17">
        <v>2</v>
      </c>
      <c r="Q2502" s="20">
        <f t="shared" si="426"/>
        <v>308</v>
      </c>
      <c r="R2502" s="14">
        <v>250</v>
      </c>
      <c r="S2502" s="19">
        <f t="shared" si="427"/>
        <v>77000</v>
      </c>
      <c r="U2502" s="17" t="s">
        <v>57</v>
      </c>
      <c r="V2502" s="17" t="s">
        <v>56</v>
      </c>
      <c r="Y2502" s="4">
        <v>264</v>
      </c>
      <c r="AB2502" s="17">
        <f>62-37</f>
        <v>25</v>
      </c>
      <c r="AG2502" s="22">
        <f t="shared" si="428"/>
        <v>264</v>
      </c>
      <c r="AJ2502" s="20">
        <f t="shared" si="429"/>
        <v>0</v>
      </c>
      <c r="AK2502" s="23">
        <v>25</v>
      </c>
      <c r="AM2502" s="20">
        <f t="shared" si="430"/>
        <v>0</v>
      </c>
      <c r="AN2502" s="20">
        <f t="shared" si="425"/>
        <v>77000</v>
      </c>
      <c r="AP2502" s="20">
        <f t="shared" si="431"/>
        <v>77000</v>
      </c>
      <c r="AR2502" s="20"/>
    </row>
    <row r="2503" spans="1:45" ht="30" customHeight="1" x14ac:dyDescent="0.2">
      <c r="A2503" s="2">
        <v>2114</v>
      </c>
      <c r="B2503" s="46">
        <v>3</v>
      </c>
      <c r="C2503" s="16" t="s">
        <v>52</v>
      </c>
      <c r="D2503" s="48">
        <v>4174</v>
      </c>
      <c r="E2503" s="47">
        <v>77</v>
      </c>
      <c r="F2503" s="48">
        <v>2515</v>
      </c>
      <c r="G2503" s="49">
        <v>1</v>
      </c>
      <c r="H2503" s="48">
        <v>4</v>
      </c>
      <c r="I2503" s="48">
        <v>3</v>
      </c>
      <c r="J2503" s="48">
        <v>30</v>
      </c>
      <c r="K2503" s="10">
        <v>1930</v>
      </c>
      <c r="P2503" s="17">
        <v>1</v>
      </c>
      <c r="Q2503" s="20">
        <f t="shared" si="426"/>
        <v>1930</v>
      </c>
      <c r="R2503" s="14">
        <v>200</v>
      </c>
      <c r="S2503" s="19">
        <f t="shared" si="427"/>
        <v>386000</v>
      </c>
      <c r="AG2503" s="22">
        <f t="shared" si="428"/>
        <v>0</v>
      </c>
      <c r="AJ2503" s="20">
        <f t="shared" si="429"/>
        <v>0</v>
      </c>
      <c r="AM2503" s="20">
        <f t="shared" si="430"/>
        <v>0</v>
      </c>
      <c r="AN2503" s="20">
        <f t="shared" si="425"/>
        <v>386000</v>
      </c>
      <c r="AP2503" s="20">
        <f t="shared" si="431"/>
        <v>386000</v>
      </c>
      <c r="AR2503" s="20"/>
    </row>
    <row r="2504" spans="1:45" ht="30" customHeight="1" x14ac:dyDescent="0.2">
      <c r="A2504" s="2">
        <v>2115</v>
      </c>
      <c r="B2504" s="46">
        <v>4</v>
      </c>
      <c r="C2504" s="16" t="s">
        <v>52</v>
      </c>
      <c r="D2504" s="48">
        <v>4647</v>
      </c>
      <c r="E2504" s="47">
        <v>44</v>
      </c>
      <c r="F2504" s="48">
        <v>2473</v>
      </c>
      <c r="G2504" s="49">
        <v>1</v>
      </c>
      <c r="H2504" s="48">
        <v>10</v>
      </c>
      <c r="I2504" s="48">
        <v>2</v>
      </c>
      <c r="J2504" s="48">
        <v>85</v>
      </c>
      <c r="K2504" s="10">
        <f>4000+285</f>
        <v>4285</v>
      </c>
      <c r="P2504" s="17">
        <v>1</v>
      </c>
      <c r="Q2504" s="20">
        <f t="shared" si="426"/>
        <v>4285</v>
      </c>
      <c r="R2504" s="14">
        <v>200</v>
      </c>
      <c r="S2504" s="20">
        <f t="shared" si="427"/>
        <v>857000</v>
      </c>
      <c r="AG2504" s="22">
        <f t="shared" si="428"/>
        <v>0</v>
      </c>
      <c r="AJ2504" s="20">
        <f t="shared" si="429"/>
        <v>0</v>
      </c>
      <c r="AM2504" s="20">
        <f t="shared" si="430"/>
        <v>0</v>
      </c>
      <c r="AN2504" s="20">
        <f t="shared" si="425"/>
        <v>857000</v>
      </c>
      <c r="AP2504" s="20">
        <f t="shared" si="431"/>
        <v>857000</v>
      </c>
      <c r="AR2504" s="20"/>
    </row>
    <row r="2505" spans="1:45" ht="30" customHeight="1" x14ac:dyDescent="0.2">
      <c r="A2505" s="2">
        <v>2116</v>
      </c>
      <c r="B2505" s="13">
        <v>5</v>
      </c>
      <c r="C2505" s="16" t="s">
        <v>65</v>
      </c>
      <c r="D2505" s="17">
        <v>3471</v>
      </c>
      <c r="E2505" s="17">
        <v>65</v>
      </c>
      <c r="H2505" s="17">
        <v>8</v>
      </c>
      <c r="I2505" s="17">
        <v>1</v>
      </c>
      <c r="J2505" s="17">
        <v>45</v>
      </c>
      <c r="K2505" s="10">
        <f>8*400+145</f>
        <v>3345</v>
      </c>
      <c r="P2505" s="17">
        <v>1</v>
      </c>
      <c r="Q2505" s="20">
        <f t="shared" si="426"/>
        <v>3345</v>
      </c>
      <c r="R2505" s="14">
        <v>160</v>
      </c>
      <c r="S2505" s="19">
        <f t="shared" si="427"/>
        <v>535200</v>
      </c>
      <c r="AC2505" s="21"/>
      <c r="AD2505" s="21"/>
      <c r="AG2505" s="22">
        <f t="shared" si="428"/>
        <v>0</v>
      </c>
      <c r="AJ2505" s="20">
        <f t="shared" si="429"/>
        <v>0</v>
      </c>
      <c r="AM2505" s="20">
        <f t="shared" si="430"/>
        <v>0</v>
      </c>
      <c r="AN2505" s="20">
        <f t="shared" si="425"/>
        <v>535200</v>
      </c>
      <c r="AP2505" s="20">
        <f t="shared" si="431"/>
        <v>535200</v>
      </c>
      <c r="AQ2505" s="12">
        <v>1E-4</v>
      </c>
      <c r="AR2505" s="20"/>
    </row>
    <row r="2506" spans="1:45" ht="30" customHeight="1" x14ac:dyDescent="0.2">
      <c r="A2506" s="2">
        <v>2117</v>
      </c>
      <c r="B2506" s="46">
        <v>1</v>
      </c>
      <c r="C2506" s="16" t="s">
        <v>52</v>
      </c>
      <c r="D2506" s="48">
        <v>902</v>
      </c>
      <c r="E2506" s="47">
        <v>69</v>
      </c>
      <c r="F2506" s="48">
        <v>197</v>
      </c>
      <c r="G2506" s="49">
        <v>1</v>
      </c>
      <c r="H2506" s="48">
        <v>0</v>
      </c>
      <c r="I2506" s="48">
        <v>3</v>
      </c>
      <c r="J2506" s="48">
        <v>45</v>
      </c>
      <c r="K2506" s="10">
        <v>345</v>
      </c>
      <c r="P2506" s="17">
        <v>1</v>
      </c>
      <c r="Q2506" s="20">
        <f t="shared" si="426"/>
        <v>345</v>
      </c>
      <c r="R2506" s="14">
        <v>250</v>
      </c>
      <c r="S2506" s="19">
        <f t="shared" si="427"/>
        <v>86250</v>
      </c>
      <c r="AG2506" s="22">
        <f t="shared" si="428"/>
        <v>0</v>
      </c>
      <c r="AJ2506" s="20">
        <f t="shared" si="429"/>
        <v>0</v>
      </c>
      <c r="AM2506" s="20">
        <f t="shared" si="430"/>
        <v>0</v>
      </c>
      <c r="AN2506" s="20">
        <f t="shared" si="425"/>
        <v>86250</v>
      </c>
      <c r="AP2506" s="20">
        <f t="shared" si="431"/>
        <v>86250</v>
      </c>
      <c r="AR2506" s="20"/>
    </row>
    <row r="2507" spans="1:45" ht="30" customHeight="1" x14ac:dyDescent="0.2">
      <c r="A2507" s="2">
        <v>2118</v>
      </c>
      <c r="B2507" s="46">
        <v>1</v>
      </c>
      <c r="C2507" s="16" t="s">
        <v>52</v>
      </c>
      <c r="D2507" s="48">
        <v>893</v>
      </c>
      <c r="E2507" s="47">
        <v>3</v>
      </c>
      <c r="F2507" s="48">
        <v>188</v>
      </c>
      <c r="G2507" s="49">
        <v>1</v>
      </c>
      <c r="H2507" s="48">
        <v>0</v>
      </c>
      <c r="I2507" s="48">
        <v>2</v>
      </c>
      <c r="J2507" s="48">
        <v>22</v>
      </c>
      <c r="K2507" s="10">
        <v>222</v>
      </c>
      <c r="P2507" s="17">
        <v>1</v>
      </c>
      <c r="Q2507" s="20">
        <f t="shared" si="426"/>
        <v>222</v>
      </c>
      <c r="R2507" s="14">
        <v>200</v>
      </c>
      <c r="S2507" s="20">
        <f t="shared" si="427"/>
        <v>44400</v>
      </c>
      <c r="AC2507" s="21"/>
      <c r="AD2507" s="21"/>
      <c r="AG2507" s="22">
        <f t="shared" si="428"/>
        <v>0</v>
      </c>
      <c r="AJ2507" s="20">
        <f t="shared" si="429"/>
        <v>0</v>
      </c>
      <c r="AM2507" s="20">
        <f t="shared" si="430"/>
        <v>0</v>
      </c>
      <c r="AN2507" s="20">
        <f t="shared" si="425"/>
        <v>44400</v>
      </c>
      <c r="AP2507" s="20">
        <f t="shared" si="431"/>
        <v>44400</v>
      </c>
      <c r="AR2507" s="60"/>
      <c r="AS2507" s="123">
        <v>87</v>
      </c>
    </row>
    <row r="2508" spans="1:45" ht="30" customHeight="1" x14ac:dyDescent="0.2">
      <c r="A2508" s="2">
        <v>2119</v>
      </c>
      <c r="B2508" s="46">
        <v>2</v>
      </c>
      <c r="C2508" s="16" t="s">
        <v>52</v>
      </c>
      <c r="D2508" s="48">
        <v>919</v>
      </c>
      <c r="E2508" s="47">
        <v>10</v>
      </c>
      <c r="F2508" s="48">
        <v>220</v>
      </c>
      <c r="G2508" s="49">
        <v>1</v>
      </c>
      <c r="H2508" s="48">
        <v>2</v>
      </c>
      <c r="I2508" s="48">
        <v>2</v>
      </c>
      <c r="J2508" s="48">
        <v>80</v>
      </c>
      <c r="K2508" s="10">
        <v>1080</v>
      </c>
      <c r="P2508" s="17">
        <v>1</v>
      </c>
      <c r="Q2508" s="20">
        <f t="shared" si="426"/>
        <v>1080</v>
      </c>
      <c r="R2508" s="14">
        <v>160</v>
      </c>
      <c r="S2508" s="19">
        <f t="shared" si="427"/>
        <v>172800</v>
      </c>
      <c r="AC2508" s="21"/>
      <c r="AD2508" s="21"/>
      <c r="AG2508" s="22">
        <f t="shared" si="428"/>
        <v>0</v>
      </c>
      <c r="AJ2508" s="20">
        <f t="shared" si="429"/>
        <v>0</v>
      </c>
      <c r="AM2508" s="20">
        <f t="shared" si="430"/>
        <v>0</v>
      </c>
      <c r="AN2508" s="20">
        <f t="shared" si="425"/>
        <v>172800</v>
      </c>
      <c r="AP2508" s="20">
        <f t="shared" si="431"/>
        <v>172800</v>
      </c>
      <c r="AR2508" s="24"/>
      <c r="AS2508" s="124"/>
    </row>
    <row r="2509" spans="1:45" ht="30" customHeight="1" x14ac:dyDescent="0.2">
      <c r="A2509" s="2">
        <v>2120</v>
      </c>
      <c r="B2509" s="46">
        <v>3</v>
      </c>
      <c r="C2509" s="16" t="s">
        <v>52</v>
      </c>
      <c r="D2509" s="48">
        <v>4646</v>
      </c>
      <c r="E2509" s="47">
        <v>43</v>
      </c>
      <c r="F2509" s="48">
        <v>2472</v>
      </c>
      <c r="G2509" s="49">
        <v>1</v>
      </c>
      <c r="H2509" s="48">
        <v>15</v>
      </c>
      <c r="I2509" s="48">
        <v>3</v>
      </c>
      <c r="J2509" s="48">
        <v>32</v>
      </c>
      <c r="K2509" s="10">
        <f>15*400+332</f>
        <v>6332</v>
      </c>
      <c r="P2509" s="17">
        <v>1</v>
      </c>
      <c r="Q2509" s="20">
        <f t="shared" si="426"/>
        <v>6332</v>
      </c>
      <c r="R2509" s="14">
        <v>200</v>
      </c>
      <c r="S2509" s="19">
        <f t="shared" si="427"/>
        <v>1266400</v>
      </c>
      <c r="AC2509" s="21"/>
      <c r="AD2509" s="21"/>
      <c r="AG2509" s="22">
        <f t="shared" si="428"/>
        <v>0</v>
      </c>
      <c r="AJ2509" s="20">
        <f t="shared" si="429"/>
        <v>0</v>
      </c>
      <c r="AM2509" s="20">
        <f t="shared" si="430"/>
        <v>0</v>
      </c>
      <c r="AN2509" s="20">
        <f t="shared" si="425"/>
        <v>1266400</v>
      </c>
      <c r="AP2509" s="20">
        <f t="shared" si="431"/>
        <v>1266400</v>
      </c>
      <c r="AR2509" s="24"/>
      <c r="AS2509" s="124"/>
    </row>
    <row r="2510" spans="1:45" ht="30" customHeight="1" x14ac:dyDescent="0.2">
      <c r="C2510" s="16"/>
      <c r="Q2510" s="20"/>
      <c r="S2510" s="20"/>
      <c r="AC2510" s="21"/>
      <c r="AD2510" s="21"/>
      <c r="AG2510" s="22"/>
      <c r="AJ2510" s="20"/>
      <c r="AM2510" s="20"/>
      <c r="AN2510" s="20"/>
      <c r="AP2510" s="20"/>
      <c r="AR2510" s="24"/>
      <c r="AS2510" s="124"/>
    </row>
    <row r="2511" spans="1:45" ht="30" customHeight="1" x14ac:dyDescent="0.2">
      <c r="C2511" s="16"/>
      <c r="Q2511" s="20"/>
      <c r="AC2511" s="21"/>
      <c r="AD2511" s="21"/>
      <c r="AG2511" s="22"/>
      <c r="AJ2511" s="20"/>
      <c r="AM2511" s="20"/>
      <c r="AN2511" s="20"/>
      <c r="AP2511" s="20"/>
      <c r="AR2511" s="25"/>
      <c r="AS2511" s="125"/>
    </row>
    <row r="2512" spans="1:45" ht="30" customHeight="1" x14ac:dyDescent="0.2">
      <c r="A2512" s="2">
        <v>2121</v>
      </c>
      <c r="B2512" s="46">
        <v>1</v>
      </c>
      <c r="C2512" s="16" t="s">
        <v>52</v>
      </c>
      <c r="D2512" s="48">
        <v>14269</v>
      </c>
      <c r="E2512" s="47">
        <v>52</v>
      </c>
      <c r="F2512" s="48">
        <v>3378</v>
      </c>
      <c r="G2512" s="49">
        <v>1</v>
      </c>
      <c r="H2512" s="48">
        <v>0</v>
      </c>
      <c r="I2512" s="48">
        <v>2</v>
      </c>
      <c r="J2512" s="48">
        <v>43</v>
      </c>
      <c r="L2512" s="17">
        <v>243</v>
      </c>
      <c r="P2512" s="17">
        <v>2</v>
      </c>
      <c r="Q2512" s="20">
        <f t="shared" si="426"/>
        <v>243</v>
      </c>
      <c r="R2512" s="14">
        <v>250</v>
      </c>
      <c r="S2512" s="19">
        <f t="shared" si="427"/>
        <v>60750</v>
      </c>
      <c r="AC2512" s="21"/>
      <c r="AD2512" s="21"/>
      <c r="AG2512" s="22">
        <f t="shared" si="428"/>
        <v>0</v>
      </c>
      <c r="AJ2512" s="20">
        <f t="shared" si="429"/>
        <v>0</v>
      </c>
      <c r="AM2512" s="20">
        <f t="shared" si="430"/>
        <v>0</v>
      </c>
      <c r="AN2512" s="20">
        <f t="shared" ref="AN2512:AN2519" si="432">+S2512+AM2512</f>
        <v>60750</v>
      </c>
      <c r="AP2512" s="20">
        <f t="shared" si="431"/>
        <v>60750</v>
      </c>
      <c r="AR2512" s="20"/>
    </row>
    <row r="2513" spans="1:44" ht="30" customHeight="1" x14ac:dyDescent="0.2">
      <c r="A2513" s="2">
        <v>2122</v>
      </c>
      <c r="B2513" s="13">
        <v>2</v>
      </c>
      <c r="C2513" s="16" t="s">
        <v>69</v>
      </c>
      <c r="E2513" s="17">
        <v>158</v>
      </c>
      <c r="F2513" s="17">
        <v>2</v>
      </c>
      <c r="G2513" s="13">
        <v>1</v>
      </c>
      <c r="H2513" s="17">
        <v>23</v>
      </c>
      <c r="I2513" s="17">
        <v>1</v>
      </c>
      <c r="J2513" s="17">
        <v>16</v>
      </c>
      <c r="K2513" s="10">
        <v>9316</v>
      </c>
      <c r="P2513" s="17">
        <v>1</v>
      </c>
      <c r="Q2513" s="20">
        <f t="shared" si="426"/>
        <v>9316</v>
      </c>
      <c r="R2513" s="14">
        <v>200</v>
      </c>
      <c r="S2513" s="20">
        <f t="shared" si="427"/>
        <v>1863200</v>
      </c>
      <c r="AG2513" s="22">
        <f t="shared" si="428"/>
        <v>0</v>
      </c>
      <c r="AJ2513" s="20">
        <f t="shared" si="429"/>
        <v>0</v>
      </c>
      <c r="AM2513" s="20">
        <f t="shared" si="430"/>
        <v>0</v>
      </c>
      <c r="AN2513" s="20">
        <f t="shared" si="432"/>
        <v>1863200</v>
      </c>
      <c r="AP2513" s="20">
        <f t="shared" si="431"/>
        <v>1863200</v>
      </c>
      <c r="AQ2513" s="12">
        <v>1E-4</v>
      </c>
      <c r="AR2513" s="20"/>
    </row>
    <row r="2514" spans="1:44" ht="30" customHeight="1" x14ac:dyDescent="0.2">
      <c r="A2514" s="2">
        <v>2123</v>
      </c>
      <c r="B2514" s="46">
        <v>1</v>
      </c>
      <c r="C2514" s="16" t="s">
        <v>52</v>
      </c>
      <c r="D2514" s="48">
        <v>14452</v>
      </c>
      <c r="E2514" s="47">
        <v>55</v>
      </c>
      <c r="F2514" s="48">
        <v>3381</v>
      </c>
      <c r="G2514" s="49">
        <v>1</v>
      </c>
      <c r="H2514" s="48">
        <v>0</v>
      </c>
      <c r="I2514" s="48">
        <v>1</v>
      </c>
      <c r="J2514" s="48">
        <v>58</v>
      </c>
      <c r="L2514" s="17">
        <v>158</v>
      </c>
      <c r="P2514" s="17">
        <v>2</v>
      </c>
      <c r="Q2514" s="20">
        <f t="shared" si="426"/>
        <v>158</v>
      </c>
      <c r="R2514" s="14">
        <v>250</v>
      </c>
      <c r="S2514" s="19">
        <f t="shared" si="427"/>
        <v>39500</v>
      </c>
      <c r="U2514" s="17" t="s">
        <v>57</v>
      </c>
      <c r="V2514" s="17" t="s">
        <v>56</v>
      </c>
      <c r="Y2514" s="4">
        <v>126</v>
      </c>
      <c r="AB2514" s="17">
        <f>62-31</f>
        <v>31</v>
      </c>
      <c r="AC2514" s="21"/>
      <c r="AD2514" s="21"/>
      <c r="AG2514" s="22">
        <f t="shared" si="428"/>
        <v>126</v>
      </c>
      <c r="AJ2514" s="20">
        <f t="shared" si="429"/>
        <v>0</v>
      </c>
      <c r="AK2514" s="23">
        <v>31</v>
      </c>
      <c r="AM2514" s="20">
        <f t="shared" si="430"/>
        <v>0</v>
      </c>
      <c r="AN2514" s="20">
        <f t="shared" si="432"/>
        <v>39500</v>
      </c>
      <c r="AP2514" s="20">
        <f t="shared" si="431"/>
        <v>39500</v>
      </c>
      <c r="AR2514" s="20"/>
    </row>
    <row r="2515" spans="1:44" ht="30" customHeight="1" x14ac:dyDescent="0.2">
      <c r="A2515" s="2">
        <v>2124</v>
      </c>
      <c r="B2515" s="46">
        <v>2</v>
      </c>
      <c r="C2515" s="16" t="s">
        <v>52</v>
      </c>
      <c r="D2515" s="48">
        <v>29169</v>
      </c>
      <c r="E2515" s="47">
        <v>265</v>
      </c>
      <c r="F2515" s="48">
        <v>5364</v>
      </c>
      <c r="G2515" s="49">
        <v>1</v>
      </c>
      <c r="H2515" s="48">
        <v>0</v>
      </c>
      <c r="I2515" s="48">
        <v>0</v>
      </c>
      <c r="J2515" s="48">
        <v>66</v>
      </c>
      <c r="K2515" s="10">
        <v>66</v>
      </c>
      <c r="P2515" s="17">
        <v>1</v>
      </c>
      <c r="Q2515" s="20">
        <f t="shared" si="426"/>
        <v>66</v>
      </c>
      <c r="R2515" s="14">
        <v>200</v>
      </c>
      <c r="S2515" s="19">
        <f t="shared" si="427"/>
        <v>13200</v>
      </c>
      <c r="AC2515" s="21"/>
      <c r="AD2515" s="21"/>
      <c r="AG2515" s="22">
        <f t="shared" si="428"/>
        <v>0</v>
      </c>
      <c r="AJ2515" s="20">
        <f t="shared" si="429"/>
        <v>0</v>
      </c>
      <c r="AM2515" s="20">
        <f t="shared" si="430"/>
        <v>0</v>
      </c>
      <c r="AN2515" s="20">
        <f t="shared" si="432"/>
        <v>13200</v>
      </c>
      <c r="AP2515" s="20">
        <f t="shared" si="431"/>
        <v>13200</v>
      </c>
      <c r="AR2515" s="20"/>
    </row>
    <row r="2516" spans="1:44" ht="30" customHeight="1" x14ac:dyDescent="0.2">
      <c r="A2516" s="2">
        <v>2125</v>
      </c>
      <c r="B2516" s="46">
        <v>3</v>
      </c>
      <c r="C2516" s="16" t="s">
        <v>52</v>
      </c>
      <c r="D2516" s="48">
        <v>29170</v>
      </c>
      <c r="E2516" s="47">
        <v>266</v>
      </c>
      <c r="F2516" s="48">
        <v>5365</v>
      </c>
      <c r="G2516" s="49">
        <v>1</v>
      </c>
      <c r="H2516" s="48">
        <v>0</v>
      </c>
      <c r="I2516" s="48">
        <v>0</v>
      </c>
      <c r="J2516" s="48">
        <v>66</v>
      </c>
      <c r="K2516" s="10">
        <v>66</v>
      </c>
      <c r="P2516" s="17">
        <v>1</v>
      </c>
      <c r="Q2516" s="20">
        <f t="shared" si="426"/>
        <v>66</v>
      </c>
      <c r="R2516" s="14">
        <v>200</v>
      </c>
      <c r="S2516" s="20">
        <f t="shared" si="427"/>
        <v>13200</v>
      </c>
      <c r="AC2516" s="21"/>
      <c r="AD2516" s="21"/>
      <c r="AG2516" s="22">
        <f t="shared" si="428"/>
        <v>0</v>
      </c>
      <c r="AJ2516" s="20">
        <f t="shared" si="429"/>
        <v>0</v>
      </c>
      <c r="AM2516" s="20">
        <f t="shared" si="430"/>
        <v>0</v>
      </c>
      <c r="AN2516" s="20">
        <f t="shared" si="432"/>
        <v>13200</v>
      </c>
      <c r="AP2516" s="20">
        <f t="shared" si="431"/>
        <v>13200</v>
      </c>
      <c r="AR2516" s="20"/>
    </row>
    <row r="2517" spans="1:44" ht="30" customHeight="1" x14ac:dyDescent="0.2">
      <c r="A2517" s="2">
        <v>2126</v>
      </c>
      <c r="B2517" s="46">
        <v>1</v>
      </c>
      <c r="C2517" s="16" t="s">
        <v>52</v>
      </c>
      <c r="D2517" s="48">
        <v>14455</v>
      </c>
      <c r="E2517" s="47">
        <v>51</v>
      </c>
      <c r="F2517" s="48">
        <v>3377</v>
      </c>
      <c r="G2517" s="49">
        <v>1</v>
      </c>
      <c r="H2517" s="48">
        <v>0</v>
      </c>
      <c r="I2517" s="48">
        <v>3</v>
      </c>
      <c r="J2517" s="48">
        <v>12</v>
      </c>
      <c r="L2517" s="17">
        <v>312</v>
      </c>
      <c r="P2517" s="17">
        <v>2</v>
      </c>
      <c r="Q2517" s="20">
        <f t="shared" si="426"/>
        <v>312</v>
      </c>
      <c r="R2517" s="14">
        <v>200</v>
      </c>
      <c r="S2517" s="19">
        <f t="shared" si="427"/>
        <v>62400</v>
      </c>
      <c r="U2517" s="17" t="s">
        <v>57</v>
      </c>
      <c r="V2517" s="17" t="s">
        <v>56</v>
      </c>
      <c r="Y2517" s="4">
        <v>150</v>
      </c>
      <c r="AB2517" s="17">
        <f>62-48</f>
        <v>14</v>
      </c>
      <c r="AC2517" s="21"/>
      <c r="AD2517" s="21"/>
      <c r="AG2517" s="22">
        <f t="shared" si="428"/>
        <v>150</v>
      </c>
      <c r="AJ2517" s="20">
        <f t="shared" si="429"/>
        <v>0</v>
      </c>
      <c r="AK2517" s="23">
        <v>14</v>
      </c>
      <c r="AM2517" s="20">
        <f t="shared" si="430"/>
        <v>0</v>
      </c>
      <c r="AN2517" s="20">
        <f t="shared" si="432"/>
        <v>62400</v>
      </c>
      <c r="AP2517" s="20">
        <f t="shared" si="431"/>
        <v>62400</v>
      </c>
      <c r="AR2517" s="20"/>
    </row>
    <row r="2518" spans="1:44" ht="30" customHeight="1" x14ac:dyDescent="0.2">
      <c r="A2518" s="2">
        <v>2127</v>
      </c>
      <c r="B2518" s="46">
        <v>1</v>
      </c>
      <c r="C2518" s="16" t="s">
        <v>52</v>
      </c>
      <c r="D2518" s="48">
        <v>14453</v>
      </c>
      <c r="E2518" s="47">
        <v>49</v>
      </c>
      <c r="F2518" s="48">
        <v>3375</v>
      </c>
      <c r="G2518" s="49">
        <v>1</v>
      </c>
      <c r="H2518" s="48">
        <v>0</v>
      </c>
      <c r="I2518" s="48">
        <v>3</v>
      </c>
      <c r="J2518" s="48">
        <v>28</v>
      </c>
      <c r="L2518" s="17">
        <v>328</v>
      </c>
      <c r="P2518" s="17">
        <v>2</v>
      </c>
      <c r="Q2518" s="20">
        <f t="shared" si="426"/>
        <v>328</v>
      </c>
      <c r="R2518" s="14">
        <v>250</v>
      </c>
      <c r="S2518" s="19">
        <f t="shared" si="427"/>
        <v>82000</v>
      </c>
      <c r="U2518" s="17" t="s">
        <v>57</v>
      </c>
      <c r="V2518" s="17" t="s">
        <v>56</v>
      </c>
      <c r="Y2518" s="4">
        <v>105</v>
      </c>
      <c r="AB2518" s="17">
        <f>62-31</f>
        <v>31</v>
      </c>
      <c r="AC2518" s="21"/>
      <c r="AD2518" s="21"/>
      <c r="AG2518" s="22">
        <f t="shared" si="428"/>
        <v>105</v>
      </c>
      <c r="AJ2518" s="20">
        <f t="shared" si="429"/>
        <v>0</v>
      </c>
      <c r="AK2518" s="23">
        <v>31</v>
      </c>
      <c r="AM2518" s="20">
        <f t="shared" si="430"/>
        <v>0</v>
      </c>
      <c r="AN2518" s="20">
        <f t="shared" si="432"/>
        <v>82000</v>
      </c>
      <c r="AP2518" s="20">
        <f t="shared" si="431"/>
        <v>82000</v>
      </c>
      <c r="AR2518" s="20"/>
    </row>
    <row r="2519" spans="1:44" ht="30" customHeight="1" x14ac:dyDescent="0.2">
      <c r="A2519" s="2">
        <v>2128</v>
      </c>
      <c r="B2519" s="13">
        <v>1</v>
      </c>
      <c r="C2519" s="16" t="s">
        <v>65</v>
      </c>
      <c r="D2519" s="17">
        <v>3593</v>
      </c>
      <c r="E2519" s="17">
        <v>270</v>
      </c>
      <c r="H2519" s="17">
        <v>2</v>
      </c>
      <c r="I2519" s="17">
        <v>2</v>
      </c>
      <c r="J2519" s="17">
        <v>24</v>
      </c>
      <c r="K2519" s="10">
        <v>1024</v>
      </c>
      <c r="Q2519" s="20">
        <f t="shared" si="426"/>
        <v>1024</v>
      </c>
      <c r="R2519" s="14">
        <v>200</v>
      </c>
      <c r="S2519" s="20">
        <f t="shared" si="427"/>
        <v>204800</v>
      </c>
      <c r="AC2519" s="21"/>
      <c r="AD2519" s="21"/>
      <c r="AE2519" s="17" t="s">
        <v>95</v>
      </c>
      <c r="AG2519" s="22">
        <f t="shared" si="428"/>
        <v>0</v>
      </c>
      <c r="AJ2519" s="20">
        <f t="shared" si="429"/>
        <v>0</v>
      </c>
      <c r="AM2519" s="20">
        <f t="shared" si="430"/>
        <v>0</v>
      </c>
      <c r="AN2519" s="20">
        <f t="shared" si="432"/>
        <v>204800</v>
      </c>
      <c r="AP2519" s="20">
        <f t="shared" si="431"/>
        <v>204800</v>
      </c>
      <c r="AQ2519" s="12">
        <v>1E-4</v>
      </c>
      <c r="AR2519" s="20"/>
    </row>
    <row r="2520" spans="1:44" ht="30" customHeight="1" x14ac:dyDescent="0.2">
      <c r="Q2520" s="20">
        <f t="shared" si="426"/>
        <v>0</v>
      </c>
      <c r="R2520" s="14" t="e">
        <v>#N/A</v>
      </c>
    </row>
    <row r="2521" spans="1:44" ht="30" customHeight="1" x14ac:dyDescent="0.2">
      <c r="A2521" s="2">
        <v>2129</v>
      </c>
      <c r="B2521" s="46">
        <v>1</v>
      </c>
      <c r="C2521" s="16" t="s">
        <v>52</v>
      </c>
      <c r="D2521" s="48">
        <v>37451</v>
      </c>
      <c r="E2521" s="47">
        <v>41</v>
      </c>
      <c r="F2521" s="48">
        <v>7546</v>
      </c>
      <c r="G2521" s="49">
        <v>1</v>
      </c>
      <c r="H2521" s="48">
        <v>3</v>
      </c>
      <c r="I2521" s="48">
        <v>3</v>
      </c>
      <c r="J2521" s="48">
        <v>85.03</v>
      </c>
      <c r="K2521" s="10">
        <v>1585.03</v>
      </c>
      <c r="P2521" s="17">
        <v>1</v>
      </c>
      <c r="Q2521" s="20">
        <f t="shared" si="426"/>
        <v>1585.03</v>
      </c>
      <c r="R2521" s="14">
        <v>160</v>
      </c>
      <c r="S2521" s="19">
        <f t="shared" ref="S2521:S2536" si="433">+Q2521*R2521</f>
        <v>253604.8</v>
      </c>
      <c r="AC2521" s="21"/>
      <c r="AD2521" s="21"/>
      <c r="AG2521" s="22">
        <f t="shared" ref="AG2521:AG2536" si="434">Y2521</f>
        <v>0</v>
      </c>
      <c r="AJ2521" s="20">
        <f t="shared" ref="AJ2521:AJ2536" si="435">+AG2521*AH2521*AI2521</f>
        <v>0</v>
      </c>
      <c r="AM2521" s="20">
        <f t="shared" ref="AM2521:AM2536" si="436">+AJ2521-(AL2521*AJ2521)</f>
        <v>0</v>
      </c>
      <c r="AN2521" s="20">
        <f t="shared" ref="AN2521:AN2536" si="437">+S2521+AM2521</f>
        <v>253604.8</v>
      </c>
      <c r="AP2521" s="20">
        <f t="shared" ref="AP2521:AP2536" si="438">AN2521</f>
        <v>253604.8</v>
      </c>
      <c r="AR2521" s="20"/>
    </row>
    <row r="2522" spans="1:44" ht="30" customHeight="1" x14ac:dyDescent="0.2">
      <c r="A2522" s="2">
        <v>2130</v>
      </c>
      <c r="B2522" s="13">
        <v>2</v>
      </c>
      <c r="C2522" s="16" t="s">
        <v>69</v>
      </c>
      <c r="E2522" s="17">
        <v>162</v>
      </c>
      <c r="F2522" s="17">
        <v>14</v>
      </c>
      <c r="G2522" s="13">
        <v>1</v>
      </c>
      <c r="H2522" s="17">
        <v>5</v>
      </c>
      <c r="I2522" s="17">
        <v>1</v>
      </c>
      <c r="J2522" s="17">
        <v>46</v>
      </c>
      <c r="K2522" s="10">
        <v>2146</v>
      </c>
      <c r="P2522" s="17">
        <v>1</v>
      </c>
      <c r="Q2522" s="20">
        <f t="shared" si="426"/>
        <v>2146</v>
      </c>
      <c r="R2522" s="14">
        <v>160</v>
      </c>
      <c r="S2522" s="20">
        <f t="shared" si="433"/>
        <v>343360</v>
      </c>
      <c r="AG2522" s="22">
        <f t="shared" si="434"/>
        <v>0</v>
      </c>
      <c r="AJ2522" s="20">
        <f t="shared" si="435"/>
        <v>0</v>
      </c>
      <c r="AM2522" s="20">
        <f t="shared" si="436"/>
        <v>0</v>
      </c>
      <c r="AN2522" s="20">
        <f t="shared" si="437"/>
        <v>343360</v>
      </c>
      <c r="AP2522" s="20">
        <f t="shared" si="438"/>
        <v>343360</v>
      </c>
      <c r="AR2522" s="20"/>
    </row>
    <row r="2523" spans="1:44" ht="30" customHeight="1" x14ac:dyDescent="0.2">
      <c r="A2523" s="2">
        <v>2131</v>
      </c>
      <c r="B2523" s="46">
        <v>1</v>
      </c>
      <c r="C2523" s="16" t="s">
        <v>52</v>
      </c>
      <c r="D2523" s="48">
        <v>36324</v>
      </c>
      <c r="E2523" s="47">
        <v>151</v>
      </c>
      <c r="F2523" s="48">
        <v>3666</v>
      </c>
      <c r="G2523" s="49">
        <v>1</v>
      </c>
      <c r="H2523" s="48">
        <v>4</v>
      </c>
      <c r="I2523" s="48">
        <v>0</v>
      </c>
      <c r="J2523" s="48">
        <v>17</v>
      </c>
      <c r="K2523" s="10">
        <v>1617</v>
      </c>
      <c r="P2523" s="17">
        <v>1</v>
      </c>
      <c r="Q2523" s="20">
        <f t="shared" si="426"/>
        <v>1617</v>
      </c>
      <c r="R2523" s="14">
        <v>160</v>
      </c>
      <c r="S2523" s="19">
        <f t="shared" si="433"/>
        <v>258720</v>
      </c>
      <c r="AG2523" s="22">
        <f t="shared" si="434"/>
        <v>0</v>
      </c>
      <c r="AJ2523" s="20">
        <f t="shared" si="435"/>
        <v>0</v>
      </c>
      <c r="AM2523" s="20">
        <f t="shared" si="436"/>
        <v>0</v>
      </c>
      <c r="AN2523" s="20">
        <f t="shared" si="437"/>
        <v>258720</v>
      </c>
      <c r="AP2523" s="20">
        <f t="shared" si="438"/>
        <v>258720</v>
      </c>
      <c r="AR2523" s="20"/>
    </row>
    <row r="2524" spans="1:44" ht="30" customHeight="1" x14ac:dyDescent="0.2">
      <c r="A2524" s="2">
        <v>2132</v>
      </c>
      <c r="B2524" s="46">
        <v>1</v>
      </c>
      <c r="C2524" s="16" t="s">
        <v>52</v>
      </c>
      <c r="D2524" s="48">
        <v>32436</v>
      </c>
      <c r="E2524" s="47">
        <v>322</v>
      </c>
      <c r="F2524" s="48">
        <v>6411</v>
      </c>
      <c r="G2524" s="49">
        <v>1</v>
      </c>
      <c r="H2524" s="48">
        <v>1</v>
      </c>
      <c r="I2524" s="48">
        <v>0</v>
      </c>
      <c r="J2524" s="48">
        <v>6</v>
      </c>
      <c r="K2524" s="10">
        <v>406</v>
      </c>
      <c r="P2524" s="17">
        <v>1</v>
      </c>
      <c r="Q2524" s="20">
        <f t="shared" si="426"/>
        <v>406</v>
      </c>
      <c r="R2524" s="14">
        <v>200</v>
      </c>
      <c r="S2524" s="19">
        <f t="shared" si="433"/>
        <v>81200</v>
      </c>
      <c r="AC2524" s="21"/>
      <c r="AD2524" s="21"/>
      <c r="AG2524" s="22">
        <f t="shared" si="434"/>
        <v>0</v>
      </c>
      <c r="AJ2524" s="20">
        <f t="shared" si="435"/>
        <v>0</v>
      </c>
      <c r="AM2524" s="20">
        <f t="shared" si="436"/>
        <v>0</v>
      </c>
      <c r="AN2524" s="20">
        <f t="shared" si="437"/>
        <v>81200</v>
      </c>
      <c r="AP2524" s="20">
        <f t="shared" si="438"/>
        <v>81200</v>
      </c>
      <c r="AR2524" s="20"/>
    </row>
    <row r="2525" spans="1:44" ht="30" customHeight="1" x14ac:dyDescent="0.2">
      <c r="A2525" s="2">
        <v>2133</v>
      </c>
      <c r="B2525" s="46">
        <v>2</v>
      </c>
      <c r="C2525" s="16" t="s">
        <v>52</v>
      </c>
      <c r="D2525" s="48">
        <v>32437</v>
      </c>
      <c r="E2525" s="47">
        <v>323</v>
      </c>
      <c r="F2525" s="48">
        <v>6412</v>
      </c>
      <c r="G2525" s="49">
        <v>1</v>
      </c>
      <c r="H2525" s="48">
        <v>1</v>
      </c>
      <c r="I2525" s="48">
        <v>0</v>
      </c>
      <c r="J2525" s="48">
        <v>29</v>
      </c>
      <c r="K2525" s="10">
        <v>429</v>
      </c>
      <c r="P2525" s="17">
        <v>1</v>
      </c>
      <c r="Q2525" s="20">
        <f t="shared" si="426"/>
        <v>429</v>
      </c>
      <c r="R2525" s="14">
        <v>200</v>
      </c>
      <c r="S2525" s="20">
        <f t="shared" si="433"/>
        <v>85800</v>
      </c>
      <c r="AG2525" s="22">
        <f t="shared" si="434"/>
        <v>0</v>
      </c>
      <c r="AJ2525" s="20">
        <f t="shared" si="435"/>
        <v>0</v>
      </c>
      <c r="AM2525" s="20">
        <f t="shared" si="436"/>
        <v>0</v>
      </c>
      <c r="AN2525" s="20">
        <f t="shared" si="437"/>
        <v>85800</v>
      </c>
      <c r="AP2525" s="20">
        <f t="shared" si="438"/>
        <v>85800</v>
      </c>
      <c r="AR2525" s="20"/>
    </row>
    <row r="2526" spans="1:44" ht="30" customHeight="1" x14ac:dyDescent="0.2">
      <c r="A2526" s="2">
        <v>2134</v>
      </c>
      <c r="B2526" s="46">
        <v>3</v>
      </c>
      <c r="C2526" s="16" t="s">
        <v>52</v>
      </c>
      <c r="D2526" s="48">
        <v>31130</v>
      </c>
      <c r="E2526" s="47">
        <v>131</v>
      </c>
      <c r="F2526" s="48">
        <v>6075</v>
      </c>
      <c r="G2526" s="49">
        <v>2</v>
      </c>
      <c r="H2526" s="48">
        <v>0</v>
      </c>
      <c r="I2526" s="48">
        <v>0</v>
      </c>
      <c r="J2526" s="48">
        <v>36.07</v>
      </c>
      <c r="K2526" s="10">
        <v>36.07</v>
      </c>
      <c r="P2526" s="17">
        <v>1</v>
      </c>
      <c r="Q2526" s="20">
        <f t="shared" si="426"/>
        <v>36.07</v>
      </c>
      <c r="R2526" s="14">
        <v>250</v>
      </c>
      <c r="S2526" s="19">
        <f t="shared" si="433"/>
        <v>9017.5</v>
      </c>
      <c r="AG2526" s="22">
        <f t="shared" si="434"/>
        <v>0</v>
      </c>
      <c r="AJ2526" s="20">
        <f t="shared" si="435"/>
        <v>0</v>
      </c>
      <c r="AM2526" s="20">
        <f t="shared" si="436"/>
        <v>0</v>
      </c>
      <c r="AN2526" s="20">
        <f t="shared" si="437"/>
        <v>9017.5</v>
      </c>
      <c r="AP2526" s="20">
        <f t="shared" si="438"/>
        <v>9017.5</v>
      </c>
      <c r="AR2526" s="20"/>
    </row>
    <row r="2527" spans="1:44" ht="30" customHeight="1" x14ac:dyDescent="0.2">
      <c r="A2527" s="2">
        <v>2135</v>
      </c>
      <c r="B2527" s="46">
        <v>4</v>
      </c>
      <c r="C2527" s="16" t="s">
        <v>52</v>
      </c>
      <c r="D2527" s="48">
        <v>31133</v>
      </c>
      <c r="E2527" s="47">
        <v>134</v>
      </c>
      <c r="F2527" s="48">
        <v>6078</v>
      </c>
      <c r="G2527" s="49">
        <v>2</v>
      </c>
      <c r="H2527" s="48">
        <v>0</v>
      </c>
      <c r="I2527" s="48">
        <v>0</v>
      </c>
      <c r="J2527" s="48">
        <v>36.049999999999997</v>
      </c>
      <c r="K2527" s="10">
        <v>36.049999999999997</v>
      </c>
      <c r="P2527" s="17">
        <v>1</v>
      </c>
      <c r="Q2527" s="20">
        <f t="shared" si="426"/>
        <v>36.049999999999997</v>
      </c>
      <c r="R2527" s="14">
        <v>250</v>
      </c>
      <c r="S2527" s="19">
        <f t="shared" si="433"/>
        <v>9012.5</v>
      </c>
      <c r="AG2527" s="22">
        <f t="shared" si="434"/>
        <v>0</v>
      </c>
      <c r="AJ2527" s="20">
        <f t="shared" si="435"/>
        <v>0</v>
      </c>
      <c r="AM2527" s="20">
        <f t="shared" si="436"/>
        <v>0</v>
      </c>
      <c r="AN2527" s="20">
        <f t="shared" si="437"/>
        <v>9012.5</v>
      </c>
      <c r="AP2527" s="20">
        <f t="shared" si="438"/>
        <v>9012.5</v>
      </c>
      <c r="AR2527" s="20"/>
    </row>
    <row r="2528" spans="1:44" ht="30" customHeight="1" x14ac:dyDescent="0.2">
      <c r="A2528" s="2">
        <v>2136</v>
      </c>
      <c r="B2528" s="13">
        <v>1</v>
      </c>
      <c r="C2528" s="16" t="s">
        <v>65</v>
      </c>
      <c r="D2528" s="17">
        <v>1613</v>
      </c>
      <c r="E2528" s="17">
        <v>92</v>
      </c>
      <c r="H2528" s="17">
        <v>1</v>
      </c>
      <c r="I2528" s="17">
        <v>2</v>
      </c>
      <c r="J2528" s="17">
        <v>23</v>
      </c>
      <c r="K2528" s="10">
        <v>623</v>
      </c>
      <c r="P2528" s="17">
        <v>1</v>
      </c>
      <c r="Q2528" s="20">
        <f t="shared" si="426"/>
        <v>623</v>
      </c>
      <c r="R2528" s="14">
        <v>200</v>
      </c>
      <c r="S2528" s="20">
        <f t="shared" si="433"/>
        <v>124600</v>
      </c>
      <c r="AC2528" s="21"/>
      <c r="AD2528" s="21"/>
      <c r="AG2528" s="22">
        <f t="shared" si="434"/>
        <v>0</v>
      </c>
      <c r="AJ2528" s="20">
        <f t="shared" si="435"/>
        <v>0</v>
      </c>
      <c r="AM2528" s="20">
        <f t="shared" si="436"/>
        <v>0</v>
      </c>
      <c r="AN2528" s="20">
        <f t="shared" si="437"/>
        <v>124600</v>
      </c>
      <c r="AP2528" s="20">
        <f t="shared" si="438"/>
        <v>124600</v>
      </c>
      <c r="AQ2528" s="12">
        <v>1E-4</v>
      </c>
      <c r="AR2528" s="20"/>
    </row>
    <row r="2529" spans="1:48" ht="30" customHeight="1" x14ac:dyDescent="0.2">
      <c r="A2529" s="2">
        <v>2137</v>
      </c>
      <c r="B2529" s="46">
        <v>1</v>
      </c>
      <c r="C2529" s="16" t="s">
        <v>52</v>
      </c>
      <c r="D2529" s="48">
        <v>920</v>
      </c>
      <c r="E2529" s="47">
        <v>9</v>
      </c>
      <c r="F2529" s="48">
        <v>221</v>
      </c>
      <c r="G2529" s="49">
        <v>1</v>
      </c>
      <c r="H2529" s="48">
        <v>6</v>
      </c>
      <c r="I2529" s="48">
        <v>0</v>
      </c>
      <c r="J2529" s="48">
        <v>37</v>
      </c>
      <c r="K2529" s="10">
        <v>2437</v>
      </c>
      <c r="P2529" s="17">
        <v>1</v>
      </c>
      <c r="Q2529" s="20">
        <f t="shared" si="426"/>
        <v>2437</v>
      </c>
      <c r="R2529" s="14">
        <v>160</v>
      </c>
      <c r="S2529" s="19">
        <f t="shared" si="433"/>
        <v>389920</v>
      </c>
      <c r="AG2529" s="22">
        <f t="shared" si="434"/>
        <v>0</v>
      </c>
      <c r="AJ2529" s="20">
        <f t="shared" si="435"/>
        <v>0</v>
      </c>
      <c r="AM2529" s="20">
        <f t="shared" si="436"/>
        <v>0</v>
      </c>
      <c r="AN2529" s="20">
        <f t="shared" si="437"/>
        <v>389920</v>
      </c>
      <c r="AP2529" s="20">
        <f t="shared" si="438"/>
        <v>389920</v>
      </c>
      <c r="AR2529" s="60"/>
      <c r="AS2529" s="123">
        <v>21</v>
      </c>
    </row>
    <row r="2530" spans="1:48" ht="30" customHeight="1" x14ac:dyDescent="0.2">
      <c r="A2530" s="2">
        <v>2138</v>
      </c>
      <c r="B2530" s="46">
        <v>2</v>
      </c>
      <c r="C2530" s="16" t="s">
        <v>52</v>
      </c>
      <c r="D2530" s="48">
        <v>15182</v>
      </c>
      <c r="E2530" s="47">
        <v>63</v>
      </c>
      <c r="F2530" s="48">
        <v>3402</v>
      </c>
      <c r="G2530" s="49">
        <v>1</v>
      </c>
      <c r="H2530" s="48">
        <v>0</v>
      </c>
      <c r="I2530" s="48">
        <v>0</v>
      </c>
      <c r="J2530" s="48">
        <v>74</v>
      </c>
      <c r="L2530" s="17">
        <v>74</v>
      </c>
      <c r="P2530" s="17">
        <v>2</v>
      </c>
      <c r="Q2530" s="20">
        <f t="shared" si="426"/>
        <v>74</v>
      </c>
      <c r="R2530" s="14">
        <v>250</v>
      </c>
      <c r="S2530" s="19">
        <f t="shared" si="433"/>
        <v>18500</v>
      </c>
      <c r="U2530" s="17" t="s">
        <v>57</v>
      </c>
      <c r="V2530" s="17" t="s">
        <v>56</v>
      </c>
      <c r="Y2530" s="4">
        <v>77</v>
      </c>
      <c r="AB2530" s="17">
        <f>62-36</f>
        <v>26</v>
      </c>
      <c r="AG2530" s="22">
        <f t="shared" si="434"/>
        <v>77</v>
      </c>
      <c r="AJ2530" s="20">
        <f t="shared" si="435"/>
        <v>0</v>
      </c>
      <c r="AK2530" s="23">
        <v>26</v>
      </c>
      <c r="AM2530" s="20">
        <f t="shared" si="436"/>
        <v>0</v>
      </c>
      <c r="AN2530" s="20">
        <f t="shared" si="437"/>
        <v>18500</v>
      </c>
      <c r="AP2530" s="20">
        <f t="shared" si="438"/>
        <v>18500</v>
      </c>
      <c r="AR2530" s="25"/>
      <c r="AS2530" s="125"/>
    </row>
    <row r="2531" spans="1:48" ht="30" customHeight="1" x14ac:dyDescent="0.2">
      <c r="A2531" s="2">
        <v>2139</v>
      </c>
      <c r="B2531" s="46">
        <v>1</v>
      </c>
      <c r="C2531" s="16" t="s">
        <v>52</v>
      </c>
      <c r="D2531" s="48">
        <v>899</v>
      </c>
      <c r="E2531" s="47">
        <v>53</v>
      </c>
      <c r="F2531" s="48">
        <v>194</v>
      </c>
      <c r="G2531" s="49">
        <v>1</v>
      </c>
      <c r="H2531" s="48">
        <v>0</v>
      </c>
      <c r="I2531" s="48">
        <v>3</v>
      </c>
      <c r="J2531" s="48">
        <v>36</v>
      </c>
      <c r="K2531" s="10">
        <v>336</v>
      </c>
      <c r="P2531" s="17">
        <v>1</v>
      </c>
      <c r="Q2531" s="20">
        <f t="shared" si="426"/>
        <v>336</v>
      </c>
      <c r="R2531" s="14">
        <v>250</v>
      </c>
      <c r="S2531" s="20">
        <f t="shared" si="433"/>
        <v>84000</v>
      </c>
      <c r="U2531" s="17" t="s">
        <v>57</v>
      </c>
      <c r="V2531" s="17" t="s">
        <v>56</v>
      </c>
      <c r="Z2531" s="17">
        <v>121</v>
      </c>
      <c r="AB2531" s="17">
        <f>62-31</f>
        <v>31</v>
      </c>
      <c r="AC2531" s="21"/>
      <c r="AD2531" s="21"/>
      <c r="AG2531" s="22">
        <f t="shared" si="434"/>
        <v>0</v>
      </c>
      <c r="AJ2531" s="20">
        <f t="shared" si="435"/>
        <v>0</v>
      </c>
      <c r="AM2531" s="20">
        <f t="shared" si="436"/>
        <v>0</v>
      </c>
      <c r="AN2531" s="20">
        <f t="shared" si="437"/>
        <v>84000</v>
      </c>
      <c r="AP2531" s="20">
        <f t="shared" si="438"/>
        <v>84000</v>
      </c>
      <c r="AR2531" s="20"/>
    </row>
    <row r="2532" spans="1:48" ht="30" customHeight="1" x14ac:dyDescent="0.2">
      <c r="A2532" s="2">
        <v>2140</v>
      </c>
      <c r="B2532" s="46">
        <v>2</v>
      </c>
      <c r="C2532" s="16" t="s">
        <v>52</v>
      </c>
      <c r="D2532" s="48">
        <v>1313</v>
      </c>
      <c r="E2532" s="47">
        <v>54</v>
      </c>
      <c r="F2532" s="48">
        <v>568</v>
      </c>
      <c r="G2532" s="49">
        <v>1</v>
      </c>
      <c r="H2532" s="48">
        <v>0</v>
      </c>
      <c r="I2532" s="48">
        <v>2</v>
      </c>
      <c r="J2532" s="48">
        <v>37</v>
      </c>
      <c r="K2532" s="10">
        <v>237</v>
      </c>
      <c r="P2532" s="17">
        <v>1</v>
      </c>
      <c r="Q2532" s="20">
        <f t="shared" si="426"/>
        <v>237</v>
      </c>
      <c r="R2532" s="14">
        <v>250</v>
      </c>
      <c r="S2532" s="19">
        <f t="shared" si="433"/>
        <v>59250</v>
      </c>
      <c r="AC2532" s="21"/>
      <c r="AD2532" s="21"/>
      <c r="AG2532" s="22">
        <f t="shared" si="434"/>
        <v>0</v>
      </c>
      <c r="AJ2532" s="20">
        <f t="shared" si="435"/>
        <v>0</v>
      </c>
      <c r="AM2532" s="20">
        <f t="shared" si="436"/>
        <v>0</v>
      </c>
      <c r="AN2532" s="20">
        <f t="shared" si="437"/>
        <v>59250</v>
      </c>
      <c r="AP2532" s="20">
        <f t="shared" si="438"/>
        <v>59250</v>
      </c>
      <c r="AR2532" s="20"/>
    </row>
    <row r="2533" spans="1:48" ht="30" customHeight="1" x14ac:dyDescent="0.2">
      <c r="A2533" s="2">
        <v>2141</v>
      </c>
      <c r="B2533" s="46">
        <v>3</v>
      </c>
      <c r="C2533" s="16" t="s">
        <v>52</v>
      </c>
      <c r="D2533" s="48">
        <v>15177</v>
      </c>
      <c r="E2533" s="47">
        <v>58</v>
      </c>
      <c r="F2533" s="48">
        <v>3397</v>
      </c>
      <c r="G2533" s="49">
        <v>1</v>
      </c>
      <c r="H2533" s="48">
        <v>0</v>
      </c>
      <c r="I2533" s="48">
        <v>0</v>
      </c>
      <c r="J2533" s="48">
        <v>79</v>
      </c>
      <c r="N2533" s="18">
        <v>79</v>
      </c>
      <c r="P2533" s="17">
        <v>4</v>
      </c>
      <c r="Q2533" s="20">
        <f t="shared" si="426"/>
        <v>79</v>
      </c>
      <c r="R2533" s="14">
        <v>250</v>
      </c>
      <c r="S2533" s="19">
        <f t="shared" si="433"/>
        <v>19750</v>
      </c>
      <c r="AC2533" s="21"/>
      <c r="AD2533" s="21"/>
      <c r="AG2533" s="22">
        <f t="shared" si="434"/>
        <v>0</v>
      </c>
      <c r="AJ2533" s="20">
        <f t="shared" si="435"/>
        <v>0</v>
      </c>
      <c r="AM2533" s="20">
        <f t="shared" si="436"/>
        <v>0</v>
      </c>
      <c r="AN2533" s="20">
        <f t="shared" si="437"/>
        <v>19750</v>
      </c>
      <c r="AP2533" s="20">
        <f t="shared" si="438"/>
        <v>19750</v>
      </c>
      <c r="AQ2533" s="12">
        <v>3.0000000000000001E-3</v>
      </c>
      <c r="AR2533" s="20"/>
    </row>
    <row r="2534" spans="1:48" ht="30" customHeight="1" x14ac:dyDescent="0.2">
      <c r="A2534" s="2">
        <v>2142</v>
      </c>
      <c r="B2534" s="46">
        <v>4</v>
      </c>
      <c r="C2534" s="16" t="s">
        <v>52</v>
      </c>
      <c r="D2534" s="48">
        <v>1227</v>
      </c>
      <c r="E2534" s="47">
        <v>15</v>
      </c>
      <c r="F2534" s="48">
        <v>744</v>
      </c>
      <c r="G2534" s="49">
        <v>6</v>
      </c>
      <c r="H2534" s="48">
        <v>4</v>
      </c>
      <c r="I2534" s="48">
        <v>3</v>
      </c>
      <c r="J2534" s="48">
        <v>24</v>
      </c>
      <c r="K2534" s="10">
        <f>1924-M2534</f>
        <v>1924</v>
      </c>
      <c r="L2534" s="17">
        <v>30.25</v>
      </c>
      <c r="P2534" s="17">
        <v>1</v>
      </c>
      <c r="Q2534" s="20">
        <f t="shared" si="426"/>
        <v>1924</v>
      </c>
      <c r="R2534" s="14">
        <v>375</v>
      </c>
      <c r="S2534" s="20">
        <f t="shared" si="433"/>
        <v>721500</v>
      </c>
      <c r="AC2534" s="21"/>
      <c r="AD2534" s="21"/>
      <c r="AG2534" s="22">
        <f t="shared" si="434"/>
        <v>0</v>
      </c>
      <c r="AJ2534" s="20">
        <f t="shared" si="435"/>
        <v>0</v>
      </c>
      <c r="AK2534" s="23">
        <v>31</v>
      </c>
      <c r="AM2534" s="20">
        <f t="shared" si="436"/>
        <v>0</v>
      </c>
      <c r="AN2534" s="20">
        <f t="shared" si="437"/>
        <v>721500</v>
      </c>
      <c r="AP2534" s="20">
        <f t="shared" si="438"/>
        <v>721500</v>
      </c>
      <c r="AR2534" s="20"/>
    </row>
    <row r="2535" spans="1:48" ht="30" customHeight="1" x14ac:dyDescent="0.2">
      <c r="A2535" s="2">
        <v>2143</v>
      </c>
      <c r="B2535" s="46">
        <v>1</v>
      </c>
      <c r="C2535" s="16" t="s">
        <v>52</v>
      </c>
      <c r="D2535" s="48">
        <v>15175</v>
      </c>
      <c r="E2535" s="47">
        <v>56</v>
      </c>
      <c r="F2535" s="48">
        <v>3395</v>
      </c>
      <c r="G2535" s="49">
        <v>1</v>
      </c>
      <c r="H2535" s="48">
        <v>0</v>
      </c>
      <c r="I2535" s="48">
        <v>2</v>
      </c>
      <c r="J2535" s="48">
        <v>32</v>
      </c>
      <c r="L2535" s="17">
        <v>232</v>
      </c>
      <c r="P2535" s="17">
        <v>2</v>
      </c>
      <c r="Q2535" s="20">
        <f t="shared" si="426"/>
        <v>232</v>
      </c>
      <c r="R2535" s="14">
        <v>250</v>
      </c>
      <c r="S2535" s="19">
        <f t="shared" si="433"/>
        <v>58000</v>
      </c>
      <c r="AC2535" s="21"/>
      <c r="AD2535" s="21"/>
      <c r="AG2535" s="22">
        <f t="shared" si="434"/>
        <v>0</v>
      </c>
      <c r="AJ2535" s="20">
        <f t="shared" si="435"/>
        <v>0</v>
      </c>
      <c r="AM2535" s="20">
        <f t="shared" si="436"/>
        <v>0</v>
      </c>
      <c r="AN2535" s="20">
        <f t="shared" si="437"/>
        <v>58000</v>
      </c>
      <c r="AP2535" s="20">
        <f t="shared" si="438"/>
        <v>58000</v>
      </c>
      <c r="AR2535" s="20"/>
    </row>
    <row r="2536" spans="1:48" ht="30" customHeight="1" x14ac:dyDescent="0.2">
      <c r="A2536" s="2">
        <v>2144</v>
      </c>
      <c r="B2536" s="46">
        <v>2</v>
      </c>
      <c r="C2536" s="16" t="s">
        <v>52</v>
      </c>
      <c r="D2536" s="48">
        <v>1575</v>
      </c>
      <c r="E2536" s="47">
        <v>2</v>
      </c>
      <c r="F2536" s="48">
        <v>512</v>
      </c>
      <c r="G2536" s="49">
        <v>2</v>
      </c>
      <c r="H2536" s="48">
        <v>5</v>
      </c>
      <c r="I2536" s="48">
        <v>3</v>
      </c>
      <c r="J2536" s="48">
        <v>52</v>
      </c>
      <c r="K2536" s="10">
        <v>2352</v>
      </c>
      <c r="P2536" s="17">
        <v>1</v>
      </c>
      <c r="Q2536" s="20">
        <f t="shared" si="426"/>
        <v>2352</v>
      </c>
      <c r="R2536" s="14">
        <v>160</v>
      </c>
      <c r="S2536" s="19">
        <f t="shared" si="433"/>
        <v>376320</v>
      </c>
      <c r="AC2536" s="21"/>
      <c r="AD2536" s="21"/>
      <c r="AG2536" s="22">
        <f t="shared" si="434"/>
        <v>0</v>
      </c>
      <c r="AJ2536" s="20">
        <f t="shared" si="435"/>
        <v>0</v>
      </c>
      <c r="AM2536" s="20">
        <f t="shared" si="436"/>
        <v>0</v>
      </c>
      <c r="AN2536" s="20">
        <f t="shared" si="437"/>
        <v>376320</v>
      </c>
      <c r="AP2536" s="20">
        <f t="shared" si="438"/>
        <v>376320</v>
      </c>
      <c r="AR2536" s="20"/>
    </row>
    <row r="2537" spans="1:48" ht="30" customHeight="1" x14ac:dyDescent="0.2">
      <c r="B2537" s="46"/>
      <c r="C2537" s="16"/>
      <c r="D2537" s="48"/>
      <c r="E2537" s="47"/>
      <c r="F2537" s="48"/>
      <c r="G2537" s="49"/>
      <c r="H2537" s="48"/>
      <c r="I2537" s="48"/>
      <c r="J2537" s="48"/>
      <c r="Q2537" s="20"/>
      <c r="AC2537" s="21"/>
      <c r="AD2537" s="21"/>
      <c r="AG2537" s="22"/>
      <c r="AJ2537" s="20"/>
      <c r="AM2537" s="20"/>
      <c r="AN2537" s="20"/>
      <c r="AP2537" s="20"/>
      <c r="AR2537" s="20"/>
    </row>
    <row r="2538" spans="1:48" ht="30" customHeight="1" x14ac:dyDescent="0.2">
      <c r="A2538" s="2">
        <v>2145</v>
      </c>
      <c r="B2538" s="13">
        <v>3</v>
      </c>
      <c r="C2538" s="16" t="s">
        <v>69</v>
      </c>
      <c r="E2538" s="17">
        <v>2329</v>
      </c>
      <c r="F2538" s="17">
        <v>27</v>
      </c>
      <c r="G2538" s="13">
        <v>1</v>
      </c>
      <c r="H2538" s="17">
        <v>8</v>
      </c>
      <c r="I2538" s="17">
        <v>1</v>
      </c>
      <c r="J2538" s="17">
        <v>23</v>
      </c>
      <c r="K2538" s="10">
        <v>3323</v>
      </c>
      <c r="Q2538" s="20">
        <f t="shared" si="426"/>
        <v>3323</v>
      </c>
      <c r="R2538" s="14">
        <v>200</v>
      </c>
      <c r="S2538" s="20">
        <f t="shared" ref="S2538:S2564" si="439">+Q2538*R2538</f>
        <v>664600</v>
      </c>
      <c r="AE2538" s="17" t="s">
        <v>220</v>
      </c>
      <c r="AG2538" s="22">
        <f t="shared" ref="AG2538:AG2564" si="440">Y2538</f>
        <v>0</v>
      </c>
      <c r="AJ2538" s="20">
        <f t="shared" ref="AJ2538:AJ2564" si="441">+AG2538*AH2538*AI2538</f>
        <v>0</v>
      </c>
      <c r="AM2538" s="20">
        <f t="shared" ref="AM2538:AM2564" si="442">+AJ2538-(AL2538*AJ2538)</f>
        <v>0</v>
      </c>
      <c r="AN2538" s="20">
        <f t="shared" ref="AN2538:AN2564" si="443">+S2538+AM2538</f>
        <v>664600</v>
      </c>
      <c r="AP2538" s="20">
        <f t="shared" ref="AP2538:AP2564" si="444">AN2538</f>
        <v>664600</v>
      </c>
      <c r="AQ2538" s="12">
        <v>1E-4</v>
      </c>
      <c r="AR2538" s="20"/>
    </row>
    <row r="2539" spans="1:48" ht="30" customHeight="1" x14ac:dyDescent="0.2">
      <c r="A2539" s="2">
        <v>2146</v>
      </c>
      <c r="B2539" s="46">
        <v>1</v>
      </c>
      <c r="C2539" s="16" t="s">
        <v>52</v>
      </c>
      <c r="D2539" s="48">
        <v>15179</v>
      </c>
      <c r="E2539" s="47">
        <v>60</v>
      </c>
      <c r="F2539" s="48">
        <v>3399</v>
      </c>
      <c r="G2539" s="49">
        <v>1</v>
      </c>
      <c r="H2539" s="48">
        <v>0</v>
      </c>
      <c r="I2539" s="48">
        <v>0</v>
      </c>
      <c r="J2539" s="48">
        <v>85</v>
      </c>
      <c r="L2539" s="17">
        <v>85</v>
      </c>
      <c r="P2539" s="17">
        <v>2</v>
      </c>
      <c r="Q2539" s="20">
        <f t="shared" si="426"/>
        <v>85</v>
      </c>
      <c r="R2539" s="14">
        <v>250</v>
      </c>
      <c r="S2539" s="19">
        <f t="shared" si="439"/>
        <v>21250</v>
      </c>
      <c r="U2539" s="17" t="s">
        <v>57</v>
      </c>
      <c r="AB2539" s="17">
        <v>15</v>
      </c>
      <c r="AC2539" s="21"/>
      <c r="AD2539" s="21"/>
      <c r="AG2539" s="22">
        <f t="shared" si="440"/>
        <v>0</v>
      </c>
      <c r="AJ2539" s="20">
        <f t="shared" si="441"/>
        <v>0</v>
      </c>
      <c r="AK2539" s="23">
        <v>15</v>
      </c>
      <c r="AM2539" s="20">
        <f t="shared" si="442"/>
        <v>0</v>
      </c>
      <c r="AN2539" s="20">
        <f t="shared" si="443"/>
        <v>21250</v>
      </c>
      <c r="AP2539" s="20">
        <f t="shared" si="444"/>
        <v>21250</v>
      </c>
      <c r="AR2539" s="20"/>
    </row>
    <row r="2540" spans="1:48" ht="30" customHeight="1" x14ac:dyDescent="0.2">
      <c r="A2540" s="2">
        <v>2147</v>
      </c>
      <c r="B2540" s="46">
        <v>2</v>
      </c>
      <c r="C2540" s="16" t="s">
        <v>52</v>
      </c>
      <c r="D2540" s="48">
        <v>31869</v>
      </c>
      <c r="E2540" s="47">
        <v>9</v>
      </c>
      <c r="F2540" s="48">
        <v>5451</v>
      </c>
      <c r="G2540" s="49">
        <v>2</v>
      </c>
      <c r="H2540" s="48">
        <v>2</v>
      </c>
      <c r="I2540" s="48">
        <v>0</v>
      </c>
      <c r="J2540" s="48">
        <v>83</v>
      </c>
      <c r="K2540" s="10">
        <v>883</v>
      </c>
      <c r="P2540" s="17">
        <v>1</v>
      </c>
      <c r="Q2540" s="20">
        <f t="shared" si="426"/>
        <v>883</v>
      </c>
      <c r="R2540" s="14">
        <v>160</v>
      </c>
      <c r="S2540" s="19">
        <f t="shared" si="439"/>
        <v>141280</v>
      </c>
      <c r="AC2540" s="21"/>
      <c r="AD2540" s="21"/>
      <c r="AG2540" s="22">
        <f t="shared" si="440"/>
        <v>0</v>
      </c>
      <c r="AJ2540" s="20">
        <f t="shared" si="441"/>
        <v>0</v>
      </c>
      <c r="AM2540" s="20">
        <f t="shared" si="442"/>
        <v>0</v>
      </c>
      <c r="AN2540" s="20">
        <f t="shared" si="443"/>
        <v>141280</v>
      </c>
      <c r="AP2540" s="20">
        <f t="shared" si="444"/>
        <v>141280</v>
      </c>
      <c r="AR2540" s="20"/>
    </row>
    <row r="2541" spans="1:48" ht="30" customHeight="1" x14ac:dyDescent="0.2">
      <c r="A2541" s="2">
        <v>2148</v>
      </c>
      <c r="B2541" s="46">
        <v>1</v>
      </c>
      <c r="C2541" s="16" t="s">
        <v>52</v>
      </c>
      <c r="D2541" s="48">
        <v>15176</v>
      </c>
      <c r="E2541" s="47">
        <v>57</v>
      </c>
      <c r="F2541" s="48">
        <v>3396</v>
      </c>
      <c r="G2541" s="49">
        <v>1</v>
      </c>
      <c r="H2541" s="48">
        <v>0</v>
      </c>
      <c r="I2541" s="48">
        <v>0</v>
      </c>
      <c r="J2541" s="48">
        <v>80</v>
      </c>
      <c r="L2541" s="17">
        <v>80</v>
      </c>
      <c r="P2541" s="17">
        <v>2</v>
      </c>
      <c r="Q2541" s="20">
        <f t="shared" si="426"/>
        <v>80</v>
      </c>
      <c r="R2541" s="14">
        <v>250</v>
      </c>
      <c r="S2541" s="20">
        <f t="shared" si="439"/>
        <v>20000</v>
      </c>
      <c r="U2541" s="17" t="s">
        <v>57</v>
      </c>
      <c r="V2541" s="17" t="s">
        <v>84</v>
      </c>
      <c r="W2541" s="4">
        <v>24</v>
      </c>
      <c r="Y2541" s="4">
        <v>24</v>
      </c>
      <c r="AB2541" s="17">
        <v>13</v>
      </c>
      <c r="AC2541" s="21"/>
      <c r="AD2541" s="21"/>
      <c r="AG2541" s="22">
        <f t="shared" si="440"/>
        <v>24</v>
      </c>
      <c r="AJ2541" s="20">
        <f t="shared" si="441"/>
        <v>0</v>
      </c>
      <c r="AM2541" s="20">
        <f t="shared" si="442"/>
        <v>0</v>
      </c>
      <c r="AN2541" s="20">
        <f t="shared" si="443"/>
        <v>20000</v>
      </c>
      <c r="AP2541" s="20">
        <f t="shared" si="444"/>
        <v>20000</v>
      </c>
      <c r="AR2541" s="20"/>
    </row>
    <row r="2542" spans="1:48" ht="30" customHeight="1" x14ac:dyDescent="0.2">
      <c r="A2542" s="2">
        <v>2149</v>
      </c>
      <c r="B2542" s="46">
        <v>1</v>
      </c>
      <c r="C2542" s="16" t="s">
        <v>52</v>
      </c>
      <c r="D2542" s="48">
        <v>15180</v>
      </c>
      <c r="E2542" s="47">
        <v>61</v>
      </c>
      <c r="F2542" s="48">
        <v>3400</v>
      </c>
      <c r="G2542" s="49">
        <v>1</v>
      </c>
      <c r="H2542" s="48">
        <v>0</v>
      </c>
      <c r="I2542" s="48">
        <v>0</v>
      </c>
      <c r="J2542" s="48">
        <v>77</v>
      </c>
      <c r="N2542" s="18">
        <v>77</v>
      </c>
      <c r="P2542" s="17">
        <v>4</v>
      </c>
      <c r="Q2542" s="20">
        <f t="shared" si="426"/>
        <v>77</v>
      </c>
      <c r="R2542" s="14">
        <v>250</v>
      </c>
      <c r="S2542" s="19">
        <f t="shared" si="439"/>
        <v>19250</v>
      </c>
      <c r="AC2542" s="21"/>
      <c r="AD2542" s="21"/>
      <c r="AG2542" s="22">
        <f t="shared" si="440"/>
        <v>0</v>
      </c>
      <c r="AJ2542" s="20">
        <f t="shared" si="441"/>
        <v>0</v>
      </c>
      <c r="AM2542" s="20">
        <f t="shared" si="442"/>
        <v>0</v>
      </c>
      <c r="AN2542" s="20">
        <f t="shared" si="443"/>
        <v>19250</v>
      </c>
      <c r="AP2542" s="20">
        <f t="shared" si="444"/>
        <v>19250</v>
      </c>
      <c r="AQ2542" s="12">
        <v>3.0000000000000001E-3</v>
      </c>
      <c r="AR2542" s="20"/>
    </row>
    <row r="2543" spans="1:48" ht="30" customHeight="1" x14ac:dyDescent="0.2">
      <c r="A2543" s="2">
        <v>2150</v>
      </c>
      <c r="B2543" s="46">
        <v>1</v>
      </c>
      <c r="C2543" s="16" t="s">
        <v>52</v>
      </c>
      <c r="D2543" s="48">
        <v>37604</v>
      </c>
      <c r="E2543" s="47">
        <v>400</v>
      </c>
      <c r="F2543" s="48">
        <v>7625</v>
      </c>
      <c r="G2543" s="49">
        <v>1</v>
      </c>
      <c r="H2543" s="48">
        <v>0</v>
      </c>
      <c r="I2543" s="48">
        <v>0</v>
      </c>
      <c r="J2543" s="48">
        <v>65</v>
      </c>
      <c r="K2543" s="28">
        <v>65</v>
      </c>
      <c r="M2543" s="63"/>
      <c r="P2543" s="21">
        <v>1</v>
      </c>
      <c r="Q2543" s="19">
        <f>+(H2543*400)+(I2543*100)+J2543</f>
        <v>65</v>
      </c>
      <c r="R2543" s="14">
        <v>160</v>
      </c>
      <c r="S2543" s="19">
        <f>+Q2543*R2543</f>
        <v>10400</v>
      </c>
      <c r="Y2543" s="67"/>
      <c r="AC2543" s="21"/>
      <c r="AD2543" s="17"/>
      <c r="AE2543" s="14" t="s">
        <v>100</v>
      </c>
      <c r="AF2543" s="21"/>
      <c r="AG2543" s="22"/>
      <c r="AH2543" s="21"/>
      <c r="AI2543" s="21"/>
      <c r="AJ2543" s="20">
        <f>+AG2543*AH2543*AI2543</f>
        <v>0</v>
      </c>
      <c r="AK2543" s="20">
        <f>AB2543</f>
        <v>0</v>
      </c>
      <c r="AL2543" s="21"/>
      <c r="AM2543" s="20">
        <f>+AJ2543-(AL2543*AJ2543)</f>
        <v>0</v>
      </c>
      <c r="AN2543" s="20">
        <f t="shared" si="443"/>
        <v>10400</v>
      </c>
      <c r="AO2543" s="21"/>
      <c r="AP2543" s="20">
        <f>AN2543</f>
        <v>10400</v>
      </c>
      <c r="AQ2543" s="7"/>
      <c r="AR2543" s="25"/>
      <c r="AS2543" s="98"/>
      <c r="AT2543" s="21"/>
      <c r="AU2543" s="21"/>
      <c r="AV2543" s="21"/>
    </row>
    <row r="2544" spans="1:48" ht="30" customHeight="1" x14ac:dyDescent="0.2">
      <c r="A2544" s="2">
        <v>2151</v>
      </c>
      <c r="B2544" s="13">
        <v>2</v>
      </c>
      <c r="C2544" s="16" t="s">
        <v>65</v>
      </c>
      <c r="D2544" s="17">
        <v>1104</v>
      </c>
      <c r="E2544" s="17">
        <v>13</v>
      </c>
      <c r="H2544" s="17">
        <v>8</v>
      </c>
      <c r="I2544" s="17">
        <v>3</v>
      </c>
      <c r="J2544" s="17">
        <v>86</v>
      </c>
      <c r="K2544" s="10">
        <f>8*400+386</f>
        <v>3586</v>
      </c>
      <c r="P2544" s="17">
        <v>1</v>
      </c>
      <c r="Q2544" s="20">
        <f t="shared" si="426"/>
        <v>3586</v>
      </c>
      <c r="R2544" s="14">
        <v>160</v>
      </c>
      <c r="S2544" s="19">
        <f t="shared" si="439"/>
        <v>573760</v>
      </c>
      <c r="AC2544" s="21"/>
      <c r="AD2544" s="21"/>
      <c r="AG2544" s="22">
        <f t="shared" si="440"/>
        <v>0</v>
      </c>
      <c r="AJ2544" s="20">
        <f t="shared" si="441"/>
        <v>0</v>
      </c>
      <c r="AM2544" s="20">
        <f t="shared" si="442"/>
        <v>0</v>
      </c>
      <c r="AN2544" s="20">
        <f t="shared" si="443"/>
        <v>573760</v>
      </c>
      <c r="AP2544" s="20">
        <f t="shared" si="444"/>
        <v>573760</v>
      </c>
      <c r="AQ2544" s="12">
        <v>1E-4</v>
      </c>
      <c r="AR2544" s="60"/>
      <c r="AS2544" s="123">
        <v>51</v>
      </c>
    </row>
    <row r="2545" spans="1:50" ht="30" customHeight="1" x14ac:dyDescent="0.2">
      <c r="A2545" s="2">
        <v>2152</v>
      </c>
      <c r="B2545" s="13">
        <v>3</v>
      </c>
      <c r="C2545" s="16" t="s">
        <v>65</v>
      </c>
      <c r="D2545" s="17">
        <v>3905</v>
      </c>
      <c r="E2545" s="17">
        <v>74</v>
      </c>
      <c r="H2545" s="17">
        <v>8</v>
      </c>
      <c r="I2545" s="17">
        <v>3</v>
      </c>
      <c r="J2545" s="17">
        <v>81</v>
      </c>
      <c r="K2545" s="10">
        <f>8*400+381</f>
        <v>3581</v>
      </c>
      <c r="P2545" s="17">
        <v>1</v>
      </c>
      <c r="Q2545" s="20">
        <f t="shared" si="426"/>
        <v>3581</v>
      </c>
      <c r="R2545" s="14">
        <v>160</v>
      </c>
      <c r="S2545" s="20">
        <f t="shared" si="439"/>
        <v>572960</v>
      </c>
      <c r="AC2545" s="21"/>
      <c r="AD2545" s="21"/>
      <c r="AG2545" s="22">
        <f t="shared" si="440"/>
        <v>0</v>
      </c>
      <c r="AJ2545" s="20">
        <f t="shared" si="441"/>
        <v>0</v>
      </c>
      <c r="AM2545" s="20">
        <f t="shared" si="442"/>
        <v>0</v>
      </c>
      <c r="AN2545" s="20">
        <f t="shared" si="443"/>
        <v>572960</v>
      </c>
      <c r="AP2545" s="20">
        <f t="shared" si="444"/>
        <v>572960</v>
      </c>
      <c r="AQ2545" s="12">
        <v>1E-4</v>
      </c>
      <c r="AR2545" s="25"/>
      <c r="AS2545" s="125"/>
    </row>
    <row r="2546" spans="1:50" ht="30" customHeight="1" x14ac:dyDescent="0.2">
      <c r="A2546" s="2">
        <v>2153</v>
      </c>
      <c r="B2546" s="46">
        <v>1</v>
      </c>
      <c r="C2546" s="16" t="s">
        <v>52</v>
      </c>
      <c r="D2546" s="48">
        <v>21136</v>
      </c>
      <c r="E2546" s="47">
        <v>190</v>
      </c>
      <c r="F2546" s="48">
        <v>4700</v>
      </c>
      <c r="G2546" s="49">
        <v>1</v>
      </c>
      <c r="H2546" s="48">
        <v>9</v>
      </c>
      <c r="I2546" s="48">
        <v>0</v>
      </c>
      <c r="J2546" s="48">
        <v>47</v>
      </c>
      <c r="K2546" s="10">
        <f>9*400+47</f>
        <v>3647</v>
      </c>
      <c r="P2546" s="17">
        <v>1</v>
      </c>
      <c r="Q2546" s="20">
        <f t="shared" si="426"/>
        <v>3647</v>
      </c>
      <c r="R2546" s="14">
        <v>200</v>
      </c>
      <c r="S2546" s="19">
        <f t="shared" si="439"/>
        <v>729400</v>
      </c>
      <c r="AC2546" s="21"/>
      <c r="AD2546" s="21"/>
      <c r="AG2546" s="22">
        <f t="shared" si="440"/>
        <v>0</v>
      </c>
      <c r="AJ2546" s="20">
        <f t="shared" si="441"/>
        <v>0</v>
      </c>
      <c r="AM2546" s="20">
        <f t="shared" si="442"/>
        <v>0</v>
      </c>
      <c r="AN2546" s="20">
        <f t="shared" si="443"/>
        <v>729400</v>
      </c>
      <c r="AP2546" s="20">
        <f t="shared" si="444"/>
        <v>729400</v>
      </c>
      <c r="AR2546" s="60"/>
      <c r="AS2546" s="123">
        <f>60+13</f>
        <v>73</v>
      </c>
    </row>
    <row r="2547" spans="1:50" ht="30" customHeight="1" x14ac:dyDescent="0.2">
      <c r="A2547" s="2">
        <v>2154</v>
      </c>
      <c r="B2547" s="46">
        <v>2</v>
      </c>
      <c r="C2547" s="16" t="s">
        <v>52</v>
      </c>
      <c r="D2547" s="48">
        <v>1582</v>
      </c>
      <c r="E2547" s="47">
        <v>19</v>
      </c>
      <c r="F2547" s="48">
        <v>519</v>
      </c>
      <c r="G2547" s="49">
        <v>2</v>
      </c>
      <c r="H2547" s="48">
        <v>4</v>
      </c>
      <c r="I2547" s="48">
        <v>1</v>
      </c>
      <c r="J2547" s="48">
        <v>20</v>
      </c>
      <c r="K2547" s="10">
        <v>1720</v>
      </c>
      <c r="P2547" s="17">
        <v>1</v>
      </c>
      <c r="Q2547" s="20">
        <f t="shared" si="426"/>
        <v>1720</v>
      </c>
      <c r="R2547" s="14">
        <v>160</v>
      </c>
      <c r="S2547" s="19">
        <f t="shared" si="439"/>
        <v>275200</v>
      </c>
      <c r="AG2547" s="22">
        <f t="shared" si="440"/>
        <v>0</v>
      </c>
      <c r="AJ2547" s="20">
        <f t="shared" si="441"/>
        <v>0</v>
      </c>
      <c r="AM2547" s="20">
        <f t="shared" si="442"/>
        <v>0</v>
      </c>
      <c r="AN2547" s="20">
        <f t="shared" si="443"/>
        <v>275200</v>
      </c>
      <c r="AP2547" s="20">
        <f t="shared" si="444"/>
        <v>275200</v>
      </c>
      <c r="AR2547" s="24"/>
      <c r="AS2547" s="124"/>
    </row>
    <row r="2548" spans="1:50" ht="30" customHeight="1" x14ac:dyDescent="0.2">
      <c r="A2548" s="2">
        <v>2155</v>
      </c>
      <c r="B2548" s="46">
        <v>3</v>
      </c>
      <c r="C2548" s="16" t="s">
        <v>52</v>
      </c>
      <c r="D2548" s="48">
        <v>21135</v>
      </c>
      <c r="E2548" s="47">
        <v>70</v>
      </c>
      <c r="F2548" s="48">
        <v>4696</v>
      </c>
      <c r="G2548" s="49">
        <v>2</v>
      </c>
      <c r="H2548" s="48">
        <v>0</v>
      </c>
      <c r="I2548" s="48">
        <v>0</v>
      </c>
      <c r="J2548" s="48">
        <v>19</v>
      </c>
      <c r="K2548" s="10">
        <v>19</v>
      </c>
      <c r="P2548" s="17">
        <v>1</v>
      </c>
      <c r="Q2548" s="20">
        <f t="shared" si="426"/>
        <v>19</v>
      </c>
      <c r="R2548" s="14">
        <v>160</v>
      </c>
      <c r="S2548" s="20">
        <f t="shared" si="439"/>
        <v>3040</v>
      </c>
      <c r="AC2548" s="21"/>
      <c r="AD2548" s="21"/>
      <c r="AG2548" s="22">
        <f t="shared" si="440"/>
        <v>0</v>
      </c>
      <c r="AJ2548" s="20">
        <f t="shared" si="441"/>
        <v>0</v>
      </c>
      <c r="AM2548" s="20">
        <f t="shared" si="442"/>
        <v>0</v>
      </c>
      <c r="AN2548" s="20">
        <f t="shared" si="443"/>
        <v>3040</v>
      </c>
      <c r="AP2548" s="20">
        <f t="shared" si="444"/>
        <v>3040</v>
      </c>
      <c r="AR2548" s="24"/>
      <c r="AS2548" s="124"/>
    </row>
    <row r="2549" spans="1:50" ht="30" customHeight="1" x14ac:dyDescent="0.2">
      <c r="A2549" s="2">
        <v>2156</v>
      </c>
      <c r="B2549" s="46">
        <v>4</v>
      </c>
      <c r="C2549" s="16" t="s">
        <v>52</v>
      </c>
      <c r="D2549" s="48">
        <v>21138</v>
      </c>
      <c r="E2549" s="47">
        <v>72</v>
      </c>
      <c r="F2549" s="48">
        <v>4698</v>
      </c>
      <c r="G2549" s="49">
        <v>2</v>
      </c>
      <c r="H2549" s="48">
        <v>3</v>
      </c>
      <c r="I2549" s="48">
        <v>1</v>
      </c>
      <c r="J2549" s="48">
        <v>37</v>
      </c>
      <c r="K2549" s="10">
        <v>1337</v>
      </c>
      <c r="P2549" s="17">
        <v>1</v>
      </c>
      <c r="Q2549" s="20">
        <f t="shared" si="426"/>
        <v>1337</v>
      </c>
      <c r="R2549" s="14">
        <v>160</v>
      </c>
      <c r="S2549" s="19">
        <f t="shared" si="439"/>
        <v>213920</v>
      </c>
      <c r="AG2549" s="22">
        <f t="shared" si="440"/>
        <v>0</v>
      </c>
      <c r="AJ2549" s="20">
        <f t="shared" si="441"/>
        <v>0</v>
      </c>
      <c r="AM2549" s="20">
        <f t="shared" si="442"/>
        <v>0</v>
      </c>
      <c r="AN2549" s="20">
        <f t="shared" si="443"/>
        <v>213920</v>
      </c>
      <c r="AP2549" s="20">
        <f t="shared" si="444"/>
        <v>213920</v>
      </c>
      <c r="AR2549" s="25"/>
      <c r="AS2549" s="125"/>
      <c r="AX2549" s="14" t="s">
        <v>102</v>
      </c>
    </row>
    <row r="2550" spans="1:50" ht="30" customHeight="1" x14ac:dyDescent="0.2">
      <c r="A2550" s="2">
        <v>2157</v>
      </c>
      <c r="B2550" s="46">
        <v>1</v>
      </c>
      <c r="C2550" s="16" t="s">
        <v>52</v>
      </c>
      <c r="D2550" s="48">
        <v>21297</v>
      </c>
      <c r="E2550" s="47">
        <v>97</v>
      </c>
      <c r="F2550" s="48">
        <v>4725</v>
      </c>
      <c r="G2550" s="49">
        <v>1</v>
      </c>
      <c r="H2550" s="48">
        <v>0</v>
      </c>
      <c r="I2550" s="48">
        <v>0</v>
      </c>
      <c r="J2550" s="48">
        <v>88</v>
      </c>
      <c r="L2550" s="17">
        <v>88</v>
      </c>
      <c r="P2550" s="17">
        <v>2</v>
      </c>
      <c r="Q2550" s="20">
        <f t="shared" si="426"/>
        <v>88</v>
      </c>
      <c r="R2550" s="14">
        <v>1950</v>
      </c>
      <c r="S2550" s="19">
        <f t="shared" si="439"/>
        <v>171600</v>
      </c>
      <c r="U2550" s="17" t="s">
        <v>57</v>
      </c>
      <c r="V2550" s="17" t="s">
        <v>56</v>
      </c>
      <c r="Y2550" s="4">
        <v>296</v>
      </c>
      <c r="AB2550" s="17">
        <f>62-41</f>
        <v>21</v>
      </c>
      <c r="AG2550" s="22">
        <f t="shared" si="440"/>
        <v>296</v>
      </c>
      <c r="AJ2550" s="20">
        <f t="shared" si="441"/>
        <v>0</v>
      </c>
      <c r="AK2550" s="23">
        <v>21</v>
      </c>
      <c r="AM2550" s="20">
        <f t="shared" si="442"/>
        <v>0</v>
      </c>
      <c r="AN2550" s="20">
        <f t="shared" si="443"/>
        <v>171600</v>
      </c>
      <c r="AP2550" s="20">
        <f t="shared" si="444"/>
        <v>171600</v>
      </c>
      <c r="AR2550" s="20"/>
    </row>
    <row r="2551" spans="1:50" ht="30" customHeight="1" x14ac:dyDescent="0.2">
      <c r="A2551" s="2">
        <v>2158</v>
      </c>
      <c r="B2551" s="13">
        <v>1</v>
      </c>
      <c r="C2551" s="16" t="s">
        <v>65</v>
      </c>
      <c r="D2551" s="17">
        <v>1028</v>
      </c>
      <c r="E2551" s="17">
        <v>196</v>
      </c>
      <c r="H2551" s="17">
        <v>19</v>
      </c>
      <c r="I2551" s="17">
        <v>2</v>
      </c>
      <c r="J2551" s="17">
        <v>90</v>
      </c>
      <c r="K2551" s="10">
        <v>7890</v>
      </c>
      <c r="Q2551" s="20">
        <f t="shared" si="426"/>
        <v>7890</v>
      </c>
      <c r="R2551" s="14">
        <v>1500</v>
      </c>
      <c r="S2551" s="20">
        <f t="shared" si="439"/>
        <v>11835000</v>
      </c>
      <c r="AE2551" s="17" t="s">
        <v>94</v>
      </c>
      <c r="AG2551" s="22">
        <f t="shared" si="440"/>
        <v>0</v>
      </c>
      <c r="AJ2551" s="20">
        <f t="shared" si="441"/>
        <v>0</v>
      </c>
      <c r="AM2551" s="20">
        <f t="shared" si="442"/>
        <v>0</v>
      </c>
      <c r="AN2551" s="20">
        <f t="shared" si="443"/>
        <v>11835000</v>
      </c>
      <c r="AP2551" s="20">
        <f t="shared" si="444"/>
        <v>11835000</v>
      </c>
      <c r="AQ2551" s="12">
        <v>1E-4</v>
      </c>
      <c r="AR2551" s="20"/>
    </row>
    <row r="2552" spans="1:50" ht="30" customHeight="1" x14ac:dyDescent="0.2">
      <c r="A2552" s="2">
        <v>2159</v>
      </c>
      <c r="B2552" s="46">
        <v>1</v>
      </c>
      <c r="C2552" s="16" t="s">
        <v>52</v>
      </c>
      <c r="D2552" s="48">
        <v>883</v>
      </c>
      <c r="E2552" s="47">
        <v>98</v>
      </c>
      <c r="F2552" s="48">
        <v>177</v>
      </c>
      <c r="G2552" s="49">
        <v>1</v>
      </c>
      <c r="H2552" s="48">
        <v>1</v>
      </c>
      <c r="I2552" s="48">
        <v>0</v>
      </c>
      <c r="J2552" s="48">
        <v>98</v>
      </c>
      <c r="K2552" s="10">
        <v>498</v>
      </c>
      <c r="P2552" s="17">
        <v>1</v>
      </c>
      <c r="Q2552" s="20">
        <f t="shared" si="426"/>
        <v>498</v>
      </c>
      <c r="R2552" s="14">
        <v>200</v>
      </c>
      <c r="S2552" s="19">
        <f t="shared" si="439"/>
        <v>99600</v>
      </c>
      <c r="AG2552" s="22">
        <f t="shared" si="440"/>
        <v>0</v>
      </c>
      <c r="AJ2552" s="20">
        <f t="shared" si="441"/>
        <v>0</v>
      </c>
      <c r="AM2552" s="20">
        <f t="shared" si="442"/>
        <v>0</v>
      </c>
      <c r="AN2552" s="20">
        <f t="shared" si="443"/>
        <v>99600</v>
      </c>
      <c r="AP2552" s="20">
        <f t="shared" si="444"/>
        <v>99600</v>
      </c>
      <c r="AR2552" s="20"/>
    </row>
    <row r="2553" spans="1:50" ht="30" customHeight="1" x14ac:dyDescent="0.2">
      <c r="A2553" s="2">
        <v>2160</v>
      </c>
      <c r="B2553" s="46">
        <v>2</v>
      </c>
      <c r="C2553" s="16" t="s">
        <v>52</v>
      </c>
      <c r="D2553" s="48">
        <v>954</v>
      </c>
      <c r="E2553" s="47">
        <v>6</v>
      </c>
      <c r="F2553" s="48">
        <v>356</v>
      </c>
      <c r="G2553" s="49">
        <v>1</v>
      </c>
      <c r="H2553" s="48">
        <v>7</v>
      </c>
      <c r="I2553" s="48">
        <v>0</v>
      </c>
      <c r="J2553" s="48">
        <v>52</v>
      </c>
      <c r="K2553" s="10">
        <f>7*400+52</f>
        <v>2852</v>
      </c>
      <c r="P2553" s="17">
        <v>1</v>
      </c>
      <c r="Q2553" s="20">
        <f t="shared" si="426"/>
        <v>2852</v>
      </c>
      <c r="R2553" s="14">
        <v>200</v>
      </c>
      <c r="S2553" s="19">
        <f t="shared" si="439"/>
        <v>570400</v>
      </c>
      <c r="AG2553" s="22">
        <f t="shared" si="440"/>
        <v>0</v>
      </c>
      <c r="AJ2553" s="20">
        <f t="shared" si="441"/>
        <v>0</v>
      </c>
      <c r="AM2553" s="20">
        <f t="shared" si="442"/>
        <v>0</v>
      </c>
      <c r="AN2553" s="20">
        <f t="shared" si="443"/>
        <v>570400</v>
      </c>
      <c r="AP2553" s="20">
        <f t="shared" si="444"/>
        <v>570400</v>
      </c>
      <c r="AR2553" s="20"/>
    </row>
    <row r="2554" spans="1:50" ht="30" customHeight="1" x14ac:dyDescent="0.2">
      <c r="A2554" s="2">
        <v>2161</v>
      </c>
      <c r="B2554" s="46">
        <v>3</v>
      </c>
      <c r="C2554" s="16" t="s">
        <v>52</v>
      </c>
      <c r="D2554" s="48">
        <v>830</v>
      </c>
      <c r="E2554" s="47">
        <v>57</v>
      </c>
      <c r="F2554" s="48">
        <v>364</v>
      </c>
      <c r="G2554" s="49">
        <v>1</v>
      </c>
      <c r="H2554" s="48">
        <v>8</v>
      </c>
      <c r="I2554" s="48">
        <v>1</v>
      </c>
      <c r="J2554" s="48">
        <v>22</v>
      </c>
      <c r="K2554" s="10">
        <f>8*400+122</f>
        <v>3322</v>
      </c>
      <c r="P2554" s="17">
        <v>1</v>
      </c>
      <c r="Q2554" s="20">
        <f t="shared" si="426"/>
        <v>3322</v>
      </c>
      <c r="R2554" s="14">
        <v>200</v>
      </c>
      <c r="S2554" s="20">
        <f t="shared" si="439"/>
        <v>664400</v>
      </c>
      <c r="AG2554" s="22">
        <f t="shared" si="440"/>
        <v>0</v>
      </c>
      <c r="AJ2554" s="20">
        <f t="shared" si="441"/>
        <v>0</v>
      </c>
      <c r="AM2554" s="20">
        <f t="shared" si="442"/>
        <v>0</v>
      </c>
      <c r="AN2554" s="20">
        <f t="shared" si="443"/>
        <v>664400</v>
      </c>
      <c r="AP2554" s="20">
        <f t="shared" si="444"/>
        <v>664400</v>
      </c>
      <c r="AR2554" s="20"/>
    </row>
    <row r="2555" spans="1:50" ht="30" customHeight="1" x14ac:dyDescent="0.2">
      <c r="A2555" s="2">
        <v>2162</v>
      </c>
      <c r="B2555" s="46">
        <v>4</v>
      </c>
      <c r="C2555" s="16" t="s">
        <v>52</v>
      </c>
      <c r="D2555" s="48">
        <v>1318</v>
      </c>
      <c r="E2555" s="47">
        <v>15</v>
      </c>
      <c r="F2555" s="48">
        <v>573</v>
      </c>
      <c r="G2555" s="49">
        <v>1</v>
      </c>
      <c r="H2555" s="48">
        <v>6</v>
      </c>
      <c r="I2555" s="48">
        <v>1</v>
      </c>
      <c r="J2555" s="48">
        <v>19</v>
      </c>
      <c r="K2555" s="10">
        <v>2519</v>
      </c>
      <c r="P2555" s="17">
        <v>1</v>
      </c>
      <c r="Q2555" s="20">
        <f t="shared" si="426"/>
        <v>2519</v>
      </c>
      <c r="R2555" s="14">
        <v>200</v>
      </c>
      <c r="S2555" s="19">
        <f t="shared" si="439"/>
        <v>503800</v>
      </c>
      <c r="AC2555" s="21"/>
      <c r="AD2555" s="21"/>
      <c r="AG2555" s="22">
        <f t="shared" si="440"/>
        <v>0</v>
      </c>
      <c r="AJ2555" s="20">
        <f t="shared" si="441"/>
        <v>0</v>
      </c>
      <c r="AM2555" s="20">
        <f t="shared" si="442"/>
        <v>0</v>
      </c>
      <c r="AN2555" s="20">
        <f t="shared" si="443"/>
        <v>503800</v>
      </c>
      <c r="AP2555" s="20">
        <f t="shared" si="444"/>
        <v>503800</v>
      </c>
      <c r="AR2555" s="20"/>
    </row>
    <row r="2556" spans="1:50" ht="30" customHeight="1" x14ac:dyDescent="0.2">
      <c r="A2556" s="2">
        <v>2163</v>
      </c>
      <c r="B2556" s="46">
        <v>5</v>
      </c>
      <c r="C2556" s="16" t="s">
        <v>52</v>
      </c>
      <c r="D2556" s="48">
        <v>12954</v>
      </c>
      <c r="E2556" s="47">
        <v>151</v>
      </c>
      <c r="F2556" s="48">
        <v>3283</v>
      </c>
      <c r="G2556" s="49">
        <v>1</v>
      </c>
      <c r="H2556" s="48">
        <v>0</v>
      </c>
      <c r="I2556" s="48">
        <v>2</v>
      </c>
      <c r="J2556" s="48">
        <v>34</v>
      </c>
      <c r="K2556" s="10">
        <v>234</v>
      </c>
      <c r="P2556" s="17">
        <v>1</v>
      </c>
      <c r="Q2556" s="20">
        <f t="shared" si="426"/>
        <v>234</v>
      </c>
      <c r="R2556" s="14">
        <v>250</v>
      </c>
      <c r="S2556" s="19">
        <f t="shared" si="439"/>
        <v>58500</v>
      </c>
      <c r="AC2556" s="21"/>
      <c r="AD2556" s="21"/>
      <c r="AG2556" s="22">
        <f t="shared" si="440"/>
        <v>0</v>
      </c>
      <c r="AJ2556" s="20">
        <f t="shared" si="441"/>
        <v>0</v>
      </c>
      <c r="AM2556" s="20">
        <f t="shared" si="442"/>
        <v>0</v>
      </c>
      <c r="AN2556" s="20">
        <f t="shared" si="443"/>
        <v>58500</v>
      </c>
      <c r="AP2556" s="20">
        <f t="shared" si="444"/>
        <v>58500</v>
      </c>
      <c r="AR2556" s="20"/>
      <c r="AS2556" s="14"/>
    </row>
    <row r="2557" spans="1:50" ht="30" customHeight="1" x14ac:dyDescent="0.2">
      <c r="A2557" s="2">
        <v>2164</v>
      </c>
      <c r="B2557" s="46">
        <v>6</v>
      </c>
      <c r="C2557" s="16" t="s">
        <v>52</v>
      </c>
      <c r="D2557" s="48">
        <v>31772</v>
      </c>
      <c r="E2557" s="47">
        <v>321</v>
      </c>
      <c r="F2557" s="48">
        <v>6242</v>
      </c>
      <c r="G2557" s="49">
        <v>1</v>
      </c>
      <c r="H2557" s="48">
        <v>9</v>
      </c>
      <c r="I2557" s="48">
        <v>1</v>
      </c>
      <c r="J2557" s="48">
        <v>81</v>
      </c>
      <c r="K2557" s="10">
        <f>9*400+181</f>
        <v>3781</v>
      </c>
      <c r="P2557" s="17">
        <v>1</v>
      </c>
      <c r="Q2557" s="20">
        <f t="shared" si="426"/>
        <v>3781</v>
      </c>
      <c r="R2557" s="14">
        <v>200</v>
      </c>
      <c r="S2557" s="20">
        <f t="shared" si="439"/>
        <v>756200</v>
      </c>
      <c r="AC2557" s="21"/>
      <c r="AD2557" s="21"/>
      <c r="AG2557" s="22">
        <f t="shared" si="440"/>
        <v>0</v>
      </c>
      <c r="AJ2557" s="20">
        <f t="shared" si="441"/>
        <v>0</v>
      </c>
      <c r="AM2557" s="20">
        <f t="shared" si="442"/>
        <v>0</v>
      </c>
      <c r="AN2557" s="20">
        <f t="shared" si="443"/>
        <v>756200</v>
      </c>
      <c r="AP2557" s="20">
        <f t="shared" si="444"/>
        <v>756200</v>
      </c>
      <c r="AR2557" s="20"/>
      <c r="AS2557" s="14"/>
    </row>
    <row r="2558" spans="1:50" ht="30" customHeight="1" x14ac:dyDescent="0.2">
      <c r="A2558" s="2">
        <v>2165</v>
      </c>
      <c r="B2558" s="46">
        <v>7</v>
      </c>
      <c r="C2558" s="16" t="s">
        <v>52</v>
      </c>
      <c r="D2558" s="48">
        <v>31902</v>
      </c>
      <c r="E2558" s="47">
        <v>251</v>
      </c>
      <c r="F2558" s="48">
        <v>6129</v>
      </c>
      <c r="G2558" s="49">
        <v>2</v>
      </c>
      <c r="H2558" s="48">
        <v>3</v>
      </c>
      <c r="I2558" s="48">
        <v>2</v>
      </c>
      <c r="J2558" s="48">
        <v>25.08</v>
      </c>
      <c r="K2558" s="10">
        <v>1425.08</v>
      </c>
      <c r="P2558" s="17">
        <v>1</v>
      </c>
      <c r="Q2558" s="20">
        <f t="shared" si="426"/>
        <v>1425.08</v>
      </c>
      <c r="R2558" s="14">
        <v>160</v>
      </c>
      <c r="S2558" s="19">
        <f t="shared" si="439"/>
        <v>228012.79999999999</v>
      </c>
      <c r="AC2558" s="21"/>
      <c r="AD2558" s="21"/>
      <c r="AG2558" s="22">
        <f t="shared" si="440"/>
        <v>0</v>
      </c>
      <c r="AJ2558" s="20">
        <f t="shared" si="441"/>
        <v>0</v>
      </c>
      <c r="AM2558" s="20">
        <f t="shared" si="442"/>
        <v>0</v>
      </c>
      <c r="AN2558" s="20">
        <f t="shared" si="443"/>
        <v>228012.79999999999</v>
      </c>
      <c r="AP2558" s="20">
        <f t="shared" si="444"/>
        <v>228012.79999999999</v>
      </c>
      <c r="AR2558" s="20"/>
      <c r="AS2558" s="14"/>
    </row>
    <row r="2559" spans="1:50" ht="30" customHeight="1" x14ac:dyDescent="0.2">
      <c r="A2559" s="2">
        <v>2166</v>
      </c>
      <c r="B2559" s="13">
        <v>8</v>
      </c>
      <c r="C2559" s="16" t="s">
        <v>69</v>
      </c>
      <c r="E2559" s="17">
        <v>157</v>
      </c>
      <c r="F2559" s="17">
        <v>8</v>
      </c>
      <c r="G2559" s="13">
        <v>1</v>
      </c>
      <c r="H2559" s="17">
        <v>11</v>
      </c>
      <c r="I2559" s="17">
        <v>0</v>
      </c>
      <c r="J2559" s="17">
        <v>70</v>
      </c>
      <c r="K2559" s="10">
        <v>4470</v>
      </c>
      <c r="P2559" s="17">
        <v>1</v>
      </c>
      <c r="Q2559" s="20">
        <f t="shared" ref="Q2559:Q2564" si="445">+(H2559*400)+(I2559*100)+J2559</f>
        <v>4470</v>
      </c>
      <c r="R2559" s="14">
        <v>160</v>
      </c>
      <c r="S2559" s="19">
        <f t="shared" si="439"/>
        <v>715200</v>
      </c>
      <c r="AG2559" s="22">
        <f t="shared" si="440"/>
        <v>0</v>
      </c>
      <c r="AJ2559" s="20">
        <f t="shared" si="441"/>
        <v>0</v>
      </c>
      <c r="AM2559" s="20">
        <f t="shared" si="442"/>
        <v>0</v>
      </c>
      <c r="AN2559" s="20">
        <f t="shared" si="443"/>
        <v>715200</v>
      </c>
      <c r="AP2559" s="20">
        <f t="shared" si="444"/>
        <v>715200</v>
      </c>
      <c r="AQ2559" s="12">
        <v>1E-4</v>
      </c>
      <c r="AR2559" s="20"/>
      <c r="AS2559" s="14"/>
    </row>
    <row r="2560" spans="1:50" ht="30" customHeight="1" x14ac:dyDescent="0.2">
      <c r="A2560" s="2">
        <v>2167</v>
      </c>
      <c r="B2560" s="46">
        <v>1</v>
      </c>
      <c r="C2560" s="16" t="s">
        <v>52</v>
      </c>
      <c r="D2560" s="48">
        <v>960</v>
      </c>
      <c r="E2560" s="47">
        <v>106</v>
      </c>
      <c r="F2560" s="48">
        <v>368</v>
      </c>
      <c r="G2560" s="49">
        <v>1</v>
      </c>
      <c r="H2560" s="48">
        <v>6</v>
      </c>
      <c r="I2560" s="48">
        <v>3</v>
      </c>
      <c r="J2560" s="48">
        <v>70</v>
      </c>
      <c r="K2560" s="10">
        <f>2400+370</f>
        <v>2770</v>
      </c>
      <c r="P2560" s="17">
        <v>1</v>
      </c>
      <c r="Q2560" s="20">
        <f t="shared" si="445"/>
        <v>2770</v>
      </c>
      <c r="R2560" s="14">
        <v>200</v>
      </c>
      <c r="S2560" s="20">
        <f t="shared" si="439"/>
        <v>554000</v>
      </c>
      <c r="AC2560" s="21"/>
      <c r="AD2560" s="21"/>
      <c r="AG2560" s="22">
        <f t="shared" si="440"/>
        <v>0</v>
      </c>
      <c r="AJ2560" s="20">
        <f t="shared" si="441"/>
        <v>0</v>
      </c>
      <c r="AM2560" s="20">
        <f t="shared" si="442"/>
        <v>0</v>
      </c>
      <c r="AN2560" s="20">
        <f t="shared" si="443"/>
        <v>554000</v>
      </c>
      <c r="AP2560" s="20">
        <f t="shared" si="444"/>
        <v>554000</v>
      </c>
      <c r="AR2560" s="20"/>
      <c r="AS2560" s="14"/>
    </row>
    <row r="2561" spans="1:47" ht="30" customHeight="1" x14ac:dyDescent="0.2">
      <c r="A2561" s="2">
        <v>2168</v>
      </c>
      <c r="B2561" s="46">
        <v>2</v>
      </c>
      <c r="C2561" s="16" t="s">
        <v>52</v>
      </c>
      <c r="D2561" s="48">
        <v>962</v>
      </c>
      <c r="E2561" s="47">
        <v>103</v>
      </c>
      <c r="F2561" s="48">
        <v>371</v>
      </c>
      <c r="G2561" s="49">
        <v>1</v>
      </c>
      <c r="H2561" s="48">
        <v>0</v>
      </c>
      <c r="I2561" s="48">
        <v>3</v>
      </c>
      <c r="J2561" s="48">
        <v>26</v>
      </c>
      <c r="L2561" s="17">
        <v>326</v>
      </c>
      <c r="P2561" s="17">
        <v>2</v>
      </c>
      <c r="Q2561" s="20">
        <f t="shared" si="445"/>
        <v>326</v>
      </c>
      <c r="R2561" s="14">
        <v>200</v>
      </c>
      <c r="S2561" s="19">
        <f t="shared" si="439"/>
        <v>65200</v>
      </c>
      <c r="AC2561" s="21"/>
      <c r="AD2561" s="21"/>
      <c r="AG2561" s="22">
        <f t="shared" si="440"/>
        <v>0</v>
      </c>
      <c r="AJ2561" s="20">
        <f t="shared" si="441"/>
        <v>0</v>
      </c>
      <c r="AM2561" s="20">
        <f t="shared" si="442"/>
        <v>0</v>
      </c>
      <c r="AN2561" s="20">
        <f t="shared" si="443"/>
        <v>65200</v>
      </c>
      <c r="AP2561" s="20">
        <f t="shared" si="444"/>
        <v>65200</v>
      </c>
      <c r="AR2561" s="20"/>
      <c r="AS2561" s="14"/>
    </row>
    <row r="2562" spans="1:47" ht="30" customHeight="1" x14ac:dyDescent="0.2">
      <c r="A2562" s="2">
        <v>2169</v>
      </c>
      <c r="B2562" s="46">
        <v>3</v>
      </c>
      <c r="C2562" s="16" t="s">
        <v>52</v>
      </c>
      <c r="D2562" s="48">
        <v>1091</v>
      </c>
      <c r="E2562" s="47">
        <v>23</v>
      </c>
      <c r="F2562" s="48">
        <v>980</v>
      </c>
      <c r="G2562" s="49">
        <v>1</v>
      </c>
      <c r="H2562" s="48">
        <v>7</v>
      </c>
      <c r="I2562" s="48">
        <v>2</v>
      </c>
      <c r="J2562" s="48">
        <v>75</v>
      </c>
      <c r="K2562" s="10">
        <f>7*400+275</f>
        <v>3075</v>
      </c>
      <c r="P2562" s="17">
        <v>1</v>
      </c>
      <c r="Q2562" s="20">
        <f t="shared" si="445"/>
        <v>3075</v>
      </c>
      <c r="R2562" s="14">
        <v>160</v>
      </c>
      <c r="S2562" s="19">
        <f t="shared" si="439"/>
        <v>492000</v>
      </c>
      <c r="AC2562" s="21"/>
      <c r="AD2562" s="21"/>
      <c r="AG2562" s="22">
        <f t="shared" si="440"/>
        <v>0</v>
      </c>
      <c r="AJ2562" s="20">
        <f t="shared" si="441"/>
        <v>0</v>
      </c>
      <c r="AM2562" s="20">
        <f t="shared" si="442"/>
        <v>0</v>
      </c>
      <c r="AN2562" s="20">
        <f t="shared" si="443"/>
        <v>492000</v>
      </c>
      <c r="AP2562" s="20">
        <f t="shared" si="444"/>
        <v>492000</v>
      </c>
      <c r="AR2562" s="20"/>
      <c r="AS2562" s="14"/>
    </row>
    <row r="2563" spans="1:47" ht="30" customHeight="1" x14ac:dyDescent="0.2">
      <c r="A2563" s="2">
        <v>2170</v>
      </c>
      <c r="B2563" s="46">
        <v>4</v>
      </c>
      <c r="C2563" s="16" t="s">
        <v>52</v>
      </c>
      <c r="D2563" s="48">
        <v>22330</v>
      </c>
      <c r="E2563" s="47">
        <v>66</v>
      </c>
      <c r="F2563" s="48">
        <v>4791</v>
      </c>
      <c r="G2563" s="49">
        <v>1</v>
      </c>
      <c r="H2563" s="48">
        <v>4</v>
      </c>
      <c r="I2563" s="48">
        <v>1</v>
      </c>
      <c r="J2563" s="48">
        <v>84</v>
      </c>
      <c r="K2563" s="10">
        <v>1784</v>
      </c>
      <c r="P2563" s="17">
        <v>1</v>
      </c>
      <c r="Q2563" s="20">
        <f t="shared" si="445"/>
        <v>1784</v>
      </c>
      <c r="R2563" s="14">
        <v>200</v>
      </c>
      <c r="S2563" s="20">
        <f t="shared" si="439"/>
        <v>356800</v>
      </c>
      <c r="AC2563" s="21"/>
      <c r="AD2563" s="21"/>
      <c r="AG2563" s="22">
        <f t="shared" si="440"/>
        <v>0</v>
      </c>
      <c r="AJ2563" s="20">
        <f t="shared" si="441"/>
        <v>0</v>
      </c>
      <c r="AM2563" s="20">
        <f t="shared" si="442"/>
        <v>0</v>
      </c>
      <c r="AN2563" s="20">
        <f t="shared" si="443"/>
        <v>356800</v>
      </c>
      <c r="AP2563" s="20">
        <f t="shared" si="444"/>
        <v>356800</v>
      </c>
      <c r="AR2563" s="20"/>
      <c r="AS2563" s="14"/>
    </row>
    <row r="2564" spans="1:47" ht="30" customHeight="1" x14ac:dyDescent="0.2">
      <c r="A2564" s="2">
        <v>2171</v>
      </c>
      <c r="B2564" s="46">
        <v>5</v>
      </c>
      <c r="C2564" s="16" t="s">
        <v>52</v>
      </c>
      <c r="D2564" s="48">
        <v>22332</v>
      </c>
      <c r="E2564" s="47">
        <v>206</v>
      </c>
      <c r="F2564" s="48">
        <v>4793</v>
      </c>
      <c r="G2564" s="49">
        <v>1</v>
      </c>
      <c r="H2564" s="48">
        <v>1</v>
      </c>
      <c r="I2564" s="48">
        <v>1</v>
      </c>
      <c r="J2564" s="48">
        <v>86</v>
      </c>
      <c r="K2564" s="10">
        <v>586</v>
      </c>
      <c r="P2564" s="17">
        <v>1</v>
      </c>
      <c r="Q2564" s="20">
        <f t="shared" si="445"/>
        <v>586</v>
      </c>
      <c r="R2564" s="14">
        <v>200</v>
      </c>
      <c r="S2564" s="19">
        <f t="shared" si="439"/>
        <v>117200</v>
      </c>
      <c r="AC2564" s="21"/>
      <c r="AD2564" s="21"/>
      <c r="AG2564" s="22">
        <f t="shared" si="440"/>
        <v>0</v>
      </c>
      <c r="AJ2564" s="20">
        <f t="shared" si="441"/>
        <v>0</v>
      </c>
      <c r="AM2564" s="20">
        <f t="shared" si="442"/>
        <v>0</v>
      </c>
      <c r="AN2564" s="20">
        <f t="shared" si="443"/>
        <v>117200</v>
      </c>
      <c r="AP2564" s="20">
        <f t="shared" si="444"/>
        <v>117200</v>
      </c>
      <c r="AR2564" s="20"/>
      <c r="AS2564" s="14"/>
    </row>
    <row r="2565" spans="1:47" ht="30" customHeight="1" x14ac:dyDescent="0.2">
      <c r="R2565" s="14" t="e">
        <v>#N/A</v>
      </c>
    </row>
    <row r="2566" spans="1:47" ht="30" customHeight="1" x14ac:dyDescent="0.2">
      <c r="A2566" s="2">
        <v>2172</v>
      </c>
      <c r="B2566" s="46">
        <v>1</v>
      </c>
      <c r="C2566" s="16" t="s">
        <v>52</v>
      </c>
      <c r="D2566" s="48">
        <v>20382</v>
      </c>
      <c r="E2566" s="47">
        <v>65</v>
      </c>
      <c r="F2566" s="48">
        <v>4590</v>
      </c>
      <c r="G2566" s="49">
        <v>2</v>
      </c>
      <c r="H2566" s="48">
        <v>6</v>
      </c>
      <c r="I2566" s="48">
        <v>2</v>
      </c>
      <c r="J2566" s="48">
        <v>81</v>
      </c>
      <c r="K2566" s="10">
        <f>6*400+281</f>
        <v>2681</v>
      </c>
      <c r="P2566" s="17">
        <v>1</v>
      </c>
      <c r="Q2566" s="20">
        <f t="shared" ref="Q2566:Q2581" si="446">+(H2566*400)+(I2566*100)+J2566</f>
        <v>2681</v>
      </c>
      <c r="R2566" s="14">
        <v>160</v>
      </c>
      <c r="S2566" s="20">
        <f t="shared" ref="S2566:S2574" si="447">+Q2566*R2566</f>
        <v>428960</v>
      </c>
      <c r="AC2566" s="21"/>
      <c r="AD2566" s="21"/>
      <c r="AG2566" s="22">
        <f t="shared" ref="AG2566:AG2573" si="448">Y2566</f>
        <v>0</v>
      </c>
      <c r="AJ2566" s="20">
        <f t="shared" ref="AJ2566:AJ2581" si="449">+AG2566*AH2566*AI2566</f>
        <v>0</v>
      </c>
      <c r="AM2566" s="20">
        <f t="shared" ref="AM2566:AM2581" si="450">+AJ2566-(AL2566*AJ2566)</f>
        <v>0</v>
      </c>
      <c r="AN2566" s="20">
        <f t="shared" ref="AN2566:AN2573" si="451">+S2566+AM2566</f>
        <v>428960</v>
      </c>
      <c r="AP2566" s="20">
        <f t="shared" ref="AP2566:AP2573" si="452">AN2566</f>
        <v>428960</v>
      </c>
      <c r="AR2566" s="20"/>
      <c r="AS2566" s="14"/>
    </row>
    <row r="2567" spans="1:47" ht="30" customHeight="1" x14ac:dyDescent="0.2">
      <c r="A2567" s="2">
        <v>2173</v>
      </c>
      <c r="B2567" s="46">
        <v>1</v>
      </c>
      <c r="C2567" s="16" t="s">
        <v>52</v>
      </c>
      <c r="D2567" s="48">
        <v>1032</v>
      </c>
      <c r="E2567" s="47">
        <v>52</v>
      </c>
      <c r="F2567" s="48">
        <v>389</v>
      </c>
      <c r="G2567" s="49">
        <v>1</v>
      </c>
      <c r="H2567" s="48">
        <v>0</v>
      </c>
      <c r="I2567" s="48">
        <v>2</v>
      </c>
      <c r="J2567" s="48">
        <v>35</v>
      </c>
      <c r="L2567" s="17">
        <v>235</v>
      </c>
      <c r="P2567" s="17">
        <v>2</v>
      </c>
      <c r="Q2567" s="20">
        <f t="shared" si="446"/>
        <v>235</v>
      </c>
      <c r="R2567" s="14">
        <v>2250</v>
      </c>
      <c r="S2567" s="19">
        <f t="shared" si="447"/>
        <v>528750</v>
      </c>
      <c r="U2567" s="17" t="s">
        <v>57</v>
      </c>
      <c r="V2567" s="17" t="s">
        <v>56</v>
      </c>
      <c r="AB2567" s="17">
        <f>62-50</f>
        <v>12</v>
      </c>
      <c r="AG2567" s="22">
        <f t="shared" si="448"/>
        <v>0</v>
      </c>
      <c r="AJ2567" s="20">
        <f t="shared" si="449"/>
        <v>0</v>
      </c>
      <c r="AK2567" s="23">
        <v>12</v>
      </c>
      <c r="AM2567" s="20">
        <f t="shared" si="450"/>
        <v>0</v>
      </c>
      <c r="AN2567" s="20">
        <f t="shared" si="451"/>
        <v>528750</v>
      </c>
      <c r="AP2567" s="20">
        <f t="shared" si="452"/>
        <v>528750</v>
      </c>
      <c r="AR2567" s="20"/>
      <c r="AS2567" s="14"/>
    </row>
    <row r="2568" spans="1:47" ht="30" customHeight="1" x14ac:dyDescent="0.2">
      <c r="A2568" s="2">
        <v>2174</v>
      </c>
      <c r="B2568" s="46">
        <v>2</v>
      </c>
      <c r="C2568" s="16" t="s">
        <v>52</v>
      </c>
      <c r="D2568" s="48">
        <v>1597</v>
      </c>
      <c r="E2568" s="47">
        <v>37</v>
      </c>
      <c r="F2568" s="48">
        <v>534</v>
      </c>
      <c r="G2568" s="49">
        <v>2</v>
      </c>
      <c r="H2568" s="48">
        <v>3</v>
      </c>
      <c r="I2568" s="48">
        <v>3</v>
      </c>
      <c r="J2568" s="48">
        <v>48</v>
      </c>
      <c r="K2568" s="10">
        <v>1548</v>
      </c>
      <c r="P2568" s="17">
        <v>1</v>
      </c>
      <c r="Q2568" s="20">
        <f t="shared" si="446"/>
        <v>1548</v>
      </c>
      <c r="R2568" s="14">
        <v>200</v>
      </c>
      <c r="S2568" s="19">
        <f t="shared" si="447"/>
        <v>309600</v>
      </c>
      <c r="AC2568" s="21"/>
      <c r="AD2568" s="21"/>
      <c r="AG2568" s="22">
        <f t="shared" si="448"/>
        <v>0</v>
      </c>
      <c r="AJ2568" s="20">
        <f t="shared" si="449"/>
        <v>0</v>
      </c>
      <c r="AM2568" s="20">
        <f t="shared" si="450"/>
        <v>0</v>
      </c>
      <c r="AN2568" s="20">
        <f t="shared" si="451"/>
        <v>309600</v>
      </c>
      <c r="AP2568" s="20">
        <f t="shared" si="452"/>
        <v>309600</v>
      </c>
      <c r="AR2568" s="20"/>
      <c r="AS2568" s="14"/>
    </row>
    <row r="2569" spans="1:47" ht="30" customHeight="1" x14ac:dyDescent="0.2">
      <c r="A2569" s="2">
        <v>2175</v>
      </c>
      <c r="B2569" s="46">
        <v>1</v>
      </c>
      <c r="C2569" s="16" t="s">
        <v>52</v>
      </c>
      <c r="D2569" s="48">
        <v>20384</v>
      </c>
      <c r="E2569" s="47">
        <v>67</v>
      </c>
      <c r="F2569" s="48">
        <v>4592</v>
      </c>
      <c r="G2569" s="49">
        <v>2</v>
      </c>
      <c r="H2569" s="48">
        <v>3</v>
      </c>
      <c r="I2569" s="48">
        <v>1</v>
      </c>
      <c r="J2569" s="48">
        <v>39</v>
      </c>
      <c r="K2569" s="10">
        <v>1339</v>
      </c>
      <c r="P2569" s="17">
        <v>1</v>
      </c>
      <c r="Q2569" s="20">
        <f t="shared" si="446"/>
        <v>1339</v>
      </c>
      <c r="R2569" s="14">
        <v>160</v>
      </c>
      <c r="S2569" s="20">
        <f t="shared" si="447"/>
        <v>214240</v>
      </c>
      <c r="AG2569" s="22">
        <f t="shared" si="448"/>
        <v>0</v>
      </c>
      <c r="AJ2569" s="20">
        <f t="shared" si="449"/>
        <v>0</v>
      </c>
      <c r="AM2569" s="20">
        <f t="shared" si="450"/>
        <v>0</v>
      </c>
      <c r="AN2569" s="20">
        <f t="shared" si="451"/>
        <v>214240</v>
      </c>
      <c r="AP2569" s="20">
        <f t="shared" si="452"/>
        <v>214240</v>
      </c>
      <c r="AR2569" s="20"/>
      <c r="AS2569" s="14"/>
    </row>
    <row r="2570" spans="1:47" ht="30" customHeight="1" x14ac:dyDescent="0.2">
      <c r="A2570" s="2">
        <v>2176</v>
      </c>
      <c r="B2570" s="46">
        <v>1</v>
      </c>
      <c r="C2570" s="16" t="s">
        <v>52</v>
      </c>
      <c r="D2570" s="48">
        <v>20383</v>
      </c>
      <c r="E2570" s="47">
        <v>66</v>
      </c>
      <c r="F2570" s="48">
        <v>4591</v>
      </c>
      <c r="G2570" s="49">
        <v>2</v>
      </c>
      <c r="H2570" s="48">
        <v>3</v>
      </c>
      <c r="I2570" s="48">
        <v>3</v>
      </c>
      <c r="J2570" s="48">
        <v>26</v>
      </c>
      <c r="K2570" s="10">
        <v>1526</v>
      </c>
      <c r="P2570" s="17">
        <v>1</v>
      </c>
      <c r="Q2570" s="20">
        <f t="shared" si="446"/>
        <v>1526</v>
      </c>
      <c r="R2570" s="14">
        <v>160</v>
      </c>
      <c r="S2570" s="19">
        <f t="shared" si="447"/>
        <v>244160</v>
      </c>
      <c r="AG2570" s="22">
        <f t="shared" si="448"/>
        <v>0</v>
      </c>
      <c r="AJ2570" s="20">
        <f t="shared" si="449"/>
        <v>0</v>
      </c>
      <c r="AM2570" s="20">
        <f t="shared" si="450"/>
        <v>0</v>
      </c>
      <c r="AN2570" s="20">
        <f t="shared" si="451"/>
        <v>244160</v>
      </c>
      <c r="AP2570" s="20">
        <f t="shared" si="452"/>
        <v>244160</v>
      </c>
      <c r="AR2570" s="20"/>
      <c r="AS2570" s="14"/>
    </row>
    <row r="2571" spans="1:47" ht="30" customHeight="1" x14ac:dyDescent="0.2">
      <c r="A2571" s="2">
        <v>2177</v>
      </c>
      <c r="B2571" s="46">
        <v>1</v>
      </c>
      <c r="C2571" s="16" t="s">
        <v>52</v>
      </c>
      <c r="D2571" s="48">
        <v>1010</v>
      </c>
      <c r="E2571" s="47">
        <v>48</v>
      </c>
      <c r="F2571" s="48">
        <v>349</v>
      </c>
      <c r="G2571" s="49">
        <v>1</v>
      </c>
      <c r="H2571" s="48">
        <v>3</v>
      </c>
      <c r="I2571" s="48">
        <v>0</v>
      </c>
      <c r="J2571" s="48">
        <v>1</v>
      </c>
      <c r="K2571" s="10">
        <v>1201</v>
      </c>
      <c r="P2571" s="17">
        <v>1</v>
      </c>
      <c r="Q2571" s="20">
        <f t="shared" si="446"/>
        <v>1201</v>
      </c>
      <c r="R2571" s="14">
        <v>160</v>
      </c>
      <c r="S2571" s="19">
        <f t="shared" si="447"/>
        <v>192160</v>
      </c>
      <c r="AG2571" s="22">
        <f t="shared" si="448"/>
        <v>0</v>
      </c>
      <c r="AJ2571" s="20">
        <f t="shared" si="449"/>
        <v>0</v>
      </c>
      <c r="AM2571" s="20">
        <f t="shared" si="450"/>
        <v>0</v>
      </c>
      <c r="AN2571" s="20">
        <f t="shared" si="451"/>
        <v>192160</v>
      </c>
      <c r="AP2571" s="20">
        <f t="shared" si="452"/>
        <v>192160</v>
      </c>
      <c r="AR2571" s="20"/>
      <c r="AS2571" s="14"/>
    </row>
    <row r="2572" spans="1:47" ht="30" customHeight="1" x14ac:dyDescent="0.2">
      <c r="A2572" s="2">
        <v>2178</v>
      </c>
      <c r="B2572" s="46">
        <v>2</v>
      </c>
      <c r="C2572" s="16" t="s">
        <v>52</v>
      </c>
      <c r="D2572" s="48">
        <v>29163</v>
      </c>
      <c r="E2572" s="47">
        <v>259</v>
      </c>
      <c r="F2572" s="48">
        <v>5358</v>
      </c>
      <c r="G2572" s="49">
        <v>1</v>
      </c>
      <c r="H2572" s="48">
        <v>0</v>
      </c>
      <c r="I2572" s="48">
        <v>0</v>
      </c>
      <c r="J2572" s="48">
        <v>99</v>
      </c>
      <c r="K2572" s="10">
        <v>99</v>
      </c>
      <c r="P2572" s="17">
        <v>1</v>
      </c>
      <c r="Q2572" s="20">
        <f t="shared" si="446"/>
        <v>99</v>
      </c>
      <c r="R2572" s="14">
        <v>200</v>
      </c>
      <c r="S2572" s="20">
        <f t="shared" si="447"/>
        <v>19800</v>
      </c>
      <c r="AG2572" s="22">
        <f t="shared" si="448"/>
        <v>0</v>
      </c>
      <c r="AJ2572" s="20">
        <f t="shared" si="449"/>
        <v>0</v>
      </c>
      <c r="AM2572" s="20">
        <f t="shared" si="450"/>
        <v>0</v>
      </c>
      <c r="AN2572" s="20">
        <f t="shared" si="451"/>
        <v>19800</v>
      </c>
      <c r="AP2572" s="20">
        <f t="shared" si="452"/>
        <v>19800</v>
      </c>
      <c r="AR2572" s="20"/>
      <c r="AS2572" s="14"/>
    </row>
    <row r="2573" spans="1:47" ht="30" customHeight="1" x14ac:dyDescent="0.2">
      <c r="A2573" s="2">
        <v>2179</v>
      </c>
      <c r="B2573" s="46">
        <v>3</v>
      </c>
      <c r="C2573" s="16" t="s">
        <v>52</v>
      </c>
      <c r="D2573" s="48">
        <v>1606</v>
      </c>
      <c r="E2573" s="47">
        <v>43</v>
      </c>
      <c r="F2573" s="48">
        <v>558</v>
      </c>
      <c r="G2573" s="49">
        <v>2</v>
      </c>
      <c r="H2573" s="48">
        <v>3</v>
      </c>
      <c r="I2573" s="48">
        <v>3</v>
      </c>
      <c r="J2573" s="48">
        <v>42</v>
      </c>
      <c r="K2573" s="10">
        <v>1542</v>
      </c>
      <c r="P2573" s="17">
        <v>1</v>
      </c>
      <c r="Q2573" s="20">
        <f t="shared" si="446"/>
        <v>1542</v>
      </c>
      <c r="R2573" s="14">
        <v>200</v>
      </c>
      <c r="S2573" s="19">
        <f t="shared" si="447"/>
        <v>308400</v>
      </c>
      <c r="AG2573" s="22">
        <f t="shared" si="448"/>
        <v>0</v>
      </c>
      <c r="AJ2573" s="20">
        <f t="shared" si="449"/>
        <v>0</v>
      </c>
      <c r="AM2573" s="20">
        <f t="shared" si="450"/>
        <v>0</v>
      </c>
      <c r="AN2573" s="20">
        <f t="shared" si="451"/>
        <v>308400</v>
      </c>
      <c r="AP2573" s="20">
        <f t="shared" si="452"/>
        <v>308400</v>
      </c>
      <c r="AR2573" s="20"/>
      <c r="AS2573" s="14"/>
    </row>
    <row r="2574" spans="1:47" ht="30" customHeight="1" x14ac:dyDescent="0.2">
      <c r="A2574" s="2">
        <v>2180</v>
      </c>
      <c r="B2574" s="13">
        <v>1</v>
      </c>
      <c r="C2574" s="16" t="s">
        <v>52</v>
      </c>
      <c r="D2574" s="48">
        <v>799</v>
      </c>
      <c r="E2574" s="47">
        <v>540</v>
      </c>
      <c r="F2574" s="48">
        <v>117</v>
      </c>
      <c r="G2574" s="49">
        <v>2</v>
      </c>
      <c r="H2574" s="48">
        <v>0</v>
      </c>
      <c r="I2574" s="48">
        <v>0</v>
      </c>
      <c r="J2574" s="48">
        <v>56</v>
      </c>
      <c r="K2574" s="28"/>
      <c r="M2574" s="63"/>
      <c r="O2574" s="14">
        <v>56</v>
      </c>
      <c r="P2574" s="21">
        <v>5</v>
      </c>
      <c r="Q2574" s="19">
        <f t="shared" si="446"/>
        <v>56</v>
      </c>
      <c r="R2574" s="14">
        <v>2000</v>
      </c>
      <c r="S2574" s="19">
        <f t="shared" si="447"/>
        <v>112000</v>
      </c>
      <c r="Y2574" s="28"/>
      <c r="AC2574" s="21"/>
      <c r="AD2574" s="17"/>
      <c r="AE2574" s="14"/>
      <c r="AF2574" s="21"/>
      <c r="AG2574" s="21"/>
      <c r="AH2574" s="6"/>
      <c r="AI2574" s="21"/>
      <c r="AJ2574" s="20">
        <f t="shared" si="449"/>
        <v>0</v>
      </c>
      <c r="AK2574" s="20">
        <f t="shared" ref="AK2574:AK2581" si="453">AB2574</f>
        <v>0</v>
      </c>
      <c r="AL2574" s="6"/>
      <c r="AM2574" s="20">
        <f t="shared" si="450"/>
        <v>0</v>
      </c>
      <c r="AN2574" s="55"/>
      <c r="AO2574" s="21"/>
      <c r="AP2574" s="55"/>
      <c r="AQ2574" s="7"/>
      <c r="AR2574" s="51">
        <v>6875</v>
      </c>
      <c r="AS2574" s="21"/>
      <c r="AT2574" s="21"/>
      <c r="AU2574" s="21"/>
    </row>
    <row r="2575" spans="1:47" ht="30" customHeight="1" x14ac:dyDescent="0.2">
      <c r="C2575" s="16"/>
      <c r="D2575" s="48"/>
      <c r="E2575" s="47"/>
      <c r="F2575" s="48"/>
      <c r="G2575" s="49"/>
      <c r="H2575" s="48"/>
      <c r="I2575" s="48"/>
      <c r="J2575" s="48"/>
      <c r="K2575" s="28"/>
      <c r="M2575" s="63"/>
      <c r="P2575" s="21"/>
      <c r="Q2575" s="19">
        <f t="shared" si="446"/>
        <v>0</v>
      </c>
      <c r="R2575" s="14" t="e">
        <v>#N/A</v>
      </c>
      <c r="T2575" s="17">
        <v>1</v>
      </c>
      <c r="U2575" s="17" t="s">
        <v>63</v>
      </c>
      <c r="V2575" s="17" t="s">
        <v>56</v>
      </c>
      <c r="W2575" s="4">
        <v>78.75</v>
      </c>
      <c r="Y2575" s="28" t="s">
        <v>222</v>
      </c>
      <c r="AB2575" s="17">
        <v>7</v>
      </c>
      <c r="AC2575" s="21" t="s">
        <v>81</v>
      </c>
      <c r="AD2575" s="17"/>
      <c r="AE2575" s="14" t="s">
        <v>81</v>
      </c>
      <c r="AF2575" s="21">
        <v>2</v>
      </c>
      <c r="AG2575" s="21">
        <v>78.75</v>
      </c>
      <c r="AH2575" s="6">
        <v>1</v>
      </c>
      <c r="AI2575" s="21">
        <v>8100</v>
      </c>
      <c r="AJ2575" s="20">
        <f t="shared" si="449"/>
        <v>637875</v>
      </c>
      <c r="AK2575" s="20">
        <v>7</v>
      </c>
      <c r="AL2575" s="6">
        <v>7.0000000000000007E-2</v>
      </c>
      <c r="AM2575" s="20">
        <f t="shared" si="450"/>
        <v>593223.75</v>
      </c>
      <c r="AN2575" s="55">
        <f>+(S2574*0.5)+AM2575</f>
        <v>649223.75</v>
      </c>
      <c r="AO2575" s="21"/>
      <c r="AP2575" s="55">
        <f t="shared" ref="AP2575:AP2581" si="454">AN2575</f>
        <v>649223.75</v>
      </c>
      <c r="AQ2575" s="7">
        <v>2.0000000000000001E-4</v>
      </c>
      <c r="AR2575" s="51"/>
      <c r="AS2575" s="21"/>
      <c r="AT2575" s="21"/>
      <c r="AU2575" s="21"/>
    </row>
    <row r="2576" spans="1:47" ht="30" customHeight="1" x14ac:dyDescent="0.2">
      <c r="C2576" s="16"/>
      <c r="D2576" s="48"/>
      <c r="E2576" s="47"/>
      <c r="F2576" s="48"/>
      <c r="G2576" s="49"/>
      <c r="H2576" s="48"/>
      <c r="I2576" s="48"/>
      <c r="J2576" s="48"/>
      <c r="K2576" s="28"/>
      <c r="M2576" s="63"/>
      <c r="P2576" s="21"/>
      <c r="Q2576" s="19">
        <f t="shared" si="446"/>
        <v>0</v>
      </c>
      <c r="R2576" s="14" t="e">
        <v>#N/A</v>
      </c>
      <c r="T2576" s="17">
        <v>2</v>
      </c>
      <c r="U2576" s="17" t="s">
        <v>63</v>
      </c>
      <c r="V2576" s="17" t="s">
        <v>56</v>
      </c>
      <c r="W2576" s="4">
        <v>78.75</v>
      </c>
      <c r="Y2576" s="28"/>
      <c r="Z2576" s="17">
        <v>78.75</v>
      </c>
      <c r="AB2576" s="17">
        <v>7</v>
      </c>
      <c r="AC2576" s="21" t="s">
        <v>81</v>
      </c>
      <c r="AD2576" s="17"/>
      <c r="AE2576" s="14" t="s">
        <v>81</v>
      </c>
      <c r="AF2576" s="21">
        <v>3</v>
      </c>
      <c r="AG2576" s="21">
        <v>78.75</v>
      </c>
      <c r="AH2576" s="6">
        <v>1</v>
      </c>
      <c r="AI2576" s="21">
        <v>8100</v>
      </c>
      <c r="AJ2576" s="20">
        <f t="shared" si="449"/>
        <v>637875</v>
      </c>
      <c r="AK2576" s="20">
        <v>7</v>
      </c>
      <c r="AL2576" s="6">
        <v>7.0000000000000007E-2</v>
      </c>
      <c r="AM2576" s="20">
        <f t="shared" si="450"/>
        <v>593223.75</v>
      </c>
      <c r="AN2576" s="55">
        <f>+(S2574*0.5)+AM2576</f>
        <v>649223.75</v>
      </c>
      <c r="AO2576" s="21"/>
      <c r="AP2576" s="55">
        <f t="shared" si="454"/>
        <v>649223.75</v>
      </c>
      <c r="AQ2576" s="7">
        <v>3.0000000000000001E-3</v>
      </c>
      <c r="AR2576" s="51"/>
      <c r="AS2576" s="21"/>
      <c r="AT2576" s="21"/>
      <c r="AU2576" s="21"/>
    </row>
    <row r="2577" spans="1:47" ht="30" customHeight="1" x14ac:dyDescent="0.2">
      <c r="A2577" s="2">
        <v>2181</v>
      </c>
      <c r="B2577" s="13">
        <v>2</v>
      </c>
      <c r="C2577" s="16" t="s">
        <v>52</v>
      </c>
      <c r="D2577" s="48">
        <v>14111</v>
      </c>
      <c r="E2577" s="47">
        <v>532</v>
      </c>
      <c r="F2577" s="48">
        <v>3293</v>
      </c>
      <c r="G2577" s="49">
        <v>2</v>
      </c>
      <c r="H2577" s="48">
        <v>0</v>
      </c>
      <c r="I2577" s="48">
        <v>0</v>
      </c>
      <c r="J2577" s="48">
        <v>97.01</v>
      </c>
      <c r="K2577" s="28"/>
      <c r="M2577" s="63" t="s">
        <v>223</v>
      </c>
      <c r="P2577" s="21">
        <v>3</v>
      </c>
      <c r="Q2577" s="19">
        <f t="shared" si="446"/>
        <v>97.01</v>
      </c>
      <c r="R2577" s="14">
        <v>250</v>
      </c>
      <c r="S2577" s="19">
        <f t="shared" ref="S2577:S2582" si="455">+Q2577*R2577</f>
        <v>24252.5</v>
      </c>
      <c r="T2577" s="17">
        <v>1</v>
      </c>
      <c r="U2577" s="17" t="s">
        <v>63</v>
      </c>
      <c r="V2577" s="17" t="s">
        <v>56</v>
      </c>
      <c r="W2577" s="4">
        <v>228</v>
      </c>
      <c r="Y2577" s="28"/>
      <c r="Z2577" s="17">
        <v>228</v>
      </c>
      <c r="AB2577" s="17">
        <v>5</v>
      </c>
      <c r="AC2577" s="21"/>
      <c r="AD2577" s="17"/>
      <c r="AE2577" s="14" t="s">
        <v>224</v>
      </c>
      <c r="AF2577" s="21">
        <v>3</v>
      </c>
      <c r="AG2577" s="21">
        <v>228</v>
      </c>
      <c r="AH2577" s="6">
        <v>1</v>
      </c>
      <c r="AI2577" s="21">
        <v>8100</v>
      </c>
      <c r="AJ2577" s="20">
        <f t="shared" si="449"/>
        <v>1846800</v>
      </c>
      <c r="AK2577" s="20">
        <f t="shared" si="453"/>
        <v>5</v>
      </c>
      <c r="AL2577" s="6">
        <v>0.05</v>
      </c>
      <c r="AM2577" s="20">
        <f t="shared" si="450"/>
        <v>1754460</v>
      </c>
      <c r="AN2577" s="55">
        <f t="shared" ref="AN2577:AN2582" si="456">+S2577+AM2577</f>
        <v>1778712.5</v>
      </c>
      <c r="AO2577" s="21"/>
      <c r="AP2577" s="55">
        <f t="shared" si="454"/>
        <v>1778712.5</v>
      </c>
      <c r="AQ2577" s="7">
        <v>3.0000000000000001E-3</v>
      </c>
      <c r="AR2577" s="51"/>
      <c r="AS2577" s="21"/>
      <c r="AT2577" s="21"/>
      <c r="AU2577" s="21"/>
    </row>
    <row r="2578" spans="1:47" ht="30" customHeight="1" x14ac:dyDescent="0.2">
      <c r="A2578" s="2">
        <v>2182</v>
      </c>
      <c r="B2578" s="13">
        <v>3</v>
      </c>
      <c r="C2578" s="16" t="s">
        <v>52</v>
      </c>
      <c r="D2578" s="48">
        <v>14112</v>
      </c>
      <c r="E2578" s="47">
        <v>533</v>
      </c>
      <c r="F2578" s="48">
        <v>3294</v>
      </c>
      <c r="G2578" s="49">
        <v>2</v>
      </c>
      <c r="H2578" s="48">
        <v>0</v>
      </c>
      <c r="I2578" s="48">
        <v>0</v>
      </c>
      <c r="J2578" s="48">
        <v>24.08</v>
      </c>
      <c r="K2578" s="28">
        <v>24.08</v>
      </c>
      <c r="M2578" s="63"/>
      <c r="P2578" s="21">
        <v>1</v>
      </c>
      <c r="Q2578" s="19">
        <f t="shared" si="446"/>
        <v>24.08</v>
      </c>
      <c r="R2578" s="14">
        <v>250</v>
      </c>
      <c r="S2578" s="19">
        <f t="shared" si="455"/>
        <v>6020</v>
      </c>
      <c r="Y2578" s="28"/>
      <c r="AC2578" s="21"/>
      <c r="AD2578" s="17"/>
      <c r="AE2578" s="54"/>
      <c r="AF2578" s="21"/>
      <c r="AG2578" s="21"/>
      <c r="AH2578" s="6"/>
      <c r="AI2578" s="21"/>
      <c r="AJ2578" s="20">
        <f t="shared" si="449"/>
        <v>0</v>
      </c>
      <c r="AK2578" s="20">
        <f t="shared" si="453"/>
        <v>0</v>
      </c>
      <c r="AL2578" s="6"/>
      <c r="AM2578" s="20">
        <f t="shared" si="450"/>
        <v>0</v>
      </c>
      <c r="AN2578" s="55">
        <f t="shared" si="456"/>
        <v>6020</v>
      </c>
      <c r="AO2578" s="21"/>
      <c r="AP2578" s="55">
        <f t="shared" si="454"/>
        <v>6020</v>
      </c>
      <c r="AQ2578" s="7"/>
      <c r="AR2578" s="51"/>
      <c r="AS2578" s="21"/>
      <c r="AT2578" s="21"/>
      <c r="AU2578" s="21"/>
    </row>
    <row r="2579" spans="1:47" ht="30" customHeight="1" x14ac:dyDescent="0.2">
      <c r="A2579" s="2">
        <v>2183</v>
      </c>
      <c r="B2579" s="13">
        <v>4</v>
      </c>
      <c r="C2579" s="16" t="s">
        <v>52</v>
      </c>
      <c r="D2579" s="48">
        <v>2118</v>
      </c>
      <c r="E2579" s="47">
        <v>7</v>
      </c>
      <c r="F2579" s="48">
        <v>1682</v>
      </c>
      <c r="G2579" s="49">
        <v>3</v>
      </c>
      <c r="H2579" s="48">
        <v>0</v>
      </c>
      <c r="I2579" s="48">
        <v>2</v>
      </c>
      <c r="J2579" s="48">
        <v>33</v>
      </c>
      <c r="K2579" s="28">
        <v>233</v>
      </c>
      <c r="M2579" s="63"/>
      <c r="P2579" s="21">
        <v>4</v>
      </c>
      <c r="Q2579" s="19">
        <f t="shared" si="446"/>
        <v>233</v>
      </c>
      <c r="R2579" s="14">
        <v>2000</v>
      </c>
      <c r="S2579" s="19">
        <f t="shared" si="455"/>
        <v>466000</v>
      </c>
      <c r="Y2579" s="28"/>
      <c r="AC2579" s="21"/>
      <c r="AD2579" s="17"/>
      <c r="AE2579" s="14"/>
      <c r="AF2579" s="21"/>
      <c r="AG2579" s="21"/>
      <c r="AH2579" s="6"/>
      <c r="AI2579" s="21"/>
      <c r="AJ2579" s="20">
        <f t="shared" si="449"/>
        <v>0</v>
      </c>
      <c r="AK2579" s="20">
        <f t="shared" si="453"/>
        <v>0</v>
      </c>
      <c r="AL2579" s="6"/>
      <c r="AM2579" s="20">
        <f t="shared" si="450"/>
        <v>0</v>
      </c>
      <c r="AN2579" s="55">
        <f t="shared" si="456"/>
        <v>466000</v>
      </c>
      <c r="AO2579" s="21"/>
      <c r="AP2579" s="55">
        <f t="shared" si="454"/>
        <v>466000</v>
      </c>
      <c r="AQ2579" s="7">
        <v>3.0000000000000001E-3</v>
      </c>
      <c r="AR2579" s="51"/>
      <c r="AS2579" s="21"/>
      <c r="AT2579" s="21"/>
      <c r="AU2579" s="21"/>
    </row>
    <row r="2580" spans="1:47" ht="30" customHeight="1" x14ac:dyDescent="0.2">
      <c r="A2580" s="2">
        <v>2184</v>
      </c>
      <c r="B2580" s="13">
        <v>5</v>
      </c>
      <c r="C2580" s="16" t="s">
        <v>52</v>
      </c>
      <c r="D2580" s="48">
        <v>2180</v>
      </c>
      <c r="E2580" s="47">
        <v>90</v>
      </c>
      <c r="F2580" s="48">
        <v>1783</v>
      </c>
      <c r="G2580" s="49">
        <v>3</v>
      </c>
      <c r="H2580" s="48">
        <v>0</v>
      </c>
      <c r="I2580" s="48">
        <v>1</v>
      </c>
      <c r="J2580" s="48">
        <v>23</v>
      </c>
      <c r="K2580" s="28">
        <v>123</v>
      </c>
      <c r="M2580" s="63"/>
      <c r="P2580" s="21">
        <v>1</v>
      </c>
      <c r="Q2580" s="19">
        <f t="shared" si="446"/>
        <v>123</v>
      </c>
      <c r="R2580" s="14">
        <v>1500</v>
      </c>
      <c r="S2580" s="19">
        <f t="shared" si="455"/>
        <v>184500</v>
      </c>
      <c r="Y2580" s="28"/>
      <c r="AC2580" s="21"/>
      <c r="AD2580" s="17"/>
      <c r="AE2580" s="14"/>
      <c r="AF2580" s="21"/>
      <c r="AG2580" s="21"/>
      <c r="AH2580" s="6"/>
      <c r="AI2580" s="21"/>
      <c r="AJ2580" s="20">
        <f t="shared" si="449"/>
        <v>0</v>
      </c>
      <c r="AK2580" s="20">
        <f t="shared" si="453"/>
        <v>0</v>
      </c>
      <c r="AL2580" s="6"/>
      <c r="AM2580" s="20">
        <f t="shared" si="450"/>
        <v>0</v>
      </c>
      <c r="AN2580" s="55">
        <f t="shared" si="456"/>
        <v>184500</v>
      </c>
      <c r="AO2580" s="21"/>
      <c r="AP2580" s="55">
        <f t="shared" si="454"/>
        <v>184500</v>
      </c>
      <c r="AQ2580" s="7"/>
      <c r="AR2580" s="51"/>
      <c r="AS2580" s="21"/>
      <c r="AT2580" s="21"/>
      <c r="AU2580" s="21"/>
    </row>
    <row r="2581" spans="1:47" ht="30" hidden="1" customHeight="1" x14ac:dyDescent="0.2">
      <c r="A2581" s="2">
        <v>3704</v>
      </c>
      <c r="B2581" s="13">
        <v>6</v>
      </c>
      <c r="C2581" s="16" t="s">
        <v>97</v>
      </c>
      <c r="D2581" s="17">
        <v>317</v>
      </c>
      <c r="G2581" s="13">
        <v>2</v>
      </c>
      <c r="H2581" s="17">
        <v>6</v>
      </c>
      <c r="I2581" s="17">
        <v>0</v>
      </c>
      <c r="J2581" s="17">
        <v>0</v>
      </c>
      <c r="K2581" s="28">
        <v>2400</v>
      </c>
      <c r="M2581" s="63"/>
      <c r="P2581" s="21">
        <v>1</v>
      </c>
      <c r="Q2581" s="19">
        <f t="shared" si="446"/>
        <v>2400</v>
      </c>
      <c r="R2581" s="14">
        <v>160</v>
      </c>
      <c r="S2581" s="19">
        <f t="shared" si="455"/>
        <v>384000</v>
      </c>
      <c r="Y2581" s="28"/>
      <c r="AD2581" s="17"/>
      <c r="AE2581" s="14" t="s">
        <v>225</v>
      </c>
      <c r="AF2581" s="21"/>
      <c r="AG2581" s="21"/>
      <c r="AH2581" s="6"/>
      <c r="AI2581" s="21"/>
      <c r="AJ2581" s="20">
        <f t="shared" si="449"/>
        <v>0</v>
      </c>
      <c r="AK2581" s="20">
        <f t="shared" si="453"/>
        <v>0</v>
      </c>
      <c r="AL2581" s="6"/>
      <c r="AM2581" s="20">
        <f t="shared" si="450"/>
        <v>0</v>
      </c>
      <c r="AN2581" s="55">
        <f t="shared" si="456"/>
        <v>384000</v>
      </c>
      <c r="AO2581" s="21"/>
      <c r="AP2581" s="55">
        <f t="shared" si="454"/>
        <v>384000</v>
      </c>
      <c r="AQ2581" s="7">
        <v>2.0000000000000001E-4</v>
      </c>
      <c r="AR2581" s="51"/>
      <c r="AS2581" s="21"/>
      <c r="AT2581" s="21"/>
      <c r="AU2581" s="21"/>
    </row>
    <row r="2582" spans="1:47" ht="30" customHeight="1" x14ac:dyDescent="0.2">
      <c r="A2582" s="86">
        <v>2185</v>
      </c>
      <c r="B2582" s="13">
        <v>7</v>
      </c>
      <c r="C2582" s="16" t="s">
        <v>52</v>
      </c>
      <c r="D2582" s="48">
        <v>1424</v>
      </c>
      <c r="E2582" s="47">
        <v>2</v>
      </c>
      <c r="F2582" s="48">
        <v>863</v>
      </c>
      <c r="G2582" s="53">
        <v>2</v>
      </c>
      <c r="H2582" s="48">
        <v>0</v>
      </c>
      <c r="I2582" s="48">
        <v>0</v>
      </c>
      <c r="J2582" s="48">
        <v>48</v>
      </c>
      <c r="K2582" s="63"/>
      <c r="L2582" s="63" t="s">
        <v>226</v>
      </c>
      <c r="M2582" s="63"/>
      <c r="N2582" s="63"/>
      <c r="O2582" s="63"/>
      <c r="P2582" s="21">
        <v>2</v>
      </c>
      <c r="Q2582" s="19">
        <f>+(H2582*400)+(I2582*100)+J2582</f>
        <v>48</v>
      </c>
      <c r="R2582" s="14">
        <v>2000</v>
      </c>
      <c r="S2582" s="19">
        <f t="shared" si="455"/>
        <v>96000</v>
      </c>
      <c r="T2582" s="63">
        <v>1</v>
      </c>
      <c r="U2582" s="17" t="s">
        <v>57</v>
      </c>
      <c r="V2582" s="17" t="s">
        <v>56</v>
      </c>
      <c r="W2582" s="28">
        <v>128</v>
      </c>
      <c r="X2582" s="63"/>
      <c r="Y2582" s="28">
        <v>128</v>
      </c>
      <c r="Z2582" s="63"/>
      <c r="AA2582" s="63"/>
      <c r="AB2582" s="63">
        <v>21</v>
      </c>
      <c r="AC2582" s="32"/>
      <c r="AD2582" s="29"/>
      <c r="AE2582" s="29"/>
      <c r="AF2582" s="21"/>
      <c r="AG2582" s="21"/>
      <c r="AH2582" s="6"/>
      <c r="AI2582" s="21"/>
      <c r="AJ2582" s="20">
        <f>+AG2582*AH2582*AI2582</f>
        <v>0</v>
      </c>
      <c r="AK2582" s="20">
        <f>AB2582</f>
        <v>21</v>
      </c>
      <c r="AL2582" s="6"/>
      <c r="AM2582" s="20">
        <f>+AJ2582-(AL2582*AJ2582)</f>
        <v>0</v>
      </c>
      <c r="AN2582" s="55">
        <f t="shared" si="456"/>
        <v>96000</v>
      </c>
      <c r="AO2582" s="21"/>
      <c r="AP2582" s="55">
        <f>AN2582</f>
        <v>96000</v>
      </c>
      <c r="AQ2582" s="7"/>
      <c r="AR2582" s="51"/>
      <c r="AS2582" s="21"/>
      <c r="AT2582" s="21"/>
      <c r="AU2582" s="21"/>
    </row>
    <row r="2583" spans="1:47" x14ac:dyDescent="0.2">
      <c r="A2583" s="2">
        <v>2186</v>
      </c>
      <c r="B2583" s="13">
        <v>1</v>
      </c>
      <c r="C2583" s="17" t="s">
        <v>52</v>
      </c>
      <c r="D2583" s="17">
        <v>891</v>
      </c>
      <c r="E2583" s="17">
        <v>6</v>
      </c>
      <c r="F2583" s="17">
        <v>185</v>
      </c>
      <c r="G2583" s="13">
        <v>1</v>
      </c>
      <c r="H2583" s="17">
        <v>11</v>
      </c>
      <c r="I2583" s="17">
        <v>3</v>
      </c>
      <c r="J2583" s="17">
        <v>33</v>
      </c>
      <c r="K2583" s="10">
        <v>4733</v>
      </c>
      <c r="P2583" s="17">
        <v>1</v>
      </c>
      <c r="Q2583" s="19">
        <v>4733</v>
      </c>
      <c r="R2583" s="14">
        <v>160</v>
      </c>
      <c r="S2583" s="19">
        <v>757280</v>
      </c>
      <c r="AJ2583" s="19">
        <v>0</v>
      </c>
      <c r="AK2583" s="23">
        <v>0</v>
      </c>
      <c r="AM2583" s="19">
        <v>0</v>
      </c>
      <c r="AN2583" s="19">
        <v>757280</v>
      </c>
      <c r="AP2583" s="14">
        <v>757280</v>
      </c>
      <c r="AS2583" s="14"/>
    </row>
    <row r="2584" spans="1:47" x14ac:dyDescent="0.2">
      <c r="A2584" s="2">
        <v>2187</v>
      </c>
      <c r="B2584" s="13">
        <v>1</v>
      </c>
      <c r="C2584" s="17" t="s">
        <v>52</v>
      </c>
      <c r="D2584" s="17">
        <v>20385</v>
      </c>
      <c r="E2584" s="17">
        <v>88</v>
      </c>
      <c r="F2584" s="17">
        <v>4593</v>
      </c>
      <c r="G2584" s="13">
        <v>1</v>
      </c>
      <c r="H2584" s="17">
        <v>0</v>
      </c>
      <c r="I2584" s="17">
        <v>0</v>
      </c>
      <c r="J2584" s="17">
        <v>77</v>
      </c>
      <c r="L2584" s="17">
        <v>77</v>
      </c>
      <c r="P2584" s="17">
        <v>2</v>
      </c>
      <c r="Q2584" s="19">
        <v>77</v>
      </c>
      <c r="R2584" s="14">
        <v>2250</v>
      </c>
      <c r="S2584" s="19">
        <v>173250</v>
      </c>
      <c r="AJ2584" s="19">
        <v>0</v>
      </c>
      <c r="AK2584" s="23">
        <v>0</v>
      </c>
      <c r="AM2584" s="19">
        <v>0</v>
      </c>
      <c r="AN2584" s="19">
        <v>173250</v>
      </c>
      <c r="AP2584" s="14">
        <v>173250</v>
      </c>
      <c r="AS2584" s="26">
        <v>30</v>
      </c>
    </row>
    <row r="2585" spans="1:47" x14ac:dyDescent="0.2">
      <c r="A2585" s="2">
        <v>2188</v>
      </c>
      <c r="B2585" s="13">
        <v>2</v>
      </c>
      <c r="C2585" s="17" t="s">
        <v>52</v>
      </c>
      <c r="D2585" s="17">
        <v>1598</v>
      </c>
      <c r="E2585" s="17">
        <v>36</v>
      </c>
      <c r="F2585" s="17">
        <v>535</v>
      </c>
      <c r="G2585" s="13">
        <v>2</v>
      </c>
      <c r="H2585" s="17">
        <v>5</v>
      </c>
      <c r="I2585" s="17">
        <v>1</v>
      </c>
      <c r="J2585" s="17">
        <v>60</v>
      </c>
      <c r="K2585" s="10">
        <v>2160</v>
      </c>
      <c r="P2585" s="17">
        <v>1</v>
      </c>
      <c r="Q2585" s="19">
        <v>2160</v>
      </c>
      <c r="R2585" s="14">
        <v>200</v>
      </c>
      <c r="S2585" s="19">
        <v>432000</v>
      </c>
      <c r="AJ2585" s="19">
        <v>0</v>
      </c>
      <c r="AK2585" s="23">
        <v>0</v>
      </c>
      <c r="AM2585" s="19">
        <v>0</v>
      </c>
      <c r="AN2585" s="19">
        <v>432000</v>
      </c>
      <c r="AP2585" s="14">
        <v>432000</v>
      </c>
    </row>
    <row r="2586" spans="1:47" ht="63" x14ac:dyDescent="0.2">
      <c r="A2586" s="2">
        <v>2189</v>
      </c>
      <c r="B2586" s="13">
        <v>1</v>
      </c>
      <c r="C2586" s="17" t="s">
        <v>52</v>
      </c>
      <c r="D2586" s="17">
        <v>20644</v>
      </c>
      <c r="E2586" s="17">
        <v>185</v>
      </c>
      <c r="F2586" s="17">
        <v>4630</v>
      </c>
      <c r="G2586" s="13">
        <v>1</v>
      </c>
      <c r="H2586" s="17">
        <v>0</v>
      </c>
      <c r="I2586" s="17">
        <v>3</v>
      </c>
      <c r="J2586" s="17">
        <v>29</v>
      </c>
      <c r="K2586" s="10">
        <v>305</v>
      </c>
      <c r="L2586" s="17">
        <v>24</v>
      </c>
      <c r="P2586" s="17">
        <v>2</v>
      </c>
      <c r="Q2586" s="19">
        <v>329</v>
      </c>
      <c r="R2586" s="14">
        <v>200</v>
      </c>
      <c r="S2586" s="19">
        <v>65800</v>
      </c>
      <c r="U2586" s="17" t="s">
        <v>57</v>
      </c>
      <c r="V2586" s="17" t="s">
        <v>56</v>
      </c>
      <c r="Y2586" s="4">
        <v>96</v>
      </c>
      <c r="AB2586" s="17">
        <v>16</v>
      </c>
      <c r="AJ2586" s="19">
        <v>0</v>
      </c>
      <c r="AK2586" s="23">
        <v>16</v>
      </c>
      <c r="AM2586" s="19">
        <v>0</v>
      </c>
      <c r="AN2586" s="19">
        <v>65800</v>
      </c>
      <c r="AP2586" s="14">
        <v>65800</v>
      </c>
    </row>
    <row r="2587" spans="1:47" x14ac:dyDescent="0.2">
      <c r="A2587" s="2">
        <v>2190</v>
      </c>
      <c r="B2587" s="13">
        <v>1</v>
      </c>
      <c r="C2587" s="17" t="s">
        <v>52</v>
      </c>
      <c r="D2587" s="17">
        <v>850</v>
      </c>
      <c r="E2587" s="17">
        <v>76</v>
      </c>
      <c r="F2587" s="17">
        <v>140</v>
      </c>
      <c r="G2587" s="13">
        <v>1</v>
      </c>
      <c r="H2587" s="17">
        <v>0</v>
      </c>
      <c r="I2587" s="17">
        <v>1</v>
      </c>
      <c r="J2587" s="17">
        <v>91</v>
      </c>
      <c r="N2587" s="18">
        <v>191</v>
      </c>
      <c r="P2587" s="17">
        <v>4</v>
      </c>
      <c r="Q2587" s="19">
        <v>191</v>
      </c>
      <c r="R2587" s="14">
        <v>250</v>
      </c>
      <c r="S2587" s="19">
        <v>47750</v>
      </c>
      <c r="AJ2587" s="19">
        <v>0</v>
      </c>
      <c r="AK2587" s="23">
        <v>0</v>
      </c>
      <c r="AM2587" s="19">
        <v>0</v>
      </c>
      <c r="AN2587" s="19">
        <v>47750</v>
      </c>
      <c r="AP2587" s="14">
        <v>47750</v>
      </c>
      <c r="AQ2587" s="12">
        <v>3.0000000000000001E-3</v>
      </c>
    </row>
    <row r="2588" spans="1:47" ht="63" x14ac:dyDescent="0.2">
      <c r="A2588" s="2">
        <v>2191</v>
      </c>
      <c r="B2588" s="13">
        <v>2</v>
      </c>
      <c r="C2588" s="17" t="s">
        <v>52</v>
      </c>
      <c r="D2588" s="17">
        <v>908</v>
      </c>
      <c r="E2588" s="17">
        <v>32</v>
      </c>
      <c r="F2588" s="17">
        <v>206</v>
      </c>
      <c r="G2588" s="13">
        <v>1</v>
      </c>
      <c r="H2588" s="17">
        <v>0</v>
      </c>
      <c r="I2588" s="17">
        <v>1</v>
      </c>
      <c r="J2588" s="17">
        <v>5</v>
      </c>
      <c r="L2588" s="17">
        <v>105</v>
      </c>
      <c r="P2588" s="17">
        <v>2</v>
      </c>
      <c r="Q2588" s="19">
        <v>105</v>
      </c>
      <c r="R2588" s="14">
        <v>250</v>
      </c>
      <c r="S2588" s="19">
        <v>26250</v>
      </c>
      <c r="U2588" s="17" t="s">
        <v>57</v>
      </c>
      <c r="V2588" s="17" t="s">
        <v>56</v>
      </c>
      <c r="Y2588" s="4">
        <v>161</v>
      </c>
      <c r="AB2588" s="17">
        <v>35</v>
      </c>
      <c r="AJ2588" s="19">
        <v>0</v>
      </c>
      <c r="AK2588" s="23">
        <v>35</v>
      </c>
      <c r="AM2588" s="19">
        <v>0</v>
      </c>
      <c r="AN2588" s="19">
        <v>26250</v>
      </c>
      <c r="AP2588" s="14">
        <v>26250</v>
      </c>
    </row>
    <row r="2589" spans="1:47" x14ac:dyDescent="0.2">
      <c r="A2589" s="2">
        <v>2192</v>
      </c>
      <c r="B2589" s="13">
        <v>1</v>
      </c>
      <c r="C2589" s="17" t="s">
        <v>52</v>
      </c>
      <c r="D2589" s="17">
        <v>20643</v>
      </c>
      <c r="E2589" s="17">
        <v>184</v>
      </c>
      <c r="F2589" s="17">
        <v>4629</v>
      </c>
      <c r="G2589" s="13">
        <v>1</v>
      </c>
      <c r="H2589" s="17">
        <v>0</v>
      </c>
      <c r="I2589" s="17">
        <v>1</v>
      </c>
      <c r="J2589" s="17">
        <v>79</v>
      </c>
      <c r="K2589" s="10">
        <v>143</v>
      </c>
      <c r="L2589" s="17">
        <v>36</v>
      </c>
      <c r="P2589" s="17">
        <v>2</v>
      </c>
      <c r="Q2589" s="19">
        <v>179</v>
      </c>
      <c r="R2589" s="14">
        <v>200</v>
      </c>
      <c r="S2589" s="19">
        <v>35800</v>
      </c>
      <c r="T2589" s="17">
        <v>1</v>
      </c>
      <c r="V2589" s="17" t="s">
        <v>56</v>
      </c>
      <c r="W2589" s="4">
        <v>144</v>
      </c>
      <c r="Y2589" s="4">
        <v>144</v>
      </c>
      <c r="AB2589" s="17" t="s">
        <v>227</v>
      </c>
      <c r="AE2589" s="17" t="s">
        <v>228</v>
      </c>
      <c r="AJ2589" s="19">
        <v>0</v>
      </c>
      <c r="AK2589" s="23" t="s">
        <v>227</v>
      </c>
      <c r="AM2589" s="19">
        <v>0</v>
      </c>
      <c r="AN2589" s="19">
        <v>35800</v>
      </c>
      <c r="AP2589" s="14">
        <v>35800</v>
      </c>
    </row>
    <row r="2590" spans="1:47" x14ac:dyDescent="0.2">
      <c r="A2590" s="2">
        <v>2193</v>
      </c>
      <c r="B2590" s="13">
        <v>1</v>
      </c>
      <c r="C2590" s="17" t="s">
        <v>52</v>
      </c>
      <c r="D2590" s="17">
        <v>884</v>
      </c>
      <c r="E2590" s="17">
        <v>99</v>
      </c>
      <c r="F2590" s="17">
        <v>178</v>
      </c>
      <c r="G2590" s="13">
        <v>1</v>
      </c>
      <c r="H2590" s="17">
        <v>0</v>
      </c>
      <c r="I2590" s="17">
        <v>1</v>
      </c>
      <c r="J2590" s="17">
        <v>90</v>
      </c>
      <c r="K2590" s="10">
        <v>172</v>
      </c>
      <c r="L2590" s="17">
        <v>18</v>
      </c>
      <c r="P2590" s="17">
        <v>2</v>
      </c>
      <c r="Q2590" s="19">
        <v>190</v>
      </c>
      <c r="R2590" s="14">
        <v>200</v>
      </c>
      <c r="S2590" s="19">
        <v>38000</v>
      </c>
      <c r="T2590" s="17">
        <v>1</v>
      </c>
      <c r="V2590" s="17" t="s">
        <v>84</v>
      </c>
      <c r="W2590" s="4">
        <v>45</v>
      </c>
      <c r="Y2590" s="4">
        <v>45</v>
      </c>
      <c r="AB2590" s="17">
        <v>20</v>
      </c>
      <c r="AJ2590" s="19">
        <v>0</v>
      </c>
      <c r="AK2590" s="23">
        <v>20</v>
      </c>
      <c r="AM2590" s="19">
        <v>0</v>
      </c>
      <c r="AN2590" s="19">
        <v>38000</v>
      </c>
      <c r="AP2590" s="14">
        <v>38000</v>
      </c>
    </row>
    <row r="2591" spans="1:47" x14ac:dyDescent="0.2">
      <c r="Q2591" s="19">
        <v>0</v>
      </c>
      <c r="R2591" s="14" t="e">
        <v>#N/A</v>
      </c>
      <c r="S2591" s="19" t="e">
        <v>#N/A</v>
      </c>
      <c r="T2591" s="17">
        <v>2</v>
      </c>
      <c r="V2591" s="17" t="s">
        <v>84</v>
      </c>
      <c r="W2591" s="4">
        <v>27</v>
      </c>
      <c r="Y2591" s="4">
        <v>27</v>
      </c>
      <c r="AB2591" s="17">
        <v>30</v>
      </c>
      <c r="AJ2591" s="19">
        <v>0</v>
      </c>
      <c r="AK2591" s="23">
        <v>30</v>
      </c>
      <c r="AM2591" s="19">
        <v>0</v>
      </c>
      <c r="AN2591" s="19" t="e">
        <v>#N/A</v>
      </c>
      <c r="AP2591" s="14" t="e">
        <v>#N/A</v>
      </c>
    </row>
    <row r="2592" spans="1:47" ht="63" x14ac:dyDescent="0.2">
      <c r="A2592" s="2">
        <v>2194</v>
      </c>
      <c r="B2592" s="13">
        <v>1</v>
      </c>
      <c r="C2592" s="17" t="s">
        <v>52</v>
      </c>
      <c r="D2592" s="17">
        <v>22298</v>
      </c>
      <c r="E2592" s="17">
        <v>202</v>
      </c>
      <c r="F2592" s="17">
        <v>4786</v>
      </c>
      <c r="G2592" s="13">
        <v>1</v>
      </c>
      <c r="H2592" s="17">
        <v>1</v>
      </c>
      <c r="I2592" s="17">
        <v>0</v>
      </c>
      <c r="J2592" s="17">
        <v>20</v>
      </c>
      <c r="K2592" s="10">
        <v>375</v>
      </c>
      <c r="L2592" s="17">
        <v>45</v>
      </c>
      <c r="P2592" s="17">
        <v>2</v>
      </c>
      <c r="Q2592" s="19">
        <v>420</v>
      </c>
      <c r="R2592" s="14">
        <v>200</v>
      </c>
      <c r="S2592" s="19">
        <v>84000</v>
      </c>
      <c r="U2592" s="17" t="s">
        <v>57</v>
      </c>
      <c r="V2592" s="17" t="s">
        <v>56</v>
      </c>
      <c r="Y2592" s="4">
        <v>180</v>
      </c>
      <c r="AB2592" s="17">
        <v>4</v>
      </c>
      <c r="AJ2592" s="19">
        <v>0</v>
      </c>
      <c r="AK2592" s="23">
        <v>4</v>
      </c>
      <c r="AM2592" s="19">
        <v>0</v>
      </c>
      <c r="AN2592" s="19">
        <v>84000</v>
      </c>
      <c r="AP2592" s="14">
        <v>84000</v>
      </c>
      <c r="AS2592" s="26">
        <v>16</v>
      </c>
    </row>
    <row r="2593" spans="1:45" x14ac:dyDescent="0.2">
      <c r="A2593" s="2">
        <v>2195</v>
      </c>
      <c r="B2593" s="13">
        <v>2</v>
      </c>
      <c r="C2593" s="17" t="s">
        <v>69</v>
      </c>
      <c r="E2593" s="17">
        <v>161</v>
      </c>
      <c r="F2593" s="17">
        <v>8</v>
      </c>
      <c r="G2593" s="13">
        <v>2</v>
      </c>
      <c r="H2593" s="17">
        <v>5</v>
      </c>
      <c r="I2593" s="17">
        <v>0</v>
      </c>
      <c r="J2593" s="17">
        <v>12</v>
      </c>
      <c r="K2593" s="10">
        <v>2012</v>
      </c>
      <c r="P2593" s="17">
        <v>1</v>
      </c>
      <c r="Q2593" s="19">
        <v>2012</v>
      </c>
      <c r="R2593" s="14">
        <v>160</v>
      </c>
      <c r="S2593" s="19">
        <v>321920</v>
      </c>
      <c r="AJ2593" s="19">
        <v>0</v>
      </c>
      <c r="AK2593" s="23">
        <v>0</v>
      </c>
      <c r="AM2593" s="19">
        <v>0</v>
      </c>
      <c r="AN2593" s="19">
        <v>321920</v>
      </c>
      <c r="AP2593" s="14">
        <v>321920</v>
      </c>
      <c r="AQ2593" s="12">
        <v>1E-4</v>
      </c>
    </row>
    <row r="2594" spans="1:45" ht="63" x14ac:dyDescent="0.2">
      <c r="A2594" s="2">
        <v>2196</v>
      </c>
      <c r="B2594" s="13">
        <v>1</v>
      </c>
      <c r="C2594" s="17" t="s">
        <v>52</v>
      </c>
      <c r="D2594" s="17">
        <v>22300</v>
      </c>
      <c r="E2594" s="17">
        <v>204</v>
      </c>
      <c r="F2594" s="17">
        <v>4788</v>
      </c>
      <c r="G2594" s="13">
        <v>1</v>
      </c>
      <c r="H2594" s="17">
        <v>0</v>
      </c>
      <c r="I2594" s="17">
        <v>3</v>
      </c>
      <c r="J2594" s="17">
        <v>6</v>
      </c>
      <c r="L2594" s="17">
        <v>306</v>
      </c>
      <c r="P2594" s="17">
        <v>2</v>
      </c>
      <c r="Q2594" s="19">
        <v>306</v>
      </c>
      <c r="R2594" s="14">
        <v>200</v>
      </c>
      <c r="S2594" s="19">
        <v>61200</v>
      </c>
      <c r="U2594" s="17" t="s">
        <v>57</v>
      </c>
      <c r="V2594" s="17" t="s">
        <v>56</v>
      </c>
      <c r="Y2594" s="4">
        <v>154</v>
      </c>
      <c r="AB2594" s="17">
        <v>15</v>
      </c>
      <c r="AJ2594" s="19">
        <v>0</v>
      </c>
      <c r="AK2594" s="23">
        <v>15</v>
      </c>
      <c r="AM2594" s="19">
        <v>0</v>
      </c>
      <c r="AN2594" s="19">
        <v>61200</v>
      </c>
      <c r="AP2594" s="14">
        <v>61200</v>
      </c>
    </row>
    <row r="2595" spans="1:45" x14ac:dyDescent="0.2">
      <c r="A2595" s="2">
        <v>2197</v>
      </c>
      <c r="B2595" s="13">
        <v>1</v>
      </c>
      <c r="C2595" s="17" t="s">
        <v>52</v>
      </c>
      <c r="D2595" s="17">
        <v>28356</v>
      </c>
      <c r="E2595" s="17">
        <v>86</v>
      </c>
      <c r="F2595" s="17">
        <v>5306</v>
      </c>
      <c r="G2595" s="13">
        <v>1</v>
      </c>
      <c r="H2595" s="17">
        <v>0</v>
      </c>
      <c r="I2595" s="17">
        <v>0</v>
      </c>
      <c r="J2595" s="17">
        <v>36</v>
      </c>
      <c r="K2595" s="10">
        <v>36</v>
      </c>
      <c r="P2595" s="17">
        <v>1</v>
      </c>
      <c r="Q2595" s="19">
        <v>36</v>
      </c>
      <c r="R2595" s="14">
        <v>250</v>
      </c>
      <c r="S2595" s="19">
        <v>9000</v>
      </c>
      <c r="AE2595" s="17" t="s">
        <v>229</v>
      </c>
      <c r="AJ2595" s="19">
        <v>0</v>
      </c>
      <c r="AK2595" s="23">
        <v>0</v>
      </c>
      <c r="AM2595" s="19">
        <v>0</v>
      </c>
      <c r="AN2595" s="19">
        <v>9000</v>
      </c>
      <c r="AP2595" s="14">
        <v>9000</v>
      </c>
    </row>
    <row r="2596" spans="1:45" x14ac:dyDescent="0.2">
      <c r="A2596" s="2">
        <v>2198</v>
      </c>
      <c r="B2596" s="13">
        <v>2</v>
      </c>
      <c r="C2596" s="17" t="s">
        <v>52</v>
      </c>
      <c r="D2596" s="17">
        <v>24431</v>
      </c>
      <c r="E2596" s="17">
        <v>213</v>
      </c>
      <c r="F2596" s="17">
        <v>4908</v>
      </c>
      <c r="G2596" s="13">
        <v>1</v>
      </c>
      <c r="H2596" s="17">
        <v>0</v>
      </c>
      <c r="I2596" s="17">
        <v>0</v>
      </c>
      <c r="J2596" s="17">
        <v>70</v>
      </c>
      <c r="K2596" s="10">
        <v>70</v>
      </c>
      <c r="P2596" s="17">
        <v>1</v>
      </c>
      <c r="Q2596" s="19">
        <v>70</v>
      </c>
      <c r="R2596" s="14">
        <v>250</v>
      </c>
      <c r="S2596" s="19">
        <v>17500</v>
      </c>
      <c r="AE2596" s="17" t="s">
        <v>221</v>
      </c>
      <c r="AG2596" s="54">
        <v>0</v>
      </c>
      <c r="AJ2596" s="19">
        <v>0</v>
      </c>
      <c r="AM2596" s="19">
        <v>0</v>
      </c>
      <c r="AN2596" s="19">
        <v>17500</v>
      </c>
      <c r="AP2596" s="14">
        <v>17500</v>
      </c>
    </row>
    <row r="2597" spans="1:45" ht="63" x14ac:dyDescent="0.2">
      <c r="A2597" s="2">
        <v>2199</v>
      </c>
      <c r="B2597" s="13">
        <v>1</v>
      </c>
      <c r="C2597" s="17" t="s">
        <v>52</v>
      </c>
      <c r="D2597" s="17">
        <v>882</v>
      </c>
      <c r="E2597" s="17">
        <v>87</v>
      </c>
      <c r="F2597" s="17">
        <v>176</v>
      </c>
      <c r="G2597" s="13">
        <v>1</v>
      </c>
      <c r="H2597" s="17">
        <v>0</v>
      </c>
      <c r="I2597" s="17">
        <v>3</v>
      </c>
      <c r="J2597" s="17">
        <v>73</v>
      </c>
      <c r="L2597" s="17">
        <v>373</v>
      </c>
      <c r="P2597" s="17">
        <v>2</v>
      </c>
      <c r="Q2597" s="19">
        <v>373</v>
      </c>
      <c r="R2597" s="14">
        <v>200</v>
      </c>
      <c r="S2597" s="19">
        <v>74600</v>
      </c>
      <c r="U2597" s="17" t="s">
        <v>57</v>
      </c>
      <c r="V2597" s="17" t="s">
        <v>56</v>
      </c>
      <c r="Y2597" s="4">
        <v>50</v>
      </c>
      <c r="AB2597" s="17">
        <v>40</v>
      </c>
      <c r="AJ2597" s="19">
        <v>0</v>
      </c>
      <c r="AK2597" s="23">
        <v>40</v>
      </c>
      <c r="AM2597" s="19">
        <v>0</v>
      </c>
      <c r="AN2597" s="19">
        <v>74600</v>
      </c>
      <c r="AP2597" s="14">
        <v>74600</v>
      </c>
    </row>
    <row r="2598" spans="1:45" x14ac:dyDescent="0.2">
      <c r="A2598" s="2">
        <v>2200</v>
      </c>
      <c r="B2598" s="13">
        <v>1</v>
      </c>
      <c r="C2598" s="17" t="s">
        <v>52</v>
      </c>
      <c r="D2598" s="17">
        <v>22299</v>
      </c>
      <c r="E2598" s="17">
        <v>203</v>
      </c>
      <c r="F2598" s="17">
        <v>4787</v>
      </c>
      <c r="G2598" s="13">
        <v>1</v>
      </c>
      <c r="H2598" s="17">
        <v>1</v>
      </c>
      <c r="I2598" s="17">
        <v>0</v>
      </c>
      <c r="J2598" s="17">
        <v>59</v>
      </c>
      <c r="P2598" s="17">
        <v>2</v>
      </c>
      <c r="Q2598" s="19">
        <v>459</v>
      </c>
      <c r="R2598" s="14">
        <v>200</v>
      </c>
      <c r="S2598" s="19">
        <v>91800</v>
      </c>
      <c r="Y2598" s="4">
        <v>128</v>
      </c>
      <c r="AB2598" s="17">
        <v>19</v>
      </c>
      <c r="AJ2598" s="19">
        <v>0</v>
      </c>
      <c r="AK2598" s="23">
        <v>19</v>
      </c>
      <c r="AM2598" s="19">
        <v>0</v>
      </c>
      <c r="AN2598" s="19">
        <v>91800</v>
      </c>
      <c r="AP2598" s="14">
        <v>91800</v>
      </c>
      <c r="AS2598" s="26">
        <v>53</v>
      </c>
    </row>
    <row r="2599" spans="1:45" x14ac:dyDescent="0.2">
      <c r="Q2599" s="19">
        <v>0</v>
      </c>
      <c r="R2599" s="14" t="e">
        <v>#N/A</v>
      </c>
      <c r="S2599" s="19" t="e">
        <v>#N/A</v>
      </c>
      <c r="Y2599" s="4">
        <v>90</v>
      </c>
      <c r="AB2599" s="17">
        <v>14</v>
      </c>
      <c r="AJ2599" s="19">
        <v>0</v>
      </c>
      <c r="AK2599" s="23">
        <v>14</v>
      </c>
      <c r="AM2599" s="19">
        <v>0</v>
      </c>
      <c r="AN2599" s="19" t="e">
        <v>#N/A</v>
      </c>
      <c r="AP2599" s="14" t="e">
        <v>#N/A</v>
      </c>
    </row>
    <row r="2600" spans="1:45" x14ac:dyDescent="0.2">
      <c r="Q2600" s="19">
        <v>0</v>
      </c>
      <c r="R2600" s="14" t="e">
        <v>#N/A</v>
      </c>
      <c r="S2600" s="19" t="e">
        <v>#N/A</v>
      </c>
      <c r="Y2600" s="4">
        <v>85</v>
      </c>
      <c r="AB2600" s="17">
        <v>27</v>
      </c>
      <c r="AJ2600" s="19">
        <v>0</v>
      </c>
      <c r="AK2600" s="23">
        <v>27</v>
      </c>
      <c r="AM2600" s="19">
        <v>0</v>
      </c>
      <c r="AN2600" s="19" t="e">
        <v>#N/A</v>
      </c>
      <c r="AP2600" s="14" t="e">
        <v>#N/A</v>
      </c>
    </row>
    <row r="2601" spans="1:45" x14ac:dyDescent="0.2">
      <c r="A2601" s="2">
        <v>2201</v>
      </c>
      <c r="B2601" s="13">
        <v>2</v>
      </c>
      <c r="C2601" s="17" t="s">
        <v>69</v>
      </c>
      <c r="E2601" s="17">
        <v>162</v>
      </c>
      <c r="F2601" s="17">
        <v>5</v>
      </c>
      <c r="G2601" s="13">
        <v>1</v>
      </c>
      <c r="H2601" s="17">
        <v>17</v>
      </c>
      <c r="I2601" s="17">
        <v>1</v>
      </c>
      <c r="J2601" s="17">
        <v>95</v>
      </c>
      <c r="K2601" s="10">
        <v>6995</v>
      </c>
      <c r="P2601" s="17">
        <v>1</v>
      </c>
      <c r="Q2601" s="19">
        <v>6995</v>
      </c>
      <c r="R2601" s="14">
        <v>160</v>
      </c>
      <c r="S2601" s="19">
        <v>1119200</v>
      </c>
      <c r="AJ2601" s="19">
        <v>0</v>
      </c>
      <c r="AK2601" s="23">
        <v>0</v>
      </c>
      <c r="AM2601" s="19">
        <v>0</v>
      </c>
      <c r="AN2601" s="19">
        <v>1119200</v>
      </c>
      <c r="AP2601" s="14">
        <v>1119200</v>
      </c>
      <c r="AQ2601" s="12">
        <v>1E-4</v>
      </c>
    </row>
    <row r="2602" spans="1:45" x14ac:dyDescent="0.2">
      <c r="A2602" s="2">
        <v>2202</v>
      </c>
      <c r="B2602" s="13">
        <v>1</v>
      </c>
      <c r="C2602" s="17" t="s">
        <v>52</v>
      </c>
      <c r="D2602" s="17">
        <v>866</v>
      </c>
      <c r="E2602" s="17">
        <v>109</v>
      </c>
      <c r="F2602" s="17">
        <v>157</v>
      </c>
      <c r="G2602" s="13">
        <v>1</v>
      </c>
      <c r="H2602" s="17">
        <v>1</v>
      </c>
      <c r="I2602" s="17">
        <v>0</v>
      </c>
      <c r="J2602" s="17">
        <v>49</v>
      </c>
      <c r="K2602" s="10">
        <v>449</v>
      </c>
      <c r="P2602" s="17">
        <v>1</v>
      </c>
      <c r="Q2602" s="19">
        <v>449</v>
      </c>
      <c r="R2602" s="14">
        <v>200</v>
      </c>
      <c r="S2602" s="19">
        <v>89800</v>
      </c>
      <c r="AJ2602" s="19">
        <v>0</v>
      </c>
      <c r="AK2602" s="23">
        <v>0</v>
      </c>
      <c r="AM2602" s="19">
        <v>0</v>
      </c>
      <c r="AN2602" s="19">
        <v>89800</v>
      </c>
      <c r="AP2602" s="14">
        <v>89800</v>
      </c>
      <c r="AS2602" s="26">
        <v>6</v>
      </c>
    </row>
    <row r="2603" spans="1:45" ht="63" x14ac:dyDescent="0.2">
      <c r="A2603" s="2">
        <v>2203</v>
      </c>
      <c r="B2603" s="13">
        <v>1</v>
      </c>
      <c r="C2603" s="17" t="s">
        <v>52</v>
      </c>
      <c r="D2603" s="17">
        <v>14026</v>
      </c>
      <c r="E2603" s="17">
        <v>154</v>
      </c>
      <c r="F2603" s="17">
        <v>3302</v>
      </c>
      <c r="G2603" s="13">
        <v>1</v>
      </c>
      <c r="H2603" s="17">
        <v>1</v>
      </c>
      <c r="I2603" s="17">
        <v>3</v>
      </c>
      <c r="J2603" s="17">
        <v>19</v>
      </c>
      <c r="K2603" s="10">
        <v>688.625</v>
      </c>
      <c r="L2603" s="17">
        <v>30.375</v>
      </c>
      <c r="P2603" s="17">
        <v>2</v>
      </c>
      <c r="Q2603" s="19">
        <v>719</v>
      </c>
      <c r="R2603" s="14">
        <v>200</v>
      </c>
      <c r="S2603" s="19">
        <v>143800</v>
      </c>
      <c r="U2603" s="17" t="s">
        <v>57</v>
      </c>
      <c r="V2603" s="17" t="s">
        <v>56</v>
      </c>
      <c r="Y2603" s="4">
        <v>121.5</v>
      </c>
      <c r="AB2603" s="17">
        <v>11</v>
      </c>
      <c r="AJ2603" s="19">
        <v>0</v>
      </c>
      <c r="AK2603" s="23">
        <v>11</v>
      </c>
      <c r="AM2603" s="19">
        <v>0</v>
      </c>
      <c r="AN2603" s="19">
        <v>143800</v>
      </c>
      <c r="AP2603" s="14">
        <v>143800</v>
      </c>
    </row>
    <row r="2605" spans="1:45" ht="63" x14ac:dyDescent="0.2">
      <c r="A2605" s="2">
        <v>2204</v>
      </c>
      <c r="B2605" s="13">
        <v>1</v>
      </c>
      <c r="C2605" s="17" t="s">
        <v>52</v>
      </c>
      <c r="D2605" s="17">
        <v>14027</v>
      </c>
      <c r="E2605" s="17">
        <v>155</v>
      </c>
      <c r="F2605" s="17">
        <v>3303</v>
      </c>
      <c r="G2605" s="13">
        <v>1</v>
      </c>
      <c r="H2605" s="17">
        <v>2</v>
      </c>
      <c r="I2605" s="17">
        <v>0</v>
      </c>
      <c r="J2605" s="17">
        <v>2</v>
      </c>
      <c r="K2605" s="10">
        <v>742</v>
      </c>
      <c r="L2605" s="17">
        <v>60</v>
      </c>
      <c r="P2605" s="17">
        <v>2</v>
      </c>
      <c r="Q2605" s="19">
        <v>802</v>
      </c>
      <c r="R2605" s="14">
        <v>200</v>
      </c>
      <c r="S2605" s="19">
        <v>160400</v>
      </c>
      <c r="U2605" s="17" t="s">
        <v>57</v>
      </c>
      <c r="V2605" s="17" t="s">
        <v>56</v>
      </c>
      <c r="Y2605" s="4">
        <v>240</v>
      </c>
      <c r="AB2605" s="17">
        <v>19</v>
      </c>
      <c r="AJ2605" s="19">
        <v>0</v>
      </c>
      <c r="AK2605" s="23">
        <v>19</v>
      </c>
      <c r="AM2605" s="19">
        <v>0</v>
      </c>
      <c r="AN2605" s="19">
        <v>160400</v>
      </c>
      <c r="AP2605" s="14">
        <v>160400</v>
      </c>
    </row>
    <row r="2606" spans="1:45" x14ac:dyDescent="0.2">
      <c r="A2606" s="2">
        <v>2205</v>
      </c>
      <c r="B2606" s="13">
        <v>1</v>
      </c>
      <c r="C2606" s="17" t="s">
        <v>52</v>
      </c>
      <c r="D2606" s="17">
        <v>4635</v>
      </c>
      <c r="E2606" s="17">
        <v>56</v>
      </c>
      <c r="F2606" s="17">
        <v>2456</v>
      </c>
      <c r="G2606" s="13">
        <v>1</v>
      </c>
      <c r="H2606" s="17">
        <v>6</v>
      </c>
      <c r="I2606" s="17">
        <v>3</v>
      </c>
      <c r="J2606" s="17">
        <v>83</v>
      </c>
      <c r="K2606" s="10">
        <v>2783</v>
      </c>
      <c r="P2606" s="17">
        <v>1</v>
      </c>
      <c r="Q2606" s="19">
        <v>2783</v>
      </c>
      <c r="R2606" s="14">
        <v>200</v>
      </c>
      <c r="S2606" s="19">
        <v>556600</v>
      </c>
      <c r="AJ2606" s="19">
        <v>0</v>
      </c>
      <c r="AK2606" s="23">
        <v>0</v>
      </c>
      <c r="AM2606" s="19">
        <v>0</v>
      </c>
      <c r="AN2606" s="19">
        <v>556600</v>
      </c>
      <c r="AP2606" s="14">
        <v>556600</v>
      </c>
    </row>
    <row r="2607" spans="1:45" x14ac:dyDescent="0.2">
      <c r="A2607" s="2">
        <v>2206</v>
      </c>
      <c r="B2607" s="13">
        <v>2</v>
      </c>
      <c r="C2607" s="17" t="s">
        <v>52</v>
      </c>
      <c r="D2607" s="17">
        <v>14025</v>
      </c>
      <c r="E2607" s="17">
        <v>153</v>
      </c>
      <c r="F2607" s="17">
        <v>3301</v>
      </c>
      <c r="G2607" s="13">
        <v>1</v>
      </c>
      <c r="H2607" s="17">
        <v>2</v>
      </c>
      <c r="I2607" s="17">
        <v>2</v>
      </c>
      <c r="J2607" s="17">
        <v>9</v>
      </c>
      <c r="K2607" s="10">
        <v>1009</v>
      </c>
      <c r="P2607" s="17">
        <v>1</v>
      </c>
      <c r="Q2607" s="19">
        <v>1009</v>
      </c>
      <c r="R2607" s="14">
        <v>200</v>
      </c>
      <c r="S2607" s="19">
        <v>201800</v>
      </c>
      <c r="AJ2607" s="19">
        <v>0</v>
      </c>
      <c r="AK2607" s="23">
        <v>0</v>
      </c>
      <c r="AM2607" s="19">
        <v>0</v>
      </c>
      <c r="AN2607" s="19">
        <v>201800</v>
      </c>
      <c r="AP2607" s="14">
        <v>201800</v>
      </c>
    </row>
    <row r="2608" spans="1:45" ht="63" x14ac:dyDescent="0.2">
      <c r="A2608" s="2">
        <v>2207</v>
      </c>
      <c r="B2608" s="13">
        <v>1</v>
      </c>
      <c r="C2608" s="17" t="s">
        <v>52</v>
      </c>
      <c r="D2608" s="17">
        <v>34427</v>
      </c>
      <c r="E2608" s="17">
        <v>359</v>
      </c>
      <c r="F2608" s="17">
        <v>6881</v>
      </c>
      <c r="G2608" s="13">
        <v>1</v>
      </c>
      <c r="H2608" s="17">
        <v>0</v>
      </c>
      <c r="I2608" s="17">
        <v>0</v>
      </c>
      <c r="J2608" s="17">
        <v>45</v>
      </c>
      <c r="L2608" s="17">
        <v>45</v>
      </c>
      <c r="P2608" s="17">
        <v>2</v>
      </c>
      <c r="Q2608" s="19">
        <v>45</v>
      </c>
      <c r="R2608" s="14">
        <v>250</v>
      </c>
      <c r="S2608" s="19">
        <v>11250</v>
      </c>
      <c r="U2608" s="17" t="s">
        <v>57</v>
      </c>
      <c r="V2608" s="17" t="s">
        <v>56</v>
      </c>
      <c r="Y2608" s="4">
        <v>45</v>
      </c>
      <c r="AB2608" s="17">
        <v>4</v>
      </c>
      <c r="AJ2608" s="19">
        <v>0</v>
      </c>
      <c r="AK2608" s="23">
        <v>4</v>
      </c>
      <c r="AM2608" s="19">
        <v>0</v>
      </c>
      <c r="AN2608" s="19">
        <v>11250</v>
      </c>
      <c r="AP2608" s="14">
        <v>11250</v>
      </c>
    </row>
    <row r="2609" spans="1:45" s="19" customFormat="1" x14ac:dyDescent="0.2">
      <c r="A2609" s="2">
        <v>2208</v>
      </c>
      <c r="B2609" s="13">
        <v>2</v>
      </c>
      <c r="C2609" s="17" t="s">
        <v>69</v>
      </c>
      <c r="D2609" s="17"/>
      <c r="E2609" s="17">
        <v>154</v>
      </c>
      <c r="F2609" s="17">
        <v>3</v>
      </c>
      <c r="G2609" s="13">
        <v>1</v>
      </c>
      <c r="H2609" s="17">
        <v>22</v>
      </c>
      <c r="I2609" s="17">
        <v>3</v>
      </c>
      <c r="J2609" s="17">
        <v>95</v>
      </c>
      <c r="K2609" s="10">
        <v>9195</v>
      </c>
      <c r="L2609" s="17"/>
      <c r="M2609" s="15"/>
      <c r="N2609" s="18"/>
      <c r="O2609" s="14"/>
      <c r="P2609" s="17">
        <v>1</v>
      </c>
      <c r="Q2609" s="19">
        <v>9195</v>
      </c>
      <c r="R2609" s="14">
        <v>200</v>
      </c>
      <c r="S2609" s="19">
        <v>1839000</v>
      </c>
      <c r="T2609" s="17"/>
      <c r="U2609" s="17"/>
      <c r="V2609" s="17"/>
      <c r="W2609" s="4"/>
      <c r="X2609" s="17"/>
      <c r="Y2609" s="4"/>
      <c r="Z2609" s="17"/>
      <c r="AA2609" s="17"/>
      <c r="AB2609" s="17"/>
      <c r="AC2609" s="14"/>
      <c r="AD2609" s="14"/>
      <c r="AE2609" s="17"/>
      <c r="AF2609" s="14"/>
      <c r="AG2609" s="54"/>
      <c r="AH2609" s="11"/>
      <c r="AI2609" s="14"/>
      <c r="AJ2609" s="19">
        <v>0</v>
      </c>
      <c r="AK2609" s="23">
        <v>0</v>
      </c>
      <c r="AL2609" s="11"/>
      <c r="AM2609" s="19">
        <v>0</v>
      </c>
      <c r="AN2609" s="19">
        <v>1839000</v>
      </c>
      <c r="AO2609" s="14"/>
      <c r="AP2609" s="14">
        <v>1839000</v>
      </c>
      <c r="AQ2609" s="12">
        <v>1E-4</v>
      </c>
      <c r="AS2609" s="26"/>
    </row>
    <row r="2610" spans="1:45" s="19" customFormat="1" x14ac:dyDescent="0.2">
      <c r="A2610" s="2">
        <v>2209</v>
      </c>
      <c r="B2610" s="13">
        <v>3</v>
      </c>
      <c r="C2610" s="17" t="s">
        <v>69</v>
      </c>
      <c r="D2610" s="17"/>
      <c r="E2610" s="17">
        <v>155</v>
      </c>
      <c r="F2610" s="17">
        <v>9</v>
      </c>
      <c r="G2610" s="13">
        <v>1</v>
      </c>
      <c r="H2610" s="17">
        <v>6</v>
      </c>
      <c r="I2610" s="17">
        <v>1</v>
      </c>
      <c r="J2610" s="17">
        <v>36</v>
      </c>
      <c r="K2610" s="10">
        <v>2536</v>
      </c>
      <c r="L2610" s="17"/>
      <c r="M2610" s="15"/>
      <c r="N2610" s="18"/>
      <c r="O2610" s="14"/>
      <c r="P2610" s="17">
        <v>1</v>
      </c>
      <c r="Q2610" s="19">
        <v>2536</v>
      </c>
      <c r="R2610" s="14">
        <v>160</v>
      </c>
      <c r="S2610" s="19">
        <v>405760</v>
      </c>
      <c r="T2610" s="17"/>
      <c r="U2610" s="17"/>
      <c r="V2610" s="17"/>
      <c r="W2610" s="4"/>
      <c r="X2610" s="17"/>
      <c r="Y2610" s="4"/>
      <c r="Z2610" s="17"/>
      <c r="AA2610" s="17"/>
      <c r="AB2610" s="17"/>
      <c r="AC2610" s="14"/>
      <c r="AD2610" s="14"/>
      <c r="AE2610" s="17"/>
      <c r="AF2610" s="14"/>
      <c r="AG2610" s="54"/>
      <c r="AH2610" s="11"/>
      <c r="AI2610" s="14"/>
      <c r="AJ2610" s="19">
        <v>0</v>
      </c>
      <c r="AK2610" s="23">
        <v>0</v>
      </c>
      <c r="AL2610" s="11"/>
      <c r="AM2610" s="19">
        <v>0</v>
      </c>
      <c r="AN2610" s="19">
        <v>405760</v>
      </c>
      <c r="AO2610" s="14"/>
      <c r="AP2610" s="14">
        <v>405760</v>
      </c>
      <c r="AQ2610" s="12">
        <v>1E-4</v>
      </c>
      <c r="AS2610" s="26"/>
    </row>
    <row r="2611" spans="1:45" s="19" customFormat="1" x14ac:dyDescent="0.2">
      <c r="A2611" s="2">
        <v>2210</v>
      </c>
      <c r="B2611" s="13">
        <v>1</v>
      </c>
      <c r="C2611" s="17" t="s">
        <v>52</v>
      </c>
      <c r="D2611" s="17">
        <v>4172</v>
      </c>
      <c r="E2611" s="17">
        <v>78</v>
      </c>
      <c r="F2611" s="17">
        <v>2513</v>
      </c>
      <c r="G2611" s="13">
        <v>1</v>
      </c>
      <c r="H2611" s="17">
        <v>10</v>
      </c>
      <c r="I2611" s="17">
        <v>0</v>
      </c>
      <c r="J2611" s="17">
        <v>77</v>
      </c>
      <c r="K2611" s="10">
        <v>4077</v>
      </c>
      <c r="L2611" s="17"/>
      <c r="M2611" s="15"/>
      <c r="N2611" s="18"/>
      <c r="O2611" s="14"/>
      <c r="P2611" s="17">
        <v>1</v>
      </c>
      <c r="Q2611" s="19">
        <v>4077</v>
      </c>
      <c r="R2611" s="14">
        <v>160</v>
      </c>
      <c r="S2611" s="19">
        <v>652320</v>
      </c>
      <c r="T2611" s="17"/>
      <c r="U2611" s="17"/>
      <c r="V2611" s="17"/>
      <c r="W2611" s="4"/>
      <c r="X2611" s="17"/>
      <c r="Y2611" s="4"/>
      <c r="Z2611" s="17"/>
      <c r="AA2611" s="17"/>
      <c r="AB2611" s="17"/>
      <c r="AC2611" s="14"/>
      <c r="AD2611" s="14"/>
      <c r="AE2611" s="17"/>
      <c r="AF2611" s="14"/>
      <c r="AG2611" s="54"/>
      <c r="AH2611" s="11"/>
      <c r="AI2611" s="14"/>
      <c r="AJ2611" s="19">
        <v>0</v>
      </c>
      <c r="AK2611" s="23">
        <v>0</v>
      </c>
      <c r="AL2611" s="11"/>
      <c r="AM2611" s="19">
        <v>0</v>
      </c>
      <c r="AN2611" s="19">
        <v>652320</v>
      </c>
      <c r="AO2611" s="14"/>
      <c r="AP2611" s="14">
        <v>652320</v>
      </c>
      <c r="AQ2611" s="12"/>
      <c r="AS2611" s="26"/>
    </row>
    <row r="2612" spans="1:45" s="19" customFormat="1" x14ac:dyDescent="0.2">
      <c r="A2612" s="2">
        <v>2211</v>
      </c>
      <c r="B2612" s="13">
        <v>2</v>
      </c>
      <c r="C2612" s="17" t="s">
        <v>52</v>
      </c>
      <c r="D2612" s="17">
        <v>34425</v>
      </c>
      <c r="E2612" s="17">
        <v>357</v>
      </c>
      <c r="F2612" s="17">
        <v>6879</v>
      </c>
      <c r="G2612" s="13">
        <v>1</v>
      </c>
      <c r="H2612" s="17">
        <v>0</v>
      </c>
      <c r="I2612" s="17">
        <v>0</v>
      </c>
      <c r="J2612" s="17">
        <v>46</v>
      </c>
      <c r="K2612" s="10">
        <v>46</v>
      </c>
      <c r="L2612" s="17"/>
      <c r="M2612" s="15"/>
      <c r="N2612" s="18"/>
      <c r="O2612" s="14"/>
      <c r="P2612" s="17">
        <v>1</v>
      </c>
      <c r="Q2612" s="19">
        <v>46</v>
      </c>
      <c r="R2612" s="14">
        <v>250</v>
      </c>
      <c r="S2612" s="19">
        <v>11500</v>
      </c>
      <c r="T2612" s="17"/>
      <c r="U2612" s="17"/>
      <c r="V2612" s="17"/>
      <c r="W2612" s="4"/>
      <c r="X2612" s="17"/>
      <c r="Y2612" s="4"/>
      <c r="Z2612" s="17"/>
      <c r="AA2612" s="17"/>
      <c r="AB2612" s="17"/>
      <c r="AC2612" s="14"/>
      <c r="AD2612" s="14"/>
      <c r="AE2612" s="17"/>
      <c r="AF2612" s="14"/>
      <c r="AG2612" s="54"/>
      <c r="AH2612" s="11"/>
      <c r="AI2612" s="14"/>
      <c r="AJ2612" s="19">
        <v>0</v>
      </c>
      <c r="AK2612" s="23">
        <v>0</v>
      </c>
      <c r="AL2612" s="11"/>
      <c r="AM2612" s="19">
        <v>0</v>
      </c>
      <c r="AN2612" s="19">
        <v>11500</v>
      </c>
      <c r="AO2612" s="14"/>
      <c r="AP2612" s="14">
        <v>11500</v>
      </c>
      <c r="AQ2612" s="12"/>
      <c r="AS2612" s="26"/>
    </row>
    <row r="2613" spans="1:45" s="19" customFormat="1" x14ac:dyDescent="0.2">
      <c r="A2613" s="2">
        <v>2212</v>
      </c>
      <c r="B2613" s="13">
        <v>3</v>
      </c>
      <c r="C2613" s="17" t="s">
        <v>52</v>
      </c>
      <c r="D2613" s="17">
        <v>1882</v>
      </c>
      <c r="E2613" s="17">
        <v>25</v>
      </c>
      <c r="F2613" s="17">
        <v>1272</v>
      </c>
      <c r="G2613" s="13">
        <v>2</v>
      </c>
      <c r="H2613" s="17">
        <v>5</v>
      </c>
      <c r="I2613" s="17">
        <v>0</v>
      </c>
      <c r="J2613" s="17">
        <v>69</v>
      </c>
      <c r="K2613" s="10">
        <v>2069</v>
      </c>
      <c r="L2613" s="17"/>
      <c r="M2613" s="15"/>
      <c r="N2613" s="18"/>
      <c r="O2613" s="14"/>
      <c r="P2613" s="17">
        <v>1</v>
      </c>
      <c r="Q2613" s="19">
        <v>2069</v>
      </c>
      <c r="R2613" s="14">
        <v>160</v>
      </c>
      <c r="S2613" s="19">
        <v>331040</v>
      </c>
      <c r="T2613" s="17"/>
      <c r="U2613" s="17"/>
      <c r="V2613" s="17"/>
      <c r="W2613" s="4"/>
      <c r="X2613" s="17"/>
      <c r="Y2613" s="4"/>
      <c r="Z2613" s="17"/>
      <c r="AA2613" s="17"/>
      <c r="AB2613" s="17"/>
      <c r="AC2613" s="14"/>
      <c r="AD2613" s="14"/>
      <c r="AE2613" s="17"/>
      <c r="AF2613" s="14"/>
      <c r="AG2613" s="54"/>
      <c r="AH2613" s="11"/>
      <c r="AI2613" s="14"/>
      <c r="AJ2613" s="19">
        <v>0</v>
      </c>
      <c r="AK2613" s="23">
        <v>0</v>
      </c>
      <c r="AL2613" s="11"/>
      <c r="AM2613" s="19">
        <v>0</v>
      </c>
      <c r="AN2613" s="19">
        <v>331040</v>
      </c>
      <c r="AO2613" s="14"/>
      <c r="AP2613" s="14">
        <v>331040</v>
      </c>
      <c r="AQ2613" s="12"/>
      <c r="AS2613" s="26"/>
    </row>
    <row r="2614" spans="1:45" s="19" customFormat="1" x14ac:dyDescent="0.2">
      <c r="A2614" s="2">
        <v>2213</v>
      </c>
      <c r="B2614" s="13">
        <v>4</v>
      </c>
      <c r="C2614" s="17" t="s">
        <v>52</v>
      </c>
      <c r="D2614" s="17">
        <v>3008</v>
      </c>
      <c r="E2614" s="17">
        <v>55</v>
      </c>
      <c r="F2614" s="17">
        <v>2076</v>
      </c>
      <c r="G2614" s="13">
        <v>2</v>
      </c>
      <c r="H2614" s="17">
        <v>0</v>
      </c>
      <c r="I2614" s="17">
        <v>0</v>
      </c>
      <c r="J2614" s="17">
        <v>36</v>
      </c>
      <c r="K2614" s="10"/>
      <c r="L2614" s="17"/>
      <c r="M2614" s="15"/>
      <c r="N2614" s="18">
        <v>36</v>
      </c>
      <c r="O2614" s="14"/>
      <c r="P2614" s="17">
        <v>4</v>
      </c>
      <c r="Q2614" s="19">
        <v>36</v>
      </c>
      <c r="R2614" s="14">
        <v>250</v>
      </c>
      <c r="S2614" s="19">
        <v>9000</v>
      </c>
      <c r="T2614" s="17"/>
      <c r="U2614" s="17"/>
      <c r="V2614" s="17"/>
      <c r="W2614" s="4"/>
      <c r="X2614" s="17"/>
      <c r="Y2614" s="4"/>
      <c r="Z2614" s="17"/>
      <c r="AA2614" s="17"/>
      <c r="AB2614" s="17"/>
      <c r="AC2614" s="14"/>
      <c r="AD2614" s="14"/>
      <c r="AE2614" s="17"/>
      <c r="AF2614" s="14"/>
      <c r="AG2614" s="54"/>
      <c r="AH2614" s="11"/>
      <c r="AI2614" s="14"/>
      <c r="AJ2614" s="19">
        <v>0</v>
      </c>
      <c r="AK2614" s="23">
        <v>0</v>
      </c>
      <c r="AL2614" s="11"/>
      <c r="AM2614" s="19">
        <v>0</v>
      </c>
      <c r="AN2614" s="19">
        <v>9000</v>
      </c>
      <c r="AO2614" s="14"/>
      <c r="AP2614" s="14">
        <v>9000</v>
      </c>
      <c r="AQ2614" s="12">
        <v>3.0000000000000001E-3</v>
      </c>
      <c r="AS2614" s="26"/>
    </row>
    <row r="2615" spans="1:45" s="19" customFormat="1" x14ac:dyDescent="0.2">
      <c r="A2615" s="2">
        <v>2214</v>
      </c>
      <c r="B2615" s="13">
        <v>5</v>
      </c>
      <c r="C2615" s="17" t="s">
        <v>52</v>
      </c>
      <c r="D2615" s="17">
        <v>35784</v>
      </c>
      <c r="E2615" s="17">
        <v>156</v>
      </c>
      <c r="F2615" s="17">
        <v>7085</v>
      </c>
      <c r="G2615" s="13">
        <v>3</v>
      </c>
      <c r="H2615" s="17">
        <v>6</v>
      </c>
      <c r="I2615" s="17">
        <v>1</v>
      </c>
      <c r="J2615" s="17">
        <v>71</v>
      </c>
      <c r="K2615" s="10">
        <v>2571</v>
      </c>
      <c r="L2615" s="17"/>
      <c r="M2615" s="15"/>
      <c r="N2615" s="18"/>
      <c r="O2615" s="14"/>
      <c r="P2615" s="17">
        <v>1</v>
      </c>
      <c r="Q2615" s="19">
        <v>2571</v>
      </c>
      <c r="R2615" s="14">
        <v>160</v>
      </c>
      <c r="S2615" s="19">
        <v>411360</v>
      </c>
      <c r="T2615" s="17"/>
      <c r="U2615" s="17"/>
      <c r="V2615" s="17"/>
      <c r="W2615" s="4"/>
      <c r="X2615" s="17"/>
      <c r="Y2615" s="4"/>
      <c r="Z2615" s="17"/>
      <c r="AA2615" s="17"/>
      <c r="AB2615" s="17"/>
      <c r="AC2615" s="14"/>
      <c r="AD2615" s="14"/>
      <c r="AE2615" s="17"/>
      <c r="AF2615" s="14"/>
      <c r="AG2615" s="54"/>
      <c r="AH2615" s="11"/>
      <c r="AI2615" s="14"/>
      <c r="AJ2615" s="19">
        <v>0</v>
      </c>
      <c r="AK2615" s="23">
        <v>0</v>
      </c>
      <c r="AL2615" s="11"/>
      <c r="AM2615" s="19">
        <v>0</v>
      </c>
      <c r="AN2615" s="19">
        <v>411360</v>
      </c>
      <c r="AO2615" s="14"/>
      <c r="AP2615" s="14">
        <v>411360</v>
      </c>
      <c r="AQ2615" s="12"/>
      <c r="AS2615" s="26"/>
    </row>
    <row r="2616" spans="1:45" s="19" customFormat="1" x14ac:dyDescent="0.2">
      <c r="A2616" s="2">
        <v>2215</v>
      </c>
      <c r="B2616" s="13">
        <v>6</v>
      </c>
      <c r="C2616" s="17" t="s">
        <v>52</v>
      </c>
      <c r="D2616" s="17">
        <v>1881</v>
      </c>
      <c r="E2616" s="17">
        <v>108</v>
      </c>
      <c r="F2616" s="17">
        <v>1271</v>
      </c>
      <c r="G2616" s="13">
        <v>2</v>
      </c>
      <c r="H2616" s="17">
        <v>3</v>
      </c>
      <c r="I2616" s="17">
        <v>0</v>
      </c>
      <c r="J2616" s="17">
        <v>64</v>
      </c>
      <c r="K2616" s="10">
        <v>1264</v>
      </c>
      <c r="L2616" s="17"/>
      <c r="M2616" s="15"/>
      <c r="N2616" s="18"/>
      <c r="O2616" s="14"/>
      <c r="P2616" s="17">
        <v>1</v>
      </c>
      <c r="Q2616" s="19">
        <v>1264</v>
      </c>
      <c r="R2616" s="14">
        <v>160</v>
      </c>
      <c r="S2616" s="19">
        <v>202240</v>
      </c>
      <c r="T2616" s="17"/>
      <c r="U2616" s="17"/>
      <c r="V2616" s="17"/>
      <c r="W2616" s="4"/>
      <c r="X2616" s="17"/>
      <c r="Y2616" s="4"/>
      <c r="Z2616" s="17"/>
      <c r="AA2616" s="17"/>
      <c r="AB2616" s="17"/>
      <c r="AC2616" s="14"/>
      <c r="AD2616" s="14"/>
      <c r="AE2616" s="17"/>
      <c r="AF2616" s="14"/>
      <c r="AG2616" s="54"/>
      <c r="AH2616" s="11"/>
      <c r="AI2616" s="14"/>
      <c r="AJ2616" s="19">
        <v>0</v>
      </c>
      <c r="AK2616" s="23">
        <v>0</v>
      </c>
      <c r="AL2616" s="11"/>
      <c r="AM2616" s="19">
        <v>0</v>
      </c>
      <c r="AN2616" s="19">
        <v>202240</v>
      </c>
      <c r="AO2616" s="14"/>
      <c r="AP2616" s="14">
        <v>202240</v>
      </c>
      <c r="AQ2616" s="12"/>
      <c r="AS2616" s="26"/>
    </row>
    <row r="2617" spans="1:45" s="19" customFormat="1" x14ac:dyDescent="0.2">
      <c r="A2617" s="2">
        <v>2216</v>
      </c>
      <c r="B2617" s="13">
        <v>1</v>
      </c>
      <c r="C2617" s="17" t="s">
        <v>52</v>
      </c>
      <c r="D2617" s="17">
        <v>34424</v>
      </c>
      <c r="E2617" s="17">
        <v>356</v>
      </c>
      <c r="F2617" s="17">
        <v>6878</v>
      </c>
      <c r="G2617" s="13">
        <v>1</v>
      </c>
      <c r="H2617" s="17">
        <v>0</v>
      </c>
      <c r="I2617" s="17">
        <v>0</v>
      </c>
      <c r="J2617" s="17">
        <v>45</v>
      </c>
      <c r="K2617" s="10">
        <v>45</v>
      </c>
      <c r="L2617" s="17"/>
      <c r="M2617" s="15"/>
      <c r="N2617" s="18"/>
      <c r="O2617" s="14"/>
      <c r="P2617" s="17">
        <v>1</v>
      </c>
      <c r="Q2617" s="19">
        <v>45</v>
      </c>
      <c r="R2617" s="14">
        <v>250</v>
      </c>
      <c r="S2617" s="19">
        <v>11250</v>
      </c>
      <c r="T2617" s="17"/>
      <c r="U2617" s="17"/>
      <c r="V2617" s="17"/>
      <c r="W2617" s="4"/>
      <c r="X2617" s="17"/>
      <c r="Y2617" s="4"/>
      <c r="Z2617" s="17"/>
      <c r="AA2617" s="17"/>
      <c r="AB2617" s="17"/>
      <c r="AC2617" s="14"/>
      <c r="AD2617" s="14"/>
      <c r="AE2617" s="17"/>
      <c r="AF2617" s="14"/>
      <c r="AG2617" s="54"/>
      <c r="AH2617" s="11"/>
      <c r="AI2617" s="14"/>
      <c r="AJ2617" s="19">
        <v>0</v>
      </c>
      <c r="AK2617" s="23">
        <v>0</v>
      </c>
      <c r="AL2617" s="11"/>
      <c r="AM2617" s="19">
        <v>0</v>
      </c>
      <c r="AN2617" s="19">
        <v>11250</v>
      </c>
      <c r="AO2617" s="14"/>
      <c r="AP2617" s="14">
        <v>11250</v>
      </c>
      <c r="AQ2617" s="12"/>
      <c r="AS2617" s="26"/>
    </row>
    <row r="2618" spans="1:45" s="19" customFormat="1" x14ac:dyDescent="0.2">
      <c r="A2618" s="2">
        <v>2217</v>
      </c>
      <c r="B2618" s="13">
        <v>2</v>
      </c>
      <c r="C2618" s="17" t="s">
        <v>69</v>
      </c>
      <c r="D2618" s="17"/>
      <c r="E2618" s="17">
        <v>154</v>
      </c>
      <c r="F2618" s="17">
        <v>1</v>
      </c>
      <c r="G2618" s="13">
        <v>1</v>
      </c>
      <c r="H2618" s="17">
        <v>4</v>
      </c>
      <c r="I2618" s="17">
        <v>0</v>
      </c>
      <c r="J2618" s="17">
        <v>74</v>
      </c>
      <c r="K2618" s="10">
        <v>1674</v>
      </c>
      <c r="L2618" s="17"/>
      <c r="M2618" s="15"/>
      <c r="N2618" s="18"/>
      <c r="O2618" s="14"/>
      <c r="P2618" s="17">
        <v>1</v>
      </c>
      <c r="Q2618" s="19">
        <v>1674</v>
      </c>
      <c r="R2618" s="14">
        <v>200</v>
      </c>
      <c r="S2618" s="19">
        <v>334800</v>
      </c>
      <c r="T2618" s="17"/>
      <c r="U2618" s="17"/>
      <c r="V2618" s="17"/>
      <c r="W2618" s="4"/>
      <c r="X2618" s="17"/>
      <c r="Y2618" s="4"/>
      <c r="Z2618" s="17"/>
      <c r="AA2618" s="17"/>
      <c r="AB2618" s="17"/>
      <c r="AC2618" s="14"/>
      <c r="AD2618" s="14"/>
      <c r="AE2618" s="17"/>
      <c r="AF2618" s="14"/>
      <c r="AG2618" s="54"/>
      <c r="AH2618" s="11"/>
      <c r="AI2618" s="14"/>
      <c r="AJ2618" s="19">
        <v>0</v>
      </c>
      <c r="AK2618" s="23">
        <v>0</v>
      </c>
      <c r="AL2618" s="11"/>
      <c r="AM2618" s="19">
        <v>0</v>
      </c>
      <c r="AN2618" s="19">
        <v>334800</v>
      </c>
      <c r="AO2618" s="14"/>
      <c r="AP2618" s="14">
        <v>334800</v>
      </c>
      <c r="AQ2618" s="12">
        <v>1E-4</v>
      </c>
      <c r="AS2618" s="26"/>
    </row>
    <row r="2619" spans="1:45" s="19" customFormat="1" x14ac:dyDescent="0.2">
      <c r="A2619" s="2">
        <v>2218</v>
      </c>
      <c r="B2619" s="13">
        <v>3</v>
      </c>
      <c r="C2619" s="17" t="s">
        <v>69</v>
      </c>
      <c r="D2619" s="17"/>
      <c r="E2619" s="17">
        <v>159</v>
      </c>
      <c r="F2619" s="17">
        <v>5</v>
      </c>
      <c r="G2619" s="13">
        <v>1</v>
      </c>
      <c r="H2619" s="17">
        <v>0</v>
      </c>
      <c r="I2619" s="17">
        <v>0</v>
      </c>
      <c r="J2619" s="17">
        <v>21</v>
      </c>
      <c r="K2619" s="10">
        <v>21</v>
      </c>
      <c r="L2619" s="17"/>
      <c r="M2619" s="15"/>
      <c r="N2619" s="18"/>
      <c r="O2619" s="14"/>
      <c r="P2619" s="17">
        <v>1</v>
      </c>
      <c r="Q2619" s="19">
        <v>21</v>
      </c>
      <c r="R2619" s="14">
        <v>160</v>
      </c>
      <c r="S2619" s="19">
        <v>3360</v>
      </c>
      <c r="T2619" s="17"/>
      <c r="U2619" s="17"/>
      <c r="V2619" s="17"/>
      <c r="W2619" s="4"/>
      <c r="X2619" s="17"/>
      <c r="Y2619" s="4"/>
      <c r="Z2619" s="17"/>
      <c r="AA2619" s="17"/>
      <c r="AB2619" s="17"/>
      <c r="AC2619" s="14"/>
      <c r="AD2619" s="14"/>
      <c r="AE2619" s="17"/>
      <c r="AF2619" s="14"/>
      <c r="AG2619" s="54"/>
      <c r="AH2619" s="11"/>
      <c r="AI2619" s="14"/>
      <c r="AJ2619" s="19">
        <v>0</v>
      </c>
      <c r="AK2619" s="23">
        <v>0</v>
      </c>
      <c r="AL2619" s="11"/>
      <c r="AM2619" s="19">
        <v>0</v>
      </c>
      <c r="AN2619" s="19">
        <v>3360</v>
      </c>
      <c r="AO2619" s="14"/>
      <c r="AP2619" s="14">
        <v>3360</v>
      </c>
      <c r="AQ2619" s="12">
        <v>1E-4</v>
      </c>
      <c r="AS2619" s="26"/>
    </row>
    <row r="2620" spans="1:45" s="19" customFormat="1" x14ac:dyDescent="0.2">
      <c r="A2620" s="2">
        <v>2219</v>
      </c>
      <c r="B2620" s="13">
        <v>4</v>
      </c>
      <c r="C2620" s="17" t="s">
        <v>69</v>
      </c>
      <c r="D2620" s="17"/>
      <c r="E2620" s="17">
        <v>2328</v>
      </c>
      <c r="F2620" s="17">
        <v>21</v>
      </c>
      <c r="G2620" s="13">
        <v>1</v>
      </c>
      <c r="H2620" s="17">
        <v>8</v>
      </c>
      <c r="I2620" s="17">
        <v>1</v>
      </c>
      <c r="J2620" s="17">
        <v>83</v>
      </c>
      <c r="K2620" s="10">
        <v>3383</v>
      </c>
      <c r="L2620" s="17"/>
      <c r="M2620" s="15"/>
      <c r="N2620" s="18"/>
      <c r="O2620" s="14"/>
      <c r="P2620" s="17">
        <v>1</v>
      </c>
      <c r="Q2620" s="19">
        <v>3383</v>
      </c>
      <c r="R2620" s="14">
        <v>200</v>
      </c>
      <c r="S2620" s="19">
        <v>676600</v>
      </c>
      <c r="T2620" s="17"/>
      <c r="U2620" s="17"/>
      <c r="V2620" s="17"/>
      <c r="W2620" s="4"/>
      <c r="X2620" s="17"/>
      <c r="Y2620" s="4"/>
      <c r="Z2620" s="17"/>
      <c r="AA2620" s="17"/>
      <c r="AB2620" s="17"/>
      <c r="AC2620" s="14"/>
      <c r="AD2620" s="14"/>
      <c r="AE2620" s="17"/>
      <c r="AF2620" s="14"/>
      <c r="AG2620" s="54"/>
      <c r="AH2620" s="11"/>
      <c r="AI2620" s="14"/>
      <c r="AJ2620" s="19">
        <v>0</v>
      </c>
      <c r="AK2620" s="23">
        <v>0</v>
      </c>
      <c r="AL2620" s="11"/>
      <c r="AM2620" s="19">
        <v>0</v>
      </c>
      <c r="AN2620" s="19">
        <v>676600</v>
      </c>
      <c r="AO2620" s="14"/>
      <c r="AP2620" s="14">
        <v>676600</v>
      </c>
      <c r="AQ2620" s="12">
        <v>1E-4</v>
      </c>
      <c r="AS2620" s="26"/>
    </row>
    <row r="2621" spans="1:45" s="19" customFormat="1" x14ac:dyDescent="0.2">
      <c r="A2621" s="2">
        <v>2220</v>
      </c>
      <c r="B2621" s="13">
        <v>1</v>
      </c>
      <c r="C2621" s="17" t="s">
        <v>52</v>
      </c>
      <c r="D2621" s="17">
        <v>34426</v>
      </c>
      <c r="E2621" s="17">
        <v>358</v>
      </c>
      <c r="F2621" s="17">
        <v>6880</v>
      </c>
      <c r="G2621" s="13">
        <v>1</v>
      </c>
      <c r="H2621" s="17">
        <v>0</v>
      </c>
      <c r="I2621" s="17">
        <v>0</v>
      </c>
      <c r="J2621" s="17">
        <v>46</v>
      </c>
      <c r="K2621" s="10" t="s">
        <v>230</v>
      </c>
      <c r="L2621" s="17"/>
      <c r="M2621" s="15"/>
      <c r="N2621" s="18"/>
      <c r="O2621" s="14"/>
      <c r="P2621" s="17">
        <v>1</v>
      </c>
      <c r="Q2621" s="19">
        <v>46</v>
      </c>
      <c r="R2621" s="14">
        <v>250</v>
      </c>
      <c r="S2621" s="19">
        <v>11500</v>
      </c>
      <c r="T2621" s="17"/>
      <c r="U2621" s="17"/>
      <c r="V2621" s="17"/>
      <c r="W2621" s="4"/>
      <c r="X2621" s="17"/>
      <c r="Y2621" s="4"/>
      <c r="Z2621" s="17"/>
      <c r="AA2621" s="17"/>
      <c r="AB2621" s="17"/>
      <c r="AC2621" s="14"/>
      <c r="AD2621" s="14"/>
      <c r="AE2621" s="17"/>
      <c r="AF2621" s="14"/>
      <c r="AG2621" s="54"/>
      <c r="AH2621" s="11"/>
      <c r="AI2621" s="14"/>
      <c r="AJ2621" s="19">
        <v>0</v>
      </c>
      <c r="AK2621" s="23">
        <v>0</v>
      </c>
      <c r="AL2621" s="11"/>
      <c r="AM2621" s="19">
        <v>0</v>
      </c>
      <c r="AN2621" s="19">
        <v>11500</v>
      </c>
      <c r="AO2621" s="14"/>
      <c r="AP2621" s="14">
        <v>11500</v>
      </c>
      <c r="AQ2621" s="12"/>
      <c r="AS2621" s="26"/>
    </row>
    <row r="2622" spans="1:45" s="19" customFormat="1" x14ac:dyDescent="0.2">
      <c r="A2622" s="2">
        <v>2221</v>
      </c>
      <c r="B2622" s="13">
        <v>1</v>
      </c>
      <c r="C2622" s="17" t="s">
        <v>52</v>
      </c>
      <c r="D2622" s="17">
        <v>871</v>
      </c>
      <c r="E2622" s="17">
        <v>95</v>
      </c>
      <c r="F2622" s="17">
        <v>164</v>
      </c>
      <c r="G2622" s="13">
        <v>1</v>
      </c>
      <c r="H2622" s="17">
        <v>2</v>
      </c>
      <c r="I2622" s="17">
        <v>0</v>
      </c>
      <c r="J2622" s="17">
        <v>61</v>
      </c>
      <c r="K2622" s="10">
        <v>861</v>
      </c>
      <c r="L2622" s="17"/>
      <c r="M2622" s="15"/>
      <c r="N2622" s="18"/>
      <c r="O2622" s="14"/>
      <c r="P2622" s="17">
        <v>1</v>
      </c>
      <c r="Q2622" s="19">
        <v>861</v>
      </c>
      <c r="R2622" s="14">
        <v>200</v>
      </c>
      <c r="S2622" s="19">
        <v>172200</v>
      </c>
      <c r="T2622" s="17"/>
      <c r="U2622" s="17"/>
      <c r="V2622" s="17"/>
      <c r="W2622" s="4"/>
      <c r="X2622" s="17"/>
      <c r="Y2622" s="4"/>
      <c r="Z2622" s="17"/>
      <c r="AA2622" s="17"/>
      <c r="AB2622" s="17"/>
      <c r="AC2622" s="14"/>
      <c r="AD2622" s="14"/>
      <c r="AE2622" s="17"/>
      <c r="AF2622" s="14"/>
      <c r="AG2622" s="54"/>
      <c r="AH2622" s="11"/>
      <c r="AI2622" s="14"/>
      <c r="AJ2622" s="19">
        <v>0</v>
      </c>
      <c r="AK2622" s="23">
        <v>0</v>
      </c>
      <c r="AL2622" s="11"/>
      <c r="AM2622" s="19">
        <v>0</v>
      </c>
      <c r="AN2622" s="19">
        <v>172200</v>
      </c>
      <c r="AO2622" s="14"/>
      <c r="AP2622" s="14">
        <v>172200</v>
      </c>
      <c r="AQ2622" s="12"/>
      <c r="AS2622" s="26"/>
    </row>
    <row r="2623" spans="1:45" s="19" customFormat="1" x14ac:dyDescent="0.2">
      <c r="A2623" s="2">
        <v>2222</v>
      </c>
      <c r="B2623" s="13">
        <v>2</v>
      </c>
      <c r="C2623" s="17" t="s">
        <v>52</v>
      </c>
      <c r="D2623" s="17">
        <v>874</v>
      </c>
      <c r="E2623" s="17">
        <v>15</v>
      </c>
      <c r="F2623" s="17">
        <v>167</v>
      </c>
      <c r="G2623" s="13">
        <v>1</v>
      </c>
      <c r="H2623" s="17">
        <v>10</v>
      </c>
      <c r="I2623" s="17">
        <v>2</v>
      </c>
      <c r="J2623" s="17">
        <v>88</v>
      </c>
      <c r="K2623" s="10">
        <v>4288</v>
      </c>
      <c r="L2623" s="17"/>
      <c r="M2623" s="15"/>
      <c r="N2623" s="18"/>
      <c r="O2623" s="14"/>
      <c r="P2623" s="17">
        <v>1</v>
      </c>
      <c r="Q2623" s="19">
        <v>4288</v>
      </c>
      <c r="R2623" s="14">
        <v>160</v>
      </c>
      <c r="S2623" s="19">
        <v>686080</v>
      </c>
      <c r="T2623" s="17"/>
      <c r="U2623" s="17"/>
      <c r="V2623" s="17"/>
      <c r="W2623" s="4"/>
      <c r="X2623" s="17"/>
      <c r="Y2623" s="4"/>
      <c r="Z2623" s="17"/>
      <c r="AA2623" s="17"/>
      <c r="AB2623" s="17"/>
      <c r="AC2623" s="14"/>
      <c r="AD2623" s="14"/>
      <c r="AE2623" s="17"/>
      <c r="AF2623" s="14"/>
      <c r="AG2623" s="54"/>
      <c r="AH2623" s="11"/>
      <c r="AI2623" s="14"/>
      <c r="AJ2623" s="19">
        <v>0</v>
      </c>
      <c r="AK2623" s="23">
        <v>0</v>
      </c>
      <c r="AL2623" s="11"/>
      <c r="AM2623" s="19">
        <v>0</v>
      </c>
      <c r="AN2623" s="19">
        <v>686080</v>
      </c>
      <c r="AO2623" s="14"/>
      <c r="AP2623" s="14">
        <v>686080</v>
      </c>
      <c r="AQ2623" s="12"/>
      <c r="AS2623" s="26"/>
    </row>
    <row r="2624" spans="1:45" s="19" customFormat="1" x14ac:dyDescent="0.2">
      <c r="A2624" s="2">
        <v>2223</v>
      </c>
      <c r="B2624" s="13">
        <v>3</v>
      </c>
      <c r="C2624" s="17" t="s">
        <v>52</v>
      </c>
      <c r="D2624" s="17">
        <v>951</v>
      </c>
      <c r="E2624" s="17">
        <v>51</v>
      </c>
      <c r="F2624" s="17">
        <v>350</v>
      </c>
      <c r="G2624" s="13">
        <v>1</v>
      </c>
      <c r="H2624" s="17">
        <v>1</v>
      </c>
      <c r="I2624" s="17">
        <v>1</v>
      </c>
      <c r="J2624" s="17">
        <v>51</v>
      </c>
      <c r="K2624" s="10">
        <v>551</v>
      </c>
      <c r="L2624" s="17"/>
      <c r="M2624" s="15"/>
      <c r="N2624" s="18"/>
      <c r="O2624" s="14"/>
      <c r="P2624" s="17">
        <v>1</v>
      </c>
      <c r="Q2624" s="19">
        <v>551</v>
      </c>
      <c r="R2624" s="14">
        <v>160</v>
      </c>
      <c r="S2624" s="19">
        <v>88160</v>
      </c>
      <c r="T2624" s="17"/>
      <c r="U2624" s="17"/>
      <c r="V2624" s="17"/>
      <c r="W2624" s="4"/>
      <c r="X2624" s="17"/>
      <c r="Y2624" s="4"/>
      <c r="Z2624" s="17"/>
      <c r="AA2624" s="17"/>
      <c r="AB2624" s="17"/>
      <c r="AC2624" s="14"/>
      <c r="AD2624" s="14"/>
      <c r="AE2624" s="17"/>
      <c r="AF2624" s="14"/>
      <c r="AG2624" s="54"/>
      <c r="AH2624" s="11"/>
      <c r="AI2624" s="14"/>
      <c r="AJ2624" s="19">
        <v>0</v>
      </c>
      <c r="AK2624" s="23">
        <v>0</v>
      </c>
      <c r="AL2624" s="11"/>
      <c r="AM2624" s="19">
        <v>0</v>
      </c>
      <c r="AN2624" s="19">
        <v>88160</v>
      </c>
      <c r="AO2624" s="14"/>
      <c r="AP2624" s="14">
        <v>88160</v>
      </c>
      <c r="AQ2624" s="12"/>
      <c r="AS2624" s="26"/>
    </row>
    <row r="2625" spans="1:45" x14ac:dyDescent="0.2">
      <c r="A2625" s="2">
        <v>2224</v>
      </c>
      <c r="B2625" s="13">
        <v>4</v>
      </c>
      <c r="C2625" s="17" t="s">
        <v>52</v>
      </c>
      <c r="D2625" s="17">
        <v>952</v>
      </c>
      <c r="E2625" s="17">
        <v>52</v>
      </c>
      <c r="F2625" s="17">
        <v>351</v>
      </c>
      <c r="G2625" s="13">
        <v>1</v>
      </c>
      <c r="H2625" s="17">
        <v>1</v>
      </c>
      <c r="I2625" s="17">
        <v>1</v>
      </c>
      <c r="J2625" s="17">
        <v>40</v>
      </c>
      <c r="K2625" s="10">
        <v>540</v>
      </c>
      <c r="P2625" s="17">
        <v>1</v>
      </c>
      <c r="Q2625" s="19">
        <v>540</v>
      </c>
      <c r="R2625" s="14">
        <v>160</v>
      </c>
      <c r="S2625" s="19">
        <v>86400</v>
      </c>
      <c r="AJ2625" s="19">
        <v>0</v>
      </c>
      <c r="AK2625" s="23">
        <v>0</v>
      </c>
      <c r="AM2625" s="19">
        <v>0</v>
      </c>
      <c r="AN2625" s="19">
        <v>86400</v>
      </c>
      <c r="AP2625" s="14">
        <v>86400</v>
      </c>
    </row>
    <row r="2626" spans="1:45" ht="63" x14ac:dyDescent="0.2">
      <c r="A2626" s="2">
        <v>2225</v>
      </c>
      <c r="B2626" s="13">
        <v>1</v>
      </c>
      <c r="C2626" s="17" t="s">
        <v>52</v>
      </c>
      <c r="D2626" s="17">
        <v>1199</v>
      </c>
      <c r="E2626" s="17">
        <v>18</v>
      </c>
      <c r="F2626" s="17">
        <v>916</v>
      </c>
      <c r="G2626" s="13">
        <v>2</v>
      </c>
      <c r="H2626" s="17">
        <v>0</v>
      </c>
      <c r="I2626" s="17">
        <v>1</v>
      </c>
      <c r="J2626" s="17">
        <v>21</v>
      </c>
      <c r="L2626" s="17">
        <v>121</v>
      </c>
      <c r="P2626" s="17">
        <v>2</v>
      </c>
      <c r="Q2626" s="19">
        <v>121</v>
      </c>
      <c r="R2626" s="14">
        <v>1500</v>
      </c>
      <c r="S2626" s="19">
        <v>181500</v>
      </c>
      <c r="U2626" s="17" t="s">
        <v>57</v>
      </c>
      <c r="V2626" s="17" t="s">
        <v>56</v>
      </c>
      <c r="Y2626" s="4">
        <v>68</v>
      </c>
      <c r="AB2626" s="17">
        <v>5</v>
      </c>
      <c r="AJ2626" s="19">
        <v>0</v>
      </c>
      <c r="AK2626" s="23">
        <v>5</v>
      </c>
      <c r="AM2626" s="19">
        <v>0</v>
      </c>
      <c r="AN2626" s="19">
        <v>181500</v>
      </c>
      <c r="AP2626" s="14">
        <v>181500</v>
      </c>
    </row>
    <row r="2627" spans="1:45" x14ac:dyDescent="0.2">
      <c r="A2627" s="2">
        <v>2226</v>
      </c>
      <c r="B2627" s="13">
        <v>1</v>
      </c>
      <c r="C2627" s="17" t="s">
        <v>52</v>
      </c>
      <c r="D2627" s="17">
        <v>18767</v>
      </c>
      <c r="E2627" s="17">
        <v>164</v>
      </c>
      <c r="F2627" s="17">
        <v>3679</v>
      </c>
      <c r="G2627" s="13">
        <v>1</v>
      </c>
      <c r="H2627" s="17">
        <v>0</v>
      </c>
      <c r="I2627" s="17">
        <v>3</v>
      </c>
      <c r="J2627" s="17">
        <v>70</v>
      </c>
      <c r="L2627" s="17">
        <v>370</v>
      </c>
      <c r="P2627" s="17">
        <v>2</v>
      </c>
      <c r="Q2627" s="19">
        <v>370</v>
      </c>
      <c r="R2627" s="14">
        <v>250</v>
      </c>
      <c r="S2627" s="19">
        <v>92500</v>
      </c>
      <c r="Y2627" s="4">
        <v>252</v>
      </c>
      <c r="AB2627" s="17">
        <v>16</v>
      </c>
      <c r="AJ2627" s="19">
        <v>0</v>
      </c>
      <c r="AK2627" s="23">
        <v>16</v>
      </c>
      <c r="AM2627" s="19">
        <v>0</v>
      </c>
      <c r="AN2627" s="19">
        <v>92500</v>
      </c>
      <c r="AP2627" s="14">
        <v>92500</v>
      </c>
    </row>
    <row r="2628" spans="1:45" ht="63" x14ac:dyDescent="0.2">
      <c r="A2628" s="2">
        <v>2227</v>
      </c>
      <c r="B2628" s="13">
        <v>2</v>
      </c>
      <c r="C2628" s="17" t="s">
        <v>52</v>
      </c>
      <c r="D2628" s="17">
        <v>872</v>
      </c>
      <c r="E2628" s="17">
        <v>96</v>
      </c>
      <c r="F2628" s="17">
        <v>165</v>
      </c>
      <c r="G2628" s="13">
        <v>1</v>
      </c>
      <c r="H2628" s="17">
        <v>8</v>
      </c>
      <c r="I2628" s="17">
        <v>2</v>
      </c>
      <c r="J2628" s="17">
        <v>59</v>
      </c>
      <c r="K2628" s="10">
        <v>3369.5</v>
      </c>
      <c r="L2628" s="17">
        <v>59.5</v>
      </c>
      <c r="Q2628" s="19">
        <v>3459</v>
      </c>
      <c r="R2628" s="14">
        <v>200</v>
      </c>
      <c r="S2628" s="19">
        <v>691800</v>
      </c>
      <c r="U2628" s="17" t="s">
        <v>57</v>
      </c>
      <c r="V2628" s="17" t="s">
        <v>56</v>
      </c>
      <c r="Y2628" s="4">
        <v>238</v>
      </c>
      <c r="AB2628" s="17">
        <v>10</v>
      </c>
      <c r="AJ2628" s="19">
        <v>0</v>
      </c>
      <c r="AK2628" s="23">
        <v>10</v>
      </c>
      <c r="AM2628" s="19">
        <v>0</v>
      </c>
      <c r="AN2628" s="19">
        <v>691800</v>
      </c>
      <c r="AP2628" s="14">
        <v>691800</v>
      </c>
    </row>
    <row r="2629" spans="1:45" x14ac:dyDescent="0.2">
      <c r="A2629" s="2">
        <v>2228</v>
      </c>
      <c r="B2629" s="13">
        <v>1</v>
      </c>
      <c r="C2629" s="17" t="s">
        <v>52</v>
      </c>
      <c r="D2629" s="17">
        <v>1178</v>
      </c>
      <c r="E2629" s="17">
        <v>19</v>
      </c>
      <c r="F2629" s="17">
        <v>1017</v>
      </c>
      <c r="G2629" s="13">
        <v>1</v>
      </c>
      <c r="H2629" s="17">
        <v>5</v>
      </c>
      <c r="I2629" s="17">
        <v>1</v>
      </c>
      <c r="J2629" s="17">
        <v>78</v>
      </c>
      <c r="K2629" s="10">
        <v>2178</v>
      </c>
      <c r="P2629" s="17">
        <v>1</v>
      </c>
      <c r="Q2629" s="19">
        <v>2178</v>
      </c>
      <c r="R2629" s="14">
        <v>200</v>
      </c>
      <c r="S2629" s="19">
        <v>435600</v>
      </c>
      <c r="AJ2629" s="19">
        <v>0</v>
      </c>
      <c r="AK2629" s="23">
        <v>0</v>
      </c>
      <c r="AM2629" s="19">
        <v>0</v>
      </c>
      <c r="AN2629" s="19">
        <v>435600</v>
      </c>
      <c r="AP2629" s="14">
        <v>435600</v>
      </c>
    </row>
    <row r="2630" spans="1:45" x14ac:dyDescent="0.2">
      <c r="A2630" s="2">
        <v>2229</v>
      </c>
      <c r="B2630" s="13">
        <v>2</v>
      </c>
      <c r="C2630" s="17" t="s">
        <v>52</v>
      </c>
      <c r="D2630" s="17">
        <v>18772</v>
      </c>
      <c r="E2630" s="17">
        <v>169</v>
      </c>
      <c r="F2630" s="17">
        <v>3684</v>
      </c>
      <c r="G2630" s="13">
        <v>1</v>
      </c>
      <c r="H2630" s="17">
        <v>0</v>
      </c>
      <c r="I2630" s="17">
        <v>1</v>
      </c>
      <c r="J2630" s="17">
        <v>37</v>
      </c>
      <c r="N2630" s="18">
        <v>137</v>
      </c>
      <c r="P2630" s="17">
        <v>4</v>
      </c>
      <c r="Q2630" s="19">
        <v>137</v>
      </c>
      <c r="R2630" s="14">
        <v>250</v>
      </c>
      <c r="S2630" s="19">
        <v>34250</v>
      </c>
      <c r="AJ2630" s="19">
        <v>0</v>
      </c>
      <c r="AK2630" s="23">
        <v>0</v>
      </c>
      <c r="AM2630" s="19">
        <v>0</v>
      </c>
      <c r="AN2630" s="19">
        <v>34250</v>
      </c>
      <c r="AP2630" s="14">
        <v>34250</v>
      </c>
      <c r="AQ2630" s="12">
        <v>3.0000000000000001E-3</v>
      </c>
    </row>
    <row r="2631" spans="1:45" x14ac:dyDescent="0.2">
      <c r="A2631" s="2">
        <v>2230</v>
      </c>
      <c r="B2631" s="13">
        <v>1</v>
      </c>
      <c r="C2631" s="17" t="s">
        <v>52</v>
      </c>
      <c r="D2631" s="17">
        <v>1834</v>
      </c>
      <c r="E2631" s="17">
        <v>83</v>
      </c>
      <c r="F2631" s="17">
        <v>1224</v>
      </c>
      <c r="G2631" s="13">
        <v>2</v>
      </c>
      <c r="H2631" s="17">
        <v>4</v>
      </c>
      <c r="I2631" s="17">
        <v>2</v>
      </c>
      <c r="J2631" s="17">
        <v>58</v>
      </c>
      <c r="K2631" s="10">
        <v>1858</v>
      </c>
      <c r="P2631" s="17">
        <v>1</v>
      </c>
      <c r="Q2631" s="19">
        <v>1858</v>
      </c>
      <c r="R2631" s="14">
        <v>160</v>
      </c>
      <c r="S2631" s="19">
        <v>297280</v>
      </c>
      <c r="AJ2631" s="19">
        <v>0</v>
      </c>
      <c r="AK2631" s="23">
        <v>0</v>
      </c>
      <c r="AM2631" s="19">
        <v>0</v>
      </c>
      <c r="AN2631" s="19">
        <v>297280</v>
      </c>
      <c r="AP2631" s="14">
        <v>297280</v>
      </c>
      <c r="AS2631" s="26">
        <v>14</v>
      </c>
    </row>
    <row r="2632" spans="1:45" ht="42" x14ac:dyDescent="0.2">
      <c r="A2632" s="2">
        <v>2231</v>
      </c>
      <c r="B2632" s="13">
        <v>1</v>
      </c>
      <c r="C2632" s="17" t="s">
        <v>52</v>
      </c>
      <c r="D2632" s="17">
        <v>2728</v>
      </c>
      <c r="E2632" s="17">
        <v>28</v>
      </c>
      <c r="F2632" s="17">
        <v>1900</v>
      </c>
      <c r="G2632" s="13">
        <v>1</v>
      </c>
      <c r="H2632" s="17">
        <v>5</v>
      </c>
      <c r="I2632" s="17">
        <v>2</v>
      </c>
      <c r="J2632" s="17">
        <v>18</v>
      </c>
      <c r="K2632" s="10">
        <v>2218</v>
      </c>
      <c r="P2632" s="17">
        <v>1</v>
      </c>
      <c r="Q2632" s="19">
        <v>2218</v>
      </c>
      <c r="R2632" s="14">
        <v>200</v>
      </c>
      <c r="S2632" s="19">
        <v>443600</v>
      </c>
      <c r="AJ2632" s="19">
        <v>0</v>
      </c>
      <c r="AK2632" s="23">
        <v>0</v>
      </c>
      <c r="AM2632" s="19">
        <v>0</v>
      </c>
      <c r="AN2632" s="19">
        <v>443600</v>
      </c>
      <c r="AP2632" s="14">
        <v>443600</v>
      </c>
      <c r="AS2632" s="26" t="s">
        <v>231</v>
      </c>
    </row>
    <row r="2633" spans="1:45" x14ac:dyDescent="0.2">
      <c r="R2633" s="14" t="e">
        <v>#N/A</v>
      </c>
    </row>
    <row r="2634" spans="1:45" x14ac:dyDescent="0.2">
      <c r="A2634" s="2">
        <v>2232</v>
      </c>
      <c r="B2634" s="13">
        <v>3</v>
      </c>
      <c r="C2634" s="17" t="s">
        <v>52</v>
      </c>
      <c r="D2634" s="17">
        <v>35063</v>
      </c>
      <c r="E2634" s="17">
        <v>361</v>
      </c>
      <c r="F2634" s="17">
        <v>6884</v>
      </c>
      <c r="G2634" s="13">
        <v>1</v>
      </c>
      <c r="H2634" s="17">
        <v>0</v>
      </c>
      <c r="I2634" s="17">
        <v>0</v>
      </c>
      <c r="J2634" s="17">
        <v>96</v>
      </c>
      <c r="K2634" s="10">
        <v>96</v>
      </c>
      <c r="P2634" s="17">
        <v>1</v>
      </c>
      <c r="Q2634" s="19">
        <v>96</v>
      </c>
      <c r="R2634" s="14">
        <v>160</v>
      </c>
      <c r="S2634" s="19">
        <v>15360</v>
      </c>
      <c r="AJ2634" s="19">
        <v>0</v>
      </c>
      <c r="AK2634" s="23">
        <v>0</v>
      </c>
      <c r="AM2634" s="19">
        <v>0</v>
      </c>
      <c r="AN2634" s="19">
        <v>15360</v>
      </c>
      <c r="AP2634" s="14">
        <v>15360</v>
      </c>
    </row>
    <row r="2635" spans="1:45" x14ac:dyDescent="0.2">
      <c r="R2635" s="14" t="e">
        <v>#N/A</v>
      </c>
    </row>
    <row r="2636" spans="1:45" x14ac:dyDescent="0.2">
      <c r="A2636" s="2">
        <v>2233</v>
      </c>
      <c r="B2636" s="13">
        <v>1</v>
      </c>
      <c r="C2636" s="17" t="s">
        <v>52</v>
      </c>
      <c r="D2636" s="17">
        <v>923</v>
      </c>
      <c r="E2636" s="17">
        <v>33</v>
      </c>
      <c r="F2636" s="17">
        <v>242</v>
      </c>
      <c r="G2636" s="13">
        <v>1</v>
      </c>
      <c r="H2636" s="17">
        <v>6</v>
      </c>
      <c r="I2636" s="17">
        <v>0</v>
      </c>
      <c r="J2636" s="17">
        <v>13</v>
      </c>
      <c r="K2636" s="10">
        <v>2413</v>
      </c>
      <c r="P2636" s="17">
        <v>1</v>
      </c>
      <c r="Q2636" s="19">
        <v>2413</v>
      </c>
      <c r="R2636" s="14">
        <v>200</v>
      </c>
      <c r="S2636" s="19">
        <v>482600</v>
      </c>
      <c r="AE2636" s="17" t="s">
        <v>232</v>
      </c>
      <c r="AJ2636" s="19">
        <v>0</v>
      </c>
      <c r="AK2636" s="23">
        <v>0</v>
      </c>
      <c r="AM2636" s="19">
        <v>0</v>
      </c>
      <c r="AN2636" s="19">
        <v>482600</v>
      </c>
      <c r="AP2636" s="14">
        <v>482600</v>
      </c>
    </row>
    <row r="2637" spans="1:45" ht="63" x14ac:dyDescent="0.2">
      <c r="A2637" s="2">
        <v>2234</v>
      </c>
      <c r="B2637" s="13">
        <v>1</v>
      </c>
      <c r="C2637" s="17" t="s">
        <v>52</v>
      </c>
      <c r="D2637" s="17">
        <v>18768</v>
      </c>
      <c r="E2637" s="17">
        <v>165</v>
      </c>
      <c r="F2637" s="17">
        <v>3680</v>
      </c>
      <c r="G2637" s="13">
        <v>1</v>
      </c>
      <c r="H2637" s="17">
        <v>0</v>
      </c>
      <c r="I2637" s="17">
        <v>1</v>
      </c>
      <c r="J2637" s="17">
        <v>37</v>
      </c>
      <c r="L2637" s="17">
        <v>137</v>
      </c>
      <c r="P2637" s="17">
        <v>2</v>
      </c>
      <c r="Q2637" s="19">
        <v>137</v>
      </c>
      <c r="R2637" s="14">
        <v>250</v>
      </c>
      <c r="S2637" s="19">
        <v>34250</v>
      </c>
      <c r="U2637" s="17" t="s">
        <v>57</v>
      </c>
      <c r="V2637" s="17" t="s">
        <v>56</v>
      </c>
      <c r="Y2637" s="4">
        <v>180</v>
      </c>
      <c r="AB2637" s="17">
        <v>14</v>
      </c>
      <c r="AJ2637" s="19">
        <v>0</v>
      </c>
      <c r="AK2637" s="23">
        <v>14</v>
      </c>
      <c r="AM2637" s="19">
        <v>0</v>
      </c>
      <c r="AN2637" s="19">
        <v>34250</v>
      </c>
      <c r="AP2637" s="14">
        <v>34250</v>
      </c>
    </row>
    <row r="2638" spans="1:45" x14ac:dyDescent="0.2">
      <c r="A2638" s="2">
        <v>2235</v>
      </c>
      <c r="B2638" s="13">
        <v>2</v>
      </c>
      <c r="C2638" s="17" t="s">
        <v>52</v>
      </c>
      <c r="D2638" s="17">
        <v>26640</v>
      </c>
      <c r="E2638" s="17">
        <v>367</v>
      </c>
      <c r="F2638" s="17">
        <v>5017</v>
      </c>
      <c r="G2638" s="13">
        <v>1</v>
      </c>
      <c r="H2638" s="17">
        <v>0</v>
      </c>
      <c r="I2638" s="17">
        <v>2</v>
      </c>
      <c r="J2638" s="17">
        <v>47</v>
      </c>
      <c r="K2638" s="10" t="s">
        <v>233</v>
      </c>
      <c r="P2638" s="17">
        <v>1</v>
      </c>
      <c r="Q2638" s="19">
        <v>247</v>
      </c>
      <c r="R2638" s="14">
        <v>200</v>
      </c>
      <c r="S2638" s="19">
        <v>49400</v>
      </c>
      <c r="AJ2638" s="19">
        <v>0</v>
      </c>
      <c r="AK2638" s="23">
        <v>0</v>
      </c>
      <c r="AM2638" s="19">
        <v>0</v>
      </c>
      <c r="AN2638" s="19">
        <v>49400</v>
      </c>
      <c r="AP2638" s="14">
        <v>49400</v>
      </c>
    </row>
    <row r="2639" spans="1:45" x14ac:dyDescent="0.2">
      <c r="A2639" s="2">
        <v>2236</v>
      </c>
      <c r="B2639" s="13">
        <v>3</v>
      </c>
      <c r="C2639" s="17" t="s">
        <v>52</v>
      </c>
      <c r="D2639" s="17">
        <v>34105</v>
      </c>
      <c r="E2639" s="17">
        <v>300</v>
      </c>
      <c r="F2639" s="17">
        <v>6774</v>
      </c>
      <c r="G2639" s="13">
        <v>1</v>
      </c>
      <c r="H2639" s="17">
        <v>0</v>
      </c>
      <c r="I2639" s="17">
        <v>0</v>
      </c>
      <c r="J2639" s="17">
        <v>40</v>
      </c>
      <c r="N2639" s="18">
        <v>40</v>
      </c>
      <c r="P2639" s="17">
        <v>4</v>
      </c>
      <c r="Q2639" s="19">
        <v>40</v>
      </c>
      <c r="R2639" s="14">
        <v>4500</v>
      </c>
      <c r="S2639" s="19">
        <v>180000</v>
      </c>
      <c r="AJ2639" s="19">
        <v>0</v>
      </c>
      <c r="AK2639" s="23">
        <v>0</v>
      </c>
      <c r="AM2639" s="19">
        <v>0</v>
      </c>
      <c r="AN2639" s="19">
        <v>180000</v>
      </c>
      <c r="AP2639" s="14">
        <v>180000</v>
      </c>
      <c r="AQ2639" s="12">
        <v>3.0000000000000001E-3</v>
      </c>
    </row>
    <row r="2640" spans="1:45" ht="63" x14ac:dyDescent="0.2">
      <c r="A2640" s="2">
        <v>2237</v>
      </c>
      <c r="B2640" s="13">
        <v>1</v>
      </c>
      <c r="C2640" s="17" t="s">
        <v>52</v>
      </c>
      <c r="D2640" s="17">
        <v>18769</v>
      </c>
      <c r="E2640" s="17">
        <v>166</v>
      </c>
      <c r="F2640" s="17">
        <v>3681</v>
      </c>
      <c r="G2640" s="13">
        <v>1</v>
      </c>
      <c r="H2640" s="17">
        <v>0</v>
      </c>
      <c r="I2640" s="17">
        <v>1</v>
      </c>
      <c r="J2640" s="17">
        <v>37</v>
      </c>
      <c r="K2640" s="10">
        <v>137</v>
      </c>
      <c r="P2640" s="17">
        <v>1</v>
      </c>
      <c r="Q2640" s="19">
        <v>137</v>
      </c>
      <c r="R2640" s="14">
        <v>250</v>
      </c>
      <c r="S2640" s="19">
        <v>34250</v>
      </c>
      <c r="U2640" s="17" t="s">
        <v>57</v>
      </c>
      <c r="V2640" s="17" t="s">
        <v>56</v>
      </c>
      <c r="W2640" s="4">
        <v>80</v>
      </c>
      <c r="Y2640" s="4" t="s">
        <v>234</v>
      </c>
      <c r="AB2640" s="17">
        <v>1</v>
      </c>
      <c r="AJ2640" s="19">
        <v>0</v>
      </c>
      <c r="AK2640" s="23">
        <v>1</v>
      </c>
      <c r="AM2640" s="19">
        <v>0</v>
      </c>
      <c r="AN2640" s="19">
        <v>34250</v>
      </c>
      <c r="AP2640" s="14">
        <v>34250</v>
      </c>
      <c r="AS2640" s="26">
        <v>30</v>
      </c>
    </row>
    <row r="2641" spans="1:49" x14ac:dyDescent="0.2">
      <c r="A2641" s="2">
        <v>2238</v>
      </c>
      <c r="B2641" s="13">
        <v>2</v>
      </c>
      <c r="C2641" s="17" t="s">
        <v>52</v>
      </c>
      <c r="D2641" s="17">
        <v>19344</v>
      </c>
      <c r="E2641" s="17">
        <v>74</v>
      </c>
      <c r="F2641" s="17">
        <v>3685</v>
      </c>
      <c r="G2641" s="13">
        <v>1</v>
      </c>
      <c r="H2641" s="17">
        <v>5</v>
      </c>
      <c r="I2641" s="17">
        <v>0</v>
      </c>
      <c r="J2641" s="17">
        <v>72</v>
      </c>
      <c r="K2641" s="10">
        <v>2072</v>
      </c>
      <c r="P2641" s="17">
        <v>1</v>
      </c>
      <c r="Q2641" s="19">
        <v>2072</v>
      </c>
      <c r="R2641" s="14">
        <v>200</v>
      </c>
      <c r="S2641" s="19">
        <v>414400</v>
      </c>
      <c r="AJ2641" s="19">
        <v>0</v>
      </c>
      <c r="AK2641" s="23">
        <v>0</v>
      </c>
      <c r="AM2641" s="19">
        <v>0</v>
      </c>
      <c r="AN2641" s="19">
        <v>414400</v>
      </c>
      <c r="AP2641" s="14">
        <v>414400</v>
      </c>
    </row>
    <row r="2642" spans="1:49" x14ac:dyDescent="0.2">
      <c r="A2642" s="2">
        <v>2239</v>
      </c>
      <c r="B2642" s="13">
        <v>1</v>
      </c>
      <c r="C2642" s="17" t="s">
        <v>52</v>
      </c>
      <c r="D2642" s="17">
        <v>2727</v>
      </c>
      <c r="E2642" s="17">
        <v>29</v>
      </c>
      <c r="F2642" s="17">
        <v>1899</v>
      </c>
      <c r="G2642" s="13">
        <v>1</v>
      </c>
      <c r="H2642" s="17">
        <v>7</v>
      </c>
      <c r="I2642" s="17">
        <v>2</v>
      </c>
      <c r="J2642" s="17">
        <v>66</v>
      </c>
      <c r="K2642" s="10">
        <v>3066</v>
      </c>
      <c r="P2642" s="17">
        <v>1</v>
      </c>
      <c r="Q2642" s="19">
        <v>3066</v>
      </c>
      <c r="R2642" s="14">
        <v>200</v>
      </c>
      <c r="S2642" s="19">
        <v>613200</v>
      </c>
      <c r="AJ2642" s="19">
        <v>0</v>
      </c>
      <c r="AK2642" s="23">
        <v>0</v>
      </c>
      <c r="AM2642" s="19">
        <v>0</v>
      </c>
      <c r="AN2642" s="19">
        <v>613200</v>
      </c>
      <c r="AP2642" s="14">
        <v>613200</v>
      </c>
      <c r="AS2642" s="26">
        <v>43</v>
      </c>
    </row>
    <row r="2643" spans="1:49" x14ac:dyDescent="0.2">
      <c r="A2643" s="2">
        <v>2240</v>
      </c>
      <c r="B2643" s="13">
        <v>2</v>
      </c>
      <c r="C2643" s="17" t="s">
        <v>52</v>
      </c>
      <c r="D2643" s="17">
        <v>34428</v>
      </c>
      <c r="E2643" s="17">
        <v>360</v>
      </c>
      <c r="F2643" s="17">
        <v>6882</v>
      </c>
      <c r="G2643" s="13">
        <v>1</v>
      </c>
      <c r="H2643" s="17">
        <v>0</v>
      </c>
      <c r="I2643" s="17">
        <v>0</v>
      </c>
      <c r="J2643" s="17">
        <v>66</v>
      </c>
      <c r="N2643" s="18">
        <v>66</v>
      </c>
      <c r="P2643" s="17">
        <v>4</v>
      </c>
      <c r="Q2643" s="19">
        <v>66</v>
      </c>
      <c r="R2643" s="14">
        <v>250</v>
      </c>
      <c r="S2643" s="19">
        <v>16500</v>
      </c>
      <c r="AJ2643" s="19">
        <v>0</v>
      </c>
      <c r="AK2643" s="23">
        <v>0</v>
      </c>
      <c r="AM2643" s="19">
        <v>0</v>
      </c>
      <c r="AN2643" s="19">
        <v>16500</v>
      </c>
      <c r="AP2643" s="14">
        <v>16500</v>
      </c>
      <c r="AQ2643" s="12">
        <v>3.0000000000000001E-3</v>
      </c>
    </row>
    <row r="2644" spans="1:49" ht="63" x14ac:dyDescent="0.2">
      <c r="A2644" s="2">
        <v>2241</v>
      </c>
      <c r="B2644" s="13">
        <v>1</v>
      </c>
      <c r="C2644" s="17" t="s">
        <v>52</v>
      </c>
      <c r="D2644" s="17">
        <v>25017</v>
      </c>
      <c r="E2644" s="17">
        <v>68</v>
      </c>
      <c r="F2644" s="17">
        <v>4971</v>
      </c>
      <c r="G2644" s="13">
        <v>1</v>
      </c>
      <c r="H2644" s="17">
        <v>0</v>
      </c>
      <c r="I2644" s="17">
        <v>1</v>
      </c>
      <c r="J2644" s="17">
        <v>28</v>
      </c>
      <c r="L2644" s="17">
        <v>128</v>
      </c>
      <c r="P2644" s="17">
        <v>2</v>
      </c>
      <c r="Q2644" s="19">
        <v>128</v>
      </c>
      <c r="R2644" s="14">
        <v>200</v>
      </c>
      <c r="S2644" s="19">
        <v>25600</v>
      </c>
      <c r="U2644" s="17" t="s">
        <v>57</v>
      </c>
      <c r="V2644" s="17" t="s">
        <v>56</v>
      </c>
      <c r="Y2644" s="4">
        <v>84</v>
      </c>
      <c r="AB2644" s="17">
        <v>11</v>
      </c>
      <c r="AJ2644" s="19">
        <v>0</v>
      </c>
      <c r="AK2644" s="23">
        <v>11</v>
      </c>
      <c r="AM2644" s="19">
        <v>0</v>
      </c>
      <c r="AN2644" s="19">
        <v>25600</v>
      </c>
      <c r="AP2644" s="14">
        <v>25600</v>
      </c>
    </row>
    <row r="2645" spans="1:49" x14ac:dyDescent="0.2">
      <c r="A2645" s="2">
        <v>2242</v>
      </c>
      <c r="B2645" s="13">
        <v>1</v>
      </c>
      <c r="C2645" s="17" t="s">
        <v>52</v>
      </c>
      <c r="D2645" s="17">
        <v>1401</v>
      </c>
      <c r="E2645" s="17">
        <v>22</v>
      </c>
      <c r="F2645" s="17">
        <v>593</v>
      </c>
      <c r="G2645" s="13">
        <v>1</v>
      </c>
      <c r="H2645" s="17">
        <v>5</v>
      </c>
      <c r="I2645" s="17">
        <v>1</v>
      </c>
      <c r="J2645" s="17">
        <v>76</v>
      </c>
      <c r="K2645" s="10">
        <v>2176</v>
      </c>
      <c r="P2645" s="17">
        <v>1</v>
      </c>
      <c r="Q2645" s="19">
        <v>2176</v>
      </c>
      <c r="R2645" s="14">
        <v>200</v>
      </c>
      <c r="S2645" s="19">
        <v>435200</v>
      </c>
      <c r="AJ2645" s="19">
        <v>0</v>
      </c>
      <c r="AK2645" s="23">
        <v>0</v>
      </c>
      <c r="AM2645" s="19">
        <v>0</v>
      </c>
      <c r="AN2645" s="19">
        <v>435200</v>
      </c>
      <c r="AP2645" s="14">
        <v>435200</v>
      </c>
    </row>
    <row r="2646" spans="1:49" ht="63" x14ac:dyDescent="0.2">
      <c r="A2646" s="2">
        <v>2243</v>
      </c>
      <c r="B2646" s="13">
        <v>2</v>
      </c>
      <c r="C2646" s="17" t="s">
        <v>52</v>
      </c>
      <c r="D2646" s="17">
        <v>23962</v>
      </c>
      <c r="E2646" s="17">
        <v>101</v>
      </c>
      <c r="F2646" s="17">
        <v>3630</v>
      </c>
      <c r="G2646" s="13">
        <v>1</v>
      </c>
      <c r="H2646" s="17">
        <v>0</v>
      </c>
      <c r="I2646" s="17">
        <v>1</v>
      </c>
      <c r="J2646" s="17">
        <v>51</v>
      </c>
      <c r="L2646" s="17">
        <v>151</v>
      </c>
      <c r="P2646" s="17">
        <v>2</v>
      </c>
      <c r="Q2646" s="19">
        <v>151</v>
      </c>
      <c r="R2646" s="14">
        <v>250</v>
      </c>
      <c r="S2646" s="19">
        <v>37750</v>
      </c>
      <c r="U2646" s="17" t="s">
        <v>57</v>
      </c>
      <c r="V2646" s="17" t="s">
        <v>56</v>
      </c>
      <c r="AJ2646" s="19">
        <v>0</v>
      </c>
      <c r="AK2646" s="23">
        <v>0</v>
      </c>
      <c r="AM2646" s="19">
        <v>0</v>
      </c>
      <c r="AN2646" s="19">
        <v>37750</v>
      </c>
      <c r="AP2646" s="14">
        <v>37750</v>
      </c>
    </row>
    <row r="2647" spans="1:49" x14ac:dyDescent="0.2">
      <c r="A2647" s="2">
        <v>2244</v>
      </c>
      <c r="B2647" s="13">
        <v>1</v>
      </c>
      <c r="C2647" s="17" t="s">
        <v>52</v>
      </c>
      <c r="D2647" s="17">
        <v>1402</v>
      </c>
      <c r="E2647" s="17">
        <v>22</v>
      </c>
      <c r="F2647" s="17">
        <v>597</v>
      </c>
      <c r="G2647" s="13">
        <v>1</v>
      </c>
      <c r="H2647" s="17">
        <v>0</v>
      </c>
      <c r="I2647" s="17">
        <v>1</v>
      </c>
      <c r="J2647" s="17">
        <v>82</v>
      </c>
      <c r="K2647" s="10">
        <v>182</v>
      </c>
      <c r="P2647" s="17">
        <v>1</v>
      </c>
      <c r="Q2647" s="19">
        <v>182</v>
      </c>
      <c r="R2647" s="14">
        <v>200</v>
      </c>
      <c r="S2647" s="19">
        <v>36400</v>
      </c>
      <c r="AJ2647" s="19">
        <v>0</v>
      </c>
      <c r="AK2647" s="23">
        <v>0</v>
      </c>
      <c r="AM2647" s="19">
        <v>0</v>
      </c>
      <c r="AN2647" s="19">
        <v>36400</v>
      </c>
      <c r="AP2647" s="14">
        <v>36400</v>
      </c>
    </row>
    <row r="2648" spans="1:49" x14ac:dyDescent="0.2">
      <c r="A2648" s="2">
        <v>2245</v>
      </c>
      <c r="B2648" s="13">
        <v>2</v>
      </c>
      <c r="C2648" s="17" t="s">
        <v>52</v>
      </c>
      <c r="D2648" s="17">
        <v>2718</v>
      </c>
      <c r="E2648" s="17">
        <v>22</v>
      </c>
      <c r="F2648" s="17">
        <v>1884</v>
      </c>
      <c r="G2648" s="13">
        <v>1</v>
      </c>
      <c r="H2648" s="17">
        <v>12</v>
      </c>
      <c r="I2648" s="17">
        <v>3</v>
      </c>
      <c r="J2648" s="17">
        <v>83</v>
      </c>
      <c r="K2648" s="10">
        <v>5183</v>
      </c>
      <c r="P2648" s="17">
        <v>1</v>
      </c>
      <c r="Q2648" s="19">
        <v>5183</v>
      </c>
      <c r="R2648" s="14">
        <v>160</v>
      </c>
      <c r="S2648" s="19">
        <v>829280</v>
      </c>
      <c r="AJ2648" s="19">
        <v>0</v>
      </c>
      <c r="AK2648" s="23">
        <v>0</v>
      </c>
      <c r="AM2648" s="19">
        <v>0</v>
      </c>
      <c r="AN2648" s="19">
        <v>829280</v>
      </c>
      <c r="AP2648" s="14">
        <v>829280</v>
      </c>
    </row>
    <row r="2649" spans="1:49" x14ac:dyDescent="0.2">
      <c r="A2649" s="2">
        <v>2246</v>
      </c>
      <c r="B2649" s="13">
        <v>3</v>
      </c>
      <c r="C2649" s="17" t="s">
        <v>52</v>
      </c>
      <c r="D2649" s="17">
        <v>4173</v>
      </c>
      <c r="E2649" s="17">
        <v>76</v>
      </c>
      <c r="F2649" s="17">
        <v>2514</v>
      </c>
      <c r="G2649" s="13">
        <v>1</v>
      </c>
      <c r="H2649" s="17">
        <v>5</v>
      </c>
      <c r="I2649" s="17">
        <v>3</v>
      </c>
      <c r="J2649" s="17">
        <v>62</v>
      </c>
      <c r="K2649" s="10">
        <v>2362</v>
      </c>
      <c r="P2649" s="17">
        <v>1</v>
      </c>
      <c r="Q2649" s="19">
        <v>2362</v>
      </c>
      <c r="R2649" s="14">
        <v>200</v>
      </c>
      <c r="S2649" s="19">
        <v>472400</v>
      </c>
      <c r="AJ2649" s="19">
        <v>0</v>
      </c>
      <c r="AK2649" s="23">
        <v>0</v>
      </c>
      <c r="AM2649" s="19">
        <v>0</v>
      </c>
      <c r="AN2649" s="19">
        <v>472400</v>
      </c>
      <c r="AP2649" s="14">
        <v>472400</v>
      </c>
    </row>
    <row r="2650" spans="1:49" x14ac:dyDescent="0.2">
      <c r="A2650" s="2">
        <v>2247</v>
      </c>
      <c r="B2650" s="13">
        <v>4</v>
      </c>
      <c r="C2650" s="17" t="s">
        <v>52</v>
      </c>
      <c r="D2650" s="17">
        <v>25016</v>
      </c>
      <c r="E2650" s="17">
        <v>67</v>
      </c>
      <c r="F2650" s="17">
        <v>4970</v>
      </c>
      <c r="G2650" s="13">
        <v>1</v>
      </c>
      <c r="H2650" s="17">
        <v>0</v>
      </c>
      <c r="I2650" s="17">
        <v>0</v>
      </c>
      <c r="J2650" s="17">
        <v>87</v>
      </c>
      <c r="N2650" s="18">
        <v>87</v>
      </c>
      <c r="P2650" s="17">
        <v>4</v>
      </c>
      <c r="Q2650" s="19">
        <v>87</v>
      </c>
      <c r="R2650" s="14">
        <v>200</v>
      </c>
      <c r="S2650" s="19">
        <v>17400</v>
      </c>
      <c r="AJ2650" s="19">
        <v>0</v>
      </c>
      <c r="AK2650" s="23">
        <v>0</v>
      </c>
      <c r="AM2650" s="19">
        <v>0</v>
      </c>
      <c r="AN2650" s="19">
        <v>17400</v>
      </c>
      <c r="AP2650" s="14">
        <v>17400</v>
      </c>
      <c r="AQ2650" s="12">
        <v>3.0000000000000001E-3</v>
      </c>
    </row>
    <row r="2651" spans="1:49" x14ac:dyDescent="0.2">
      <c r="A2651" s="2">
        <v>2248</v>
      </c>
      <c r="B2651" s="13">
        <v>5</v>
      </c>
      <c r="C2651" s="17" t="s">
        <v>69</v>
      </c>
      <c r="E2651" s="17">
        <v>1675</v>
      </c>
      <c r="F2651" s="17">
        <v>1</v>
      </c>
      <c r="G2651" s="13">
        <v>2</v>
      </c>
      <c r="H2651" s="17">
        <v>10</v>
      </c>
      <c r="I2651" s="17">
        <v>2</v>
      </c>
      <c r="J2651" s="17">
        <v>20</v>
      </c>
      <c r="K2651" s="10">
        <v>4220</v>
      </c>
      <c r="P2651" s="17">
        <v>1</v>
      </c>
      <c r="Q2651" s="19">
        <v>4220</v>
      </c>
      <c r="R2651" s="14">
        <v>160</v>
      </c>
      <c r="S2651" s="19">
        <v>675200</v>
      </c>
      <c r="AJ2651" s="19">
        <v>0</v>
      </c>
      <c r="AK2651" s="23">
        <v>0</v>
      </c>
      <c r="AM2651" s="19">
        <v>0</v>
      </c>
      <c r="AN2651" s="19">
        <v>675200</v>
      </c>
      <c r="AP2651" s="14">
        <v>675200</v>
      </c>
      <c r="AQ2651" s="12">
        <v>1E-4</v>
      </c>
    </row>
    <row r="2652" spans="1:49" ht="63" x14ac:dyDescent="0.2">
      <c r="A2652" s="2">
        <v>2249</v>
      </c>
      <c r="B2652" s="13">
        <v>1</v>
      </c>
      <c r="C2652" s="17" t="s">
        <v>52</v>
      </c>
      <c r="D2652" s="17">
        <v>23964</v>
      </c>
      <c r="E2652" s="17">
        <v>103</v>
      </c>
      <c r="F2652" s="17">
        <v>4588</v>
      </c>
      <c r="G2652" s="13">
        <v>1</v>
      </c>
      <c r="H2652" s="17">
        <v>10</v>
      </c>
      <c r="I2652" s="17">
        <v>2</v>
      </c>
      <c r="J2652" s="17">
        <v>36</v>
      </c>
      <c r="K2652" s="10">
        <v>4188.5</v>
      </c>
      <c r="L2652" s="17">
        <v>47.5</v>
      </c>
      <c r="P2652" s="17">
        <v>2</v>
      </c>
      <c r="Q2652" s="19">
        <v>4236</v>
      </c>
      <c r="R2652" s="14">
        <v>200</v>
      </c>
      <c r="S2652" s="19">
        <v>847200</v>
      </c>
      <c r="U2652" s="17" t="s">
        <v>57</v>
      </c>
      <c r="V2652" s="17" t="s">
        <v>56</v>
      </c>
      <c r="Y2652" s="4">
        <v>190</v>
      </c>
      <c r="AB2652" s="17">
        <v>31</v>
      </c>
      <c r="AJ2652" s="19">
        <v>0</v>
      </c>
      <c r="AK2652" s="23">
        <v>31</v>
      </c>
      <c r="AM2652" s="19">
        <v>0</v>
      </c>
      <c r="AN2652" s="19">
        <v>847200</v>
      </c>
      <c r="AP2652" s="14">
        <v>847200</v>
      </c>
    </row>
    <row r="2653" spans="1:49" ht="63" x14ac:dyDescent="0.2">
      <c r="A2653" s="2">
        <v>2250</v>
      </c>
      <c r="B2653" s="13">
        <v>1</v>
      </c>
      <c r="C2653" s="17" t="s">
        <v>52</v>
      </c>
      <c r="D2653" s="17">
        <v>25720</v>
      </c>
      <c r="E2653" s="17">
        <v>79</v>
      </c>
      <c r="F2653" s="17">
        <v>5027</v>
      </c>
      <c r="G2653" s="13">
        <v>1</v>
      </c>
      <c r="H2653" s="17">
        <v>1</v>
      </c>
      <c r="I2653" s="17">
        <v>1</v>
      </c>
      <c r="J2653" s="17">
        <v>29</v>
      </c>
      <c r="K2653" s="10">
        <v>529</v>
      </c>
      <c r="P2653" s="17">
        <v>1</v>
      </c>
      <c r="Q2653" s="19">
        <v>529</v>
      </c>
      <c r="R2653" s="14">
        <v>200</v>
      </c>
      <c r="S2653" s="19">
        <v>105800</v>
      </c>
      <c r="U2653" s="17" t="s">
        <v>57</v>
      </c>
      <c r="Y2653" s="4" t="s">
        <v>235</v>
      </c>
      <c r="AB2653" s="17">
        <v>50</v>
      </c>
      <c r="AJ2653" s="19">
        <v>0</v>
      </c>
      <c r="AK2653" s="23">
        <v>50</v>
      </c>
      <c r="AM2653" s="19">
        <v>0</v>
      </c>
      <c r="AN2653" s="19">
        <v>105800</v>
      </c>
      <c r="AP2653" s="14">
        <v>105800</v>
      </c>
      <c r="AS2653" s="26">
        <v>7</v>
      </c>
    </row>
    <row r="2654" spans="1:49" x14ac:dyDescent="0.2">
      <c r="A2654" s="2">
        <v>2251</v>
      </c>
      <c r="B2654" s="13">
        <v>1</v>
      </c>
      <c r="C2654" s="17" t="s">
        <v>52</v>
      </c>
      <c r="D2654" s="17">
        <v>25715</v>
      </c>
      <c r="E2654" s="17">
        <v>74</v>
      </c>
      <c r="F2654" s="17">
        <v>5022</v>
      </c>
      <c r="G2654" s="13">
        <v>1</v>
      </c>
      <c r="H2654" s="17">
        <v>1</v>
      </c>
      <c r="I2654" s="17">
        <v>3</v>
      </c>
      <c r="J2654" s="17">
        <v>57</v>
      </c>
      <c r="K2654" s="10">
        <v>757</v>
      </c>
      <c r="P2654" s="17">
        <v>1</v>
      </c>
      <c r="Q2654" s="19">
        <v>757</v>
      </c>
      <c r="R2654" s="14">
        <v>200</v>
      </c>
      <c r="S2654" s="19">
        <v>151400</v>
      </c>
      <c r="AJ2654" s="19">
        <v>0</v>
      </c>
      <c r="AK2654" s="23">
        <v>0</v>
      </c>
      <c r="AM2654" s="19">
        <v>0</v>
      </c>
      <c r="AN2654" s="19">
        <v>151400</v>
      </c>
      <c r="AP2654" s="14">
        <v>151400</v>
      </c>
      <c r="AS2654" s="26">
        <v>55</v>
      </c>
      <c r="AW2654" s="14" t="s">
        <v>102</v>
      </c>
    </row>
    <row r="2655" spans="1:49" x14ac:dyDescent="0.2">
      <c r="A2655" s="2">
        <v>2252</v>
      </c>
      <c r="B2655" s="13">
        <v>2</v>
      </c>
      <c r="C2655" s="17" t="s">
        <v>52</v>
      </c>
      <c r="D2655" s="17">
        <v>29177</v>
      </c>
      <c r="E2655" s="17">
        <v>273</v>
      </c>
      <c r="F2655" s="17">
        <v>5372</v>
      </c>
      <c r="G2655" s="13">
        <v>1</v>
      </c>
      <c r="H2655" s="17">
        <v>0</v>
      </c>
      <c r="I2655" s="17">
        <v>1</v>
      </c>
      <c r="J2655" s="17">
        <v>36</v>
      </c>
      <c r="K2655" s="10">
        <v>136</v>
      </c>
      <c r="P2655" s="17">
        <v>1</v>
      </c>
      <c r="Q2655" s="19">
        <v>136</v>
      </c>
      <c r="R2655" s="14">
        <v>200</v>
      </c>
      <c r="S2655" s="19">
        <v>27200</v>
      </c>
      <c r="AJ2655" s="19">
        <v>0</v>
      </c>
      <c r="AK2655" s="23">
        <v>0</v>
      </c>
      <c r="AM2655" s="19">
        <v>0</v>
      </c>
      <c r="AN2655" s="19">
        <v>27200</v>
      </c>
      <c r="AP2655" s="14">
        <v>27200</v>
      </c>
    </row>
    <row r="2656" spans="1:49" ht="84" x14ac:dyDescent="0.2">
      <c r="A2656" s="2">
        <v>2253</v>
      </c>
      <c r="B2656" s="13">
        <v>3</v>
      </c>
      <c r="C2656" s="17" t="s">
        <v>52</v>
      </c>
      <c r="D2656" s="17">
        <v>1208</v>
      </c>
      <c r="E2656" s="17">
        <v>10</v>
      </c>
      <c r="F2656" s="17">
        <v>939</v>
      </c>
      <c r="G2656" s="13">
        <v>2</v>
      </c>
      <c r="H2656" s="17">
        <v>0</v>
      </c>
      <c r="I2656" s="17">
        <v>1</v>
      </c>
      <c r="J2656" s="17">
        <v>53</v>
      </c>
      <c r="M2656" s="15" t="s">
        <v>236</v>
      </c>
      <c r="P2656" s="17">
        <v>3</v>
      </c>
      <c r="Q2656" s="19">
        <v>153</v>
      </c>
      <c r="R2656" s="14">
        <v>3350</v>
      </c>
      <c r="S2656" s="19">
        <v>512550</v>
      </c>
      <c r="U2656" s="17" t="s">
        <v>101</v>
      </c>
      <c r="V2656" s="17" t="s">
        <v>84</v>
      </c>
      <c r="W2656" s="4">
        <v>140</v>
      </c>
      <c r="Z2656" s="17">
        <v>140</v>
      </c>
      <c r="AF2656" s="14">
        <v>3</v>
      </c>
      <c r="AG2656" s="54">
        <v>140</v>
      </c>
      <c r="AH2656" s="11">
        <v>1</v>
      </c>
      <c r="AI2656" s="14">
        <v>3750</v>
      </c>
      <c r="AJ2656" s="19">
        <v>525000</v>
      </c>
      <c r="AK2656" s="23">
        <v>0</v>
      </c>
      <c r="AM2656" s="19">
        <v>525000</v>
      </c>
      <c r="AN2656" s="19">
        <v>1037550</v>
      </c>
      <c r="AP2656" s="14">
        <v>1037550</v>
      </c>
      <c r="AQ2656" s="12">
        <v>3.0000000000000001E-3</v>
      </c>
    </row>
    <row r="2657" spans="1:45" x14ac:dyDescent="0.2">
      <c r="A2657" s="2">
        <v>2254</v>
      </c>
      <c r="B2657" s="13">
        <v>4</v>
      </c>
      <c r="C2657" s="17" t="s">
        <v>69</v>
      </c>
      <c r="E2657" s="17">
        <v>154</v>
      </c>
      <c r="F2657" s="17">
        <v>9</v>
      </c>
      <c r="G2657" s="13">
        <v>1</v>
      </c>
      <c r="H2657" s="17">
        <v>4</v>
      </c>
      <c r="I2657" s="17">
        <v>3</v>
      </c>
      <c r="J2657" s="17">
        <v>52</v>
      </c>
      <c r="K2657" s="10">
        <v>1952</v>
      </c>
      <c r="P2657" s="17">
        <v>1</v>
      </c>
      <c r="Q2657" s="19">
        <v>1952</v>
      </c>
      <c r="R2657" s="14">
        <v>200</v>
      </c>
      <c r="S2657" s="19">
        <v>390400</v>
      </c>
      <c r="AJ2657" s="19">
        <v>0</v>
      </c>
      <c r="AK2657" s="23">
        <v>0</v>
      </c>
      <c r="AM2657" s="19">
        <v>0</v>
      </c>
      <c r="AN2657" s="19">
        <v>390400</v>
      </c>
      <c r="AP2657" s="14">
        <v>390400</v>
      </c>
      <c r="AQ2657" s="12">
        <v>1E-4</v>
      </c>
    </row>
    <row r="2658" spans="1:45" x14ac:dyDescent="0.2">
      <c r="A2658" s="2">
        <v>2255</v>
      </c>
      <c r="B2658" s="13">
        <v>1</v>
      </c>
      <c r="C2658" s="17" t="s">
        <v>52</v>
      </c>
      <c r="D2658" s="17">
        <v>2803</v>
      </c>
      <c r="E2658" s="17">
        <v>34</v>
      </c>
      <c r="F2658" s="17">
        <v>1920</v>
      </c>
      <c r="G2658" s="13">
        <v>1</v>
      </c>
      <c r="H2658" s="17">
        <v>5</v>
      </c>
      <c r="I2658" s="17">
        <v>0</v>
      </c>
      <c r="J2658" s="17">
        <v>12</v>
      </c>
      <c r="K2658" s="10">
        <v>2012</v>
      </c>
      <c r="P2658" s="17">
        <v>1</v>
      </c>
      <c r="Q2658" s="19">
        <v>2012</v>
      </c>
      <c r="R2658" s="14">
        <v>160</v>
      </c>
      <c r="S2658" s="19">
        <v>321920</v>
      </c>
      <c r="AJ2658" s="19">
        <v>0</v>
      </c>
      <c r="AK2658" s="23">
        <v>0</v>
      </c>
      <c r="AM2658" s="19">
        <v>0</v>
      </c>
      <c r="AN2658" s="19">
        <v>321920</v>
      </c>
      <c r="AP2658" s="14">
        <v>321920</v>
      </c>
      <c r="AS2658" s="26">
        <v>109</v>
      </c>
    </row>
    <row r="2659" spans="1:45" x14ac:dyDescent="0.2">
      <c r="A2659" s="2">
        <v>2256</v>
      </c>
      <c r="B2659" s="13">
        <v>2</v>
      </c>
      <c r="C2659" s="17" t="s">
        <v>52</v>
      </c>
      <c r="D2659" s="17">
        <v>4167</v>
      </c>
      <c r="E2659" s="17">
        <v>72</v>
      </c>
      <c r="F2659" s="17">
        <v>2508</v>
      </c>
      <c r="G2659" s="13">
        <v>1</v>
      </c>
      <c r="H2659" s="17">
        <v>11</v>
      </c>
      <c r="I2659" s="17">
        <v>2</v>
      </c>
      <c r="J2659" s="17">
        <v>89</v>
      </c>
      <c r="K2659" s="10">
        <v>4689</v>
      </c>
      <c r="P2659" s="17">
        <v>1</v>
      </c>
      <c r="Q2659" s="19">
        <v>4689</v>
      </c>
      <c r="R2659" s="14">
        <v>160</v>
      </c>
      <c r="S2659" s="19">
        <v>750240</v>
      </c>
      <c r="AJ2659" s="19">
        <v>0</v>
      </c>
      <c r="AK2659" s="23">
        <v>0</v>
      </c>
      <c r="AM2659" s="19">
        <v>0</v>
      </c>
      <c r="AN2659" s="19">
        <v>750240</v>
      </c>
      <c r="AP2659" s="14">
        <v>750240</v>
      </c>
    </row>
    <row r="2660" spans="1:45" ht="63" x14ac:dyDescent="0.2">
      <c r="A2660" s="2">
        <v>2257</v>
      </c>
      <c r="B2660" s="13">
        <v>3</v>
      </c>
      <c r="C2660" s="17" t="s">
        <v>52</v>
      </c>
      <c r="D2660" s="17">
        <v>20653</v>
      </c>
      <c r="E2660" s="17">
        <v>91</v>
      </c>
      <c r="F2660" s="17">
        <v>4646</v>
      </c>
      <c r="G2660" s="13">
        <v>1</v>
      </c>
      <c r="H2660" s="17">
        <v>0</v>
      </c>
      <c r="I2660" s="17">
        <v>0</v>
      </c>
      <c r="J2660" s="17">
        <v>48</v>
      </c>
      <c r="L2660" s="17">
        <v>48</v>
      </c>
      <c r="P2660" s="17">
        <v>2</v>
      </c>
      <c r="Q2660" s="19">
        <v>48</v>
      </c>
      <c r="R2660" s="14">
        <v>250</v>
      </c>
      <c r="S2660" s="19">
        <v>12000</v>
      </c>
      <c r="U2660" s="17" t="s">
        <v>57</v>
      </c>
      <c r="V2660" s="17" t="s">
        <v>56</v>
      </c>
      <c r="Y2660" s="4">
        <v>140</v>
      </c>
      <c r="AB2660" s="17">
        <v>28</v>
      </c>
      <c r="AJ2660" s="19">
        <v>0</v>
      </c>
      <c r="AK2660" s="23">
        <v>28</v>
      </c>
      <c r="AM2660" s="19">
        <v>0</v>
      </c>
      <c r="AN2660" s="19">
        <v>12000</v>
      </c>
      <c r="AP2660" s="14">
        <v>12000</v>
      </c>
    </row>
    <row r="2661" spans="1:45" x14ac:dyDescent="0.2">
      <c r="A2661" s="2">
        <v>2258</v>
      </c>
      <c r="B2661" s="13">
        <v>4</v>
      </c>
      <c r="C2661" s="17" t="s">
        <v>52</v>
      </c>
      <c r="D2661" s="17">
        <v>25718</v>
      </c>
      <c r="E2661" s="17">
        <v>77</v>
      </c>
      <c r="F2661" s="17">
        <v>5025</v>
      </c>
      <c r="G2661" s="13">
        <v>1</v>
      </c>
      <c r="H2661" s="17">
        <v>1</v>
      </c>
      <c r="I2661" s="17">
        <v>1</v>
      </c>
      <c r="J2661" s="17">
        <v>83</v>
      </c>
      <c r="K2661" s="10">
        <v>583</v>
      </c>
      <c r="P2661" s="17">
        <v>1</v>
      </c>
      <c r="Q2661" s="19">
        <v>583</v>
      </c>
      <c r="R2661" s="14">
        <v>200</v>
      </c>
      <c r="S2661" s="19">
        <v>116600</v>
      </c>
      <c r="AJ2661" s="19">
        <v>0</v>
      </c>
      <c r="AK2661" s="23">
        <v>0</v>
      </c>
      <c r="AM2661" s="19">
        <v>0</v>
      </c>
      <c r="AN2661" s="19">
        <v>116600</v>
      </c>
      <c r="AP2661" s="14">
        <v>116600</v>
      </c>
    </row>
    <row r="2662" spans="1:45" x14ac:dyDescent="0.2">
      <c r="A2662" s="2">
        <v>2259</v>
      </c>
      <c r="B2662" s="13">
        <v>5</v>
      </c>
      <c r="C2662" s="17" t="s">
        <v>52</v>
      </c>
      <c r="D2662" s="17">
        <v>29176</v>
      </c>
      <c r="E2662" s="17">
        <v>272</v>
      </c>
      <c r="F2662" s="17">
        <v>5371</v>
      </c>
      <c r="G2662" s="13">
        <v>1</v>
      </c>
      <c r="H2662" s="17">
        <v>0</v>
      </c>
      <c r="I2662" s="17">
        <v>1</v>
      </c>
      <c r="J2662" s="17">
        <v>39</v>
      </c>
      <c r="K2662" s="10">
        <v>139</v>
      </c>
      <c r="P2662" s="17">
        <v>1</v>
      </c>
      <c r="Q2662" s="19">
        <v>139</v>
      </c>
      <c r="R2662" s="14">
        <v>200</v>
      </c>
      <c r="S2662" s="19">
        <v>27800</v>
      </c>
      <c r="AJ2662" s="19">
        <v>0</v>
      </c>
      <c r="AK2662" s="23">
        <v>0</v>
      </c>
      <c r="AM2662" s="19">
        <v>0</v>
      </c>
      <c r="AN2662" s="19">
        <v>27800</v>
      </c>
      <c r="AP2662" s="14">
        <v>27800</v>
      </c>
    </row>
    <row r="2663" spans="1:45" x14ac:dyDescent="0.2">
      <c r="A2663" s="2">
        <v>2260</v>
      </c>
      <c r="B2663" s="13">
        <v>6</v>
      </c>
      <c r="C2663" s="17" t="s">
        <v>65</v>
      </c>
      <c r="D2663" s="17">
        <v>1995</v>
      </c>
      <c r="E2663" s="17">
        <v>29</v>
      </c>
      <c r="H2663" s="17">
        <v>8</v>
      </c>
      <c r="I2663" s="17">
        <v>0</v>
      </c>
      <c r="J2663" s="17">
        <v>70</v>
      </c>
      <c r="K2663" s="10">
        <v>3270</v>
      </c>
      <c r="P2663" s="17">
        <v>1</v>
      </c>
      <c r="Q2663" s="19">
        <v>3270</v>
      </c>
      <c r="R2663" s="14">
        <v>200</v>
      </c>
      <c r="S2663" s="19">
        <v>654000</v>
      </c>
      <c r="AJ2663" s="19">
        <v>0</v>
      </c>
      <c r="AK2663" s="23">
        <v>0</v>
      </c>
      <c r="AM2663" s="19">
        <v>0</v>
      </c>
      <c r="AN2663" s="19">
        <v>654000</v>
      </c>
      <c r="AP2663" s="14">
        <v>654000</v>
      </c>
      <c r="AQ2663" s="12">
        <v>1E-4</v>
      </c>
    </row>
    <row r="2664" spans="1:45" x14ac:dyDescent="0.2">
      <c r="A2664" s="2">
        <v>2261</v>
      </c>
      <c r="B2664" s="13">
        <v>1</v>
      </c>
      <c r="C2664" s="17" t="s">
        <v>52</v>
      </c>
      <c r="D2664" s="17">
        <v>2622</v>
      </c>
      <c r="E2664" s="17">
        <v>30</v>
      </c>
      <c r="F2664" s="17">
        <v>1876</v>
      </c>
      <c r="G2664" s="13">
        <v>1</v>
      </c>
      <c r="H2664" s="17">
        <v>5</v>
      </c>
      <c r="I2664" s="17">
        <v>0</v>
      </c>
      <c r="J2664" s="17">
        <v>11</v>
      </c>
      <c r="K2664" s="10">
        <v>2011</v>
      </c>
      <c r="P2664" s="17">
        <v>1</v>
      </c>
      <c r="Q2664" s="19">
        <v>2011</v>
      </c>
      <c r="R2664" s="14">
        <v>160</v>
      </c>
      <c r="S2664" s="19">
        <v>321760</v>
      </c>
      <c r="AJ2664" s="19">
        <v>0</v>
      </c>
      <c r="AK2664" s="23">
        <v>0</v>
      </c>
      <c r="AM2664" s="19">
        <v>0</v>
      </c>
      <c r="AN2664" s="19">
        <v>321760</v>
      </c>
      <c r="AP2664" s="14">
        <v>321760</v>
      </c>
    </row>
    <row r="2665" spans="1:45" ht="63" x14ac:dyDescent="0.2">
      <c r="A2665" s="2">
        <v>2262</v>
      </c>
      <c r="B2665" s="13">
        <v>2</v>
      </c>
      <c r="C2665" s="17" t="s">
        <v>52</v>
      </c>
      <c r="D2665" s="17">
        <v>2726</v>
      </c>
      <c r="E2665" s="17">
        <v>30</v>
      </c>
      <c r="F2665" s="17">
        <v>1898</v>
      </c>
      <c r="G2665" s="13">
        <v>1</v>
      </c>
      <c r="H2665" s="17">
        <v>3</v>
      </c>
      <c r="I2665" s="17">
        <v>3</v>
      </c>
      <c r="J2665" s="17">
        <v>3</v>
      </c>
      <c r="K2665" s="10">
        <v>1455</v>
      </c>
      <c r="L2665" s="17">
        <v>48</v>
      </c>
      <c r="P2665" s="17">
        <v>5</v>
      </c>
      <c r="Q2665" s="19">
        <v>1503</v>
      </c>
      <c r="R2665" s="14">
        <v>200</v>
      </c>
      <c r="S2665" s="19">
        <v>300600</v>
      </c>
      <c r="U2665" s="17" t="s">
        <v>57</v>
      </c>
      <c r="V2665" s="17" t="s">
        <v>56</v>
      </c>
      <c r="Y2665" s="4">
        <v>192</v>
      </c>
      <c r="AB2665" s="17">
        <v>21</v>
      </c>
      <c r="AJ2665" s="19">
        <v>0</v>
      </c>
      <c r="AK2665" s="23">
        <v>21</v>
      </c>
      <c r="AM2665" s="19">
        <v>0</v>
      </c>
      <c r="AN2665" s="19">
        <v>300600</v>
      </c>
      <c r="AP2665" s="14">
        <v>300600</v>
      </c>
    </row>
    <row r="2666" spans="1:45" x14ac:dyDescent="0.2">
      <c r="A2666" s="2">
        <v>2263</v>
      </c>
      <c r="B2666" s="13">
        <v>1</v>
      </c>
      <c r="C2666" s="17" t="s">
        <v>52</v>
      </c>
      <c r="D2666" s="17">
        <v>25719</v>
      </c>
      <c r="E2666" s="17">
        <v>78</v>
      </c>
      <c r="F2666" s="17">
        <v>5026</v>
      </c>
      <c r="G2666" s="13">
        <v>1</v>
      </c>
      <c r="H2666" s="17">
        <v>1</v>
      </c>
      <c r="I2666" s="17">
        <v>1</v>
      </c>
      <c r="J2666" s="17">
        <v>61</v>
      </c>
      <c r="K2666" s="10">
        <v>561</v>
      </c>
      <c r="P2666" s="17">
        <v>1</v>
      </c>
      <c r="Q2666" s="19">
        <v>561</v>
      </c>
      <c r="R2666" s="14">
        <v>200</v>
      </c>
      <c r="S2666" s="19">
        <v>112200</v>
      </c>
      <c r="AJ2666" s="19">
        <v>0</v>
      </c>
      <c r="AK2666" s="23">
        <v>0</v>
      </c>
      <c r="AM2666" s="19">
        <v>0</v>
      </c>
      <c r="AN2666" s="19">
        <v>112200</v>
      </c>
      <c r="AP2666" s="14">
        <v>112200</v>
      </c>
      <c r="AS2666" s="26">
        <v>2</v>
      </c>
    </row>
    <row r="2667" spans="1:45" x14ac:dyDescent="0.2">
      <c r="A2667" s="2">
        <v>2264</v>
      </c>
      <c r="B2667" s="13">
        <v>2</v>
      </c>
      <c r="C2667" s="17" t="s">
        <v>52</v>
      </c>
      <c r="D2667" s="17">
        <v>31040</v>
      </c>
      <c r="E2667" s="17">
        <v>74</v>
      </c>
      <c r="F2667" s="17">
        <v>5990</v>
      </c>
      <c r="G2667" s="13">
        <v>2</v>
      </c>
      <c r="H2667" s="17">
        <v>6</v>
      </c>
      <c r="I2667" s="17">
        <v>0</v>
      </c>
      <c r="J2667" s="17">
        <v>97.07</v>
      </c>
      <c r="K2667" s="10">
        <v>2497.0700000000002</v>
      </c>
      <c r="P2667" s="17">
        <v>1</v>
      </c>
      <c r="Q2667" s="19">
        <v>2497.0700000000002</v>
      </c>
      <c r="R2667" s="14">
        <v>200</v>
      </c>
      <c r="S2667" s="19">
        <v>499414.00000000006</v>
      </c>
      <c r="AE2667" s="17" t="s">
        <v>237</v>
      </c>
      <c r="AJ2667" s="19">
        <v>0</v>
      </c>
      <c r="AK2667" s="23">
        <v>0</v>
      </c>
      <c r="AM2667" s="19">
        <v>0</v>
      </c>
      <c r="AN2667" s="19">
        <v>499414.00000000006</v>
      </c>
      <c r="AP2667" s="14">
        <v>499414.00000000006</v>
      </c>
    </row>
    <row r="2668" spans="1:45" x14ac:dyDescent="0.2">
      <c r="A2668" s="2">
        <v>2265</v>
      </c>
      <c r="B2668" s="13">
        <v>3</v>
      </c>
      <c r="C2668" s="17" t="s">
        <v>52</v>
      </c>
      <c r="D2668" s="17">
        <v>31041</v>
      </c>
      <c r="E2668" s="17">
        <v>75</v>
      </c>
      <c r="F2668" s="17">
        <v>5991</v>
      </c>
      <c r="G2668" s="13">
        <v>2</v>
      </c>
      <c r="H2668" s="17">
        <v>0</v>
      </c>
      <c r="I2668" s="17">
        <v>0</v>
      </c>
      <c r="J2668" s="17">
        <v>61.02</v>
      </c>
      <c r="K2668" s="10">
        <v>61.02</v>
      </c>
      <c r="P2668" s="17">
        <v>1</v>
      </c>
      <c r="Q2668" s="19">
        <v>61.02</v>
      </c>
      <c r="R2668" s="14">
        <v>250</v>
      </c>
      <c r="S2668" s="19">
        <v>15255</v>
      </c>
      <c r="AJ2668" s="19">
        <v>0</v>
      </c>
      <c r="AK2668" s="23">
        <v>0</v>
      </c>
      <c r="AM2668" s="19">
        <v>0</v>
      </c>
      <c r="AN2668" s="19">
        <v>15255</v>
      </c>
      <c r="AP2668" s="14">
        <v>15255</v>
      </c>
    </row>
    <row r="2669" spans="1:45" x14ac:dyDescent="0.2">
      <c r="A2669" s="2">
        <v>2266</v>
      </c>
      <c r="B2669" s="13">
        <v>4</v>
      </c>
      <c r="C2669" s="17" t="s">
        <v>52</v>
      </c>
      <c r="D2669" s="17">
        <v>31042</v>
      </c>
      <c r="E2669" s="17">
        <v>76</v>
      </c>
      <c r="F2669" s="17">
        <v>5992</v>
      </c>
      <c r="G2669" s="13">
        <v>2</v>
      </c>
      <c r="H2669" s="17">
        <v>0</v>
      </c>
      <c r="I2669" s="17">
        <v>0</v>
      </c>
      <c r="J2669" s="17">
        <v>63</v>
      </c>
      <c r="K2669" s="10">
        <v>63</v>
      </c>
      <c r="P2669" s="17">
        <v>1</v>
      </c>
      <c r="Q2669" s="19">
        <v>63</v>
      </c>
      <c r="R2669" s="14">
        <v>250</v>
      </c>
      <c r="S2669" s="19">
        <v>15750</v>
      </c>
      <c r="AJ2669" s="19">
        <v>0</v>
      </c>
      <c r="AK2669" s="23">
        <v>0</v>
      </c>
      <c r="AM2669" s="19">
        <v>0</v>
      </c>
      <c r="AN2669" s="19">
        <v>15750</v>
      </c>
      <c r="AP2669" s="14">
        <v>15750</v>
      </c>
    </row>
    <row r="2670" spans="1:45" x14ac:dyDescent="0.2">
      <c r="A2670" s="2">
        <v>2267</v>
      </c>
      <c r="B2670" s="13">
        <v>5</v>
      </c>
      <c r="C2670" s="17" t="s">
        <v>52</v>
      </c>
      <c r="D2670" s="17">
        <v>31043</v>
      </c>
      <c r="E2670" s="17">
        <v>77</v>
      </c>
      <c r="F2670" s="17">
        <v>5993</v>
      </c>
      <c r="G2670" s="13">
        <v>2</v>
      </c>
      <c r="H2670" s="17">
        <v>0</v>
      </c>
      <c r="I2670" s="17">
        <v>0</v>
      </c>
      <c r="J2670" s="17">
        <v>64.010000000000005</v>
      </c>
      <c r="K2670" s="10">
        <v>64.010000000000005</v>
      </c>
      <c r="P2670" s="17">
        <v>1</v>
      </c>
      <c r="Q2670" s="19">
        <v>64.010000000000005</v>
      </c>
      <c r="R2670" s="14">
        <v>250</v>
      </c>
      <c r="S2670" s="19">
        <v>16002.500000000002</v>
      </c>
      <c r="AJ2670" s="19">
        <v>0</v>
      </c>
      <c r="AK2670" s="23">
        <v>0</v>
      </c>
      <c r="AM2670" s="19">
        <v>0</v>
      </c>
      <c r="AN2670" s="19">
        <v>16002.500000000002</v>
      </c>
      <c r="AP2670" s="14">
        <v>16002.500000000002</v>
      </c>
    </row>
    <row r="2671" spans="1:45" x14ac:dyDescent="0.2">
      <c r="A2671" s="2">
        <v>2268</v>
      </c>
      <c r="B2671" s="13">
        <v>6</v>
      </c>
      <c r="C2671" s="17" t="s">
        <v>52</v>
      </c>
      <c r="D2671" s="17">
        <v>31044</v>
      </c>
      <c r="E2671" s="17">
        <v>78</v>
      </c>
      <c r="F2671" s="17">
        <v>5994</v>
      </c>
      <c r="G2671" s="13">
        <v>2</v>
      </c>
      <c r="H2671" s="17">
        <v>0</v>
      </c>
      <c r="I2671" s="17">
        <v>0</v>
      </c>
      <c r="J2671" s="17">
        <v>63.09</v>
      </c>
      <c r="K2671" s="10">
        <v>63.09</v>
      </c>
      <c r="P2671" s="17">
        <v>1</v>
      </c>
      <c r="Q2671" s="19">
        <v>63.09</v>
      </c>
      <c r="R2671" s="14">
        <v>250</v>
      </c>
      <c r="S2671" s="19">
        <v>15772.5</v>
      </c>
      <c r="AJ2671" s="19">
        <v>0</v>
      </c>
      <c r="AK2671" s="23">
        <v>0</v>
      </c>
      <c r="AM2671" s="19">
        <v>0</v>
      </c>
      <c r="AN2671" s="19">
        <v>15772.5</v>
      </c>
      <c r="AP2671" s="14">
        <v>15772.5</v>
      </c>
    </row>
    <row r="2672" spans="1:45" x14ac:dyDescent="0.2">
      <c r="A2672" s="2">
        <v>2269</v>
      </c>
      <c r="B2672" s="13">
        <v>7</v>
      </c>
      <c r="C2672" s="17" t="s">
        <v>52</v>
      </c>
      <c r="D2672" s="17">
        <v>31045</v>
      </c>
      <c r="E2672" s="17">
        <v>79</v>
      </c>
      <c r="F2672" s="17">
        <v>5995</v>
      </c>
      <c r="G2672" s="13">
        <v>2</v>
      </c>
      <c r="H2672" s="17">
        <v>0</v>
      </c>
      <c r="I2672" s="17">
        <v>0</v>
      </c>
      <c r="J2672" s="17">
        <v>64.05</v>
      </c>
      <c r="K2672" s="10">
        <v>64.05</v>
      </c>
      <c r="P2672" s="17">
        <v>1</v>
      </c>
      <c r="Q2672" s="19">
        <v>64.05</v>
      </c>
      <c r="R2672" s="14">
        <v>250</v>
      </c>
      <c r="S2672" s="19">
        <v>16012.5</v>
      </c>
      <c r="AJ2672" s="19">
        <v>0</v>
      </c>
      <c r="AK2672" s="23">
        <v>0</v>
      </c>
      <c r="AM2672" s="19">
        <v>0</v>
      </c>
      <c r="AN2672" s="19">
        <v>16012.5</v>
      </c>
      <c r="AP2672" s="14">
        <v>16012.5</v>
      </c>
    </row>
    <row r="2673" spans="1:45" s="19" customFormat="1" x14ac:dyDescent="0.2">
      <c r="A2673" s="2">
        <v>2270</v>
      </c>
      <c r="B2673" s="13">
        <v>8</v>
      </c>
      <c r="C2673" s="17" t="s">
        <v>52</v>
      </c>
      <c r="D2673" s="17">
        <v>31046</v>
      </c>
      <c r="E2673" s="17">
        <v>80</v>
      </c>
      <c r="F2673" s="17">
        <v>5996</v>
      </c>
      <c r="G2673" s="13">
        <v>2</v>
      </c>
      <c r="H2673" s="17">
        <v>0</v>
      </c>
      <c r="I2673" s="17">
        <v>0</v>
      </c>
      <c r="J2673" s="17">
        <v>65.08</v>
      </c>
      <c r="K2673" s="10">
        <v>65.08</v>
      </c>
      <c r="L2673" s="17"/>
      <c r="M2673" s="15"/>
      <c r="N2673" s="18"/>
      <c r="O2673" s="14"/>
      <c r="P2673" s="17">
        <v>1</v>
      </c>
      <c r="Q2673" s="19">
        <v>65.08</v>
      </c>
      <c r="R2673" s="14">
        <v>250</v>
      </c>
      <c r="S2673" s="19">
        <v>16270</v>
      </c>
      <c r="T2673" s="17"/>
      <c r="U2673" s="17"/>
      <c r="V2673" s="17"/>
      <c r="W2673" s="4"/>
      <c r="X2673" s="17"/>
      <c r="Y2673" s="4"/>
      <c r="Z2673" s="17"/>
      <c r="AA2673" s="17"/>
      <c r="AB2673" s="17"/>
      <c r="AC2673" s="14"/>
      <c r="AD2673" s="14"/>
      <c r="AE2673" s="17"/>
      <c r="AF2673" s="14"/>
      <c r="AG2673" s="54"/>
      <c r="AH2673" s="11"/>
      <c r="AI2673" s="14"/>
      <c r="AJ2673" s="19">
        <v>0</v>
      </c>
      <c r="AK2673" s="23">
        <v>0</v>
      </c>
      <c r="AL2673" s="11"/>
      <c r="AM2673" s="19">
        <v>0</v>
      </c>
      <c r="AN2673" s="19">
        <v>16270</v>
      </c>
      <c r="AO2673" s="14"/>
      <c r="AP2673" s="14">
        <v>16270</v>
      </c>
      <c r="AQ2673" s="12"/>
      <c r="AS2673" s="26"/>
    </row>
    <row r="2674" spans="1:45" s="19" customFormat="1" x14ac:dyDescent="0.2">
      <c r="A2674" s="2">
        <v>2271</v>
      </c>
      <c r="B2674" s="13">
        <v>9</v>
      </c>
      <c r="C2674" s="17" t="s">
        <v>52</v>
      </c>
      <c r="D2674" s="17">
        <v>31047</v>
      </c>
      <c r="E2674" s="17">
        <v>81</v>
      </c>
      <c r="F2674" s="17">
        <v>5997</v>
      </c>
      <c r="G2674" s="13">
        <v>2</v>
      </c>
      <c r="H2674" s="17">
        <v>0</v>
      </c>
      <c r="I2674" s="17">
        <v>0</v>
      </c>
      <c r="J2674" s="17">
        <v>64.06</v>
      </c>
      <c r="K2674" s="10">
        <v>64.06</v>
      </c>
      <c r="L2674" s="17"/>
      <c r="M2674" s="15"/>
      <c r="N2674" s="18"/>
      <c r="O2674" s="14"/>
      <c r="P2674" s="17">
        <v>1</v>
      </c>
      <c r="Q2674" s="19">
        <v>64.06</v>
      </c>
      <c r="R2674" s="14">
        <v>250</v>
      </c>
      <c r="S2674" s="19">
        <v>16015</v>
      </c>
      <c r="T2674" s="17"/>
      <c r="U2674" s="17"/>
      <c r="V2674" s="17"/>
      <c r="W2674" s="4"/>
      <c r="X2674" s="17"/>
      <c r="Y2674" s="4"/>
      <c r="Z2674" s="17"/>
      <c r="AA2674" s="17"/>
      <c r="AB2674" s="17"/>
      <c r="AC2674" s="14"/>
      <c r="AD2674" s="14"/>
      <c r="AE2674" s="17"/>
      <c r="AF2674" s="14"/>
      <c r="AG2674" s="54"/>
      <c r="AH2674" s="11"/>
      <c r="AI2674" s="14"/>
      <c r="AJ2674" s="19">
        <v>0</v>
      </c>
      <c r="AK2674" s="23">
        <v>0</v>
      </c>
      <c r="AL2674" s="11"/>
      <c r="AM2674" s="19">
        <v>0</v>
      </c>
      <c r="AN2674" s="19">
        <v>16015</v>
      </c>
      <c r="AO2674" s="14"/>
      <c r="AP2674" s="14">
        <v>16015</v>
      </c>
      <c r="AQ2674" s="12"/>
      <c r="AS2674" s="26"/>
    </row>
    <row r="2675" spans="1:45" s="19" customFormat="1" ht="63" x14ac:dyDescent="0.2">
      <c r="A2675" s="2">
        <v>2272</v>
      </c>
      <c r="B2675" s="13">
        <v>1</v>
      </c>
      <c r="C2675" s="17" t="s">
        <v>52</v>
      </c>
      <c r="D2675" s="17">
        <v>2725</v>
      </c>
      <c r="E2675" s="17">
        <v>45</v>
      </c>
      <c r="F2675" s="17">
        <v>1897</v>
      </c>
      <c r="G2675" s="13">
        <v>1</v>
      </c>
      <c r="H2675" s="17">
        <v>1</v>
      </c>
      <c r="I2675" s="17">
        <v>0</v>
      </c>
      <c r="J2675" s="17">
        <v>26</v>
      </c>
      <c r="K2675" s="10">
        <v>375</v>
      </c>
      <c r="L2675" s="17">
        <v>51</v>
      </c>
      <c r="M2675" s="15"/>
      <c r="N2675" s="18"/>
      <c r="O2675" s="14"/>
      <c r="P2675" s="17">
        <v>2</v>
      </c>
      <c r="Q2675" s="19">
        <v>426</v>
      </c>
      <c r="R2675" s="14">
        <v>200</v>
      </c>
      <c r="S2675" s="19">
        <v>85200</v>
      </c>
      <c r="T2675" s="17"/>
      <c r="U2675" s="17" t="s">
        <v>57</v>
      </c>
      <c r="V2675" s="17" t="s">
        <v>56</v>
      </c>
      <c r="W2675" s="4"/>
      <c r="X2675" s="17"/>
      <c r="Y2675" s="4">
        <v>204</v>
      </c>
      <c r="Z2675" s="17"/>
      <c r="AA2675" s="17"/>
      <c r="AB2675" s="17">
        <v>7</v>
      </c>
      <c r="AC2675" s="14"/>
      <c r="AD2675" s="14"/>
      <c r="AE2675" s="17"/>
      <c r="AF2675" s="14"/>
      <c r="AG2675" s="54"/>
      <c r="AH2675" s="11"/>
      <c r="AI2675" s="14"/>
      <c r="AJ2675" s="19">
        <v>0</v>
      </c>
      <c r="AK2675" s="23">
        <v>7</v>
      </c>
      <c r="AL2675" s="11"/>
      <c r="AM2675" s="19">
        <v>0</v>
      </c>
      <c r="AN2675" s="19">
        <v>85200</v>
      </c>
      <c r="AO2675" s="14"/>
      <c r="AP2675" s="14">
        <v>85200</v>
      </c>
      <c r="AQ2675" s="12"/>
      <c r="AS2675" s="26"/>
    </row>
    <row r="2676" spans="1:45" s="19" customFormat="1" ht="63" x14ac:dyDescent="0.2">
      <c r="A2676" s="2">
        <v>2273</v>
      </c>
      <c r="B2676" s="13">
        <v>1</v>
      </c>
      <c r="C2676" s="17" t="s">
        <v>52</v>
      </c>
      <c r="D2676" s="17">
        <v>25717</v>
      </c>
      <c r="E2676" s="17">
        <v>76</v>
      </c>
      <c r="F2676" s="17">
        <v>5024</v>
      </c>
      <c r="G2676" s="13">
        <v>1</v>
      </c>
      <c r="H2676" s="17">
        <v>1</v>
      </c>
      <c r="I2676" s="17">
        <v>1</v>
      </c>
      <c r="J2676" s="17">
        <v>96</v>
      </c>
      <c r="K2676" s="10">
        <v>552</v>
      </c>
      <c r="L2676" s="17">
        <v>44</v>
      </c>
      <c r="M2676" s="15"/>
      <c r="N2676" s="18"/>
      <c r="O2676" s="14"/>
      <c r="P2676" s="17">
        <v>2</v>
      </c>
      <c r="Q2676" s="19">
        <v>596</v>
      </c>
      <c r="R2676" s="14">
        <v>200</v>
      </c>
      <c r="S2676" s="19">
        <v>119200</v>
      </c>
      <c r="T2676" s="17"/>
      <c r="U2676" s="17" t="s">
        <v>57</v>
      </c>
      <c r="V2676" s="17" t="s">
        <v>56</v>
      </c>
      <c r="W2676" s="4"/>
      <c r="X2676" s="17"/>
      <c r="Y2676" s="4">
        <v>176</v>
      </c>
      <c r="Z2676" s="17"/>
      <c r="AA2676" s="17"/>
      <c r="AB2676" s="17">
        <v>5</v>
      </c>
      <c r="AC2676" s="14"/>
      <c r="AD2676" s="14"/>
      <c r="AE2676" s="17"/>
      <c r="AF2676" s="14"/>
      <c r="AG2676" s="54"/>
      <c r="AH2676" s="11"/>
      <c r="AI2676" s="14"/>
      <c r="AJ2676" s="19">
        <v>0</v>
      </c>
      <c r="AK2676" s="23">
        <v>5</v>
      </c>
      <c r="AL2676" s="11"/>
      <c r="AM2676" s="19">
        <v>0</v>
      </c>
      <c r="AN2676" s="19">
        <v>119200</v>
      </c>
      <c r="AO2676" s="14"/>
      <c r="AP2676" s="14">
        <v>119200</v>
      </c>
      <c r="AQ2676" s="12"/>
      <c r="AS2676" s="26"/>
    </row>
    <row r="2677" spans="1:45" s="19" customFormat="1" x14ac:dyDescent="0.2">
      <c r="A2677" s="2">
        <v>2274</v>
      </c>
      <c r="B2677" s="13">
        <v>2</v>
      </c>
      <c r="C2677" s="17" t="s">
        <v>52</v>
      </c>
      <c r="D2677" s="17">
        <v>31031</v>
      </c>
      <c r="E2677" s="17">
        <v>65</v>
      </c>
      <c r="F2677" s="17">
        <v>5981</v>
      </c>
      <c r="G2677" s="13">
        <v>2</v>
      </c>
      <c r="H2677" s="17">
        <v>4</v>
      </c>
      <c r="I2677" s="17">
        <v>1</v>
      </c>
      <c r="J2677" s="17">
        <v>75</v>
      </c>
      <c r="K2677" s="10">
        <v>1375</v>
      </c>
      <c r="L2677" s="17"/>
      <c r="M2677" s="15"/>
      <c r="N2677" s="18"/>
      <c r="O2677" s="14"/>
      <c r="P2677" s="17">
        <v>1</v>
      </c>
      <c r="Q2677" s="19">
        <v>1775</v>
      </c>
      <c r="R2677" s="14">
        <v>200</v>
      </c>
      <c r="S2677" s="19">
        <v>355000</v>
      </c>
      <c r="T2677" s="17"/>
      <c r="U2677" s="17"/>
      <c r="V2677" s="17"/>
      <c r="W2677" s="4"/>
      <c r="X2677" s="17"/>
      <c r="Y2677" s="4"/>
      <c r="Z2677" s="17"/>
      <c r="AA2677" s="17"/>
      <c r="AB2677" s="17"/>
      <c r="AC2677" s="14"/>
      <c r="AD2677" s="14"/>
      <c r="AE2677" s="17"/>
      <c r="AF2677" s="14"/>
      <c r="AG2677" s="54"/>
      <c r="AH2677" s="11"/>
      <c r="AI2677" s="14"/>
      <c r="AJ2677" s="19">
        <v>0</v>
      </c>
      <c r="AK2677" s="23">
        <v>0</v>
      </c>
      <c r="AL2677" s="11"/>
      <c r="AM2677" s="19">
        <v>0</v>
      </c>
      <c r="AN2677" s="19">
        <v>355000</v>
      </c>
      <c r="AO2677" s="14"/>
      <c r="AP2677" s="14">
        <v>355000</v>
      </c>
      <c r="AQ2677" s="12"/>
      <c r="AS2677" s="26"/>
    </row>
    <row r="2678" spans="1:45" s="19" customFormat="1" x14ac:dyDescent="0.2">
      <c r="A2678" s="2">
        <v>2275</v>
      </c>
      <c r="B2678" s="13">
        <v>3</v>
      </c>
      <c r="C2678" s="17" t="s">
        <v>52</v>
      </c>
      <c r="D2678" s="17">
        <v>31032</v>
      </c>
      <c r="E2678" s="17">
        <v>66</v>
      </c>
      <c r="F2678" s="17">
        <v>5982</v>
      </c>
      <c r="G2678" s="13">
        <v>2</v>
      </c>
      <c r="H2678" s="17">
        <v>0</v>
      </c>
      <c r="I2678" s="17">
        <v>1</v>
      </c>
      <c r="J2678" s="17">
        <v>7.03</v>
      </c>
      <c r="K2678" s="10">
        <v>107.03</v>
      </c>
      <c r="L2678" s="17"/>
      <c r="M2678" s="15"/>
      <c r="N2678" s="18"/>
      <c r="O2678" s="14"/>
      <c r="P2678" s="17">
        <v>1</v>
      </c>
      <c r="Q2678" s="19">
        <v>107.03</v>
      </c>
      <c r="R2678" s="14">
        <v>200</v>
      </c>
      <c r="S2678" s="19">
        <v>21406</v>
      </c>
      <c r="T2678" s="17"/>
      <c r="U2678" s="17"/>
      <c r="V2678" s="17"/>
      <c r="W2678" s="4"/>
      <c r="X2678" s="17"/>
      <c r="Y2678" s="4"/>
      <c r="Z2678" s="17"/>
      <c r="AA2678" s="17"/>
      <c r="AB2678" s="17"/>
      <c r="AC2678" s="14"/>
      <c r="AD2678" s="14"/>
      <c r="AE2678" s="17"/>
      <c r="AF2678" s="14"/>
      <c r="AG2678" s="54"/>
      <c r="AH2678" s="11"/>
      <c r="AI2678" s="14"/>
      <c r="AJ2678" s="19">
        <v>0</v>
      </c>
      <c r="AK2678" s="23">
        <v>0</v>
      </c>
      <c r="AL2678" s="11"/>
      <c r="AM2678" s="19">
        <v>0</v>
      </c>
      <c r="AN2678" s="19">
        <v>21406</v>
      </c>
      <c r="AO2678" s="14"/>
      <c r="AP2678" s="14">
        <v>21406</v>
      </c>
      <c r="AQ2678" s="12"/>
      <c r="AS2678" s="26"/>
    </row>
    <row r="2679" spans="1:45" s="19" customFormat="1" x14ac:dyDescent="0.2">
      <c r="A2679" s="2">
        <v>2276</v>
      </c>
      <c r="B2679" s="13">
        <v>4</v>
      </c>
      <c r="C2679" s="17" t="s">
        <v>52</v>
      </c>
      <c r="D2679" s="17">
        <v>31033</v>
      </c>
      <c r="E2679" s="17">
        <v>67</v>
      </c>
      <c r="F2679" s="17">
        <v>5983</v>
      </c>
      <c r="G2679" s="13">
        <v>2</v>
      </c>
      <c r="H2679" s="17">
        <v>0</v>
      </c>
      <c r="I2679" s="17">
        <v>1</v>
      </c>
      <c r="J2679" s="17">
        <v>8.02</v>
      </c>
      <c r="K2679" s="10">
        <v>108.02</v>
      </c>
      <c r="L2679" s="17"/>
      <c r="M2679" s="15"/>
      <c r="N2679" s="18"/>
      <c r="O2679" s="14"/>
      <c r="P2679" s="17">
        <v>1</v>
      </c>
      <c r="Q2679" s="19">
        <v>108.02</v>
      </c>
      <c r="R2679" s="14">
        <v>200</v>
      </c>
      <c r="S2679" s="19">
        <v>21604</v>
      </c>
      <c r="T2679" s="17"/>
      <c r="U2679" s="17"/>
      <c r="V2679" s="17"/>
      <c r="W2679" s="4"/>
      <c r="X2679" s="17"/>
      <c r="Y2679" s="4"/>
      <c r="Z2679" s="17"/>
      <c r="AA2679" s="17"/>
      <c r="AB2679" s="17"/>
      <c r="AC2679" s="14"/>
      <c r="AD2679" s="14"/>
      <c r="AE2679" s="17"/>
      <c r="AF2679" s="14"/>
      <c r="AG2679" s="54"/>
      <c r="AH2679" s="11"/>
      <c r="AI2679" s="14"/>
      <c r="AJ2679" s="19">
        <v>0</v>
      </c>
      <c r="AK2679" s="23">
        <v>0</v>
      </c>
      <c r="AL2679" s="11"/>
      <c r="AM2679" s="19">
        <v>0</v>
      </c>
      <c r="AN2679" s="19">
        <v>21604</v>
      </c>
      <c r="AO2679" s="14"/>
      <c r="AP2679" s="14">
        <v>21604</v>
      </c>
      <c r="AQ2679" s="12"/>
      <c r="AS2679" s="26"/>
    </row>
    <row r="2680" spans="1:45" s="19" customFormat="1" x14ac:dyDescent="0.2">
      <c r="A2680" s="2">
        <v>2277</v>
      </c>
      <c r="B2680" s="13">
        <v>5</v>
      </c>
      <c r="C2680" s="17" t="s">
        <v>52</v>
      </c>
      <c r="D2680" s="17">
        <v>31034</v>
      </c>
      <c r="E2680" s="17">
        <v>68</v>
      </c>
      <c r="F2680" s="17">
        <v>5984</v>
      </c>
      <c r="G2680" s="13">
        <v>2</v>
      </c>
      <c r="H2680" s="17">
        <v>0</v>
      </c>
      <c r="I2680" s="17">
        <v>1</v>
      </c>
      <c r="J2680" s="17">
        <v>3.06</v>
      </c>
      <c r="K2680" s="10">
        <v>103.06</v>
      </c>
      <c r="L2680" s="17"/>
      <c r="M2680" s="15"/>
      <c r="N2680" s="18"/>
      <c r="O2680" s="14"/>
      <c r="P2680" s="17">
        <v>1</v>
      </c>
      <c r="Q2680" s="19">
        <v>103.06</v>
      </c>
      <c r="R2680" s="14">
        <v>200</v>
      </c>
      <c r="S2680" s="19">
        <v>20612</v>
      </c>
      <c r="T2680" s="17"/>
      <c r="U2680" s="17"/>
      <c r="V2680" s="17"/>
      <c r="W2680" s="4"/>
      <c r="X2680" s="17"/>
      <c r="Y2680" s="4"/>
      <c r="Z2680" s="17"/>
      <c r="AA2680" s="17"/>
      <c r="AB2680" s="17"/>
      <c r="AC2680" s="14"/>
      <c r="AD2680" s="14"/>
      <c r="AE2680" s="17"/>
      <c r="AF2680" s="14"/>
      <c r="AG2680" s="54"/>
      <c r="AH2680" s="11"/>
      <c r="AI2680" s="14"/>
      <c r="AJ2680" s="19">
        <v>0</v>
      </c>
      <c r="AK2680" s="23">
        <v>0</v>
      </c>
      <c r="AL2680" s="11"/>
      <c r="AM2680" s="19">
        <v>0</v>
      </c>
      <c r="AN2680" s="19">
        <v>20612</v>
      </c>
      <c r="AO2680" s="14"/>
      <c r="AP2680" s="14">
        <v>20612</v>
      </c>
      <c r="AQ2680" s="12"/>
      <c r="AS2680" s="26"/>
    </row>
    <row r="2681" spans="1:45" s="19" customFormat="1" x14ac:dyDescent="0.2">
      <c r="A2681" s="2">
        <v>2278</v>
      </c>
      <c r="B2681" s="13">
        <v>6</v>
      </c>
      <c r="C2681" s="17" t="s">
        <v>52</v>
      </c>
      <c r="D2681" s="17">
        <v>31035</v>
      </c>
      <c r="E2681" s="17">
        <v>69</v>
      </c>
      <c r="F2681" s="17">
        <v>5985</v>
      </c>
      <c r="G2681" s="13">
        <v>2</v>
      </c>
      <c r="H2681" s="17">
        <v>0</v>
      </c>
      <c r="I2681" s="17">
        <v>0</v>
      </c>
      <c r="J2681" s="17">
        <v>98.09</v>
      </c>
      <c r="K2681" s="10">
        <v>98.09</v>
      </c>
      <c r="L2681" s="17"/>
      <c r="M2681" s="15"/>
      <c r="N2681" s="18"/>
      <c r="O2681" s="14"/>
      <c r="P2681" s="17">
        <v>1</v>
      </c>
      <c r="Q2681" s="19">
        <v>98.09</v>
      </c>
      <c r="R2681" s="14">
        <v>200</v>
      </c>
      <c r="S2681" s="19">
        <v>19618</v>
      </c>
      <c r="T2681" s="17"/>
      <c r="U2681" s="17"/>
      <c r="V2681" s="17"/>
      <c r="W2681" s="4"/>
      <c r="X2681" s="17"/>
      <c r="Y2681" s="4"/>
      <c r="Z2681" s="17"/>
      <c r="AA2681" s="17"/>
      <c r="AB2681" s="17"/>
      <c r="AC2681" s="14"/>
      <c r="AD2681" s="14"/>
      <c r="AE2681" s="17"/>
      <c r="AF2681" s="14"/>
      <c r="AG2681" s="54"/>
      <c r="AH2681" s="11"/>
      <c r="AI2681" s="14"/>
      <c r="AJ2681" s="19">
        <v>0</v>
      </c>
      <c r="AK2681" s="23">
        <v>0</v>
      </c>
      <c r="AL2681" s="11"/>
      <c r="AM2681" s="19">
        <v>0</v>
      </c>
      <c r="AN2681" s="19">
        <v>19618</v>
      </c>
      <c r="AO2681" s="14"/>
      <c r="AP2681" s="14">
        <v>19618</v>
      </c>
      <c r="AQ2681" s="12"/>
      <c r="AS2681" s="26"/>
    </row>
    <row r="2682" spans="1:45" s="19" customFormat="1" x14ac:dyDescent="0.2">
      <c r="A2682" s="2">
        <v>2279</v>
      </c>
      <c r="B2682" s="13">
        <v>7</v>
      </c>
      <c r="C2682" s="17" t="s">
        <v>52</v>
      </c>
      <c r="D2682" s="17">
        <v>31036</v>
      </c>
      <c r="E2682" s="17">
        <v>70</v>
      </c>
      <c r="F2682" s="17">
        <v>5986</v>
      </c>
      <c r="G2682" s="13">
        <v>2</v>
      </c>
      <c r="H2682" s="17">
        <v>0</v>
      </c>
      <c r="I2682" s="17">
        <v>0</v>
      </c>
      <c r="J2682" s="17">
        <v>92.07</v>
      </c>
      <c r="K2682" s="10">
        <v>92.07</v>
      </c>
      <c r="L2682" s="17"/>
      <c r="M2682" s="15"/>
      <c r="N2682" s="18"/>
      <c r="O2682" s="14"/>
      <c r="P2682" s="17">
        <v>1</v>
      </c>
      <c r="Q2682" s="19">
        <v>92.07</v>
      </c>
      <c r="R2682" s="14">
        <v>200</v>
      </c>
      <c r="S2682" s="19">
        <v>18414</v>
      </c>
      <c r="T2682" s="17"/>
      <c r="U2682" s="17"/>
      <c r="V2682" s="17"/>
      <c r="W2682" s="4"/>
      <c r="X2682" s="17"/>
      <c r="Y2682" s="4"/>
      <c r="Z2682" s="17"/>
      <c r="AA2682" s="17"/>
      <c r="AB2682" s="17"/>
      <c r="AC2682" s="14"/>
      <c r="AD2682" s="14"/>
      <c r="AE2682" s="17"/>
      <c r="AF2682" s="14"/>
      <c r="AG2682" s="54"/>
      <c r="AH2682" s="11"/>
      <c r="AI2682" s="14"/>
      <c r="AJ2682" s="19">
        <v>0</v>
      </c>
      <c r="AK2682" s="23">
        <v>0</v>
      </c>
      <c r="AL2682" s="11"/>
      <c r="AM2682" s="19">
        <v>0</v>
      </c>
      <c r="AN2682" s="19">
        <v>18414</v>
      </c>
      <c r="AO2682" s="14"/>
      <c r="AP2682" s="14">
        <v>18414</v>
      </c>
      <c r="AQ2682" s="12"/>
      <c r="AS2682" s="26"/>
    </row>
    <row r="2683" spans="1:45" s="19" customFormat="1" x14ac:dyDescent="0.2">
      <c r="A2683" s="2">
        <v>2280</v>
      </c>
      <c r="B2683" s="13">
        <v>8</v>
      </c>
      <c r="C2683" s="17" t="s">
        <v>52</v>
      </c>
      <c r="D2683" s="17">
        <v>31037</v>
      </c>
      <c r="E2683" s="17">
        <v>71</v>
      </c>
      <c r="F2683" s="17">
        <v>5987</v>
      </c>
      <c r="G2683" s="13">
        <v>2</v>
      </c>
      <c r="H2683" s="17">
        <v>0</v>
      </c>
      <c r="I2683" s="17">
        <v>0</v>
      </c>
      <c r="J2683" s="17">
        <v>86.07</v>
      </c>
      <c r="K2683" s="10">
        <v>86.07</v>
      </c>
      <c r="L2683" s="17"/>
      <c r="M2683" s="15"/>
      <c r="N2683" s="18"/>
      <c r="O2683" s="14"/>
      <c r="P2683" s="17">
        <v>1</v>
      </c>
      <c r="Q2683" s="19">
        <v>86.07</v>
      </c>
      <c r="R2683" s="14">
        <v>200</v>
      </c>
      <c r="S2683" s="19">
        <v>17214</v>
      </c>
      <c r="T2683" s="17"/>
      <c r="U2683" s="17"/>
      <c r="V2683" s="17"/>
      <c r="W2683" s="4"/>
      <c r="X2683" s="17"/>
      <c r="Y2683" s="4"/>
      <c r="Z2683" s="17"/>
      <c r="AA2683" s="17"/>
      <c r="AB2683" s="17"/>
      <c r="AC2683" s="14"/>
      <c r="AD2683" s="14"/>
      <c r="AE2683" s="17"/>
      <c r="AF2683" s="14"/>
      <c r="AG2683" s="54"/>
      <c r="AH2683" s="11"/>
      <c r="AI2683" s="14"/>
      <c r="AJ2683" s="19">
        <v>0</v>
      </c>
      <c r="AK2683" s="23">
        <v>0</v>
      </c>
      <c r="AL2683" s="11"/>
      <c r="AM2683" s="19">
        <v>0</v>
      </c>
      <c r="AN2683" s="19">
        <v>17214</v>
      </c>
      <c r="AO2683" s="14"/>
      <c r="AP2683" s="14">
        <v>17214</v>
      </c>
      <c r="AQ2683" s="12"/>
      <c r="AS2683" s="26"/>
    </row>
    <row r="2684" spans="1:45" s="19" customFormat="1" x14ac:dyDescent="0.2">
      <c r="A2684" s="2">
        <v>2281</v>
      </c>
      <c r="B2684" s="13">
        <v>9</v>
      </c>
      <c r="C2684" s="17" t="s">
        <v>52</v>
      </c>
      <c r="D2684" s="17">
        <v>31038</v>
      </c>
      <c r="E2684" s="17">
        <v>72</v>
      </c>
      <c r="F2684" s="17">
        <v>5988</v>
      </c>
      <c r="G2684" s="13">
        <v>2</v>
      </c>
      <c r="H2684" s="17">
        <v>0</v>
      </c>
      <c r="I2684" s="17">
        <v>0</v>
      </c>
      <c r="J2684" s="17">
        <v>84.02</v>
      </c>
      <c r="K2684" s="10">
        <v>84.02</v>
      </c>
      <c r="L2684" s="17"/>
      <c r="M2684" s="15"/>
      <c r="N2684" s="18"/>
      <c r="O2684" s="14"/>
      <c r="P2684" s="17">
        <v>1</v>
      </c>
      <c r="Q2684" s="19">
        <v>84.02</v>
      </c>
      <c r="R2684" s="14">
        <v>200</v>
      </c>
      <c r="S2684" s="19">
        <v>16804</v>
      </c>
      <c r="T2684" s="17"/>
      <c r="U2684" s="17"/>
      <c r="V2684" s="17"/>
      <c r="W2684" s="4"/>
      <c r="X2684" s="17"/>
      <c r="Y2684" s="4"/>
      <c r="Z2684" s="17"/>
      <c r="AA2684" s="17"/>
      <c r="AB2684" s="17"/>
      <c r="AC2684" s="14"/>
      <c r="AD2684" s="14"/>
      <c r="AE2684" s="17"/>
      <c r="AF2684" s="14"/>
      <c r="AG2684" s="54"/>
      <c r="AH2684" s="11"/>
      <c r="AI2684" s="14"/>
      <c r="AJ2684" s="19">
        <v>0</v>
      </c>
      <c r="AK2684" s="23">
        <v>0</v>
      </c>
      <c r="AL2684" s="11"/>
      <c r="AM2684" s="19">
        <v>0</v>
      </c>
      <c r="AN2684" s="19">
        <v>16804</v>
      </c>
      <c r="AO2684" s="14"/>
      <c r="AP2684" s="14">
        <v>16804</v>
      </c>
      <c r="AQ2684" s="12"/>
      <c r="AS2684" s="26"/>
    </row>
    <row r="2685" spans="1:45" s="19" customFormat="1" x14ac:dyDescent="0.2">
      <c r="A2685" s="2">
        <v>2282</v>
      </c>
      <c r="B2685" s="13">
        <v>10</v>
      </c>
      <c r="C2685" s="17" t="s">
        <v>52</v>
      </c>
      <c r="D2685" s="17">
        <v>31039</v>
      </c>
      <c r="E2685" s="17">
        <v>73</v>
      </c>
      <c r="F2685" s="17">
        <v>5989</v>
      </c>
      <c r="G2685" s="13">
        <v>2</v>
      </c>
      <c r="H2685" s="17">
        <v>0</v>
      </c>
      <c r="I2685" s="17">
        <v>0</v>
      </c>
      <c r="J2685" s="17">
        <v>79.09</v>
      </c>
      <c r="K2685" s="10">
        <v>79.09</v>
      </c>
      <c r="L2685" s="17"/>
      <c r="M2685" s="15"/>
      <c r="N2685" s="18"/>
      <c r="O2685" s="14"/>
      <c r="P2685" s="17">
        <v>1</v>
      </c>
      <c r="Q2685" s="19">
        <v>79.09</v>
      </c>
      <c r="R2685" s="14">
        <v>200</v>
      </c>
      <c r="S2685" s="19">
        <v>15818</v>
      </c>
      <c r="T2685" s="17"/>
      <c r="U2685" s="17"/>
      <c r="V2685" s="17"/>
      <c r="W2685" s="4"/>
      <c r="X2685" s="17"/>
      <c r="Y2685" s="4"/>
      <c r="Z2685" s="17"/>
      <c r="AA2685" s="17"/>
      <c r="AB2685" s="17"/>
      <c r="AC2685" s="14"/>
      <c r="AD2685" s="14"/>
      <c r="AE2685" s="17"/>
      <c r="AF2685" s="14"/>
      <c r="AG2685" s="54"/>
      <c r="AH2685" s="11"/>
      <c r="AI2685" s="14"/>
      <c r="AJ2685" s="19">
        <v>0</v>
      </c>
      <c r="AK2685" s="23">
        <v>0</v>
      </c>
      <c r="AL2685" s="11"/>
      <c r="AM2685" s="19">
        <v>0</v>
      </c>
      <c r="AN2685" s="19">
        <v>15818</v>
      </c>
      <c r="AO2685" s="14"/>
      <c r="AP2685" s="14">
        <v>15818</v>
      </c>
      <c r="AQ2685" s="12"/>
      <c r="AS2685" s="26"/>
    </row>
    <row r="2686" spans="1:45" s="19" customFormat="1" x14ac:dyDescent="0.2">
      <c r="A2686" s="2">
        <v>2283</v>
      </c>
      <c r="B2686" s="13">
        <v>11</v>
      </c>
      <c r="C2686" s="17" t="s">
        <v>52</v>
      </c>
      <c r="D2686" s="17">
        <v>31031</v>
      </c>
      <c r="E2686" s="17">
        <v>65</v>
      </c>
      <c r="F2686" s="17">
        <v>5981</v>
      </c>
      <c r="G2686" s="13"/>
      <c r="H2686" s="17">
        <v>4</v>
      </c>
      <c r="I2686" s="17">
        <v>1</v>
      </c>
      <c r="J2686" s="17">
        <v>75</v>
      </c>
      <c r="K2686" s="10" t="s">
        <v>238</v>
      </c>
      <c r="L2686" s="17"/>
      <c r="M2686" s="15"/>
      <c r="N2686" s="18"/>
      <c r="O2686" s="14"/>
      <c r="P2686" s="17">
        <v>1</v>
      </c>
      <c r="Q2686" s="19">
        <v>1775</v>
      </c>
      <c r="R2686" s="14">
        <v>200</v>
      </c>
      <c r="S2686" s="19">
        <v>355000</v>
      </c>
      <c r="T2686" s="17"/>
      <c r="U2686" s="17"/>
      <c r="V2686" s="17"/>
      <c r="W2686" s="4"/>
      <c r="X2686" s="17"/>
      <c r="Y2686" s="4"/>
      <c r="Z2686" s="17"/>
      <c r="AA2686" s="17"/>
      <c r="AB2686" s="17"/>
      <c r="AC2686" s="14"/>
      <c r="AD2686" s="14"/>
      <c r="AE2686" s="17" t="s">
        <v>239</v>
      </c>
      <c r="AF2686" s="14"/>
      <c r="AG2686" s="54"/>
      <c r="AH2686" s="11"/>
      <c r="AI2686" s="14"/>
      <c r="AJ2686" s="19">
        <v>0</v>
      </c>
      <c r="AK2686" s="23">
        <v>0</v>
      </c>
      <c r="AL2686" s="11"/>
      <c r="AM2686" s="19">
        <v>0</v>
      </c>
      <c r="AN2686" s="19">
        <v>355000</v>
      </c>
      <c r="AO2686" s="14"/>
      <c r="AP2686" s="14">
        <v>355000</v>
      </c>
      <c r="AQ2686" s="12"/>
      <c r="AS2686" s="26"/>
    </row>
    <row r="2687" spans="1:45" s="19" customFormat="1" x14ac:dyDescent="0.2">
      <c r="A2687" s="2">
        <v>2284</v>
      </c>
      <c r="B2687" s="13">
        <v>1</v>
      </c>
      <c r="C2687" s="17" t="s">
        <v>52</v>
      </c>
      <c r="D2687" s="17">
        <v>2732</v>
      </c>
      <c r="E2687" s="17">
        <v>5</v>
      </c>
      <c r="F2687" s="17">
        <v>1904</v>
      </c>
      <c r="G2687" s="13">
        <v>1</v>
      </c>
      <c r="H2687" s="17">
        <v>13</v>
      </c>
      <c r="I2687" s="17">
        <v>1</v>
      </c>
      <c r="J2687" s="17">
        <v>47</v>
      </c>
      <c r="K2687" s="10">
        <v>5347</v>
      </c>
      <c r="L2687" s="17"/>
      <c r="M2687" s="15"/>
      <c r="N2687" s="18"/>
      <c r="O2687" s="14"/>
      <c r="P2687" s="17">
        <v>1</v>
      </c>
      <c r="Q2687" s="19">
        <v>5347</v>
      </c>
      <c r="R2687" s="14">
        <v>200</v>
      </c>
      <c r="S2687" s="19">
        <v>1069400</v>
      </c>
      <c r="T2687" s="17"/>
      <c r="U2687" s="17"/>
      <c r="V2687" s="17"/>
      <c r="W2687" s="4"/>
      <c r="X2687" s="17"/>
      <c r="Y2687" s="4"/>
      <c r="Z2687" s="17"/>
      <c r="AA2687" s="17"/>
      <c r="AB2687" s="17"/>
      <c r="AC2687" s="14"/>
      <c r="AD2687" s="14"/>
      <c r="AE2687" s="17"/>
      <c r="AF2687" s="14"/>
      <c r="AG2687" s="54"/>
      <c r="AH2687" s="11"/>
      <c r="AI2687" s="14"/>
      <c r="AJ2687" s="19">
        <v>0</v>
      </c>
      <c r="AK2687" s="23">
        <v>0</v>
      </c>
      <c r="AL2687" s="11"/>
      <c r="AM2687" s="19">
        <v>0</v>
      </c>
      <c r="AN2687" s="19">
        <v>1069400</v>
      </c>
      <c r="AO2687" s="14"/>
      <c r="AP2687" s="14">
        <v>1069400</v>
      </c>
      <c r="AQ2687" s="12"/>
      <c r="AS2687" s="26"/>
    </row>
    <row r="2688" spans="1:45" s="19" customFormat="1" x14ac:dyDescent="0.2">
      <c r="A2688" s="2">
        <v>2285</v>
      </c>
      <c r="B2688" s="13">
        <v>2</v>
      </c>
      <c r="C2688" s="17" t="s">
        <v>52</v>
      </c>
      <c r="D2688" s="17">
        <v>25716</v>
      </c>
      <c r="E2688" s="17">
        <v>75</v>
      </c>
      <c r="F2688" s="17">
        <v>5023</v>
      </c>
      <c r="G2688" s="13">
        <v>1</v>
      </c>
      <c r="H2688" s="17">
        <v>1</v>
      </c>
      <c r="I2688" s="17">
        <v>2</v>
      </c>
      <c r="J2688" s="17">
        <v>10</v>
      </c>
      <c r="K2688" s="10">
        <v>610</v>
      </c>
      <c r="L2688" s="17"/>
      <c r="M2688" s="15"/>
      <c r="N2688" s="18"/>
      <c r="O2688" s="14"/>
      <c r="P2688" s="17">
        <v>1</v>
      </c>
      <c r="Q2688" s="19">
        <v>610</v>
      </c>
      <c r="R2688" s="14">
        <v>200</v>
      </c>
      <c r="S2688" s="19">
        <v>122000</v>
      </c>
      <c r="T2688" s="17"/>
      <c r="U2688" s="17"/>
      <c r="V2688" s="17"/>
      <c r="W2688" s="4"/>
      <c r="X2688" s="17"/>
      <c r="Y2688" s="4"/>
      <c r="Z2688" s="17"/>
      <c r="AA2688" s="17"/>
      <c r="AB2688" s="17"/>
      <c r="AC2688" s="14"/>
      <c r="AD2688" s="14"/>
      <c r="AE2688" s="17"/>
      <c r="AF2688" s="14"/>
      <c r="AG2688" s="54"/>
      <c r="AH2688" s="11"/>
      <c r="AI2688" s="14"/>
      <c r="AJ2688" s="19">
        <v>0</v>
      </c>
      <c r="AK2688" s="23">
        <v>0</v>
      </c>
      <c r="AL2688" s="11"/>
      <c r="AM2688" s="19">
        <v>0</v>
      </c>
      <c r="AN2688" s="19">
        <v>122000</v>
      </c>
      <c r="AO2688" s="14"/>
      <c r="AP2688" s="14">
        <v>122000</v>
      </c>
      <c r="AQ2688" s="12"/>
      <c r="AS2688" s="26"/>
    </row>
    <row r="2689" spans="1:45" x14ac:dyDescent="0.2">
      <c r="A2689" s="2">
        <v>2286</v>
      </c>
      <c r="B2689" s="13">
        <v>1</v>
      </c>
      <c r="C2689" s="17" t="s">
        <v>52</v>
      </c>
      <c r="D2689" s="17">
        <v>3858</v>
      </c>
      <c r="E2689" s="17">
        <v>30</v>
      </c>
      <c r="F2689" s="17">
        <v>2412</v>
      </c>
      <c r="G2689" s="13">
        <v>2</v>
      </c>
      <c r="H2689" s="17">
        <v>6</v>
      </c>
      <c r="I2689" s="17">
        <v>3</v>
      </c>
      <c r="J2689" s="17">
        <v>77</v>
      </c>
      <c r="K2689" s="10">
        <v>2777</v>
      </c>
      <c r="P2689" s="17">
        <v>1</v>
      </c>
      <c r="Q2689" s="19">
        <v>2777</v>
      </c>
      <c r="R2689" s="14">
        <v>200</v>
      </c>
      <c r="S2689" s="19">
        <v>555400</v>
      </c>
      <c r="AJ2689" s="19">
        <v>0</v>
      </c>
      <c r="AK2689" s="23">
        <v>0</v>
      </c>
      <c r="AM2689" s="19">
        <v>0</v>
      </c>
      <c r="AN2689" s="19">
        <v>555400</v>
      </c>
      <c r="AP2689" s="14">
        <v>555400</v>
      </c>
      <c r="AS2689" s="26">
        <v>38</v>
      </c>
    </row>
    <row r="2690" spans="1:45" x14ac:dyDescent="0.2">
      <c r="A2690" s="2">
        <v>2287</v>
      </c>
      <c r="B2690" s="13">
        <v>1</v>
      </c>
      <c r="C2690" s="17" t="s">
        <v>52</v>
      </c>
      <c r="D2690" s="17">
        <v>2584</v>
      </c>
      <c r="E2690" s="17">
        <v>31</v>
      </c>
      <c r="F2690" s="17">
        <v>1840</v>
      </c>
      <c r="G2690" s="13">
        <v>1</v>
      </c>
      <c r="H2690" s="17">
        <v>3</v>
      </c>
      <c r="I2690" s="17">
        <v>3</v>
      </c>
      <c r="J2690" s="17">
        <v>23</v>
      </c>
      <c r="K2690" s="10">
        <v>1523</v>
      </c>
      <c r="P2690" s="17">
        <v>1</v>
      </c>
      <c r="Q2690" s="19">
        <v>1523</v>
      </c>
      <c r="R2690" s="14">
        <v>200</v>
      </c>
      <c r="S2690" s="19">
        <v>304600</v>
      </c>
      <c r="AJ2690" s="19">
        <v>0</v>
      </c>
      <c r="AK2690" s="23">
        <v>0</v>
      </c>
      <c r="AM2690" s="19">
        <v>0</v>
      </c>
      <c r="AN2690" s="19">
        <v>304600</v>
      </c>
      <c r="AP2690" s="14">
        <v>304600</v>
      </c>
    </row>
    <row r="2691" spans="1:45" x14ac:dyDescent="0.2">
      <c r="A2691" s="2">
        <v>2288</v>
      </c>
      <c r="B2691" s="13">
        <v>2</v>
      </c>
      <c r="C2691" s="17" t="s">
        <v>52</v>
      </c>
      <c r="D2691" s="17">
        <v>25721</v>
      </c>
      <c r="E2691" s="17">
        <v>80</v>
      </c>
      <c r="F2691" s="17">
        <v>5028</v>
      </c>
      <c r="G2691" s="13">
        <v>1</v>
      </c>
      <c r="H2691" s="17">
        <v>1</v>
      </c>
      <c r="I2691" s="17">
        <v>0</v>
      </c>
      <c r="J2691" s="17">
        <v>97</v>
      </c>
      <c r="K2691" s="10">
        <v>497</v>
      </c>
      <c r="P2691" s="17">
        <v>1</v>
      </c>
      <c r="Q2691" s="19">
        <v>497</v>
      </c>
      <c r="R2691" s="14">
        <v>200</v>
      </c>
      <c r="S2691" s="19">
        <v>99400</v>
      </c>
      <c r="AJ2691" s="19">
        <v>0</v>
      </c>
      <c r="AK2691" s="23">
        <v>0</v>
      </c>
      <c r="AM2691" s="19">
        <v>0</v>
      </c>
      <c r="AN2691" s="19">
        <v>99400</v>
      </c>
      <c r="AP2691" s="14">
        <v>99400</v>
      </c>
    </row>
    <row r="2692" spans="1:45" x14ac:dyDescent="0.2">
      <c r="A2692" s="2">
        <v>2289</v>
      </c>
      <c r="B2692" s="13">
        <v>1</v>
      </c>
      <c r="C2692" s="17" t="s">
        <v>52</v>
      </c>
      <c r="D2692" s="17">
        <v>3857</v>
      </c>
      <c r="E2692" s="17">
        <v>29</v>
      </c>
      <c r="F2692" s="17">
        <v>2411</v>
      </c>
      <c r="G2692" s="13">
        <v>2</v>
      </c>
      <c r="H2692" s="17">
        <v>5</v>
      </c>
      <c r="I2692" s="17">
        <v>3</v>
      </c>
      <c r="J2692" s="17">
        <v>51</v>
      </c>
      <c r="K2692" s="10">
        <v>2351</v>
      </c>
      <c r="P2692" s="17">
        <v>1</v>
      </c>
      <c r="Q2692" s="19">
        <v>2351</v>
      </c>
      <c r="R2692" s="14">
        <v>250</v>
      </c>
      <c r="S2692" s="19">
        <v>587750</v>
      </c>
      <c r="AJ2692" s="19">
        <v>0</v>
      </c>
      <c r="AK2692" s="23">
        <v>0</v>
      </c>
      <c r="AM2692" s="19">
        <v>0</v>
      </c>
      <c r="AN2692" s="19">
        <v>587750</v>
      </c>
      <c r="AP2692" s="14">
        <v>587750</v>
      </c>
      <c r="AS2692" s="26">
        <v>32</v>
      </c>
    </row>
    <row r="2693" spans="1:45" x14ac:dyDescent="0.2">
      <c r="A2693" s="2">
        <v>2290</v>
      </c>
      <c r="B2693" s="13">
        <v>1</v>
      </c>
      <c r="C2693" s="17" t="s">
        <v>52</v>
      </c>
      <c r="D2693" s="17">
        <v>863</v>
      </c>
      <c r="E2693" s="17">
        <v>1</v>
      </c>
      <c r="F2693" s="17">
        <v>153</v>
      </c>
      <c r="G2693" s="13">
        <v>1</v>
      </c>
      <c r="H2693" s="17">
        <v>0</v>
      </c>
      <c r="I2693" s="17">
        <v>0</v>
      </c>
      <c r="J2693" s="17">
        <v>23.06</v>
      </c>
      <c r="K2693" s="10">
        <v>23.06</v>
      </c>
      <c r="P2693" s="17">
        <v>1</v>
      </c>
      <c r="Q2693" s="19">
        <v>23.06</v>
      </c>
      <c r="R2693" s="14">
        <v>3000</v>
      </c>
      <c r="S2693" s="19">
        <v>69180</v>
      </c>
      <c r="AJ2693" s="19">
        <v>0</v>
      </c>
      <c r="AK2693" s="23">
        <v>0</v>
      </c>
      <c r="AM2693" s="19">
        <v>0</v>
      </c>
      <c r="AN2693" s="19">
        <v>69180</v>
      </c>
      <c r="AP2693" s="14">
        <v>69180</v>
      </c>
    </row>
    <row r="2694" spans="1:45" x14ac:dyDescent="0.2">
      <c r="A2694" s="2">
        <v>2291</v>
      </c>
      <c r="B2694" s="13">
        <v>1</v>
      </c>
      <c r="C2694" s="17" t="s">
        <v>52</v>
      </c>
      <c r="D2694" s="17">
        <v>864</v>
      </c>
      <c r="E2694" s="17">
        <v>90</v>
      </c>
      <c r="F2694" s="17">
        <v>154</v>
      </c>
      <c r="G2694" s="13">
        <v>1</v>
      </c>
      <c r="H2694" s="17">
        <v>0</v>
      </c>
      <c r="I2694" s="17">
        <v>1</v>
      </c>
      <c r="J2694" s="17">
        <v>68</v>
      </c>
      <c r="K2694" s="10">
        <v>168</v>
      </c>
      <c r="P2694" s="17">
        <v>1</v>
      </c>
      <c r="Q2694" s="19">
        <v>168</v>
      </c>
      <c r="R2694" s="14">
        <v>160</v>
      </c>
      <c r="S2694" s="19">
        <v>26880</v>
      </c>
      <c r="AJ2694" s="19">
        <v>0</v>
      </c>
      <c r="AK2694" s="23">
        <v>0</v>
      </c>
      <c r="AM2694" s="19">
        <v>0</v>
      </c>
      <c r="AN2694" s="19">
        <v>26880</v>
      </c>
      <c r="AP2694" s="14">
        <v>26880</v>
      </c>
      <c r="AS2694" s="26">
        <v>600</v>
      </c>
    </row>
    <row r="2695" spans="1:45" ht="63" x14ac:dyDescent="0.2">
      <c r="A2695" s="2">
        <v>2292</v>
      </c>
      <c r="B2695" s="13">
        <v>2</v>
      </c>
      <c r="C2695" s="17" t="s">
        <v>52</v>
      </c>
      <c r="D2695" s="17">
        <v>33711</v>
      </c>
      <c r="E2695" s="17">
        <v>343</v>
      </c>
      <c r="F2695" s="17">
        <v>6741</v>
      </c>
      <c r="G2695" s="13">
        <v>1</v>
      </c>
      <c r="H2695" s="17">
        <v>0</v>
      </c>
      <c r="I2695" s="17">
        <v>0</v>
      </c>
      <c r="J2695" s="17">
        <v>85</v>
      </c>
      <c r="K2695" s="10">
        <v>85</v>
      </c>
      <c r="P2695" s="17">
        <v>1</v>
      </c>
      <c r="Q2695" s="19">
        <v>85</v>
      </c>
      <c r="R2695" s="14">
        <v>160</v>
      </c>
      <c r="S2695" s="19">
        <v>13600</v>
      </c>
      <c r="AJ2695" s="19">
        <v>0</v>
      </c>
      <c r="AK2695" s="23">
        <v>0</v>
      </c>
      <c r="AM2695" s="19">
        <v>0</v>
      </c>
      <c r="AN2695" s="19">
        <v>13600</v>
      </c>
      <c r="AP2695" s="14">
        <v>13600</v>
      </c>
      <c r="AR2695" s="19">
        <v>600</v>
      </c>
    </row>
    <row r="2696" spans="1:45" x14ac:dyDescent="0.2">
      <c r="A2696" s="2">
        <v>2293</v>
      </c>
      <c r="B2696" s="13">
        <v>4</v>
      </c>
      <c r="C2696" s="17" t="s">
        <v>52</v>
      </c>
      <c r="D2696" s="17">
        <v>33713</v>
      </c>
      <c r="E2696" s="17">
        <v>345</v>
      </c>
      <c r="F2696" s="17">
        <v>6743</v>
      </c>
      <c r="G2696" s="13">
        <v>1</v>
      </c>
      <c r="H2696" s="17">
        <v>0</v>
      </c>
      <c r="I2696" s="17">
        <v>1</v>
      </c>
      <c r="J2696" s="17">
        <v>21</v>
      </c>
      <c r="K2696" s="10">
        <v>121</v>
      </c>
      <c r="P2696" s="17">
        <v>1</v>
      </c>
      <c r="Q2696" s="19">
        <v>121</v>
      </c>
      <c r="R2696" s="14">
        <v>160</v>
      </c>
      <c r="S2696" s="19">
        <v>19360</v>
      </c>
      <c r="AJ2696" s="19">
        <v>0</v>
      </c>
      <c r="AK2696" s="23">
        <v>0</v>
      </c>
      <c r="AM2696" s="19">
        <v>0</v>
      </c>
      <c r="AN2696" s="19">
        <v>19360</v>
      </c>
      <c r="AP2696" s="14">
        <v>19360</v>
      </c>
    </row>
    <row r="2697" spans="1:45" x14ac:dyDescent="0.2">
      <c r="A2697" s="2">
        <v>2294</v>
      </c>
      <c r="B2697" s="13">
        <v>3</v>
      </c>
      <c r="C2697" s="17" t="s">
        <v>52</v>
      </c>
      <c r="D2697" s="17">
        <v>33712</v>
      </c>
      <c r="E2697" s="17">
        <v>344</v>
      </c>
      <c r="F2697" s="17">
        <v>6742</v>
      </c>
      <c r="G2697" s="13">
        <v>1</v>
      </c>
      <c r="H2697" s="17">
        <v>0</v>
      </c>
      <c r="I2697" s="17">
        <v>0</v>
      </c>
      <c r="J2697" s="17">
        <v>31</v>
      </c>
      <c r="L2697" s="17">
        <v>31</v>
      </c>
      <c r="P2697" s="17">
        <v>2</v>
      </c>
      <c r="Q2697" s="19">
        <v>31</v>
      </c>
      <c r="R2697" s="14">
        <v>160</v>
      </c>
      <c r="S2697" s="19">
        <v>4960</v>
      </c>
      <c r="AE2697" s="17" t="s">
        <v>240</v>
      </c>
      <c r="AJ2697" s="19">
        <v>0</v>
      </c>
      <c r="AK2697" s="23">
        <v>0</v>
      </c>
      <c r="AM2697" s="19">
        <v>0</v>
      </c>
      <c r="AN2697" s="19">
        <v>4960</v>
      </c>
      <c r="AP2697" s="14">
        <v>4960</v>
      </c>
    </row>
    <row r="2698" spans="1:45" x14ac:dyDescent="0.2">
      <c r="A2698" s="2">
        <v>2295</v>
      </c>
      <c r="B2698" s="13">
        <v>1</v>
      </c>
      <c r="C2698" s="17" t="s">
        <v>52</v>
      </c>
      <c r="D2698" s="17">
        <v>36975</v>
      </c>
      <c r="E2698" s="17">
        <v>335</v>
      </c>
      <c r="F2698" s="17">
        <v>7122</v>
      </c>
      <c r="G2698" s="13">
        <v>1</v>
      </c>
      <c r="H2698" s="17">
        <v>0</v>
      </c>
      <c r="I2698" s="17">
        <v>0</v>
      </c>
      <c r="J2698" s="17">
        <v>31.04</v>
      </c>
      <c r="L2698" s="17">
        <v>31.04</v>
      </c>
      <c r="P2698" s="17">
        <v>2</v>
      </c>
      <c r="Q2698" s="19">
        <v>31.04</v>
      </c>
      <c r="R2698" s="14">
        <v>3000</v>
      </c>
      <c r="S2698" s="19">
        <v>93120</v>
      </c>
      <c r="AJ2698" s="19">
        <v>0</v>
      </c>
      <c r="AK2698" s="23">
        <v>0</v>
      </c>
      <c r="AM2698" s="19">
        <v>0</v>
      </c>
      <c r="AN2698" s="19">
        <v>93120</v>
      </c>
      <c r="AP2698" s="14">
        <v>93120</v>
      </c>
    </row>
    <row r="2699" spans="1:45" x14ac:dyDescent="0.2">
      <c r="A2699" s="2">
        <v>2296</v>
      </c>
      <c r="B2699" s="13">
        <v>1</v>
      </c>
      <c r="C2699" s="17" t="s">
        <v>52</v>
      </c>
      <c r="D2699" s="17">
        <v>31360</v>
      </c>
      <c r="E2699" s="17">
        <v>316</v>
      </c>
      <c r="F2699" s="17">
        <v>6179</v>
      </c>
      <c r="G2699" s="13">
        <v>1</v>
      </c>
      <c r="H2699" s="17">
        <v>0</v>
      </c>
      <c r="I2699" s="17">
        <v>1</v>
      </c>
      <c r="J2699" s="17">
        <v>2</v>
      </c>
      <c r="L2699" s="17">
        <v>102</v>
      </c>
      <c r="P2699" s="17">
        <v>2</v>
      </c>
      <c r="Q2699" s="19">
        <v>102</v>
      </c>
      <c r="R2699" s="14">
        <v>160</v>
      </c>
      <c r="S2699" s="19">
        <v>16320</v>
      </c>
      <c r="AJ2699" s="19">
        <v>0</v>
      </c>
      <c r="AK2699" s="23">
        <v>0</v>
      </c>
      <c r="AM2699" s="19">
        <v>0</v>
      </c>
      <c r="AN2699" s="19">
        <v>16320</v>
      </c>
      <c r="AP2699" s="14">
        <v>16320</v>
      </c>
    </row>
    <row r="2700" spans="1:45" x14ac:dyDescent="0.2">
      <c r="A2700" s="2">
        <v>2297</v>
      </c>
      <c r="B2700" s="13">
        <v>1</v>
      </c>
      <c r="C2700" s="17" t="s">
        <v>52</v>
      </c>
      <c r="D2700" s="17">
        <v>31357</v>
      </c>
      <c r="E2700" s="17">
        <v>313</v>
      </c>
      <c r="F2700" s="17">
        <v>6176</v>
      </c>
      <c r="G2700" s="13">
        <v>1</v>
      </c>
      <c r="H2700" s="17">
        <v>0</v>
      </c>
      <c r="I2700" s="17">
        <v>3</v>
      </c>
      <c r="J2700" s="17">
        <v>83</v>
      </c>
      <c r="L2700" s="17">
        <v>383</v>
      </c>
      <c r="P2700" s="17">
        <v>2</v>
      </c>
      <c r="Q2700" s="19">
        <v>383</v>
      </c>
      <c r="R2700" s="14">
        <v>160</v>
      </c>
      <c r="S2700" s="19">
        <v>61280</v>
      </c>
      <c r="AJ2700" s="19">
        <v>0</v>
      </c>
      <c r="AK2700" s="23">
        <v>0</v>
      </c>
      <c r="AM2700" s="19">
        <v>0</v>
      </c>
      <c r="AN2700" s="19">
        <v>61280</v>
      </c>
      <c r="AP2700" s="14">
        <v>61280</v>
      </c>
    </row>
    <row r="2701" spans="1:45" ht="63" x14ac:dyDescent="0.2">
      <c r="A2701" s="2">
        <v>2298</v>
      </c>
      <c r="B2701" s="13">
        <v>1</v>
      </c>
      <c r="C2701" s="17" t="s">
        <v>52</v>
      </c>
      <c r="D2701" s="17">
        <v>1679</v>
      </c>
      <c r="E2701" s="17">
        <v>34</v>
      </c>
      <c r="F2701" s="17">
        <v>1381</v>
      </c>
      <c r="G2701" s="13">
        <v>2</v>
      </c>
      <c r="H2701" s="17">
        <v>1</v>
      </c>
      <c r="I2701" s="17">
        <v>0</v>
      </c>
      <c r="J2701" s="17">
        <v>10</v>
      </c>
      <c r="L2701" s="17">
        <v>810</v>
      </c>
      <c r="P2701" s="17">
        <v>2</v>
      </c>
      <c r="Q2701" s="19">
        <v>410</v>
      </c>
      <c r="R2701" s="14">
        <v>200</v>
      </c>
      <c r="S2701" s="19">
        <v>82000</v>
      </c>
      <c r="U2701" s="17" t="s">
        <v>57</v>
      </c>
      <c r="V2701" s="17" t="s">
        <v>56</v>
      </c>
      <c r="Y2701" s="4">
        <v>180</v>
      </c>
      <c r="AB2701" s="17">
        <v>30</v>
      </c>
      <c r="AJ2701" s="19">
        <v>0</v>
      </c>
      <c r="AK2701" s="23">
        <v>30</v>
      </c>
      <c r="AM2701" s="19">
        <v>0</v>
      </c>
      <c r="AN2701" s="19">
        <v>82000</v>
      </c>
      <c r="AP2701" s="14">
        <v>82000</v>
      </c>
    </row>
    <row r="2702" spans="1:45" x14ac:dyDescent="0.2">
      <c r="A2702" s="2">
        <v>2299</v>
      </c>
      <c r="B2702" s="13">
        <v>2</v>
      </c>
      <c r="C2702" s="17" t="s">
        <v>52</v>
      </c>
      <c r="D2702" s="17">
        <v>34369</v>
      </c>
      <c r="E2702" s="17">
        <v>142</v>
      </c>
      <c r="F2702" s="17">
        <v>6780</v>
      </c>
      <c r="H2702" s="17">
        <v>3</v>
      </c>
      <c r="I2702" s="17">
        <v>2</v>
      </c>
      <c r="J2702" s="17">
        <v>22</v>
      </c>
      <c r="K2702" s="10">
        <v>1422</v>
      </c>
      <c r="P2702" s="17">
        <v>1</v>
      </c>
      <c r="Q2702" s="19">
        <v>1422</v>
      </c>
      <c r="R2702" s="14">
        <v>250</v>
      </c>
      <c r="S2702" s="19">
        <v>355500</v>
      </c>
      <c r="AJ2702" s="19">
        <v>0</v>
      </c>
      <c r="AK2702" s="23">
        <v>0</v>
      </c>
      <c r="AM2702" s="19">
        <v>0</v>
      </c>
      <c r="AN2702" s="19">
        <v>355500</v>
      </c>
      <c r="AP2702" s="14">
        <v>355500</v>
      </c>
    </row>
    <row r="2703" spans="1:45" x14ac:dyDescent="0.2">
      <c r="A2703" s="2">
        <v>2300</v>
      </c>
      <c r="B2703" s="13">
        <v>3</v>
      </c>
      <c r="C2703" s="17" t="s">
        <v>52</v>
      </c>
      <c r="D2703" s="17">
        <v>34370</v>
      </c>
      <c r="E2703" s="17">
        <v>143</v>
      </c>
      <c r="F2703" s="17">
        <v>6781</v>
      </c>
      <c r="H2703" s="17">
        <v>3</v>
      </c>
      <c r="I2703" s="17">
        <v>1</v>
      </c>
      <c r="J2703" s="17">
        <v>38</v>
      </c>
      <c r="K2703" s="10">
        <v>1338</v>
      </c>
      <c r="P2703" s="17">
        <v>1</v>
      </c>
      <c r="Q2703" s="19">
        <v>1338</v>
      </c>
      <c r="R2703" s="14">
        <v>250</v>
      </c>
      <c r="S2703" s="19">
        <v>334500</v>
      </c>
      <c r="AJ2703" s="19">
        <v>0</v>
      </c>
      <c r="AK2703" s="23">
        <v>0</v>
      </c>
      <c r="AM2703" s="19">
        <v>0</v>
      </c>
      <c r="AN2703" s="19">
        <v>334500</v>
      </c>
      <c r="AP2703" s="14">
        <v>334500</v>
      </c>
    </row>
    <row r="2704" spans="1:45" x14ac:dyDescent="0.2">
      <c r="A2704" s="2">
        <v>2301</v>
      </c>
      <c r="B2704" s="13">
        <v>4</v>
      </c>
      <c r="C2704" s="17" t="s">
        <v>69</v>
      </c>
      <c r="E2704" s="17">
        <v>1513</v>
      </c>
      <c r="F2704" s="17">
        <v>15</v>
      </c>
      <c r="G2704" s="13">
        <v>2</v>
      </c>
      <c r="H2704" s="17">
        <v>16</v>
      </c>
      <c r="I2704" s="17">
        <v>3</v>
      </c>
      <c r="J2704" s="17">
        <v>12</v>
      </c>
      <c r="K2704" s="10">
        <v>6712</v>
      </c>
      <c r="P2704" s="17">
        <v>1</v>
      </c>
      <c r="Q2704" s="19">
        <v>6712</v>
      </c>
      <c r="R2704" s="14">
        <v>160</v>
      </c>
      <c r="S2704" s="19">
        <v>1073920</v>
      </c>
      <c r="AJ2704" s="19">
        <v>0</v>
      </c>
      <c r="AK2704" s="23">
        <v>0</v>
      </c>
      <c r="AM2704" s="19">
        <v>0</v>
      </c>
      <c r="AN2704" s="19">
        <v>1073920</v>
      </c>
      <c r="AP2704" s="14">
        <v>1073920</v>
      </c>
      <c r="AQ2704" s="12">
        <v>1E-4</v>
      </c>
    </row>
    <row r="2705" spans="1:45" s="19" customFormat="1" x14ac:dyDescent="0.2">
      <c r="A2705" s="2">
        <v>2302</v>
      </c>
      <c r="B2705" s="13">
        <v>1</v>
      </c>
      <c r="C2705" s="17" t="s">
        <v>52</v>
      </c>
      <c r="D2705" s="17">
        <v>1953</v>
      </c>
      <c r="E2705" s="17">
        <v>38</v>
      </c>
      <c r="F2705" s="17">
        <v>1310</v>
      </c>
      <c r="G2705" s="13">
        <v>2</v>
      </c>
      <c r="H2705" s="17">
        <v>7</v>
      </c>
      <c r="I2705" s="17">
        <v>1</v>
      </c>
      <c r="J2705" s="17">
        <v>32</v>
      </c>
      <c r="K2705" s="10"/>
      <c r="L2705" s="17"/>
      <c r="M2705" s="15"/>
      <c r="N2705" s="18"/>
      <c r="O2705" s="14"/>
      <c r="P2705" s="17">
        <v>1</v>
      </c>
      <c r="Q2705" s="19">
        <v>2932</v>
      </c>
      <c r="R2705" s="14">
        <v>160</v>
      </c>
      <c r="S2705" s="19">
        <v>469120</v>
      </c>
      <c r="T2705" s="17"/>
      <c r="U2705" s="17"/>
      <c r="V2705" s="17"/>
      <c r="W2705" s="4"/>
      <c r="X2705" s="17"/>
      <c r="Y2705" s="4"/>
      <c r="Z2705" s="17"/>
      <c r="AA2705" s="17"/>
      <c r="AB2705" s="17"/>
      <c r="AC2705" s="14"/>
      <c r="AD2705" s="14"/>
      <c r="AE2705" s="17"/>
      <c r="AF2705" s="14"/>
      <c r="AG2705" s="54"/>
      <c r="AH2705" s="11"/>
      <c r="AI2705" s="14"/>
      <c r="AJ2705" s="19">
        <v>0</v>
      </c>
      <c r="AK2705" s="23">
        <v>0</v>
      </c>
      <c r="AL2705" s="11"/>
      <c r="AM2705" s="19">
        <v>0</v>
      </c>
      <c r="AN2705" s="19">
        <v>469120</v>
      </c>
      <c r="AO2705" s="14"/>
      <c r="AP2705" s="14">
        <v>469120</v>
      </c>
      <c r="AQ2705" s="12"/>
      <c r="AS2705" s="26"/>
    </row>
    <row r="2706" spans="1:45" s="19" customFormat="1" x14ac:dyDescent="0.2">
      <c r="A2706" s="2">
        <v>2303</v>
      </c>
      <c r="B2706" s="13">
        <v>2</v>
      </c>
      <c r="C2706" s="17" t="s">
        <v>52</v>
      </c>
      <c r="D2706" s="17">
        <v>3754</v>
      </c>
      <c r="E2706" s="17">
        <v>15</v>
      </c>
      <c r="F2706" s="17">
        <v>2276</v>
      </c>
      <c r="G2706" s="13">
        <v>2</v>
      </c>
      <c r="H2706" s="17">
        <v>29</v>
      </c>
      <c r="I2706" s="17">
        <v>0</v>
      </c>
      <c r="J2706" s="17">
        <v>96</v>
      </c>
      <c r="K2706" s="10">
        <v>11696</v>
      </c>
      <c r="L2706" s="17"/>
      <c r="M2706" s="15"/>
      <c r="N2706" s="18"/>
      <c r="O2706" s="14"/>
      <c r="P2706" s="17">
        <v>1</v>
      </c>
      <c r="Q2706" s="19">
        <v>11696</v>
      </c>
      <c r="R2706" s="14">
        <v>200</v>
      </c>
      <c r="S2706" s="19">
        <v>2339200</v>
      </c>
      <c r="T2706" s="17"/>
      <c r="U2706" s="17"/>
      <c r="V2706" s="17"/>
      <c r="W2706" s="4"/>
      <c r="X2706" s="17"/>
      <c r="Y2706" s="4"/>
      <c r="Z2706" s="17"/>
      <c r="AA2706" s="17"/>
      <c r="AB2706" s="17"/>
      <c r="AC2706" s="14"/>
      <c r="AD2706" s="14"/>
      <c r="AE2706" s="17"/>
      <c r="AF2706" s="14"/>
      <c r="AG2706" s="54"/>
      <c r="AH2706" s="11"/>
      <c r="AI2706" s="14"/>
      <c r="AJ2706" s="19">
        <v>0</v>
      </c>
      <c r="AK2706" s="23">
        <v>0</v>
      </c>
      <c r="AL2706" s="11"/>
      <c r="AM2706" s="19">
        <v>0</v>
      </c>
      <c r="AN2706" s="19">
        <v>2339200</v>
      </c>
      <c r="AO2706" s="14"/>
      <c r="AP2706" s="14">
        <v>2339200</v>
      </c>
      <c r="AQ2706" s="12"/>
      <c r="AS2706" s="26"/>
    </row>
    <row r="2707" spans="1:45" s="19" customFormat="1" x14ac:dyDescent="0.2">
      <c r="A2707" s="2">
        <v>2304</v>
      </c>
      <c r="B2707" s="13">
        <v>3</v>
      </c>
      <c r="C2707" s="17" t="s">
        <v>52</v>
      </c>
      <c r="D2707" s="17">
        <v>1857</v>
      </c>
      <c r="E2707" s="17">
        <v>103</v>
      </c>
      <c r="F2707" s="17">
        <v>1247</v>
      </c>
      <c r="G2707" s="13"/>
      <c r="H2707" s="17">
        <v>2</v>
      </c>
      <c r="I2707" s="17">
        <v>3</v>
      </c>
      <c r="J2707" s="17">
        <v>96</v>
      </c>
      <c r="K2707" s="10">
        <v>1196</v>
      </c>
      <c r="L2707" s="17"/>
      <c r="M2707" s="15"/>
      <c r="N2707" s="18"/>
      <c r="O2707" s="14"/>
      <c r="P2707" s="17">
        <v>1</v>
      </c>
      <c r="Q2707" s="19">
        <v>1196</v>
      </c>
      <c r="R2707" s="14">
        <v>160</v>
      </c>
      <c r="S2707" s="19">
        <v>191360</v>
      </c>
      <c r="T2707" s="17"/>
      <c r="U2707" s="17"/>
      <c r="V2707" s="17"/>
      <c r="W2707" s="4"/>
      <c r="X2707" s="17"/>
      <c r="Y2707" s="4"/>
      <c r="Z2707" s="17"/>
      <c r="AA2707" s="17"/>
      <c r="AB2707" s="17"/>
      <c r="AC2707" s="14"/>
      <c r="AD2707" s="14"/>
      <c r="AE2707" s="17"/>
      <c r="AF2707" s="14"/>
      <c r="AG2707" s="54"/>
      <c r="AH2707" s="11"/>
      <c r="AI2707" s="14"/>
      <c r="AJ2707" s="19">
        <v>0</v>
      </c>
      <c r="AK2707" s="23">
        <v>0</v>
      </c>
      <c r="AL2707" s="11"/>
      <c r="AM2707" s="19">
        <v>0</v>
      </c>
      <c r="AN2707" s="19">
        <v>191360</v>
      </c>
      <c r="AO2707" s="14"/>
      <c r="AP2707" s="14">
        <v>191360</v>
      </c>
      <c r="AQ2707" s="12"/>
      <c r="AS2707" s="26"/>
    </row>
    <row r="2708" spans="1:45" s="19" customFormat="1" x14ac:dyDescent="0.2">
      <c r="A2708" s="2">
        <v>2305</v>
      </c>
      <c r="B2708" s="13">
        <v>1</v>
      </c>
      <c r="C2708" s="17" t="s">
        <v>52</v>
      </c>
      <c r="D2708" s="17">
        <v>20398</v>
      </c>
      <c r="E2708" s="17">
        <v>147</v>
      </c>
      <c r="F2708" s="17">
        <v>4584</v>
      </c>
      <c r="G2708" s="13"/>
      <c r="H2708" s="17">
        <v>0</v>
      </c>
      <c r="I2708" s="17">
        <v>1</v>
      </c>
      <c r="J2708" s="17">
        <v>95</v>
      </c>
      <c r="K2708" s="10"/>
      <c r="L2708" s="17"/>
      <c r="M2708" s="15"/>
      <c r="N2708" s="18"/>
      <c r="O2708" s="14"/>
      <c r="P2708" s="17">
        <v>1</v>
      </c>
      <c r="Q2708" s="19">
        <v>195</v>
      </c>
      <c r="R2708" s="14">
        <v>250</v>
      </c>
      <c r="S2708" s="19">
        <v>48750</v>
      </c>
      <c r="T2708" s="17"/>
      <c r="U2708" s="17"/>
      <c r="V2708" s="17"/>
      <c r="W2708" s="4"/>
      <c r="X2708" s="17"/>
      <c r="Y2708" s="4"/>
      <c r="Z2708" s="17"/>
      <c r="AA2708" s="17"/>
      <c r="AB2708" s="17"/>
      <c r="AC2708" s="14"/>
      <c r="AD2708" s="14"/>
      <c r="AE2708" s="17"/>
      <c r="AF2708" s="14"/>
      <c r="AG2708" s="54"/>
      <c r="AH2708" s="11"/>
      <c r="AI2708" s="14"/>
      <c r="AJ2708" s="19">
        <v>0</v>
      </c>
      <c r="AK2708" s="23">
        <v>0</v>
      </c>
      <c r="AL2708" s="11"/>
      <c r="AM2708" s="19">
        <v>0</v>
      </c>
      <c r="AN2708" s="19">
        <v>48750</v>
      </c>
      <c r="AO2708" s="14"/>
      <c r="AP2708" s="14">
        <v>48750</v>
      </c>
      <c r="AQ2708" s="12"/>
      <c r="AS2708" s="26"/>
    </row>
    <row r="2709" spans="1:45" s="19" customFormat="1" x14ac:dyDescent="0.2">
      <c r="A2709" s="2">
        <v>2306</v>
      </c>
      <c r="B2709" s="13">
        <v>2</v>
      </c>
      <c r="C2709" s="17" t="s">
        <v>52</v>
      </c>
      <c r="D2709" s="17">
        <v>34371</v>
      </c>
      <c r="E2709" s="17">
        <v>144</v>
      </c>
      <c r="F2709" s="17">
        <v>6782</v>
      </c>
      <c r="G2709" s="13"/>
      <c r="H2709" s="17">
        <v>6</v>
      </c>
      <c r="I2709" s="17">
        <v>1</v>
      </c>
      <c r="J2709" s="17">
        <v>24</v>
      </c>
      <c r="K2709" s="10">
        <v>2524</v>
      </c>
      <c r="L2709" s="17"/>
      <c r="M2709" s="15"/>
      <c r="N2709" s="18"/>
      <c r="O2709" s="14"/>
      <c r="P2709" s="17">
        <v>1</v>
      </c>
      <c r="Q2709" s="19">
        <v>2524</v>
      </c>
      <c r="R2709" s="14">
        <v>250</v>
      </c>
      <c r="S2709" s="19">
        <v>631000</v>
      </c>
      <c r="T2709" s="17"/>
      <c r="U2709" s="17"/>
      <c r="V2709" s="17"/>
      <c r="W2709" s="4"/>
      <c r="X2709" s="17"/>
      <c r="Y2709" s="4"/>
      <c r="Z2709" s="17"/>
      <c r="AA2709" s="17"/>
      <c r="AB2709" s="17"/>
      <c r="AC2709" s="14"/>
      <c r="AD2709" s="14"/>
      <c r="AE2709" s="17"/>
      <c r="AF2709" s="14"/>
      <c r="AG2709" s="54"/>
      <c r="AH2709" s="11"/>
      <c r="AI2709" s="14"/>
      <c r="AJ2709" s="19">
        <v>0</v>
      </c>
      <c r="AK2709" s="23">
        <v>0</v>
      </c>
      <c r="AL2709" s="11"/>
      <c r="AM2709" s="19">
        <v>0</v>
      </c>
      <c r="AN2709" s="19">
        <v>631000</v>
      </c>
      <c r="AO2709" s="14"/>
      <c r="AP2709" s="14">
        <v>631000</v>
      </c>
      <c r="AQ2709" s="12"/>
      <c r="AS2709" s="26"/>
    </row>
    <row r="2710" spans="1:45" s="19" customFormat="1" x14ac:dyDescent="0.2">
      <c r="A2710" s="2">
        <v>2307</v>
      </c>
      <c r="B2710" s="13">
        <v>1</v>
      </c>
      <c r="C2710" s="17" t="s">
        <v>52</v>
      </c>
      <c r="D2710" s="17">
        <v>20399</v>
      </c>
      <c r="E2710" s="17">
        <v>46</v>
      </c>
      <c r="F2710" s="17">
        <v>4585</v>
      </c>
      <c r="G2710" s="13"/>
      <c r="H2710" s="17">
        <v>0</v>
      </c>
      <c r="I2710" s="17">
        <v>2</v>
      </c>
      <c r="J2710" s="17">
        <v>43</v>
      </c>
      <c r="K2710" s="10">
        <v>243</v>
      </c>
      <c r="L2710" s="17"/>
      <c r="M2710" s="15"/>
      <c r="N2710" s="18"/>
      <c r="O2710" s="14"/>
      <c r="P2710" s="17">
        <v>1</v>
      </c>
      <c r="Q2710" s="19">
        <v>243</v>
      </c>
      <c r="R2710" s="14">
        <v>250</v>
      </c>
      <c r="S2710" s="19">
        <v>60750</v>
      </c>
      <c r="T2710" s="17"/>
      <c r="U2710" s="17"/>
      <c r="V2710" s="17"/>
      <c r="W2710" s="4"/>
      <c r="X2710" s="17"/>
      <c r="Y2710" s="4"/>
      <c r="Z2710" s="17"/>
      <c r="AA2710" s="17"/>
      <c r="AB2710" s="17"/>
      <c r="AC2710" s="14"/>
      <c r="AD2710" s="14"/>
      <c r="AE2710" s="17"/>
      <c r="AF2710" s="14"/>
      <c r="AG2710" s="54"/>
      <c r="AH2710" s="11"/>
      <c r="AI2710" s="14"/>
      <c r="AJ2710" s="19">
        <v>0</v>
      </c>
      <c r="AK2710" s="23">
        <v>0</v>
      </c>
      <c r="AL2710" s="11"/>
      <c r="AM2710" s="19">
        <v>0</v>
      </c>
      <c r="AN2710" s="19">
        <v>60750</v>
      </c>
      <c r="AO2710" s="14"/>
      <c r="AP2710" s="14">
        <v>60750</v>
      </c>
      <c r="AQ2710" s="12"/>
      <c r="AS2710" s="26"/>
    </row>
    <row r="2711" spans="1:45" s="19" customFormat="1" x14ac:dyDescent="0.2">
      <c r="A2711" s="2">
        <v>2308</v>
      </c>
      <c r="B2711" s="13">
        <v>1</v>
      </c>
      <c r="C2711" s="17" t="s">
        <v>52</v>
      </c>
      <c r="D2711" s="17">
        <v>24545</v>
      </c>
      <c r="E2711" s="17">
        <v>283</v>
      </c>
      <c r="F2711" s="17">
        <v>4893</v>
      </c>
      <c r="G2711" s="13"/>
      <c r="H2711" s="17">
        <v>0</v>
      </c>
      <c r="I2711" s="17">
        <v>1</v>
      </c>
      <c r="J2711" s="17">
        <v>72</v>
      </c>
      <c r="K2711" s="10"/>
      <c r="L2711" s="17"/>
      <c r="M2711" s="15"/>
      <c r="N2711" s="18">
        <v>172</v>
      </c>
      <c r="O2711" s="14"/>
      <c r="P2711" s="17">
        <v>4</v>
      </c>
      <c r="Q2711" s="19">
        <v>172</v>
      </c>
      <c r="R2711" s="14">
        <v>2000</v>
      </c>
      <c r="S2711" s="19">
        <v>344000</v>
      </c>
      <c r="T2711" s="17"/>
      <c r="U2711" s="17"/>
      <c r="V2711" s="17"/>
      <c r="W2711" s="4"/>
      <c r="X2711" s="17"/>
      <c r="Y2711" s="4"/>
      <c r="Z2711" s="17"/>
      <c r="AA2711" s="17"/>
      <c r="AB2711" s="17"/>
      <c r="AC2711" s="14"/>
      <c r="AD2711" s="14"/>
      <c r="AE2711" s="17"/>
      <c r="AF2711" s="14"/>
      <c r="AG2711" s="54"/>
      <c r="AH2711" s="11"/>
      <c r="AI2711" s="14"/>
      <c r="AJ2711" s="19">
        <v>0</v>
      </c>
      <c r="AK2711" s="23">
        <v>0</v>
      </c>
      <c r="AL2711" s="11"/>
      <c r="AM2711" s="19">
        <v>0</v>
      </c>
      <c r="AN2711" s="19">
        <v>344000</v>
      </c>
      <c r="AO2711" s="14"/>
      <c r="AP2711" s="14">
        <v>344000</v>
      </c>
      <c r="AQ2711" s="12">
        <v>3.0000000000000001E-3</v>
      </c>
      <c r="AS2711" s="26"/>
    </row>
    <row r="2712" spans="1:45" s="19" customFormat="1" x14ac:dyDescent="0.2">
      <c r="A2712" s="2">
        <v>2309</v>
      </c>
      <c r="B2712" s="13">
        <v>1</v>
      </c>
      <c r="C2712" s="17" t="s">
        <v>52</v>
      </c>
      <c r="D2712" s="17">
        <v>1968</v>
      </c>
      <c r="E2712" s="17">
        <v>19</v>
      </c>
      <c r="F2712" s="17">
        <v>1325</v>
      </c>
      <c r="G2712" s="13">
        <v>2</v>
      </c>
      <c r="H2712" s="17">
        <v>8</v>
      </c>
      <c r="I2712" s="17">
        <v>2</v>
      </c>
      <c r="J2712" s="17">
        <v>53</v>
      </c>
      <c r="K2712" s="10">
        <v>3453</v>
      </c>
      <c r="L2712" s="17"/>
      <c r="M2712" s="15"/>
      <c r="N2712" s="18"/>
      <c r="O2712" s="14"/>
      <c r="P2712" s="17">
        <v>1</v>
      </c>
      <c r="Q2712" s="19">
        <v>3453</v>
      </c>
      <c r="R2712" s="14">
        <v>160</v>
      </c>
      <c r="S2712" s="19">
        <v>552480</v>
      </c>
      <c r="T2712" s="17"/>
      <c r="U2712" s="17"/>
      <c r="V2712" s="17"/>
      <c r="W2712" s="4"/>
      <c r="X2712" s="17"/>
      <c r="Y2712" s="4"/>
      <c r="Z2712" s="17"/>
      <c r="AA2712" s="17"/>
      <c r="AB2712" s="17"/>
      <c r="AC2712" s="14"/>
      <c r="AD2712" s="14"/>
      <c r="AE2712" s="17"/>
      <c r="AF2712" s="14"/>
      <c r="AG2712" s="54"/>
      <c r="AH2712" s="11"/>
      <c r="AI2712" s="14"/>
      <c r="AJ2712" s="19">
        <v>0</v>
      </c>
      <c r="AK2712" s="23">
        <v>0</v>
      </c>
      <c r="AL2712" s="11"/>
      <c r="AM2712" s="19">
        <v>0</v>
      </c>
      <c r="AN2712" s="19">
        <v>552480</v>
      </c>
      <c r="AO2712" s="14"/>
      <c r="AP2712" s="14">
        <v>552480</v>
      </c>
      <c r="AQ2712" s="12"/>
      <c r="AS2712" s="26"/>
    </row>
    <row r="2713" spans="1:45" s="19" customFormat="1" x14ac:dyDescent="0.2">
      <c r="A2713" s="2">
        <v>2310</v>
      </c>
      <c r="B2713" s="13">
        <v>2</v>
      </c>
      <c r="C2713" s="17" t="s">
        <v>52</v>
      </c>
      <c r="D2713" s="17">
        <v>24553</v>
      </c>
      <c r="E2713" s="17">
        <v>167</v>
      </c>
      <c r="F2713" s="17">
        <v>5063</v>
      </c>
      <c r="G2713" s="13"/>
      <c r="H2713" s="17">
        <v>0</v>
      </c>
      <c r="I2713" s="17">
        <v>0</v>
      </c>
      <c r="J2713" s="17">
        <v>94</v>
      </c>
      <c r="K2713" s="10"/>
      <c r="L2713" s="17"/>
      <c r="M2713" s="15"/>
      <c r="N2713" s="18"/>
      <c r="O2713" s="14"/>
      <c r="P2713" s="17"/>
      <c r="Q2713" s="19">
        <v>94</v>
      </c>
      <c r="R2713" s="14">
        <v>2000</v>
      </c>
      <c r="S2713" s="19">
        <v>188000</v>
      </c>
      <c r="T2713" s="17"/>
      <c r="U2713" s="17"/>
      <c r="V2713" s="17"/>
      <c r="W2713" s="4"/>
      <c r="X2713" s="17"/>
      <c r="Y2713" s="4"/>
      <c r="Z2713" s="17"/>
      <c r="AA2713" s="17"/>
      <c r="AB2713" s="17"/>
      <c r="AC2713" s="14"/>
      <c r="AD2713" s="14"/>
      <c r="AE2713" s="17"/>
      <c r="AF2713" s="14"/>
      <c r="AG2713" s="54"/>
      <c r="AH2713" s="11"/>
      <c r="AI2713" s="14"/>
      <c r="AJ2713" s="19">
        <v>0</v>
      </c>
      <c r="AK2713" s="23">
        <v>0</v>
      </c>
      <c r="AL2713" s="11"/>
      <c r="AM2713" s="19">
        <v>0</v>
      </c>
      <c r="AN2713" s="19">
        <v>188000</v>
      </c>
      <c r="AO2713" s="14"/>
      <c r="AP2713" s="14">
        <v>188000</v>
      </c>
      <c r="AQ2713" s="12"/>
      <c r="AS2713" s="26"/>
    </row>
    <row r="2714" spans="1:45" s="19" customFormat="1" x14ac:dyDescent="0.2">
      <c r="A2714" s="2">
        <v>2311</v>
      </c>
      <c r="B2714" s="13">
        <v>3</v>
      </c>
      <c r="C2714" s="17" t="s">
        <v>52</v>
      </c>
      <c r="D2714" s="17">
        <v>24574</v>
      </c>
      <c r="E2714" s="17">
        <v>282</v>
      </c>
      <c r="F2714" s="17">
        <v>4892</v>
      </c>
      <c r="G2714" s="13"/>
      <c r="H2714" s="17">
        <v>0</v>
      </c>
      <c r="I2714" s="17">
        <v>2</v>
      </c>
      <c r="J2714" s="17">
        <v>19</v>
      </c>
      <c r="K2714" s="10"/>
      <c r="L2714" s="17"/>
      <c r="M2714" s="15"/>
      <c r="N2714" s="18">
        <v>219</v>
      </c>
      <c r="O2714" s="14"/>
      <c r="P2714" s="17">
        <v>4</v>
      </c>
      <c r="Q2714" s="19">
        <v>219</v>
      </c>
      <c r="R2714" s="14">
        <v>2000</v>
      </c>
      <c r="S2714" s="19">
        <v>438000</v>
      </c>
      <c r="T2714" s="17"/>
      <c r="U2714" s="17"/>
      <c r="V2714" s="17"/>
      <c r="W2714" s="4"/>
      <c r="X2714" s="17"/>
      <c r="Y2714" s="4"/>
      <c r="Z2714" s="17"/>
      <c r="AA2714" s="17"/>
      <c r="AB2714" s="17"/>
      <c r="AC2714" s="14"/>
      <c r="AD2714" s="14"/>
      <c r="AE2714" s="17"/>
      <c r="AF2714" s="14"/>
      <c r="AG2714" s="54"/>
      <c r="AH2714" s="11"/>
      <c r="AI2714" s="14"/>
      <c r="AJ2714" s="19">
        <v>0</v>
      </c>
      <c r="AK2714" s="23">
        <v>0</v>
      </c>
      <c r="AL2714" s="11"/>
      <c r="AM2714" s="19">
        <v>0</v>
      </c>
      <c r="AN2714" s="19">
        <v>438000</v>
      </c>
      <c r="AO2714" s="14"/>
      <c r="AP2714" s="14">
        <v>438000</v>
      </c>
      <c r="AQ2714" s="12">
        <v>3.0000000000000001E-3</v>
      </c>
      <c r="AS2714" s="26"/>
    </row>
    <row r="2715" spans="1:45" s="19" customFormat="1" x14ac:dyDescent="0.2">
      <c r="A2715" s="2"/>
      <c r="B2715" s="13"/>
      <c r="C2715" s="17"/>
      <c r="D2715" s="17"/>
      <c r="E2715" s="17"/>
      <c r="F2715" s="17"/>
      <c r="G2715" s="13"/>
      <c r="H2715" s="17"/>
      <c r="I2715" s="17"/>
      <c r="J2715" s="17"/>
      <c r="K2715" s="10"/>
      <c r="L2715" s="17"/>
      <c r="M2715" s="15"/>
      <c r="N2715" s="18"/>
      <c r="O2715" s="14"/>
      <c r="P2715" s="17"/>
      <c r="Q2715" s="19">
        <v>0</v>
      </c>
      <c r="R2715" s="14" t="e">
        <v>#N/A</v>
      </c>
      <c r="T2715" s="17"/>
      <c r="U2715" s="17"/>
      <c r="V2715" s="17"/>
      <c r="W2715" s="4"/>
      <c r="X2715" s="17"/>
      <c r="Y2715" s="4"/>
      <c r="Z2715" s="17"/>
      <c r="AA2715" s="17"/>
      <c r="AB2715" s="17"/>
      <c r="AC2715" s="14"/>
      <c r="AD2715" s="14"/>
      <c r="AE2715" s="17"/>
      <c r="AF2715" s="14"/>
      <c r="AG2715" s="54"/>
      <c r="AH2715" s="11"/>
      <c r="AI2715" s="14"/>
      <c r="AK2715" s="23"/>
      <c r="AL2715" s="11"/>
      <c r="AO2715" s="14"/>
      <c r="AP2715" s="14"/>
      <c r="AQ2715" s="12"/>
      <c r="AS2715" s="26"/>
    </row>
    <row r="2716" spans="1:45" s="19" customFormat="1" ht="63" x14ac:dyDescent="0.2">
      <c r="A2716" s="2">
        <v>2312</v>
      </c>
      <c r="B2716" s="13">
        <v>1</v>
      </c>
      <c r="C2716" s="17" t="s">
        <v>52</v>
      </c>
      <c r="D2716" s="17">
        <v>24552</v>
      </c>
      <c r="E2716" s="17">
        <v>166</v>
      </c>
      <c r="F2716" s="17">
        <v>5051</v>
      </c>
      <c r="G2716" s="13">
        <v>2</v>
      </c>
      <c r="H2716" s="17">
        <v>0</v>
      </c>
      <c r="I2716" s="17">
        <v>0</v>
      </c>
      <c r="J2716" s="17">
        <v>96</v>
      </c>
      <c r="K2716" s="10"/>
      <c r="L2716" s="17">
        <v>96</v>
      </c>
      <c r="M2716" s="15"/>
      <c r="N2716" s="18"/>
      <c r="O2716" s="14"/>
      <c r="P2716" s="17">
        <v>2</v>
      </c>
      <c r="Q2716" s="19">
        <v>96</v>
      </c>
      <c r="R2716" s="14">
        <v>2000</v>
      </c>
      <c r="S2716" s="19">
        <v>192000</v>
      </c>
      <c r="T2716" s="17"/>
      <c r="U2716" s="17" t="s">
        <v>57</v>
      </c>
      <c r="V2716" s="17" t="s">
        <v>56</v>
      </c>
      <c r="W2716" s="4">
        <v>125</v>
      </c>
      <c r="X2716" s="17"/>
      <c r="Y2716" s="4" t="s">
        <v>241</v>
      </c>
      <c r="Z2716" s="17"/>
      <c r="AA2716" s="17"/>
      <c r="AB2716" s="17"/>
      <c r="AC2716" s="14"/>
      <c r="AD2716" s="14"/>
      <c r="AE2716" s="17"/>
      <c r="AF2716" s="14"/>
      <c r="AG2716" s="54"/>
      <c r="AH2716" s="11"/>
      <c r="AI2716" s="14"/>
      <c r="AJ2716" s="19">
        <v>0</v>
      </c>
      <c r="AK2716" s="23">
        <v>0</v>
      </c>
      <c r="AL2716" s="11"/>
      <c r="AM2716" s="19">
        <v>0</v>
      </c>
      <c r="AN2716" s="19">
        <v>192000</v>
      </c>
      <c r="AO2716" s="14"/>
      <c r="AP2716" s="14">
        <v>192000</v>
      </c>
      <c r="AQ2716" s="12"/>
      <c r="AS2716" s="26"/>
    </row>
    <row r="2717" spans="1:45" s="19" customFormat="1" x14ac:dyDescent="0.2">
      <c r="A2717" s="2">
        <v>2313</v>
      </c>
      <c r="B2717" s="13">
        <v>1</v>
      </c>
      <c r="C2717" s="17" t="s">
        <v>52</v>
      </c>
      <c r="D2717" s="17">
        <v>1475</v>
      </c>
      <c r="E2717" s="17">
        <v>18</v>
      </c>
      <c r="F2717" s="17">
        <v>1469</v>
      </c>
      <c r="G2717" s="13">
        <v>2</v>
      </c>
      <c r="H2717" s="17">
        <v>0</v>
      </c>
      <c r="I2717" s="17">
        <v>3</v>
      </c>
      <c r="J2717" s="17">
        <v>97</v>
      </c>
      <c r="K2717" s="10">
        <v>397</v>
      </c>
      <c r="L2717" s="17"/>
      <c r="M2717" s="15"/>
      <c r="N2717" s="18"/>
      <c r="O2717" s="14"/>
      <c r="P2717" s="17">
        <v>1</v>
      </c>
      <c r="Q2717" s="19">
        <v>397</v>
      </c>
      <c r="R2717" s="14">
        <v>1500</v>
      </c>
      <c r="S2717" s="19">
        <v>595500</v>
      </c>
      <c r="T2717" s="17"/>
      <c r="U2717" s="17"/>
      <c r="V2717" s="17"/>
      <c r="W2717" s="4"/>
      <c r="X2717" s="17"/>
      <c r="Y2717" s="4"/>
      <c r="Z2717" s="17"/>
      <c r="AA2717" s="17"/>
      <c r="AB2717" s="17"/>
      <c r="AC2717" s="14"/>
      <c r="AD2717" s="14"/>
      <c r="AE2717" s="17"/>
      <c r="AF2717" s="14"/>
      <c r="AG2717" s="54"/>
      <c r="AH2717" s="11"/>
      <c r="AI2717" s="14"/>
      <c r="AJ2717" s="19">
        <v>0</v>
      </c>
      <c r="AK2717" s="23">
        <v>0</v>
      </c>
      <c r="AL2717" s="11"/>
      <c r="AM2717" s="19">
        <v>0</v>
      </c>
      <c r="AN2717" s="19">
        <v>595500</v>
      </c>
      <c r="AO2717" s="14"/>
      <c r="AP2717" s="14">
        <v>595500</v>
      </c>
      <c r="AQ2717" s="12"/>
      <c r="AS2717" s="26"/>
    </row>
    <row r="2718" spans="1:45" s="19" customFormat="1" x14ac:dyDescent="0.2">
      <c r="A2718" s="2">
        <v>2314</v>
      </c>
      <c r="B2718" s="13">
        <v>2</v>
      </c>
      <c r="C2718" s="17" t="s">
        <v>52</v>
      </c>
      <c r="D2718" s="17">
        <v>1215</v>
      </c>
      <c r="E2718" s="17">
        <v>20</v>
      </c>
      <c r="F2718" s="17">
        <v>1387</v>
      </c>
      <c r="G2718" s="13"/>
      <c r="H2718" s="17">
        <v>1</v>
      </c>
      <c r="I2718" s="17">
        <v>3</v>
      </c>
      <c r="J2718" s="17">
        <v>98</v>
      </c>
      <c r="K2718" s="10"/>
      <c r="L2718" s="17"/>
      <c r="M2718" s="15"/>
      <c r="N2718" s="18"/>
      <c r="O2718" s="14"/>
      <c r="P2718" s="17"/>
      <c r="Q2718" s="19">
        <v>798</v>
      </c>
      <c r="R2718" s="14">
        <v>200</v>
      </c>
      <c r="S2718" s="19">
        <v>159600</v>
      </c>
      <c r="T2718" s="17"/>
      <c r="U2718" s="17"/>
      <c r="V2718" s="17"/>
      <c r="W2718" s="4"/>
      <c r="X2718" s="17"/>
      <c r="Y2718" s="4"/>
      <c r="Z2718" s="17"/>
      <c r="AA2718" s="17"/>
      <c r="AB2718" s="17"/>
      <c r="AC2718" s="14"/>
      <c r="AD2718" s="14"/>
      <c r="AE2718" s="17"/>
      <c r="AF2718" s="14"/>
      <c r="AG2718" s="54"/>
      <c r="AH2718" s="11"/>
      <c r="AI2718" s="14"/>
      <c r="AJ2718" s="19">
        <v>0</v>
      </c>
      <c r="AK2718" s="23">
        <v>0</v>
      </c>
      <c r="AL2718" s="11"/>
      <c r="AM2718" s="19">
        <v>0</v>
      </c>
      <c r="AN2718" s="19">
        <v>159600</v>
      </c>
      <c r="AO2718" s="14"/>
      <c r="AP2718" s="14">
        <v>159600</v>
      </c>
      <c r="AQ2718" s="12"/>
      <c r="AS2718" s="26"/>
    </row>
    <row r="2719" spans="1:45" s="19" customFormat="1" x14ac:dyDescent="0.2">
      <c r="A2719" s="2">
        <v>2315</v>
      </c>
      <c r="B2719" s="13">
        <v>3</v>
      </c>
      <c r="C2719" s="17" t="s">
        <v>52</v>
      </c>
      <c r="D2719" s="17">
        <v>1858</v>
      </c>
      <c r="E2719" s="17">
        <v>105</v>
      </c>
      <c r="F2719" s="17">
        <v>1248</v>
      </c>
      <c r="G2719" s="13"/>
      <c r="H2719" s="17">
        <v>4</v>
      </c>
      <c r="I2719" s="17">
        <v>1</v>
      </c>
      <c r="J2719" s="17">
        <v>47</v>
      </c>
      <c r="K2719" s="10">
        <v>1747</v>
      </c>
      <c r="L2719" s="17"/>
      <c r="M2719" s="15"/>
      <c r="N2719" s="18"/>
      <c r="O2719" s="14"/>
      <c r="P2719" s="17">
        <v>1</v>
      </c>
      <c r="Q2719" s="19">
        <v>1747</v>
      </c>
      <c r="R2719" s="14">
        <v>160</v>
      </c>
      <c r="S2719" s="19">
        <v>279520</v>
      </c>
      <c r="T2719" s="17"/>
      <c r="U2719" s="17"/>
      <c r="V2719" s="17"/>
      <c r="W2719" s="4"/>
      <c r="X2719" s="17"/>
      <c r="Y2719" s="4"/>
      <c r="Z2719" s="17"/>
      <c r="AA2719" s="17"/>
      <c r="AB2719" s="17"/>
      <c r="AC2719" s="14"/>
      <c r="AD2719" s="14"/>
      <c r="AE2719" s="17"/>
      <c r="AF2719" s="14"/>
      <c r="AG2719" s="54"/>
      <c r="AH2719" s="11"/>
      <c r="AI2719" s="14"/>
      <c r="AJ2719" s="19">
        <v>0</v>
      </c>
      <c r="AK2719" s="23">
        <v>0</v>
      </c>
      <c r="AL2719" s="11"/>
      <c r="AM2719" s="19">
        <v>0</v>
      </c>
      <c r="AN2719" s="19">
        <v>279520</v>
      </c>
      <c r="AO2719" s="14"/>
      <c r="AP2719" s="14">
        <v>279520</v>
      </c>
      <c r="AQ2719" s="12"/>
      <c r="AS2719" s="26"/>
    </row>
    <row r="2720" spans="1:45" s="19" customFormat="1" x14ac:dyDescent="0.2">
      <c r="A2720" s="2">
        <v>2316</v>
      </c>
      <c r="B2720" s="13">
        <v>4</v>
      </c>
      <c r="C2720" s="17" t="s">
        <v>52</v>
      </c>
      <c r="D2720" s="17">
        <v>24550</v>
      </c>
      <c r="E2720" s="17">
        <v>164</v>
      </c>
      <c r="F2720" s="17">
        <v>4898</v>
      </c>
      <c r="G2720" s="13"/>
      <c r="H2720" s="17">
        <v>0</v>
      </c>
      <c r="I2720" s="17">
        <v>0</v>
      </c>
      <c r="J2720" s="17">
        <v>63</v>
      </c>
      <c r="K2720" s="10"/>
      <c r="L2720" s="17"/>
      <c r="M2720" s="15"/>
      <c r="N2720" s="18">
        <v>63</v>
      </c>
      <c r="O2720" s="14"/>
      <c r="P2720" s="17">
        <v>4</v>
      </c>
      <c r="Q2720" s="19">
        <v>63</v>
      </c>
      <c r="R2720" s="14">
        <v>2000</v>
      </c>
      <c r="S2720" s="19">
        <v>126000</v>
      </c>
      <c r="T2720" s="17"/>
      <c r="U2720" s="17"/>
      <c r="V2720" s="17"/>
      <c r="W2720" s="4"/>
      <c r="X2720" s="17"/>
      <c r="Y2720" s="4"/>
      <c r="Z2720" s="17"/>
      <c r="AA2720" s="17"/>
      <c r="AB2720" s="17"/>
      <c r="AC2720" s="14"/>
      <c r="AD2720" s="14"/>
      <c r="AE2720" s="17"/>
      <c r="AF2720" s="14"/>
      <c r="AG2720" s="54"/>
      <c r="AH2720" s="11"/>
      <c r="AI2720" s="14"/>
      <c r="AJ2720" s="19">
        <v>0</v>
      </c>
      <c r="AK2720" s="23">
        <v>0</v>
      </c>
      <c r="AL2720" s="11"/>
      <c r="AM2720" s="19">
        <v>0</v>
      </c>
      <c r="AN2720" s="19">
        <v>126000</v>
      </c>
      <c r="AO2720" s="14"/>
      <c r="AP2720" s="14">
        <v>126000</v>
      </c>
      <c r="AQ2720" s="12">
        <v>3.0000000000000001E-3</v>
      </c>
      <c r="AS2720" s="26"/>
    </row>
    <row r="2721" spans="1:49" ht="63" x14ac:dyDescent="0.2">
      <c r="A2721" s="2">
        <v>2317</v>
      </c>
      <c r="B2721" s="13">
        <v>1</v>
      </c>
      <c r="C2721" s="17" t="s">
        <v>52</v>
      </c>
      <c r="D2721" s="17">
        <v>1211</v>
      </c>
      <c r="E2721" s="17">
        <v>27</v>
      </c>
      <c r="F2721" s="17">
        <v>1383</v>
      </c>
      <c r="H2721" s="17">
        <v>3</v>
      </c>
      <c r="I2721" s="17">
        <v>3</v>
      </c>
      <c r="J2721" s="17">
        <v>25</v>
      </c>
      <c r="K2721" s="10">
        <v>1152.25</v>
      </c>
      <c r="L2721" s="17">
        <v>24.75</v>
      </c>
      <c r="P2721" s="17">
        <v>2</v>
      </c>
      <c r="Q2721" s="19">
        <v>1525</v>
      </c>
      <c r="R2721" s="14">
        <v>200</v>
      </c>
      <c r="S2721" s="19">
        <v>305000</v>
      </c>
      <c r="T2721" s="17">
        <v>1</v>
      </c>
      <c r="U2721" s="17" t="s">
        <v>57</v>
      </c>
      <c r="V2721" s="17" t="s">
        <v>56</v>
      </c>
      <c r="W2721" s="4">
        <v>99</v>
      </c>
      <c r="Y2721" s="4">
        <v>99</v>
      </c>
      <c r="AB2721" s="17">
        <v>36</v>
      </c>
      <c r="AJ2721" s="19">
        <v>0</v>
      </c>
      <c r="AK2721" s="23">
        <v>36</v>
      </c>
      <c r="AM2721" s="19">
        <v>0</v>
      </c>
      <c r="AN2721" s="19">
        <v>305000</v>
      </c>
      <c r="AP2721" s="14">
        <v>305000</v>
      </c>
    </row>
    <row r="2722" spans="1:49" ht="63" x14ac:dyDescent="0.2">
      <c r="L2722" s="17">
        <v>24.75</v>
      </c>
      <c r="Q2722" s="19">
        <v>0</v>
      </c>
      <c r="R2722" s="14" t="e">
        <v>#N/A</v>
      </c>
      <c r="S2722" s="19" t="e">
        <v>#N/A</v>
      </c>
      <c r="T2722" s="17">
        <v>2</v>
      </c>
      <c r="U2722" s="17" t="s">
        <v>57</v>
      </c>
      <c r="V2722" s="17" t="s">
        <v>56</v>
      </c>
      <c r="W2722" s="4">
        <v>99</v>
      </c>
      <c r="Y2722" s="4">
        <v>99</v>
      </c>
      <c r="AB2722" s="17">
        <v>26</v>
      </c>
      <c r="AJ2722" s="19">
        <v>0</v>
      </c>
      <c r="AK2722" s="23">
        <v>26</v>
      </c>
      <c r="AM2722" s="19">
        <v>0</v>
      </c>
      <c r="AN2722" s="19" t="e">
        <v>#N/A</v>
      </c>
      <c r="AP2722" s="14" t="e">
        <v>#N/A</v>
      </c>
    </row>
    <row r="2723" spans="1:49" ht="63" x14ac:dyDescent="0.2">
      <c r="L2723" s="17">
        <v>19.5</v>
      </c>
      <c r="Q2723" s="19">
        <v>0</v>
      </c>
      <c r="R2723" s="14" t="e">
        <v>#N/A</v>
      </c>
      <c r="S2723" s="19" t="e">
        <v>#N/A</v>
      </c>
      <c r="T2723" s="17">
        <v>3</v>
      </c>
      <c r="U2723" s="17" t="s">
        <v>57</v>
      </c>
      <c r="V2723" s="17" t="s">
        <v>56</v>
      </c>
      <c r="W2723" s="4">
        <v>78</v>
      </c>
      <c r="Y2723" s="4">
        <v>78</v>
      </c>
      <c r="AB2723" s="17">
        <v>24</v>
      </c>
      <c r="AJ2723" s="19">
        <v>0</v>
      </c>
      <c r="AK2723" s="23">
        <v>24</v>
      </c>
      <c r="AM2723" s="19">
        <v>0</v>
      </c>
      <c r="AN2723" s="19" t="e">
        <v>#N/A</v>
      </c>
      <c r="AP2723" s="14" t="e">
        <v>#N/A</v>
      </c>
    </row>
    <row r="2724" spans="1:49" ht="63" x14ac:dyDescent="0.2">
      <c r="L2724" s="17">
        <v>21.75</v>
      </c>
      <c r="Q2724" s="19">
        <v>0</v>
      </c>
      <c r="R2724" s="14" t="e">
        <v>#N/A</v>
      </c>
      <c r="S2724" s="19" t="e">
        <v>#N/A</v>
      </c>
      <c r="T2724" s="17">
        <v>4</v>
      </c>
      <c r="U2724" s="17" t="s">
        <v>57</v>
      </c>
      <c r="V2724" s="17" t="s">
        <v>56</v>
      </c>
      <c r="W2724" s="4">
        <v>87</v>
      </c>
      <c r="Y2724" s="4">
        <v>87</v>
      </c>
      <c r="AB2724" s="17">
        <v>16</v>
      </c>
      <c r="AJ2724" s="19">
        <v>0</v>
      </c>
      <c r="AK2724" s="23">
        <v>16</v>
      </c>
      <c r="AM2724" s="19">
        <v>0</v>
      </c>
      <c r="AN2724" s="19" t="e">
        <v>#N/A</v>
      </c>
      <c r="AP2724" s="14" t="e">
        <v>#N/A</v>
      </c>
    </row>
    <row r="2725" spans="1:49" ht="63" x14ac:dyDescent="0.2">
      <c r="L2725" s="17">
        <v>12</v>
      </c>
      <c r="Q2725" s="19">
        <v>0</v>
      </c>
      <c r="R2725" s="14" t="e">
        <v>#N/A</v>
      </c>
      <c r="S2725" s="19" t="e">
        <v>#N/A</v>
      </c>
      <c r="T2725" s="17">
        <v>5</v>
      </c>
      <c r="U2725" s="17" t="s">
        <v>57</v>
      </c>
      <c r="V2725" s="17" t="s">
        <v>56</v>
      </c>
      <c r="W2725" s="4">
        <v>48</v>
      </c>
      <c r="Y2725" s="4">
        <v>48</v>
      </c>
      <c r="AB2725" s="17">
        <v>26</v>
      </c>
      <c r="AJ2725" s="19">
        <v>0</v>
      </c>
      <c r="AK2725" s="23">
        <v>26</v>
      </c>
      <c r="AM2725" s="19">
        <v>0</v>
      </c>
      <c r="AN2725" s="19" t="e">
        <v>#N/A</v>
      </c>
      <c r="AP2725" s="14" t="e">
        <v>#N/A</v>
      </c>
    </row>
    <row r="2728" spans="1:49" x14ac:dyDescent="0.2">
      <c r="A2728" s="2">
        <v>2318</v>
      </c>
      <c r="B2728" s="13">
        <v>1</v>
      </c>
      <c r="C2728" s="17" t="s">
        <v>52</v>
      </c>
      <c r="D2728" s="17">
        <v>30965</v>
      </c>
      <c r="E2728" s="17">
        <v>103</v>
      </c>
      <c r="F2728" s="17">
        <v>5917</v>
      </c>
      <c r="G2728" s="13">
        <v>2</v>
      </c>
      <c r="H2728" s="17">
        <v>4</v>
      </c>
      <c r="I2728" s="17">
        <v>1</v>
      </c>
      <c r="J2728" s="17">
        <v>20.03</v>
      </c>
      <c r="K2728" s="10">
        <v>1720.03</v>
      </c>
      <c r="P2728" s="17">
        <v>1</v>
      </c>
      <c r="Q2728" s="19">
        <v>1720.03</v>
      </c>
      <c r="R2728" s="14">
        <v>160</v>
      </c>
      <c r="S2728" s="19">
        <v>275204.8</v>
      </c>
      <c r="AJ2728" s="19">
        <v>0</v>
      </c>
      <c r="AK2728" s="23">
        <v>0</v>
      </c>
      <c r="AM2728" s="19">
        <v>0</v>
      </c>
      <c r="AN2728" s="19">
        <v>275204.8</v>
      </c>
      <c r="AP2728" s="14">
        <v>275204.8</v>
      </c>
      <c r="AS2728" s="26">
        <v>22</v>
      </c>
    </row>
    <row r="2729" spans="1:49" x14ac:dyDescent="0.2">
      <c r="A2729" s="2">
        <v>2319</v>
      </c>
      <c r="B2729" s="13">
        <v>2</v>
      </c>
      <c r="C2729" s="17" t="s">
        <v>52</v>
      </c>
      <c r="D2729" s="17">
        <v>30968</v>
      </c>
      <c r="E2729" s="17">
        <v>106</v>
      </c>
      <c r="F2729" s="17">
        <v>5920</v>
      </c>
      <c r="G2729" s="13">
        <v>2</v>
      </c>
      <c r="H2729" s="17">
        <v>3</v>
      </c>
      <c r="I2729" s="17">
        <v>0</v>
      </c>
      <c r="J2729" s="17">
        <v>20</v>
      </c>
      <c r="K2729" s="10">
        <v>1220</v>
      </c>
      <c r="P2729" s="17">
        <v>1</v>
      </c>
      <c r="Q2729" s="19">
        <v>1220</v>
      </c>
      <c r="R2729" s="14">
        <v>160</v>
      </c>
      <c r="S2729" s="19">
        <v>195200</v>
      </c>
      <c r="AJ2729" s="19">
        <v>0</v>
      </c>
      <c r="AK2729" s="23">
        <v>0</v>
      </c>
      <c r="AM2729" s="19">
        <v>0</v>
      </c>
      <c r="AN2729" s="19">
        <v>195200</v>
      </c>
      <c r="AP2729" s="14">
        <v>195200</v>
      </c>
    </row>
    <row r="2730" spans="1:49" x14ac:dyDescent="0.2">
      <c r="A2730" s="2">
        <v>2320</v>
      </c>
      <c r="B2730" s="13">
        <v>1</v>
      </c>
      <c r="C2730" s="17" t="s">
        <v>52</v>
      </c>
      <c r="D2730" s="17">
        <v>30966</v>
      </c>
      <c r="E2730" s="17">
        <v>104</v>
      </c>
      <c r="F2730" s="17">
        <v>5918</v>
      </c>
      <c r="G2730" s="13">
        <v>2</v>
      </c>
      <c r="H2730" s="17">
        <v>2</v>
      </c>
      <c r="I2730" s="17">
        <v>2</v>
      </c>
      <c r="J2730" s="17">
        <v>45.05</v>
      </c>
      <c r="K2730" s="10">
        <v>1045.05</v>
      </c>
      <c r="P2730" s="17">
        <v>1</v>
      </c>
      <c r="Q2730" s="19">
        <v>1045.05</v>
      </c>
      <c r="R2730" s="14">
        <v>160</v>
      </c>
      <c r="S2730" s="19">
        <v>167208</v>
      </c>
      <c r="AJ2730" s="19">
        <v>0</v>
      </c>
      <c r="AK2730" s="23">
        <v>0</v>
      </c>
      <c r="AM2730" s="19">
        <v>0</v>
      </c>
      <c r="AN2730" s="19">
        <v>167208</v>
      </c>
      <c r="AP2730" s="14">
        <v>167208</v>
      </c>
    </row>
    <row r="2731" spans="1:49" ht="63" x14ac:dyDescent="0.2">
      <c r="A2731" s="2">
        <v>2321</v>
      </c>
      <c r="B2731" s="13">
        <v>2</v>
      </c>
      <c r="C2731" s="17" t="s">
        <v>52</v>
      </c>
      <c r="D2731" s="17">
        <v>20397</v>
      </c>
      <c r="E2731" s="17">
        <v>153</v>
      </c>
      <c r="F2731" s="17">
        <v>4583</v>
      </c>
      <c r="H2731" s="17">
        <v>0</v>
      </c>
      <c r="I2731" s="17">
        <v>2</v>
      </c>
      <c r="J2731" s="17">
        <v>32</v>
      </c>
      <c r="L2731" s="17">
        <v>232</v>
      </c>
      <c r="P2731" s="17">
        <v>2</v>
      </c>
      <c r="Q2731" s="19">
        <v>232</v>
      </c>
      <c r="R2731" s="14">
        <v>160</v>
      </c>
      <c r="S2731" s="19">
        <v>37120</v>
      </c>
      <c r="T2731" s="17">
        <v>1</v>
      </c>
      <c r="U2731" s="17" t="s">
        <v>57</v>
      </c>
      <c r="V2731" s="17" t="s">
        <v>56</v>
      </c>
      <c r="W2731" s="4">
        <v>162</v>
      </c>
      <c r="Y2731" s="4">
        <v>162</v>
      </c>
      <c r="AJ2731" s="19">
        <v>0</v>
      </c>
      <c r="AK2731" s="23">
        <v>0</v>
      </c>
      <c r="AM2731" s="19">
        <v>0</v>
      </c>
      <c r="AN2731" s="19">
        <v>37120</v>
      </c>
      <c r="AP2731" s="14">
        <v>37120</v>
      </c>
    </row>
    <row r="2732" spans="1:49" x14ac:dyDescent="0.2">
      <c r="A2732" s="2">
        <v>2322</v>
      </c>
      <c r="B2732" s="13">
        <v>3</v>
      </c>
      <c r="C2732" s="17" t="s">
        <v>69</v>
      </c>
      <c r="E2732" s="17">
        <v>1516</v>
      </c>
      <c r="F2732" s="17">
        <v>18</v>
      </c>
      <c r="G2732" s="13">
        <v>2</v>
      </c>
      <c r="H2732" s="17">
        <v>7</v>
      </c>
      <c r="I2732" s="17">
        <v>1</v>
      </c>
      <c r="J2732" s="17">
        <v>74</v>
      </c>
      <c r="K2732" s="10">
        <v>2974</v>
      </c>
      <c r="P2732" s="17">
        <v>1</v>
      </c>
      <c r="Q2732" s="19">
        <v>2974</v>
      </c>
      <c r="R2732" s="14">
        <v>160</v>
      </c>
      <c r="S2732" s="19">
        <v>475840</v>
      </c>
      <c r="AJ2732" s="19">
        <v>0</v>
      </c>
      <c r="AK2732" s="23">
        <v>0</v>
      </c>
      <c r="AM2732" s="19">
        <v>0</v>
      </c>
      <c r="AN2732" s="19">
        <v>475840</v>
      </c>
      <c r="AP2732" s="14">
        <v>475840</v>
      </c>
      <c r="AQ2732" s="12">
        <v>1E-4</v>
      </c>
    </row>
    <row r="2733" spans="1:49" ht="63" x14ac:dyDescent="0.2">
      <c r="A2733" s="2">
        <v>2323</v>
      </c>
      <c r="B2733" s="13">
        <v>1</v>
      </c>
      <c r="C2733" s="17" t="s">
        <v>52</v>
      </c>
      <c r="D2733" s="17">
        <v>31064</v>
      </c>
      <c r="E2733" s="17">
        <v>124</v>
      </c>
      <c r="F2733" s="17">
        <v>6014</v>
      </c>
      <c r="G2733" s="13">
        <v>2</v>
      </c>
      <c r="H2733" s="17">
        <v>5</v>
      </c>
      <c r="I2733" s="17">
        <v>3</v>
      </c>
      <c r="J2733" s="17">
        <v>4.0599999999999996</v>
      </c>
      <c r="K2733" s="10">
        <v>2284.06</v>
      </c>
      <c r="L2733" s="17">
        <v>15</v>
      </c>
      <c r="P2733" s="17">
        <v>5</v>
      </c>
      <c r="Q2733" s="19">
        <v>2304.06</v>
      </c>
      <c r="R2733" s="14">
        <v>200</v>
      </c>
      <c r="S2733" s="19">
        <v>460812</v>
      </c>
      <c r="T2733" s="17">
        <v>1</v>
      </c>
      <c r="U2733" s="17" t="s">
        <v>57</v>
      </c>
      <c r="V2733" s="17" t="s">
        <v>88</v>
      </c>
      <c r="W2733" s="4">
        <v>60</v>
      </c>
      <c r="Y2733" s="4">
        <v>60</v>
      </c>
      <c r="AB2733" s="17">
        <v>22</v>
      </c>
      <c r="AJ2733" s="19">
        <v>0</v>
      </c>
      <c r="AK2733" s="23">
        <v>22</v>
      </c>
      <c r="AM2733" s="19">
        <v>0</v>
      </c>
      <c r="AN2733" s="19">
        <v>460812</v>
      </c>
      <c r="AP2733" s="14">
        <v>460812</v>
      </c>
      <c r="AS2733" s="26" t="s">
        <v>242</v>
      </c>
      <c r="AW2733" s="14" t="s">
        <v>179</v>
      </c>
    </row>
    <row r="2734" spans="1:49" ht="63" x14ac:dyDescent="0.2">
      <c r="L2734" s="17">
        <v>5</v>
      </c>
      <c r="Q2734" s="19">
        <v>0</v>
      </c>
      <c r="R2734" s="14" t="e">
        <v>#N/A</v>
      </c>
      <c r="S2734" s="19" t="e">
        <v>#N/A</v>
      </c>
      <c r="T2734" s="17">
        <v>2</v>
      </c>
      <c r="U2734" s="17" t="s">
        <v>57</v>
      </c>
      <c r="V2734" s="17" t="s">
        <v>88</v>
      </c>
      <c r="W2734" s="4">
        <v>20</v>
      </c>
      <c r="Y2734" s="4">
        <v>20</v>
      </c>
      <c r="AB2734" s="17">
        <v>10</v>
      </c>
      <c r="AJ2734" s="19">
        <v>0</v>
      </c>
      <c r="AK2734" s="23">
        <v>10</v>
      </c>
      <c r="AM2734" s="19">
        <v>0</v>
      </c>
      <c r="AN2734" s="19" t="e">
        <v>#N/A</v>
      </c>
      <c r="AP2734" s="14" t="e">
        <v>#N/A</v>
      </c>
    </row>
    <row r="2735" spans="1:49" x14ac:dyDescent="0.2">
      <c r="A2735" s="2">
        <v>2324</v>
      </c>
      <c r="B2735" s="13">
        <v>3</v>
      </c>
      <c r="C2735" s="17" t="s">
        <v>65</v>
      </c>
      <c r="D2735" s="17">
        <v>803</v>
      </c>
      <c r="E2735" s="17">
        <v>250</v>
      </c>
      <c r="H2735" s="17">
        <v>12</v>
      </c>
      <c r="I2735" s="17">
        <v>2</v>
      </c>
      <c r="J2735" s="17">
        <v>65</v>
      </c>
      <c r="K2735" s="10">
        <v>5065</v>
      </c>
      <c r="Q2735" s="19">
        <v>5065</v>
      </c>
      <c r="R2735" s="14">
        <v>160</v>
      </c>
      <c r="S2735" s="19">
        <v>810400</v>
      </c>
      <c r="AE2735" s="17" t="s">
        <v>94</v>
      </c>
      <c r="AJ2735" s="19">
        <v>0</v>
      </c>
      <c r="AK2735" s="23">
        <v>0</v>
      </c>
      <c r="AM2735" s="19">
        <v>0</v>
      </c>
      <c r="AN2735" s="19">
        <v>810400</v>
      </c>
      <c r="AP2735" s="14">
        <v>810400</v>
      </c>
      <c r="AQ2735" s="12">
        <v>1E-4</v>
      </c>
    </row>
    <row r="2736" spans="1:49" x14ac:dyDescent="0.2">
      <c r="A2736" s="2">
        <v>2325</v>
      </c>
      <c r="B2736" s="13">
        <v>1</v>
      </c>
      <c r="C2736" s="17" t="s">
        <v>69</v>
      </c>
      <c r="E2736" s="17">
        <v>1516</v>
      </c>
      <c r="F2736" s="17">
        <v>7</v>
      </c>
      <c r="G2736" s="13">
        <v>2</v>
      </c>
      <c r="H2736" s="17">
        <v>7</v>
      </c>
      <c r="I2736" s="17">
        <v>2</v>
      </c>
      <c r="J2736" s="17">
        <v>52</v>
      </c>
      <c r="K2736" s="10">
        <v>3052</v>
      </c>
      <c r="P2736" s="17">
        <v>1</v>
      </c>
      <c r="Q2736" s="19">
        <v>3052</v>
      </c>
      <c r="R2736" s="14">
        <v>160</v>
      </c>
      <c r="S2736" s="19">
        <v>488320</v>
      </c>
      <c r="AJ2736" s="19">
        <v>0</v>
      </c>
      <c r="AK2736" s="23">
        <v>0</v>
      </c>
      <c r="AM2736" s="19">
        <v>0</v>
      </c>
      <c r="AN2736" s="19">
        <v>488320</v>
      </c>
      <c r="AP2736" s="14">
        <v>488320</v>
      </c>
      <c r="AQ2736" s="12">
        <v>1E-4</v>
      </c>
    </row>
    <row r="2737" spans="1:45" x14ac:dyDescent="0.2">
      <c r="A2737" s="2">
        <v>2326</v>
      </c>
      <c r="B2737" s="13">
        <v>1</v>
      </c>
      <c r="C2737" s="17" t="s">
        <v>69</v>
      </c>
      <c r="E2737" s="17">
        <v>161</v>
      </c>
      <c r="F2737" s="17">
        <v>5</v>
      </c>
      <c r="G2737" s="13">
        <v>2</v>
      </c>
      <c r="H2737" s="17">
        <v>13</v>
      </c>
      <c r="I2737" s="17">
        <v>1</v>
      </c>
      <c r="J2737" s="17">
        <v>79</v>
      </c>
      <c r="K2737" s="10">
        <v>5379</v>
      </c>
      <c r="P2737" s="17">
        <v>1</v>
      </c>
      <c r="Q2737" s="19">
        <v>5379</v>
      </c>
      <c r="R2737" s="14">
        <v>200</v>
      </c>
      <c r="S2737" s="19">
        <v>1075800</v>
      </c>
      <c r="AJ2737" s="19">
        <v>0</v>
      </c>
      <c r="AK2737" s="23">
        <v>0</v>
      </c>
      <c r="AM2737" s="19">
        <v>0</v>
      </c>
      <c r="AN2737" s="19">
        <v>1075800</v>
      </c>
      <c r="AP2737" s="14">
        <v>1075800</v>
      </c>
      <c r="AQ2737" s="12">
        <v>1E-4</v>
      </c>
    </row>
    <row r="2738" spans="1:45" x14ac:dyDescent="0.2">
      <c r="A2738" s="2">
        <v>2327</v>
      </c>
      <c r="B2738" s="13">
        <v>1</v>
      </c>
      <c r="C2738" s="17" t="s">
        <v>52</v>
      </c>
      <c r="D2738" s="17">
        <v>998</v>
      </c>
      <c r="E2738" s="17">
        <v>9</v>
      </c>
      <c r="F2738" s="17">
        <v>246</v>
      </c>
      <c r="G2738" s="13">
        <v>1</v>
      </c>
      <c r="H2738" s="17">
        <v>7</v>
      </c>
      <c r="I2738" s="17">
        <v>3</v>
      </c>
      <c r="J2738" s="17">
        <v>31</v>
      </c>
      <c r="K2738" s="10">
        <v>3131</v>
      </c>
      <c r="P2738" s="17">
        <v>1</v>
      </c>
      <c r="Q2738" s="19">
        <v>3131</v>
      </c>
      <c r="R2738" s="14">
        <v>160</v>
      </c>
      <c r="S2738" s="19">
        <v>500960</v>
      </c>
      <c r="AJ2738" s="19">
        <v>0</v>
      </c>
      <c r="AK2738" s="23">
        <v>0</v>
      </c>
      <c r="AM2738" s="19">
        <v>0</v>
      </c>
      <c r="AN2738" s="19">
        <v>500960</v>
      </c>
      <c r="AP2738" s="14">
        <v>500960</v>
      </c>
      <c r="AS2738" s="26">
        <v>39</v>
      </c>
    </row>
    <row r="2739" spans="1:45" x14ac:dyDescent="0.2">
      <c r="A2739" s="2">
        <v>2328</v>
      </c>
      <c r="B2739" s="13">
        <v>2</v>
      </c>
      <c r="C2739" s="17" t="s">
        <v>52</v>
      </c>
      <c r="D2739" s="17">
        <v>31065</v>
      </c>
      <c r="E2739" s="17">
        <v>125</v>
      </c>
      <c r="F2739" s="17">
        <v>6015</v>
      </c>
      <c r="G2739" s="13">
        <v>2</v>
      </c>
      <c r="H2739" s="17">
        <v>1</v>
      </c>
      <c r="I2739" s="17">
        <v>2</v>
      </c>
      <c r="J2739" s="17">
        <v>43.01</v>
      </c>
      <c r="K2739" s="10">
        <v>643.01</v>
      </c>
      <c r="P2739" s="17">
        <v>1</v>
      </c>
      <c r="Q2739" s="19">
        <v>643.01</v>
      </c>
      <c r="R2739" s="14">
        <v>200</v>
      </c>
      <c r="S2739" s="19">
        <v>128602</v>
      </c>
      <c r="AJ2739" s="19">
        <v>0</v>
      </c>
      <c r="AK2739" s="23">
        <v>0</v>
      </c>
      <c r="AM2739" s="19">
        <v>0</v>
      </c>
      <c r="AN2739" s="19">
        <v>128602</v>
      </c>
      <c r="AP2739" s="14">
        <v>128602</v>
      </c>
    </row>
    <row r="2740" spans="1:45" x14ac:dyDescent="0.2">
      <c r="A2740" s="2">
        <v>2329</v>
      </c>
      <c r="B2740" s="13">
        <v>3</v>
      </c>
      <c r="C2740" s="17" t="s">
        <v>52</v>
      </c>
      <c r="D2740" s="17">
        <v>31066</v>
      </c>
      <c r="E2740" s="17">
        <v>126</v>
      </c>
      <c r="F2740" s="17">
        <v>6016</v>
      </c>
      <c r="G2740" s="13">
        <v>2</v>
      </c>
      <c r="H2740" s="17">
        <v>1</v>
      </c>
      <c r="I2740" s="17">
        <v>2</v>
      </c>
      <c r="J2740" s="17">
        <v>10.039999999999999</v>
      </c>
      <c r="K2740" s="10">
        <v>610.04</v>
      </c>
      <c r="P2740" s="17">
        <v>1</v>
      </c>
      <c r="Q2740" s="19">
        <v>610.04</v>
      </c>
      <c r="R2740" s="14">
        <v>200</v>
      </c>
      <c r="S2740" s="19">
        <v>122008</v>
      </c>
      <c r="AJ2740" s="19">
        <v>0</v>
      </c>
      <c r="AK2740" s="23">
        <v>0</v>
      </c>
      <c r="AM2740" s="19">
        <v>0</v>
      </c>
      <c r="AN2740" s="19">
        <v>122008</v>
      </c>
      <c r="AP2740" s="14">
        <v>122008</v>
      </c>
    </row>
    <row r="2741" spans="1:45" x14ac:dyDescent="0.2">
      <c r="A2741" s="2">
        <v>2330</v>
      </c>
      <c r="B2741" s="13">
        <v>4</v>
      </c>
      <c r="C2741" s="17" t="s">
        <v>52</v>
      </c>
      <c r="D2741" s="17">
        <v>31067</v>
      </c>
      <c r="E2741" s="17">
        <v>127</v>
      </c>
      <c r="F2741" s="17">
        <v>6017</v>
      </c>
      <c r="G2741" s="13">
        <v>2</v>
      </c>
      <c r="H2741" s="17">
        <v>1</v>
      </c>
      <c r="I2741" s="17">
        <v>1</v>
      </c>
      <c r="J2741" s="17">
        <v>65.09</v>
      </c>
      <c r="K2741" s="10">
        <v>565.09</v>
      </c>
      <c r="P2741" s="17">
        <v>1</v>
      </c>
      <c r="Q2741" s="19">
        <v>565.09</v>
      </c>
      <c r="R2741" s="14">
        <v>200</v>
      </c>
      <c r="S2741" s="19">
        <v>113018</v>
      </c>
      <c r="AE2741" s="17" t="s">
        <v>243</v>
      </c>
      <c r="AJ2741" s="19">
        <v>0</v>
      </c>
      <c r="AK2741" s="23">
        <v>0</v>
      </c>
      <c r="AM2741" s="19">
        <v>0</v>
      </c>
      <c r="AN2741" s="19">
        <v>113018</v>
      </c>
      <c r="AP2741" s="14">
        <v>113018</v>
      </c>
    </row>
    <row r="2742" spans="1:45" x14ac:dyDescent="0.2">
      <c r="A2742" s="2">
        <v>2331</v>
      </c>
      <c r="B2742" s="13">
        <v>5</v>
      </c>
      <c r="C2742" s="17" t="s">
        <v>52</v>
      </c>
      <c r="D2742" s="17">
        <v>31070</v>
      </c>
      <c r="E2742" s="17">
        <v>130</v>
      </c>
      <c r="F2742" s="17">
        <v>6020</v>
      </c>
      <c r="G2742" s="13">
        <v>2</v>
      </c>
      <c r="H2742" s="17">
        <v>0</v>
      </c>
      <c r="I2742" s="17">
        <v>0</v>
      </c>
      <c r="J2742" s="17">
        <v>84.07</v>
      </c>
      <c r="K2742" s="10">
        <v>84.07</v>
      </c>
      <c r="P2742" s="17">
        <v>1</v>
      </c>
      <c r="Q2742" s="19">
        <v>84.07</v>
      </c>
      <c r="R2742" s="14">
        <v>250</v>
      </c>
      <c r="S2742" s="19">
        <v>21017.5</v>
      </c>
      <c r="AJ2742" s="19">
        <v>0</v>
      </c>
      <c r="AK2742" s="23">
        <v>0</v>
      </c>
      <c r="AM2742" s="19">
        <v>0</v>
      </c>
      <c r="AN2742" s="19">
        <v>21017.5</v>
      </c>
      <c r="AP2742" s="14">
        <v>21017.5</v>
      </c>
    </row>
    <row r="2743" spans="1:45" x14ac:dyDescent="0.2">
      <c r="A2743" s="2">
        <v>2332</v>
      </c>
      <c r="B2743" s="13">
        <v>6</v>
      </c>
      <c r="C2743" s="17" t="s">
        <v>52</v>
      </c>
      <c r="D2743" s="17">
        <v>31071</v>
      </c>
      <c r="E2743" s="17">
        <v>131</v>
      </c>
      <c r="F2743" s="17">
        <v>6021</v>
      </c>
      <c r="G2743" s="13">
        <v>2</v>
      </c>
      <c r="H2743" s="17">
        <v>0</v>
      </c>
      <c r="I2743" s="17">
        <v>0</v>
      </c>
      <c r="J2743" s="17">
        <v>86.01</v>
      </c>
      <c r="K2743" s="10">
        <v>86.01</v>
      </c>
      <c r="P2743" s="17">
        <v>1</v>
      </c>
      <c r="Q2743" s="19">
        <v>86.01</v>
      </c>
      <c r="R2743" s="14">
        <v>250</v>
      </c>
      <c r="S2743" s="19">
        <v>21502.5</v>
      </c>
      <c r="AJ2743" s="19">
        <v>0</v>
      </c>
      <c r="AK2743" s="23">
        <v>0</v>
      </c>
      <c r="AM2743" s="19">
        <v>0</v>
      </c>
      <c r="AN2743" s="19">
        <v>21502.5</v>
      </c>
      <c r="AP2743" s="14">
        <v>21502.5</v>
      </c>
    </row>
    <row r="2744" spans="1:45" x14ac:dyDescent="0.2">
      <c r="A2744" s="2">
        <v>2333</v>
      </c>
      <c r="B2744" s="13">
        <v>7</v>
      </c>
      <c r="C2744" s="17" t="s">
        <v>52</v>
      </c>
      <c r="D2744" s="17">
        <v>36634</v>
      </c>
      <c r="E2744" s="17">
        <v>56</v>
      </c>
      <c r="F2744" s="17">
        <v>7182</v>
      </c>
      <c r="H2744" s="17">
        <v>0</v>
      </c>
      <c r="I2744" s="17">
        <v>2</v>
      </c>
      <c r="J2744" s="17">
        <v>3</v>
      </c>
      <c r="K2744" s="10" t="s">
        <v>244</v>
      </c>
      <c r="P2744" s="17">
        <v>1</v>
      </c>
      <c r="Q2744" s="19">
        <v>203</v>
      </c>
      <c r="R2744" s="14">
        <v>160</v>
      </c>
      <c r="S2744" s="19">
        <v>32480</v>
      </c>
      <c r="AJ2744" s="19">
        <v>0</v>
      </c>
      <c r="AK2744" s="23">
        <v>0</v>
      </c>
      <c r="AM2744" s="19">
        <v>0</v>
      </c>
      <c r="AN2744" s="19">
        <v>32480</v>
      </c>
      <c r="AP2744" s="14">
        <v>32480</v>
      </c>
    </row>
    <row r="2745" spans="1:45" ht="63" x14ac:dyDescent="0.2">
      <c r="A2745" s="2">
        <v>2334</v>
      </c>
      <c r="B2745" s="13">
        <v>1</v>
      </c>
      <c r="C2745" s="17" t="s">
        <v>52</v>
      </c>
      <c r="D2745" s="17">
        <v>34555</v>
      </c>
      <c r="E2745" s="17">
        <v>240</v>
      </c>
      <c r="F2745" s="17">
        <v>6897</v>
      </c>
      <c r="G2745" s="13">
        <v>2</v>
      </c>
      <c r="H2745" s="17">
        <v>0</v>
      </c>
      <c r="I2745" s="17">
        <v>2</v>
      </c>
      <c r="J2745" s="17">
        <v>26.02</v>
      </c>
      <c r="L2745" s="17">
        <v>226.02</v>
      </c>
      <c r="P2745" s="17">
        <v>2</v>
      </c>
      <c r="Q2745" s="19">
        <v>226.02</v>
      </c>
      <c r="R2745" s="14">
        <v>3000</v>
      </c>
      <c r="S2745" s="19">
        <v>678060</v>
      </c>
      <c r="T2745" s="17">
        <v>1</v>
      </c>
      <c r="U2745" s="17" t="s">
        <v>57</v>
      </c>
      <c r="V2745" s="17" t="s">
        <v>56</v>
      </c>
      <c r="W2745" s="4">
        <v>176</v>
      </c>
      <c r="Y2745" s="4">
        <v>176</v>
      </c>
      <c r="AB2745" s="17">
        <v>17</v>
      </c>
      <c r="AJ2745" s="19">
        <v>0</v>
      </c>
      <c r="AK2745" s="23">
        <v>17</v>
      </c>
      <c r="AM2745" s="19">
        <v>0</v>
      </c>
      <c r="AN2745" s="19">
        <v>678060</v>
      </c>
      <c r="AP2745" s="14">
        <v>678060</v>
      </c>
    </row>
    <row r="2746" spans="1:45" x14ac:dyDescent="0.2">
      <c r="A2746" s="2">
        <v>2335</v>
      </c>
      <c r="B2746" s="13">
        <v>2</v>
      </c>
      <c r="C2746" s="17" t="s">
        <v>52</v>
      </c>
      <c r="D2746" s="17">
        <v>34557</v>
      </c>
      <c r="E2746" s="17">
        <v>242</v>
      </c>
      <c r="F2746" s="17">
        <v>6899</v>
      </c>
      <c r="G2746" s="13">
        <v>2</v>
      </c>
      <c r="H2746" s="17">
        <v>0</v>
      </c>
      <c r="I2746" s="17">
        <v>0</v>
      </c>
      <c r="J2746" s="17">
        <v>50</v>
      </c>
      <c r="L2746" s="17">
        <v>50</v>
      </c>
      <c r="P2746" s="17">
        <v>2</v>
      </c>
      <c r="Q2746" s="19">
        <v>50</v>
      </c>
      <c r="R2746" s="14">
        <v>3000</v>
      </c>
      <c r="S2746" s="19">
        <v>150000</v>
      </c>
      <c r="AJ2746" s="19">
        <v>0</v>
      </c>
      <c r="AK2746" s="23">
        <v>0</v>
      </c>
      <c r="AM2746" s="19">
        <v>0</v>
      </c>
      <c r="AN2746" s="19">
        <v>150000</v>
      </c>
      <c r="AP2746" s="14">
        <v>150000</v>
      </c>
    </row>
    <row r="2747" spans="1:45" x14ac:dyDescent="0.2">
      <c r="A2747" s="2">
        <v>2336</v>
      </c>
      <c r="B2747" s="13">
        <v>3</v>
      </c>
      <c r="C2747" s="17" t="s">
        <v>52</v>
      </c>
      <c r="D2747" s="17">
        <v>34558</v>
      </c>
      <c r="E2747" s="17">
        <v>243</v>
      </c>
      <c r="F2747" s="17">
        <v>6900</v>
      </c>
      <c r="G2747" s="13">
        <v>2</v>
      </c>
      <c r="H2747" s="17">
        <v>0</v>
      </c>
      <c r="I2747" s="17">
        <v>2</v>
      </c>
      <c r="J2747" s="17">
        <v>37.090000000000003</v>
      </c>
      <c r="K2747" s="10">
        <v>237.09</v>
      </c>
      <c r="P2747" s="17">
        <v>1</v>
      </c>
      <c r="Q2747" s="19">
        <v>237.09</v>
      </c>
      <c r="R2747" s="14">
        <v>160</v>
      </c>
      <c r="S2747" s="19">
        <v>37934.400000000001</v>
      </c>
      <c r="AJ2747" s="19">
        <v>0</v>
      </c>
      <c r="AK2747" s="23">
        <v>0</v>
      </c>
      <c r="AM2747" s="19">
        <v>0</v>
      </c>
      <c r="AN2747" s="19">
        <v>37934.400000000001</v>
      </c>
      <c r="AP2747" s="14">
        <v>37934.400000000001</v>
      </c>
    </row>
    <row r="2748" spans="1:45" ht="63" x14ac:dyDescent="0.2">
      <c r="A2748" s="2">
        <v>2337</v>
      </c>
      <c r="B2748" s="13">
        <v>1</v>
      </c>
      <c r="C2748" s="17" t="s">
        <v>52</v>
      </c>
      <c r="D2748" s="17">
        <v>1439</v>
      </c>
      <c r="E2748" s="17">
        <v>17</v>
      </c>
      <c r="F2748" s="17">
        <v>880</v>
      </c>
      <c r="G2748" s="13">
        <v>2</v>
      </c>
      <c r="H2748" s="17">
        <v>0</v>
      </c>
      <c r="I2748" s="17">
        <v>1</v>
      </c>
      <c r="J2748" s="17">
        <v>47</v>
      </c>
      <c r="P2748" s="17">
        <v>2</v>
      </c>
      <c r="Q2748" s="19">
        <v>147</v>
      </c>
      <c r="R2748" s="14">
        <v>1500</v>
      </c>
      <c r="S2748" s="19">
        <v>220500</v>
      </c>
      <c r="T2748" s="17">
        <v>1</v>
      </c>
      <c r="U2748" s="17" t="s">
        <v>57</v>
      </c>
      <c r="V2748" s="17" t="s">
        <v>56</v>
      </c>
      <c r="W2748" s="4">
        <v>72</v>
      </c>
      <c r="Y2748" s="4">
        <v>72</v>
      </c>
      <c r="AJ2748" s="19">
        <v>0</v>
      </c>
      <c r="AK2748" s="23">
        <v>0</v>
      </c>
      <c r="AM2748" s="19">
        <v>0</v>
      </c>
      <c r="AN2748" s="19">
        <v>220500</v>
      </c>
      <c r="AP2748" s="14">
        <v>220500</v>
      </c>
    </row>
    <row r="2749" spans="1:45" ht="63" x14ac:dyDescent="0.2">
      <c r="L2749" s="17">
        <v>147</v>
      </c>
      <c r="Q2749" s="19">
        <v>0</v>
      </c>
      <c r="T2749" s="17">
        <v>2</v>
      </c>
      <c r="U2749" s="17" t="s">
        <v>57</v>
      </c>
      <c r="V2749" s="17" t="s">
        <v>56</v>
      </c>
      <c r="W2749" s="4">
        <v>72</v>
      </c>
      <c r="Y2749" s="4">
        <v>72</v>
      </c>
      <c r="AJ2749" s="19">
        <v>0</v>
      </c>
      <c r="AK2749" s="23">
        <v>0</v>
      </c>
      <c r="AM2749" s="19">
        <v>0</v>
      </c>
      <c r="AN2749" s="19">
        <v>0</v>
      </c>
      <c r="AP2749" s="14">
        <v>0</v>
      </c>
    </row>
    <row r="2750" spans="1:45" ht="63" x14ac:dyDescent="0.2">
      <c r="A2750" s="2">
        <v>2338</v>
      </c>
      <c r="B2750" s="13">
        <v>2</v>
      </c>
      <c r="C2750" s="17" t="s">
        <v>52</v>
      </c>
      <c r="D2750" s="17">
        <v>1826</v>
      </c>
      <c r="E2750" s="17">
        <v>126</v>
      </c>
      <c r="F2750" s="17">
        <v>1216</v>
      </c>
      <c r="G2750" s="13">
        <v>2</v>
      </c>
      <c r="H2750" s="17">
        <v>3</v>
      </c>
      <c r="I2750" s="17">
        <v>1</v>
      </c>
      <c r="J2750" s="17">
        <v>1</v>
      </c>
      <c r="K2750" s="10">
        <v>1255.3699999999999</v>
      </c>
      <c r="L2750" s="17">
        <v>36</v>
      </c>
      <c r="P2750" s="17">
        <v>5</v>
      </c>
      <c r="Q2750" s="19">
        <v>1301</v>
      </c>
      <c r="R2750" s="14">
        <v>160</v>
      </c>
      <c r="S2750" s="19">
        <v>208160</v>
      </c>
      <c r="T2750" s="17">
        <v>1</v>
      </c>
      <c r="U2750" s="17" t="s">
        <v>57</v>
      </c>
      <c r="V2750" s="17" t="s">
        <v>56</v>
      </c>
      <c r="W2750" s="4">
        <v>144</v>
      </c>
      <c r="Y2750" s="4">
        <v>144</v>
      </c>
      <c r="AJ2750" s="19">
        <v>0</v>
      </c>
      <c r="AK2750" s="23">
        <v>0</v>
      </c>
      <c r="AM2750" s="19">
        <v>0</v>
      </c>
      <c r="AN2750" s="19">
        <v>208160</v>
      </c>
      <c r="AP2750" s="14">
        <v>208160</v>
      </c>
    </row>
    <row r="2751" spans="1:45" ht="63" x14ac:dyDescent="0.2">
      <c r="L2751" s="17">
        <v>9.6300000000000008</v>
      </c>
      <c r="Q2751" s="19">
        <v>0</v>
      </c>
      <c r="T2751" s="17">
        <v>2</v>
      </c>
      <c r="U2751" s="17" t="s">
        <v>57</v>
      </c>
      <c r="V2751" s="17" t="s">
        <v>56</v>
      </c>
      <c r="W2751" s="4">
        <v>38.5</v>
      </c>
      <c r="Y2751" s="4">
        <v>38.5</v>
      </c>
      <c r="AJ2751" s="19">
        <v>0</v>
      </c>
      <c r="AK2751" s="23">
        <v>0</v>
      </c>
      <c r="AM2751" s="19">
        <v>0</v>
      </c>
      <c r="AN2751" s="19">
        <v>0</v>
      </c>
      <c r="AP2751" s="14">
        <v>0</v>
      </c>
    </row>
    <row r="2752" spans="1:45" x14ac:dyDescent="0.2">
      <c r="A2752" s="2">
        <v>2339</v>
      </c>
      <c r="B2752" s="13">
        <v>3</v>
      </c>
      <c r="C2752" s="17" t="s">
        <v>69</v>
      </c>
      <c r="E2752" s="17">
        <v>1516</v>
      </c>
      <c r="F2752" s="17">
        <v>4</v>
      </c>
      <c r="G2752" s="13">
        <v>2</v>
      </c>
      <c r="H2752" s="17">
        <v>7</v>
      </c>
      <c r="I2752" s="17">
        <v>2</v>
      </c>
      <c r="J2752" s="17">
        <v>77</v>
      </c>
      <c r="K2752" s="10">
        <v>3077</v>
      </c>
      <c r="P2752" s="17">
        <v>1</v>
      </c>
      <c r="Q2752" s="19">
        <v>3077</v>
      </c>
      <c r="R2752" s="14">
        <v>160</v>
      </c>
      <c r="S2752" s="19">
        <v>492320</v>
      </c>
      <c r="AJ2752" s="19">
        <v>0</v>
      </c>
      <c r="AK2752" s="23">
        <v>0</v>
      </c>
      <c r="AM2752" s="19">
        <v>0</v>
      </c>
      <c r="AN2752" s="19">
        <v>492320</v>
      </c>
      <c r="AP2752" s="14">
        <v>492320</v>
      </c>
      <c r="AQ2752" s="12">
        <v>1E-4</v>
      </c>
    </row>
    <row r="2753" spans="1:45" s="19" customFormat="1" ht="63" x14ac:dyDescent="0.2">
      <c r="A2753" s="2">
        <v>2340</v>
      </c>
      <c r="B2753" s="13">
        <v>1</v>
      </c>
      <c r="C2753" s="17" t="s">
        <v>52</v>
      </c>
      <c r="D2753" s="17">
        <v>14105</v>
      </c>
      <c r="E2753" s="17">
        <v>290</v>
      </c>
      <c r="F2753" s="17">
        <v>3333</v>
      </c>
      <c r="G2753" s="13">
        <v>2</v>
      </c>
      <c r="H2753" s="17">
        <v>0</v>
      </c>
      <c r="I2753" s="17">
        <v>0</v>
      </c>
      <c r="J2753" s="17">
        <v>51</v>
      </c>
      <c r="K2753" s="10"/>
      <c r="L2753" s="17">
        <v>51</v>
      </c>
      <c r="M2753" s="15"/>
      <c r="N2753" s="18"/>
      <c r="O2753" s="14"/>
      <c r="P2753" s="17">
        <v>2</v>
      </c>
      <c r="Q2753" s="19">
        <v>51</v>
      </c>
      <c r="R2753" s="14">
        <v>2000</v>
      </c>
      <c r="S2753" s="19">
        <v>102000</v>
      </c>
      <c r="T2753" s="17">
        <v>1</v>
      </c>
      <c r="U2753" s="17" t="s">
        <v>57</v>
      </c>
      <c r="V2753" s="17" t="s">
        <v>56</v>
      </c>
      <c r="W2753" s="4">
        <v>104</v>
      </c>
      <c r="X2753" s="17"/>
      <c r="Y2753" s="4">
        <v>104</v>
      </c>
      <c r="Z2753" s="17"/>
      <c r="AA2753" s="17"/>
      <c r="AB2753" s="17"/>
      <c r="AC2753" s="14"/>
      <c r="AD2753" s="14"/>
      <c r="AE2753" s="17"/>
      <c r="AF2753" s="14"/>
      <c r="AG2753" s="54"/>
      <c r="AH2753" s="11"/>
      <c r="AI2753" s="14"/>
      <c r="AJ2753" s="19">
        <v>0</v>
      </c>
      <c r="AK2753" s="23">
        <v>0</v>
      </c>
      <c r="AL2753" s="11"/>
      <c r="AM2753" s="19">
        <v>0</v>
      </c>
      <c r="AN2753" s="19">
        <v>102000</v>
      </c>
      <c r="AO2753" s="14"/>
      <c r="AP2753" s="14">
        <v>102000</v>
      </c>
      <c r="AQ2753" s="12"/>
      <c r="AS2753" s="26"/>
    </row>
    <row r="2754" spans="1:45" s="19" customFormat="1" x14ac:dyDescent="0.2">
      <c r="A2754" s="2">
        <v>2341</v>
      </c>
      <c r="B2754" s="13">
        <v>2</v>
      </c>
      <c r="C2754" s="17" t="s">
        <v>52</v>
      </c>
      <c r="D2754" s="17">
        <v>1219</v>
      </c>
      <c r="E2754" s="17">
        <v>15</v>
      </c>
      <c r="F2754" s="17">
        <v>1395</v>
      </c>
      <c r="G2754" s="13"/>
      <c r="H2754" s="17">
        <v>7</v>
      </c>
      <c r="I2754" s="17">
        <v>2</v>
      </c>
      <c r="J2754" s="17">
        <v>68</v>
      </c>
      <c r="K2754" s="10">
        <v>3068</v>
      </c>
      <c r="L2754" s="17"/>
      <c r="M2754" s="15"/>
      <c r="N2754" s="18"/>
      <c r="O2754" s="14"/>
      <c r="P2754" s="17">
        <v>1</v>
      </c>
      <c r="Q2754" s="19">
        <v>3068</v>
      </c>
      <c r="R2754" s="14">
        <v>200</v>
      </c>
      <c r="S2754" s="19">
        <v>613600</v>
      </c>
      <c r="T2754" s="17"/>
      <c r="U2754" s="17"/>
      <c r="V2754" s="17"/>
      <c r="W2754" s="4"/>
      <c r="X2754" s="17"/>
      <c r="Y2754" s="4"/>
      <c r="Z2754" s="17"/>
      <c r="AA2754" s="17"/>
      <c r="AB2754" s="17"/>
      <c r="AC2754" s="14"/>
      <c r="AD2754" s="14"/>
      <c r="AE2754" s="17"/>
      <c r="AF2754" s="14"/>
      <c r="AG2754" s="54"/>
      <c r="AH2754" s="11"/>
      <c r="AI2754" s="14"/>
      <c r="AJ2754" s="19">
        <v>0</v>
      </c>
      <c r="AK2754" s="23">
        <v>0</v>
      </c>
      <c r="AL2754" s="11"/>
      <c r="AM2754" s="19">
        <v>0</v>
      </c>
      <c r="AN2754" s="19">
        <v>613600</v>
      </c>
      <c r="AO2754" s="14"/>
      <c r="AP2754" s="14">
        <v>613600</v>
      </c>
      <c r="AQ2754" s="12"/>
      <c r="AS2754" s="26"/>
    </row>
    <row r="2755" spans="1:45" s="19" customFormat="1" x14ac:dyDescent="0.2">
      <c r="A2755" s="2"/>
      <c r="B2755" s="13"/>
      <c r="C2755" s="17"/>
      <c r="D2755" s="17"/>
      <c r="E2755" s="17"/>
      <c r="F2755" s="17"/>
      <c r="G2755" s="13"/>
      <c r="H2755" s="17"/>
      <c r="I2755" s="17"/>
      <c r="J2755" s="17"/>
      <c r="K2755" s="10"/>
      <c r="L2755" s="17"/>
      <c r="M2755" s="15"/>
      <c r="N2755" s="18"/>
      <c r="O2755" s="14"/>
      <c r="P2755" s="17"/>
      <c r="R2755" s="14"/>
      <c r="T2755" s="17"/>
      <c r="U2755" s="17"/>
      <c r="V2755" s="17"/>
      <c r="W2755" s="4"/>
      <c r="X2755" s="17"/>
      <c r="Y2755" s="4"/>
      <c r="Z2755" s="17"/>
      <c r="AA2755" s="17"/>
      <c r="AB2755" s="17"/>
      <c r="AC2755" s="14"/>
      <c r="AD2755" s="14"/>
      <c r="AE2755" s="17"/>
      <c r="AF2755" s="14"/>
      <c r="AG2755" s="54"/>
      <c r="AH2755" s="11"/>
      <c r="AI2755" s="14"/>
      <c r="AK2755" s="23"/>
      <c r="AL2755" s="11"/>
      <c r="AO2755" s="14"/>
      <c r="AP2755" s="14"/>
      <c r="AQ2755" s="12"/>
      <c r="AS2755" s="26"/>
    </row>
    <row r="2756" spans="1:45" s="19" customFormat="1" x14ac:dyDescent="0.2">
      <c r="A2756" s="2">
        <v>2342</v>
      </c>
      <c r="B2756" s="13">
        <v>1</v>
      </c>
      <c r="C2756" s="17" t="s">
        <v>52</v>
      </c>
      <c r="D2756" s="17">
        <v>2465</v>
      </c>
      <c r="E2756" s="17">
        <v>13</v>
      </c>
      <c r="F2756" s="17">
        <v>1300</v>
      </c>
      <c r="G2756" s="13">
        <v>2</v>
      </c>
      <c r="H2756" s="17">
        <v>4</v>
      </c>
      <c r="I2756" s="17">
        <v>2</v>
      </c>
      <c r="J2756" s="17">
        <v>39.03</v>
      </c>
      <c r="K2756" s="10">
        <v>1839.03</v>
      </c>
      <c r="L2756" s="17"/>
      <c r="M2756" s="15"/>
      <c r="N2756" s="18"/>
      <c r="O2756" s="14"/>
      <c r="P2756" s="17">
        <v>1</v>
      </c>
      <c r="Q2756" s="19">
        <v>1839.03</v>
      </c>
      <c r="R2756" s="14">
        <v>160</v>
      </c>
      <c r="S2756" s="19">
        <v>294244.8</v>
      </c>
      <c r="T2756" s="17"/>
      <c r="U2756" s="17"/>
      <c r="V2756" s="17"/>
      <c r="W2756" s="4"/>
      <c r="X2756" s="17"/>
      <c r="Y2756" s="4"/>
      <c r="Z2756" s="17"/>
      <c r="AA2756" s="17"/>
      <c r="AB2756" s="17"/>
      <c r="AC2756" s="14"/>
      <c r="AD2756" s="14"/>
      <c r="AE2756" s="17"/>
      <c r="AF2756" s="14"/>
      <c r="AG2756" s="54"/>
      <c r="AH2756" s="11"/>
      <c r="AI2756" s="14"/>
      <c r="AJ2756" s="19">
        <v>0</v>
      </c>
      <c r="AK2756" s="23">
        <v>0</v>
      </c>
      <c r="AL2756" s="11"/>
      <c r="AM2756" s="19">
        <v>0</v>
      </c>
      <c r="AN2756" s="19">
        <v>294244.8</v>
      </c>
      <c r="AO2756" s="14"/>
      <c r="AP2756" s="14">
        <v>294244.8</v>
      </c>
      <c r="AQ2756" s="12"/>
      <c r="AS2756" s="26"/>
    </row>
    <row r="2757" spans="1:45" s="19" customFormat="1" x14ac:dyDescent="0.2">
      <c r="A2757" s="2">
        <v>2343</v>
      </c>
      <c r="B2757" s="13">
        <v>1</v>
      </c>
      <c r="C2757" s="17" t="s">
        <v>52</v>
      </c>
      <c r="D2757" s="17">
        <v>31075</v>
      </c>
      <c r="E2757" s="17">
        <v>135</v>
      </c>
      <c r="F2757" s="17">
        <v>6025</v>
      </c>
      <c r="G2757" s="13">
        <v>2</v>
      </c>
      <c r="H2757" s="17">
        <v>0</v>
      </c>
      <c r="I2757" s="17">
        <v>0</v>
      </c>
      <c r="J2757" s="17">
        <v>72.09</v>
      </c>
      <c r="K2757" s="10"/>
      <c r="L2757" s="17">
        <v>72.09</v>
      </c>
      <c r="M2757" s="15"/>
      <c r="N2757" s="18"/>
      <c r="O2757" s="14"/>
      <c r="P2757" s="17">
        <v>2</v>
      </c>
      <c r="Q2757" s="19">
        <v>72.09</v>
      </c>
      <c r="R2757" s="14">
        <v>250</v>
      </c>
      <c r="S2757" s="19">
        <v>18022.5</v>
      </c>
      <c r="T2757" s="17"/>
      <c r="U2757" s="17"/>
      <c r="V2757" s="17"/>
      <c r="W2757" s="4"/>
      <c r="X2757" s="17"/>
      <c r="Y2757" s="4"/>
      <c r="Z2757" s="17"/>
      <c r="AA2757" s="17"/>
      <c r="AB2757" s="17"/>
      <c r="AC2757" s="14"/>
      <c r="AD2757" s="14"/>
      <c r="AE2757" s="17"/>
      <c r="AF2757" s="14"/>
      <c r="AG2757" s="54"/>
      <c r="AH2757" s="11"/>
      <c r="AI2757" s="14"/>
      <c r="AJ2757" s="19">
        <v>0</v>
      </c>
      <c r="AK2757" s="23">
        <v>0</v>
      </c>
      <c r="AL2757" s="11"/>
      <c r="AM2757" s="19">
        <v>0</v>
      </c>
      <c r="AN2757" s="19">
        <v>18022.5</v>
      </c>
      <c r="AO2757" s="14"/>
      <c r="AP2757" s="14">
        <v>18022.5</v>
      </c>
      <c r="AQ2757" s="12"/>
      <c r="AS2757" s="26"/>
    </row>
    <row r="2758" spans="1:45" s="19" customFormat="1" ht="63" x14ac:dyDescent="0.2">
      <c r="A2758" s="2">
        <v>2344</v>
      </c>
      <c r="B2758" s="13">
        <v>1</v>
      </c>
      <c r="C2758" s="17" t="s">
        <v>52</v>
      </c>
      <c r="D2758" s="17">
        <v>1448</v>
      </c>
      <c r="E2758" s="17">
        <v>22</v>
      </c>
      <c r="F2758" s="17">
        <v>903</v>
      </c>
      <c r="G2758" s="13">
        <v>2</v>
      </c>
      <c r="H2758" s="17">
        <v>0</v>
      </c>
      <c r="I2758" s="17">
        <v>1</v>
      </c>
      <c r="J2758" s="17">
        <v>23</v>
      </c>
      <c r="K2758" s="10"/>
      <c r="L2758" s="17">
        <v>123</v>
      </c>
      <c r="M2758" s="15"/>
      <c r="N2758" s="18"/>
      <c r="O2758" s="14"/>
      <c r="P2758" s="17">
        <v>2</v>
      </c>
      <c r="Q2758" s="19">
        <v>123</v>
      </c>
      <c r="R2758" s="14">
        <v>2000</v>
      </c>
      <c r="S2758" s="19">
        <v>246000</v>
      </c>
      <c r="T2758" s="17">
        <v>1</v>
      </c>
      <c r="U2758" s="17" t="s">
        <v>57</v>
      </c>
      <c r="V2758" s="17" t="s">
        <v>56</v>
      </c>
      <c r="W2758" s="4">
        <v>192</v>
      </c>
      <c r="X2758" s="17"/>
      <c r="Y2758" s="4">
        <v>192</v>
      </c>
      <c r="Z2758" s="17"/>
      <c r="AA2758" s="17"/>
      <c r="AB2758" s="17">
        <v>37</v>
      </c>
      <c r="AC2758" s="14"/>
      <c r="AD2758" s="14"/>
      <c r="AE2758" s="17"/>
      <c r="AF2758" s="14"/>
      <c r="AG2758" s="54"/>
      <c r="AH2758" s="11"/>
      <c r="AI2758" s="14"/>
      <c r="AJ2758" s="19">
        <v>0</v>
      </c>
      <c r="AK2758" s="23">
        <v>37</v>
      </c>
      <c r="AL2758" s="11"/>
      <c r="AM2758" s="19">
        <v>0</v>
      </c>
      <c r="AN2758" s="19">
        <v>246000</v>
      </c>
      <c r="AO2758" s="14"/>
      <c r="AP2758" s="14">
        <v>246000</v>
      </c>
      <c r="AQ2758" s="12"/>
      <c r="AS2758" s="26"/>
    </row>
    <row r="2759" spans="1:45" s="19" customFormat="1" ht="63" x14ac:dyDescent="0.2">
      <c r="A2759" s="2">
        <v>2345</v>
      </c>
      <c r="B2759" s="13">
        <v>2</v>
      </c>
      <c r="C2759" s="17" t="s">
        <v>52</v>
      </c>
      <c r="D2759" s="17">
        <v>1194</v>
      </c>
      <c r="E2759" s="17">
        <v>14</v>
      </c>
      <c r="F2759" s="17">
        <v>912</v>
      </c>
      <c r="G2759" s="13"/>
      <c r="H2759" s="17">
        <v>0</v>
      </c>
      <c r="I2759" s="17">
        <v>0</v>
      </c>
      <c r="J2759" s="17">
        <v>88</v>
      </c>
      <c r="K2759" s="10"/>
      <c r="L2759" s="17">
        <v>88</v>
      </c>
      <c r="M2759" s="15"/>
      <c r="N2759" s="18"/>
      <c r="O2759" s="14"/>
      <c r="P2759" s="17">
        <v>2</v>
      </c>
      <c r="Q2759" s="19">
        <v>88</v>
      </c>
      <c r="R2759" s="14">
        <v>1500</v>
      </c>
      <c r="S2759" s="19">
        <v>132000</v>
      </c>
      <c r="T2759" s="17">
        <v>1</v>
      </c>
      <c r="U2759" s="17" t="s">
        <v>57</v>
      </c>
      <c r="V2759" s="17" t="s">
        <v>84</v>
      </c>
      <c r="W2759" s="4">
        <v>112.5</v>
      </c>
      <c r="X2759" s="17"/>
      <c r="Y2759" s="4">
        <v>112.5</v>
      </c>
      <c r="Z2759" s="17"/>
      <c r="AA2759" s="17"/>
      <c r="AB2759" s="17"/>
      <c r="AC2759" s="14"/>
      <c r="AD2759" s="14"/>
      <c r="AE2759" s="17"/>
      <c r="AF2759" s="14"/>
      <c r="AG2759" s="54"/>
      <c r="AH2759" s="11"/>
      <c r="AI2759" s="14"/>
      <c r="AJ2759" s="19">
        <v>0</v>
      </c>
      <c r="AK2759" s="23">
        <v>0</v>
      </c>
      <c r="AL2759" s="11"/>
      <c r="AM2759" s="19">
        <v>0</v>
      </c>
      <c r="AN2759" s="19">
        <v>132000</v>
      </c>
      <c r="AO2759" s="14"/>
      <c r="AP2759" s="14">
        <v>132000</v>
      </c>
      <c r="AQ2759" s="12"/>
      <c r="AS2759" s="26"/>
    </row>
    <row r="2760" spans="1:45" s="19" customFormat="1" x14ac:dyDescent="0.2">
      <c r="A2760" s="2">
        <v>2346</v>
      </c>
      <c r="B2760" s="13">
        <v>3</v>
      </c>
      <c r="C2760" s="17" t="s">
        <v>69</v>
      </c>
      <c r="D2760" s="17"/>
      <c r="E2760" s="17">
        <v>1513</v>
      </c>
      <c r="F2760" s="17">
        <v>8</v>
      </c>
      <c r="G2760" s="13">
        <v>2</v>
      </c>
      <c r="H2760" s="17">
        <v>35</v>
      </c>
      <c r="I2760" s="17">
        <v>1</v>
      </c>
      <c r="J2760" s="17">
        <v>23</v>
      </c>
      <c r="K2760" s="10">
        <v>14123</v>
      </c>
      <c r="L2760" s="17"/>
      <c r="M2760" s="15"/>
      <c r="N2760" s="18"/>
      <c r="O2760" s="14"/>
      <c r="P2760" s="17">
        <v>1</v>
      </c>
      <c r="Q2760" s="19">
        <v>14123</v>
      </c>
      <c r="R2760" s="14">
        <v>160</v>
      </c>
      <c r="S2760" s="19">
        <v>2259680</v>
      </c>
      <c r="T2760" s="17"/>
      <c r="U2760" s="17"/>
      <c r="V2760" s="17"/>
      <c r="W2760" s="4"/>
      <c r="X2760" s="17"/>
      <c r="Y2760" s="4"/>
      <c r="Z2760" s="17"/>
      <c r="AA2760" s="17"/>
      <c r="AB2760" s="17"/>
      <c r="AC2760" s="14"/>
      <c r="AD2760" s="14"/>
      <c r="AE2760" s="17"/>
      <c r="AF2760" s="14"/>
      <c r="AG2760" s="54"/>
      <c r="AH2760" s="11"/>
      <c r="AI2760" s="14"/>
      <c r="AJ2760" s="19">
        <v>0</v>
      </c>
      <c r="AK2760" s="23">
        <v>0</v>
      </c>
      <c r="AL2760" s="11"/>
      <c r="AM2760" s="19">
        <v>0</v>
      </c>
      <c r="AN2760" s="19">
        <v>2259680</v>
      </c>
      <c r="AO2760" s="14"/>
      <c r="AP2760" s="14">
        <v>2259680</v>
      </c>
      <c r="AQ2760" s="12">
        <v>1E-4</v>
      </c>
      <c r="AS2760" s="26"/>
    </row>
    <row r="2761" spans="1:45" s="19" customFormat="1" ht="42" x14ac:dyDescent="0.2">
      <c r="A2761" s="2">
        <v>2347</v>
      </c>
      <c r="B2761" s="13">
        <v>1</v>
      </c>
      <c r="C2761" s="17" t="s">
        <v>52</v>
      </c>
      <c r="D2761" s="17">
        <v>31914</v>
      </c>
      <c r="E2761" s="17">
        <v>185</v>
      </c>
      <c r="F2761" s="17">
        <v>6141</v>
      </c>
      <c r="G2761" s="13">
        <v>2</v>
      </c>
      <c r="H2761" s="17">
        <v>0</v>
      </c>
      <c r="I2761" s="17">
        <v>0</v>
      </c>
      <c r="J2761" s="17">
        <v>45.04</v>
      </c>
      <c r="K2761" s="10"/>
      <c r="L2761" s="17"/>
      <c r="M2761" s="15" t="s">
        <v>245</v>
      </c>
      <c r="N2761" s="18"/>
      <c r="O2761" s="14"/>
      <c r="P2761" s="17">
        <v>3</v>
      </c>
      <c r="Q2761" s="19">
        <v>45.04</v>
      </c>
      <c r="R2761" s="14">
        <v>4500</v>
      </c>
      <c r="S2761" s="19">
        <v>202680</v>
      </c>
      <c r="T2761" s="17">
        <v>1</v>
      </c>
      <c r="U2761" s="17" t="s">
        <v>155</v>
      </c>
      <c r="V2761" s="17" t="s">
        <v>56</v>
      </c>
      <c r="W2761" s="4">
        <v>90</v>
      </c>
      <c r="X2761" s="17"/>
      <c r="Y2761" s="4" t="s">
        <v>156</v>
      </c>
      <c r="Z2761" s="17"/>
      <c r="AA2761" s="17"/>
      <c r="AB2761" s="17">
        <v>15</v>
      </c>
      <c r="AC2761" s="14"/>
      <c r="AD2761" s="14"/>
      <c r="AE2761" s="17"/>
      <c r="AF2761" s="14">
        <v>3</v>
      </c>
      <c r="AG2761" s="54">
        <v>90</v>
      </c>
      <c r="AH2761" s="11">
        <v>1</v>
      </c>
      <c r="AI2761" s="14">
        <v>5800</v>
      </c>
      <c r="AJ2761" s="19">
        <v>522000</v>
      </c>
      <c r="AK2761" s="23">
        <v>15</v>
      </c>
      <c r="AL2761" s="11">
        <v>0.2</v>
      </c>
      <c r="AM2761" s="19">
        <v>417600</v>
      </c>
      <c r="AN2761" s="19">
        <v>620280</v>
      </c>
      <c r="AO2761" s="14"/>
      <c r="AP2761" s="14">
        <v>620280</v>
      </c>
      <c r="AQ2761" s="12">
        <v>3.0000000000000001E-3</v>
      </c>
      <c r="AS2761" s="26"/>
    </row>
    <row r="2762" spans="1:45" s="19" customFormat="1" ht="63" x14ac:dyDescent="0.2">
      <c r="A2762" s="2">
        <v>2348</v>
      </c>
      <c r="B2762" s="13">
        <v>2</v>
      </c>
      <c r="C2762" s="17" t="s">
        <v>52</v>
      </c>
      <c r="D2762" s="17">
        <v>31923</v>
      </c>
      <c r="E2762" s="17">
        <v>199</v>
      </c>
      <c r="F2762" s="17">
        <v>6150</v>
      </c>
      <c r="G2762" s="13">
        <v>2</v>
      </c>
      <c r="H2762" s="17">
        <v>0</v>
      </c>
      <c r="I2762" s="17">
        <v>0</v>
      </c>
      <c r="J2762" s="17">
        <v>94.01</v>
      </c>
      <c r="K2762" s="10"/>
      <c r="L2762" s="17">
        <v>94.01</v>
      </c>
      <c r="M2762" s="15"/>
      <c r="N2762" s="18"/>
      <c r="O2762" s="14"/>
      <c r="P2762" s="17">
        <v>2</v>
      </c>
      <c r="Q2762" s="19">
        <v>94.01</v>
      </c>
      <c r="R2762" s="14">
        <v>250</v>
      </c>
      <c r="S2762" s="19">
        <v>23502.5</v>
      </c>
      <c r="T2762" s="17">
        <v>1</v>
      </c>
      <c r="U2762" s="17" t="s">
        <v>57</v>
      </c>
      <c r="V2762" s="17" t="s">
        <v>56</v>
      </c>
      <c r="W2762" s="4">
        <v>120</v>
      </c>
      <c r="X2762" s="17"/>
      <c r="Y2762" s="4">
        <v>120</v>
      </c>
      <c r="Z2762" s="17"/>
      <c r="AA2762" s="17"/>
      <c r="AB2762" s="17"/>
      <c r="AC2762" s="14"/>
      <c r="AD2762" s="14"/>
      <c r="AE2762" s="17"/>
      <c r="AF2762" s="14"/>
      <c r="AG2762" s="54"/>
      <c r="AH2762" s="11"/>
      <c r="AI2762" s="14"/>
      <c r="AJ2762" s="19">
        <v>0</v>
      </c>
      <c r="AK2762" s="23">
        <v>0</v>
      </c>
      <c r="AL2762" s="11"/>
      <c r="AM2762" s="19">
        <v>0</v>
      </c>
      <c r="AN2762" s="19">
        <v>23502.5</v>
      </c>
      <c r="AO2762" s="14"/>
      <c r="AP2762" s="14">
        <v>23502.5</v>
      </c>
      <c r="AQ2762" s="12"/>
      <c r="AS2762" s="26"/>
    </row>
    <row r="2763" spans="1:45" s="19" customFormat="1" x14ac:dyDescent="0.2">
      <c r="A2763" s="2">
        <v>2349</v>
      </c>
      <c r="B2763" s="13">
        <v>3</v>
      </c>
      <c r="C2763" s="17" t="s">
        <v>65</v>
      </c>
      <c r="D2763" s="17">
        <v>1117</v>
      </c>
      <c r="E2763" s="17">
        <v>26</v>
      </c>
      <c r="F2763" s="17"/>
      <c r="G2763" s="13"/>
      <c r="H2763" s="17">
        <v>10</v>
      </c>
      <c r="I2763" s="17">
        <v>3</v>
      </c>
      <c r="J2763" s="17">
        <v>0</v>
      </c>
      <c r="K2763" s="10">
        <v>4300</v>
      </c>
      <c r="L2763" s="17"/>
      <c r="M2763" s="15"/>
      <c r="N2763" s="18"/>
      <c r="O2763" s="14"/>
      <c r="P2763" s="17">
        <v>1</v>
      </c>
      <c r="Q2763" s="19">
        <v>4300</v>
      </c>
      <c r="R2763" s="14">
        <v>160</v>
      </c>
      <c r="S2763" s="19">
        <v>688000</v>
      </c>
      <c r="T2763" s="17"/>
      <c r="U2763" s="17"/>
      <c r="V2763" s="17"/>
      <c r="W2763" s="4"/>
      <c r="X2763" s="17"/>
      <c r="Y2763" s="4"/>
      <c r="Z2763" s="17"/>
      <c r="AA2763" s="17"/>
      <c r="AB2763" s="17"/>
      <c r="AC2763" s="14"/>
      <c r="AD2763" s="14"/>
      <c r="AE2763" s="17"/>
      <c r="AF2763" s="14"/>
      <c r="AG2763" s="54"/>
      <c r="AH2763" s="11"/>
      <c r="AI2763" s="14"/>
      <c r="AJ2763" s="19">
        <v>0</v>
      </c>
      <c r="AK2763" s="23">
        <v>0</v>
      </c>
      <c r="AL2763" s="11"/>
      <c r="AM2763" s="19">
        <v>0</v>
      </c>
      <c r="AN2763" s="19">
        <v>688000</v>
      </c>
      <c r="AO2763" s="14"/>
      <c r="AP2763" s="14">
        <v>688000</v>
      </c>
      <c r="AQ2763" s="12">
        <v>1E-4</v>
      </c>
      <c r="AS2763" s="26"/>
    </row>
    <row r="2764" spans="1:45" s="19" customFormat="1" x14ac:dyDescent="0.2">
      <c r="A2764" s="2">
        <v>2350</v>
      </c>
      <c r="B2764" s="13">
        <v>4</v>
      </c>
      <c r="C2764" s="17" t="s">
        <v>65</v>
      </c>
      <c r="D2764" s="17">
        <v>3368</v>
      </c>
      <c r="E2764" s="17">
        <v>605</v>
      </c>
      <c r="F2764" s="17"/>
      <c r="G2764" s="13"/>
      <c r="H2764" s="17">
        <v>0</v>
      </c>
      <c r="I2764" s="17">
        <v>0</v>
      </c>
      <c r="J2764" s="17">
        <v>48</v>
      </c>
      <c r="K2764" s="10">
        <v>48</v>
      </c>
      <c r="L2764" s="17"/>
      <c r="M2764" s="15"/>
      <c r="N2764" s="18"/>
      <c r="O2764" s="14"/>
      <c r="P2764" s="17"/>
      <c r="Q2764" s="19">
        <v>48</v>
      </c>
      <c r="R2764" s="14">
        <v>250</v>
      </c>
      <c r="S2764" s="19">
        <v>12000</v>
      </c>
      <c r="T2764" s="17"/>
      <c r="U2764" s="17"/>
      <c r="V2764" s="17"/>
      <c r="W2764" s="4"/>
      <c r="X2764" s="17"/>
      <c r="Y2764" s="4"/>
      <c r="Z2764" s="17"/>
      <c r="AA2764" s="17"/>
      <c r="AB2764" s="17"/>
      <c r="AC2764" s="14"/>
      <c r="AD2764" s="14"/>
      <c r="AE2764" s="17" t="s">
        <v>95</v>
      </c>
      <c r="AF2764" s="14"/>
      <c r="AG2764" s="54"/>
      <c r="AH2764" s="11"/>
      <c r="AI2764" s="14"/>
      <c r="AJ2764" s="19">
        <v>0</v>
      </c>
      <c r="AK2764" s="23">
        <v>0</v>
      </c>
      <c r="AL2764" s="11"/>
      <c r="AM2764" s="19">
        <v>0</v>
      </c>
      <c r="AN2764" s="19">
        <v>12000</v>
      </c>
      <c r="AO2764" s="14"/>
      <c r="AP2764" s="14">
        <v>12000</v>
      </c>
      <c r="AQ2764" s="12">
        <v>1E-4</v>
      </c>
      <c r="AS2764" s="26"/>
    </row>
    <row r="2765" spans="1:45" s="19" customFormat="1" x14ac:dyDescent="0.2">
      <c r="A2765" s="2">
        <v>2351</v>
      </c>
      <c r="B2765" s="13">
        <v>5</v>
      </c>
      <c r="C2765" s="17" t="s">
        <v>65</v>
      </c>
      <c r="D2765" s="17">
        <v>3371</v>
      </c>
      <c r="E2765" s="17">
        <v>608</v>
      </c>
      <c r="F2765" s="17"/>
      <c r="G2765" s="13"/>
      <c r="H2765" s="17">
        <v>0</v>
      </c>
      <c r="I2765" s="17">
        <v>0</v>
      </c>
      <c r="J2765" s="17">
        <v>77</v>
      </c>
      <c r="K2765" s="10">
        <v>77</v>
      </c>
      <c r="L2765" s="17"/>
      <c r="M2765" s="15"/>
      <c r="N2765" s="18"/>
      <c r="O2765" s="14"/>
      <c r="P2765" s="17"/>
      <c r="Q2765" s="19">
        <v>77</v>
      </c>
      <c r="R2765" s="14">
        <v>200</v>
      </c>
      <c r="S2765" s="19">
        <v>15400</v>
      </c>
      <c r="T2765" s="17"/>
      <c r="U2765" s="17"/>
      <c r="V2765" s="17"/>
      <c r="W2765" s="4"/>
      <c r="X2765" s="17"/>
      <c r="Y2765" s="4"/>
      <c r="Z2765" s="17"/>
      <c r="AA2765" s="17"/>
      <c r="AB2765" s="17"/>
      <c r="AC2765" s="14"/>
      <c r="AD2765" s="14"/>
      <c r="AE2765" s="17" t="s">
        <v>95</v>
      </c>
      <c r="AF2765" s="14"/>
      <c r="AG2765" s="54"/>
      <c r="AH2765" s="11"/>
      <c r="AI2765" s="14"/>
      <c r="AJ2765" s="19">
        <v>0</v>
      </c>
      <c r="AK2765" s="23">
        <v>0</v>
      </c>
      <c r="AL2765" s="11"/>
      <c r="AM2765" s="19">
        <v>0</v>
      </c>
      <c r="AN2765" s="19">
        <v>15400</v>
      </c>
      <c r="AO2765" s="14"/>
      <c r="AP2765" s="14">
        <v>15400</v>
      </c>
      <c r="AQ2765" s="12">
        <v>1E-4</v>
      </c>
      <c r="AS2765" s="26"/>
    </row>
    <row r="2766" spans="1:45" s="19" customFormat="1" x14ac:dyDescent="0.2">
      <c r="A2766" s="2">
        <v>2352</v>
      </c>
      <c r="B2766" s="13">
        <v>1</v>
      </c>
      <c r="C2766" s="17" t="s">
        <v>52</v>
      </c>
      <c r="D2766" s="17">
        <v>29758</v>
      </c>
      <c r="E2766" s="17">
        <v>155</v>
      </c>
      <c r="F2766" s="17">
        <v>5348</v>
      </c>
      <c r="G2766" s="13">
        <v>2</v>
      </c>
      <c r="H2766" s="17">
        <v>0</v>
      </c>
      <c r="I2766" s="17">
        <v>0</v>
      </c>
      <c r="J2766" s="17">
        <v>58</v>
      </c>
      <c r="K2766" s="10"/>
      <c r="L2766" s="17"/>
      <c r="M2766" s="15"/>
      <c r="N2766" s="18">
        <v>58</v>
      </c>
      <c r="O2766" s="14"/>
      <c r="P2766" s="17">
        <v>4</v>
      </c>
      <c r="Q2766" s="19">
        <v>58</v>
      </c>
      <c r="R2766" s="14">
        <v>160</v>
      </c>
      <c r="S2766" s="19">
        <v>9280</v>
      </c>
      <c r="T2766" s="17"/>
      <c r="U2766" s="17"/>
      <c r="V2766" s="17"/>
      <c r="W2766" s="4"/>
      <c r="X2766" s="17"/>
      <c r="Y2766" s="4"/>
      <c r="Z2766" s="17"/>
      <c r="AA2766" s="17"/>
      <c r="AB2766" s="17"/>
      <c r="AC2766" s="14"/>
      <c r="AD2766" s="14"/>
      <c r="AE2766" s="17"/>
      <c r="AF2766" s="14"/>
      <c r="AG2766" s="54"/>
      <c r="AH2766" s="11"/>
      <c r="AI2766" s="14"/>
      <c r="AJ2766" s="19">
        <v>0</v>
      </c>
      <c r="AK2766" s="23">
        <v>0</v>
      </c>
      <c r="AL2766" s="11"/>
      <c r="AM2766" s="19">
        <v>0</v>
      </c>
      <c r="AN2766" s="19">
        <v>9280</v>
      </c>
      <c r="AO2766" s="14"/>
      <c r="AP2766" s="14">
        <v>9280</v>
      </c>
      <c r="AQ2766" s="12">
        <v>3.0000000000000001E-3</v>
      </c>
      <c r="AS2766" s="26"/>
    </row>
    <row r="2767" spans="1:45" s="19" customFormat="1" x14ac:dyDescent="0.2">
      <c r="A2767" s="2">
        <v>2353</v>
      </c>
      <c r="B2767" s="13">
        <v>2</v>
      </c>
      <c r="C2767" s="17" t="s">
        <v>52</v>
      </c>
      <c r="D2767" s="17">
        <v>31655</v>
      </c>
      <c r="E2767" s="17">
        <v>163</v>
      </c>
      <c r="F2767" s="17">
        <v>6237</v>
      </c>
      <c r="G2767" s="13">
        <v>2</v>
      </c>
      <c r="H2767" s="17">
        <v>0</v>
      </c>
      <c r="I2767" s="17">
        <v>0</v>
      </c>
      <c r="J2767" s="17">
        <v>50</v>
      </c>
      <c r="K2767" s="10"/>
      <c r="L2767" s="17"/>
      <c r="M2767" s="15"/>
      <c r="N2767" s="18">
        <v>50</v>
      </c>
      <c r="O2767" s="14"/>
      <c r="P2767" s="17">
        <v>4</v>
      </c>
      <c r="Q2767" s="19">
        <v>50</v>
      </c>
      <c r="R2767" s="14">
        <v>160</v>
      </c>
      <c r="S2767" s="19">
        <v>8000</v>
      </c>
      <c r="T2767" s="17"/>
      <c r="U2767" s="17"/>
      <c r="V2767" s="17"/>
      <c r="W2767" s="4"/>
      <c r="X2767" s="17"/>
      <c r="Y2767" s="4"/>
      <c r="Z2767" s="17"/>
      <c r="AA2767" s="17"/>
      <c r="AB2767" s="17"/>
      <c r="AC2767" s="14"/>
      <c r="AD2767" s="14"/>
      <c r="AE2767" s="17"/>
      <c r="AF2767" s="14"/>
      <c r="AG2767" s="54"/>
      <c r="AH2767" s="11"/>
      <c r="AI2767" s="14"/>
      <c r="AJ2767" s="19">
        <v>0</v>
      </c>
      <c r="AK2767" s="23">
        <v>0</v>
      </c>
      <c r="AL2767" s="11"/>
      <c r="AM2767" s="19">
        <v>0</v>
      </c>
      <c r="AN2767" s="19">
        <v>8000</v>
      </c>
      <c r="AO2767" s="14"/>
      <c r="AP2767" s="14">
        <v>8000</v>
      </c>
      <c r="AQ2767" s="12">
        <v>3.0000000000000001E-3</v>
      </c>
      <c r="AS2767" s="26"/>
    </row>
    <row r="2768" spans="1:45" s="19" customFormat="1" x14ac:dyDescent="0.2">
      <c r="A2768" s="2">
        <v>2354</v>
      </c>
      <c r="B2768" s="13">
        <v>3</v>
      </c>
      <c r="C2768" s="17" t="s">
        <v>69</v>
      </c>
      <c r="D2768" s="17"/>
      <c r="E2768" s="17">
        <v>1520</v>
      </c>
      <c r="F2768" s="17">
        <v>2</v>
      </c>
      <c r="G2768" s="13">
        <v>2</v>
      </c>
      <c r="H2768" s="17">
        <v>9</v>
      </c>
      <c r="I2768" s="17">
        <v>3</v>
      </c>
      <c r="J2768" s="17">
        <v>23</v>
      </c>
      <c r="K2768" s="10">
        <v>3923</v>
      </c>
      <c r="L2768" s="17"/>
      <c r="M2768" s="15"/>
      <c r="N2768" s="18"/>
      <c r="O2768" s="14"/>
      <c r="P2768" s="17">
        <v>1</v>
      </c>
      <c r="Q2768" s="19">
        <v>3923</v>
      </c>
      <c r="R2768" s="14">
        <v>200</v>
      </c>
      <c r="S2768" s="19">
        <v>784600</v>
      </c>
      <c r="T2768" s="17"/>
      <c r="U2768" s="17"/>
      <c r="V2768" s="17"/>
      <c r="W2768" s="4"/>
      <c r="X2768" s="17"/>
      <c r="Y2768" s="4"/>
      <c r="Z2768" s="17"/>
      <c r="AA2768" s="17"/>
      <c r="AB2768" s="17"/>
      <c r="AC2768" s="14"/>
      <c r="AD2768" s="14"/>
      <c r="AE2768" s="17"/>
      <c r="AF2768" s="14"/>
      <c r="AG2768" s="54"/>
      <c r="AH2768" s="11"/>
      <c r="AI2768" s="14"/>
      <c r="AJ2768" s="19">
        <v>0</v>
      </c>
      <c r="AK2768" s="23">
        <v>0</v>
      </c>
      <c r="AL2768" s="11"/>
      <c r="AM2768" s="19">
        <v>0</v>
      </c>
      <c r="AN2768" s="19">
        <v>784600</v>
      </c>
      <c r="AO2768" s="14"/>
      <c r="AP2768" s="14">
        <v>784600</v>
      </c>
      <c r="AQ2768" s="12">
        <v>1E-4</v>
      </c>
      <c r="AS2768" s="26"/>
    </row>
    <row r="2769" spans="1:45" ht="63" x14ac:dyDescent="0.2">
      <c r="A2769" s="2">
        <v>2355</v>
      </c>
      <c r="B2769" s="13">
        <v>1</v>
      </c>
      <c r="C2769" s="17" t="s">
        <v>52</v>
      </c>
      <c r="D2769" s="17">
        <v>31915</v>
      </c>
      <c r="E2769" s="17">
        <v>186</v>
      </c>
      <c r="F2769" s="17">
        <v>6142</v>
      </c>
      <c r="G2769" s="13">
        <v>2</v>
      </c>
      <c r="H2769" s="17">
        <v>0</v>
      </c>
      <c r="I2769" s="17">
        <v>0</v>
      </c>
      <c r="J2769" s="17">
        <v>40</v>
      </c>
      <c r="M2769" s="15">
        <v>40</v>
      </c>
      <c r="P2769" s="17">
        <v>3</v>
      </c>
      <c r="Q2769" s="19">
        <v>40</v>
      </c>
      <c r="R2769" s="14">
        <v>4500</v>
      </c>
      <c r="S2769" s="19">
        <v>180000</v>
      </c>
      <c r="T2769" s="17">
        <v>1</v>
      </c>
      <c r="U2769" s="17" t="s">
        <v>57</v>
      </c>
      <c r="V2769" s="17" t="s">
        <v>56</v>
      </c>
      <c r="W2769" s="4">
        <v>90</v>
      </c>
      <c r="Z2769" s="17">
        <v>90</v>
      </c>
      <c r="AB2769" s="17">
        <v>15</v>
      </c>
      <c r="AF2769" s="14">
        <v>3</v>
      </c>
      <c r="AG2769" s="54">
        <v>90</v>
      </c>
      <c r="AH2769" s="11">
        <v>1</v>
      </c>
      <c r="AI2769" s="14">
        <v>5800</v>
      </c>
      <c r="AJ2769" s="19">
        <v>522000</v>
      </c>
      <c r="AK2769" s="23">
        <v>15</v>
      </c>
      <c r="AL2769" s="11">
        <v>0.2</v>
      </c>
      <c r="AM2769" s="19">
        <v>417600</v>
      </c>
      <c r="AN2769" s="19">
        <v>597600</v>
      </c>
      <c r="AP2769" s="14">
        <v>597600</v>
      </c>
      <c r="AQ2769" s="12">
        <v>3.0000000000000001E-3</v>
      </c>
    </row>
    <row r="2770" spans="1:45" x14ac:dyDescent="0.2">
      <c r="A2770" s="2">
        <v>2356</v>
      </c>
      <c r="B2770" s="13">
        <v>2</v>
      </c>
      <c r="C2770" s="17" t="s">
        <v>65</v>
      </c>
      <c r="D2770" s="17">
        <v>3369</v>
      </c>
      <c r="E2770" s="17">
        <v>606</v>
      </c>
      <c r="H2770" s="17">
        <v>0</v>
      </c>
      <c r="I2770" s="17">
        <v>0</v>
      </c>
      <c r="J2770" s="17">
        <v>48</v>
      </c>
      <c r="K2770" s="10">
        <v>48</v>
      </c>
      <c r="Q2770" s="19">
        <v>48</v>
      </c>
      <c r="R2770" s="14">
        <v>160</v>
      </c>
      <c r="S2770" s="19">
        <v>7680</v>
      </c>
      <c r="AE2770" s="17" t="s">
        <v>95</v>
      </c>
      <c r="AJ2770" s="19">
        <v>0</v>
      </c>
      <c r="AK2770" s="23">
        <v>0</v>
      </c>
      <c r="AM2770" s="19">
        <v>0</v>
      </c>
      <c r="AN2770" s="19">
        <v>7680</v>
      </c>
      <c r="AP2770" s="14">
        <v>7680</v>
      </c>
      <c r="AQ2770" s="12">
        <v>1E-4</v>
      </c>
    </row>
    <row r="2771" spans="1:45" x14ac:dyDescent="0.2">
      <c r="A2771" s="2">
        <v>2357</v>
      </c>
      <c r="B2771" s="13">
        <v>1</v>
      </c>
      <c r="C2771" s="17" t="s">
        <v>52</v>
      </c>
      <c r="D2771" s="17">
        <v>4612</v>
      </c>
      <c r="E2771" s="17">
        <v>71</v>
      </c>
      <c r="F2771" s="17">
        <v>2432</v>
      </c>
      <c r="G2771" s="13">
        <v>1</v>
      </c>
      <c r="H2771" s="17">
        <v>6</v>
      </c>
      <c r="I2771" s="17">
        <v>0</v>
      </c>
      <c r="J2771" s="17">
        <v>19</v>
      </c>
      <c r="K2771" s="10">
        <v>2419</v>
      </c>
      <c r="P2771" s="17">
        <v>1</v>
      </c>
      <c r="Q2771" s="19">
        <v>2419</v>
      </c>
      <c r="R2771" s="14">
        <v>160</v>
      </c>
      <c r="S2771" s="19">
        <v>387040</v>
      </c>
      <c r="AJ2771" s="19">
        <v>0</v>
      </c>
      <c r="AK2771" s="23">
        <v>0</v>
      </c>
      <c r="AM2771" s="19">
        <v>0</v>
      </c>
      <c r="AN2771" s="19">
        <v>387040</v>
      </c>
      <c r="AP2771" s="14">
        <v>387040</v>
      </c>
    </row>
    <row r="2772" spans="1:45" ht="63" x14ac:dyDescent="0.2">
      <c r="A2772" s="2">
        <v>2358</v>
      </c>
      <c r="B2772" s="13">
        <v>2</v>
      </c>
      <c r="C2772" s="17" t="s">
        <v>52</v>
      </c>
      <c r="D2772" s="17">
        <v>1449</v>
      </c>
      <c r="E2772" s="17">
        <v>23</v>
      </c>
      <c r="F2772" s="17">
        <v>904</v>
      </c>
      <c r="G2772" s="13">
        <v>2</v>
      </c>
      <c r="H2772" s="17">
        <v>0</v>
      </c>
      <c r="I2772" s="17">
        <v>0</v>
      </c>
      <c r="J2772" s="17">
        <v>31</v>
      </c>
      <c r="L2772" s="17">
        <v>31</v>
      </c>
      <c r="P2772" s="17">
        <v>2</v>
      </c>
      <c r="Q2772" s="19">
        <v>31</v>
      </c>
      <c r="R2772" s="14">
        <v>2000</v>
      </c>
      <c r="S2772" s="19">
        <v>62000</v>
      </c>
      <c r="T2772" s="17">
        <v>1</v>
      </c>
      <c r="U2772" s="17" t="s">
        <v>57</v>
      </c>
      <c r="V2772" s="17" t="s">
        <v>56</v>
      </c>
      <c r="W2772" s="4">
        <v>75</v>
      </c>
      <c r="Y2772" s="4">
        <v>75</v>
      </c>
      <c r="AJ2772" s="19">
        <v>0</v>
      </c>
      <c r="AK2772" s="23">
        <v>0</v>
      </c>
      <c r="AM2772" s="19">
        <v>0</v>
      </c>
      <c r="AN2772" s="19">
        <v>62000</v>
      </c>
      <c r="AP2772" s="14">
        <v>62000</v>
      </c>
    </row>
    <row r="2773" spans="1:45" x14ac:dyDescent="0.2">
      <c r="A2773" s="2">
        <v>2359</v>
      </c>
      <c r="B2773" s="13">
        <v>3</v>
      </c>
      <c r="C2773" s="17" t="s">
        <v>52</v>
      </c>
      <c r="D2773" s="17">
        <v>3768</v>
      </c>
      <c r="E2773" s="17">
        <v>35</v>
      </c>
      <c r="F2773" s="17">
        <v>2293</v>
      </c>
      <c r="G2773" s="13">
        <v>2</v>
      </c>
      <c r="H2773" s="17">
        <v>4</v>
      </c>
      <c r="I2773" s="17">
        <v>0</v>
      </c>
      <c r="J2773" s="17">
        <v>23</v>
      </c>
      <c r="K2773" s="10">
        <v>1623</v>
      </c>
      <c r="P2773" s="17">
        <v>1</v>
      </c>
      <c r="Q2773" s="19">
        <v>1623</v>
      </c>
      <c r="R2773" s="14">
        <v>200</v>
      </c>
      <c r="S2773" s="19">
        <v>324600</v>
      </c>
      <c r="AJ2773" s="19">
        <v>0</v>
      </c>
      <c r="AK2773" s="23">
        <v>0</v>
      </c>
      <c r="AM2773" s="19">
        <v>0</v>
      </c>
      <c r="AN2773" s="19">
        <v>324600</v>
      </c>
      <c r="AP2773" s="14">
        <v>324600</v>
      </c>
    </row>
    <row r="2774" spans="1:45" x14ac:dyDescent="0.2">
      <c r="A2774" s="2">
        <v>2360</v>
      </c>
      <c r="B2774" s="13">
        <v>1</v>
      </c>
      <c r="C2774" s="17" t="s">
        <v>52</v>
      </c>
      <c r="D2774" s="17">
        <v>15861</v>
      </c>
      <c r="E2774" s="17">
        <v>36</v>
      </c>
      <c r="F2774" s="17">
        <v>3451</v>
      </c>
      <c r="G2774" s="13">
        <v>3</v>
      </c>
      <c r="H2774" s="17">
        <v>2</v>
      </c>
      <c r="I2774" s="17">
        <v>3</v>
      </c>
      <c r="J2774" s="17">
        <v>2</v>
      </c>
      <c r="K2774" s="10">
        <v>1102</v>
      </c>
      <c r="P2774" s="17">
        <v>1</v>
      </c>
      <c r="Q2774" s="19">
        <v>1102</v>
      </c>
      <c r="R2774" s="14">
        <v>200</v>
      </c>
      <c r="S2774" s="19">
        <v>220400</v>
      </c>
      <c r="AJ2774" s="19">
        <v>0</v>
      </c>
      <c r="AK2774" s="23">
        <v>0</v>
      </c>
      <c r="AM2774" s="19">
        <v>0</v>
      </c>
      <c r="AN2774" s="19">
        <v>220400</v>
      </c>
      <c r="AP2774" s="14">
        <v>220400</v>
      </c>
    </row>
    <row r="2775" spans="1:45" x14ac:dyDescent="0.2">
      <c r="A2775" s="2">
        <v>2361</v>
      </c>
      <c r="B2775" s="13">
        <v>2</v>
      </c>
      <c r="C2775" s="17" t="s">
        <v>65</v>
      </c>
      <c r="D2775" s="17">
        <v>2009</v>
      </c>
      <c r="E2775" s="17">
        <v>43</v>
      </c>
      <c r="H2775" s="17">
        <v>4</v>
      </c>
      <c r="I2775" s="17">
        <v>1</v>
      </c>
      <c r="J2775" s="17">
        <v>60</v>
      </c>
      <c r="K2775" s="10">
        <v>1760</v>
      </c>
      <c r="P2775" s="17">
        <v>1</v>
      </c>
      <c r="Q2775" s="19">
        <v>1760</v>
      </c>
      <c r="R2775" s="14">
        <v>160</v>
      </c>
      <c r="S2775" s="19">
        <v>281600</v>
      </c>
      <c r="AJ2775" s="19">
        <v>0</v>
      </c>
      <c r="AK2775" s="23">
        <v>0</v>
      </c>
      <c r="AM2775" s="19">
        <v>0</v>
      </c>
      <c r="AN2775" s="19">
        <v>281600</v>
      </c>
      <c r="AP2775" s="14">
        <v>281600</v>
      </c>
      <c r="AQ2775" s="12">
        <v>1E-4</v>
      </c>
    </row>
    <row r="2776" spans="1:45" x14ac:dyDescent="0.2">
      <c r="A2776" s="2">
        <v>2362</v>
      </c>
      <c r="B2776" s="13">
        <v>1</v>
      </c>
      <c r="C2776" s="17" t="s">
        <v>52</v>
      </c>
      <c r="D2776" s="17">
        <v>35744</v>
      </c>
      <c r="E2776" s="17">
        <v>220</v>
      </c>
      <c r="F2776" s="17">
        <v>7088</v>
      </c>
      <c r="G2776" s="13">
        <v>2</v>
      </c>
      <c r="H2776" s="17">
        <v>0</v>
      </c>
      <c r="I2776" s="17">
        <v>1</v>
      </c>
      <c r="J2776" s="17">
        <v>71.03</v>
      </c>
      <c r="P2776" s="17">
        <v>2</v>
      </c>
      <c r="Q2776" s="19">
        <v>171.03</v>
      </c>
      <c r="R2776" s="14">
        <v>250</v>
      </c>
      <c r="S2776" s="19">
        <v>42757.5</v>
      </c>
      <c r="AJ2776" s="19">
        <v>0</v>
      </c>
      <c r="AK2776" s="23">
        <v>0</v>
      </c>
      <c r="AM2776" s="19">
        <v>0</v>
      </c>
      <c r="AN2776" s="19">
        <v>42757.5</v>
      </c>
      <c r="AP2776" s="14">
        <v>42757.5</v>
      </c>
    </row>
    <row r="2777" spans="1:45" x14ac:dyDescent="0.2">
      <c r="A2777" s="2">
        <v>2363</v>
      </c>
      <c r="B2777" s="13">
        <v>1</v>
      </c>
      <c r="C2777" s="17" t="s">
        <v>52</v>
      </c>
      <c r="D2777" s="17">
        <v>1217</v>
      </c>
      <c r="E2777" s="17">
        <v>13</v>
      </c>
      <c r="F2777" s="17">
        <v>1392</v>
      </c>
      <c r="H2777" s="17">
        <v>19</v>
      </c>
      <c r="I2777" s="17">
        <v>0</v>
      </c>
      <c r="J2777" s="17">
        <v>73</v>
      </c>
      <c r="K2777" s="10">
        <v>7673</v>
      </c>
      <c r="P2777" s="17">
        <v>1</v>
      </c>
      <c r="Q2777" s="19">
        <v>7673</v>
      </c>
      <c r="R2777" s="14">
        <v>200</v>
      </c>
      <c r="S2777" s="19">
        <v>1534600</v>
      </c>
      <c r="AJ2777" s="19">
        <v>0</v>
      </c>
      <c r="AK2777" s="23">
        <v>0</v>
      </c>
      <c r="AM2777" s="19">
        <v>0</v>
      </c>
      <c r="AN2777" s="19">
        <v>1534600</v>
      </c>
      <c r="AP2777" s="14">
        <v>1534600</v>
      </c>
      <c r="AS2777" s="26">
        <v>117</v>
      </c>
    </row>
    <row r="2778" spans="1:45" x14ac:dyDescent="0.2">
      <c r="A2778" s="2">
        <v>2364</v>
      </c>
      <c r="B2778" s="13">
        <v>2</v>
      </c>
      <c r="C2778" s="17" t="s">
        <v>52</v>
      </c>
      <c r="D2778" s="17">
        <v>1842</v>
      </c>
      <c r="E2778" s="17">
        <v>91</v>
      </c>
      <c r="F2778" s="17">
        <v>1232</v>
      </c>
      <c r="H2778" s="17">
        <v>0</v>
      </c>
      <c r="I2778" s="17">
        <v>1</v>
      </c>
      <c r="J2778" s="17">
        <v>84</v>
      </c>
      <c r="L2778" s="17">
        <v>184</v>
      </c>
      <c r="P2778" s="17">
        <v>2</v>
      </c>
      <c r="Q2778" s="19">
        <v>184</v>
      </c>
      <c r="R2778" s="14">
        <v>2000</v>
      </c>
      <c r="S2778" s="19">
        <v>368000</v>
      </c>
      <c r="AJ2778" s="19">
        <v>0</v>
      </c>
      <c r="AK2778" s="23">
        <v>0</v>
      </c>
      <c r="AM2778" s="19">
        <v>0</v>
      </c>
      <c r="AN2778" s="19">
        <v>368000</v>
      </c>
      <c r="AP2778" s="14">
        <v>368000</v>
      </c>
    </row>
    <row r="2779" spans="1:45" x14ac:dyDescent="0.2">
      <c r="A2779" s="2">
        <v>2365</v>
      </c>
      <c r="B2779" s="13">
        <v>3</v>
      </c>
      <c r="C2779" s="17" t="s">
        <v>52</v>
      </c>
      <c r="D2779" s="17">
        <v>1843</v>
      </c>
      <c r="E2779" s="17">
        <v>92</v>
      </c>
      <c r="F2779" s="17">
        <v>1233</v>
      </c>
      <c r="H2779" s="17">
        <v>0</v>
      </c>
      <c r="I2779" s="17">
        <v>1</v>
      </c>
      <c r="J2779" s="17">
        <v>98</v>
      </c>
      <c r="K2779" s="10">
        <v>198</v>
      </c>
      <c r="P2779" s="17">
        <v>1</v>
      </c>
      <c r="Q2779" s="19">
        <v>198</v>
      </c>
      <c r="R2779" s="14">
        <v>160</v>
      </c>
      <c r="S2779" s="19">
        <v>31680</v>
      </c>
      <c r="AJ2779" s="19">
        <v>0</v>
      </c>
      <c r="AK2779" s="23">
        <v>0</v>
      </c>
      <c r="AM2779" s="19">
        <v>0</v>
      </c>
      <c r="AN2779" s="19">
        <v>31680</v>
      </c>
      <c r="AP2779" s="14">
        <v>31680</v>
      </c>
    </row>
    <row r="2780" spans="1:45" x14ac:dyDescent="0.2">
      <c r="A2780" s="2">
        <v>2366</v>
      </c>
      <c r="B2780" s="13">
        <v>4</v>
      </c>
      <c r="C2780" s="17" t="s">
        <v>69</v>
      </c>
      <c r="E2780" s="17">
        <v>151</v>
      </c>
      <c r="F2780" s="17">
        <v>20</v>
      </c>
      <c r="G2780" s="13">
        <v>2</v>
      </c>
      <c r="H2780" s="17">
        <v>3</v>
      </c>
      <c r="I2780" s="17">
        <v>2</v>
      </c>
      <c r="J2780" s="17">
        <v>99</v>
      </c>
      <c r="K2780" s="10">
        <v>1499</v>
      </c>
      <c r="P2780" s="17">
        <v>1</v>
      </c>
      <c r="Q2780" s="19">
        <v>1499</v>
      </c>
      <c r="R2780" s="14">
        <v>160</v>
      </c>
      <c r="S2780" s="19">
        <v>239840</v>
      </c>
      <c r="AJ2780" s="19">
        <v>0</v>
      </c>
      <c r="AK2780" s="23">
        <v>0</v>
      </c>
      <c r="AM2780" s="19">
        <v>0</v>
      </c>
      <c r="AN2780" s="19">
        <v>239840</v>
      </c>
      <c r="AP2780" s="14">
        <v>239840</v>
      </c>
      <c r="AQ2780" s="12">
        <v>1E-4</v>
      </c>
    </row>
    <row r="2781" spans="1:45" x14ac:dyDescent="0.2">
      <c r="A2781" s="2">
        <v>2367</v>
      </c>
      <c r="B2781" s="13">
        <v>5</v>
      </c>
      <c r="C2781" s="17" t="s">
        <v>69</v>
      </c>
      <c r="E2781" s="17">
        <v>1516</v>
      </c>
      <c r="F2781" s="17">
        <v>3</v>
      </c>
      <c r="G2781" s="13">
        <v>2</v>
      </c>
      <c r="H2781" s="17">
        <v>32</v>
      </c>
      <c r="I2781" s="17">
        <v>3</v>
      </c>
      <c r="J2781" s="17">
        <v>82</v>
      </c>
      <c r="K2781" s="10">
        <v>13182</v>
      </c>
      <c r="P2781" s="17">
        <v>1</v>
      </c>
      <c r="Q2781" s="19">
        <v>13182</v>
      </c>
      <c r="R2781" s="14">
        <v>160</v>
      </c>
      <c r="S2781" s="19">
        <v>2109120</v>
      </c>
      <c r="AJ2781" s="19">
        <v>0</v>
      </c>
      <c r="AK2781" s="23">
        <v>0</v>
      </c>
      <c r="AM2781" s="19">
        <v>0</v>
      </c>
      <c r="AN2781" s="19">
        <v>2109120</v>
      </c>
      <c r="AP2781" s="14">
        <v>2109120</v>
      </c>
      <c r="AQ2781" s="12">
        <v>1E-4</v>
      </c>
    </row>
    <row r="2782" spans="1:45" x14ac:dyDescent="0.2">
      <c r="A2782" s="2">
        <v>2368</v>
      </c>
      <c r="B2782" s="13">
        <v>1</v>
      </c>
      <c r="C2782" s="17" t="s">
        <v>52</v>
      </c>
      <c r="D2782" s="17">
        <v>4594</v>
      </c>
      <c r="E2782" s="17">
        <v>148</v>
      </c>
      <c r="F2782" s="17">
        <v>2040</v>
      </c>
      <c r="G2782" s="13">
        <v>2</v>
      </c>
      <c r="H2782" s="17">
        <v>3</v>
      </c>
      <c r="I2782" s="17">
        <v>2</v>
      </c>
      <c r="J2782" s="17">
        <v>82</v>
      </c>
      <c r="P2782" s="17">
        <v>1</v>
      </c>
      <c r="Q2782" s="19">
        <v>1482</v>
      </c>
      <c r="R2782" s="14">
        <v>4500</v>
      </c>
      <c r="S2782" s="19">
        <v>6669000</v>
      </c>
      <c r="AJ2782" s="19">
        <v>0</v>
      </c>
      <c r="AK2782" s="23">
        <v>0</v>
      </c>
      <c r="AM2782" s="19">
        <v>0</v>
      </c>
      <c r="AN2782" s="19">
        <v>6669000</v>
      </c>
      <c r="AP2782" s="14">
        <v>6669000</v>
      </c>
    </row>
    <row r="2783" spans="1:45" ht="63" x14ac:dyDescent="0.2">
      <c r="A2783" s="2">
        <v>2369</v>
      </c>
      <c r="B2783" s="13">
        <v>2</v>
      </c>
      <c r="C2783" s="17" t="s">
        <v>52</v>
      </c>
      <c r="D2783" s="17">
        <v>1197</v>
      </c>
      <c r="E2783" s="17">
        <v>3</v>
      </c>
      <c r="F2783" s="17">
        <v>906</v>
      </c>
      <c r="H2783" s="17">
        <v>2</v>
      </c>
      <c r="I2783" s="17">
        <v>1</v>
      </c>
      <c r="J2783" s="17">
        <v>91</v>
      </c>
      <c r="K2783" s="10">
        <v>968.25</v>
      </c>
      <c r="L2783" s="17">
        <v>22.75</v>
      </c>
      <c r="P2783" s="17">
        <v>2</v>
      </c>
      <c r="Q2783" s="19">
        <v>991</v>
      </c>
      <c r="R2783" s="14">
        <v>200</v>
      </c>
      <c r="S2783" s="19">
        <v>198200</v>
      </c>
      <c r="T2783" s="17">
        <v>1</v>
      </c>
      <c r="U2783" s="17" t="s">
        <v>57</v>
      </c>
      <c r="V2783" s="17" t="s">
        <v>88</v>
      </c>
      <c r="W2783" s="4">
        <v>91</v>
      </c>
      <c r="Y2783" s="4">
        <v>91</v>
      </c>
      <c r="AB2783" s="17">
        <v>39</v>
      </c>
      <c r="AJ2783" s="19">
        <v>0</v>
      </c>
      <c r="AK2783" s="23">
        <v>39</v>
      </c>
      <c r="AM2783" s="19">
        <v>0</v>
      </c>
      <c r="AN2783" s="19">
        <v>198200</v>
      </c>
      <c r="AP2783" s="14">
        <v>198200</v>
      </c>
    </row>
    <row r="2784" spans="1:45" ht="63" x14ac:dyDescent="0.2">
      <c r="A2784" s="2">
        <v>2370</v>
      </c>
      <c r="B2784" s="13">
        <v>3</v>
      </c>
      <c r="C2784" s="17" t="s">
        <v>52</v>
      </c>
      <c r="D2784" s="17">
        <v>29675</v>
      </c>
      <c r="E2784" s="17">
        <v>227</v>
      </c>
      <c r="F2784" s="17">
        <v>5485</v>
      </c>
      <c r="H2784" s="17">
        <v>0</v>
      </c>
      <c r="I2784" s="17">
        <v>1</v>
      </c>
      <c r="J2784" s="17">
        <v>32</v>
      </c>
      <c r="L2784" s="17">
        <v>132</v>
      </c>
      <c r="P2784" s="17">
        <v>2</v>
      </c>
      <c r="Q2784" s="19">
        <v>132</v>
      </c>
      <c r="R2784" s="14">
        <v>2000</v>
      </c>
      <c r="S2784" s="19">
        <v>264000</v>
      </c>
      <c r="T2784" s="17">
        <v>1</v>
      </c>
      <c r="U2784" s="17" t="s">
        <v>57</v>
      </c>
      <c r="V2784" s="17" t="s">
        <v>56</v>
      </c>
      <c r="W2784" s="4">
        <v>348</v>
      </c>
      <c r="Y2784" s="4">
        <v>348</v>
      </c>
      <c r="AB2784" s="17">
        <v>15</v>
      </c>
      <c r="AJ2784" s="19">
        <v>0</v>
      </c>
      <c r="AK2784" s="23">
        <v>15</v>
      </c>
      <c r="AM2784" s="19">
        <v>0</v>
      </c>
      <c r="AN2784" s="19">
        <v>264000</v>
      </c>
      <c r="AP2784" s="14">
        <v>264000</v>
      </c>
    </row>
    <row r="2785" spans="1:45" x14ac:dyDescent="0.2">
      <c r="A2785" s="2">
        <v>2371</v>
      </c>
      <c r="B2785" s="13">
        <v>4</v>
      </c>
      <c r="C2785" s="17" t="s">
        <v>69</v>
      </c>
      <c r="E2785" s="17">
        <v>1516</v>
      </c>
      <c r="F2785" s="17">
        <v>1</v>
      </c>
      <c r="G2785" s="13">
        <v>2</v>
      </c>
      <c r="H2785" s="17">
        <v>17</v>
      </c>
      <c r="I2785" s="17">
        <v>2</v>
      </c>
      <c r="J2785" s="17">
        <v>92</v>
      </c>
      <c r="K2785" s="10">
        <v>7092</v>
      </c>
      <c r="P2785" s="17">
        <v>1</v>
      </c>
      <c r="Q2785" s="19">
        <v>7092</v>
      </c>
      <c r="R2785" s="14">
        <v>160</v>
      </c>
      <c r="S2785" s="19">
        <v>1134720</v>
      </c>
      <c r="AJ2785" s="19">
        <v>0</v>
      </c>
      <c r="AK2785" s="23">
        <v>0</v>
      </c>
      <c r="AM2785" s="19">
        <v>0</v>
      </c>
      <c r="AN2785" s="19">
        <v>1134720</v>
      </c>
      <c r="AP2785" s="14">
        <v>1134720</v>
      </c>
      <c r="AQ2785" s="12">
        <v>1E-4</v>
      </c>
    </row>
    <row r="2786" spans="1:45" x14ac:dyDescent="0.2">
      <c r="A2786" s="2">
        <v>2372</v>
      </c>
      <c r="B2786" s="13">
        <v>1</v>
      </c>
      <c r="C2786" s="17" t="s">
        <v>52</v>
      </c>
      <c r="D2786" s="17">
        <v>3003</v>
      </c>
      <c r="E2786" s="17">
        <v>20</v>
      </c>
      <c r="F2786" s="17">
        <v>2071</v>
      </c>
      <c r="G2786" s="13">
        <v>2</v>
      </c>
      <c r="H2786" s="17">
        <v>8</v>
      </c>
      <c r="I2786" s="17">
        <v>2</v>
      </c>
      <c r="J2786" s="17">
        <v>81</v>
      </c>
      <c r="K2786" s="10">
        <v>3481</v>
      </c>
      <c r="P2786" s="17">
        <v>1</v>
      </c>
      <c r="Q2786" s="19">
        <v>3481</v>
      </c>
      <c r="R2786" s="14">
        <v>160</v>
      </c>
      <c r="S2786" s="19">
        <v>556960</v>
      </c>
      <c r="AJ2786" s="19">
        <v>0</v>
      </c>
      <c r="AK2786" s="23">
        <v>0</v>
      </c>
      <c r="AM2786" s="19">
        <v>0</v>
      </c>
      <c r="AN2786" s="19">
        <v>556960</v>
      </c>
      <c r="AP2786" s="14">
        <v>556960</v>
      </c>
    </row>
    <row r="2787" spans="1:45" ht="63" x14ac:dyDescent="0.2">
      <c r="A2787" s="2">
        <v>2373</v>
      </c>
      <c r="B2787" s="13">
        <v>2</v>
      </c>
      <c r="C2787" s="17" t="s">
        <v>52</v>
      </c>
      <c r="D2787" s="17">
        <v>29676</v>
      </c>
      <c r="E2787" s="17">
        <v>228</v>
      </c>
      <c r="F2787" s="17">
        <v>5486</v>
      </c>
      <c r="H2787" s="17">
        <v>0</v>
      </c>
      <c r="I2787" s="17">
        <v>1</v>
      </c>
      <c r="J2787" s="17">
        <v>22</v>
      </c>
      <c r="L2787" s="17">
        <v>122</v>
      </c>
      <c r="P2787" s="17">
        <v>2</v>
      </c>
      <c r="Q2787" s="19">
        <v>122</v>
      </c>
      <c r="R2787" s="14">
        <v>2000</v>
      </c>
      <c r="S2787" s="19">
        <v>244000</v>
      </c>
      <c r="T2787" s="17">
        <v>1</v>
      </c>
      <c r="U2787" s="17" t="s">
        <v>57</v>
      </c>
      <c r="V2787" s="17" t="s">
        <v>56</v>
      </c>
      <c r="W2787" s="4">
        <v>133</v>
      </c>
      <c r="Y2787" s="4">
        <v>133</v>
      </c>
      <c r="AJ2787" s="19">
        <v>0</v>
      </c>
      <c r="AK2787" s="23">
        <v>0</v>
      </c>
      <c r="AM2787" s="19">
        <v>0</v>
      </c>
      <c r="AN2787" s="19">
        <v>244000</v>
      </c>
      <c r="AP2787" s="14">
        <v>244000</v>
      </c>
    </row>
    <row r="2788" spans="1:45" x14ac:dyDescent="0.2">
      <c r="A2788" s="2">
        <v>2374</v>
      </c>
      <c r="B2788" s="13">
        <v>3</v>
      </c>
      <c r="C2788" s="17" t="s">
        <v>69</v>
      </c>
      <c r="E2788" s="17">
        <v>151</v>
      </c>
      <c r="F2788" s="17">
        <v>15</v>
      </c>
      <c r="G2788" s="13">
        <v>2</v>
      </c>
      <c r="H2788" s="17">
        <v>8</v>
      </c>
      <c r="I2788" s="17">
        <v>1</v>
      </c>
      <c r="J2788" s="17">
        <v>60</v>
      </c>
      <c r="K2788" s="10">
        <v>3360</v>
      </c>
      <c r="P2788" s="17">
        <v>1</v>
      </c>
      <c r="Q2788" s="19">
        <v>3360</v>
      </c>
      <c r="R2788" s="14">
        <v>160</v>
      </c>
      <c r="S2788" s="19">
        <v>537600</v>
      </c>
      <c r="AJ2788" s="19">
        <v>0</v>
      </c>
      <c r="AK2788" s="23">
        <v>0</v>
      </c>
      <c r="AM2788" s="19">
        <v>0</v>
      </c>
      <c r="AN2788" s="19">
        <v>537600</v>
      </c>
      <c r="AP2788" s="14">
        <v>537600</v>
      </c>
      <c r="AQ2788" s="12">
        <v>1E-4</v>
      </c>
    </row>
    <row r="2789" spans="1:45" x14ac:dyDescent="0.2">
      <c r="A2789" s="2">
        <v>2375</v>
      </c>
      <c r="B2789" s="13">
        <v>4</v>
      </c>
      <c r="C2789" s="17" t="s">
        <v>69</v>
      </c>
      <c r="E2789" s="17">
        <v>1675</v>
      </c>
      <c r="F2789" s="17">
        <v>7</v>
      </c>
      <c r="G2789" s="13">
        <v>2</v>
      </c>
      <c r="H2789" s="17">
        <v>8</v>
      </c>
      <c r="I2789" s="17">
        <v>3</v>
      </c>
      <c r="J2789" s="17">
        <v>5</v>
      </c>
      <c r="K2789" s="10">
        <v>3505</v>
      </c>
      <c r="P2789" s="17">
        <v>1</v>
      </c>
      <c r="Q2789" s="19">
        <v>3505</v>
      </c>
      <c r="R2789" s="14">
        <v>160</v>
      </c>
      <c r="S2789" s="19">
        <v>560800</v>
      </c>
      <c r="AJ2789" s="19">
        <v>0</v>
      </c>
      <c r="AK2789" s="23">
        <v>0</v>
      </c>
      <c r="AM2789" s="19">
        <v>0</v>
      </c>
      <c r="AN2789" s="19">
        <v>560800</v>
      </c>
      <c r="AP2789" s="14">
        <v>560800</v>
      </c>
      <c r="AQ2789" s="12">
        <v>1E-4</v>
      </c>
    </row>
    <row r="2790" spans="1:45" ht="42" x14ac:dyDescent="0.2">
      <c r="A2790" s="2">
        <v>2376</v>
      </c>
      <c r="B2790" s="13">
        <v>1</v>
      </c>
      <c r="C2790" s="17" t="s">
        <v>52</v>
      </c>
      <c r="D2790" s="17">
        <v>2200</v>
      </c>
      <c r="E2790" s="17">
        <v>10</v>
      </c>
      <c r="F2790" s="17">
        <v>1647</v>
      </c>
      <c r="G2790" s="13">
        <v>3</v>
      </c>
      <c r="H2790" s="17">
        <v>4</v>
      </c>
      <c r="I2790" s="17">
        <v>1</v>
      </c>
      <c r="J2790" s="17">
        <v>74</v>
      </c>
      <c r="K2790" s="10">
        <v>1774</v>
      </c>
      <c r="P2790" s="17">
        <v>1</v>
      </c>
      <c r="Q2790" s="19">
        <v>1774</v>
      </c>
      <c r="R2790" s="14">
        <v>200</v>
      </c>
      <c r="S2790" s="19">
        <v>354800</v>
      </c>
      <c r="AJ2790" s="19">
        <v>0</v>
      </c>
      <c r="AK2790" s="23">
        <v>0</v>
      </c>
      <c r="AM2790" s="19">
        <v>0</v>
      </c>
      <c r="AN2790" s="19">
        <v>354800</v>
      </c>
      <c r="AP2790" s="14">
        <v>354800</v>
      </c>
      <c r="AS2790" s="26" t="s">
        <v>246</v>
      </c>
    </row>
    <row r="2791" spans="1:45" ht="63" x14ac:dyDescent="0.2">
      <c r="A2791" s="2">
        <v>2377</v>
      </c>
      <c r="B2791" s="13">
        <v>2</v>
      </c>
      <c r="C2791" s="17" t="s">
        <v>52</v>
      </c>
      <c r="D2791" s="17">
        <v>24549</v>
      </c>
      <c r="E2791" s="17">
        <v>287</v>
      </c>
      <c r="F2791" s="17">
        <v>4897</v>
      </c>
      <c r="H2791" s="17">
        <v>0</v>
      </c>
      <c r="I2791" s="17">
        <v>1</v>
      </c>
      <c r="J2791" s="17">
        <v>68</v>
      </c>
      <c r="L2791" s="17">
        <v>168</v>
      </c>
      <c r="P2791" s="17">
        <v>2</v>
      </c>
      <c r="Q2791" s="19">
        <v>168</v>
      </c>
      <c r="R2791" s="14">
        <v>2000</v>
      </c>
      <c r="S2791" s="19">
        <v>336000</v>
      </c>
      <c r="T2791" s="17">
        <v>1</v>
      </c>
      <c r="U2791" s="17" t="s">
        <v>57</v>
      </c>
      <c r="V2791" s="17" t="s">
        <v>56</v>
      </c>
      <c r="W2791" s="4">
        <v>85</v>
      </c>
      <c r="Y2791" s="4">
        <v>85</v>
      </c>
      <c r="AJ2791" s="19">
        <v>0</v>
      </c>
      <c r="AK2791" s="23">
        <v>0</v>
      </c>
      <c r="AM2791" s="19">
        <v>0</v>
      </c>
      <c r="AN2791" s="19">
        <v>336000</v>
      </c>
      <c r="AP2791" s="14">
        <v>336000</v>
      </c>
    </row>
    <row r="2793" spans="1:45" x14ac:dyDescent="0.2">
      <c r="A2793" s="2">
        <v>2378</v>
      </c>
      <c r="B2793" s="13">
        <v>1</v>
      </c>
      <c r="C2793" s="17" t="s">
        <v>52</v>
      </c>
      <c r="D2793" s="17">
        <v>5875</v>
      </c>
      <c r="E2793" s="17">
        <v>20</v>
      </c>
      <c r="F2793" s="17">
        <v>3008</v>
      </c>
      <c r="G2793" s="13">
        <v>5</v>
      </c>
      <c r="H2793" s="17">
        <v>1</v>
      </c>
      <c r="I2793" s="17">
        <v>0</v>
      </c>
      <c r="J2793" s="17">
        <v>74</v>
      </c>
      <c r="K2793" s="10">
        <v>474</v>
      </c>
      <c r="Q2793" s="19">
        <v>474</v>
      </c>
      <c r="R2793" s="14">
        <v>1100</v>
      </c>
      <c r="S2793" s="19">
        <v>521400</v>
      </c>
      <c r="AE2793" s="17" t="s">
        <v>247</v>
      </c>
      <c r="AJ2793" s="19">
        <v>0</v>
      </c>
      <c r="AK2793" s="23">
        <v>0</v>
      </c>
      <c r="AM2793" s="19">
        <v>0</v>
      </c>
      <c r="AN2793" s="19">
        <v>521400</v>
      </c>
      <c r="AP2793" s="14">
        <v>521400</v>
      </c>
    </row>
    <row r="2794" spans="1:45" x14ac:dyDescent="0.2">
      <c r="A2794" s="2">
        <v>2379</v>
      </c>
      <c r="B2794" s="13">
        <v>1</v>
      </c>
      <c r="C2794" s="17" t="s">
        <v>52</v>
      </c>
      <c r="D2794" s="17">
        <v>1216</v>
      </c>
      <c r="E2794" s="17">
        <v>18</v>
      </c>
      <c r="F2794" s="17">
        <v>1388</v>
      </c>
      <c r="H2794" s="17">
        <v>6</v>
      </c>
      <c r="I2794" s="17">
        <v>3</v>
      </c>
      <c r="J2794" s="17">
        <v>3</v>
      </c>
      <c r="K2794" s="10">
        <v>2703</v>
      </c>
      <c r="P2794" s="17">
        <v>1</v>
      </c>
      <c r="Q2794" s="19">
        <v>2703</v>
      </c>
      <c r="R2794" s="14">
        <v>200</v>
      </c>
      <c r="S2794" s="19">
        <v>540600</v>
      </c>
      <c r="AJ2794" s="19">
        <v>0</v>
      </c>
      <c r="AK2794" s="23">
        <v>0</v>
      </c>
      <c r="AM2794" s="19">
        <v>0</v>
      </c>
      <c r="AN2794" s="19">
        <v>540600</v>
      </c>
      <c r="AP2794" s="14">
        <v>540600</v>
      </c>
      <c r="AS2794" s="26">
        <v>71</v>
      </c>
    </row>
    <row r="2795" spans="1:45" x14ac:dyDescent="0.2">
      <c r="A2795" s="2">
        <v>2380</v>
      </c>
      <c r="B2795" s="13">
        <v>2</v>
      </c>
      <c r="C2795" s="17" t="s">
        <v>52</v>
      </c>
      <c r="D2795" s="17">
        <v>1712</v>
      </c>
      <c r="E2795" s="17">
        <v>19</v>
      </c>
      <c r="F2795" s="17">
        <v>1389</v>
      </c>
      <c r="H2795" s="17">
        <v>5</v>
      </c>
      <c r="I2795" s="17">
        <v>0</v>
      </c>
      <c r="J2795" s="17">
        <v>2</v>
      </c>
      <c r="K2795" s="10">
        <v>2002</v>
      </c>
      <c r="P2795" s="17">
        <v>1</v>
      </c>
      <c r="Q2795" s="19">
        <v>2002</v>
      </c>
      <c r="R2795" s="14">
        <v>200</v>
      </c>
      <c r="S2795" s="19">
        <v>400400</v>
      </c>
      <c r="AJ2795" s="19">
        <v>0</v>
      </c>
      <c r="AK2795" s="23">
        <v>0</v>
      </c>
      <c r="AM2795" s="19">
        <v>0</v>
      </c>
      <c r="AN2795" s="19">
        <v>400400</v>
      </c>
      <c r="AP2795" s="14">
        <v>400400</v>
      </c>
    </row>
    <row r="2796" spans="1:45" x14ac:dyDescent="0.2">
      <c r="A2796" s="2">
        <v>2381</v>
      </c>
      <c r="B2796" s="13">
        <v>3</v>
      </c>
      <c r="C2796" s="17" t="s">
        <v>52</v>
      </c>
      <c r="D2796" s="17">
        <v>1845</v>
      </c>
      <c r="E2796" s="17">
        <v>94</v>
      </c>
      <c r="F2796" s="17">
        <v>1235</v>
      </c>
      <c r="H2796" s="17">
        <v>1</v>
      </c>
      <c r="I2796" s="17">
        <v>0</v>
      </c>
      <c r="J2796" s="17">
        <v>74</v>
      </c>
      <c r="K2796" s="10">
        <v>474</v>
      </c>
      <c r="P2796" s="17">
        <v>1</v>
      </c>
      <c r="Q2796" s="19">
        <v>474</v>
      </c>
      <c r="R2796" s="14">
        <v>250</v>
      </c>
      <c r="S2796" s="19">
        <v>118500</v>
      </c>
      <c r="AJ2796" s="19">
        <v>0</v>
      </c>
      <c r="AK2796" s="23">
        <v>0</v>
      </c>
      <c r="AM2796" s="19">
        <v>0</v>
      </c>
      <c r="AN2796" s="19">
        <v>118500</v>
      </c>
      <c r="AP2796" s="14">
        <v>118500</v>
      </c>
    </row>
    <row r="2797" spans="1:45" ht="63" x14ac:dyDescent="0.2">
      <c r="A2797" s="2">
        <v>2382</v>
      </c>
      <c r="B2797" s="13">
        <v>4</v>
      </c>
      <c r="C2797" s="17" t="s">
        <v>52</v>
      </c>
      <c r="D2797" s="17">
        <v>24548</v>
      </c>
      <c r="E2797" s="17">
        <v>286</v>
      </c>
      <c r="F2797" s="17">
        <v>4896</v>
      </c>
      <c r="H2797" s="17">
        <v>0</v>
      </c>
      <c r="I2797" s="17">
        <v>2</v>
      </c>
      <c r="J2797" s="17">
        <v>22</v>
      </c>
      <c r="L2797" s="17">
        <v>22.5</v>
      </c>
      <c r="P2797" s="17">
        <v>2</v>
      </c>
      <c r="Q2797" s="19">
        <v>222</v>
      </c>
      <c r="R2797" s="14">
        <v>2000</v>
      </c>
      <c r="S2797" s="19">
        <v>444000</v>
      </c>
      <c r="T2797" s="17">
        <v>1</v>
      </c>
      <c r="U2797" s="17" t="s">
        <v>57</v>
      </c>
      <c r="V2797" s="17" t="s">
        <v>56</v>
      </c>
      <c r="W2797" s="4">
        <v>90</v>
      </c>
      <c r="Y2797" s="4">
        <v>90</v>
      </c>
      <c r="AB2797" s="17">
        <v>24</v>
      </c>
      <c r="AJ2797" s="19">
        <v>0</v>
      </c>
      <c r="AK2797" s="23">
        <v>24</v>
      </c>
      <c r="AM2797" s="19">
        <v>0</v>
      </c>
      <c r="AN2797" s="19">
        <v>444000</v>
      </c>
      <c r="AP2797" s="14">
        <v>444000</v>
      </c>
    </row>
    <row r="2798" spans="1:45" ht="63" x14ac:dyDescent="0.2">
      <c r="L2798" s="17">
        <v>199.5</v>
      </c>
      <c r="P2798" s="17">
        <v>2</v>
      </c>
      <c r="Q2798" s="19">
        <v>0</v>
      </c>
      <c r="S2798" s="19">
        <v>0</v>
      </c>
      <c r="T2798" s="17">
        <v>2</v>
      </c>
      <c r="U2798" s="17" t="s">
        <v>57</v>
      </c>
      <c r="V2798" s="17" t="s">
        <v>88</v>
      </c>
      <c r="W2798" s="4">
        <v>171</v>
      </c>
      <c r="Y2798" s="4">
        <v>171</v>
      </c>
      <c r="AB2798" s="17">
        <v>15</v>
      </c>
      <c r="AJ2798" s="19">
        <v>0</v>
      </c>
      <c r="AK2798" s="23">
        <v>15</v>
      </c>
      <c r="AM2798" s="19">
        <v>0</v>
      </c>
      <c r="AN2798" s="19">
        <v>0</v>
      </c>
      <c r="AP2798" s="14">
        <v>0</v>
      </c>
    </row>
    <row r="2799" spans="1:45" x14ac:dyDescent="0.2">
      <c r="A2799" s="2">
        <v>2383</v>
      </c>
      <c r="B2799" s="13">
        <v>1</v>
      </c>
      <c r="C2799" s="17" t="s">
        <v>52</v>
      </c>
      <c r="D2799" s="17">
        <v>31085</v>
      </c>
      <c r="E2799" s="17">
        <v>241</v>
      </c>
      <c r="F2799" s="17">
        <v>6035</v>
      </c>
      <c r="H2799" s="17">
        <v>1</v>
      </c>
      <c r="I2799" s="17">
        <v>2</v>
      </c>
      <c r="J2799" s="17">
        <v>38.049999999999997</v>
      </c>
      <c r="K2799" s="10">
        <v>638.04999999999995</v>
      </c>
      <c r="P2799" s="17">
        <v>1</v>
      </c>
      <c r="Q2799" s="19">
        <v>638.04999999999995</v>
      </c>
      <c r="R2799" s="14">
        <v>160</v>
      </c>
      <c r="S2799" s="19">
        <v>102088</v>
      </c>
      <c r="AJ2799" s="19">
        <v>0</v>
      </c>
      <c r="AK2799" s="23">
        <v>0</v>
      </c>
      <c r="AM2799" s="19">
        <v>0</v>
      </c>
      <c r="AN2799" s="19">
        <v>102088</v>
      </c>
      <c r="AP2799" s="14">
        <v>102088</v>
      </c>
    </row>
    <row r="2800" spans="1:45" x14ac:dyDescent="0.2">
      <c r="A2800" s="2">
        <v>2384</v>
      </c>
      <c r="B2800" s="13">
        <v>2</v>
      </c>
      <c r="C2800" s="17" t="s">
        <v>52</v>
      </c>
      <c r="D2800" s="17">
        <v>31123</v>
      </c>
      <c r="E2800" s="17">
        <v>120</v>
      </c>
      <c r="F2800" s="17">
        <v>6068</v>
      </c>
      <c r="H2800" s="17">
        <v>3</v>
      </c>
      <c r="I2800" s="17">
        <v>1</v>
      </c>
      <c r="J2800" s="17">
        <v>52.07</v>
      </c>
      <c r="K2800" s="10">
        <v>1352.07</v>
      </c>
      <c r="P2800" s="17">
        <v>1</v>
      </c>
      <c r="Q2800" s="19">
        <v>1352.07</v>
      </c>
      <c r="R2800" s="14">
        <v>200</v>
      </c>
      <c r="S2800" s="19">
        <v>270414</v>
      </c>
      <c r="AJ2800" s="19">
        <v>0</v>
      </c>
      <c r="AK2800" s="23">
        <v>0</v>
      </c>
      <c r="AM2800" s="19">
        <v>0</v>
      </c>
      <c r="AN2800" s="19">
        <v>270414</v>
      </c>
      <c r="AP2800" s="14">
        <v>270414</v>
      </c>
    </row>
    <row r="2801" spans="1:45" s="19" customFormat="1" x14ac:dyDescent="0.2">
      <c r="A2801" s="2"/>
      <c r="B2801" s="13"/>
      <c r="C2801" s="17" t="s">
        <v>52</v>
      </c>
      <c r="D2801" s="17">
        <v>36643</v>
      </c>
      <c r="E2801" s="17">
        <v>149</v>
      </c>
      <c r="F2801" s="17">
        <v>7191</v>
      </c>
      <c r="G2801" s="13"/>
      <c r="H2801" s="17">
        <v>3</v>
      </c>
      <c r="I2801" s="17">
        <v>0</v>
      </c>
      <c r="J2801" s="17">
        <v>51.6</v>
      </c>
      <c r="K2801" s="10">
        <v>1251.5999999999999</v>
      </c>
      <c r="L2801" s="17"/>
      <c r="M2801" s="15"/>
      <c r="N2801" s="18"/>
      <c r="O2801" s="14"/>
      <c r="P2801" s="17">
        <v>1</v>
      </c>
      <c r="Q2801" s="19">
        <v>1251.5999999999999</v>
      </c>
      <c r="R2801" s="14" t="e">
        <v>#N/A</v>
      </c>
      <c r="T2801" s="17"/>
      <c r="U2801" s="17"/>
      <c r="V2801" s="17"/>
      <c r="W2801" s="4"/>
      <c r="X2801" s="17"/>
      <c r="Y2801" s="4"/>
      <c r="Z2801" s="17"/>
      <c r="AA2801" s="17"/>
      <c r="AB2801" s="17"/>
      <c r="AC2801" s="14"/>
      <c r="AD2801" s="14"/>
      <c r="AE2801" s="17"/>
      <c r="AF2801" s="14"/>
      <c r="AG2801" s="54"/>
      <c r="AH2801" s="11"/>
      <c r="AI2801" s="14"/>
      <c r="AK2801" s="23"/>
      <c r="AL2801" s="11"/>
      <c r="AO2801" s="14"/>
      <c r="AP2801" s="14"/>
      <c r="AQ2801" s="12"/>
      <c r="AS2801" s="26"/>
    </row>
    <row r="2802" spans="1:45" s="19" customFormat="1" x14ac:dyDescent="0.2">
      <c r="A2802" s="2"/>
      <c r="B2802" s="13"/>
      <c r="C2802" s="17" t="s">
        <v>52</v>
      </c>
      <c r="D2802" s="17">
        <v>36644</v>
      </c>
      <c r="E2802" s="17">
        <v>150</v>
      </c>
      <c r="F2802" s="17">
        <v>7192</v>
      </c>
      <c r="G2802" s="13"/>
      <c r="H2802" s="17">
        <v>3</v>
      </c>
      <c r="I2802" s="17">
        <v>3</v>
      </c>
      <c r="J2802" s="17">
        <v>25.1</v>
      </c>
      <c r="K2802" s="10">
        <v>1525.1</v>
      </c>
      <c r="L2802" s="17"/>
      <c r="M2802" s="15"/>
      <c r="N2802" s="18"/>
      <c r="O2802" s="14"/>
      <c r="P2802" s="17">
        <v>1</v>
      </c>
      <c r="Q2802" s="19">
        <v>1525.1</v>
      </c>
      <c r="R2802" s="14" t="e">
        <v>#N/A</v>
      </c>
      <c r="T2802" s="17"/>
      <c r="U2802" s="17"/>
      <c r="V2802" s="17"/>
      <c r="W2802" s="4"/>
      <c r="X2802" s="17"/>
      <c r="Y2802" s="4"/>
      <c r="Z2802" s="17"/>
      <c r="AA2802" s="17"/>
      <c r="AB2802" s="17"/>
      <c r="AC2802" s="14"/>
      <c r="AD2802" s="14"/>
      <c r="AE2802" s="17"/>
      <c r="AF2802" s="14"/>
      <c r="AG2802" s="54"/>
      <c r="AH2802" s="11"/>
      <c r="AI2802" s="14"/>
      <c r="AK2802" s="23"/>
      <c r="AL2802" s="11"/>
      <c r="AO2802" s="14"/>
      <c r="AP2802" s="14"/>
      <c r="AQ2802" s="12"/>
      <c r="AS2802" s="26"/>
    </row>
    <row r="2803" spans="1:45" s="19" customFormat="1" x14ac:dyDescent="0.2">
      <c r="A2803" s="2"/>
      <c r="B2803" s="13"/>
      <c r="C2803" s="17" t="s">
        <v>52</v>
      </c>
      <c r="D2803" s="17">
        <v>34445</v>
      </c>
      <c r="E2803" s="17">
        <v>151</v>
      </c>
      <c r="F2803" s="17">
        <v>7193</v>
      </c>
      <c r="G2803" s="13"/>
      <c r="H2803" s="17">
        <v>3</v>
      </c>
      <c r="I2803" s="17">
        <v>2</v>
      </c>
      <c r="J2803" s="17">
        <v>27.9</v>
      </c>
      <c r="K2803" s="10">
        <v>1427.9</v>
      </c>
      <c r="L2803" s="17"/>
      <c r="M2803" s="15"/>
      <c r="N2803" s="18"/>
      <c r="O2803" s="14"/>
      <c r="P2803" s="17">
        <v>1</v>
      </c>
      <c r="Q2803" s="19">
        <v>1427.9</v>
      </c>
      <c r="R2803" s="14">
        <v>2000</v>
      </c>
      <c r="T2803" s="17"/>
      <c r="U2803" s="17"/>
      <c r="V2803" s="17"/>
      <c r="W2803" s="4"/>
      <c r="X2803" s="17"/>
      <c r="Y2803" s="4"/>
      <c r="Z2803" s="17"/>
      <c r="AA2803" s="17"/>
      <c r="AB2803" s="17"/>
      <c r="AC2803" s="14"/>
      <c r="AD2803" s="14"/>
      <c r="AE2803" s="17"/>
      <c r="AF2803" s="14"/>
      <c r="AG2803" s="54"/>
      <c r="AH2803" s="11"/>
      <c r="AI2803" s="14"/>
      <c r="AK2803" s="23"/>
      <c r="AL2803" s="11"/>
      <c r="AO2803" s="14"/>
      <c r="AP2803" s="14"/>
      <c r="AQ2803" s="12"/>
      <c r="AS2803" s="26"/>
    </row>
    <row r="2804" spans="1:45" s="19" customFormat="1" x14ac:dyDescent="0.2">
      <c r="A2804" s="2">
        <v>2385</v>
      </c>
      <c r="B2804" s="13">
        <v>3</v>
      </c>
      <c r="C2804" s="17" t="s">
        <v>65</v>
      </c>
      <c r="D2804" s="17">
        <v>1132</v>
      </c>
      <c r="E2804" s="17">
        <v>33</v>
      </c>
      <c r="F2804" s="17"/>
      <c r="G2804" s="13"/>
      <c r="H2804" s="17">
        <v>2</v>
      </c>
      <c r="I2804" s="17">
        <v>0</v>
      </c>
      <c r="J2804" s="17">
        <v>91</v>
      </c>
      <c r="K2804" s="10">
        <v>891</v>
      </c>
      <c r="L2804" s="17"/>
      <c r="M2804" s="15"/>
      <c r="N2804" s="18"/>
      <c r="O2804" s="14"/>
      <c r="P2804" s="17"/>
      <c r="Q2804" s="19">
        <v>891</v>
      </c>
      <c r="R2804" s="14">
        <v>1500</v>
      </c>
      <c r="S2804" s="19">
        <v>1336500</v>
      </c>
      <c r="T2804" s="17"/>
      <c r="U2804" s="17"/>
      <c r="V2804" s="17"/>
      <c r="W2804" s="4"/>
      <c r="X2804" s="17"/>
      <c r="Y2804" s="4"/>
      <c r="Z2804" s="17"/>
      <c r="AA2804" s="17"/>
      <c r="AB2804" s="17"/>
      <c r="AC2804" s="14"/>
      <c r="AD2804" s="14"/>
      <c r="AE2804" s="17" t="s">
        <v>160</v>
      </c>
      <c r="AF2804" s="14"/>
      <c r="AG2804" s="54"/>
      <c r="AH2804" s="11"/>
      <c r="AI2804" s="14"/>
      <c r="AJ2804" s="19">
        <v>0</v>
      </c>
      <c r="AK2804" s="23">
        <v>0</v>
      </c>
      <c r="AL2804" s="11"/>
      <c r="AM2804" s="19">
        <v>0</v>
      </c>
      <c r="AN2804" s="19">
        <v>1336500</v>
      </c>
      <c r="AO2804" s="14"/>
      <c r="AP2804" s="14">
        <v>1336500</v>
      </c>
      <c r="AQ2804" s="12">
        <v>1E-4</v>
      </c>
      <c r="AS2804" s="26"/>
    </row>
    <row r="2805" spans="1:45" s="19" customFormat="1" x14ac:dyDescent="0.2">
      <c r="A2805" s="2"/>
      <c r="B2805" s="13"/>
      <c r="C2805" s="17"/>
      <c r="D2805" s="17"/>
      <c r="E2805" s="17"/>
      <c r="F2805" s="17"/>
      <c r="G2805" s="13"/>
      <c r="H2805" s="17"/>
      <c r="I2805" s="17"/>
      <c r="J2805" s="17"/>
      <c r="K2805" s="10"/>
      <c r="L2805" s="17"/>
      <c r="M2805" s="15"/>
      <c r="N2805" s="18"/>
      <c r="O2805" s="14"/>
      <c r="P2805" s="17"/>
      <c r="R2805" s="14"/>
      <c r="T2805" s="17"/>
      <c r="U2805" s="17"/>
      <c r="V2805" s="17"/>
      <c r="W2805" s="4"/>
      <c r="X2805" s="17"/>
      <c r="Y2805" s="4"/>
      <c r="Z2805" s="17"/>
      <c r="AA2805" s="17"/>
      <c r="AB2805" s="17"/>
      <c r="AC2805" s="14"/>
      <c r="AD2805" s="14"/>
      <c r="AE2805" s="17"/>
      <c r="AF2805" s="14"/>
      <c r="AG2805" s="54"/>
      <c r="AH2805" s="11"/>
      <c r="AI2805" s="14"/>
      <c r="AK2805" s="23"/>
      <c r="AL2805" s="11"/>
      <c r="AO2805" s="14"/>
      <c r="AP2805" s="14"/>
      <c r="AQ2805" s="12"/>
      <c r="AS2805" s="26"/>
    </row>
    <row r="2806" spans="1:45" s="19" customFormat="1" x14ac:dyDescent="0.2">
      <c r="A2806" s="2">
        <v>2386</v>
      </c>
      <c r="B2806" s="13">
        <v>1</v>
      </c>
      <c r="C2806" s="17" t="s">
        <v>52</v>
      </c>
      <c r="D2806" s="17">
        <v>1007</v>
      </c>
      <c r="E2806" s="17">
        <v>45</v>
      </c>
      <c r="F2806" s="17">
        <v>346</v>
      </c>
      <c r="G2806" s="13">
        <v>1</v>
      </c>
      <c r="H2806" s="17">
        <v>2</v>
      </c>
      <c r="I2806" s="17">
        <v>2</v>
      </c>
      <c r="J2806" s="17">
        <v>93</v>
      </c>
      <c r="K2806" s="10">
        <v>1093</v>
      </c>
      <c r="L2806" s="17"/>
      <c r="M2806" s="15"/>
      <c r="N2806" s="18"/>
      <c r="O2806" s="14"/>
      <c r="P2806" s="17">
        <v>1</v>
      </c>
      <c r="Q2806" s="19">
        <v>1093</v>
      </c>
      <c r="R2806" s="14">
        <v>160</v>
      </c>
      <c r="S2806" s="19">
        <v>174880</v>
      </c>
      <c r="T2806" s="17"/>
      <c r="U2806" s="17"/>
      <c r="V2806" s="17"/>
      <c r="W2806" s="4"/>
      <c r="X2806" s="17"/>
      <c r="Y2806" s="4"/>
      <c r="Z2806" s="17"/>
      <c r="AA2806" s="17"/>
      <c r="AB2806" s="17"/>
      <c r="AC2806" s="14"/>
      <c r="AD2806" s="14"/>
      <c r="AE2806" s="17" t="s">
        <v>248</v>
      </c>
      <c r="AF2806" s="14"/>
      <c r="AG2806" s="54"/>
      <c r="AH2806" s="11"/>
      <c r="AI2806" s="14"/>
      <c r="AJ2806" s="19">
        <v>0</v>
      </c>
      <c r="AK2806" s="23">
        <v>0</v>
      </c>
      <c r="AL2806" s="11"/>
      <c r="AM2806" s="19">
        <v>0</v>
      </c>
      <c r="AN2806" s="19">
        <v>174880</v>
      </c>
      <c r="AO2806" s="14"/>
      <c r="AP2806" s="14">
        <v>174880</v>
      </c>
      <c r="AQ2806" s="12"/>
      <c r="AS2806" s="26"/>
    </row>
    <row r="2807" spans="1:45" s="19" customFormat="1" x14ac:dyDescent="0.2">
      <c r="A2807" s="2">
        <v>2387</v>
      </c>
      <c r="B2807" s="13">
        <v>1</v>
      </c>
      <c r="C2807" s="17" t="s">
        <v>52</v>
      </c>
      <c r="D2807" s="17">
        <v>30970</v>
      </c>
      <c r="E2807" s="17">
        <v>108</v>
      </c>
      <c r="F2807" s="17">
        <v>5922</v>
      </c>
      <c r="G2807" s="13">
        <v>2</v>
      </c>
      <c r="H2807" s="17">
        <v>7</v>
      </c>
      <c r="I2807" s="17">
        <v>2</v>
      </c>
      <c r="J2807" s="17">
        <v>93.02</v>
      </c>
      <c r="K2807" s="10">
        <v>3093.02</v>
      </c>
      <c r="L2807" s="17"/>
      <c r="M2807" s="15"/>
      <c r="N2807" s="18"/>
      <c r="O2807" s="14"/>
      <c r="P2807" s="17">
        <v>1</v>
      </c>
      <c r="Q2807" s="19">
        <v>3093.02</v>
      </c>
      <c r="R2807" s="14">
        <v>160</v>
      </c>
      <c r="S2807" s="19">
        <v>494883.2</v>
      </c>
      <c r="T2807" s="17"/>
      <c r="U2807" s="17"/>
      <c r="V2807" s="17"/>
      <c r="W2807" s="4"/>
      <c r="X2807" s="17"/>
      <c r="Y2807" s="4"/>
      <c r="Z2807" s="17"/>
      <c r="AA2807" s="17"/>
      <c r="AB2807" s="17"/>
      <c r="AC2807" s="14"/>
      <c r="AD2807" s="14"/>
      <c r="AE2807" s="17"/>
      <c r="AF2807" s="14"/>
      <c r="AG2807" s="54"/>
      <c r="AH2807" s="11"/>
      <c r="AI2807" s="14"/>
      <c r="AJ2807" s="19">
        <v>0</v>
      </c>
      <c r="AK2807" s="23">
        <v>0</v>
      </c>
      <c r="AL2807" s="11"/>
      <c r="AM2807" s="19">
        <v>0</v>
      </c>
      <c r="AN2807" s="19">
        <v>494883.2</v>
      </c>
      <c r="AO2807" s="14"/>
      <c r="AP2807" s="14">
        <v>494883.2</v>
      </c>
      <c r="AQ2807" s="12"/>
      <c r="AS2807" s="26"/>
    </row>
    <row r="2808" spans="1:45" s="19" customFormat="1" x14ac:dyDescent="0.2">
      <c r="A2808" s="2">
        <v>2388</v>
      </c>
      <c r="B2808" s="13">
        <v>2</v>
      </c>
      <c r="C2808" s="17" t="s">
        <v>69</v>
      </c>
      <c r="D2808" s="17"/>
      <c r="E2808" s="17">
        <v>1520</v>
      </c>
      <c r="F2808" s="17">
        <v>1</v>
      </c>
      <c r="G2808" s="13">
        <v>2</v>
      </c>
      <c r="H2808" s="17">
        <v>11</v>
      </c>
      <c r="I2808" s="17">
        <v>1</v>
      </c>
      <c r="J2808" s="17">
        <v>29</v>
      </c>
      <c r="K2808" s="10">
        <v>4529</v>
      </c>
      <c r="L2808" s="17"/>
      <c r="M2808" s="15"/>
      <c r="N2808" s="18"/>
      <c r="O2808" s="14"/>
      <c r="P2808" s="17">
        <v>1</v>
      </c>
      <c r="Q2808" s="19">
        <v>4529</v>
      </c>
      <c r="R2808" s="14">
        <v>200</v>
      </c>
      <c r="S2808" s="19">
        <v>905800</v>
      </c>
      <c r="T2808" s="17"/>
      <c r="U2808" s="17"/>
      <c r="V2808" s="17"/>
      <c r="W2808" s="4"/>
      <c r="X2808" s="17"/>
      <c r="Y2808" s="4"/>
      <c r="Z2808" s="17"/>
      <c r="AA2808" s="17"/>
      <c r="AB2808" s="17"/>
      <c r="AC2808" s="14"/>
      <c r="AD2808" s="14"/>
      <c r="AE2808" s="17"/>
      <c r="AF2808" s="14"/>
      <c r="AG2808" s="54"/>
      <c r="AH2808" s="11"/>
      <c r="AI2808" s="14"/>
      <c r="AJ2808" s="19">
        <v>0</v>
      </c>
      <c r="AK2808" s="23">
        <v>0</v>
      </c>
      <c r="AL2808" s="11"/>
      <c r="AM2808" s="19">
        <v>0</v>
      </c>
      <c r="AN2808" s="19">
        <v>905800</v>
      </c>
      <c r="AO2808" s="14"/>
      <c r="AP2808" s="14">
        <v>905800</v>
      </c>
      <c r="AQ2808" s="12">
        <v>1E-4</v>
      </c>
      <c r="AS2808" s="26"/>
    </row>
    <row r="2809" spans="1:45" s="19" customFormat="1" x14ac:dyDescent="0.2">
      <c r="A2809" s="2"/>
      <c r="B2809" s="13"/>
      <c r="C2809" s="17"/>
      <c r="D2809" s="17"/>
      <c r="E2809" s="17"/>
      <c r="F2809" s="17"/>
      <c r="G2809" s="13"/>
      <c r="H2809" s="17"/>
      <c r="I2809" s="17"/>
      <c r="J2809" s="17"/>
      <c r="K2809" s="10"/>
      <c r="L2809" s="17"/>
      <c r="M2809" s="15"/>
      <c r="N2809" s="18"/>
      <c r="O2809" s="14"/>
      <c r="P2809" s="17"/>
      <c r="R2809" s="14"/>
      <c r="T2809" s="17"/>
      <c r="U2809" s="17"/>
      <c r="V2809" s="17"/>
      <c r="W2809" s="4"/>
      <c r="X2809" s="17"/>
      <c r="Y2809" s="4"/>
      <c r="Z2809" s="17"/>
      <c r="AA2809" s="17"/>
      <c r="AB2809" s="17"/>
      <c r="AC2809" s="14"/>
      <c r="AD2809" s="14"/>
      <c r="AE2809" s="17"/>
      <c r="AF2809" s="14"/>
      <c r="AG2809" s="54"/>
      <c r="AH2809" s="11"/>
      <c r="AI2809" s="14"/>
      <c r="AK2809" s="23"/>
      <c r="AL2809" s="11"/>
      <c r="AO2809" s="14"/>
      <c r="AP2809" s="14"/>
      <c r="AQ2809" s="12"/>
      <c r="AS2809" s="26"/>
    </row>
    <row r="2810" spans="1:45" s="19" customFormat="1" x14ac:dyDescent="0.2">
      <c r="A2810" s="2">
        <v>2389</v>
      </c>
      <c r="B2810" s="13">
        <v>1</v>
      </c>
      <c r="C2810" s="17" t="s">
        <v>52</v>
      </c>
      <c r="D2810" s="17">
        <v>31096</v>
      </c>
      <c r="E2810" s="17">
        <v>111</v>
      </c>
      <c r="F2810" s="17">
        <v>6046</v>
      </c>
      <c r="G2810" s="13"/>
      <c r="H2810" s="17">
        <v>0</v>
      </c>
      <c r="I2810" s="17">
        <v>0</v>
      </c>
      <c r="J2810" s="17">
        <v>28.08</v>
      </c>
      <c r="K2810" s="10">
        <v>28.08</v>
      </c>
      <c r="L2810" s="17"/>
      <c r="M2810" s="15"/>
      <c r="N2810" s="18"/>
      <c r="O2810" s="14"/>
      <c r="P2810" s="17">
        <v>1</v>
      </c>
      <c r="Q2810" s="19">
        <v>28.08</v>
      </c>
      <c r="R2810" s="14">
        <v>250</v>
      </c>
      <c r="S2810" s="19">
        <v>7020</v>
      </c>
      <c r="T2810" s="17"/>
      <c r="U2810" s="17"/>
      <c r="V2810" s="17"/>
      <c r="W2810" s="4"/>
      <c r="X2810" s="17"/>
      <c r="Y2810" s="4"/>
      <c r="Z2810" s="17"/>
      <c r="AA2810" s="17"/>
      <c r="AB2810" s="17"/>
      <c r="AC2810" s="14"/>
      <c r="AD2810" s="14"/>
      <c r="AE2810" s="17"/>
      <c r="AF2810" s="14"/>
      <c r="AG2810" s="54"/>
      <c r="AH2810" s="11"/>
      <c r="AI2810" s="14"/>
      <c r="AJ2810" s="19">
        <v>0</v>
      </c>
      <c r="AK2810" s="23">
        <v>0</v>
      </c>
      <c r="AL2810" s="11"/>
      <c r="AM2810" s="19">
        <v>0</v>
      </c>
      <c r="AN2810" s="19">
        <v>7020</v>
      </c>
      <c r="AO2810" s="14"/>
      <c r="AP2810" s="14">
        <v>7020</v>
      </c>
      <c r="AQ2810" s="12"/>
      <c r="AS2810" s="26"/>
    </row>
    <row r="2811" spans="1:45" s="19" customFormat="1" x14ac:dyDescent="0.2">
      <c r="A2811" s="2">
        <v>2390</v>
      </c>
      <c r="B2811" s="13">
        <v>2</v>
      </c>
      <c r="C2811" s="17" t="s">
        <v>52</v>
      </c>
      <c r="D2811" s="17">
        <v>31097</v>
      </c>
      <c r="E2811" s="17">
        <v>112</v>
      </c>
      <c r="F2811" s="17">
        <v>6047</v>
      </c>
      <c r="G2811" s="13"/>
      <c r="H2811" s="17">
        <v>0</v>
      </c>
      <c r="I2811" s="17">
        <v>0</v>
      </c>
      <c r="J2811" s="17">
        <v>27.09</v>
      </c>
      <c r="K2811" s="10">
        <v>27.09</v>
      </c>
      <c r="L2811" s="17"/>
      <c r="M2811" s="15"/>
      <c r="N2811" s="18"/>
      <c r="O2811" s="14"/>
      <c r="P2811" s="17">
        <v>1</v>
      </c>
      <c r="Q2811" s="19">
        <v>27.09</v>
      </c>
      <c r="R2811" s="14">
        <v>250</v>
      </c>
      <c r="S2811" s="19">
        <v>6772.5</v>
      </c>
      <c r="T2811" s="17"/>
      <c r="U2811" s="17"/>
      <c r="V2811" s="17"/>
      <c r="W2811" s="4"/>
      <c r="X2811" s="17"/>
      <c r="Y2811" s="4"/>
      <c r="Z2811" s="17"/>
      <c r="AA2811" s="17"/>
      <c r="AB2811" s="17"/>
      <c r="AC2811" s="14"/>
      <c r="AD2811" s="14"/>
      <c r="AE2811" s="17"/>
      <c r="AF2811" s="14"/>
      <c r="AG2811" s="54"/>
      <c r="AH2811" s="11"/>
      <c r="AI2811" s="14"/>
      <c r="AJ2811" s="19">
        <v>0</v>
      </c>
      <c r="AK2811" s="23">
        <v>0</v>
      </c>
      <c r="AL2811" s="11"/>
      <c r="AM2811" s="19">
        <v>0</v>
      </c>
      <c r="AN2811" s="19">
        <v>6772.5</v>
      </c>
      <c r="AO2811" s="14"/>
      <c r="AP2811" s="14">
        <v>6772.5</v>
      </c>
      <c r="AQ2811" s="12"/>
      <c r="AS2811" s="26"/>
    </row>
    <row r="2812" spans="1:45" s="19" customFormat="1" x14ac:dyDescent="0.2">
      <c r="A2812" s="2">
        <v>2391</v>
      </c>
      <c r="B2812" s="13">
        <v>3</v>
      </c>
      <c r="C2812" s="17" t="s">
        <v>52</v>
      </c>
      <c r="D2812" s="17">
        <v>31098</v>
      </c>
      <c r="E2812" s="17">
        <v>113</v>
      </c>
      <c r="F2812" s="17">
        <v>6048</v>
      </c>
      <c r="G2812" s="13"/>
      <c r="H2812" s="17">
        <v>0</v>
      </c>
      <c r="I2812" s="17">
        <v>0</v>
      </c>
      <c r="J2812" s="17">
        <v>28.05</v>
      </c>
      <c r="K2812" s="10">
        <v>28.05</v>
      </c>
      <c r="L2812" s="17"/>
      <c r="M2812" s="15"/>
      <c r="N2812" s="18"/>
      <c r="O2812" s="14"/>
      <c r="P2812" s="17">
        <v>1</v>
      </c>
      <c r="Q2812" s="19">
        <v>28.05</v>
      </c>
      <c r="R2812" s="14">
        <v>250</v>
      </c>
      <c r="S2812" s="19">
        <v>7012.5</v>
      </c>
      <c r="T2812" s="17"/>
      <c r="U2812" s="17"/>
      <c r="V2812" s="17"/>
      <c r="W2812" s="4"/>
      <c r="X2812" s="17"/>
      <c r="Y2812" s="4"/>
      <c r="Z2812" s="17"/>
      <c r="AA2812" s="17"/>
      <c r="AB2812" s="17"/>
      <c r="AC2812" s="14"/>
      <c r="AD2812" s="14"/>
      <c r="AE2812" s="17"/>
      <c r="AF2812" s="14"/>
      <c r="AG2812" s="54"/>
      <c r="AH2812" s="11"/>
      <c r="AI2812" s="14"/>
      <c r="AJ2812" s="19">
        <v>0</v>
      </c>
      <c r="AK2812" s="23">
        <v>0</v>
      </c>
      <c r="AL2812" s="11"/>
      <c r="AM2812" s="19">
        <v>0</v>
      </c>
      <c r="AN2812" s="19">
        <v>7012.5</v>
      </c>
      <c r="AO2812" s="14"/>
      <c r="AP2812" s="14">
        <v>7012.5</v>
      </c>
      <c r="AQ2812" s="12"/>
      <c r="AS2812" s="26"/>
    </row>
    <row r="2813" spans="1:45" s="19" customFormat="1" x14ac:dyDescent="0.2">
      <c r="A2813" s="2">
        <v>2392</v>
      </c>
      <c r="B2813" s="13">
        <v>4</v>
      </c>
      <c r="C2813" s="17" t="s">
        <v>52</v>
      </c>
      <c r="D2813" s="17">
        <v>31099</v>
      </c>
      <c r="E2813" s="17">
        <v>114</v>
      </c>
      <c r="F2813" s="17">
        <v>6049</v>
      </c>
      <c r="G2813" s="13"/>
      <c r="H2813" s="17">
        <v>0</v>
      </c>
      <c r="I2813" s="17">
        <v>0</v>
      </c>
      <c r="J2813" s="17">
        <v>30.04</v>
      </c>
      <c r="K2813" s="10">
        <v>30.04</v>
      </c>
      <c r="L2813" s="17"/>
      <c r="M2813" s="15"/>
      <c r="N2813" s="18"/>
      <c r="O2813" s="14"/>
      <c r="P2813" s="17">
        <v>1</v>
      </c>
      <c r="Q2813" s="19">
        <v>30.04</v>
      </c>
      <c r="R2813" s="14">
        <v>250</v>
      </c>
      <c r="S2813" s="19">
        <v>7510</v>
      </c>
      <c r="T2813" s="17"/>
      <c r="U2813" s="17"/>
      <c r="V2813" s="17"/>
      <c r="W2813" s="4"/>
      <c r="X2813" s="17"/>
      <c r="Y2813" s="4"/>
      <c r="Z2813" s="17"/>
      <c r="AA2813" s="17"/>
      <c r="AB2813" s="17"/>
      <c r="AC2813" s="14"/>
      <c r="AD2813" s="14"/>
      <c r="AE2813" s="17"/>
      <c r="AF2813" s="14"/>
      <c r="AG2813" s="54"/>
      <c r="AH2813" s="11"/>
      <c r="AI2813" s="14"/>
      <c r="AJ2813" s="19">
        <v>0</v>
      </c>
      <c r="AK2813" s="23">
        <v>0</v>
      </c>
      <c r="AL2813" s="11"/>
      <c r="AM2813" s="19">
        <v>0</v>
      </c>
      <c r="AN2813" s="19">
        <v>7510</v>
      </c>
      <c r="AO2813" s="14"/>
      <c r="AP2813" s="14">
        <v>7510</v>
      </c>
      <c r="AQ2813" s="12"/>
      <c r="AS2813" s="26"/>
    </row>
    <row r="2814" spans="1:45" s="19" customFormat="1" x14ac:dyDescent="0.2">
      <c r="A2814" s="2">
        <v>2393</v>
      </c>
      <c r="B2814" s="13">
        <v>5</v>
      </c>
      <c r="C2814" s="17" t="s">
        <v>52</v>
      </c>
      <c r="D2814" s="17">
        <v>31100</v>
      </c>
      <c r="E2814" s="17">
        <v>115</v>
      </c>
      <c r="F2814" s="17">
        <v>6050</v>
      </c>
      <c r="G2814" s="13"/>
      <c r="H2814" s="17">
        <v>0</v>
      </c>
      <c r="I2814" s="17">
        <v>0</v>
      </c>
      <c r="J2814" s="17">
        <v>28.06</v>
      </c>
      <c r="K2814" s="10">
        <v>28.06</v>
      </c>
      <c r="L2814" s="17"/>
      <c r="M2814" s="15"/>
      <c r="N2814" s="18"/>
      <c r="O2814" s="14"/>
      <c r="P2814" s="17">
        <v>1</v>
      </c>
      <c r="Q2814" s="19">
        <v>28.06</v>
      </c>
      <c r="R2814" s="14">
        <v>250</v>
      </c>
      <c r="S2814" s="19">
        <v>7015</v>
      </c>
      <c r="T2814" s="17"/>
      <c r="U2814" s="17"/>
      <c r="V2814" s="17"/>
      <c r="W2814" s="4"/>
      <c r="X2814" s="17"/>
      <c r="Y2814" s="4"/>
      <c r="Z2814" s="17"/>
      <c r="AA2814" s="17"/>
      <c r="AB2814" s="17"/>
      <c r="AC2814" s="14"/>
      <c r="AD2814" s="14"/>
      <c r="AE2814" s="17"/>
      <c r="AF2814" s="14"/>
      <c r="AG2814" s="54"/>
      <c r="AH2814" s="11"/>
      <c r="AI2814" s="14"/>
      <c r="AJ2814" s="19">
        <v>0</v>
      </c>
      <c r="AK2814" s="23">
        <v>0</v>
      </c>
      <c r="AL2814" s="11"/>
      <c r="AM2814" s="19">
        <v>0</v>
      </c>
      <c r="AN2814" s="19">
        <v>7015</v>
      </c>
      <c r="AO2814" s="14"/>
      <c r="AP2814" s="14">
        <v>7015</v>
      </c>
      <c r="AQ2814" s="12"/>
      <c r="AS2814" s="26"/>
    </row>
    <row r="2815" spans="1:45" s="19" customFormat="1" x14ac:dyDescent="0.2">
      <c r="A2815" s="2">
        <v>2394</v>
      </c>
      <c r="B2815" s="13">
        <v>6</v>
      </c>
      <c r="C2815" s="17" t="s">
        <v>52</v>
      </c>
      <c r="D2815" s="17">
        <v>31101</v>
      </c>
      <c r="E2815" s="17">
        <v>116</v>
      </c>
      <c r="F2815" s="17">
        <v>6051</v>
      </c>
      <c r="G2815" s="13"/>
      <c r="H2815" s="17">
        <v>0</v>
      </c>
      <c r="I2815" s="17">
        <v>0</v>
      </c>
      <c r="J2815" s="17">
        <v>28.05</v>
      </c>
      <c r="K2815" s="10">
        <v>28.05</v>
      </c>
      <c r="L2815" s="17"/>
      <c r="M2815" s="15"/>
      <c r="N2815" s="18"/>
      <c r="O2815" s="14"/>
      <c r="P2815" s="17">
        <v>1</v>
      </c>
      <c r="Q2815" s="19">
        <v>28.05</v>
      </c>
      <c r="R2815" s="14">
        <v>250</v>
      </c>
      <c r="S2815" s="19">
        <v>7012.5</v>
      </c>
      <c r="T2815" s="17"/>
      <c r="U2815" s="17"/>
      <c r="V2815" s="17"/>
      <c r="W2815" s="4"/>
      <c r="X2815" s="17"/>
      <c r="Y2815" s="4"/>
      <c r="Z2815" s="17"/>
      <c r="AA2815" s="17"/>
      <c r="AB2815" s="17"/>
      <c r="AC2815" s="14"/>
      <c r="AD2815" s="14"/>
      <c r="AE2815" s="17"/>
      <c r="AF2815" s="14"/>
      <c r="AG2815" s="54"/>
      <c r="AH2815" s="11"/>
      <c r="AI2815" s="14"/>
      <c r="AJ2815" s="19">
        <v>0</v>
      </c>
      <c r="AK2815" s="23">
        <v>0</v>
      </c>
      <c r="AL2815" s="11"/>
      <c r="AM2815" s="19">
        <v>0</v>
      </c>
      <c r="AN2815" s="19">
        <v>7012.5</v>
      </c>
      <c r="AO2815" s="14"/>
      <c r="AP2815" s="14">
        <v>7012.5</v>
      </c>
      <c r="AQ2815" s="12"/>
      <c r="AS2815" s="26"/>
    </row>
    <row r="2816" spans="1:45" s="19" customFormat="1" x14ac:dyDescent="0.2">
      <c r="A2816" s="2">
        <v>2395</v>
      </c>
      <c r="B2816" s="13">
        <v>7</v>
      </c>
      <c r="C2816" s="17" t="s">
        <v>52</v>
      </c>
      <c r="D2816" s="17">
        <v>31102</v>
      </c>
      <c r="E2816" s="17">
        <v>117</v>
      </c>
      <c r="F2816" s="17">
        <v>6052</v>
      </c>
      <c r="G2816" s="13"/>
      <c r="H2816" s="17">
        <v>0</v>
      </c>
      <c r="I2816" s="17">
        <v>0</v>
      </c>
      <c r="J2816" s="17">
        <v>68.010000000000005</v>
      </c>
      <c r="K2816" s="10">
        <v>68.010000000000005</v>
      </c>
      <c r="L2816" s="17"/>
      <c r="M2816" s="15"/>
      <c r="N2816" s="18"/>
      <c r="O2816" s="14"/>
      <c r="P2816" s="17">
        <v>1</v>
      </c>
      <c r="Q2816" s="19">
        <v>68.010000000000005</v>
      </c>
      <c r="R2816" s="14">
        <v>250</v>
      </c>
      <c r="S2816" s="19">
        <v>17002.5</v>
      </c>
      <c r="T2816" s="17"/>
      <c r="U2816" s="17"/>
      <c r="V2816" s="17"/>
      <c r="W2816" s="4"/>
      <c r="X2816" s="17"/>
      <c r="Y2816" s="4"/>
      <c r="Z2816" s="17"/>
      <c r="AA2816" s="17"/>
      <c r="AB2816" s="17"/>
      <c r="AC2816" s="14"/>
      <c r="AD2816" s="14"/>
      <c r="AE2816" s="17"/>
      <c r="AF2816" s="14"/>
      <c r="AG2816" s="54"/>
      <c r="AH2816" s="11"/>
      <c r="AI2816" s="14"/>
      <c r="AJ2816" s="19">
        <v>0</v>
      </c>
      <c r="AK2816" s="23">
        <v>0</v>
      </c>
      <c r="AL2816" s="11"/>
      <c r="AM2816" s="19">
        <v>0</v>
      </c>
      <c r="AN2816" s="19">
        <v>17002.5</v>
      </c>
      <c r="AO2816" s="14"/>
      <c r="AP2816" s="14">
        <v>17002.5</v>
      </c>
      <c r="AQ2816" s="12"/>
      <c r="AS2816" s="26"/>
    </row>
    <row r="2817" spans="1:45" x14ac:dyDescent="0.2">
      <c r="A2817" s="2">
        <v>2396</v>
      </c>
      <c r="B2817" s="13">
        <v>8</v>
      </c>
      <c r="C2817" s="17" t="s">
        <v>52</v>
      </c>
      <c r="D2817" s="17">
        <v>31103</v>
      </c>
      <c r="E2817" s="17">
        <v>118</v>
      </c>
      <c r="F2817" s="17">
        <v>6053</v>
      </c>
      <c r="H2817" s="17">
        <v>0</v>
      </c>
      <c r="I2817" s="17">
        <v>0</v>
      </c>
      <c r="J2817" s="17">
        <v>22.05</v>
      </c>
      <c r="K2817" s="10">
        <v>22.05</v>
      </c>
      <c r="P2817" s="17">
        <v>1</v>
      </c>
      <c r="Q2817" s="19">
        <v>22.05</v>
      </c>
      <c r="R2817" s="14">
        <v>250</v>
      </c>
      <c r="S2817" s="19">
        <v>5512.5</v>
      </c>
      <c r="AJ2817" s="19">
        <v>0</v>
      </c>
      <c r="AK2817" s="23">
        <v>0</v>
      </c>
      <c r="AM2817" s="19">
        <v>0</v>
      </c>
      <c r="AN2817" s="19">
        <v>5512.5</v>
      </c>
      <c r="AP2817" s="14">
        <v>5512.5</v>
      </c>
    </row>
    <row r="2818" spans="1:45" x14ac:dyDescent="0.2">
      <c r="A2818" s="2">
        <v>2397</v>
      </c>
      <c r="B2818" s="13">
        <v>9</v>
      </c>
      <c r="C2818" s="17" t="s">
        <v>52</v>
      </c>
      <c r="D2818" s="17">
        <v>31124</v>
      </c>
      <c r="E2818" s="17">
        <v>122</v>
      </c>
      <c r="F2818" s="17">
        <v>6069</v>
      </c>
      <c r="H2818" s="17">
        <v>0</v>
      </c>
      <c r="I2818" s="17">
        <v>3</v>
      </c>
      <c r="J2818" s="17">
        <v>91.03</v>
      </c>
      <c r="K2818" s="10">
        <v>91.03</v>
      </c>
      <c r="P2818" s="17">
        <v>1</v>
      </c>
      <c r="Q2818" s="19">
        <v>391.03</v>
      </c>
      <c r="R2818" s="14">
        <v>250</v>
      </c>
      <c r="S2818" s="19">
        <v>97757.5</v>
      </c>
      <c r="AJ2818" s="19">
        <v>0</v>
      </c>
      <c r="AK2818" s="23">
        <v>0</v>
      </c>
      <c r="AM2818" s="19">
        <v>0</v>
      </c>
      <c r="AN2818" s="19">
        <v>97757.5</v>
      </c>
      <c r="AP2818" s="14">
        <v>97757.5</v>
      </c>
    </row>
    <row r="2819" spans="1:45" x14ac:dyDescent="0.2">
      <c r="A2819" s="2">
        <v>2398</v>
      </c>
      <c r="B2819" s="13">
        <v>10</v>
      </c>
      <c r="C2819" s="17" t="s">
        <v>52</v>
      </c>
      <c r="D2819" s="17">
        <v>31125</v>
      </c>
      <c r="E2819" s="17">
        <v>121</v>
      </c>
      <c r="F2819" s="17">
        <v>6070</v>
      </c>
      <c r="H2819" s="17">
        <v>0</v>
      </c>
      <c r="I2819" s="17">
        <v>1</v>
      </c>
      <c r="J2819" s="17">
        <v>60</v>
      </c>
      <c r="K2819" s="10">
        <v>160</v>
      </c>
      <c r="P2819" s="17">
        <v>1</v>
      </c>
      <c r="Q2819" s="19">
        <v>160</v>
      </c>
      <c r="R2819" s="14">
        <v>250</v>
      </c>
      <c r="S2819" s="19">
        <v>40000</v>
      </c>
      <c r="AJ2819" s="19">
        <v>0</v>
      </c>
      <c r="AK2819" s="23">
        <v>0</v>
      </c>
      <c r="AM2819" s="19">
        <v>0</v>
      </c>
      <c r="AN2819" s="19">
        <v>40000</v>
      </c>
      <c r="AP2819" s="14">
        <v>40000</v>
      </c>
    </row>
    <row r="2822" spans="1:45" x14ac:dyDescent="0.2">
      <c r="A2822" s="2">
        <v>2399</v>
      </c>
      <c r="B2822" s="13">
        <v>1</v>
      </c>
      <c r="C2822" s="17" t="s">
        <v>52</v>
      </c>
      <c r="D2822" s="17">
        <v>34390</v>
      </c>
      <c r="E2822" s="17">
        <v>193</v>
      </c>
      <c r="F2822" s="17">
        <v>6789</v>
      </c>
      <c r="G2822" s="13">
        <v>2</v>
      </c>
      <c r="H2822" s="17">
        <v>2</v>
      </c>
      <c r="I2822" s="17">
        <v>1</v>
      </c>
      <c r="J2822" s="17">
        <v>62</v>
      </c>
      <c r="K2822" s="10">
        <v>962</v>
      </c>
      <c r="P2822" s="17">
        <v>1</v>
      </c>
      <c r="Q2822" s="19">
        <v>962</v>
      </c>
      <c r="R2822" s="14">
        <v>160</v>
      </c>
      <c r="S2822" s="19">
        <v>153920</v>
      </c>
      <c r="AJ2822" s="19">
        <v>0</v>
      </c>
      <c r="AK2822" s="23">
        <v>0</v>
      </c>
      <c r="AM2822" s="19">
        <v>0</v>
      </c>
      <c r="AN2822" s="19">
        <v>153920</v>
      </c>
      <c r="AP2822" s="14">
        <v>153920</v>
      </c>
    </row>
    <row r="2823" spans="1:45" ht="63" x14ac:dyDescent="0.2">
      <c r="A2823" s="2">
        <v>2400</v>
      </c>
      <c r="B2823" s="13">
        <v>2</v>
      </c>
      <c r="C2823" s="17" t="s">
        <v>52</v>
      </c>
      <c r="D2823" s="17">
        <v>1437</v>
      </c>
      <c r="E2823" s="17">
        <v>6</v>
      </c>
      <c r="F2823" s="17">
        <v>878</v>
      </c>
      <c r="H2823" s="17">
        <v>4</v>
      </c>
      <c r="I2823" s="17">
        <v>2</v>
      </c>
      <c r="J2823" s="17">
        <v>54</v>
      </c>
      <c r="K2823" s="10">
        <v>1830.37</v>
      </c>
      <c r="L2823" s="17">
        <v>23.63</v>
      </c>
      <c r="P2823" s="17">
        <v>5</v>
      </c>
      <c r="Q2823" s="19">
        <v>1854</v>
      </c>
      <c r="R2823" s="14">
        <v>375</v>
      </c>
      <c r="S2823" s="19">
        <v>695250</v>
      </c>
      <c r="T2823" s="17">
        <v>1</v>
      </c>
      <c r="U2823" s="17" t="s">
        <v>57</v>
      </c>
      <c r="V2823" s="17" t="s">
        <v>56</v>
      </c>
      <c r="W2823" s="4">
        <v>94.5</v>
      </c>
      <c r="Y2823" s="4">
        <v>94.5</v>
      </c>
      <c r="AB2823" s="17">
        <v>18</v>
      </c>
      <c r="AJ2823" s="19">
        <v>0</v>
      </c>
      <c r="AK2823" s="23">
        <v>18</v>
      </c>
      <c r="AM2823" s="19">
        <v>0</v>
      </c>
      <c r="AN2823" s="19">
        <v>695250</v>
      </c>
      <c r="AP2823" s="14">
        <v>695250</v>
      </c>
    </row>
    <row r="2824" spans="1:45" x14ac:dyDescent="0.2">
      <c r="A2824" s="2">
        <v>2401</v>
      </c>
      <c r="B2824" s="13">
        <v>3</v>
      </c>
      <c r="C2824" s="17" t="s">
        <v>69</v>
      </c>
      <c r="E2824" s="17">
        <v>1516</v>
      </c>
      <c r="F2824" s="17">
        <v>15</v>
      </c>
      <c r="G2824" s="13">
        <v>2</v>
      </c>
      <c r="H2824" s="17">
        <v>4</v>
      </c>
      <c r="I2824" s="17">
        <v>0</v>
      </c>
      <c r="J2824" s="17">
        <v>76</v>
      </c>
      <c r="K2824" s="10">
        <v>1676</v>
      </c>
      <c r="P2824" s="17">
        <v>1</v>
      </c>
      <c r="Q2824" s="19">
        <v>1676</v>
      </c>
      <c r="R2824" s="14">
        <v>160</v>
      </c>
      <c r="S2824" s="19">
        <v>268160</v>
      </c>
      <c r="AJ2824" s="19">
        <v>0</v>
      </c>
      <c r="AK2824" s="23">
        <v>0</v>
      </c>
      <c r="AM2824" s="19">
        <v>0</v>
      </c>
      <c r="AN2824" s="19">
        <v>268160</v>
      </c>
      <c r="AP2824" s="14">
        <v>268160</v>
      </c>
      <c r="AQ2824" s="12">
        <v>1E-4</v>
      </c>
    </row>
    <row r="2825" spans="1:45" x14ac:dyDescent="0.2">
      <c r="A2825" s="2">
        <v>2402</v>
      </c>
      <c r="B2825" s="13">
        <v>1</v>
      </c>
      <c r="C2825" s="17" t="s">
        <v>52</v>
      </c>
      <c r="D2825" s="17">
        <v>30984</v>
      </c>
      <c r="E2825" s="17">
        <v>90</v>
      </c>
      <c r="F2825" s="17">
        <v>5936</v>
      </c>
      <c r="G2825" s="13">
        <v>2</v>
      </c>
      <c r="H2825" s="17">
        <v>3</v>
      </c>
      <c r="I2825" s="17">
        <v>3</v>
      </c>
      <c r="J2825" s="17">
        <v>14.02</v>
      </c>
      <c r="K2825" s="10">
        <v>1414.02</v>
      </c>
      <c r="P2825" s="17">
        <v>1</v>
      </c>
      <c r="Q2825" s="19">
        <v>1514.02</v>
      </c>
      <c r="R2825" s="14">
        <v>160</v>
      </c>
      <c r="S2825" s="19">
        <v>242243.20000000001</v>
      </c>
      <c r="AJ2825" s="19">
        <v>0</v>
      </c>
      <c r="AK2825" s="23">
        <v>0</v>
      </c>
      <c r="AM2825" s="19">
        <v>0</v>
      </c>
      <c r="AN2825" s="19">
        <v>242243.20000000001</v>
      </c>
      <c r="AP2825" s="14">
        <v>242243.20000000001</v>
      </c>
      <c r="AS2825" s="26">
        <v>30</v>
      </c>
    </row>
    <row r="2826" spans="1:45" x14ac:dyDescent="0.2">
      <c r="A2826" s="2">
        <v>2403</v>
      </c>
      <c r="B2826" s="13">
        <v>2</v>
      </c>
      <c r="C2826" s="17" t="s">
        <v>52</v>
      </c>
      <c r="D2826" s="17">
        <v>30985</v>
      </c>
      <c r="E2826" s="17">
        <v>91</v>
      </c>
      <c r="F2826" s="17">
        <v>5937</v>
      </c>
      <c r="G2826" s="13">
        <v>2</v>
      </c>
      <c r="H2826" s="17">
        <v>3</v>
      </c>
      <c r="I2826" s="17">
        <v>1</v>
      </c>
      <c r="J2826" s="17">
        <v>88.02</v>
      </c>
      <c r="K2826" s="10">
        <v>1388.02</v>
      </c>
      <c r="P2826" s="17">
        <v>1</v>
      </c>
      <c r="Q2826" s="19">
        <v>1388.02</v>
      </c>
      <c r="R2826" s="14">
        <v>160</v>
      </c>
      <c r="S2826" s="19">
        <v>222083.20000000001</v>
      </c>
      <c r="AJ2826" s="19">
        <v>0</v>
      </c>
      <c r="AK2826" s="23">
        <v>0</v>
      </c>
      <c r="AM2826" s="19">
        <v>0</v>
      </c>
      <c r="AN2826" s="19">
        <v>222083.20000000001</v>
      </c>
      <c r="AP2826" s="14">
        <v>222083.20000000001</v>
      </c>
    </row>
    <row r="2827" spans="1:45" ht="63" x14ac:dyDescent="0.2">
      <c r="A2827" s="2">
        <v>2404</v>
      </c>
      <c r="B2827" s="13">
        <v>3</v>
      </c>
      <c r="C2827" s="17" t="s">
        <v>52</v>
      </c>
      <c r="D2827" s="17">
        <v>1303</v>
      </c>
      <c r="E2827" s="17">
        <v>8</v>
      </c>
      <c r="F2827" s="17">
        <v>890</v>
      </c>
      <c r="H2827" s="17">
        <v>0</v>
      </c>
      <c r="I2827" s="17">
        <v>0</v>
      </c>
      <c r="J2827" s="17">
        <v>61</v>
      </c>
      <c r="L2827" s="17">
        <v>61</v>
      </c>
      <c r="P2827" s="17">
        <v>2</v>
      </c>
      <c r="Q2827" s="19">
        <v>61</v>
      </c>
      <c r="R2827" s="14">
        <v>2000</v>
      </c>
      <c r="S2827" s="19">
        <v>122000</v>
      </c>
      <c r="T2827" s="17">
        <v>1</v>
      </c>
      <c r="U2827" s="17" t="s">
        <v>57</v>
      </c>
      <c r="V2827" s="17" t="s">
        <v>56</v>
      </c>
      <c r="W2827" s="4">
        <v>84</v>
      </c>
      <c r="Y2827" s="4">
        <v>84</v>
      </c>
      <c r="AB2827" s="17">
        <v>25</v>
      </c>
      <c r="AJ2827" s="19">
        <v>0</v>
      </c>
      <c r="AK2827" s="23">
        <v>25</v>
      </c>
      <c r="AM2827" s="19">
        <v>0</v>
      </c>
      <c r="AN2827" s="19">
        <v>122000</v>
      </c>
      <c r="AP2827" s="14">
        <v>122000</v>
      </c>
    </row>
    <row r="2828" spans="1:45" x14ac:dyDescent="0.2">
      <c r="A2828" s="2">
        <v>2405</v>
      </c>
      <c r="B2828" s="13">
        <v>1</v>
      </c>
      <c r="C2828" s="17" t="s">
        <v>52</v>
      </c>
      <c r="D2828" s="17">
        <v>34389</v>
      </c>
      <c r="E2828" s="17">
        <v>192</v>
      </c>
      <c r="F2828" s="17">
        <v>6788</v>
      </c>
      <c r="G2828" s="13">
        <v>2</v>
      </c>
      <c r="H2828" s="17">
        <v>2</v>
      </c>
      <c r="I2828" s="17">
        <v>2</v>
      </c>
      <c r="J2828" s="17">
        <v>68</v>
      </c>
      <c r="K2828" s="10">
        <v>1068</v>
      </c>
      <c r="P2828" s="17">
        <v>1</v>
      </c>
      <c r="Q2828" s="19">
        <v>1068</v>
      </c>
      <c r="R2828" s="14">
        <v>160</v>
      </c>
      <c r="S2828" s="19">
        <v>170880</v>
      </c>
      <c r="AJ2828" s="19">
        <v>0</v>
      </c>
      <c r="AK2828" s="23">
        <v>0</v>
      </c>
      <c r="AM2828" s="19">
        <v>0</v>
      </c>
      <c r="AN2828" s="19">
        <v>170880</v>
      </c>
      <c r="AP2828" s="14">
        <v>170880</v>
      </c>
    </row>
    <row r="2829" spans="1:45" x14ac:dyDescent="0.2">
      <c r="A2829" s="2">
        <v>2406</v>
      </c>
      <c r="B2829" s="13">
        <v>2</v>
      </c>
      <c r="C2829" s="17" t="s">
        <v>52</v>
      </c>
      <c r="D2829" s="17">
        <v>1191</v>
      </c>
      <c r="E2829" s="17">
        <v>11</v>
      </c>
      <c r="F2829" s="17">
        <v>909</v>
      </c>
      <c r="H2829" s="17">
        <v>0</v>
      </c>
      <c r="I2829" s="17">
        <v>0</v>
      </c>
      <c r="J2829" s="17">
        <v>47</v>
      </c>
      <c r="N2829" s="18">
        <v>47</v>
      </c>
      <c r="P2829" s="17">
        <v>4</v>
      </c>
      <c r="Q2829" s="19">
        <v>47</v>
      </c>
      <c r="R2829" s="14">
        <v>2000</v>
      </c>
      <c r="S2829" s="19">
        <v>94000</v>
      </c>
      <c r="AJ2829" s="19">
        <v>0</v>
      </c>
      <c r="AK2829" s="23">
        <v>0</v>
      </c>
      <c r="AM2829" s="19">
        <v>0</v>
      </c>
      <c r="AN2829" s="19">
        <v>94000</v>
      </c>
      <c r="AP2829" s="14">
        <v>94000</v>
      </c>
      <c r="AQ2829" s="12">
        <v>3.0000000000000001E-3</v>
      </c>
    </row>
    <row r="2830" spans="1:45" x14ac:dyDescent="0.2">
      <c r="A2830" s="2">
        <v>2407</v>
      </c>
      <c r="B2830" s="13">
        <v>1</v>
      </c>
      <c r="C2830" s="17" t="s">
        <v>52</v>
      </c>
      <c r="D2830" s="17">
        <v>1939</v>
      </c>
      <c r="E2830" s="17">
        <v>20</v>
      </c>
      <c r="F2830" s="17">
        <v>1335</v>
      </c>
      <c r="G2830" s="13">
        <v>2</v>
      </c>
      <c r="H2830" s="17">
        <v>2</v>
      </c>
      <c r="I2830" s="17">
        <v>1</v>
      </c>
      <c r="J2830" s="17">
        <v>34</v>
      </c>
      <c r="K2830" s="10">
        <v>934</v>
      </c>
      <c r="P2830" s="17">
        <v>1</v>
      </c>
      <c r="Q2830" s="19">
        <v>934</v>
      </c>
      <c r="R2830" s="14">
        <v>160</v>
      </c>
      <c r="S2830" s="19">
        <v>149440</v>
      </c>
      <c r="AJ2830" s="19">
        <v>0</v>
      </c>
      <c r="AK2830" s="23">
        <v>0</v>
      </c>
      <c r="AM2830" s="19">
        <v>0</v>
      </c>
      <c r="AN2830" s="19">
        <v>149440</v>
      </c>
      <c r="AP2830" s="14">
        <v>149440</v>
      </c>
    </row>
    <row r="2831" spans="1:45" x14ac:dyDescent="0.2">
      <c r="A2831" s="2">
        <v>2408</v>
      </c>
      <c r="B2831" s="13">
        <v>2</v>
      </c>
      <c r="C2831" s="17" t="s">
        <v>52</v>
      </c>
      <c r="D2831" s="17">
        <v>30986</v>
      </c>
      <c r="E2831" s="17">
        <v>92</v>
      </c>
      <c r="F2831" s="17">
        <v>5938</v>
      </c>
      <c r="G2831" s="13">
        <v>2</v>
      </c>
      <c r="H2831" s="17">
        <v>1</v>
      </c>
      <c r="I2831" s="17">
        <v>0</v>
      </c>
      <c r="J2831" s="17">
        <v>29.05</v>
      </c>
      <c r="K2831" s="10">
        <v>429.05</v>
      </c>
      <c r="P2831" s="17">
        <v>1</v>
      </c>
      <c r="Q2831" s="19">
        <v>429.05</v>
      </c>
      <c r="R2831" s="14">
        <v>160</v>
      </c>
      <c r="S2831" s="19">
        <v>68648</v>
      </c>
      <c r="AJ2831" s="19">
        <v>0</v>
      </c>
      <c r="AK2831" s="23">
        <v>0</v>
      </c>
      <c r="AM2831" s="19">
        <v>0</v>
      </c>
      <c r="AN2831" s="19">
        <v>68648</v>
      </c>
      <c r="AP2831" s="14">
        <v>68648</v>
      </c>
    </row>
    <row r="2832" spans="1:45" x14ac:dyDescent="0.2">
      <c r="A2832" s="2">
        <v>2409</v>
      </c>
      <c r="B2832" s="13">
        <v>3</v>
      </c>
      <c r="C2832" s="17" t="s">
        <v>52</v>
      </c>
      <c r="D2832" s="17">
        <v>1190</v>
      </c>
      <c r="E2832" s="17">
        <v>10</v>
      </c>
      <c r="F2832" s="17">
        <v>908</v>
      </c>
      <c r="H2832" s="17">
        <v>0</v>
      </c>
      <c r="I2832" s="17">
        <v>0</v>
      </c>
      <c r="J2832" s="17">
        <v>53</v>
      </c>
      <c r="N2832" s="18">
        <v>53</v>
      </c>
      <c r="P2832" s="17">
        <v>4</v>
      </c>
      <c r="Q2832" s="19">
        <v>53</v>
      </c>
      <c r="R2832" s="14">
        <v>2000</v>
      </c>
      <c r="S2832" s="19">
        <v>106000</v>
      </c>
      <c r="AJ2832" s="19">
        <v>0</v>
      </c>
      <c r="AK2832" s="23">
        <v>0</v>
      </c>
      <c r="AM2832" s="19">
        <v>0</v>
      </c>
      <c r="AN2832" s="19">
        <v>106000</v>
      </c>
      <c r="AP2832" s="14">
        <v>106000</v>
      </c>
      <c r="AQ2832" s="12">
        <v>3.0000000000000001E-3</v>
      </c>
    </row>
    <row r="2833" spans="1:45" x14ac:dyDescent="0.2">
      <c r="A2833" s="2">
        <v>2410</v>
      </c>
      <c r="B2833" s="13">
        <v>1</v>
      </c>
      <c r="C2833" s="17" t="s">
        <v>52</v>
      </c>
      <c r="D2833" s="17">
        <v>3194</v>
      </c>
      <c r="E2833" s="17">
        <v>38</v>
      </c>
      <c r="F2833" s="17">
        <v>2126</v>
      </c>
      <c r="G2833" s="13">
        <v>2</v>
      </c>
      <c r="H2833" s="17">
        <v>2</v>
      </c>
      <c r="I2833" s="17">
        <v>0</v>
      </c>
      <c r="J2833" s="17">
        <v>89</v>
      </c>
      <c r="K2833" s="10">
        <v>889</v>
      </c>
      <c r="P2833" s="17">
        <v>1</v>
      </c>
      <c r="Q2833" s="19">
        <v>889</v>
      </c>
      <c r="R2833" s="14">
        <v>160</v>
      </c>
      <c r="S2833" s="19">
        <v>142240</v>
      </c>
      <c r="AJ2833" s="19">
        <v>0</v>
      </c>
      <c r="AK2833" s="23">
        <v>0</v>
      </c>
      <c r="AM2833" s="19">
        <v>0</v>
      </c>
      <c r="AN2833" s="19">
        <v>142240</v>
      </c>
      <c r="AP2833" s="14">
        <v>142240</v>
      </c>
      <c r="AS2833" s="26">
        <v>79</v>
      </c>
    </row>
    <row r="2834" spans="1:45" x14ac:dyDescent="0.2">
      <c r="A2834" s="2">
        <v>2411</v>
      </c>
      <c r="B2834" s="13">
        <v>2</v>
      </c>
      <c r="C2834" s="17" t="s">
        <v>52</v>
      </c>
      <c r="D2834" s="17">
        <v>31022</v>
      </c>
      <c r="E2834" s="17">
        <v>190</v>
      </c>
      <c r="F2834" s="17">
        <v>5972</v>
      </c>
      <c r="G2834" s="13">
        <v>2</v>
      </c>
      <c r="H2834" s="17">
        <v>3</v>
      </c>
      <c r="I2834" s="17">
        <v>2</v>
      </c>
      <c r="J2834" s="17">
        <v>80</v>
      </c>
      <c r="K2834" s="10">
        <v>1480</v>
      </c>
      <c r="P2834" s="17">
        <v>1</v>
      </c>
      <c r="Q2834" s="19">
        <v>1480</v>
      </c>
      <c r="R2834" s="14">
        <v>160</v>
      </c>
      <c r="S2834" s="19">
        <v>236800</v>
      </c>
      <c r="AJ2834" s="19">
        <v>0</v>
      </c>
      <c r="AK2834" s="23">
        <v>0</v>
      </c>
      <c r="AM2834" s="19">
        <v>0</v>
      </c>
      <c r="AN2834" s="19">
        <v>236800</v>
      </c>
      <c r="AP2834" s="14">
        <v>236800</v>
      </c>
    </row>
    <row r="2835" spans="1:45" x14ac:dyDescent="0.2">
      <c r="A2835" s="2">
        <v>2412</v>
      </c>
      <c r="B2835" s="13">
        <v>3</v>
      </c>
      <c r="C2835" s="17" t="s">
        <v>52</v>
      </c>
      <c r="D2835" s="17">
        <v>1864</v>
      </c>
      <c r="E2835" s="17">
        <v>114</v>
      </c>
      <c r="F2835" s="17">
        <v>1254</v>
      </c>
      <c r="H2835" s="17">
        <v>2</v>
      </c>
      <c r="I2835" s="17">
        <v>2</v>
      </c>
      <c r="J2835" s="17">
        <v>40</v>
      </c>
      <c r="K2835" s="10">
        <v>1040</v>
      </c>
      <c r="P2835" s="17">
        <v>1</v>
      </c>
      <c r="Q2835" s="19">
        <v>1040</v>
      </c>
      <c r="R2835" s="14">
        <v>160</v>
      </c>
      <c r="S2835" s="19">
        <v>166400</v>
      </c>
      <c r="AJ2835" s="19">
        <v>0</v>
      </c>
      <c r="AK2835" s="23">
        <v>0</v>
      </c>
      <c r="AM2835" s="19">
        <v>0</v>
      </c>
      <c r="AN2835" s="19">
        <v>166400</v>
      </c>
      <c r="AP2835" s="14">
        <v>166400</v>
      </c>
    </row>
    <row r="2836" spans="1:45" x14ac:dyDescent="0.2">
      <c r="A2836" s="2">
        <v>2413</v>
      </c>
      <c r="B2836" s="13">
        <v>4</v>
      </c>
      <c r="C2836" s="17" t="s">
        <v>52</v>
      </c>
      <c r="D2836" s="17">
        <v>31972</v>
      </c>
      <c r="E2836" s="17">
        <v>126</v>
      </c>
      <c r="F2836" s="17">
        <v>6291</v>
      </c>
      <c r="H2836" s="17">
        <v>3</v>
      </c>
      <c r="I2836" s="17">
        <v>0</v>
      </c>
      <c r="J2836" s="17">
        <v>45.03</v>
      </c>
      <c r="K2836" s="10">
        <v>1245.03</v>
      </c>
      <c r="P2836" s="17">
        <v>1</v>
      </c>
      <c r="Q2836" s="19">
        <v>1245.03</v>
      </c>
      <c r="R2836" s="14">
        <v>200</v>
      </c>
      <c r="S2836" s="19">
        <v>249006</v>
      </c>
      <c r="AJ2836" s="19">
        <v>0</v>
      </c>
      <c r="AK2836" s="23">
        <v>0</v>
      </c>
      <c r="AM2836" s="19">
        <v>0</v>
      </c>
      <c r="AN2836" s="19">
        <v>249006</v>
      </c>
      <c r="AP2836" s="14">
        <v>249006</v>
      </c>
    </row>
    <row r="2837" spans="1:45" x14ac:dyDescent="0.2">
      <c r="A2837" s="2">
        <v>2414</v>
      </c>
      <c r="B2837" s="13">
        <v>5</v>
      </c>
      <c r="C2837" s="17" t="s">
        <v>52</v>
      </c>
      <c r="D2837" s="17">
        <v>31973</v>
      </c>
      <c r="E2837" s="17">
        <v>127</v>
      </c>
      <c r="F2837" s="17">
        <v>6292</v>
      </c>
      <c r="H2837" s="17">
        <v>1</v>
      </c>
      <c r="I2837" s="17">
        <v>2</v>
      </c>
      <c r="J2837" s="17">
        <v>68</v>
      </c>
      <c r="K2837" s="10">
        <v>668</v>
      </c>
      <c r="P2837" s="17">
        <v>1</v>
      </c>
      <c r="Q2837" s="19">
        <v>668</v>
      </c>
      <c r="R2837" s="14">
        <v>160</v>
      </c>
      <c r="S2837" s="19">
        <v>106880</v>
      </c>
      <c r="AJ2837" s="19">
        <v>0</v>
      </c>
      <c r="AK2837" s="23">
        <v>0</v>
      </c>
      <c r="AM2837" s="19">
        <v>0</v>
      </c>
      <c r="AN2837" s="19">
        <v>106880</v>
      </c>
      <c r="AP2837" s="14">
        <v>106880</v>
      </c>
    </row>
    <row r="2838" spans="1:45" x14ac:dyDescent="0.2">
      <c r="A2838" s="2">
        <v>2415</v>
      </c>
      <c r="B2838" s="13">
        <v>6</v>
      </c>
      <c r="C2838" s="17" t="s">
        <v>52</v>
      </c>
      <c r="D2838" s="17">
        <v>31974</v>
      </c>
      <c r="E2838" s="17">
        <v>128</v>
      </c>
      <c r="F2838" s="17">
        <v>6293</v>
      </c>
      <c r="H2838" s="17">
        <v>2</v>
      </c>
      <c r="I2838" s="17">
        <v>0</v>
      </c>
      <c r="J2838" s="17">
        <v>16</v>
      </c>
      <c r="K2838" s="10">
        <v>816</v>
      </c>
      <c r="P2838" s="17">
        <v>1</v>
      </c>
      <c r="Q2838" s="19">
        <v>816</v>
      </c>
      <c r="R2838" s="14">
        <v>160</v>
      </c>
      <c r="S2838" s="19">
        <v>130560</v>
      </c>
      <c r="AJ2838" s="19">
        <v>0</v>
      </c>
      <c r="AK2838" s="23">
        <v>0</v>
      </c>
      <c r="AM2838" s="19">
        <v>0</v>
      </c>
      <c r="AN2838" s="19">
        <v>130560</v>
      </c>
      <c r="AP2838" s="14">
        <v>130560</v>
      </c>
    </row>
    <row r="2839" spans="1:45" x14ac:dyDescent="0.2">
      <c r="A2839" s="2">
        <v>2416</v>
      </c>
      <c r="B2839" s="13">
        <v>7</v>
      </c>
      <c r="C2839" s="17" t="s">
        <v>52</v>
      </c>
      <c r="D2839" s="17">
        <v>31975</v>
      </c>
      <c r="E2839" s="17">
        <v>129</v>
      </c>
      <c r="F2839" s="17">
        <v>6294</v>
      </c>
      <c r="H2839" s="17">
        <v>1</v>
      </c>
      <c r="I2839" s="17">
        <v>3</v>
      </c>
      <c r="J2839" s="17">
        <v>28.07</v>
      </c>
      <c r="K2839" s="10">
        <v>728.07</v>
      </c>
      <c r="P2839" s="17">
        <v>1</v>
      </c>
      <c r="Q2839" s="19">
        <v>728.07</v>
      </c>
      <c r="R2839" s="14">
        <v>160</v>
      </c>
      <c r="S2839" s="19">
        <v>116491.20000000001</v>
      </c>
      <c r="AJ2839" s="19">
        <v>0</v>
      </c>
      <c r="AK2839" s="23">
        <v>0</v>
      </c>
      <c r="AM2839" s="19">
        <v>0</v>
      </c>
      <c r="AN2839" s="19">
        <v>116491.20000000001</v>
      </c>
      <c r="AP2839" s="14">
        <v>116491.20000000001</v>
      </c>
    </row>
    <row r="2840" spans="1:45" ht="63" x14ac:dyDescent="0.2">
      <c r="A2840" s="2">
        <v>2417</v>
      </c>
      <c r="B2840" s="13">
        <v>8</v>
      </c>
      <c r="C2840" s="17" t="s">
        <v>52</v>
      </c>
      <c r="D2840" s="17">
        <v>1300</v>
      </c>
      <c r="E2840" s="17">
        <v>7</v>
      </c>
      <c r="F2840" s="17">
        <v>884</v>
      </c>
      <c r="H2840" s="17">
        <v>0</v>
      </c>
      <c r="I2840" s="17">
        <v>0</v>
      </c>
      <c r="J2840" s="17">
        <v>82</v>
      </c>
      <c r="L2840" s="17">
        <v>82</v>
      </c>
      <c r="P2840" s="17">
        <v>2</v>
      </c>
      <c r="Q2840" s="19">
        <v>82</v>
      </c>
      <c r="R2840" s="14">
        <v>2000</v>
      </c>
      <c r="S2840" s="19">
        <v>164000</v>
      </c>
      <c r="T2840" s="17">
        <v>1</v>
      </c>
      <c r="U2840" s="17" t="s">
        <v>57</v>
      </c>
      <c r="V2840" s="17" t="s">
        <v>56</v>
      </c>
      <c r="W2840" s="4">
        <v>157.5</v>
      </c>
      <c r="Y2840" s="4">
        <v>157.5</v>
      </c>
      <c r="AB2840" s="17">
        <v>11</v>
      </c>
      <c r="AJ2840" s="19">
        <v>0</v>
      </c>
      <c r="AK2840" s="23">
        <v>11</v>
      </c>
      <c r="AM2840" s="19">
        <v>0</v>
      </c>
      <c r="AN2840" s="19">
        <v>164000</v>
      </c>
      <c r="AP2840" s="14">
        <v>164000</v>
      </c>
    </row>
    <row r="2841" spans="1:45" x14ac:dyDescent="0.2">
      <c r="A2841" s="2">
        <v>2418</v>
      </c>
      <c r="B2841" s="13">
        <v>9</v>
      </c>
      <c r="C2841" s="17" t="s">
        <v>65</v>
      </c>
      <c r="D2841" s="17">
        <v>927</v>
      </c>
      <c r="E2841" s="17">
        <v>225</v>
      </c>
      <c r="H2841" s="17">
        <v>13</v>
      </c>
      <c r="I2841" s="17">
        <v>1</v>
      </c>
      <c r="J2841" s="17">
        <v>76</v>
      </c>
      <c r="K2841" s="10">
        <v>5376</v>
      </c>
      <c r="Q2841" s="19">
        <v>5376</v>
      </c>
      <c r="R2841" s="14">
        <v>250</v>
      </c>
      <c r="S2841" s="19">
        <v>1344000</v>
      </c>
      <c r="AE2841" s="17" t="s">
        <v>94</v>
      </c>
      <c r="AJ2841" s="19">
        <v>0</v>
      </c>
      <c r="AK2841" s="23">
        <v>0</v>
      </c>
      <c r="AM2841" s="19">
        <v>0</v>
      </c>
      <c r="AN2841" s="19">
        <v>1344000</v>
      </c>
      <c r="AP2841" s="14">
        <v>1344000</v>
      </c>
      <c r="AQ2841" s="12">
        <v>1E-4</v>
      </c>
    </row>
    <row r="2843" spans="1:45" ht="63" x14ac:dyDescent="0.2">
      <c r="A2843" s="2">
        <v>2419</v>
      </c>
      <c r="B2843" s="13">
        <v>1</v>
      </c>
      <c r="C2843" s="17" t="s">
        <v>52</v>
      </c>
      <c r="D2843" s="17">
        <v>1432</v>
      </c>
      <c r="E2843" s="17">
        <v>5</v>
      </c>
      <c r="F2843" s="17">
        <v>872</v>
      </c>
      <c r="H2843" s="17">
        <v>3</v>
      </c>
      <c r="I2843" s="17">
        <v>2</v>
      </c>
      <c r="J2843" s="17">
        <v>24</v>
      </c>
      <c r="K2843" s="10">
        <v>1376.75</v>
      </c>
      <c r="L2843" s="17">
        <v>47.25</v>
      </c>
      <c r="P2843" s="17">
        <v>5</v>
      </c>
      <c r="Q2843" s="19">
        <v>1424</v>
      </c>
      <c r="R2843" s="14">
        <v>375</v>
      </c>
      <c r="S2843" s="19">
        <v>534000</v>
      </c>
      <c r="T2843" s="17">
        <v>1</v>
      </c>
      <c r="U2843" s="17" t="s">
        <v>57</v>
      </c>
      <c r="V2843" s="17" t="s">
        <v>56</v>
      </c>
      <c r="W2843" s="4">
        <v>189</v>
      </c>
      <c r="Y2843" s="4">
        <v>189</v>
      </c>
      <c r="AB2843" s="17">
        <v>25</v>
      </c>
      <c r="AJ2843" s="19">
        <v>0</v>
      </c>
      <c r="AK2843" s="23">
        <v>25</v>
      </c>
      <c r="AM2843" s="19">
        <v>0</v>
      </c>
      <c r="AN2843" s="19">
        <v>534000</v>
      </c>
      <c r="AP2843" s="14">
        <v>534000</v>
      </c>
    </row>
    <row r="2844" spans="1:45" x14ac:dyDescent="0.2">
      <c r="A2844" s="2">
        <v>2420</v>
      </c>
      <c r="B2844" s="13">
        <v>2</v>
      </c>
      <c r="C2844" s="17" t="s">
        <v>52</v>
      </c>
      <c r="D2844" s="17">
        <v>1865</v>
      </c>
      <c r="E2844" s="17">
        <v>115</v>
      </c>
      <c r="F2844" s="17">
        <v>1255</v>
      </c>
      <c r="H2844" s="17">
        <v>3</v>
      </c>
      <c r="I2844" s="17">
        <v>0</v>
      </c>
      <c r="J2844" s="17">
        <v>36</v>
      </c>
      <c r="K2844" s="10">
        <v>1236</v>
      </c>
      <c r="P2844" s="17">
        <v>1</v>
      </c>
      <c r="Q2844" s="19">
        <v>1236</v>
      </c>
      <c r="R2844" s="14">
        <v>160</v>
      </c>
      <c r="S2844" s="19">
        <v>197760</v>
      </c>
      <c r="AJ2844" s="19">
        <v>0</v>
      </c>
      <c r="AK2844" s="23">
        <v>0</v>
      </c>
      <c r="AM2844" s="19">
        <v>0</v>
      </c>
      <c r="AN2844" s="19">
        <v>197760</v>
      </c>
      <c r="AP2844" s="14">
        <v>197760</v>
      </c>
    </row>
    <row r="2845" spans="1:45" x14ac:dyDescent="0.2">
      <c r="A2845" s="2">
        <v>2421</v>
      </c>
      <c r="B2845" s="13">
        <v>3</v>
      </c>
      <c r="C2845" s="17" t="s">
        <v>52</v>
      </c>
      <c r="D2845" s="17">
        <v>20173</v>
      </c>
      <c r="E2845" s="17">
        <v>270</v>
      </c>
      <c r="F2845" s="17">
        <v>3426</v>
      </c>
      <c r="H2845" s="17">
        <v>0</v>
      </c>
      <c r="I2845" s="17">
        <v>1</v>
      </c>
      <c r="J2845" s="17">
        <v>64</v>
      </c>
      <c r="N2845" s="18">
        <v>164</v>
      </c>
      <c r="P2845" s="17">
        <v>4</v>
      </c>
      <c r="Q2845" s="19">
        <v>164</v>
      </c>
      <c r="R2845" s="14">
        <v>1500</v>
      </c>
      <c r="S2845" s="19">
        <v>246000</v>
      </c>
      <c r="AJ2845" s="19">
        <v>0</v>
      </c>
      <c r="AK2845" s="23">
        <v>0</v>
      </c>
      <c r="AM2845" s="19">
        <v>0</v>
      </c>
      <c r="AN2845" s="19">
        <v>246000</v>
      </c>
      <c r="AP2845" s="14">
        <v>246000</v>
      </c>
      <c r="AQ2845" s="12">
        <v>3.0000000000000001E-3</v>
      </c>
    </row>
    <row r="2846" spans="1:45" x14ac:dyDescent="0.2">
      <c r="A2846" s="2">
        <v>2422</v>
      </c>
      <c r="B2846" s="13">
        <v>1</v>
      </c>
      <c r="C2846" s="17" t="s">
        <v>52</v>
      </c>
      <c r="D2846" s="17">
        <v>1711</v>
      </c>
      <c r="E2846" s="17">
        <v>28</v>
      </c>
      <c r="F2846" s="17">
        <v>1380</v>
      </c>
      <c r="H2846" s="17">
        <v>4</v>
      </c>
      <c r="I2846" s="17">
        <v>3</v>
      </c>
      <c r="J2846" s="17">
        <v>92</v>
      </c>
      <c r="K2846" s="10">
        <v>1992</v>
      </c>
      <c r="P2846" s="17">
        <v>1</v>
      </c>
      <c r="Q2846" s="19">
        <v>1992</v>
      </c>
      <c r="R2846" s="14">
        <v>200</v>
      </c>
      <c r="S2846" s="19">
        <v>398400</v>
      </c>
      <c r="AJ2846" s="19">
        <v>0</v>
      </c>
      <c r="AK2846" s="23">
        <v>0</v>
      </c>
      <c r="AM2846" s="19">
        <v>0</v>
      </c>
      <c r="AN2846" s="19">
        <v>398400</v>
      </c>
      <c r="AP2846" s="14">
        <v>398400</v>
      </c>
    </row>
    <row r="2847" spans="1:45" ht="63" x14ac:dyDescent="0.2">
      <c r="A2847" s="2">
        <v>2423</v>
      </c>
      <c r="B2847" s="13">
        <v>2</v>
      </c>
      <c r="C2847" s="17" t="s">
        <v>52</v>
      </c>
      <c r="D2847" s="17">
        <v>20174</v>
      </c>
      <c r="E2847" s="17">
        <v>150</v>
      </c>
      <c r="F2847" s="17">
        <v>3427</v>
      </c>
      <c r="H2847" s="17">
        <v>0</v>
      </c>
      <c r="I2847" s="17">
        <v>1</v>
      </c>
      <c r="J2847" s="17">
        <v>79</v>
      </c>
      <c r="L2847" s="17">
        <v>179</v>
      </c>
      <c r="P2847" s="17">
        <v>2</v>
      </c>
      <c r="Q2847" s="19">
        <v>179</v>
      </c>
      <c r="R2847" s="14">
        <v>1500</v>
      </c>
      <c r="S2847" s="19">
        <v>268500</v>
      </c>
      <c r="T2847" s="17">
        <v>1</v>
      </c>
      <c r="U2847" s="17" t="s">
        <v>57</v>
      </c>
      <c r="V2847" s="17" t="s">
        <v>88</v>
      </c>
      <c r="W2847" s="4">
        <v>75</v>
      </c>
      <c r="Y2847" s="4">
        <v>75</v>
      </c>
      <c r="AB2847" s="17">
        <v>29</v>
      </c>
      <c r="AJ2847" s="19">
        <v>0</v>
      </c>
      <c r="AK2847" s="23">
        <v>29</v>
      </c>
      <c r="AM2847" s="19">
        <v>0</v>
      </c>
      <c r="AN2847" s="19">
        <v>268500</v>
      </c>
      <c r="AP2847" s="14">
        <v>268500</v>
      </c>
    </row>
    <row r="2848" spans="1:45" x14ac:dyDescent="0.2">
      <c r="A2848" s="2">
        <v>2424</v>
      </c>
      <c r="B2848" s="13">
        <v>1</v>
      </c>
      <c r="C2848" s="17" t="s">
        <v>52</v>
      </c>
      <c r="D2848" s="17">
        <v>1909</v>
      </c>
      <c r="E2848" s="17">
        <v>85</v>
      </c>
      <c r="F2848" s="17">
        <v>495</v>
      </c>
      <c r="G2848" s="13">
        <v>2</v>
      </c>
      <c r="H2848" s="17">
        <v>0</v>
      </c>
      <c r="I2848" s="17">
        <v>2</v>
      </c>
      <c r="J2848" s="17">
        <v>63</v>
      </c>
      <c r="M2848" s="15">
        <v>263</v>
      </c>
      <c r="P2848" s="17">
        <v>3</v>
      </c>
      <c r="Q2848" s="19">
        <v>263</v>
      </c>
      <c r="R2848" s="14">
        <v>4500</v>
      </c>
      <c r="S2848" s="19">
        <v>1183500</v>
      </c>
      <c r="AM2848" s="19">
        <v>0</v>
      </c>
      <c r="AN2848" s="19">
        <v>1183500</v>
      </c>
      <c r="AP2848" s="14">
        <v>1183500</v>
      </c>
      <c r="AQ2848" s="12">
        <v>3.0000000000000001E-3</v>
      </c>
    </row>
    <row r="2849" spans="1:45" s="19" customFormat="1" ht="105" x14ac:dyDescent="0.2">
      <c r="A2849" s="2"/>
      <c r="B2849" s="13"/>
      <c r="C2849" s="17"/>
      <c r="D2849" s="17"/>
      <c r="E2849" s="17"/>
      <c r="F2849" s="17"/>
      <c r="G2849" s="13"/>
      <c r="H2849" s="17"/>
      <c r="I2849" s="17"/>
      <c r="J2849" s="17"/>
      <c r="K2849" s="10"/>
      <c r="L2849" s="17"/>
      <c r="M2849" s="15"/>
      <c r="N2849" s="18"/>
      <c r="O2849" s="14"/>
      <c r="P2849" s="17"/>
      <c r="R2849" s="14"/>
      <c r="T2849" s="17">
        <v>1</v>
      </c>
      <c r="U2849" s="17" t="s">
        <v>174</v>
      </c>
      <c r="V2849" s="17" t="s">
        <v>56</v>
      </c>
      <c r="W2849" s="4">
        <v>140</v>
      </c>
      <c r="X2849" s="17"/>
      <c r="Y2849" s="4">
        <v>140</v>
      </c>
      <c r="Z2849" s="17"/>
      <c r="AA2849" s="17"/>
      <c r="AB2849" s="17">
        <v>6</v>
      </c>
      <c r="AC2849" s="14"/>
      <c r="AD2849" s="14"/>
      <c r="AE2849" s="17"/>
      <c r="AF2849" s="14">
        <v>3</v>
      </c>
      <c r="AG2849" s="54">
        <v>140</v>
      </c>
      <c r="AH2849" s="11">
        <v>1</v>
      </c>
      <c r="AI2849" s="14">
        <v>5800</v>
      </c>
      <c r="AJ2849" s="19">
        <v>812000</v>
      </c>
      <c r="AK2849" s="23">
        <v>6</v>
      </c>
      <c r="AL2849" s="11">
        <v>0.06</v>
      </c>
      <c r="AM2849" s="19">
        <v>763280</v>
      </c>
      <c r="AO2849" s="14"/>
      <c r="AP2849" s="14">
        <v>763280</v>
      </c>
      <c r="AQ2849" s="12">
        <v>3.0000000000000001E-3</v>
      </c>
      <c r="AS2849" s="26"/>
    </row>
    <row r="2850" spans="1:45" s="19" customFormat="1" x14ac:dyDescent="0.2">
      <c r="A2850" s="2">
        <v>2425</v>
      </c>
      <c r="B2850" s="13">
        <v>2</v>
      </c>
      <c r="C2850" s="17" t="s">
        <v>52</v>
      </c>
      <c r="D2850" s="17">
        <v>2116</v>
      </c>
      <c r="E2850" s="17">
        <v>6</v>
      </c>
      <c r="F2850" s="17">
        <v>1677</v>
      </c>
      <c r="G2850" s="13">
        <v>3</v>
      </c>
      <c r="H2850" s="17">
        <v>8</v>
      </c>
      <c r="I2850" s="17">
        <v>1</v>
      </c>
      <c r="J2850" s="17">
        <v>67</v>
      </c>
      <c r="K2850" s="10">
        <v>3367</v>
      </c>
      <c r="L2850" s="17"/>
      <c r="M2850" s="15"/>
      <c r="N2850" s="18"/>
      <c r="O2850" s="14"/>
      <c r="P2850" s="17">
        <v>1</v>
      </c>
      <c r="Q2850" s="19">
        <v>3367</v>
      </c>
      <c r="R2850" s="14">
        <v>200</v>
      </c>
      <c r="S2850" s="19">
        <v>673400</v>
      </c>
      <c r="T2850" s="17"/>
      <c r="U2850" s="17"/>
      <c r="V2850" s="17"/>
      <c r="W2850" s="4"/>
      <c r="X2850" s="17"/>
      <c r="Y2850" s="4"/>
      <c r="Z2850" s="17"/>
      <c r="AA2850" s="17"/>
      <c r="AB2850" s="17"/>
      <c r="AC2850" s="14"/>
      <c r="AD2850" s="14"/>
      <c r="AE2850" s="17"/>
      <c r="AF2850" s="14"/>
      <c r="AG2850" s="54"/>
      <c r="AH2850" s="11"/>
      <c r="AI2850" s="14"/>
      <c r="AJ2850" s="19">
        <v>0</v>
      </c>
      <c r="AK2850" s="23">
        <v>0</v>
      </c>
      <c r="AL2850" s="11"/>
      <c r="AM2850" s="19">
        <v>0</v>
      </c>
      <c r="AN2850" s="19">
        <v>673400</v>
      </c>
      <c r="AO2850" s="14"/>
      <c r="AP2850" s="14">
        <v>673400</v>
      </c>
      <c r="AQ2850" s="12"/>
      <c r="AS2850" s="26"/>
    </row>
    <row r="2851" spans="1:45" s="19" customFormat="1" x14ac:dyDescent="0.2">
      <c r="A2851" s="2">
        <v>2426</v>
      </c>
      <c r="B2851" s="13">
        <v>3</v>
      </c>
      <c r="C2851" s="17" t="s">
        <v>52</v>
      </c>
      <c r="D2851" s="17">
        <v>2153</v>
      </c>
      <c r="E2851" s="17">
        <v>30</v>
      </c>
      <c r="F2851" s="17">
        <v>1623</v>
      </c>
      <c r="G2851" s="13">
        <v>3</v>
      </c>
      <c r="H2851" s="17">
        <v>5</v>
      </c>
      <c r="I2851" s="17">
        <v>1</v>
      </c>
      <c r="J2851" s="17">
        <v>81</v>
      </c>
      <c r="K2851" s="10">
        <v>2281</v>
      </c>
      <c r="L2851" s="17"/>
      <c r="M2851" s="15"/>
      <c r="N2851" s="18"/>
      <c r="O2851" s="14"/>
      <c r="P2851" s="17">
        <v>1</v>
      </c>
      <c r="Q2851" s="19">
        <v>2181</v>
      </c>
      <c r="R2851" s="14">
        <v>200</v>
      </c>
      <c r="S2851" s="19">
        <v>436200</v>
      </c>
      <c r="T2851" s="17"/>
      <c r="U2851" s="17"/>
      <c r="V2851" s="17"/>
      <c r="W2851" s="4"/>
      <c r="X2851" s="17"/>
      <c r="Y2851" s="4"/>
      <c r="Z2851" s="17"/>
      <c r="AA2851" s="17"/>
      <c r="AB2851" s="17"/>
      <c r="AC2851" s="14"/>
      <c r="AD2851" s="14"/>
      <c r="AE2851" s="17"/>
      <c r="AF2851" s="14"/>
      <c r="AG2851" s="54"/>
      <c r="AH2851" s="11"/>
      <c r="AI2851" s="14"/>
      <c r="AJ2851" s="19">
        <v>0</v>
      </c>
      <c r="AK2851" s="23">
        <v>0</v>
      </c>
      <c r="AL2851" s="11"/>
      <c r="AM2851" s="19">
        <v>0</v>
      </c>
      <c r="AN2851" s="19">
        <v>436200</v>
      </c>
      <c r="AO2851" s="14"/>
      <c r="AP2851" s="14">
        <v>436200</v>
      </c>
      <c r="AQ2851" s="12"/>
      <c r="AS2851" s="26"/>
    </row>
    <row r="2852" spans="1:45" s="19" customFormat="1" x14ac:dyDescent="0.2">
      <c r="A2852" s="2">
        <v>2427</v>
      </c>
      <c r="B2852" s="13">
        <v>4</v>
      </c>
      <c r="C2852" s="17" t="s">
        <v>52</v>
      </c>
      <c r="D2852" s="17">
        <v>1198</v>
      </c>
      <c r="E2852" s="17">
        <v>17</v>
      </c>
      <c r="F2852" s="17">
        <v>915</v>
      </c>
      <c r="G2852" s="13"/>
      <c r="H2852" s="17">
        <v>0</v>
      </c>
      <c r="I2852" s="17">
        <v>0</v>
      </c>
      <c r="J2852" s="17">
        <v>85</v>
      </c>
      <c r="K2852" s="10"/>
      <c r="L2852" s="17"/>
      <c r="M2852" s="15"/>
      <c r="N2852" s="18">
        <v>85</v>
      </c>
      <c r="O2852" s="14"/>
      <c r="P2852" s="17">
        <v>4</v>
      </c>
      <c r="Q2852" s="19">
        <v>85</v>
      </c>
      <c r="R2852" s="14">
        <v>1500</v>
      </c>
      <c r="S2852" s="19">
        <v>127500</v>
      </c>
      <c r="T2852" s="17"/>
      <c r="U2852" s="17"/>
      <c r="V2852" s="17"/>
      <c r="W2852" s="4"/>
      <c r="X2852" s="17"/>
      <c r="Y2852" s="4"/>
      <c r="Z2852" s="17"/>
      <c r="AA2852" s="17"/>
      <c r="AB2852" s="17"/>
      <c r="AC2852" s="14"/>
      <c r="AD2852" s="14"/>
      <c r="AE2852" s="17"/>
      <c r="AF2852" s="14"/>
      <c r="AG2852" s="54"/>
      <c r="AH2852" s="11"/>
      <c r="AI2852" s="14"/>
      <c r="AJ2852" s="19">
        <v>0</v>
      </c>
      <c r="AK2852" s="23">
        <v>0</v>
      </c>
      <c r="AL2852" s="11"/>
      <c r="AM2852" s="19">
        <v>0</v>
      </c>
      <c r="AN2852" s="19">
        <v>127500</v>
      </c>
      <c r="AO2852" s="14"/>
      <c r="AP2852" s="14">
        <v>127500</v>
      </c>
      <c r="AQ2852" s="12">
        <v>3.0000000000000001E-3</v>
      </c>
      <c r="AS2852" s="26"/>
    </row>
    <row r="2853" spans="1:45" s="19" customFormat="1" x14ac:dyDescent="0.2">
      <c r="A2853" s="2">
        <v>2428</v>
      </c>
      <c r="B2853" s="13">
        <v>5</v>
      </c>
      <c r="C2853" s="17" t="s">
        <v>52</v>
      </c>
      <c r="D2853" s="17">
        <v>1500</v>
      </c>
      <c r="E2853" s="17">
        <v>68</v>
      </c>
      <c r="F2853" s="17">
        <v>1072</v>
      </c>
      <c r="G2853" s="13"/>
      <c r="H2853" s="17">
        <v>3</v>
      </c>
      <c r="I2853" s="17">
        <v>2</v>
      </c>
      <c r="J2853" s="17">
        <v>37.020000000000003</v>
      </c>
      <c r="K2853" s="10">
        <v>1437.02</v>
      </c>
      <c r="L2853" s="17"/>
      <c r="M2853" s="15"/>
      <c r="N2853" s="18"/>
      <c r="O2853" s="14"/>
      <c r="P2853" s="17">
        <v>1</v>
      </c>
      <c r="Q2853" s="19">
        <v>1437.02</v>
      </c>
      <c r="R2853" s="14">
        <v>200</v>
      </c>
      <c r="S2853" s="19">
        <v>287404</v>
      </c>
      <c r="T2853" s="17"/>
      <c r="U2853" s="17"/>
      <c r="V2853" s="17"/>
      <c r="W2853" s="4"/>
      <c r="X2853" s="17"/>
      <c r="Y2853" s="4"/>
      <c r="Z2853" s="17"/>
      <c r="AA2853" s="17"/>
      <c r="AB2853" s="17"/>
      <c r="AC2853" s="14"/>
      <c r="AD2853" s="14"/>
      <c r="AE2853" s="17"/>
      <c r="AF2853" s="14"/>
      <c r="AG2853" s="54"/>
      <c r="AH2853" s="11"/>
      <c r="AI2853" s="14"/>
      <c r="AJ2853" s="19">
        <v>0</v>
      </c>
      <c r="AK2853" s="23">
        <v>0</v>
      </c>
      <c r="AL2853" s="11"/>
      <c r="AM2853" s="19">
        <v>0</v>
      </c>
      <c r="AN2853" s="19">
        <v>287404</v>
      </c>
      <c r="AO2853" s="14"/>
      <c r="AP2853" s="14">
        <v>287404</v>
      </c>
      <c r="AQ2853" s="12"/>
      <c r="AS2853" s="26"/>
    </row>
    <row r="2854" spans="1:45" s="19" customFormat="1" ht="63" x14ac:dyDescent="0.2">
      <c r="A2854" s="2">
        <v>2587</v>
      </c>
      <c r="B2854" s="13">
        <v>6</v>
      </c>
      <c r="C2854" s="17" t="s">
        <v>52</v>
      </c>
      <c r="D2854" s="17">
        <v>2307</v>
      </c>
      <c r="E2854" s="17">
        <v>57</v>
      </c>
      <c r="F2854" s="17">
        <v>1063</v>
      </c>
      <c r="G2854" s="13"/>
      <c r="H2854" s="17">
        <v>0</v>
      </c>
      <c r="I2854" s="17">
        <v>1</v>
      </c>
      <c r="J2854" s="17">
        <v>60</v>
      </c>
      <c r="K2854" s="10"/>
      <c r="L2854" s="17">
        <v>160</v>
      </c>
      <c r="M2854" s="15"/>
      <c r="N2854" s="18"/>
      <c r="O2854" s="14"/>
      <c r="P2854" s="17">
        <v>2</v>
      </c>
      <c r="Q2854" s="19">
        <v>160</v>
      </c>
      <c r="R2854" s="14">
        <v>2000</v>
      </c>
      <c r="S2854" s="19">
        <v>320000</v>
      </c>
      <c r="T2854" s="17">
        <v>1</v>
      </c>
      <c r="U2854" s="17" t="s">
        <v>57</v>
      </c>
      <c r="V2854" s="17" t="s">
        <v>88</v>
      </c>
      <c r="W2854" s="4">
        <v>40.5</v>
      </c>
      <c r="X2854" s="17"/>
      <c r="Y2854" s="4">
        <v>40.5</v>
      </c>
      <c r="Z2854" s="17"/>
      <c r="AA2854" s="17"/>
      <c r="AB2854" s="17">
        <v>30</v>
      </c>
      <c r="AC2854" s="14"/>
      <c r="AD2854" s="14"/>
      <c r="AE2854" s="17"/>
      <c r="AF2854" s="14">
        <v>2</v>
      </c>
      <c r="AG2854" s="54">
        <v>40.5</v>
      </c>
      <c r="AH2854" s="11">
        <v>1</v>
      </c>
      <c r="AI2854" s="14">
        <v>7250</v>
      </c>
      <c r="AJ2854" s="19">
        <v>293625</v>
      </c>
      <c r="AK2854" s="23">
        <v>30</v>
      </c>
      <c r="AL2854" s="11">
        <v>0.5</v>
      </c>
      <c r="AM2854" s="19">
        <v>146812.5</v>
      </c>
      <c r="AN2854" s="19">
        <v>253468.5</v>
      </c>
      <c r="AO2854" s="14"/>
      <c r="AP2854" s="14">
        <v>253468.5</v>
      </c>
      <c r="AQ2854" s="12">
        <v>2.0000000000000001E-4</v>
      </c>
      <c r="AS2854" s="26"/>
    </row>
    <row r="2855" spans="1:45" s="19" customFormat="1" ht="63" x14ac:dyDescent="0.2">
      <c r="A2855" s="2"/>
      <c r="B2855" s="13"/>
      <c r="C2855" s="17"/>
      <c r="D2855" s="17"/>
      <c r="E2855" s="17"/>
      <c r="F2855" s="17"/>
      <c r="G2855" s="13"/>
      <c r="H2855" s="17"/>
      <c r="I2855" s="17"/>
      <c r="J2855" s="17"/>
      <c r="K2855" s="10"/>
      <c r="L2855" s="17"/>
      <c r="M2855" s="15"/>
      <c r="N2855" s="18"/>
      <c r="O2855" s="14"/>
      <c r="P2855" s="17"/>
      <c r="R2855" s="14"/>
      <c r="T2855" s="17">
        <v>2</v>
      </c>
      <c r="U2855" s="17" t="s">
        <v>57</v>
      </c>
      <c r="V2855" s="17" t="s">
        <v>56</v>
      </c>
      <c r="W2855" s="4">
        <v>40.5</v>
      </c>
      <c r="X2855" s="17"/>
      <c r="Y2855" s="4">
        <v>40.5</v>
      </c>
      <c r="Z2855" s="17"/>
      <c r="AA2855" s="17"/>
      <c r="AB2855" s="17">
        <v>18</v>
      </c>
      <c r="AC2855" s="14"/>
      <c r="AD2855" s="14"/>
      <c r="AE2855" s="17"/>
      <c r="AF2855" s="14">
        <v>2</v>
      </c>
      <c r="AG2855" s="54">
        <v>40.5</v>
      </c>
      <c r="AH2855" s="11">
        <v>1</v>
      </c>
      <c r="AI2855" s="14">
        <v>7250</v>
      </c>
      <c r="AJ2855" s="19">
        <v>293625</v>
      </c>
      <c r="AK2855" s="23">
        <v>18</v>
      </c>
      <c r="AL2855" s="11">
        <v>0.26</v>
      </c>
      <c r="AM2855" s="19">
        <v>217282.5</v>
      </c>
      <c r="AN2855" s="19">
        <v>323938.5</v>
      </c>
      <c r="AO2855" s="14"/>
      <c r="AP2855" s="14">
        <v>323938.5</v>
      </c>
      <c r="AQ2855" s="12">
        <v>2.0000000000000001E-4</v>
      </c>
      <c r="AS2855" s="26"/>
    </row>
    <row r="2856" spans="1:45" s="19" customFormat="1" ht="63" x14ac:dyDescent="0.2">
      <c r="A2856" s="2"/>
      <c r="B2856" s="13"/>
      <c r="C2856" s="17"/>
      <c r="D2856" s="17"/>
      <c r="E2856" s="17"/>
      <c r="F2856" s="17"/>
      <c r="G2856" s="13"/>
      <c r="H2856" s="17"/>
      <c r="I2856" s="17"/>
      <c r="J2856" s="17"/>
      <c r="K2856" s="10"/>
      <c r="L2856" s="17"/>
      <c r="M2856" s="15"/>
      <c r="N2856" s="18"/>
      <c r="O2856" s="14"/>
      <c r="P2856" s="17"/>
      <c r="R2856" s="14"/>
      <c r="T2856" s="17">
        <v>3</v>
      </c>
      <c r="U2856" s="17" t="s">
        <v>57</v>
      </c>
      <c r="V2856" s="17" t="s">
        <v>56</v>
      </c>
      <c r="W2856" s="4">
        <v>40.5</v>
      </c>
      <c r="X2856" s="17"/>
      <c r="Y2856" s="4">
        <v>40.5</v>
      </c>
      <c r="Z2856" s="17"/>
      <c r="AA2856" s="17"/>
      <c r="AB2856" s="17">
        <v>26</v>
      </c>
      <c r="AC2856" s="14"/>
      <c r="AD2856" s="14"/>
      <c r="AE2856" s="17"/>
      <c r="AF2856" s="14">
        <v>2</v>
      </c>
      <c r="AG2856" s="54">
        <v>40.5</v>
      </c>
      <c r="AH2856" s="11">
        <v>1</v>
      </c>
      <c r="AI2856" s="14">
        <v>7250</v>
      </c>
      <c r="AJ2856" s="19">
        <v>293625</v>
      </c>
      <c r="AK2856" s="23">
        <v>26</v>
      </c>
      <c r="AL2856" s="11">
        <v>0.42</v>
      </c>
      <c r="AM2856" s="19">
        <v>170302.5</v>
      </c>
      <c r="AN2856" s="19">
        <v>276958.5</v>
      </c>
      <c r="AO2856" s="14"/>
      <c r="AP2856" s="14">
        <v>276958.5</v>
      </c>
      <c r="AQ2856" s="12">
        <v>2.0000000000000001E-4</v>
      </c>
      <c r="AS2856" s="26"/>
    </row>
    <row r="2857" spans="1:45" s="19" customFormat="1" ht="105" x14ac:dyDescent="0.2">
      <c r="A2857" s="2">
        <v>2429</v>
      </c>
      <c r="B2857" s="13">
        <v>7</v>
      </c>
      <c r="C2857" s="17" t="s">
        <v>52</v>
      </c>
      <c r="D2857" s="17">
        <v>12316</v>
      </c>
      <c r="E2857" s="17">
        <v>138</v>
      </c>
      <c r="F2857" s="17">
        <v>3228</v>
      </c>
      <c r="G2857" s="13"/>
      <c r="H2857" s="17">
        <v>0</v>
      </c>
      <c r="I2857" s="17">
        <v>1</v>
      </c>
      <c r="J2857" s="17">
        <v>78.069999999999993</v>
      </c>
      <c r="K2857" s="10"/>
      <c r="L2857" s="17"/>
      <c r="M2857" s="15"/>
      <c r="N2857" s="18"/>
      <c r="O2857" s="14"/>
      <c r="P2857" s="17"/>
      <c r="Q2857" s="19">
        <v>178.07</v>
      </c>
      <c r="R2857" s="14">
        <v>160</v>
      </c>
      <c r="S2857" s="19">
        <v>28491.199999999997</v>
      </c>
      <c r="T2857" s="17">
        <v>1</v>
      </c>
      <c r="U2857" s="17" t="s">
        <v>174</v>
      </c>
      <c r="V2857" s="17"/>
      <c r="W2857" s="4"/>
      <c r="X2857" s="17"/>
      <c r="Y2857" s="4"/>
      <c r="Z2857" s="17"/>
      <c r="AA2857" s="17"/>
      <c r="AB2857" s="17"/>
      <c r="AC2857" s="14"/>
      <c r="AD2857" s="14"/>
      <c r="AE2857" s="17"/>
      <c r="AF2857" s="14"/>
      <c r="AG2857" s="54"/>
      <c r="AH2857" s="11"/>
      <c r="AI2857" s="14"/>
      <c r="AJ2857" s="19">
        <v>0</v>
      </c>
      <c r="AK2857" s="23">
        <v>0</v>
      </c>
      <c r="AL2857" s="11"/>
      <c r="AM2857" s="19">
        <v>0</v>
      </c>
      <c r="AN2857" s="19">
        <v>28491.199999999997</v>
      </c>
      <c r="AO2857" s="14"/>
      <c r="AP2857" s="14">
        <v>28491.199999999997</v>
      </c>
      <c r="AQ2857" s="12"/>
      <c r="AS2857" s="26"/>
    </row>
    <row r="2858" spans="1:45" s="19" customFormat="1" x14ac:dyDescent="0.2">
      <c r="A2858" s="2">
        <v>2430</v>
      </c>
      <c r="B2858" s="13">
        <v>8</v>
      </c>
      <c r="C2858" s="17" t="s">
        <v>52</v>
      </c>
      <c r="D2858" s="17">
        <v>12579</v>
      </c>
      <c r="E2858" s="17">
        <v>141</v>
      </c>
      <c r="F2858" s="17">
        <v>3258</v>
      </c>
      <c r="G2858" s="13"/>
      <c r="H2858" s="17">
        <v>3</v>
      </c>
      <c r="I2858" s="17">
        <v>3</v>
      </c>
      <c r="J2858" s="17">
        <v>33</v>
      </c>
      <c r="K2858" s="10">
        <v>1533</v>
      </c>
      <c r="L2858" s="17"/>
      <c r="M2858" s="15"/>
      <c r="N2858" s="18"/>
      <c r="O2858" s="14"/>
      <c r="P2858" s="17">
        <v>1</v>
      </c>
      <c r="Q2858" s="19">
        <v>1533</v>
      </c>
      <c r="R2858" s="14">
        <v>160</v>
      </c>
      <c r="S2858" s="19">
        <v>245280</v>
      </c>
      <c r="T2858" s="17"/>
      <c r="U2858" s="17"/>
      <c r="V2858" s="17"/>
      <c r="W2858" s="4"/>
      <c r="X2858" s="17"/>
      <c r="Y2858" s="4"/>
      <c r="Z2858" s="17"/>
      <c r="AA2858" s="17"/>
      <c r="AB2858" s="17"/>
      <c r="AC2858" s="14"/>
      <c r="AD2858" s="14"/>
      <c r="AE2858" s="17"/>
      <c r="AF2858" s="14"/>
      <c r="AG2858" s="54"/>
      <c r="AH2858" s="11"/>
      <c r="AI2858" s="14"/>
      <c r="AJ2858" s="19">
        <v>0</v>
      </c>
      <c r="AK2858" s="23">
        <v>0</v>
      </c>
      <c r="AL2858" s="11"/>
      <c r="AM2858" s="19">
        <v>0</v>
      </c>
      <c r="AN2858" s="19">
        <v>245280</v>
      </c>
      <c r="AO2858" s="14"/>
      <c r="AP2858" s="14">
        <v>245280</v>
      </c>
      <c r="AQ2858" s="12"/>
      <c r="AS2858" s="26"/>
    </row>
    <row r="2859" spans="1:45" s="19" customFormat="1" x14ac:dyDescent="0.2">
      <c r="A2859" s="2">
        <v>2431</v>
      </c>
      <c r="B2859" s="13">
        <v>9</v>
      </c>
      <c r="C2859" s="17" t="s">
        <v>52</v>
      </c>
      <c r="D2859" s="17">
        <v>23974</v>
      </c>
      <c r="E2859" s="17">
        <v>172</v>
      </c>
      <c r="F2859" s="17">
        <v>4923</v>
      </c>
      <c r="G2859" s="13"/>
      <c r="H2859" s="17">
        <v>1</v>
      </c>
      <c r="I2859" s="17">
        <v>0</v>
      </c>
      <c r="J2859" s="17">
        <v>6</v>
      </c>
      <c r="K2859" s="10">
        <v>406</v>
      </c>
      <c r="L2859" s="17"/>
      <c r="M2859" s="15"/>
      <c r="N2859" s="18"/>
      <c r="O2859" s="14"/>
      <c r="P2859" s="17">
        <v>1</v>
      </c>
      <c r="Q2859" s="19">
        <v>406</v>
      </c>
      <c r="R2859" s="14">
        <v>250</v>
      </c>
      <c r="S2859" s="19">
        <v>101500</v>
      </c>
      <c r="T2859" s="17"/>
      <c r="U2859" s="17"/>
      <c r="V2859" s="17"/>
      <c r="W2859" s="4"/>
      <c r="X2859" s="17"/>
      <c r="Y2859" s="4"/>
      <c r="Z2859" s="17"/>
      <c r="AA2859" s="17"/>
      <c r="AB2859" s="17"/>
      <c r="AC2859" s="14"/>
      <c r="AD2859" s="14"/>
      <c r="AE2859" s="17"/>
      <c r="AF2859" s="14"/>
      <c r="AG2859" s="54"/>
      <c r="AH2859" s="11"/>
      <c r="AI2859" s="14"/>
      <c r="AJ2859" s="19">
        <v>0</v>
      </c>
      <c r="AK2859" s="23">
        <v>0</v>
      </c>
      <c r="AL2859" s="11"/>
      <c r="AM2859" s="19">
        <v>0</v>
      </c>
      <c r="AN2859" s="19">
        <v>101500</v>
      </c>
      <c r="AO2859" s="14"/>
      <c r="AP2859" s="14">
        <v>101500</v>
      </c>
      <c r="AQ2859" s="12"/>
      <c r="AS2859" s="26"/>
    </row>
    <row r="2860" spans="1:45" s="19" customFormat="1" x14ac:dyDescent="0.2">
      <c r="A2860" s="2">
        <v>2432</v>
      </c>
      <c r="B2860" s="13">
        <v>10</v>
      </c>
      <c r="C2860" s="17" t="s">
        <v>65</v>
      </c>
      <c r="D2860" s="17">
        <v>1351</v>
      </c>
      <c r="E2860" s="17">
        <v>37</v>
      </c>
      <c r="F2860" s="17"/>
      <c r="G2860" s="13"/>
      <c r="H2860" s="17">
        <v>2</v>
      </c>
      <c r="I2860" s="17">
        <v>3</v>
      </c>
      <c r="J2860" s="17">
        <v>30</v>
      </c>
      <c r="K2860" s="10">
        <v>1130</v>
      </c>
      <c r="L2860" s="17"/>
      <c r="M2860" s="15"/>
      <c r="N2860" s="18"/>
      <c r="O2860" s="14"/>
      <c r="P2860" s="17">
        <v>1</v>
      </c>
      <c r="Q2860" s="19">
        <v>1130</v>
      </c>
      <c r="R2860" s="14">
        <v>160</v>
      </c>
      <c r="S2860" s="19">
        <v>180800</v>
      </c>
      <c r="T2860" s="17"/>
      <c r="U2860" s="17"/>
      <c r="V2860" s="17"/>
      <c r="W2860" s="4"/>
      <c r="X2860" s="17"/>
      <c r="Y2860" s="4"/>
      <c r="Z2860" s="17"/>
      <c r="AA2860" s="17"/>
      <c r="AB2860" s="17"/>
      <c r="AC2860" s="14"/>
      <c r="AD2860" s="14"/>
      <c r="AE2860" s="17"/>
      <c r="AF2860" s="14"/>
      <c r="AG2860" s="54"/>
      <c r="AH2860" s="11"/>
      <c r="AI2860" s="14"/>
      <c r="AJ2860" s="19">
        <v>0</v>
      </c>
      <c r="AK2860" s="23">
        <v>0</v>
      </c>
      <c r="AL2860" s="11"/>
      <c r="AM2860" s="19">
        <v>0</v>
      </c>
      <c r="AN2860" s="19">
        <v>180800</v>
      </c>
      <c r="AO2860" s="14"/>
      <c r="AP2860" s="14">
        <v>180800</v>
      </c>
      <c r="AQ2860" s="12">
        <v>1E-4</v>
      </c>
      <c r="AS2860" s="26"/>
    </row>
    <row r="2861" spans="1:45" s="19" customFormat="1" x14ac:dyDescent="0.2">
      <c r="A2861" s="2">
        <v>2433</v>
      </c>
      <c r="B2861" s="13">
        <v>1</v>
      </c>
      <c r="C2861" s="17" t="s">
        <v>52</v>
      </c>
      <c r="D2861" s="17">
        <v>15834</v>
      </c>
      <c r="E2861" s="17">
        <v>115</v>
      </c>
      <c r="F2861" s="17">
        <v>3421</v>
      </c>
      <c r="G2861" s="13"/>
      <c r="H2861" s="17">
        <v>5</v>
      </c>
      <c r="I2861" s="17">
        <v>3</v>
      </c>
      <c r="J2861" s="17">
        <v>63</v>
      </c>
      <c r="K2861" s="10" t="s">
        <v>249</v>
      </c>
      <c r="L2861" s="17"/>
      <c r="M2861" s="15"/>
      <c r="N2861" s="18"/>
      <c r="O2861" s="14"/>
      <c r="P2861" s="17">
        <v>1</v>
      </c>
      <c r="Q2861" s="19">
        <v>2363</v>
      </c>
      <c r="R2861" s="14">
        <v>200</v>
      </c>
      <c r="S2861" s="19">
        <v>472600</v>
      </c>
      <c r="T2861" s="17"/>
      <c r="U2861" s="17"/>
      <c r="V2861" s="17"/>
      <c r="W2861" s="4"/>
      <c r="X2861" s="17"/>
      <c r="Y2861" s="4"/>
      <c r="Z2861" s="17"/>
      <c r="AA2861" s="17"/>
      <c r="AB2861" s="17"/>
      <c r="AC2861" s="14"/>
      <c r="AD2861" s="14"/>
      <c r="AE2861" s="17"/>
      <c r="AF2861" s="14"/>
      <c r="AG2861" s="54"/>
      <c r="AH2861" s="11"/>
      <c r="AI2861" s="14"/>
      <c r="AJ2861" s="19">
        <v>0</v>
      </c>
      <c r="AK2861" s="23">
        <v>0</v>
      </c>
      <c r="AL2861" s="11"/>
      <c r="AM2861" s="19">
        <v>0</v>
      </c>
      <c r="AN2861" s="19">
        <v>472600</v>
      </c>
      <c r="AO2861" s="14"/>
      <c r="AP2861" s="14">
        <v>472600</v>
      </c>
      <c r="AQ2861" s="12"/>
      <c r="AS2861" s="26"/>
    </row>
    <row r="2862" spans="1:45" s="19" customFormat="1" x14ac:dyDescent="0.2">
      <c r="A2862" s="2">
        <v>2434</v>
      </c>
      <c r="B2862" s="13">
        <v>2</v>
      </c>
      <c r="C2862" s="17" t="s">
        <v>52</v>
      </c>
      <c r="D2862" s="17">
        <v>30934</v>
      </c>
      <c r="E2862" s="17">
        <v>104</v>
      </c>
      <c r="F2862" s="17">
        <v>5886</v>
      </c>
      <c r="G2862" s="13">
        <v>2</v>
      </c>
      <c r="H2862" s="17">
        <v>6</v>
      </c>
      <c r="I2862" s="17">
        <v>0</v>
      </c>
      <c r="J2862" s="17">
        <v>55</v>
      </c>
      <c r="K2862" s="10">
        <v>2455</v>
      </c>
      <c r="L2862" s="17"/>
      <c r="M2862" s="15"/>
      <c r="N2862" s="18"/>
      <c r="O2862" s="14"/>
      <c r="P2862" s="17">
        <v>1</v>
      </c>
      <c r="Q2862" s="19">
        <v>2455</v>
      </c>
      <c r="R2862" s="14">
        <v>160</v>
      </c>
      <c r="S2862" s="19">
        <v>392800</v>
      </c>
      <c r="T2862" s="17"/>
      <c r="U2862" s="17"/>
      <c r="V2862" s="17"/>
      <c r="W2862" s="4"/>
      <c r="X2862" s="17"/>
      <c r="Y2862" s="4"/>
      <c r="Z2862" s="17"/>
      <c r="AA2862" s="17"/>
      <c r="AB2862" s="17"/>
      <c r="AC2862" s="14"/>
      <c r="AD2862" s="14"/>
      <c r="AE2862" s="17"/>
      <c r="AF2862" s="14"/>
      <c r="AG2862" s="54"/>
      <c r="AH2862" s="11"/>
      <c r="AI2862" s="14"/>
      <c r="AJ2862" s="19">
        <v>0</v>
      </c>
      <c r="AK2862" s="23">
        <v>0</v>
      </c>
      <c r="AL2862" s="11"/>
      <c r="AM2862" s="19">
        <v>0</v>
      </c>
      <c r="AN2862" s="19">
        <v>392800</v>
      </c>
      <c r="AO2862" s="14"/>
      <c r="AP2862" s="14">
        <v>392800</v>
      </c>
      <c r="AQ2862" s="12"/>
      <c r="AS2862" s="26"/>
    </row>
    <row r="2863" spans="1:45" s="19" customFormat="1" x14ac:dyDescent="0.2">
      <c r="A2863" s="2">
        <v>2435</v>
      </c>
      <c r="B2863" s="13">
        <v>3</v>
      </c>
      <c r="C2863" s="17" t="s">
        <v>52</v>
      </c>
      <c r="D2863" s="17">
        <v>30935</v>
      </c>
      <c r="E2863" s="17">
        <v>105</v>
      </c>
      <c r="F2863" s="17">
        <v>5887</v>
      </c>
      <c r="G2863" s="13">
        <v>2</v>
      </c>
      <c r="H2863" s="17">
        <v>1</v>
      </c>
      <c r="I2863" s="17">
        <v>1</v>
      </c>
      <c r="J2863" s="17">
        <v>73.010000000000005</v>
      </c>
      <c r="K2863" s="10">
        <v>573.01</v>
      </c>
      <c r="L2863" s="17"/>
      <c r="M2863" s="15"/>
      <c r="N2863" s="18"/>
      <c r="O2863" s="14"/>
      <c r="P2863" s="17">
        <v>1</v>
      </c>
      <c r="Q2863" s="19">
        <v>573.01</v>
      </c>
      <c r="R2863" s="14">
        <v>160</v>
      </c>
      <c r="S2863" s="19">
        <v>91681.600000000006</v>
      </c>
      <c r="T2863" s="17"/>
      <c r="U2863" s="17"/>
      <c r="V2863" s="17"/>
      <c r="W2863" s="4"/>
      <c r="X2863" s="17"/>
      <c r="Y2863" s="4"/>
      <c r="Z2863" s="17"/>
      <c r="AA2863" s="17"/>
      <c r="AB2863" s="17"/>
      <c r="AC2863" s="14"/>
      <c r="AD2863" s="14"/>
      <c r="AE2863" s="17"/>
      <c r="AF2863" s="14"/>
      <c r="AG2863" s="54"/>
      <c r="AH2863" s="11"/>
      <c r="AI2863" s="14"/>
      <c r="AJ2863" s="19">
        <v>0</v>
      </c>
      <c r="AK2863" s="23">
        <v>0</v>
      </c>
      <c r="AL2863" s="11"/>
      <c r="AM2863" s="19">
        <v>0</v>
      </c>
      <c r="AN2863" s="19">
        <v>91681.600000000006</v>
      </c>
      <c r="AO2863" s="14"/>
      <c r="AP2863" s="14">
        <v>91681.600000000006</v>
      </c>
      <c r="AQ2863" s="12"/>
      <c r="AS2863" s="26"/>
    </row>
    <row r="2864" spans="1:45" s="19" customFormat="1" ht="63" x14ac:dyDescent="0.2">
      <c r="A2864" s="2">
        <v>2436</v>
      </c>
      <c r="B2864" s="13">
        <v>4</v>
      </c>
      <c r="C2864" s="17" t="s">
        <v>52</v>
      </c>
      <c r="D2864" s="17">
        <v>2015</v>
      </c>
      <c r="E2864" s="17">
        <v>70</v>
      </c>
      <c r="F2864" s="17">
        <v>1069</v>
      </c>
      <c r="G2864" s="13"/>
      <c r="H2864" s="17">
        <v>0</v>
      </c>
      <c r="I2864" s="17">
        <v>1</v>
      </c>
      <c r="J2864" s="17">
        <v>2</v>
      </c>
      <c r="K2864" s="10"/>
      <c r="L2864" s="17">
        <v>102</v>
      </c>
      <c r="M2864" s="15"/>
      <c r="N2864" s="18"/>
      <c r="O2864" s="14"/>
      <c r="P2864" s="17">
        <v>2</v>
      </c>
      <c r="Q2864" s="19">
        <v>102</v>
      </c>
      <c r="R2864" s="14">
        <v>2000</v>
      </c>
      <c r="S2864" s="19">
        <v>204000</v>
      </c>
      <c r="T2864" s="17">
        <v>1</v>
      </c>
      <c r="U2864" s="17" t="s">
        <v>57</v>
      </c>
      <c r="V2864" s="17" t="s">
        <v>56</v>
      </c>
      <c r="W2864" s="4">
        <v>199.5</v>
      </c>
      <c r="X2864" s="17"/>
      <c r="Y2864" s="4">
        <v>199.5</v>
      </c>
      <c r="Z2864" s="17"/>
      <c r="AA2864" s="17"/>
      <c r="AB2864" s="17"/>
      <c r="AC2864" s="14"/>
      <c r="AD2864" s="14"/>
      <c r="AE2864" s="17"/>
      <c r="AF2864" s="14"/>
      <c r="AG2864" s="54"/>
      <c r="AH2864" s="11"/>
      <c r="AI2864" s="14"/>
      <c r="AJ2864" s="19">
        <v>0</v>
      </c>
      <c r="AK2864" s="23">
        <v>0</v>
      </c>
      <c r="AL2864" s="11"/>
      <c r="AM2864" s="19">
        <v>0</v>
      </c>
      <c r="AN2864" s="19">
        <v>204000</v>
      </c>
      <c r="AO2864" s="14"/>
      <c r="AP2864" s="14">
        <v>204000</v>
      </c>
      <c r="AQ2864" s="12"/>
      <c r="AS2864" s="26"/>
    </row>
    <row r="2865" spans="1:45" x14ac:dyDescent="0.2">
      <c r="A2865" s="2">
        <v>2437</v>
      </c>
      <c r="B2865" s="13">
        <v>5</v>
      </c>
      <c r="C2865" s="17" t="s">
        <v>69</v>
      </c>
      <c r="E2865" s="17">
        <v>155</v>
      </c>
      <c r="F2865" s="17">
        <v>4</v>
      </c>
      <c r="G2865" s="13">
        <v>2</v>
      </c>
      <c r="H2865" s="17">
        <v>6</v>
      </c>
      <c r="I2865" s="17">
        <v>1</v>
      </c>
      <c r="J2865" s="17">
        <v>24</v>
      </c>
      <c r="K2865" s="10">
        <v>2524</v>
      </c>
      <c r="P2865" s="17">
        <v>1</v>
      </c>
      <c r="Q2865" s="19">
        <v>2524</v>
      </c>
      <c r="R2865" s="14">
        <v>200</v>
      </c>
      <c r="S2865" s="19">
        <v>504800</v>
      </c>
      <c r="AJ2865" s="19">
        <v>0</v>
      </c>
      <c r="AK2865" s="23">
        <v>0</v>
      </c>
      <c r="AM2865" s="19">
        <v>0</v>
      </c>
      <c r="AN2865" s="19">
        <v>504800</v>
      </c>
      <c r="AP2865" s="14">
        <v>504800</v>
      </c>
      <c r="AQ2865" s="12">
        <v>1E-4</v>
      </c>
    </row>
    <row r="2866" spans="1:45" x14ac:dyDescent="0.2">
      <c r="A2866" s="2">
        <v>2438</v>
      </c>
      <c r="B2866" s="13">
        <v>1</v>
      </c>
      <c r="C2866" s="17" t="s">
        <v>52</v>
      </c>
      <c r="D2866" s="17">
        <v>4636</v>
      </c>
      <c r="E2866" s="17">
        <v>53</v>
      </c>
      <c r="F2866" s="17">
        <v>2458</v>
      </c>
      <c r="G2866" s="13">
        <v>1</v>
      </c>
      <c r="H2866" s="17">
        <v>11</v>
      </c>
      <c r="I2866" s="17">
        <v>3</v>
      </c>
      <c r="J2866" s="17">
        <v>91</v>
      </c>
      <c r="K2866" s="10">
        <v>4791</v>
      </c>
      <c r="P2866" s="17">
        <v>1</v>
      </c>
      <c r="Q2866" s="19">
        <v>4791</v>
      </c>
      <c r="R2866" s="14">
        <v>160</v>
      </c>
      <c r="S2866" s="19">
        <v>766560</v>
      </c>
      <c r="AJ2866" s="19">
        <v>0</v>
      </c>
      <c r="AK2866" s="23">
        <v>0</v>
      </c>
      <c r="AM2866" s="19">
        <v>0</v>
      </c>
      <c r="AN2866" s="19">
        <v>766560</v>
      </c>
      <c r="AP2866" s="14">
        <v>766560</v>
      </c>
    </row>
    <row r="2867" spans="1:45" x14ac:dyDescent="0.2">
      <c r="A2867" s="2">
        <v>2439</v>
      </c>
      <c r="B2867" s="13">
        <v>2</v>
      </c>
      <c r="C2867" s="17" t="s">
        <v>52</v>
      </c>
      <c r="D2867" s="17">
        <v>31049</v>
      </c>
      <c r="E2867" s="17">
        <v>106</v>
      </c>
      <c r="F2867" s="17">
        <v>5999</v>
      </c>
      <c r="G2867" s="13">
        <v>2</v>
      </c>
      <c r="H2867" s="17">
        <v>7</v>
      </c>
      <c r="I2867" s="17">
        <v>2</v>
      </c>
      <c r="J2867" s="17">
        <v>84.09</v>
      </c>
      <c r="K2867" s="10">
        <v>3084.09</v>
      </c>
      <c r="P2867" s="17">
        <v>1</v>
      </c>
      <c r="Q2867" s="19">
        <v>3084.09</v>
      </c>
      <c r="R2867" s="14">
        <v>200</v>
      </c>
      <c r="S2867" s="19">
        <v>616818</v>
      </c>
      <c r="AJ2867" s="19">
        <v>0</v>
      </c>
      <c r="AK2867" s="23">
        <v>0</v>
      </c>
      <c r="AM2867" s="19">
        <v>0</v>
      </c>
      <c r="AN2867" s="19">
        <v>616818</v>
      </c>
      <c r="AP2867" s="14">
        <v>616818</v>
      </c>
    </row>
    <row r="2868" spans="1:45" x14ac:dyDescent="0.2">
      <c r="A2868" s="2">
        <v>2440</v>
      </c>
      <c r="B2868" s="13">
        <v>3</v>
      </c>
      <c r="C2868" s="17" t="s">
        <v>52</v>
      </c>
      <c r="D2868" s="17">
        <v>1195</v>
      </c>
      <c r="E2868" s="17">
        <v>15</v>
      </c>
      <c r="F2868" s="17">
        <v>913</v>
      </c>
      <c r="H2868" s="17">
        <v>0</v>
      </c>
      <c r="I2868" s="17">
        <v>0</v>
      </c>
      <c r="J2868" s="17">
        <v>87</v>
      </c>
      <c r="N2868" s="18">
        <v>87</v>
      </c>
      <c r="P2868" s="17">
        <v>4</v>
      </c>
      <c r="Q2868" s="19">
        <v>87</v>
      </c>
      <c r="R2868" s="14">
        <v>1500</v>
      </c>
      <c r="S2868" s="19">
        <v>130500</v>
      </c>
      <c r="AJ2868" s="19">
        <v>0</v>
      </c>
      <c r="AK2868" s="23">
        <v>0</v>
      </c>
      <c r="AM2868" s="19">
        <v>0</v>
      </c>
      <c r="AN2868" s="19">
        <v>130500</v>
      </c>
      <c r="AP2868" s="14">
        <v>130500</v>
      </c>
      <c r="AQ2868" s="12">
        <v>3.0000000000000001E-3</v>
      </c>
    </row>
    <row r="2869" spans="1:45" x14ac:dyDescent="0.2">
      <c r="A2869" s="2">
        <v>2441</v>
      </c>
      <c r="B2869" s="13">
        <v>4</v>
      </c>
      <c r="C2869" s="17" t="s">
        <v>65</v>
      </c>
      <c r="D2869" s="17">
        <v>3211</v>
      </c>
      <c r="E2869" s="17">
        <v>247</v>
      </c>
      <c r="H2869" s="17">
        <v>7</v>
      </c>
      <c r="I2869" s="17">
        <v>0</v>
      </c>
      <c r="J2869" s="17">
        <v>13</v>
      </c>
      <c r="K2869" s="10">
        <v>2813</v>
      </c>
      <c r="Q2869" s="19">
        <v>2813</v>
      </c>
      <c r="R2869" s="14">
        <v>250</v>
      </c>
      <c r="S2869" s="19">
        <v>703250</v>
      </c>
      <c r="AE2869" s="17" t="s">
        <v>160</v>
      </c>
      <c r="AJ2869" s="19">
        <v>0</v>
      </c>
      <c r="AK2869" s="23">
        <v>0</v>
      </c>
      <c r="AM2869" s="19">
        <v>0</v>
      </c>
      <c r="AN2869" s="19">
        <v>703250</v>
      </c>
      <c r="AP2869" s="14">
        <v>703250</v>
      </c>
      <c r="AQ2869" s="12">
        <v>1E-4</v>
      </c>
    </row>
    <row r="2870" spans="1:45" x14ac:dyDescent="0.2">
      <c r="A2870" s="2">
        <v>2442</v>
      </c>
      <c r="B2870" s="13">
        <v>1</v>
      </c>
      <c r="C2870" s="17" t="s">
        <v>52</v>
      </c>
      <c r="D2870" s="17">
        <v>31053</v>
      </c>
      <c r="E2870" s="17">
        <v>108</v>
      </c>
      <c r="F2870" s="17">
        <v>6003</v>
      </c>
      <c r="G2870" s="13">
        <v>2</v>
      </c>
      <c r="H2870" s="17">
        <v>4</v>
      </c>
      <c r="I2870" s="17">
        <v>0</v>
      </c>
      <c r="J2870" s="17">
        <v>69.05</v>
      </c>
      <c r="K2870" s="10">
        <v>1669.05</v>
      </c>
      <c r="P2870" s="17">
        <v>1</v>
      </c>
      <c r="Q2870" s="19">
        <v>1669.05</v>
      </c>
      <c r="R2870" s="14">
        <v>200</v>
      </c>
      <c r="S2870" s="19">
        <v>333810</v>
      </c>
      <c r="AJ2870" s="19">
        <v>0</v>
      </c>
      <c r="AK2870" s="23">
        <v>0</v>
      </c>
      <c r="AM2870" s="19">
        <v>0</v>
      </c>
      <c r="AN2870" s="19">
        <v>333810</v>
      </c>
      <c r="AP2870" s="14">
        <v>333810</v>
      </c>
    </row>
    <row r="2871" spans="1:45" x14ac:dyDescent="0.2">
      <c r="A2871" s="2">
        <v>2443</v>
      </c>
      <c r="B2871" s="13">
        <v>2</v>
      </c>
      <c r="C2871" s="17" t="s">
        <v>52</v>
      </c>
      <c r="D2871" s="17">
        <v>1628</v>
      </c>
      <c r="E2871" s="17">
        <v>12</v>
      </c>
      <c r="F2871" s="17">
        <v>1390</v>
      </c>
      <c r="H2871" s="17">
        <v>3</v>
      </c>
      <c r="I2871" s="17">
        <v>2</v>
      </c>
      <c r="J2871" s="17">
        <v>92</v>
      </c>
      <c r="K2871" s="10">
        <v>1492</v>
      </c>
      <c r="P2871" s="17">
        <v>1</v>
      </c>
      <c r="Q2871" s="19">
        <v>1492</v>
      </c>
      <c r="R2871" s="14">
        <v>200</v>
      </c>
      <c r="S2871" s="19">
        <v>298400</v>
      </c>
      <c r="AJ2871" s="19">
        <v>0</v>
      </c>
      <c r="AK2871" s="23">
        <v>0</v>
      </c>
      <c r="AM2871" s="19">
        <v>0</v>
      </c>
      <c r="AN2871" s="19">
        <v>298400</v>
      </c>
      <c r="AP2871" s="14">
        <v>298400</v>
      </c>
    </row>
    <row r="2872" spans="1:45" x14ac:dyDescent="0.2">
      <c r="A2872" s="2">
        <v>2444</v>
      </c>
      <c r="B2872" s="13">
        <v>3</v>
      </c>
      <c r="C2872" s="17" t="s">
        <v>52</v>
      </c>
      <c r="D2872" s="17">
        <v>34272</v>
      </c>
      <c r="E2872" s="17">
        <v>58</v>
      </c>
      <c r="F2872" s="17">
        <v>6807</v>
      </c>
      <c r="H2872" s="17">
        <v>1</v>
      </c>
      <c r="I2872" s="17">
        <v>1</v>
      </c>
      <c r="J2872" s="17">
        <v>37</v>
      </c>
      <c r="Q2872" s="19">
        <v>537</v>
      </c>
      <c r="R2872" s="14">
        <v>160</v>
      </c>
      <c r="S2872" s="19">
        <v>85920</v>
      </c>
      <c r="AJ2872" s="19">
        <v>0</v>
      </c>
      <c r="AK2872" s="23">
        <v>0</v>
      </c>
      <c r="AM2872" s="19">
        <v>0</v>
      </c>
      <c r="AN2872" s="19">
        <v>85920</v>
      </c>
      <c r="AP2872" s="14">
        <v>85920</v>
      </c>
    </row>
    <row r="2873" spans="1:45" x14ac:dyDescent="0.2">
      <c r="A2873" s="2">
        <v>2445</v>
      </c>
      <c r="B2873" s="13">
        <v>4</v>
      </c>
      <c r="C2873" s="17" t="s">
        <v>69</v>
      </c>
      <c r="E2873" s="17">
        <v>157</v>
      </c>
      <c r="F2873" s="17">
        <v>1</v>
      </c>
      <c r="G2873" s="13">
        <v>1</v>
      </c>
      <c r="H2873" s="17">
        <v>12</v>
      </c>
      <c r="I2873" s="17">
        <v>3</v>
      </c>
      <c r="J2873" s="17">
        <v>24</v>
      </c>
      <c r="K2873" s="10">
        <v>5124</v>
      </c>
      <c r="P2873" s="17">
        <v>1</v>
      </c>
      <c r="Q2873" s="19">
        <v>5124</v>
      </c>
      <c r="R2873" s="14">
        <v>200</v>
      </c>
      <c r="S2873" s="19">
        <v>1024800</v>
      </c>
      <c r="AJ2873" s="19">
        <v>0</v>
      </c>
      <c r="AK2873" s="23">
        <v>0</v>
      </c>
      <c r="AM2873" s="19">
        <v>0</v>
      </c>
      <c r="AN2873" s="19">
        <v>1024800</v>
      </c>
      <c r="AP2873" s="14">
        <v>1024800</v>
      </c>
      <c r="AQ2873" s="12">
        <v>1E-4</v>
      </c>
    </row>
    <row r="2875" spans="1:45" x14ac:dyDescent="0.2">
      <c r="A2875" s="2">
        <v>2446</v>
      </c>
      <c r="B2875" s="13">
        <v>1</v>
      </c>
      <c r="C2875" s="17" t="s">
        <v>52</v>
      </c>
      <c r="D2875" s="17">
        <v>3609</v>
      </c>
      <c r="E2875" s="17">
        <v>92</v>
      </c>
      <c r="F2875" s="17">
        <v>2240</v>
      </c>
      <c r="G2875" s="13">
        <v>2</v>
      </c>
      <c r="H2875" s="17">
        <v>3</v>
      </c>
      <c r="I2875" s="17">
        <v>3</v>
      </c>
      <c r="J2875" s="17">
        <v>50</v>
      </c>
      <c r="K2875" s="10">
        <v>1550</v>
      </c>
      <c r="P2875" s="17">
        <v>1</v>
      </c>
      <c r="Q2875" s="19">
        <v>1550</v>
      </c>
      <c r="R2875" s="14">
        <v>160</v>
      </c>
      <c r="S2875" s="19">
        <v>248000</v>
      </c>
      <c r="AJ2875" s="19">
        <v>0</v>
      </c>
      <c r="AK2875" s="23">
        <v>0</v>
      </c>
      <c r="AM2875" s="19">
        <v>0</v>
      </c>
      <c r="AN2875" s="19">
        <v>248000</v>
      </c>
      <c r="AP2875" s="14">
        <v>248000</v>
      </c>
    </row>
    <row r="2876" spans="1:45" ht="63" x14ac:dyDescent="0.2">
      <c r="A2876" s="2">
        <v>2447</v>
      </c>
      <c r="B2876" s="13">
        <v>2</v>
      </c>
      <c r="C2876" s="17" t="s">
        <v>52</v>
      </c>
      <c r="D2876" s="17">
        <v>1196</v>
      </c>
      <c r="E2876" s="17">
        <v>16</v>
      </c>
      <c r="F2876" s="17">
        <v>914</v>
      </c>
      <c r="H2876" s="17">
        <v>0</v>
      </c>
      <c r="I2876" s="17">
        <v>0</v>
      </c>
      <c r="J2876" s="17">
        <v>94</v>
      </c>
      <c r="L2876" s="17">
        <v>94</v>
      </c>
      <c r="P2876" s="17">
        <v>2</v>
      </c>
      <c r="Q2876" s="19">
        <v>94</v>
      </c>
      <c r="R2876" s="14">
        <v>1500</v>
      </c>
      <c r="S2876" s="19">
        <v>141000</v>
      </c>
      <c r="T2876" s="17">
        <v>1</v>
      </c>
      <c r="U2876" s="17" t="s">
        <v>57</v>
      </c>
      <c r="V2876" s="17" t="s">
        <v>56</v>
      </c>
      <c r="W2876" s="4">
        <v>105</v>
      </c>
      <c r="Y2876" s="4">
        <v>105</v>
      </c>
      <c r="AB2876" s="17">
        <v>26</v>
      </c>
      <c r="AJ2876" s="19">
        <v>0</v>
      </c>
      <c r="AK2876" s="23">
        <v>26</v>
      </c>
      <c r="AM2876" s="19">
        <v>0</v>
      </c>
      <c r="AN2876" s="19">
        <v>141000</v>
      </c>
      <c r="AP2876" s="14">
        <v>141000</v>
      </c>
    </row>
    <row r="2877" spans="1:45" x14ac:dyDescent="0.2">
      <c r="A2877" s="2">
        <v>2448</v>
      </c>
      <c r="B2877" s="13">
        <v>3</v>
      </c>
      <c r="C2877" s="17" t="s">
        <v>52</v>
      </c>
      <c r="D2877" s="17">
        <v>32927</v>
      </c>
      <c r="E2877" s="17">
        <v>52</v>
      </c>
      <c r="F2877" s="17">
        <v>6182</v>
      </c>
      <c r="H2877" s="17">
        <v>4</v>
      </c>
      <c r="I2877" s="17">
        <v>0</v>
      </c>
      <c r="J2877" s="17">
        <v>59</v>
      </c>
      <c r="K2877" s="10">
        <v>1659</v>
      </c>
      <c r="P2877" s="17">
        <v>1</v>
      </c>
      <c r="Q2877" s="19">
        <v>1659</v>
      </c>
      <c r="R2877" s="14">
        <v>2000</v>
      </c>
      <c r="S2877" s="19">
        <v>3318000</v>
      </c>
      <c r="AJ2877" s="19">
        <v>0</v>
      </c>
      <c r="AK2877" s="23">
        <v>0</v>
      </c>
      <c r="AM2877" s="19">
        <v>0</v>
      </c>
      <c r="AN2877" s="19">
        <v>3318000</v>
      </c>
      <c r="AP2877" s="14">
        <v>3318000</v>
      </c>
    </row>
    <row r="2878" spans="1:45" x14ac:dyDescent="0.2">
      <c r="A2878" s="2">
        <v>2449</v>
      </c>
      <c r="B2878" s="13">
        <v>4</v>
      </c>
      <c r="C2878" s="17" t="s">
        <v>52</v>
      </c>
      <c r="D2878" s="17">
        <v>33661</v>
      </c>
      <c r="E2878" s="17">
        <v>53</v>
      </c>
      <c r="F2878" s="17">
        <v>6674</v>
      </c>
      <c r="H2878" s="17">
        <v>1</v>
      </c>
      <c r="I2878" s="17">
        <v>1</v>
      </c>
      <c r="J2878" s="17">
        <v>66</v>
      </c>
      <c r="K2878" s="10" t="s">
        <v>250</v>
      </c>
      <c r="P2878" s="17">
        <v>1</v>
      </c>
      <c r="Q2878" s="19">
        <v>566</v>
      </c>
      <c r="R2878" s="14">
        <v>250</v>
      </c>
      <c r="S2878" s="19">
        <v>141500</v>
      </c>
      <c r="AJ2878" s="19">
        <v>0</v>
      </c>
      <c r="AK2878" s="23">
        <v>0</v>
      </c>
      <c r="AM2878" s="19">
        <v>0</v>
      </c>
      <c r="AN2878" s="19">
        <v>141500</v>
      </c>
      <c r="AP2878" s="14">
        <v>141500</v>
      </c>
    </row>
    <row r="2879" spans="1:45" x14ac:dyDescent="0.2">
      <c r="A2879" s="2">
        <v>2450</v>
      </c>
      <c r="B2879" s="13">
        <v>1</v>
      </c>
      <c r="C2879" s="17" t="s">
        <v>52</v>
      </c>
      <c r="D2879" s="17">
        <v>29466</v>
      </c>
      <c r="E2879" s="17">
        <v>193</v>
      </c>
      <c r="F2879" s="17">
        <v>5587</v>
      </c>
      <c r="G2879" s="13">
        <v>1</v>
      </c>
      <c r="H2879" s="17">
        <v>0</v>
      </c>
      <c r="I2879" s="17">
        <v>0</v>
      </c>
      <c r="J2879" s="17">
        <v>37</v>
      </c>
      <c r="K2879" s="10">
        <v>37</v>
      </c>
      <c r="P2879" s="17">
        <v>1</v>
      </c>
      <c r="Q2879" s="19">
        <v>37</v>
      </c>
      <c r="R2879" s="14">
        <v>250</v>
      </c>
      <c r="S2879" s="19">
        <v>9250</v>
      </c>
      <c r="AJ2879" s="19">
        <v>0</v>
      </c>
      <c r="AK2879" s="23">
        <v>0</v>
      </c>
      <c r="AM2879" s="19">
        <v>0</v>
      </c>
      <c r="AN2879" s="19">
        <v>9250</v>
      </c>
      <c r="AP2879" s="14">
        <v>9250</v>
      </c>
      <c r="AS2879" s="26">
        <v>31</v>
      </c>
    </row>
    <row r="2880" spans="1:45" x14ac:dyDescent="0.2">
      <c r="A2880" s="2">
        <v>2451</v>
      </c>
      <c r="B2880" s="13">
        <v>2</v>
      </c>
      <c r="C2880" s="17" t="s">
        <v>52</v>
      </c>
      <c r="D2880" s="17">
        <v>29467</v>
      </c>
      <c r="E2880" s="17">
        <v>194</v>
      </c>
      <c r="F2880" s="17">
        <v>5588</v>
      </c>
      <c r="G2880" s="13">
        <v>1</v>
      </c>
      <c r="H2880" s="17">
        <v>0</v>
      </c>
      <c r="I2880" s="17">
        <v>0</v>
      </c>
      <c r="J2880" s="17">
        <v>38</v>
      </c>
      <c r="K2880" s="10">
        <v>38</v>
      </c>
      <c r="P2880" s="17">
        <v>1</v>
      </c>
      <c r="Q2880" s="19">
        <v>38</v>
      </c>
      <c r="R2880" s="14">
        <v>250</v>
      </c>
      <c r="S2880" s="19">
        <v>9500</v>
      </c>
      <c r="AJ2880" s="19">
        <v>0</v>
      </c>
      <c r="AK2880" s="23">
        <v>0</v>
      </c>
      <c r="AM2880" s="19">
        <v>0</v>
      </c>
      <c r="AN2880" s="19">
        <v>9500</v>
      </c>
      <c r="AP2880" s="14">
        <v>9500</v>
      </c>
    </row>
    <row r="2881" spans="1:49" x14ac:dyDescent="0.2">
      <c r="A2881" s="2">
        <v>2452</v>
      </c>
      <c r="B2881" s="13">
        <v>3</v>
      </c>
      <c r="C2881" s="17" t="s">
        <v>52</v>
      </c>
      <c r="D2881" s="17">
        <v>29468</v>
      </c>
      <c r="E2881" s="17">
        <v>195</v>
      </c>
      <c r="F2881" s="17">
        <v>5589</v>
      </c>
      <c r="G2881" s="13">
        <v>1</v>
      </c>
      <c r="H2881" s="17">
        <v>0</v>
      </c>
      <c r="I2881" s="17">
        <v>0</v>
      </c>
      <c r="J2881" s="17">
        <v>38</v>
      </c>
      <c r="K2881" s="10">
        <v>38</v>
      </c>
      <c r="P2881" s="17">
        <v>1</v>
      </c>
      <c r="Q2881" s="19">
        <v>38</v>
      </c>
      <c r="R2881" s="14">
        <v>250</v>
      </c>
      <c r="S2881" s="19">
        <v>9500</v>
      </c>
      <c r="AJ2881" s="19">
        <v>0</v>
      </c>
      <c r="AK2881" s="23">
        <v>0</v>
      </c>
      <c r="AM2881" s="19">
        <v>0</v>
      </c>
      <c r="AN2881" s="19">
        <v>9500</v>
      </c>
      <c r="AP2881" s="14">
        <v>9500</v>
      </c>
    </row>
    <row r="2882" spans="1:49" x14ac:dyDescent="0.2">
      <c r="A2882" s="2">
        <v>2453</v>
      </c>
      <c r="B2882" s="13">
        <v>4</v>
      </c>
      <c r="C2882" s="17" t="s">
        <v>52</v>
      </c>
      <c r="D2882" s="17">
        <v>29469</v>
      </c>
      <c r="E2882" s="17">
        <v>196</v>
      </c>
      <c r="F2882" s="17">
        <v>5590</v>
      </c>
      <c r="G2882" s="13">
        <v>1</v>
      </c>
      <c r="H2882" s="17">
        <v>0</v>
      </c>
      <c r="I2882" s="17">
        <v>0</v>
      </c>
      <c r="J2882" s="17">
        <v>56</v>
      </c>
      <c r="K2882" s="10">
        <v>56</v>
      </c>
      <c r="P2882" s="17">
        <v>1</v>
      </c>
      <c r="Q2882" s="19">
        <v>56</v>
      </c>
      <c r="R2882" s="14">
        <v>250</v>
      </c>
      <c r="S2882" s="19">
        <v>14000</v>
      </c>
      <c r="AJ2882" s="19">
        <v>0</v>
      </c>
      <c r="AK2882" s="23">
        <v>0</v>
      </c>
      <c r="AM2882" s="19">
        <v>0</v>
      </c>
      <c r="AN2882" s="19">
        <v>14000</v>
      </c>
      <c r="AP2882" s="14">
        <v>14000</v>
      </c>
    </row>
    <row r="2883" spans="1:49" x14ac:dyDescent="0.2">
      <c r="A2883" s="2">
        <v>2454</v>
      </c>
      <c r="B2883" s="13">
        <v>5</v>
      </c>
      <c r="C2883" s="17" t="s">
        <v>52</v>
      </c>
      <c r="D2883" s="17">
        <v>35285</v>
      </c>
      <c r="E2883" s="17">
        <v>366</v>
      </c>
      <c r="F2883" s="17">
        <v>7036</v>
      </c>
      <c r="G2883" s="13">
        <v>1</v>
      </c>
      <c r="H2883" s="17">
        <v>0</v>
      </c>
      <c r="I2883" s="17">
        <v>0</v>
      </c>
      <c r="J2883" s="17">
        <v>77.02</v>
      </c>
      <c r="Q2883" s="19">
        <v>77.02</v>
      </c>
      <c r="R2883" s="14">
        <v>160</v>
      </c>
      <c r="S2883" s="19">
        <v>12323.199999999999</v>
      </c>
      <c r="AJ2883" s="19">
        <v>0</v>
      </c>
      <c r="AK2883" s="23">
        <v>0</v>
      </c>
      <c r="AM2883" s="19">
        <v>0</v>
      </c>
      <c r="AN2883" s="19">
        <v>12323.199999999999</v>
      </c>
      <c r="AP2883" s="14">
        <v>12323.199999999999</v>
      </c>
    </row>
    <row r="2884" spans="1:49" x14ac:dyDescent="0.2">
      <c r="A2884" s="2">
        <v>2455</v>
      </c>
      <c r="B2884" s="13">
        <v>6</v>
      </c>
      <c r="C2884" s="17" t="s">
        <v>52</v>
      </c>
      <c r="D2884" s="17">
        <v>1220</v>
      </c>
      <c r="E2884" s="17">
        <v>16</v>
      </c>
      <c r="F2884" s="17">
        <v>1396</v>
      </c>
      <c r="H2884" s="17">
        <v>8</v>
      </c>
      <c r="I2884" s="17">
        <v>2</v>
      </c>
      <c r="J2884" s="17">
        <v>86</v>
      </c>
      <c r="K2884" s="10">
        <v>3486</v>
      </c>
      <c r="P2884" s="17">
        <v>1</v>
      </c>
      <c r="Q2884" s="19">
        <v>3486</v>
      </c>
      <c r="R2884" s="14">
        <v>200</v>
      </c>
      <c r="S2884" s="19">
        <v>697200</v>
      </c>
      <c r="AJ2884" s="19">
        <v>0</v>
      </c>
      <c r="AK2884" s="23">
        <v>0</v>
      </c>
      <c r="AM2884" s="19">
        <v>0</v>
      </c>
      <c r="AN2884" s="19">
        <v>697200</v>
      </c>
      <c r="AP2884" s="14">
        <v>697200</v>
      </c>
      <c r="AW2884" s="14" t="s">
        <v>102</v>
      </c>
    </row>
    <row r="2885" spans="1:49" x14ac:dyDescent="0.2">
      <c r="A2885" s="2">
        <v>2456</v>
      </c>
      <c r="B2885" s="13">
        <v>1</v>
      </c>
      <c r="C2885" s="17" t="s">
        <v>52</v>
      </c>
      <c r="D2885" s="17">
        <v>3608</v>
      </c>
      <c r="E2885" s="17">
        <v>91</v>
      </c>
      <c r="F2885" s="17">
        <v>2239</v>
      </c>
      <c r="G2885" s="13">
        <v>2</v>
      </c>
      <c r="H2885" s="17">
        <v>4</v>
      </c>
      <c r="I2885" s="17">
        <v>3</v>
      </c>
      <c r="J2885" s="17">
        <v>27</v>
      </c>
      <c r="K2885" s="10">
        <v>1927</v>
      </c>
      <c r="P2885" s="17">
        <v>1</v>
      </c>
      <c r="Q2885" s="19">
        <v>1927</v>
      </c>
      <c r="R2885" s="14">
        <v>160</v>
      </c>
      <c r="S2885" s="19">
        <v>308320</v>
      </c>
      <c r="AJ2885" s="19">
        <v>0</v>
      </c>
      <c r="AK2885" s="23">
        <v>0</v>
      </c>
      <c r="AM2885" s="19">
        <v>0</v>
      </c>
      <c r="AN2885" s="19">
        <v>308320</v>
      </c>
      <c r="AP2885" s="14">
        <v>308320</v>
      </c>
    </row>
    <row r="2886" spans="1:49" x14ac:dyDescent="0.2">
      <c r="A2886" s="2">
        <v>2457</v>
      </c>
      <c r="B2886" s="13">
        <v>2</v>
      </c>
      <c r="C2886" s="17" t="s">
        <v>52</v>
      </c>
      <c r="D2886" s="17">
        <v>1668</v>
      </c>
      <c r="E2886" s="17">
        <v>6</v>
      </c>
      <c r="F2886" s="17">
        <v>919</v>
      </c>
      <c r="H2886" s="17">
        <v>6</v>
      </c>
      <c r="I2886" s="17">
        <v>1</v>
      </c>
      <c r="J2886" s="17">
        <v>39</v>
      </c>
      <c r="K2886" s="10">
        <v>2539</v>
      </c>
      <c r="P2886" s="17">
        <v>1</v>
      </c>
      <c r="Q2886" s="19">
        <v>2539</v>
      </c>
      <c r="R2886" s="14">
        <v>160</v>
      </c>
      <c r="S2886" s="19">
        <v>406240</v>
      </c>
      <c r="AJ2886" s="19">
        <v>0</v>
      </c>
      <c r="AK2886" s="23">
        <v>0</v>
      </c>
      <c r="AM2886" s="19">
        <v>0</v>
      </c>
      <c r="AN2886" s="19">
        <v>406240</v>
      </c>
      <c r="AP2886" s="14">
        <v>406240</v>
      </c>
    </row>
    <row r="2887" spans="1:49" x14ac:dyDescent="0.2">
      <c r="A2887" s="2">
        <v>2458</v>
      </c>
      <c r="B2887" s="13">
        <v>1971</v>
      </c>
      <c r="C2887" s="17" t="s">
        <v>52</v>
      </c>
      <c r="D2887" s="17">
        <v>1200</v>
      </c>
      <c r="E2887" s="17">
        <v>19</v>
      </c>
      <c r="F2887" s="17">
        <v>917</v>
      </c>
      <c r="H2887" s="17">
        <v>2</v>
      </c>
      <c r="I2887" s="17">
        <v>2</v>
      </c>
      <c r="J2887" s="17">
        <v>57.03</v>
      </c>
      <c r="K2887" s="10">
        <v>1057.03</v>
      </c>
      <c r="P2887" s="17">
        <v>1</v>
      </c>
      <c r="Q2887" s="19">
        <v>1057.03</v>
      </c>
      <c r="R2887" s="14">
        <v>500</v>
      </c>
      <c r="S2887" s="19">
        <v>528515</v>
      </c>
      <c r="AJ2887" s="19">
        <v>0</v>
      </c>
      <c r="AK2887" s="23">
        <v>0</v>
      </c>
      <c r="AM2887" s="19">
        <v>0</v>
      </c>
      <c r="AN2887" s="19">
        <v>528515</v>
      </c>
      <c r="AP2887" s="14">
        <v>528515</v>
      </c>
    </row>
    <row r="2888" spans="1:49" ht="63" x14ac:dyDescent="0.2">
      <c r="A2888" s="2">
        <v>2459</v>
      </c>
      <c r="B2888" s="13">
        <v>1972</v>
      </c>
      <c r="C2888" s="17" t="s">
        <v>52</v>
      </c>
      <c r="D2888" s="17">
        <v>14101</v>
      </c>
      <c r="E2888" s="17">
        <v>286</v>
      </c>
      <c r="F2888" s="17">
        <v>3329</v>
      </c>
      <c r="G2888" s="13">
        <v>2</v>
      </c>
      <c r="H2888" s="17">
        <v>0</v>
      </c>
      <c r="I2888" s="17">
        <v>0</v>
      </c>
      <c r="J2888" s="17">
        <v>75</v>
      </c>
      <c r="L2888" s="17">
        <v>75</v>
      </c>
      <c r="P2888" s="17">
        <v>2</v>
      </c>
      <c r="Q2888" s="19">
        <v>75</v>
      </c>
      <c r="R2888" s="14">
        <v>2000</v>
      </c>
      <c r="S2888" s="19">
        <v>150000</v>
      </c>
      <c r="T2888" s="17">
        <v>1</v>
      </c>
      <c r="U2888" s="17" t="s">
        <v>57</v>
      </c>
      <c r="V2888" s="17" t="s">
        <v>56</v>
      </c>
      <c r="W2888" s="4">
        <v>187.5</v>
      </c>
      <c r="Y2888" s="4">
        <v>187.5</v>
      </c>
      <c r="AB2888" s="17">
        <v>41</v>
      </c>
      <c r="AJ2888" s="19">
        <v>0</v>
      </c>
      <c r="AK2888" s="23">
        <v>41</v>
      </c>
      <c r="AM2888" s="19">
        <v>0</v>
      </c>
      <c r="AN2888" s="19">
        <v>150000</v>
      </c>
      <c r="AP2888" s="14">
        <v>150000</v>
      </c>
    </row>
    <row r="2889" spans="1:49" x14ac:dyDescent="0.2">
      <c r="A2889" s="2">
        <v>2460</v>
      </c>
      <c r="B2889" s="13">
        <v>721</v>
      </c>
      <c r="C2889" s="17" t="s">
        <v>69</v>
      </c>
      <c r="E2889" s="17">
        <v>1516</v>
      </c>
      <c r="F2889" s="17">
        <v>19</v>
      </c>
      <c r="G2889" s="13">
        <v>2</v>
      </c>
      <c r="H2889" s="17">
        <v>8</v>
      </c>
      <c r="I2889" s="17">
        <v>1</v>
      </c>
      <c r="J2889" s="17">
        <v>20</v>
      </c>
      <c r="K2889" s="10">
        <v>3320</v>
      </c>
      <c r="P2889" s="17">
        <v>1</v>
      </c>
      <c r="Q2889" s="19">
        <v>3320</v>
      </c>
      <c r="R2889" s="14">
        <v>160</v>
      </c>
      <c r="S2889" s="19">
        <v>531200</v>
      </c>
      <c r="AJ2889" s="19">
        <v>0</v>
      </c>
      <c r="AK2889" s="23">
        <v>0</v>
      </c>
      <c r="AM2889" s="19">
        <v>0</v>
      </c>
      <c r="AN2889" s="19">
        <v>531200</v>
      </c>
      <c r="AP2889" s="14">
        <v>531200</v>
      </c>
      <c r="AQ2889" s="12">
        <v>1E-4</v>
      </c>
    </row>
    <row r="2890" spans="1:49" ht="63" x14ac:dyDescent="0.2">
      <c r="A2890" s="2">
        <v>2461</v>
      </c>
      <c r="B2890" s="13">
        <v>1973</v>
      </c>
      <c r="C2890" s="17" t="s">
        <v>52</v>
      </c>
      <c r="D2890" s="17">
        <v>1838</v>
      </c>
      <c r="E2890" s="17">
        <v>87</v>
      </c>
      <c r="F2890" s="17">
        <v>1228</v>
      </c>
      <c r="H2890" s="17">
        <v>0</v>
      </c>
      <c r="I2890" s="17">
        <v>0</v>
      </c>
      <c r="J2890" s="17">
        <v>76</v>
      </c>
      <c r="L2890" s="17">
        <v>76</v>
      </c>
      <c r="P2890" s="17">
        <v>2</v>
      </c>
      <c r="Q2890" s="19">
        <v>76</v>
      </c>
      <c r="R2890" s="14">
        <v>2000</v>
      </c>
      <c r="S2890" s="19">
        <v>152000</v>
      </c>
      <c r="T2890" s="17">
        <v>1</v>
      </c>
      <c r="U2890" s="17" t="s">
        <v>57</v>
      </c>
      <c r="V2890" s="17" t="s">
        <v>56</v>
      </c>
      <c r="W2890" s="4">
        <v>180</v>
      </c>
      <c r="Y2890" s="4">
        <v>180</v>
      </c>
      <c r="AB2890" s="17">
        <v>23</v>
      </c>
      <c r="AJ2890" s="19">
        <v>0</v>
      </c>
      <c r="AK2890" s="23">
        <v>23</v>
      </c>
      <c r="AM2890" s="19">
        <v>0</v>
      </c>
      <c r="AN2890" s="19">
        <v>152000</v>
      </c>
      <c r="AP2890" s="14">
        <v>152000</v>
      </c>
    </row>
    <row r="2891" spans="1:49" x14ac:dyDescent="0.2">
      <c r="A2891" s="2">
        <v>2462</v>
      </c>
      <c r="B2891" s="13">
        <v>1</v>
      </c>
      <c r="C2891" s="17" t="s">
        <v>52</v>
      </c>
      <c r="D2891" s="17">
        <v>1787</v>
      </c>
      <c r="E2891" s="17">
        <v>4</v>
      </c>
      <c r="F2891" s="17">
        <v>1171</v>
      </c>
      <c r="G2891" s="13">
        <v>2</v>
      </c>
      <c r="H2891" s="17">
        <v>1</v>
      </c>
      <c r="I2891" s="17">
        <v>0</v>
      </c>
      <c r="J2891" s="17">
        <v>45</v>
      </c>
      <c r="K2891" s="10">
        <v>445</v>
      </c>
      <c r="P2891" s="17">
        <v>1</v>
      </c>
      <c r="Q2891" s="19">
        <v>445</v>
      </c>
      <c r="R2891" s="14">
        <v>160</v>
      </c>
      <c r="S2891" s="19">
        <v>71200</v>
      </c>
      <c r="AJ2891" s="19">
        <v>0</v>
      </c>
      <c r="AK2891" s="23">
        <v>0</v>
      </c>
      <c r="AM2891" s="19">
        <v>0</v>
      </c>
      <c r="AN2891" s="19">
        <v>71200</v>
      </c>
      <c r="AP2891" s="14">
        <v>71200</v>
      </c>
    </row>
    <row r="2892" spans="1:49" x14ac:dyDescent="0.2">
      <c r="A2892" s="2">
        <v>2463</v>
      </c>
      <c r="B2892" s="13">
        <v>2</v>
      </c>
      <c r="C2892" s="17" t="s">
        <v>52</v>
      </c>
      <c r="D2892" s="17">
        <v>1824</v>
      </c>
      <c r="E2892" s="17">
        <v>5</v>
      </c>
      <c r="F2892" s="17">
        <v>1214</v>
      </c>
      <c r="G2892" s="13">
        <v>2</v>
      </c>
      <c r="H2892" s="17">
        <v>2</v>
      </c>
      <c r="I2892" s="17">
        <v>3</v>
      </c>
      <c r="J2892" s="17">
        <v>27</v>
      </c>
      <c r="K2892" s="10">
        <v>1127</v>
      </c>
      <c r="P2892" s="17">
        <v>1</v>
      </c>
      <c r="Q2892" s="19">
        <v>1127</v>
      </c>
      <c r="R2892" s="14">
        <v>160</v>
      </c>
      <c r="S2892" s="19">
        <v>180320</v>
      </c>
      <c r="AJ2892" s="19">
        <v>0</v>
      </c>
      <c r="AK2892" s="23">
        <v>0</v>
      </c>
      <c r="AM2892" s="19">
        <v>0</v>
      </c>
      <c r="AN2892" s="19">
        <v>180320</v>
      </c>
      <c r="AP2892" s="14">
        <v>180320</v>
      </c>
    </row>
    <row r="2893" spans="1:49" x14ac:dyDescent="0.2">
      <c r="A2893" s="2">
        <v>2464</v>
      </c>
      <c r="B2893" s="13">
        <v>3</v>
      </c>
      <c r="C2893" s="17" t="s">
        <v>52</v>
      </c>
      <c r="D2893" s="17">
        <v>1825</v>
      </c>
      <c r="E2893" s="17">
        <v>6</v>
      </c>
      <c r="F2893" s="17">
        <v>1215</v>
      </c>
      <c r="G2893" s="13">
        <v>2</v>
      </c>
      <c r="H2893" s="17">
        <v>8</v>
      </c>
      <c r="I2893" s="17">
        <v>2</v>
      </c>
      <c r="J2893" s="17">
        <v>17</v>
      </c>
      <c r="Q2893" s="19">
        <v>3417</v>
      </c>
      <c r="R2893" s="14">
        <v>160</v>
      </c>
      <c r="S2893" s="19">
        <v>546720</v>
      </c>
      <c r="AJ2893" s="19">
        <v>0</v>
      </c>
      <c r="AK2893" s="23">
        <v>0</v>
      </c>
      <c r="AM2893" s="19">
        <v>0</v>
      </c>
      <c r="AN2893" s="19">
        <v>546720</v>
      </c>
      <c r="AP2893" s="14">
        <v>546720</v>
      </c>
    </row>
    <row r="2894" spans="1:49" x14ac:dyDescent="0.2">
      <c r="A2894" s="2">
        <v>2465</v>
      </c>
      <c r="B2894" s="13">
        <v>4</v>
      </c>
      <c r="C2894" s="17" t="s">
        <v>52</v>
      </c>
      <c r="D2894" s="17">
        <v>31025</v>
      </c>
      <c r="E2894" s="17">
        <v>193</v>
      </c>
      <c r="F2894" s="17">
        <v>5975</v>
      </c>
      <c r="G2894" s="13">
        <v>2</v>
      </c>
      <c r="H2894" s="17">
        <v>4</v>
      </c>
      <c r="I2894" s="17">
        <v>0</v>
      </c>
      <c r="J2894" s="17">
        <v>81.010000000000005</v>
      </c>
      <c r="K2894" s="10">
        <v>1681.01</v>
      </c>
      <c r="P2894" s="17">
        <v>1</v>
      </c>
      <c r="Q2894" s="19">
        <v>1681.01</v>
      </c>
      <c r="R2894" s="14">
        <v>160</v>
      </c>
      <c r="S2894" s="19">
        <v>268961.59999999998</v>
      </c>
      <c r="AJ2894" s="19">
        <v>0</v>
      </c>
      <c r="AK2894" s="23">
        <v>0</v>
      </c>
      <c r="AM2894" s="19">
        <v>0</v>
      </c>
      <c r="AN2894" s="19">
        <v>268961.59999999998</v>
      </c>
      <c r="AP2894" s="14">
        <v>268961.59999999998</v>
      </c>
    </row>
    <row r="2895" spans="1:49" x14ac:dyDescent="0.2">
      <c r="A2895" s="2">
        <v>2466</v>
      </c>
      <c r="B2895" s="13">
        <v>5</v>
      </c>
      <c r="C2895" s="17" t="s">
        <v>52</v>
      </c>
      <c r="D2895" s="17">
        <v>1703</v>
      </c>
      <c r="E2895" s="17">
        <v>9</v>
      </c>
      <c r="F2895" s="17">
        <v>922</v>
      </c>
      <c r="H2895" s="17">
        <v>9</v>
      </c>
      <c r="I2895" s="17">
        <v>3</v>
      </c>
      <c r="J2895" s="17">
        <v>47</v>
      </c>
      <c r="K2895" s="10">
        <v>3947</v>
      </c>
      <c r="P2895" s="17">
        <v>1</v>
      </c>
      <c r="Q2895" s="19">
        <v>3947</v>
      </c>
      <c r="R2895" s="14">
        <v>160</v>
      </c>
      <c r="S2895" s="19">
        <v>631520</v>
      </c>
      <c r="AJ2895" s="19">
        <v>0</v>
      </c>
      <c r="AK2895" s="23">
        <v>0</v>
      </c>
      <c r="AM2895" s="19">
        <v>0</v>
      </c>
      <c r="AN2895" s="19">
        <v>631520</v>
      </c>
      <c r="AP2895" s="14">
        <v>631520</v>
      </c>
    </row>
    <row r="2896" spans="1:49" ht="63" x14ac:dyDescent="0.2">
      <c r="A2896" s="2">
        <v>2467</v>
      </c>
      <c r="B2896" s="13">
        <v>6</v>
      </c>
      <c r="C2896" s="17" t="s">
        <v>52</v>
      </c>
      <c r="D2896" s="17">
        <v>2009</v>
      </c>
      <c r="E2896" s="17">
        <v>32</v>
      </c>
      <c r="F2896" s="17">
        <v>1043</v>
      </c>
      <c r="H2896" s="17">
        <v>0</v>
      </c>
      <c r="I2896" s="17">
        <v>1</v>
      </c>
      <c r="J2896" s="17">
        <v>85</v>
      </c>
      <c r="L2896" s="17">
        <v>185</v>
      </c>
      <c r="P2896" s="17">
        <v>2</v>
      </c>
      <c r="Q2896" s="19">
        <v>185</v>
      </c>
      <c r="R2896" s="14">
        <v>2000</v>
      </c>
      <c r="S2896" s="19">
        <v>370000</v>
      </c>
      <c r="T2896" s="17">
        <v>1</v>
      </c>
      <c r="U2896" s="17" t="s">
        <v>57</v>
      </c>
      <c r="V2896" s="17" t="s">
        <v>56</v>
      </c>
      <c r="W2896" s="4">
        <v>126</v>
      </c>
      <c r="Y2896" s="4">
        <v>126</v>
      </c>
      <c r="AB2896" s="17">
        <v>23</v>
      </c>
      <c r="AJ2896" s="19">
        <v>0</v>
      </c>
      <c r="AK2896" s="23">
        <v>23</v>
      </c>
      <c r="AM2896" s="19">
        <v>0</v>
      </c>
      <c r="AN2896" s="19">
        <v>370000</v>
      </c>
      <c r="AP2896" s="14">
        <v>370000</v>
      </c>
    </row>
    <row r="2898" spans="1:45" ht="63" x14ac:dyDescent="0.2">
      <c r="A2898" s="2">
        <v>2468</v>
      </c>
      <c r="B2898" s="13">
        <v>1</v>
      </c>
      <c r="C2898" s="17" t="s">
        <v>52</v>
      </c>
      <c r="D2898" s="17">
        <v>1469</v>
      </c>
      <c r="E2898" s="17">
        <v>90</v>
      </c>
      <c r="F2898" s="17">
        <v>1212</v>
      </c>
      <c r="G2898" s="13">
        <v>2</v>
      </c>
      <c r="H2898" s="17">
        <v>3</v>
      </c>
      <c r="I2898" s="17">
        <v>1</v>
      </c>
      <c r="J2898" s="17">
        <v>15</v>
      </c>
      <c r="K2898" s="10">
        <v>1295</v>
      </c>
      <c r="L2898" s="17">
        <v>20</v>
      </c>
      <c r="P2898" s="17">
        <v>5</v>
      </c>
      <c r="Q2898" s="19">
        <v>1315</v>
      </c>
      <c r="R2898" s="14">
        <v>160</v>
      </c>
      <c r="S2898" s="19">
        <v>210400</v>
      </c>
      <c r="T2898" s="17">
        <v>1</v>
      </c>
      <c r="U2898" s="17" t="s">
        <v>57</v>
      </c>
      <c r="V2898" s="17" t="s">
        <v>56</v>
      </c>
      <c r="W2898" s="4">
        <v>80</v>
      </c>
      <c r="Y2898" s="4">
        <v>80</v>
      </c>
      <c r="AB2898" s="17">
        <v>11</v>
      </c>
      <c r="AJ2898" s="19">
        <v>0</v>
      </c>
      <c r="AK2898" s="23">
        <v>11</v>
      </c>
      <c r="AM2898" s="19">
        <v>0</v>
      </c>
      <c r="AN2898" s="19">
        <v>210400</v>
      </c>
      <c r="AP2898" s="14">
        <v>210400</v>
      </c>
    </row>
    <row r="2899" spans="1:45" x14ac:dyDescent="0.2">
      <c r="A2899" s="2">
        <v>2469</v>
      </c>
      <c r="B2899" s="13">
        <v>2</v>
      </c>
      <c r="C2899" s="17" t="s">
        <v>52</v>
      </c>
      <c r="D2899" s="17">
        <v>1558</v>
      </c>
      <c r="E2899" s="17">
        <v>78</v>
      </c>
      <c r="F2899" s="17">
        <v>476</v>
      </c>
      <c r="G2899" s="13">
        <v>2</v>
      </c>
      <c r="H2899" s="17">
        <v>2</v>
      </c>
      <c r="I2899" s="17">
        <v>0</v>
      </c>
      <c r="J2899" s="17">
        <v>30</v>
      </c>
      <c r="K2899" s="10">
        <v>830</v>
      </c>
      <c r="P2899" s="17">
        <v>1</v>
      </c>
      <c r="Q2899" s="19">
        <v>830</v>
      </c>
      <c r="R2899" s="14">
        <v>160</v>
      </c>
      <c r="S2899" s="19">
        <v>132800</v>
      </c>
      <c r="AJ2899" s="19">
        <v>0</v>
      </c>
      <c r="AK2899" s="23">
        <v>0</v>
      </c>
      <c r="AM2899" s="19">
        <v>0</v>
      </c>
      <c r="AN2899" s="19">
        <v>132800</v>
      </c>
      <c r="AP2899" s="14">
        <v>132800</v>
      </c>
    </row>
    <row r="2900" spans="1:45" x14ac:dyDescent="0.2">
      <c r="A2900" s="2">
        <v>2470</v>
      </c>
      <c r="B2900" s="13">
        <v>3</v>
      </c>
      <c r="C2900" s="17" t="s">
        <v>52</v>
      </c>
      <c r="D2900" s="17">
        <v>1560</v>
      </c>
      <c r="E2900" s="17">
        <v>80</v>
      </c>
      <c r="F2900" s="17">
        <v>478</v>
      </c>
      <c r="G2900" s="13">
        <v>2</v>
      </c>
      <c r="H2900" s="17">
        <v>1</v>
      </c>
      <c r="I2900" s="17">
        <v>3</v>
      </c>
      <c r="J2900" s="17">
        <v>86</v>
      </c>
      <c r="K2900" s="10">
        <v>786</v>
      </c>
      <c r="P2900" s="17">
        <v>1</v>
      </c>
      <c r="Q2900" s="19">
        <v>786</v>
      </c>
      <c r="R2900" s="14">
        <v>160</v>
      </c>
      <c r="S2900" s="19">
        <v>125760</v>
      </c>
      <c r="AJ2900" s="19">
        <v>0</v>
      </c>
      <c r="AK2900" s="23">
        <v>0</v>
      </c>
      <c r="AM2900" s="19">
        <v>0</v>
      </c>
      <c r="AN2900" s="19">
        <v>125760</v>
      </c>
      <c r="AP2900" s="14">
        <v>125760</v>
      </c>
    </row>
    <row r="2901" spans="1:45" x14ac:dyDescent="0.2">
      <c r="A2901" s="2">
        <v>2471</v>
      </c>
      <c r="B2901" s="13">
        <v>4</v>
      </c>
      <c r="C2901" s="17" t="s">
        <v>52</v>
      </c>
      <c r="D2901" s="17">
        <v>2008</v>
      </c>
      <c r="E2901" s="17">
        <v>31</v>
      </c>
      <c r="F2901" s="17">
        <v>1042</v>
      </c>
      <c r="H2901" s="17">
        <v>0</v>
      </c>
      <c r="I2901" s="17">
        <v>0</v>
      </c>
      <c r="J2901" s="17">
        <v>69</v>
      </c>
      <c r="N2901" s="18">
        <v>69</v>
      </c>
      <c r="P2901" s="17">
        <v>4</v>
      </c>
      <c r="Q2901" s="19">
        <v>69</v>
      </c>
      <c r="R2901" s="14">
        <v>2000</v>
      </c>
      <c r="S2901" s="19">
        <v>138000</v>
      </c>
      <c r="AJ2901" s="19">
        <v>0</v>
      </c>
      <c r="AK2901" s="23">
        <v>0</v>
      </c>
      <c r="AM2901" s="19">
        <v>0</v>
      </c>
      <c r="AN2901" s="19">
        <v>138000</v>
      </c>
      <c r="AP2901" s="14">
        <v>138000</v>
      </c>
    </row>
    <row r="2902" spans="1:45" x14ac:dyDescent="0.2">
      <c r="A2902" s="2">
        <v>2472</v>
      </c>
      <c r="B2902" s="13">
        <v>5</v>
      </c>
      <c r="C2902" s="17" t="s">
        <v>52</v>
      </c>
      <c r="D2902" s="17">
        <v>14882</v>
      </c>
      <c r="E2902" s="17">
        <v>149</v>
      </c>
      <c r="F2902" s="17">
        <v>3364</v>
      </c>
      <c r="H2902" s="17">
        <v>3</v>
      </c>
      <c r="I2902" s="17">
        <v>1</v>
      </c>
      <c r="J2902" s="17">
        <v>44</v>
      </c>
      <c r="K2902" s="10">
        <v>1344</v>
      </c>
      <c r="P2902" s="17">
        <v>1</v>
      </c>
      <c r="Q2902" s="19">
        <v>1344</v>
      </c>
      <c r="R2902" s="14">
        <v>500</v>
      </c>
      <c r="S2902" s="19">
        <v>672000</v>
      </c>
      <c r="AJ2902" s="19">
        <v>0</v>
      </c>
      <c r="AK2902" s="23">
        <v>0</v>
      </c>
      <c r="AM2902" s="19">
        <v>0</v>
      </c>
      <c r="AN2902" s="19">
        <v>672000</v>
      </c>
      <c r="AP2902" s="14">
        <v>672000</v>
      </c>
    </row>
    <row r="2903" spans="1:45" x14ac:dyDescent="0.2">
      <c r="A2903" s="2">
        <v>2473</v>
      </c>
      <c r="B2903" s="13">
        <v>6</v>
      </c>
      <c r="C2903" s="17" t="s">
        <v>69</v>
      </c>
      <c r="E2903" s="17">
        <v>164</v>
      </c>
      <c r="F2903" s="17">
        <v>6</v>
      </c>
      <c r="G2903" s="13">
        <v>2</v>
      </c>
      <c r="H2903" s="17">
        <v>8</v>
      </c>
      <c r="I2903" s="17">
        <v>1</v>
      </c>
      <c r="J2903" s="17">
        <v>69</v>
      </c>
      <c r="K2903" s="10">
        <v>3369</v>
      </c>
      <c r="P2903" s="17">
        <v>1</v>
      </c>
      <c r="Q2903" s="19">
        <v>3369</v>
      </c>
      <c r="R2903" s="14">
        <v>160</v>
      </c>
      <c r="S2903" s="19">
        <v>539040</v>
      </c>
      <c r="AJ2903" s="19">
        <v>0</v>
      </c>
      <c r="AK2903" s="23">
        <v>0</v>
      </c>
      <c r="AM2903" s="19">
        <v>0</v>
      </c>
      <c r="AN2903" s="19">
        <v>539040</v>
      </c>
      <c r="AP2903" s="14">
        <v>539040</v>
      </c>
      <c r="AQ2903" s="12">
        <v>1E-4</v>
      </c>
    </row>
    <row r="2904" spans="1:45" x14ac:dyDescent="0.2">
      <c r="A2904" s="2">
        <v>2474</v>
      </c>
      <c r="B2904" s="13">
        <v>1</v>
      </c>
      <c r="C2904" s="17" t="s">
        <v>52</v>
      </c>
      <c r="D2904" s="17">
        <v>1723</v>
      </c>
      <c r="E2904" s="17">
        <v>22</v>
      </c>
      <c r="F2904" s="17">
        <v>925</v>
      </c>
      <c r="H2904" s="17">
        <v>0</v>
      </c>
      <c r="I2904" s="17">
        <v>1</v>
      </c>
      <c r="J2904" s="17">
        <v>9</v>
      </c>
      <c r="L2904" s="17">
        <v>109</v>
      </c>
      <c r="P2904" s="17">
        <v>2</v>
      </c>
      <c r="Q2904" s="19">
        <v>109</v>
      </c>
      <c r="R2904" s="14">
        <v>2000</v>
      </c>
      <c r="S2904" s="19">
        <v>218000</v>
      </c>
      <c r="AE2904" s="17" t="s">
        <v>74</v>
      </c>
      <c r="AJ2904" s="19">
        <v>0</v>
      </c>
      <c r="AK2904" s="23">
        <v>0</v>
      </c>
      <c r="AM2904" s="19">
        <v>0</v>
      </c>
      <c r="AN2904" s="19">
        <v>218000</v>
      </c>
      <c r="AP2904" s="14">
        <v>218000</v>
      </c>
    </row>
    <row r="2905" spans="1:45" x14ac:dyDescent="0.2">
      <c r="A2905" s="2">
        <v>2475</v>
      </c>
      <c r="B2905" s="13">
        <v>2</v>
      </c>
      <c r="C2905" s="17" t="s">
        <v>52</v>
      </c>
      <c r="D2905" s="17">
        <v>14820</v>
      </c>
      <c r="E2905" s="17">
        <v>148</v>
      </c>
      <c r="F2905" s="17">
        <v>3354</v>
      </c>
      <c r="H2905" s="17">
        <v>0</v>
      </c>
      <c r="I2905" s="17">
        <v>1</v>
      </c>
      <c r="J2905" s="17">
        <v>28</v>
      </c>
      <c r="N2905" s="18">
        <v>128</v>
      </c>
      <c r="P2905" s="17">
        <v>1</v>
      </c>
      <c r="Q2905" s="19">
        <v>128</v>
      </c>
      <c r="R2905" s="14">
        <v>2000</v>
      </c>
      <c r="S2905" s="19">
        <v>256000</v>
      </c>
      <c r="AJ2905" s="19">
        <v>0</v>
      </c>
      <c r="AK2905" s="23">
        <v>0</v>
      </c>
      <c r="AM2905" s="19">
        <v>0</v>
      </c>
      <c r="AN2905" s="19">
        <v>256000</v>
      </c>
      <c r="AP2905" s="14">
        <v>256000</v>
      </c>
    </row>
    <row r="2906" spans="1:45" x14ac:dyDescent="0.2">
      <c r="A2906" s="2">
        <v>2476</v>
      </c>
      <c r="B2906" s="13">
        <v>1</v>
      </c>
      <c r="C2906" s="17" t="s">
        <v>52</v>
      </c>
      <c r="D2906" s="17">
        <v>1722</v>
      </c>
      <c r="E2906" s="17">
        <v>21</v>
      </c>
      <c r="F2906" s="17">
        <v>924</v>
      </c>
      <c r="H2906" s="17">
        <v>1</v>
      </c>
      <c r="I2906" s="17">
        <v>0</v>
      </c>
      <c r="J2906" s="17">
        <v>97</v>
      </c>
      <c r="K2906" s="10">
        <v>497</v>
      </c>
      <c r="P2906" s="17">
        <v>1</v>
      </c>
      <c r="Q2906" s="19">
        <v>497</v>
      </c>
      <c r="R2906" s="14">
        <v>500</v>
      </c>
      <c r="S2906" s="19">
        <v>248500</v>
      </c>
      <c r="AJ2906" s="19">
        <v>0</v>
      </c>
      <c r="AK2906" s="23">
        <v>0</v>
      </c>
      <c r="AM2906" s="19">
        <v>0</v>
      </c>
      <c r="AN2906" s="19">
        <v>248500</v>
      </c>
      <c r="AP2906" s="14">
        <v>248500</v>
      </c>
    </row>
    <row r="2907" spans="1:45" x14ac:dyDescent="0.2">
      <c r="A2907" s="2">
        <v>2477</v>
      </c>
      <c r="B2907" s="13">
        <v>2</v>
      </c>
      <c r="C2907" s="17" t="s">
        <v>52</v>
      </c>
      <c r="D2907" s="17">
        <v>28025</v>
      </c>
      <c r="E2907" s="17">
        <v>176</v>
      </c>
      <c r="F2907" s="17">
        <v>5276</v>
      </c>
      <c r="H2907" s="17">
        <v>6</v>
      </c>
      <c r="I2907" s="17">
        <v>2</v>
      </c>
      <c r="J2907" s="17">
        <v>10</v>
      </c>
      <c r="K2907" s="10">
        <v>2610</v>
      </c>
      <c r="P2907" s="17">
        <v>1</v>
      </c>
      <c r="Q2907" s="19">
        <v>2610</v>
      </c>
      <c r="R2907" s="14">
        <v>160</v>
      </c>
      <c r="S2907" s="19">
        <v>417600</v>
      </c>
      <c r="AJ2907" s="19">
        <v>0</v>
      </c>
      <c r="AK2907" s="23">
        <v>0</v>
      </c>
      <c r="AM2907" s="19">
        <v>0</v>
      </c>
      <c r="AN2907" s="19">
        <v>417600</v>
      </c>
      <c r="AP2907" s="14">
        <v>417600</v>
      </c>
    </row>
    <row r="2908" spans="1:45" ht="63" x14ac:dyDescent="0.2">
      <c r="A2908" s="2">
        <v>2478</v>
      </c>
      <c r="B2908" s="13">
        <v>3</v>
      </c>
      <c r="C2908" s="17" t="s">
        <v>52</v>
      </c>
      <c r="D2908" s="17">
        <v>28026</v>
      </c>
      <c r="E2908" s="17">
        <v>177</v>
      </c>
      <c r="F2908" s="17">
        <v>5277</v>
      </c>
      <c r="H2908" s="17">
        <v>0</v>
      </c>
      <c r="I2908" s="17">
        <v>3</v>
      </c>
      <c r="J2908" s="17">
        <v>70</v>
      </c>
      <c r="L2908" s="17">
        <v>370</v>
      </c>
      <c r="P2908" s="17">
        <v>2</v>
      </c>
      <c r="Q2908" s="19">
        <v>370</v>
      </c>
      <c r="R2908" s="14">
        <v>160</v>
      </c>
      <c r="S2908" s="19">
        <v>59200</v>
      </c>
      <c r="T2908" s="17">
        <v>1</v>
      </c>
      <c r="U2908" s="17" t="s">
        <v>57</v>
      </c>
      <c r="V2908" s="17" t="s">
        <v>56</v>
      </c>
      <c r="W2908" s="4">
        <v>117</v>
      </c>
      <c r="Y2908" s="4">
        <v>117</v>
      </c>
      <c r="AB2908" s="17">
        <v>6</v>
      </c>
      <c r="AJ2908" s="19">
        <v>0</v>
      </c>
      <c r="AK2908" s="23">
        <v>6</v>
      </c>
      <c r="AM2908" s="19">
        <v>0</v>
      </c>
      <c r="AN2908" s="19">
        <v>59200</v>
      </c>
      <c r="AP2908" s="14">
        <v>59200</v>
      </c>
    </row>
    <row r="2909" spans="1:45" x14ac:dyDescent="0.2">
      <c r="A2909" s="2">
        <v>2479</v>
      </c>
      <c r="B2909" s="13">
        <v>1</v>
      </c>
      <c r="C2909" s="17" t="s">
        <v>52</v>
      </c>
      <c r="D2909" s="17">
        <v>1453</v>
      </c>
      <c r="E2909" s="17">
        <v>10</v>
      </c>
      <c r="F2909" s="17">
        <v>930</v>
      </c>
      <c r="H2909" s="17">
        <v>14</v>
      </c>
      <c r="I2909" s="17">
        <v>1</v>
      </c>
      <c r="J2909" s="17">
        <v>96</v>
      </c>
      <c r="K2909" s="10">
        <v>5796</v>
      </c>
      <c r="P2909" s="17">
        <v>1</v>
      </c>
      <c r="Q2909" s="19">
        <v>5796</v>
      </c>
      <c r="R2909" s="14">
        <v>160</v>
      </c>
      <c r="S2909" s="19">
        <v>927360</v>
      </c>
      <c r="AJ2909" s="19">
        <v>0</v>
      </c>
      <c r="AK2909" s="23">
        <v>0</v>
      </c>
      <c r="AM2909" s="19">
        <v>0</v>
      </c>
      <c r="AN2909" s="19">
        <v>927360</v>
      </c>
      <c r="AP2909" s="14">
        <v>927360</v>
      </c>
      <c r="AS2909" s="26">
        <v>296</v>
      </c>
    </row>
    <row r="2910" spans="1:45" ht="63" x14ac:dyDescent="0.2">
      <c r="A2910" s="2">
        <v>2480</v>
      </c>
      <c r="B2910" s="13">
        <v>2</v>
      </c>
      <c r="C2910" s="17" t="s">
        <v>52</v>
      </c>
      <c r="D2910" s="17">
        <v>1724</v>
      </c>
      <c r="E2910" s="17">
        <v>23</v>
      </c>
      <c r="F2910" s="17">
        <v>926</v>
      </c>
      <c r="H2910" s="17">
        <v>0</v>
      </c>
      <c r="I2910" s="17">
        <v>2</v>
      </c>
      <c r="J2910" s="17">
        <v>95</v>
      </c>
      <c r="L2910" s="17">
        <v>295</v>
      </c>
      <c r="P2910" s="17">
        <v>2</v>
      </c>
      <c r="Q2910" s="19">
        <v>295</v>
      </c>
      <c r="R2910" s="14">
        <v>2000</v>
      </c>
      <c r="S2910" s="19">
        <v>590000</v>
      </c>
      <c r="T2910" s="17">
        <v>1</v>
      </c>
      <c r="U2910" s="17" t="s">
        <v>57</v>
      </c>
      <c r="V2910" s="17" t="s">
        <v>56</v>
      </c>
      <c r="W2910" s="4">
        <v>418</v>
      </c>
      <c r="Y2910" s="4">
        <v>418</v>
      </c>
      <c r="AB2910" s="17">
        <v>28</v>
      </c>
      <c r="AJ2910" s="19">
        <v>0</v>
      </c>
      <c r="AK2910" s="23">
        <v>28</v>
      </c>
      <c r="AM2910" s="19">
        <v>0</v>
      </c>
      <c r="AN2910" s="19">
        <v>590000</v>
      </c>
      <c r="AP2910" s="14">
        <v>590000</v>
      </c>
    </row>
    <row r="2911" spans="1:45" x14ac:dyDescent="0.2">
      <c r="A2911" s="2">
        <v>2481</v>
      </c>
      <c r="B2911" s="13">
        <v>3</v>
      </c>
      <c r="C2911" s="17" t="s">
        <v>52</v>
      </c>
      <c r="D2911" s="17">
        <v>1727</v>
      </c>
      <c r="E2911" s="17">
        <v>25</v>
      </c>
      <c r="F2911" s="17">
        <v>929</v>
      </c>
      <c r="H2911" s="17">
        <v>4</v>
      </c>
      <c r="I2911" s="17">
        <v>0</v>
      </c>
      <c r="J2911" s="17">
        <v>38</v>
      </c>
      <c r="K2911" s="10">
        <v>1638</v>
      </c>
      <c r="P2911" s="17">
        <v>1</v>
      </c>
      <c r="Q2911" s="19">
        <v>1638</v>
      </c>
      <c r="R2911" s="14">
        <v>160</v>
      </c>
      <c r="S2911" s="19">
        <v>262080</v>
      </c>
      <c r="AJ2911" s="19">
        <v>0</v>
      </c>
      <c r="AK2911" s="23">
        <v>0</v>
      </c>
      <c r="AM2911" s="19">
        <v>0</v>
      </c>
      <c r="AN2911" s="19">
        <v>262080</v>
      </c>
      <c r="AP2911" s="14">
        <v>262080</v>
      </c>
    </row>
    <row r="2912" spans="1:45" x14ac:dyDescent="0.2">
      <c r="A2912" s="2">
        <v>2482</v>
      </c>
      <c r="B2912" s="13">
        <v>4</v>
      </c>
      <c r="C2912" s="17" t="s">
        <v>52</v>
      </c>
      <c r="D2912" s="17">
        <v>3854</v>
      </c>
      <c r="E2912" s="17">
        <v>20</v>
      </c>
      <c r="F2912" s="17">
        <v>2408</v>
      </c>
      <c r="H2912" s="17">
        <v>23</v>
      </c>
      <c r="I2912" s="17">
        <v>1</v>
      </c>
      <c r="J2912" s="17">
        <v>26</v>
      </c>
      <c r="K2912" s="10">
        <v>9326</v>
      </c>
      <c r="P2912" s="17">
        <v>1</v>
      </c>
      <c r="Q2912" s="19">
        <v>9326</v>
      </c>
      <c r="R2912" s="14">
        <v>160</v>
      </c>
      <c r="S2912" s="19">
        <v>1492160</v>
      </c>
      <c r="AJ2912" s="19">
        <v>0</v>
      </c>
      <c r="AK2912" s="23">
        <v>0</v>
      </c>
      <c r="AM2912" s="19">
        <v>0</v>
      </c>
      <c r="AN2912" s="19">
        <v>1492160</v>
      </c>
      <c r="AP2912" s="14">
        <v>1492160</v>
      </c>
    </row>
    <row r="2913" spans="1:45" x14ac:dyDescent="0.2">
      <c r="A2913" s="2">
        <v>2483</v>
      </c>
      <c r="B2913" s="13">
        <v>5</v>
      </c>
      <c r="C2913" s="17" t="s">
        <v>52</v>
      </c>
      <c r="D2913" s="17">
        <v>22347</v>
      </c>
      <c r="E2913" s="17">
        <v>23</v>
      </c>
      <c r="F2913" s="17">
        <v>4706</v>
      </c>
      <c r="H2913" s="17">
        <v>33</v>
      </c>
      <c r="I2913" s="17">
        <v>3</v>
      </c>
      <c r="J2913" s="17">
        <v>30</v>
      </c>
      <c r="K2913" s="10">
        <v>13530</v>
      </c>
      <c r="P2913" s="17">
        <v>1</v>
      </c>
      <c r="Q2913" s="19">
        <v>13530</v>
      </c>
      <c r="R2913" s="14">
        <v>200</v>
      </c>
      <c r="S2913" s="19">
        <v>2706000</v>
      </c>
      <c r="AJ2913" s="19">
        <v>0</v>
      </c>
      <c r="AK2913" s="23">
        <v>0</v>
      </c>
      <c r="AM2913" s="19">
        <v>0</v>
      </c>
      <c r="AN2913" s="19">
        <v>2706000</v>
      </c>
      <c r="AP2913" s="14">
        <v>2706000</v>
      </c>
    </row>
    <row r="2914" spans="1:45" x14ac:dyDescent="0.2">
      <c r="A2914" s="2">
        <v>2484</v>
      </c>
      <c r="B2914" s="13">
        <v>6</v>
      </c>
      <c r="C2914" s="17" t="s">
        <v>52</v>
      </c>
      <c r="D2914" s="17">
        <v>24536</v>
      </c>
      <c r="E2914" s="17">
        <v>170</v>
      </c>
      <c r="F2914" s="17">
        <v>4921</v>
      </c>
      <c r="H2914" s="17">
        <v>0</v>
      </c>
      <c r="I2914" s="17">
        <v>3</v>
      </c>
      <c r="J2914" s="17">
        <v>71</v>
      </c>
      <c r="K2914" s="10">
        <v>371</v>
      </c>
      <c r="P2914" s="17">
        <v>1</v>
      </c>
      <c r="Q2914" s="19">
        <v>371</v>
      </c>
      <c r="R2914" s="14">
        <v>160</v>
      </c>
      <c r="S2914" s="19">
        <v>59360</v>
      </c>
      <c r="AJ2914" s="19">
        <v>0</v>
      </c>
      <c r="AK2914" s="23">
        <v>0</v>
      </c>
      <c r="AM2914" s="19">
        <v>0</v>
      </c>
      <c r="AN2914" s="19">
        <v>59360</v>
      </c>
      <c r="AP2914" s="14">
        <v>59360</v>
      </c>
    </row>
    <row r="2915" spans="1:45" x14ac:dyDescent="0.2">
      <c r="A2915" s="2">
        <v>2485</v>
      </c>
      <c r="B2915" s="13">
        <v>7</v>
      </c>
      <c r="C2915" s="17" t="s">
        <v>52</v>
      </c>
      <c r="D2915" s="17">
        <v>24537</v>
      </c>
      <c r="E2915" s="17">
        <v>271</v>
      </c>
      <c r="F2915" s="17">
        <v>4917</v>
      </c>
      <c r="H2915" s="17">
        <v>0</v>
      </c>
      <c r="I2915" s="17">
        <v>0</v>
      </c>
      <c r="J2915" s="17">
        <v>55</v>
      </c>
      <c r="N2915" s="18">
        <v>55</v>
      </c>
      <c r="P2915" s="17">
        <v>4</v>
      </c>
      <c r="Q2915" s="19">
        <v>55</v>
      </c>
      <c r="R2915" s="14">
        <v>2000</v>
      </c>
      <c r="S2915" s="19">
        <v>110000</v>
      </c>
      <c r="AJ2915" s="19">
        <v>0</v>
      </c>
      <c r="AK2915" s="23">
        <v>0</v>
      </c>
      <c r="AM2915" s="19">
        <v>0</v>
      </c>
      <c r="AN2915" s="19">
        <v>110000</v>
      </c>
      <c r="AP2915" s="14">
        <v>110000</v>
      </c>
      <c r="AQ2915" s="12">
        <v>3.0000000000000001E-3</v>
      </c>
    </row>
    <row r="2916" spans="1:45" x14ac:dyDescent="0.2">
      <c r="A2916" s="2">
        <v>2486</v>
      </c>
      <c r="B2916" s="13">
        <v>1</v>
      </c>
      <c r="C2916" s="17" t="s">
        <v>52</v>
      </c>
      <c r="D2916" s="17">
        <v>22346</v>
      </c>
      <c r="E2916" s="17">
        <v>24</v>
      </c>
      <c r="F2916" s="17">
        <v>4655</v>
      </c>
      <c r="H2916" s="17">
        <v>30</v>
      </c>
      <c r="I2916" s="17">
        <v>0</v>
      </c>
      <c r="J2916" s="17">
        <v>40</v>
      </c>
      <c r="K2916" s="10">
        <v>12040</v>
      </c>
      <c r="P2916" s="17">
        <v>1</v>
      </c>
      <c r="Q2916" s="19">
        <v>12040</v>
      </c>
      <c r="R2916" s="14">
        <v>160</v>
      </c>
      <c r="S2916" s="19">
        <v>1926400</v>
      </c>
      <c r="AJ2916" s="19">
        <v>0</v>
      </c>
      <c r="AK2916" s="23">
        <v>0</v>
      </c>
      <c r="AM2916" s="19">
        <v>0</v>
      </c>
      <c r="AN2916" s="19">
        <v>1926400</v>
      </c>
      <c r="AP2916" s="14">
        <v>1926400</v>
      </c>
      <c r="AS2916" s="26">
        <v>165</v>
      </c>
    </row>
    <row r="2917" spans="1:45" x14ac:dyDescent="0.2">
      <c r="A2917" s="2">
        <v>2487</v>
      </c>
      <c r="B2917" s="13">
        <v>1</v>
      </c>
      <c r="C2917" s="17" t="s">
        <v>52</v>
      </c>
      <c r="D2917" s="17">
        <v>1725</v>
      </c>
      <c r="E2917" s="17">
        <v>24</v>
      </c>
      <c r="F2917" s="17">
        <v>927</v>
      </c>
      <c r="H2917" s="17">
        <v>0</v>
      </c>
      <c r="I2917" s="17">
        <v>1</v>
      </c>
      <c r="J2917" s="17">
        <v>66</v>
      </c>
      <c r="N2917" s="18">
        <v>166</v>
      </c>
      <c r="P2917" s="17">
        <v>4</v>
      </c>
      <c r="Q2917" s="19">
        <v>166</v>
      </c>
      <c r="R2917" s="14">
        <v>2000</v>
      </c>
      <c r="S2917" s="19">
        <v>332000</v>
      </c>
      <c r="AJ2917" s="19">
        <v>0</v>
      </c>
      <c r="AK2917" s="23">
        <v>0</v>
      </c>
      <c r="AM2917" s="19">
        <v>0</v>
      </c>
      <c r="AN2917" s="19">
        <v>332000</v>
      </c>
      <c r="AP2917" s="14">
        <v>332000</v>
      </c>
      <c r="AQ2917" s="12">
        <v>3.0000000000000001E-3</v>
      </c>
      <c r="AS2917" s="26">
        <v>13</v>
      </c>
    </row>
    <row r="2918" spans="1:45" x14ac:dyDescent="0.2">
      <c r="A2918" s="2">
        <v>2488</v>
      </c>
      <c r="B2918" s="13">
        <v>2</v>
      </c>
      <c r="C2918" s="17" t="s">
        <v>52</v>
      </c>
      <c r="D2918" s="17">
        <v>1726</v>
      </c>
      <c r="E2918" s="17">
        <v>26</v>
      </c>
      <c r="F2918" s="17">
        <v>928</v>
      </c>
      <c r="H2918" s="17">
        <v>4</v>
      </c>
      <c r="I2918" s="17">
        <v>1</v>
      </c>
      <c r="J2918" s="17">
        <v>66</v>
      </c>
      <c r="K2918" s="10">
        <v>1766</v>
      </c>
      <c r="P2918" s="17">
        <v>1</v>
      </c>
      <c r="Q2918" s="19">
        <v>1766</v>
      </c>
      <c r="R2918" s="14">
        <v>160</v>
      </c>
      <c r="S2918" s="19">
        <v>282560</v>
      </c>
      <c r="AJ2918" s="19">
        <v>0</v>
      </c>
      <c r="AK2918" s="23">
        <v>0</v>
      </c>
      <c r="AM2918" s="19">
        <v>0</v>
      </c>
      <c r="AN2918" s="19">
        <v>282560</v>
      </c>
      <c r="AP2918" s="14">
        <v>282560</v>
      </c>
    </row>
    <row r="2919" spans="1:45" ht="63" x14ac:dyDescent="0.2">
      <c r="A2919" s="2">
        <v>2489</v>
      </c>
      <c r="B2919" s="13">
        <v>3</v>
      </c>
      <c r="C2919" s="17" t="s">
        <v>52</v>
      </c>
      <c r="D2919" s="17">
        <v>14819</v>
      </c>
      <c r="E2919" s="17">
        <v>147</v>
      </c>
      <c r="F2919" s="17">
        <v>3353</v>
      </c>
      <c r="H2919" s="17">
        <v>0</v>
      </c>
      <c r="I2919" s="17">
        <v>1</v>
      </c>
      <c r="J2919" s="17">
        <v>19</v>
      </c>
      <c r="L2919" s="17">
        <v>119</v>
      </c>
      <c r="P2919" s="17">
        <v>2</v>
      </c>
      <c r="Q2919" s="19">
        <v>119</v>
      </c>
      <c r="R2919" s="14">
        <v>2000</v>
      </c>
      <c r="S2919" s="19">
        <v>238000</v>
      </c>
      <c r="T2919" s="17">
        <v>1</v>
      </c>
      <c r="U2919" s="17" t="s">
        <v>57</v>
      </c>
      <c r="V2919" s="17" t="s">
        <v>56</v>
      </c>
      <c r="W2919" s="4">
        <v>45</v>
      </c>
      <c r="Y2919" s="4">
        <v>45</v>
      </c>
      <c r="AB2919" s="17">
        <v>31</v>
      </c>
      <c r="AJ2919" s="19">
        <v>0</v>
      </c>
      <c r="AK2919" s="23">
        <v>31</v>
      </c>
      <c r="AM2919" s="19">
        <v>0</v>
      </c>
      <c r="AN2919" s="19">
        <v>238000</v>
      </c>
      <c r="AP2919" s="14">
        <v>238000</v>
      </c>
    </row>
    <row r="2920" spans="1:45" x14ac:dyDescent="0.2">
      <c r="A2920" s="2">
        <v>2490</v>
      </c>
      <c r="B2920" s="13">
        <v>1</v>
      </c>
      <c r="C2920" s="17" t="s">
        <v>69</v>
      </c>
      <c r="E2920" s="17">
        <v>1503</v>
      </c>
      <c r="F2920" s="17">
        <v>2</v>
      </c>
      <c r="G2920" s="13">
        <v>2</v>
      </c>
      <c r="H2920" s="17">
        <v>18</v>
      </c>
      <c r="I2920" s="17">
        <v>2</v>
      </c>
      <c r="J2920" s="17">
        <v>21</v>
      </c>
      <c r="K2920" s="10">
        <v>7421</v>
      </c>
      <c r="P2920" s="17">
        <v>1</v>
      </c>
      <c r="Q2920" s="19">
        <v>7421</v>
      </c>
      <c r="R2920" s="14">
        <v>160</v>
      </c>
      <c r="S2920" s="19">
        <v>1187360</v>
      </c>
      <c r="AJ2920" s="19">
        <v>0</v>
      </c>
      <c r="AK2920" s="23">
        <v>0</v>
      </c>
      <c r="AM2920" s="19">
        <v>0</v>
      </c>
      <c r="AN2920" s="19">
        <v>1187360</v>
      </c>
      <c r="AP2920" s="14">
        <v>1187360</v>
      </c>
      <c r="AQ2920" s="12">
        <v>1E-4</v>
      </c>
    </row>
    <row r="2921" spans="1:45" x14ac:dyDescent="0.2">
      <c r="A2921" s="2">
        <v>2491</v>
      </c>
      <c r="B2921" s="13">
        <v>2</v>
      </c>
      <c r="C2921" s="17" t="s">
        <v>69</v>
      </c>
      <c r="E2921" s="17">
        <v>1675</v>
      </c>
      <c r="F2921" s="17">
        <v>2</v>
      </c>
      <c r="G2921" s="13">
        <v>2</v>
      </c>
      <c r="H2921" s="17">
        <v>14</v>
      </c>
      <c r="I2921" s="17">
        <v>2</v>
      </c>
      <c r="J2921" s="17">
        <v>12</v>
      </c>
      <c r="K2921" s="10">
        <v>5812</v>
      </c>
      <c r="P2921" s="17">
        <v>1</v>
      </c>
      <c r="Q2921" s="19">
        <v>5812</v>
      </c>
      <c r="R2921" s="14">
        <v>160</v>
      </c>
      <c r="S2921" s="19">
        <v>929920</v>
      </c>
      <c r="AJ2921" s="19">
        <v>0</v>
      </c>
      <c r="AK2921" s="23">
        <v>0</v>
      </c>
      <c r="AM2921" s="19">
        <v>0</v>
      </c>
      <c r="AN2921" s="19">
        <v>929920</v>
      </c>
      <c r="AP2921" s="14">
        <v>929920</v>
      </c>
      <c r="AQ2921" s="12">
        <v>1E-4</v>
      </c>
    </row>
    <row r="2922" spans="1:45" ht="42" x14ac:dyDescent="0.2">
      <c r="A2922" s="2">
        <v>2492</v>
      </c>
      <c r="B2922" s="13">
        <v>1</v>
      </c>
      <c r="C2922" s="17" t="s">
        <v>52</v>
      </c>
      <c r="D2922" s="17">
        <v>20163</v>
      </c>
      <c r="E2922" s="17">
        <v>162</v>
      </c>
      <c r="F2922" s="17">
        <v>4400</v>
      </c>
      <c r="G2922" s="13">
        <v>2</v>
      </c>
      <c r="H2922" s="17">
        <v>0</v>
      </c>
      <c r="I2922" s="17">
        <v>1</v>
      </c>
      <c r="J2922" s="17">
        <v>7</v>
      </c>
      <c r="M2922" s="15">
        <v>107</v>
      </c>
      <c r="P2922" s="17">
        <v>5</v>
      </c>
      <c r="Q2922" s="19">
        <v>107</v>
      </c>
      <c r="R2922" s="14">
        <v>4500</v>
      </c>
      <c r="S2922" s="19">
        <v>481500</v>
      </c>
      <c r="T2922" s="17">
        <v>1</v>
      </c>
      <c r="U2922" s="17" t="s">
        <v>58</v>
      </c>
      <c r="W2922" s="4">
        <v>144</v>
      </c>
      <c r="Y2922" s="4" t="s">
        <v>156</v>
      </c>
      <c r="AB2922" s="17">
        <v>22</v>
      </c>
      <c r="AF2922" s="14">
        <v>2</v>
      </c>
      <c r="AG2922" s="54">
        <v>144</v>
      </c>
      <c r="AH2922" s="11">
        <v>0.63</v>
      </c>
      <c r="AI2922" s="14">
        <v>7050</v>
      </c>
      <c r="AJ2922" s="19">
        <v>639576</v>
      </c>
      <c r="AK2922" s="23">
        <v>22</v>
      </c>
      <c r="AL2922" s="11">
        <v>0.34</v>
      </c>
      <c r="AM2922" s="19">
        <v>422120.16</v>
      </c>
      <c r="AN2922" s="19">
        <v>903620.15999999992</v>
      </c>
      <c r="AP2922" s="14">
        <v>903620.15999999992</v>
      </c>
      <c r="AQ2922" s="12">
        <v>2.0000000000000001E-4</v>
      </c>
      <c r="AS2922" s="26">
        <v>33</v>
      </c>
    </row>
    <row r="2923" spans="1:45" x14ac:dyDescent="0.2">
      <c r="R2923" s="14" t="e">
        <v>#N/A</v>
      </c>
      <c r="Z2923" s="17">
        <v>54</v>
      </c>
      <c r="AF2923" s="14">
        <v>3</v>
      </c>
      <c r="AG2923" s="54">
        <v>144</v>
      </c>
      <c r="AH2923" s="11">
        <v>0.37</v>
      </c>
      <c r="AI2923" s="14">
        <v>7050</v>
      </c>
      <c r="AJ2923" s="19">
        <v>375624</v>
      </c>
      <c r="AK2923" s="23">
        <v>22</v>
      </c>
      <c r="AL2923" s="11">
        <v>0.34</v>
      </c>
      <c r="AM2923" s="19">
        <v>247911.84</v>
      </c>
      <c r="AN2923" s="19">
        <v>426066.83999999997</v>
      </c>
      <c r="AP2923" s="14">
        <v>426066.83999999997</v>
      </c>
      <c r="AQ2923" s="12">
        <v>3.0000000000000001E-3</v>
      </c>
    </row>
    <row r="2924" spans="1:45" x14ac:dyDescent="0.2">
      <c r="A2924" s="2">
        <v>2493</v>
      </c>
      <c r="B2924" s="13">
        <v>2</v>
      </c>
      <c r="C2924" s="17" t="s">
        <v>52</v>
      </c>
      <c r="D2924" s="17">
        <v>18632</v>
      </c>
      <c r="E2924" s="17">
        <v>125</v>
      </c>
      <c r="F2924" s="17">
        <v>3641</v>
      </c>
      <c r="G2924" s="13">
        <v>2</v>
      </c>
      <c r="H2924" s="17">
        <v>6</v>
      </c>
      <c r="I2924" s="17">
        <v>0</v>
      </c>
      <c r="J2924" s="17">
        <v>36</v>
      </c>
      <c r="K2924" s="10">
        <v>2436</v>
      </c>
      <c r="P2924" s="17">
        <v>1</v>
      </c>
      <c r="Q2924" s="19">
        <v>2436</v>
      </c>
      <c r="R2924" s="14">
        <v>160</v>
      </c>
      <c r="S2924" s="19">
        <v>389760</v>
      </c>
      <c r="Z2924" s="17" t="s">
        <v>251</v>
      </c>
      <c r="AJ2924" s="19">
        <v>0</v>
      </c>
      <c r="AK2924" s="23">
        <v>0</v>
      </c>
      <c r="AM2924" s="19">
        <v>0</v>
      </c>
      <c r="AN2924" s="19">
        <v>389760</v>
      </c>
      <c r="AP2924" s="14">
        <v>389760</v>
      </c>
    </row>
    <row r="2925" spans="1:45" ht="63" x14ac:dyDescent="0.2">
      <c r="A2925" s="2">
        <v>2494</v>
      </c>
      <c r="B2925" s="13">
        <v>3</v>
      </c>
      <c r="C2925" s="17" t="s">
        <v>52</v>
      </c>
      <c r="D2925" s="17">
        <v>18630</v>
      </c>
      <c r="E2925" s="17">
        <v>291</v>
      </c>
      <c r="F2925" s="17">
        <v>3644</v>
      </c>
      <c r="G2925" s="13">
        <v>2</v>
      </c>
      <c r="H2925" s="17">
        <v>0</v>
      </c>
      <c r="I2925" s="17">
        <v>1</v>
      </c>
      <c r="J2925" s="17">
        <v>50</v>
      </c>
      <c r="L2925" s="17">
        <v>130</v>
      </c>
      <c r="P2925" s="17">
        <v>2</v>
      </c>
      <c r="Q2925" s="19">
        <v>150</v>
      </c>
      <c r="R2925" s="14">
        <v>4500</v>
      </c>
      <c r="S2925" s="19">
        <v>675000</v>
      </c>
      <c r="T2925" s="17">
        <v>1</v>
      </c>
      <c r="U2925" s="17" t="s">
        <v>57</v>
      </c>
      <c r="V2925" s="17" t="s">
        <v>56</v>
      </c>
      <c r="W2925" s="4">
        <v>188</v>
      </c>
      <c r="Y2925" s="4">
        <v>188</v>
      </c>
      <c r="AB2925" s="17">
        <v>23</v>
      </c>
      <c r="AJ2925" s="19">
        <v>0</v>
      </c>
      <c r="AK2925" s="23">
        <v>23</v>
      </c>
      <c r="AM2925" s="19">
        <v>0</v>
      </c>
      <c r="AN2925" s="19">
        <v>675000</v>
      </c>
      <c r="AP2925" s="14">
        <v>675000</v>
      </c>
    </row>
    <row r="2926" spans="1:45" ht="63" x14ac:dyDescent="0.2">
      <c r="L2926" s="17">
        <v>20</v>
      </c>
      <c r="P2926" s="17">
        <v>2</v>
      </c>
      <c r="Q2926" s="19">
        <v>0</v>
      </c>
      <c r="S2926" s="19">
        <v>0</v>
      </c>
      <c r="T2926" s="17">
        <v>2</v>
      </c>
      <c r="U2926" s="17" t="s">
        <v>57</v>
      </c>
      <c r="V2926" s="17" t="s">
        <v>56</v>
      </c>
      <c r="W2926" s="4">
        <v>80</v>
      </c>
      <c r="Y2926" s="4">
        <v>80</v>
      </c>
      <c r="AB2926" s="17">
        <v>21</v>
      </c>
      <c r="AJ2926" s="19">
        <v>0</v>
      </c>
      <c r="AK2926" s="23">
        <v>21</v>
      </c>
      <c r="AM2926" s="19">
        <v>0</v>
      </c>
      <c r="AN2926" s="19">
        <v>0</v>
      </c>
      <c r="AP2926" s="14">
        <v>0</v>
      </c>
    </row>
    <row r="2927" spans="1:45" ht="63" x14ac:dyDescent="0.2">
      <c r="A2927" s="2">
        <v>2495</v>
      </c>
      <c r="B2927" s="13">
        <v>1</v>
      </c>
      <c r="C2927" s="17" t="s">
        <v>52</v>
      </c>
      <c r="D2927" s="17">
        <v>1912</v>
      </c>
      <c r="E2927" s="17">
        <v>87</v>
      </c>
      <c r="F2927" s="17">
        <v>498</v>
      </c>
      <c r="G2927" s="13">
        <v>2</v>
      </c>
      <c r="H2927" s="17">
        <v>5</v>
      </c>
      <c r="I2927" s="17">
        <v>2</v>
      </c>
      <c r="J2927" s="17">
        <v>2</v>
      </c>
      <c r="K2927" s="10">
        <v>1636.75</v>
      </c>
      <c r="L2927" s="17">
        <v>565.25</v>
      </c>
      <c r="P2927" s="17">
        <v>1</v>
      </c>
      <c r="Q2927" s="19">
        <v>2202</v>
      </c>
      <c r="R2927" s="14">
        <v>2250</v>
      </c>
      <c r="S2927" s="19">
        <v>4954500</v>
      </c>
      <c r="T2927" s="17">
        <v>1</v>
      </c>
      <c r="U2927" s="17" t="s">
        <v>87</v>
      </c>
      <c r="V2927" s="17" t="s">
        <v>56</v>
      </c>
      <c r="W2927" s="4">
        <v>2261</v>
      </c>
      <c r="Y2927" s="4">
        <v>2261</v>
      </c>
      <c r="AJ2927" s="19">
        <v>0</v>
      </c>
      <c r="AK2927" s="23">
        <v>0</v>
      </c>
      <c r="AM2927" s="19">
        <v>0</v>
      </c>
      <c r="AN2927" s="19">
        <v>4954500</v>
      </c>
      <c r="AP2927" s="14">
        <v>4954500</v>
      </c>
      <c r="AS2927" s="26">
        <v>218</v>
      </c>
    </row>
    <row r="2928" spans="1:45" x14ac:dyDescent="0.2">
      <c r="A2928" s="2">
        <v>2496</v>
      </c>
      <c r="B2928" s="13">
        <v>2</v>
      </c>
      <c r="C2928" s="17" t="s">
        <v>52</v>
      </c>
      <c r="D2928" s="17">
        <v>2940</v>
      </c>
      <c r="E2928" s="17">
        <v>12</v>
      </c>
      <c r="F2928" s="17">
        <v>2002</v>
      </c>
      <c r="G2928" s="13">
        <v>2</v>
      </c>
      <c r="H2928" s="17">
        <v>22</v>
      </c>
      <c r="I2928" s="17">
        <v>0</v>
      </c>
      <c r="J2928" s="17">
        <v>79</v>
      </c>
      <c r="K2928" s="10">
        <v>8879</v>
      </c>
      <c r="P2928" s="17">
        <v>1</v>
      </c>
      <c r="Q2928" s="19">
        <v>8879</v>
      </c>
      <c r="R2928" s="14">
        <v>200</v>
      </c>
      <c r="S2928" s="19">
        <v>1775800</v>
      </c>
      <c r="AJ2928" s="19">
        <v>0</v>
      </c>
      <c r="AK2928" s="23">
        <v>0</v>
      </c>
      <c r="AM2928" s="19">
        <v>0</v>
      </c>
      <c r="AN2928" s="19">
        <v>1775800</v>
      </c>
      <c r="AP2928" s="14">
        <v>1775800</v>
      </c>
    </row>
    <row r="2929" spans="1:45" x14ac:dyDescent="0.2">
      <c r="A2929" s="2">
        <v>2497</v>
      </c>
      <c r="B2929" s="13">
        <v>3</v>
      </c>
      <c r="C2929" s="17" t="s">
        <v>52</v>
      </c>
      <c r="D2929" s="17">
        <v>3777</v>
      </c>
      <c r="E2929" s="17">
        <v>106</v>
      </c>
      <c r="F2929" s="17">
        <v>2304</v>
      </c>
      <c r="G2929" s="13">
        <v>2</v>
      </c>
      <c r="H2929" s="17">
        <v>11</v>
      </c>
      <c r="I2929" s="17">
        <v>3</v>
      </c>
      <c r="J2929" s="17">
        <v>15</v>
      </c>
      <c r="K2929" s="10">
        <v>4715</v>
      </c>
      <c r="P2929" s="17">
        <v>1</v>
      </c>
      <c r="Q2929" s="19">
        <v>4715</v>
      </c>
      <c r="R2929" s="14">
        <v>200</v>
      </c>
      <c r="S2929" s="19">
        <v>943000</v>
      </c>
      <c r="AJ2929" s="19">
        <v>0</v>
      </c>
      <c r="AK2929" s="23">
        <v>0</v>
      </c>
      <c r="AM2929" s="19">
        <v>0</v>
      </c>
      <c r="AN2929" s="19">
        <v>943000</v>
      </c>
      <c r="AP2929" s="14">
        <v>943000</v>
      </c>
    </row>
    <row r="2930" spans="1:45" x14ac:dyDescent="0.2">
      <c r="A2930" s="2">
        <v>2498</v>
      </c>
      <c r="B2930" s="13">
        <v>1</v>
      </c>
      <c r="C2930" s="17" t="s">
        <v>52</v>
      </c>
      <c r="D2930" s="17">
        <v>3780</v>
      </c>
      <c r="E2930" s="17">
        <v>97</v>
      </c>
      <c r="F2930" s="17">
        <v>2309</v>
      </c>
      <c r="G2930" s="13">
        <v>2</v>
      </c>
      <c r="H2930" s="17">
        <v>7</v>
      </c>
      <c r="I2930" s="17">
        <v>3</v>
      </c>
      <c r="J2930" s="17">
        <v>17</v>
      </c>
      <c r="K2930" s="10">
        <v>3117</v>
      </c>
      <c r="P2930" s="17">
        <v>1</v>
      </c>
      <c r="Q2930" s="19">
        <v>3117</v>
      </c>
      <c r="R2930" s="14">
        <v>200</v>
      </c>
      <c r="S2930" s="19">
        <v>623400</v>
      </c>
      <c r="AJ2930" s="19">
        <v>0</v>
      </c>
      <c r="AK2930" s="23">
        <v>0</v>
      </c>
      <c r="AM2930" s="19">
        <v>0</v>
      </c>
      <c r="AN2930" s="19">
        <v>623400</v>
      </c>
      <c r="AP2930" s="14">
        <v>623400</v>
      </c>
      <c r="AS2930" s="26">
        <v>6000</v>
      </c>
    </row>
    <row r="2931" spans="1:45" ht="63" x14ac:dyDescent="0.2">
      <c r="A2931" s="2">
        <v>2499</v>
      </c>
      <c r="B2931" s="13">
        <v>1</v>
      </c>
      <c r="C2931" s="17" t="s">
        <v>52</v>
      </c>
      <c r="D2931" s="17">
        <v>1913</v>
      </c>
      <c r="E2931" s="17">
        <v>88</v>
      </c>
      <c r="F2931" s="17">
        <v>499</v>
      </c>
      <c r="G2931" s="13">
        <v>2</v>
      </c>
      <c r="H2931" s="17">
        <v>1</v>
      </c>
      <c r="I2931" s="17">
        <v>3</v>
      </c>
      <c r="J2931" s="17">
        <v>3</v>
      </c>
      <c r="K2931" s="10">
        <v>660.25</v>
      </c>
      <c r="L2931" s="17">
        <v>36</v>
      </c>
      <c r="P2931" s="17">
        <v>5</v>
      </c>
      <c r="Q2931" s="19">
        <v>703</v>
      </c>
      <c r="R2931" s="14">
        <v>160</v>
      </c>
      <c r="S2931" s="19">
        <v>112480</v>
      </c>
      <c r="T2931" s="17">
        <v>1</v>
      </c>
      <c r="U2931" s="17" t="s">
        <v>57</v>
      </c>
      <c r="V2931" s="17" t="s">
        <v>56</v>
      </c>
      <c r="W2931" s="4">
        <v>144</v>
      </c>
      <c r="Y2931" s="4">
        <v>144</v>
      </c>
      <c r="AB2931" s="17">
        <v>18</v>
      </c>
      <c r="AJ2931" s="19">
        <v>0</v>
      </c>
      <c r="AK2931" s="23">
        <v>18</v>
      </c>
      <c r="AM2931" s="19">
        <v>0</v>
      </c>
      <c r="AN2931" s="19">
        <v>112480</v>
      </c>
      <c r="AP2931" s="14">
        <v>112480</v>
      </c>
      <c r="AR2931" s="19">
        <v>6000</v>
      </c>
      <c r="AS2931" s="26">
        <v>6000</v>
      </c>
    </row>
    <row r="2932" spans="1:45" ht="42" x14ac:dyDescent="0.2">
      <c r="L2932" s="17">
        <v>6.75</v>
      </c>
      <c r="Q2932" s="19">
        <v>0</v>
      </c>
      <c r="S2932" s="19">
        <v>0</v>
      </c>
      <c r="T2932" s="17">
        <v>2</v>
      </c>
      <c r="U2932" s="17" t="s">
        <v>133</v>
      </c>
      <c r="W2932" s="4">
        <v>27</v>
      </c>
      <c r="Y2932" s="4">
        <v>27</v>
      </c>
      <c r="AJ2932" s="19">
        <v>0</v>
      </c>
      <c r="AK2932" s="23">
        <v>0</v>
      </c>
      <c r="AM2932" s="19">
        <v>0</v>
      </c>
      <c r="AN2932" s="19">
        <v>0</v>
      </c>
      <c r="AP2932" s="14">
        <v>0</v>
      </c>
    </row>
    <row r="2933" spans="1:45" x14ac:dyDescent="0.2">
      <c r="A2933" s="2">
        <v>2500</v>
      </c>
      <c r="B2933" s="13">
        <v>2</v>
      </c>
      <c r="C2933" s="17" t="s">
        <v>52</v>
      </c>
      <c r="D2933" s="17">
        <v>1966</v>
      </c>
      <c r="E2933" s="17">
        <v>17</v>
      </c>
      <c r="F2933" s="17">
        <v>1323</v>
      </c>
      <c r="G2933" s="13">
        <v>2</v>
      </c>
      <c r="H2933" s="17">
        <v>16</v>
      </c>
      <c r="I2933" s="17">
        <v>2</v>
      </c>
      <c r="J2933" s="17">
        <v>0</v>
      </c>
      <c r="K2933" s="10">
        <v>6600</v>
      </c>
      <c r="P2933" s="17">
        <v>1</v>
      </c>
      <c r="Q2933" s="19">
        <v>6600</v>
      </c>
      <c r="R2933" s="14">
        <v>160</v>
      </c>
      <c r="S2933" s="19">
        <v>1056000</v>
      </c>
      <c r="AJ2933" s="19">
        <v>0</v>
      </c>
      <c r="AK2933" s="23">
        <v>0</v>
      </c>
      <c r="AM2933" s="19">
        <v>0</v>
      </c>
      <c r="AN2933" s="19">
        <v>1056000</v>
      </c>
      <c r="AP2933" s="14">
        <v>1056000</v>
      </c>
    </row>
    <row r="2934" spans="1:45" ht="63" x14ac:dyDescent="0.2">
      <c r="A2934" s="2">
        <v>2501</v>
      </c>
      <c r="B2934" s="13">
        <v>3</v>
      </c>
      <c r="C2934" s="17" t="s">
        <v>52</v>
      </c>
      <c r="D2934" s="17">
        <v>2439</v>
      </c>
      <c r="E2934" s="17">
        <v>101</v>
      </c>
      <c r="F2934" s="17">
        <v>440</v>
      </c>
      <c r="G2934" s="13">
        <v>2</v>
      </c>
      <c r="H2934" s="17">
        <v>3</v>
      </c>
      <c r="I2934" s="17">
        <v>1</v>
      </c>
      <c r="J2934" s="17">
        <v>43</v>
      </c>
      <c r="K2934" s="10">
        <v>1295.8699999999999</v>
      </c>
      <c r="L2934" s="17">
        <v>47.13</v>
      </c>
      <c r="P2934" s="17">
        <v>5</v>
      </c>
      <c r="Q2934" s="19">
        <v>1343</v>
      </c>
      <c r="R2934" s="14">
        <v>200</v>
      </c>
      <c r="S2934" s="19">
        <v>268600</v>
      </c>
      <c r="T2934" s="17">
        <v>1</v>
      </c>
      <c r="U2934" s="17" t="s">
        <v>57</v>
      </c>
      <c r="V2934" s="17" t="s">
        <v>56</v>
      </c>
      <c r="W2934" s="4">
        <v>188.5</v>
      </c>
      <c r="Y2934" s="4">
        <v>188.5</v>
      </c>
      <c r="AB2934" s="17">
        <v>26</v>
      </c>
      <c r="AJ2934" s="19">
        <v>0</v>
      </c>
      <c r="AK2934" s="23">
        <v>26</v>
      </c>
      <c r="AM2934" s="19">
        <v>0</v>
      </c>
      <c r="AN2934" s="19">
        <v>268600</v>
      </c>
      <c r="AP2934" s="14">
        <v>268600</v>
      </c>
    </row>
    <row r="2935" spans="1:45" x14ac:dyDescent="0.2">
      <c r="A2935" s="2">
        <v>2502</v>
      </c>
      <c r="B2935" s="13">
        <v>4</v>
      </c>
      <c r="C2935" s="17" t="s">
        <v>52</v>
      </c>
      <c r="D2935" s="17">
        <v>3753</v>
      </c>
      <c r="E2935" s="17">
        <v>17</v>
      </c>
      <c r="F2935" s="17">
        <v>2275</v>
      </c>
      <c r="G2935" s="13">
        <v>2</v>
      </c>
      <c r="H2935" s="17">
        <v>19</v>
      </c>
      <c r="I2935" s="17">
        <v>0</v>
      </c>
      <c r="J2935" s="17">
        <v>40</v>
      </c>
      <c r="Q2935" s="19">
        <v>7640</v>
      </c>
      <c r="R2935" s="14">
        <v>200</v>
      </c>
      <c r="S2935" s="19">
        <v>1528000</v>
      </c>
      <c r="AJ2935" s="19">
        <v>0</v>
      </c>
      <c r="AK2935" s="23">
        <v>0</v>
      </c>
      <c r="AM2935" s="19">
        <v>0</v>
      </c>
      <c r="AN2935" s="19">
        <v>1528000</v>
      </c>
      <c r="AP2935" s="14">
        <v>1528000</v>
      </c>
    </row>
    <row r="2936" spans="1:45" ht="63" x14ac:dyDescent="0.2">
      <c r="A2936" s="2">
        <v>2503</v>
      </c>
      <c r="B2936" s="13">
        <v>5</v>
      </c>
      <c r="C2936" s="17" t="s">
        <v>52</v>
      </c>
      <c r="D2936" s="17">
        <v>12562</v>
      </c>
      <c r="E2936" s="17">
        <v>279</v>
      </c>
      <c r="F2936" s="17">
        <v>3256</v>
      </c>
      <c r="G2936" s="13">
        <v>2</v>
      </c>
      <c r="H2936" s="17">
        <v>0</v>
      </c>
      <c r="I2936" s="17">
        <v>0</v>
      </c>
      <c r="J2936" s="17">
        <v>62</v>
      </c>
      <c r="L2936" s="17">
        <v>62</v>
      </c>
      <c r="P2936" s="17">
        <v>2</v>
      </c>
      <c r="Q2936" s="19">
        <v>62</v>
      </c>
      <c r="R2936" s="14">
        <v>3000</v>
      </c>
      <c r="S2936" s="19">
        <v>186000</v>
      </c>
      <c r="T2936" s="17">
        <v>1</v>
      </c>
      <c r="U2936" s="17" t="s">
        <v>57</v>
      </c>
      <c r="V2936" s="17" t="s">
        <v>56</v>
      </c>
      <c r="W2936" s="4">
        <v>261</v>
      </c>
      <c r="Y2936" s="4">
        <v>261</v>
      </c>
      <c r="AB2936" s="17">
        <v>25</v>
      </c>
      <c r="AJ2936" s="19">
        <v>0</v>
      </c>
      <c r="AK2936" s="23">
        <v>25</v>
      </c>
      <c r="AM2936" s="19">
        <v>0</v>
      </c>
      <c r="AN2936" s="19">
        <v>186000</v>
      </c>
      <c r="AP2936" s="14">
        <v>186000</v>
      </c>
    </row>
    <row r="2937" spans="1:45" ht="42" x14ac:dyDescent="0.2">
      <c r="A2937" s="2">
        <v>2504</v>
      </c>
      <c r="B2937" s="13">
        <v>6</v>
      </c>
      <c r="C2937" s="17" t="s">
        <v>52</v>
      </c>
      <c r="D2937" s="17">
        <v>18629</v>
      </c>
      <c r="E2937" s="17">
        <v>273</v>
      </c>
      <c r="F2937" s="17">
        <v>3643</v>
      </c>
      <c r="G2937" s="13">
        <v>2</v>
      </c>
      <c r="H2937" s="17">
        <v>0</v>
      </c>
      <c r="I2937" s="17">
        <v>0</v>
      </c>
      <c r="J2937" s="17">
        <v>88</v>
      </c>
      <c r="M2937" s="15" t="s">
        <v>252</v>
      </c>
      <c r="P2937" s="17">
        <v>3</v>
      </c>
      <c r="Q2937" s="19">
        <v>88</v>
      </c>
      <c r="R2937" s="14">
        <v>4300</v>
      </c>
      <c r="S2937" s="19">
        <v>378400</v>
      </c>
      <c r="U2937" s="17" t="s">
        <v>58</v>
      </c>
      <c r="V2937" s="17" t="s">
        <v>56</v>
      </c>
      <c r="W2937" s="4">
        <v>157.5</v>
      </c>
      <c r="Y2937" s="4">
        <v>157.5</v>
      </c>
      <c r="AB2937" s="17">
        <v>4</v>
      </c>
      <c r="AF2937" s="14">
        <v>3</v>
      </c>
      <c r="AG2937" s="54">
        <v>157.5</v>
      </c>
      <c r="AH2937" s="11">
        <v>1</v>
      </c>
      <c r="AI2937" s="14">
        <v>7050</v>
      </c>
      <c r="AJ2937" s="19">
        <v>1110375</v>
      </c>
      <c r="AK2937" s="23">
        <v>4</v>
      </c>
      <c r="AL2937" s="11">
        <v>0.04</v>
      </c>
      <c r="AM2937" s="19">
        <v>1065960</v>
      </c>
      <c r="AN2937" s="19">
        <v>1444360</v>
      </c>
      <c r="AP2937" s="14">
        <v>1444360</v>
      </c>
      <c r="AQ2937" s="12">
        <v>3.0000000000000001E-3</v>
      </c>
    </row>
    <row r="2938" spans="1:45" ht="42" x14ac:dyDescent="0.2">
      <c r="A2938" s="2">
        <v>2505</v>
      </c>
      <c r="B2938" s="13">
        <v>7</v>
      </c>
      <c r="C2938" s="17" t="s">
        <v>52</v>
      </c>
      <c r="D2938" s="17">
        <v>20162</v>
      </c>
      <c r="E2938" s="17">
        <v>161</v>
      </c>
      <c r="F2938" s="17">
        <v>4399</v>
      </c>
      <c r="G2938" s="13">
        <v>2</v>
      </c>
      <c r="H2938" s="17">
        <v>0</v>
      </c>
      <c r="I2938" s="17">
        <v>1</v>
      </c>
      <c r="J2938" s="17">
        <v>0</v>
      </c>
      <c r="M2938" s="15" t="s">
        <v>253</v>
      </c>
      <c r="P2938" s="17">
        <v>3</v>
      </c>
      <c r="Q2938" s="19">
        <v>100</v>
      </c>
      <c r="R2938" s="14">
        <v>2950</v>
      </c>
      <c r="S2938" s="19">
        <v>295000</v>
      </c>
      <c r="T2938" s="17">
        <v>1</v>
      </c>
      <c r="U2938" s="17" t="s">
        <v>58</v>
      </c>
      <c r="V2938" s="17" t="s">
        <v>56</v>
      </c>
      <c r="W2938" s="4">
        <v>153</v>
      </c>
      <c r="Y2938" s="4">
        <v>153</v>
      </c>
      <c r="AB2938" s="17">
        <v>4</v>
      </c>
      <c r="AF2938" s="14">
        <v>3</v>
      </c>
      <c r="AG2938" s="54">
        <v>153</v>
      </c>
      <c r="AH2938" s="11">
        <v>1</v>
      </c>
      <c r="AI2938" s="14">
        <v>7050</v>
      </c>
      <c r="AJ2938" s="19">
        <v>1078650</v>
      </c>
      <c r="AK2938" s="23">
        <v>4</v>
      </c>
      <c r="AL2938" s="11">
        <v>0.04</v>
      </c>
      <c r="AM2938" s="19">
        <v>1035504</v>
      </c>
      <c r="AN2938" s="19">
        <v>1330504</v>
      </c>
      <c r="AP2938" s="14">
        <v>1330504</v>
      </c>
      <c r="AQ2938" s="12">
        <v>3.0000000000000001E-3</v>
      </c>
    </row>
    <row r="2939" spans="1:45" x14ac:dyDescent="0.2">
      <c r="A2939" s="2">
        <v>2506</v>
      </c>
      <c r="B2939" s="13">
        <v>8</v>
      </c>
      <c r="C2939" s="17" t="s">
        <v>52</v>
      </c>
      <c r="D2939" s="17">
        <v>20166</v>
      </c>
      <c r="E2939" s="17">
        <v>165</v>
      </c>
      <c r="F2939" s="17">
        <v>4403</v>
      </c>
      <c r="G2939" s="13">
        <v>2</v>
      </c>
      <c r="H2939" s="17">
        <v>0</v>
      </c>
      <c r="I2939" s="17">
        <v>2</v>
      </c>
      <c r="J2939" s="17">
        <v>21</v>
      </c>
      <c r="Q2939" s="19">
        <v>221</v>
      </c>
      <c r="R2939" s="14">
        <v>160</v>
      </c>
      <c r="S2939" s="19">
        <v>35360</v>
      </c>
      <c r="AJ2939" s="19">
        <v>0</v>
      </c>
      <c r="AK2939" s="23">
        <v>0</v>
      </c>
      <c r="AM2939" s="19">
        <v>0</v>
      </c>
      <c r="AN2939" s="19">
        <v>35360</v>
      </c>
      <c r="AP2939" s="14">
        <v>35360</v>
      </c>
    </row>
    <row r="2940" spans="1:45" ht="63" x14ac:dyDescent="0.2">
      <c r="A2940" s="2">
        <v>2507</v>
      </c>
      <c r="B2940" s="13">
        <v>1</v>
      </c>
      <c r="C2940" s="17" t="s">
        <v>52</v>
      </c>
      <c r="D2940" s="17">
        <v>1910</v>
      </c>
      <c r="E2940" s="17">
        <v>86</v>
      </c>
      <c r="F2940" s="17">
        <v>496</v>
      </c>
      <c r="G2940" s="13">
        <v>2</v>
      </c>
      <c r="H2940" s="17">
        <v>2</v>
      </c>
      <c r="I2940" s="17">
        <v>2</v>
      </c>
      <c r="J2940" s="17">
        <v>49</v>
      </c>
      <c r="M2940" s="15">
        <v>1049</v>
      </c>
      <c r="Q2940" s="19">
        <v>1049</v>
      </c>
      <c r="R2940" s="14">
        <v>3350</v>
      </c>
      <c r="S2940" s="19">
        <v>3514150</v>
      </c>
      <c r="T2940" s="17">
        <v>1</v>
      </c>
      <c r="U2940" s="17" t="s">
        <v>55</v>
      </c>
      <c r="AE2940" s="17" t="s">
        <v>254</v>
      </c>
      <c r="AJ2940" s="19">
        <v>0</v>
      </c>
      <c r="AK2940" s="23">
        <v>0</v>
      </c>
      <c r="AM2940" s="19">
        <v>0</v>
      </c>
      <c r="AN2940" s="19">
        <v>3514150</v>
      </c>
      <c r="AP2940" s="14">
        <v>3514150</v>
      </c>
      <c r="AS2940" s="26">
        <v>6000</v>
      </c>
    </row>
    <row r="2941" spans="1:45" x14ac:dyDescent="0.2">
      <c r="A2941" s="2">
        <v>2508</v>
      </c>
      <c r="B2941" s="13">
        <v>1</v>
      </c>
      <c r="C2941" s="17" t="s">
        <v>52</v>
      </c>
      <c r="D2941" s="17">
        <v>39254</v>
      </c>
      <c r="E2941" s="17">
        <v>47</v>
      </c>
      <c r="F2941" s="17">
        <v>6868</v>
      </c>
      <c r="G2941" s="13">
        <v>4</v>
      </c>
      <c r="H2941" s="17">
        <v>5</v>
      </c>
      <c r="I2941" s="17">
        <v>2</v>
      </c>
      <c r="J2941" s="17">
        <v>75</v>
      </c>
      <c r="P2941" s="17">
        <v>1</v>
      </c>
      <c r="Q2941" s="19">
        <v>2275</v>
      </c>
      <c r="R2941" s="14">
        <v>500</v>
      </c>
      <c r="S2941" s="19">
        <v>1137500</v>
      </c>
      <c r="AJ2941" s="19">
        <v>0</v>
      </c>
      <c r="AK2941" s="23">
        <v>0</v>
      </c>
      <c r="AM2941" s="19">
        <v>0</v>
      </c>
      <c r="AN2941" s="19">
        <v>1137500</v>
      </c>
      <c r="AP2941" s="14">
        <v>1137500</v>
      </c>
    </row>
    <row r="2942" spans="1:45" x14ac:dyDescent="0.2">
      <c r="A2942" s="2">
        <v>2509</v>
      </c>
      <c r="B2942" s="13">
        <v>2</v>
      </c>
      <c r="C2942" s="17" t="s">
        <v>65</v>
      </c>
      <c r="D2942" s="17">
        <v>2997</v>
      </c>
      <c r="E2942" s="17">
        <v>203</v>
      </c>
      <c r="H2942" s="17">
        <v>5</v>
      </c>
      <c r="I2942" s="17">
        <v>2</v>
      </c>
      <c r="J2942" s="17">
        <v>30</v>
      </c>
      <c r="K2942" s="10">
        <v>2230</v>
      </c>
      <c r="Q2942" s="19">
        <v>2230</v>
      </c>
      <c r="R2942" s="14">
        <v>250</v>
      </c>
      <c r="S2942" s="19">
        <v>557500</v>
      </c>
      <c r="AE2942" s="17" t="s">
        <v>95</v>
      </c>
      <c r="AJ2942" s="19">
        <v>0</v>
      </c>
      <c r="AK2942" s="23">
        <v>0</v>
      </c>
      <c r="AM2942" s="19">
        <v>0</v>
      </c>
      <c r="AN2942" s="19">
        <v>557500</v>
      </c>
      <c r="AP2942" s="14">
        <v>557500</v>
      </c>
      <c r="AQ2942" s="12">
        <v>1E-4</v>
      </c>
    </row>
    <row r="2943" spans="1:45" x14ac:dyDescent="0.2">
      <c r="A2943" s="2">
        <v>2510</v>
      </c>
      <c r="B2943" s="13">
        <v>1</v>
      </c>
      <c r="C2943" s="17" t="s">
        <v>52</v>
      </c>
      <c r="D2943" s="17">
        <v>1531</v>
      </c>
      <c r="E2943" s="17">
        <v>82</v>
      </c>
      <c r="F2943" s="17">
        <v>446</v>
      </c>
      <c r="G2943" s="13">
        <v>2</v>
      </c>
      <c r="H2943" s="17">
        <v>4</v>
      </c>
      <c r="I2943" s="17">
        <v>0</v>
      </c>
      <c r="J2943" s="17">
        <v>40</v>
      </c>
      <c r="K2943" s="10">
        <v>1640</v>
      </c>
      <c r="P2943" s="17">
        <v>1</v>
      </c>
      <c r="Q2943" s="19">
        <v>1640</v>
      </c>
      <c r="R2943" s="14">
        <v>160</v>
      </c>
      <c r="S2943" s="19">
        <v>262400</v>
      </c>
      <c r="AJ2943" s="19">
        <v>0</v>
      </c>
      <c r="AK2943" s="23">
        <v>0</v>
      </c>
      <c r="AM2943" s="19">
        <v>0</v>
      </c>
      <c r="AN2943" s="19">
        <v>262400</v>
      </c>
      <c r="AP2943" s="14">
        <v>262400</v>
      </c>
    </row>
    <row r="2944" spans="1:45" x14ac:dyDescent="0.2">
      <c r="A2944" s="2">
        <v>2511</v>
      </c>
      <c r="B2944" s="13">
        <v>2</v>
      </c>
      <c r="C2944" s="17" t="s">
        <v>52</v>
      </c>
      <c r="D2944" s="17">
        <v>1907</v>
      </c>
      <c r="E2944" s="17">
        <v>83</v>
      </c>
      <c r="F2944" s="17">
        <v>493</v>
      </c>
      <c r="G2944" s="13">
        <v>2</v>
      </c>
      <c r="H2944" s="17">
        <v>0</v>
      </c>
      <c r="I2944" s="17">
        <v>0</v>
      </c>
      <c r="J2944" s="17">
        <v>7.08</v>
      </c>
      <c r="Q2944" s="19">
        <v>7.08</v>
      </c>
      <c r="R2944" s="14">
        <v>3350</v>
      </c>
      <c r="S2944" s="19">
        <v>23718</v>
      </c>
      <c r="AJ2944" s="19">
        <v>0</v>
      </c>
      <c r="AK2944" s="23">
        <v>0</v>
      </c>
      <c r="AM2944" s="19">
        <v>0</v>
      </c>
      <c r="AN2944" s="19">
        <v>23718</v>
      </c>
      <c r="AP2944" s="14">
        <v>23718</v>
      </c>
    </row>
    <row r="2945" spans="1:45" x14ac:dyDescent="0.2">
      <c r="A2945" s="2">
        <v>2512</v>
      </c>
      <c r="B2945" s="13">
        <v>1</v>
      </c>
      <c r="C2945" s="17" t="s">
        <v>52</v>
      </c>
      <c r="D2945" s="17">
        <v>1529</v>
      </c>
      <c r="E2945" s="17">
        <v>84</v>
      </c>
      <c r="F2945" s="17">
        <v>444</v>
      </c>
      <c r="G2945" s="13">
        <v>2</v>
      </c>
      <c r="H2945" s="17">
        <v>8</v>
      </c>
      <c r="I2945" s="17">
        <v>0</v>
      </c>
      <c r="J2945" s="17">
        <v>41</v>
      </c>
      <c r="K2945" s="10">
        <v>3241</v>
      </c>
      <c r="P2945" s="17">
        <v>1</v>
      </c>
      <c r="Q2945" s="19">
        <v>3241</v>
      </c>
      <c r="R2945" s="14">
        <v>160</v>
      </c>
      <c r="S2945" s="19">
        <v>518560</v>
      </c>
      <c r="AJ2945" s="19">
        <v>0</v>
      </c>
      <c r="AK2945" s="23">
        <v>0</v>
      </c>
      <c r="AM2945" s="19">
        <v>0</v>
      </c>
      <c r="AN2945" s="19">
        <v>518560</v>
      </c>
      <c r="AP2945" s="14">
        <v>518560</v>
      </c>
    </row>
    <row r="2946" spans="1:45" ht="63" x14ac:dyDescent="0.2">
      <c r="A2946" s="2">
        <v>2513</v>
      </c>
      <c r="B2946" s="13">
        <v>2</v>
      </c>
      <c r="C2946" s="17" t="s">
        <v>52</v>
      </c>
      <c r="D2946" s="17">
        <v>1905</v>
      </c>
      <c r="E2946" s="17">
        <v>81</v>
      </c>
      <c r="F2946" s="17">
        <v>491</v>
      </c>
      <c r="G2946" s="13">
        <v>2</v>
      </c>
      <c r="H2946" s="17">
        <v>0</v>
      </c>
      <c r="I2946" s="17">
        <v>0</v>
      </c>
      <c r="J2946" s="17">
        <v>84.09</v>
      </c>
      <c r="L2946" s="17">
        <v>84.09</v>
      </c>
      <c r="P2946" s="17">
        <v>2</v>
      </c>
      <c r="Q2946" s="19">
        <v>84.09</v>
      </c>
      <c r="R2946" s="14">
        <v>3350</v>
      </c>
      <c r="S2946" s="19">
        <v>281701.5</v>
      </c>
      <c r="T2946" s="17">
        <v>1</v>
      </c>
      <c r="U2946" s="17" t="s">
        <v>57</v>
      </c>
      <c r="V2946" s="17" t="s">
        <v>56</v>
      </c>
      <c r="W2946" s="4">
        <v>200</v>
      </c>
      <c r="Y2946" s="4">
        <v>200</v>
      </c>
      <c r="AB2946" s="17">
        <v>21</v>
      </c>
      <c r="AJ2946" s="19">
        <v>0</v>
      </c>
      <c r="AK2946" s="23">
        <v>21</v>
      </c>
      <c r="AM2946" s="19">
        <v>0</v>
      </c>
      <c r="AN2946" s="19">
        <v>281701.5</v>
      </c>
      <c r="AP2946" s="14">
        <v>281701.5</v>
      </c>
    </row>
    <row r="2947" spans="1:45" x14ac:dyDescent="0.2">
      <c r="A2947" s="2">
        <v>2514</v>
      </c>
      <c r="B2947" s="13">
        <v>3</v>
      </c>
      <c r="C2947" s="17" t="s">
        <v>52</v>
      </c>
      <c r="D2947" s="17">
        <v>1906</v>
      </c>
      <c r="E2947" s="17">
        <v>82</v>
      </c>
      <c r="F2947" s="17">
        <v>492</v>
      </c>
      <c r="G2947" s="13">
        <v>2</v>
      </c>
      <c r="H2947" s="17">
        <v>0</v>
      </c>
      <c r="I2947" s="17">
        <v>0</v>
      </c>
      <c r="J2947" s="17">
        <v>50.05</v>
      </c>
      <c r="L2947" s="17">
        <v>50.05</v>
      </c>
      <c r="P2947" s="17">
        <v>2</v>
      </c>
      <c r="Q2947" s="19">
        <v>50.05</v>
      </c>
      <c r="R2947" s="14">
        <v>3350</v>
      </c>
      <c r="S2947" s="19">
        <v>167667.5</v>
      </c>
      <c r="AE2947" s="17" t="s">
        <v>255</v>
      </c>
      <c r="AJ2947" s="19">
        <v>0</v>
      </c>
      <c r="AK2947" s="23">
        <v>0</v>
      </c>
      <c r="AM2947" s="19">
        <v>0</v>
      </c>
      <c r="AN2947" s="19">
        <v>167667.5</v>
      </c>
      <c r="AP2947" s="14">
        <v>167667.5</v>
      </c>
    </row>
    <row r="2948" spans="1:45" x14ac:dyDescent="0.2">
      <c r="A2948" s="2">
        <v>2515</v>
      </c>
      <c r="B2948" s="13">
        <v>4</v>
      </c>
      <c r="C2948" s="17" t="s">
        <v>52</v>
      </c>
      <c r="D2948" s="17">
        <v>1854</v>
      </c>
      <c r="E2948" s="17">
        <v>77</v>
      </c>
      <c r="F2948" s="17">
        <v>1244</v>
      </c>
      <c r="H2948" s="17">
        <v>4</v>
      </c>
      <c r="I2948" s="17">
        <v>0</v>
      </c>
      <c r="J2948" s="17">
        <v>55</v>
      </c>
      <c r="K2948" s="10">
        <v>1655</v>
      </c>
      <c r="P2948" s="17">
        <v>1</v>
      </c>
      <c r="Q2948" s="19">
        <v>1655</v>
      </c>
      <c r="R2948" s="14">
        <v>160</v>
      </c>
      <c r="S2948" s="19">
        <v>264800</v>
      </c>
      <c r="AJ2948" s="19">
        <v>0</v>
      </c>
      <c r="AK2948" s="23">
        <v>0</v>
      </c>
      <c r="AM2948" s="19">
        <v>0</v>
      </c>
      <c r="AN2948" s="19">
        <v>264800</v>
      </c>
      <c r="AP2948" s="14">
        <v>264800</v>
      </c>
    </row>
    <row r="2949" spans="1:45" x14ac:dyDescent="0.2">
      <c r="Q2949" s="19">
        <v>0</v>
      </c>
      <c r="R2949" s="14" t="e">
        <v>#N/A</v>
      </c>
    </row>
    <row r="2950" spans="1:45" ht="42" x14ac:dyDescent="0.2">
      <c r="A2950" s="2">
        <v>2516</v>
      </c>
      <c r="B2950" s="13">
        <v>1</v>
      </c>
      <c r="C2950" s="17" t="s">
        <v>52</v>
      </c>
      <c r="D2950" s="17">
        <v>1532</v>
      </c>
      <c r="E2950" s="17">
        <v>81</v>
      </c>
      <c r="F2950" s="17">
        <v>447</v>
      </c>
      <c r="G2950" s="13">
        <v>2</v>
      </c>
      <c r="H2950" s="17">
        <v>3</v>
      </c>
      <c r="I2950" s="17">
        <v>2</v>
      </c>
      <c r="J2950" s="17">
        <v>0</v>
      </c>
      <c r="K2950" s="10">
        <v>1400</v>
      </c>
      <c r="P2950" s="17">
        <v>1</v>
      </c>
      <c r="Q2950" s="19">
        <v>1400</v>
      </c>
      <c r="R2950" s="14">
        <v>160</v>
      </c>
      <c r="S2950" s="19">
        <v>224000</v>
      </c>
      <c r="AJ2950" s="19">
        <v>0</v>
      </c>
      <c r="AK2950" s="23">
        <v>0</v>
      </c>
      <c r="AM2950" s="19">
        <v>0</v>
      </c>
      <c r="AN2950" s="19">
        <v>224000</v>
      </c>
      <c r="AP2950" s="14">
        <v>224000</v>
      </c>
      <c r="AS2950" s="26" t="s">
        <v>256</v>
      </c>
    </row>
    <row r="2951" spans="1:45" ht="63" x14ac:dyDescent="0.2">
      <c r="A2951" s="2">
        <v>2517</v>
      </c>
      <c r="B2951" s="13">
        <v>2</v>
      </c>
      <c r="C2951" s="17" t="s">
        <v>52</v>
      </c>
      <c r="D2951" s="17">
        <v>1908</v>
      </c>
      <c r="E2951" s="17">
        <v>84</v>
      </c>
      <c r="F2951" s="17">
        <v>494</v>
      </c>
      <c r="G2951" s="13">
        <v>2</v>
      </c>
      <c r="H2951" s="17">
        <v>0</v>
      </c>
      <c r="I2951" s="17">
        <v>0</v>
      </c>
      <c r="J2951" s="17">
        <v>63</v>
      </c>
      <c r="L2951" s="17">
        <v>63</v>
      </c>
      <c r="P2951" s="17">
        <v>2</v>
      </c>
      <c r="Q2951" s="19">
        <v>63</v>
      </c>
      <c r="R2951" s="14">
        <v>3350</v>
      </c>
      <c r="S2951" s="19">
        <v>211050</v>
      </c>
      <c r="T2951" s="17">
        <v>1</v>
      </c>
      <c r="U2951" s="17" t="s">
        <v>57</v>
      </c>
      <c r="V2951" s="17" t="s">
        <v>56</v>
      </c>
      <c r="W2951" s="4">
        <v>168</v>
      </c>
      <c r="Y2951" s="4">
        <v>168</v>
      </c>
      <c r="AB2951" s="17">
        <v>31</v>
      </c>
      <c r="AJ2951" s="19">
        <v>0</v>
      </c>
      <c r="AK2951" s="23">
        <v>31</v>
      </c>
      <c r="AM2951" s="19">
        <v>0</v>
      </c>
      <c r="AN2951" s="19">
        <v>211050</v>
      </c>
      <c r="AP2951" s="14">
        <v>211050</v>
      </c>
    </row>
    <row r="2952" spans="1:45" x14ac:dyDescent="0.2">
      <c r="A2952" s="2">
        <v>2518</v>
      </c>
      <c r="B2952" s="13">
        <v>3</v>
      </c>
      <c r="C2952" s="17" t="s">
        <v>52</v>
      </c>
      <c r="D2952" s="17">
        <v>2954</v>
      </c>
      <c r="E2952" s="17">
        <v>141</v>
      </c>
      <c r="F2952" s="17">
        <v>2018</v>
      </c>
      <c r="G2952" s="13">
        <v>2</v>
      </c>
      <c r="H2952" s="17">
        <v>3</v>
      </c>
      <c r="I2952" s="17">
        <v>0</v>
      </c>
      <c r="J2952" s="17">
        <v>40</v>
      </c>
      <c r="K2952" s="10">
        <v>1240</v>
      </c>
      <c r="P2952" s="17">
        <v>1</v>
      </c>
      <c r="Q2952" s="19">
        <v>1240</v>
      </c>
      <c r="R2952" s="14">
        <v>160</v>
      </c>
      <c r="S2952" s="19">
        <v>198400</v>
      </c>
      <c r="AJ2952" s="19">
        <v>0</v>
      </c>
      <c r="AK2952" s="23">
        <v>0</v>
      </c>
      <c r="AM2952" s="19">
        <v>0</v>
      </c>
      <c r="AN2952" s="19">
        <v>198400</v>
      </c>
      <c r="AP2952" s="14">
        <v>198400</v>
      </c>
    </row>
    <row r="2953" spans="1:45" x14ac:dyDescent="0.2">
      <c r="A2953" s="2">
        <v>2519</v>
      </c>
      <c r="B2953" s="13">
        <v>1</v>
      </c>
      <c r="C2953" s="17" t="s">
        <v>52</v>
      </c>
      <c r="D2953" s="17">
        <v>32600</v>
      </c>
      <c r="E2953" s="17">
        <v>43</v>
      </c>
      <c r="F2953" s="17">
        <v>6406</v>
      </c>
      <c r="G2953" s="13">
        <v>6</v>
      </c>
      <c r="H2953" s="17">
        <v>1</v>
      </c>
      <c r="I2953" s="17">
        <v>1</v>
      </c>
      <c r="J2953" s="17">
        <v>57.01</v>
      </c>
      <c r="K2953" s="10">
        <v>557.01</v>
      </c>
      <c r="P2953" s="17">
        <v>1</v>
      </c>
      <c r="Q2953" s="19">
        <v>557.01</v>
      </c>
      <c r="R2953" s="14">
        <v>750</v>
      </c>
      <c r="S2953" s="19">
        <v>417757.5</v>
      </c>
      <c r="AJ2953" s="19">
        <v>0</v>
      </c>
      <c r="AK2953" s="23">
        <v>0</v>
      </c>
      <c r="AM2953" s="19">
        <v>0</v>
      </c>
      <c r="AN2953" s="19">
        <v>417757.5</v>
      </c>
      <c r="AP2953" s="14">
        <v>417757.5</v>
      </c>
      <c r="AS2953" s="26">
        <v>2</v>
      </c>
    </row>
    <row r="2954" spans="1:45" x14ac:dyDescent="0.2">
      <c r="A2954" s="2">
        <v>2520</v>
      </c>
      <c r="B2954" s="13">
        <v>1</v>
      </c>
      <c r="C2954" s="17" t="s">
        <v>69</v>
      </c>
      <c r="E2954" s="17">
        <v>151</v>
      </c>
      <c r="F2954" s="17">
        <v>7</v>
      </c>
      <c r="G2954" s="13">
        <v>2</v>
      </c>
      <c r="H2954" s="17">
        <v>4</v>
      </c>
      <c r="I2954" s="17">
        <v>3</v>
      </c>
      <c r="J2954" s="17">
        <v>86</v>
      </c>
      <c r="K2954" s="10">
        <v>1986</v>
      </c>
      <c r="P2954" s="17">
        <v>1</v>
      </c>
      <c r="Q2954" s="19">
        <v>1986</v>
      </c>
      <c r="R2954" s="14">
        <v>160</v>
      </c>
      <c r="S2954" s="19">
        <v>317760</v>
      </c>
      <c r="AJ2954" s="19">
        <v>0</v>
      </c>
      <c r="AK2954" s="23">
        <v>0</v>
      </c>
      <c r="AM2954" s="19">
        <v>0</v>
      </c>
      <c r="AN2954" s="19">
        <v>317760</v>
      </c>
      <c r="AP2954" s="14">
        <v>317760</v>
      </c>
      <c r="AQ2954" s="12">
        <v>1E-4</v>
      </c>
    </row>
    <row r="2955" spans="1:45" ht="63" x14ac:dyDescent="0.2">
      <c r="A2955" s="2">
        <v>2521</v>
      </c>
      <c r="B2955" s="13">
        <v>1</v>
      </c>
      <c r="C2955" s="17" t="s">
        <v>52</v>
      </c>
      <c r="D2955" s="17">
        <v>32598</v>
      </c>
      <c r="E2955" s="17">
        <v>78</v>
      </c>
      <c r="F2955" s="17">
        <v>6404</v>
      </c>
      <c r="G2955" s="13">
        <v>6</v>
      </c>
      <c r="H2955" s="17">
        <v>1</v>
      </c>
      <c r="I2955" s="17">
        <v>0</v>
      </c>
      <c r="J2955" s="17">
        <v>11.02</v>
      </c>
      <c r="K2955" s="10">
        <v>397.27</v>
      </c>
      <c r="L2955" s="17">
        <v>13.75</v>
      </c>
      <c r="P2955" s="17">
        <v>5</v>
      </c>
      <c r="Q2955" s="19">
        <v>411.02</v>
      </c>
      <c r="R2955" s="14">
        <v>750</v>
      </c>
      <c r="S2955" s="19">
        <v>308265</v>
      </c>
      <c r="T2955" s="17">
        <v>1</v>
      </c>
      <c r="U2955" s="17" t="s">
        <v>57</v>
      </c>
      <c r="V2955" s="17" t="s">
        <v>56</v>
      </c>
      <c r="W2955" s="4">
        <v>55</v>
      </c>
      <c r="Y2955" s="4">
        <v>55</v>
      </c>
      <c r="AB2955" s="17">
        <v>40</v>
      </c>
      <c r="AJ2955" s="19">
        <v>0</v>
      </c>
      <c r="AK2955" s="23">
        <v>40</v>
      </c>
      <c r="AM2955" s="19">
        <v>0</v>
      </c>
      <c r="AN2955" s="19">
        <v>308265</v>
      </c>
      <c r="AP2955" s="14">
        <v>308265</v>
      </c>
      <c r="AS2955" s="26">
        <v>1</v>
      </c>
    </row>
    <row r="2956" spans="1:45" x14ac:dyDescent="0.2">
      <c r="A2956" s="2">
        <v>2522</v>
      </c>
      <c r="B2956" s="13">
        <v>1</v>
      </c>
      <c r="C2956" s="17" t="s">
        <v>69</v>
      </c>
      <c r="E2956" s="17">
        <v>163</v>
      </c>
      <c r="F2956" s="17">
        <v>3</v>
      </c>
      <c r="G2956" s="13">
        <v>2</v>
      </c>
      <c r="H2956" s="17">
        <v>1</v>
      </c>
      <c r="I2956" s="17">
        <v>3</v>
      </c>
      <c r="J2956" s="17">
        <v>75</v>
      </c>
      <c r="K2956" s="10">
        <v>775</v>
      </c>
      <c r="P2956" s="17">
        <v>1</v>
      </c>
      <c r="Q2956" s="19">
        <v>775</v>
      </c>
      <c r="R2956" s="14">
        <v>200</v>
      </c>
      <c r="S2956" s="19">
        <v>155000</v>
      </c>
      <c r="AJ2956" s="19">
        <v>0</v>
      </c>
      <c r="AK2956" s="23">
        <v>0</v>
      </c>
      <c r="AM2956" s="19">
        <v>0</v>
      </c>
      <c r="AN2956" s="19">
        <v>155000</v>
      </c>
      <c r="AP2956" s="14">
        <v>155000</v>
      </c>
      <c r="AQ2956" s="12">
        <v>1E-4</v>
      </c>
      <c r="AS2956" s="26">
        <v>11</v>
      </c>
    </row>
    <row r="2957" spans="1:45" x14ac:dyDescent="0.2">
      <c r="A2957" s="2">
        <v>2523</v>
      </c>
      <c r="B2957" s="13">
        <v>1</v>
      </c>
      <c r="C2957" s="17" t="s">
        <v>52</v>
      </c>
      <c r="D2957" s="17">
        <v>3429</v>
      </c>
      <c r="E2957" s="17">
        <v>22</v>
      </c>
      <c r="F2957" s="17">
        <v>2203</v>
      </c>
      <c r="G2957" s="13">
        <v>2</v>
      </c>
      <c r="H2957" s="17">
        <v>1</v>
      </c>
      <c r="I2957" s="17">
        <v>1</v>
      </c>
      <c r="J2957" s="17">
        <v>32</v>
      </c>
      <c r="Q2957" s="19">
        <v>532</v>
      </c>
      <c r="R2957" s="14">
        <v>200</v>
      </c>
      <c r="S2957" s="19">
        <v>106400</v>
      </c>
      <c r="AJ2957" s="19">
        <v>0</v>
      </c>
      <c r="AK2957" s="23">
        <v>0</v>
      </c>
      <c r="AM2957" s="19">
        <v>0</v>
      </c>
      <c r="AN2957" s="19">
        <v>106400</v>
      </c>
      <c r="AP2957" s="14">
        <v>106400</v>
      </c>
    </row>
    <row r="2958" spans="1:45" x14ac:dyDescent="0.2">
      <c r="A2958" s="2">
        <v>2524</v>
      </c>
      <c r="B2958" s="13">
        <v>2</v>
      </c>
      <c r="C2958" s="17" t="s">
        <v>69</v>
      </c>
      <c r="E2958" s="17">
        <v>163</v>
      </c>
      <c r="F2958" s="17">
        <v>2</v>
      </c>
      <c r="G2958" s="13">
        <v>2</v>
      </c>
      <c r="H2958" s="17">
        <v>2</v>
      </c>
      <c r="I2958" s="17">
        <v>3</v>
      </c>
      <c r="J2958" s="17">
        <v>80</v>
      </c>
      <c r="K2958" s="10">
        <v>1180</v>
      </c>
      <c r="P2958" s="17">
        <v>1</v>
      </c>
      <c r="Q2958" s="19">
        <v>1180</v>
      </c>
      <c r="R2958" s="14">
        <v>200</v>
      </c>
      <c r="S2958" s="19">
        <v>236000</v>
      </c>
      <c r="AJ2958" s="19">
        <v>0</v>
      </c>
      <c r="AK2958" s="23">
        <v>0</v>
      </c>
      <c r="AM2958" s="19">
        <v>0</v>
      </c>
      <c r="AN2958" s="19">
        <v>236000</v>
      </c>
      <c r="AP2958" s="14">
        <v>236000</v>
      </c>
      <c r="AQ2958" s="12">
        <v>1E-4</v>
      </c>
    </row>
    <row r="2959" spans="1:45" x14ac:dyDescent="0.2">
      <c r="A2959" s="2">
        <v>2525</v>
      </c>
      <c r="B2959" s="13">
        <v>1</v>
      </c>
      <c r="C2959" s="17" t="s">
        <v>52</v>
      </c>
      <c r="D2959" s="17">
        <v>3424</v>
      </c>
      <c r="E2959" s="17">
        <v>24</v>
      </c>
      <c r="F2959" s="17">
        <v>2198</v>
      </c>
      <c r="G2959" s="13">
        <v>2</v>
      </c>
      <c r="H2959" s="17">
        <v>4</v>
      </c>
      <c r="I2959" s="17">
        <v>0</v>
      </c>
      <c r="J2959" s="17">
        <v>32</v>
      </c>
      <c r="K2959" s="10">
        <v>1632</v>
      </c>
      <c r="P2959" s="17">
        <v>1</v>
      </c>
      <c r="Q2959" s="19">
        <v>1632</v>
      </c>
      <c r="R2959" s="14">
        <v>160</v>
      </c>
      <c r="S2959" s="19">
        <v>261120</v>
      </c>
      <c r="AJ2959" s="19">
        <v>0</v>
      </c>
      <c r="AK2959" s="23">
        <v>0</v>
      </c>
      <c r="AM2959" s="19">
        <v>0</v>
      </c>
      <c r="AN2959" s="19">
        <v>261120</v>
      </c>
      <c r="AP2959" s="14">
        <v>261120</v>
      </c>
    </row>
    <row r="2960" spans="1:45" ht="63" x14ac:dyDescent="0.2">
      <c r="A2960" s="2">
        <v>2526</v>
      </c>
      <c r="B2960" s="13">
        <v>1</v>
      </c>
      <c r="C2960" s="17" t="s">
        <v>52</v>
      </c>
      <c r="D2960" s="17">
        <v>3163</v>
      </c>
      <c r="E2960" s="17">
        <v>33</v>
      </c>
      <c r="F2960" s="17">
        <v>2031</v>
      </c>
      <c r="G2960" s="13">
        <v>2</v>
      </c>
      <c r="H2960" s="17">
        <v>1</v>
      </c>
      <c r="I2960" s="17">
        <v>3</v>
      </c>
      <c r="J2960" s="17">
        <v>49</v>
      </c>
      <c r="K2960" s="10">
        <v>724</v>
      </c>
      <c r="L2960" s="17">
        <v>25</v>
      </c>
      <c r="P2960" s="17">
        <v>2</v>
      </c>
      <c r="Q2960" s="19">
        <v>749</v>
      </c>
      <c r="R2960" s="14">
        <v>200</v>
      </c>
      <c r="S2960" s="19">
        <v>149800</v>
      </c>
      <c r="T2960" s="17">
        <v>1</v>
      </c>
      <c r="U2960" s="17" t="s">
        <v>57</v>
      </c>
      <c r="V2960" s="17" t="s">
        <v>56</v>
      </c>
      <c r="W2960" s="4">
        <v>100</v>
      </c>
      <c r="Y2960" s="4">
        <v>100</v>
      </c>
      <c r="AB2960" s="17">
        <v>2</v>
      </c>
      <c r="AJ2960" s="19">
        <v>0</v>
      </c>
      <c r="AK2960" s="23">
        <v>2</v>
      </c>
      <c r="AM2960" s="19">
        <v>0</v>
      </c>
      <c r="AN2960" s="19">
        <v>149800</v>
      </c>
      <c r="AP2960" s="14">
        <v>149800</v>
      </c>
    </row>
    <row r="2961" spans="1:45" x14ac:dyDescent="0.2">
      <c r="A2961" s="2">
        <v>2527</v>
      </c>
      <c r="B2961" s="13">
        <v>2</v>
      </c>
      <c r="C2961" s="17" t="s">
        <v>52</v>
      </c>
      <c r="D2961" s="17">
        <v>3423</v>
      </c>
      <c r="E2961" s="17">
        <v>25</v>
      </c>
      <c r="F2961" s="17">
        <v>2197</v>
      </c>
      <c r="G2961" s="13">
        <v>2</v>
      </c>
      <c r="H2961" s="17">
        <v>3</v>
      </c>
      <c r="I2961" s="17">
        <v>3</v>
      </c>
      <c r="J2961" s="17">
        <v>54</v>
      </c>
      <c r="P2961" s="17">
        <v>1</v>
      </c>
      <c r="Q2961" s="19">
        <v>1554</v>
      </c>
      <c r="R2961" s="14">
        <v>160</v>
      </c>
      <c r="S2961" s="19">
        <v>248640</v>
      </c>
      <c r="AJ2961" s="19">
        <v>0</v>
      </c>
      <c r="AK2961" s="23">
        <v>0</v>
      </c>
      <c r="AM2961" s="19">
        <v>0</v>
      </c>
      <c r="AN2961" s="19">
        <v>248640</v>
      </c>
      <c r="AP2961" s="14">
        <v>248640</v>
      </c>
    </row>
    <row r="2962" spans="1:45" x14ac:dyDescent="0.2">
      <c r="A2962" s="2">
        <v>2528</v>
      </c>
      <c r="B2962" s="13">
        <v>1</v>
      </c>
      <c r="C2962" s="17" t="s">
        <v>69</v>
      </c>
      <c r="E2962" s="17">
        <v>161</v>
      </c>
      <c r="F2962" s="17">
        <v>6</v>
      </c>
      <c r="G2962" s="13">
        <v>2</v>
      </c>
      <c r="H2962" s="17">
        <v>7</v>
      </c>
      <c r="I2962" s="17">
        <v>1</v>
      </c>
      <c r="J2962" s="17">
        <v>37</v>
      </c>
      <c r="K2962" s="10">
        <v>2937</v>
      </c>
      <c r="P2962" s="17">
        <v>1</v>
      </c>
      <c r="Q2962" s="19">
        <v>2937</v>
      </c>
      <c r="R2962" s="14">
        <v>200</v>
      </c>
      <c r="S2962" s="19">
        <v>587400</v>
      </c>
      <c r="AJ2962" s="19">
        <v>0</v>
      </c>
      <c r="AK2962" s="23">
        <v>0</v>
      </c>
      <c r="AM2962" s="19">
        <v>0</v>
      </c>
      <c r="AN2962" s="19">
        <v>587400</v>
      </c>
      <c r="AP2962" s="14">
        <v>587400</v>
      </c>
      <c r="AQ2962" s="12">
        <v>1E-4</v>
      </c>
    </row>
    <row r="2963" spans="1:45" ht="42" x14ac:dyDescent="0.2">
      <c r="A2963" s="2">
        <v>2529</v>
      </c>
      <c r="B2963" s="13">
        <v>1</v>
      </c>
      <c r="C2963" s="17" t="s">
        <v>52</v>
      </c>
      <c r="D2963" s="17">
        <v>1528</v>
      </c>
      <c r="E2963" s="17">
        <v>70</v>
      </c>
      <c r="F2963" s="17">
        <v>443</v>
      </c>
      <c r="G2963" s="13">
        <v>2</v>
      </c>
      <c r="H2963" s="17">
        <v>5</v>
      </c>
      <c r="I2963" s="17">
        <v>3</v>
      </c>
      <c r="J2963" s="17">
        <v>95</v>
      </c>
      <c r="K2963" s="10">
        <v>2395</v>
      </c>
      <c r="P2963" s="17">
        <v>1</v>
      </c>
      <c r="Q2963" s="19">
        <v>2395</v>
      </c>
      <c r="R2963" s="14">
        <v>160</v>
      </c>
      <c r="S2963" s="19">
        <v>383200</v>
      </c>
      <c r="AJ2963" s="19">
        <v>0</v>
      </c>
      <c r="AK2963" s="23">
        <v>0</v>
      </c>
      <c r="AM2963" s="19">
        <v>0</v>
      </c>
      <c r="AN2963" s="19">
        <v>383200</v>
      </c>
      <c r="AP2963" s="14">
        <v>383200</v>
      </c>
      <c r="AS2963" s="26" t="s">
        <v>199</v>
      </c>
    </row>
    <row r="2964" spans="1:45" x14ac:dyDescent="0.2">
      <c r="A2964" s="2">
        <v>2530</v>
      </c>
      <c r="B2964" s="13">
        <v>2</v>
      </c>
      <c r="C2964" s="17" t="s">
        <v>65</v>
      </c>
      <c r="D2964" s="17">
        <v>2962</v>
      </c>
      <c r="E2964" s="17">
        <v>388</v>
      </c>
      <c r="H2964" s="17">
        <v>0</v>
      </c>
      <c r="I2964" s="17">
        <v>0</v>
      </c>
      <c r="J2964" s="17">
        <v>49</v>
      </c>
      <c r="K2964" s="10">
        <v>49</v>
      </c>
      <c r="Q2964" s="19">
        <v>49</v>
      </c>
      <c r="R2964" s="14">
        <v>250</v>
      </c>
      <c r="S2964" s="19">
        <v>12250</v>
      </c>
      <c r="AE2964" s="17" t="s">
        <v>95</v>
      </c>
      <c r="AJ2964" s="19">
        <v>0</v>
      </c>
      <c r="AK2964" s="23">
        <v>0</v>
      </c>
      <c r="AM2964" s="19">
        <v>0</v>
      </c>
      <c r="AN2964" s="19">
        <v>12250</v>
      </c>
      <c r="AP2964" s="14">
        <v>12250</v>
      </c>
      <c r="AQ2964" s="12">
        <v>1E-4</v>
      </c>
    </row>
    <row r="2965" spans="1:45" x14ac:dyDescent="0.2">
      <c r="A2965" s="2">
        <v>2531</v>
      </c>
      <c r="B2965" s="13">
        <v>1</v>
      </c>
      <c r="C2965" s="17" t="s">
        <v>52</v>
      </c>
      <c r="D2965" s="17">
        <v>22945</v>
      </c>
      <c r="E2965" s="17">
        <v>166</v>
      </c>
      <c r="F2965" s="17">
        <v>4839</v>
      </c>
      <c r="G2965" s="13">
        <v>2</v>
      </c>
      <c r="H2965" s="17">
        <v>1</v>
      </c>
      <c r="I2965" s="17">
        <v>3</v>
      </c>
      <c r="J2965" s="17">
        <v>56</v>
      </c>
      <c r="K2965" s="10">
        <v>756</v>
      </c>
      <c r="P2965" s="17">
        <v>1</v>
      </c>
      <c r="Q2965" s="19">
        <v>756</v>
      </c>
      <c r="R2965" s="14">
        <v>200</v>
      </c>
      <c r="S2965" s="19">
        <v>151200</v>
      </c>
      <c r="AJ2965" s="19">
        <v>0</v>
      </c>
      <c r="AK2965" s="23">
        <v>0</v>
      </c>
      <c r="AM2965" s="19">
        <v>0</v>
      </c>
      <c r="AN2965" s="19">
        <v>151200</v>
      </c>
      <c r="AP2965" s="14">
        <v>151200</v>
      </c>
      <c r="AS2965" s="26">
        <v>3324</v>
      </c>
    </row>
    <row r="2966" spans="1:45" x14ac:dyDescent="0.2">
      <c r="Q2966" s="19">
        <v>0</v>
      </c>
      <c r="R2966" s="14" t="e">
        <v>#N/A</v>
      </c>
    </row>
    <row r="2967" spans="1:45" x14ac:dyDescent="0.2">
      <c r="A2967" s="2">
        <v>2532</v>
      </c>
      <c r="B2967" s="13">
        <v>1</v>
      </c>
      <c r="C2967" s="17" t="s">
        <v>69</v>
      </c>
      <c r="E2967" s="17">
        <v>161</v>
      </c>
      <c r="F2967" s="17">
        <v>7</v>
      </c>
      <c r="G2967" s="13">
        <v>2</v>
      </c>
      <c r="H2967" s="17">
        <v>5</v>
      </c>
      <c r="I2967" s="17">
        <v>0</v>
      </c>
      <c r="J2967" s="17">
        <v>63</v>
      </c>
      <c r="K2967" s="10">
        <v>2063</v>
      </c>
      <c r="P2967" s="17">
        <v>1</v>
      </c>
      <c r="Q2967" s="19">
        <v>2063</v>
      </c>
      <c r="R2967" s="14">
        <v>160</v>
      </c>
      <c r="S2967" s="19">
        <v>330080</v>
      </c>
      <c r="AJ2967" s="19">
        <v>0</v>
      </c>
      <c r="AK2967" s="23">
        <v>0</v>
      </c>
      <c r="AM2967" s="19">
        <v>0</v>
      </c>
      <c r="AN2967" s="19">
        <v>330080</v>
      </c>
      <c r="AP2967" s="14">
        <v>330080</v>
      </c>
      <c r="AS2967" s="26">
        <v>15</v>
      </c>
    </row>
    <row r="2968" spans="1:45" ht="63" x14ac:dyDescent="0.2">
      <c r="A2968" s="2">
        <v>2533</v>
      </c>
      <c r="B2968" s="13">
        <v>1</v>
      </c>
      <c r="C2968" s="17" t="s">
        <v>52</v>
      </c>
      <c r="D2968" s="17">
        <v>3395</v>
      </c>
      <c r="E2968" s="17">
        <v>56</v>
      </c>
      <c r="F2968" s="17">
        <v>2181</v>
      </c>
      <c r="G2968" s="13">
        <v>2</v>
      </c>
      <c r="H2968" s="17">
        <v>7</v>
      </c>
      <c r="I2968" s="17">
        <v>0</v>
      </c>
      <c r="J2968" s="17">
        <v>55</v>
      </c>
      <c r="K2968" s="10">
        <v>2810.56</v>
      </c>
      <c r="L2968" s="17">
        <v>35.44</v>
      </c>
      <c r="P2968" s="17">
        <v>5</v>
      </c>
      <c r="Q2968" s="19">
        <v>2855</v>
      </c>
      <c r="R2968" s="14">
        <v>160</v>
      </c>
      <c r="S2968" s="19">
        <v>456800</v>
      </c>
      <c r="T2968" s="17">
        <v>1</v>
      </c>
      <c r="U2968" s="17" t="s">
        <v>57</v>
      </c>
      <c r="V2968" s="17" t="s">
        <v>56</v>
      </c>
      <c r="W2968" s="4">
        <v>141.75</v>
      </c>
      <c r="Y2968" s="4">
        <v>141.75</v>
      </c>
      <c r="AB2968" s="17">
        <v>20</v>
      </c>
      <c r="AJ2968" s="19">
        <v>0</v>
      </c>
      <c r="AK2968" s="23">
        <v>20</v>
      </c>
      <c r="AM2968" s="19">
        <v>0</v>
      </c>
      <c r="AN2968" s="19">
        <v>456800</v>
      </c>
      <c r="AP2968" s="14">
        <v>456800</v>
      </c>
      <c r="AS2968" s="26">
        <v>50</v>
      </c>
    </row>
    <row r="2969" spans="1:45" ht="63" x14ac:dyDescent="0.2">
      <c r="L2969" s="17">
        <v>9</v>
      </c>
      <c r="Q2969" s="19">
        <v>0</v>
      </c>
      <c r="S2969" s="19">
        <v>0</v>
      </c>
      <c r="T2969" s="17">
        <v>2</v>
      </c>
      <c r="U2969" s="17" t="s">
        <v>57</v>
      </c>
      <c r="V2969" s="17" t="s">
        <v>56</v>
      </c>
      <c r="W2969" s="4">
        <v>36</v>
      </c>
      <c r="Y2969" s="4">
        <v>36</v>
      </c>
      <c r="AB2969" s="17">
        <v>15</v>
      </c>
      <c r="AJ2969" s="19">
        <v>0</v>
      </c>
      <c r="AK2969" s="23">
        <v>15</v>
      </c>
      <c r="AM2969" s="19">
        <v>0</v>
      </c>
      <c r="AN2969" s="19">
        <v>0</v>
      </c>
      <c r="AP2969" s="14">
        <v>0</v>
      </c>
    </row>
    <row r="2970" spans="1:45" x14ac:dyDescent="0.2">
      <c r="A2970" s="2">
        <v>2534</v>
      </c>
      <c r="B2970" s="13">
        <v>2</v>
      </c>
      <c r="C2970" s="17" t="s">
        <v>52</v>
      </c>
      <c r="D2970" s="17">
        <v>10474</v>
      </c>
      <c r="E2970" s="17">
        <v>283</v>
      </c>
      <c r="F2970" s="17">
        <v>3099</v>
      </c>
      <c r="G2970" s="13">
        <v>2</v>
      </c>
      <c r="H2970" s="17">
        <v>0</v>
      </c>
      <c r="I2970" s="17">
        <v>1</v>
      </c>
      <c r="J2970" s="17">
        <v>58.08</v>
      </c>
      <c r="N2970" s="18">
        <v>158.08000000000001</v>
      </c>
      <c r="P2970" s="17">
        <v>4</v>
      </c>
      <c r="Q2970" s="19">
        <v>158.07999999999998</v>
      </c>
      <c r="R2970" s="14">
        <v>250</v>
      </c>
      <c r="S2970" s="19">
        <v>39519.999999999993</v>
      </c>
      <c r="AJ2970" s="19">
        <v>0</v>
      </c>
      <c r="AK2970" s="23">
        <v>0</v>
      </c>
      <c r="AM2970" s="19">
        <v>0</v>
      </c>
      <c r="AN2970" s="19">
        <v>39519.999999999993</v>
      </c>
      <c r="AP2970" s="14">
        <v>39519.999999999993</v>
      </c>
      <c r="AQ2970" s="12">
        <v>3.0000000000000001E-3</v>
      </c>
    </row>
    <row r="2971" spans="1:45" x14ac:dyDescent="0.2">
      <c r="A2971" s="2">
        <v>2535</v>
      </c>
      <c r="B2971" s="13">
        <v>3</v>
      </c>
      <c r="C2971" s="17" t="s">
        <v>52</v>
      </c>
      <c r="D2971" s="17">
        <v>1871</v>
      </c>
      <c r="E2971" s="17">
        <v>116</v>
      </c>
      <c r="F2971" s="17">
        <v>1261</v>
      </c>
      <c r="H2971" s="17">
        <v>2</v>
      </c>
      <c r="I2971" s="17">
        <v>1</v>
      </c>
      <c r="J2971" s="17">
        <v>32</v>
      </c>
      <c r="K2971" s="10">
        <v>932</v>
      </c>
      <c r="P2971" s="17">
        <v>1</v>
      </c>
      <c r="Q2971" s="19">
        <v>932</v>
      </c>
      <c r="R2971" s="14">
        <v>160</v>
      </c>
      <c r="S2971" s="19">
        <v>149120</v>
      </c>
      <c r="AJ2971" s="19">
        <v>0</v>
      </c>
      <c r="AK2971" s="23">
        <v>0</v>
      </c>
      <c r="AM2971" s="19">
        <v>0</v>
      </c>
      <c r="AN2971" s="19">
        <v>149120</v>
      </c>
      <c r="AP2971" s="14">
        <v>149120</v>
      </c>
    </row>
    <row r="2972" spans="1:45" x14ac:dyDescent="0.2">
      <c r="A2972" s="2">
        <v>2536</v>
      </c>
      <c r="B2972" s="13">
        <v>4</v>
      </c>
      <c r="C2972" s="17" t="s">
        <v>69</v>
      </c>
      <c r="E2972" s="17">
        <v>155</v>
      </c>
      <c r="F2972" s="17">
        <v>11</v>
      </c>
      <c r="G2972" s="13">
        <v>2</v>
      </c>
      <c r="H2972" s="17">
        <v>3</v>
      </c>
      <c r="I2972" s="17">
        <v>3</v>
      </c>
      <c r="J2972" s="17">
        <v>45</v>
      </c>
      <c r="K2972" s="10">
        <v>1545</v>
      </c>
      <c r="P2972" s="17">
        <v>1</v>
      </c>
      <c r="Q2972" s="19">
        <v>1545</v>
      </c>
      <c r="R2972" s="14">
        <v>200</v>
      </c>
      <c r="S2972" s="19">
        <v>309000</v>
      </c>
      <c r="AJ2972" s="19">
        <v>0</v>
      </c>
      <c r="AK2972" s="23">
        <v>0</v>
      </c>
      <c r="AM2972" s="19">
        <v>0</v>
      </c>
      <c r="AN2972" s="19">
        <v>309000</v>
      </c>
      <c r="AP2972" s="14">
        <v>309000</v>
      </c>
      <c r="AQ2972" s="12">
        <v>1E-4</v>
      </c>
    </row>
    <row r="2973" spans="1:45" x14ac:dyDescent="0.2">
      <c r="A2973" s="2">
        <v>2537</v>
      </c>
      <c r="B2973" s="13">
        <v>5</v>
      </c>
      <c r="C2973" s="17" t="s">
        <v>65</v>
      </c>
      <c r="D2973" s="17">
        <v>2797</v>
      </c>
      <c r="E2973" s="17">
        <v>377</v>
      </c>
      <c r="H2973" s="17">
        <v>0</v>
      </c>
      <c r="I2973" s="17">
        <v>0</v>
      </c>
      <c r="J2973" s="17">
        <v>90</v>
      </c>
      <c r="N2973" s="18">
        <v>90</v>
      </c>
      <c r="Q2973" s="19">
        <v>90</v>
      </c>
      <c r="R2973" s="14">
        <v>200</v>
      </c>
      <c r="S2973" s="19">
        <v>18000</v>
      </c>
      <c r="AE2973" s="17" t="s">
        <v>95</v>
      </c>
      <c r="AJ2973" s="19">
        <v>0</v>
      </c>
      <c r="AK2973" s="23">
        <v>0</v>
      </c>
      <c r="AM2973" s="19">
        <v>0</v>
      </c>
      <c r="AN2973" s="19">
        <v>18000</v>
      </c>
      <c r="AP2973" s="14">
        <v>18000</v>
      </c>
      <c r="AQ2973" s="12">
        <v>3.0000000000000001E-3</v>
      </c>
    </row>
    <row r="2974" spans="1:45" x14ac:dyDescent="0.2">
      <c r="A2974" s="2">
        <v>2538</v>
      </c>
      <c r="B2974" s="13">
        <v>1</v>
      </c>
      <c r="C2974" s="17" t="s">
        <v>52</v>
      </c>
      <c r="D2974" s="17">
        <v>1524</v>
      </c>
      <c r="E2974" s="17">
        <v>77</v>
      </c>
      <c r="F2974" s="17">
        <v>414</v>
      </c>
      <c r="G2974" s="13">
        <v>2</v>
      </c>
      <c r="H2974" s="17">
        <v>0</v>
      </c>
      <c r="I2974" s="17">
        <v>0</v>
      </c>
      <c r="J2974" s="17">
        <v>80</v>
      </c>
      <c r="N2974" s="18">
        <v>80</v>
      </c>
      <c r="P2974" s="17">
        <v>4</v>
      </c>
      <c r="Q2974" s="19">
        <v>80</v>
      </c>
      <c r="R2974" s="14">
        <v>4275</v>
      </c>
      <c r="S2974" s="19">
        <v>342000</v>
      </c>
      <c r="AJ2974" s="19">
        <v>0</v>
      </c>
      <c r="AK2974" s="23">
        <v>0</v>
      </c>
      <c r="AM2974" s="19">
        <v>0</v>
      </c>
      <c r="AN2974" s="19">
        <v>342000</v>
      </c>
      <c r="AP2974" s="14">
        <v>342000</v>
      </c>
      <c r="AQ2974" s="12">
        <v>3.0000000000000001E-3</v>
      </c>
      <c r="AS2974" s="26">
        <v>69</v>
      </c>
    </row>
    <row r="2975" spans="1:45" x14ac:dyDescent="0.2">
      <c r="A2975" s="2">
        <v>2539</v>
      </c>
      <c r="B2975" s="13">
        <v>2</v>
      </c>
      <c r="C2975" s="17" t="s">
        <v>52</v>
      </c>
      <c r="D2975" s="17">
        <v>1873</v>
      </c>
      <c r="E2975" s="17">
        <v>118</v>
      </c>
      <c r="F2975" s="17">
        <v>1263</v>
      </c>
      <c r="H2975" s="17">
        <v>5</v>
      </c>
      <c r="I2975" s="17">
        <v>1</v>
      </c>
      <c r="J2975" s="17">
        <v>42</v>
      </c>
      <c r="K2975" s="10">
        <v>2142</v>
      </c>
      <c r="P2975" s="17">
        <v>1</v>
      </c>
      <c r="Q2975" s="19">
        <v>2142</v>
      </c>
      <c r="R2975" s="14">
        <v>160</v>
      </c>
      <c r="S2975" s="19">
        <v>342720</v>
      </c>
      <c r="AJ2975" s="19">
        <v>0</v>
      </c>
      <c r="AK2975" s="23">
        <v>0</v>
      </c>
      <c r="AM2975" s="19">
        <v>0</v>
      </c>
      <c r="AN2975" s="19">
        <v>342720</v>
      </c>
      <c r="AP2975" s="14">
        <v>342720</v>
      </c>
    </row>
    <row r="2976" spans="1:45" ht="63" x14ac:dyDescent="0.2">
      <c r="A2976" s="2">
        <v>2540</v>
      </c>
      <c r="B2976" s="13">
        <v>3</v>
      </c>
      <c r="C2976" s="17" t="s">
        <v>52</v>
      </c>
      <c r="D2976" s="17">
        <v>10476</v>
      </c>
      <c r="E2976" s="17">
        <v>285</v>
      </c>
      <c r="F2976" s="17">
        <v>3101</v>
      </c>
      <c r="G2976" s="13">
        <v>2</v>
      </c>
      <c r="H2976" s="17">
        <v>1</v>
      </c>
      <c r="I2976" s="17">
        <v>0</v>
      </c>
      <c r="J2976" s="17">
        <v>73.040000000000006</v>
      </c>
      <c r="K2976" s="10">
        <v>438.04</v>
      </c>
      <c r="L2976" s="17">
        <v>35</v>
      </c>
      <c r="P2976" s="17">
        <v>2</v>
      </c>
      <c r="Q2976" s="19">
        <v>473.04</v>
      </c>
      <c r="R2976" s="14">
        <v>250</v>
      </c>
      <c r="S2976" s="19">
        <v>118260</v>
      </c>
      <c r="T2976" s="17">
        <v>1</v>
      </c>
      <c r="U2976" s="17" t="s">
        <v>57</v>
      </c>
      <c r="V2976" s="17" t="s">
        <v>56</v>
      </c>
      <c r="W2976" s="4">
        <v>140</v>
      </c>
      <c r="Y2976" s="4">
        <v>140</v>
      </c>
      <c r="AB2976" s="17">
        <v>28</v>
      </c>
      <c r="AJ2976" s="19">
        <v>0</v>
      </c>
      <c r="AK2976" s="23">
        <v>28</v>
      </c>
      <c r="AM2976" s="19">
        <v>0</v>
      </c>
      <c r="AN2976" s="19">
        <v>118260</v>
      </c>
      <c r="AP2976" s="14">
        <v>118260</v>
      </c>
    </row>
    <row r="2977" spans="1:45" x14ac:dyDescent="0.2">
      <c r="A2977" s="2">
        <v>2541</v>
      </c>
      <c r="B2977" s="13">
        <v>4</v>
      </c>
      <c r="C2977" s="17" t="s">
        <v>69</v>
      </c>
      <c r="E2977" s="17">
        <v>155</v>
      </c>
      <c r="F2977" s="17">
        <v>8</v>
      </c>
      <c r="G2977" s="13">
        <v>2</v>
      </c>
      <c r="H2977" s="17">
        <v>7</v>
      </c>
      <c r="I2977" s="17">
        <v>0</v>
      </c>
      <c r="J2977" s="17">
        <v>16</v>
      </c>
      <c r="K2977" s="10">
        <v>2816</v>
      </c>
      <c r="P2977" s="17">
        <v>1</v>
      </c>
      <c r="Q2977" s="19">
        <v>2816</v>
      </c>
      <c r="R2977" s="14">
        <v>200</v>
      </c>
      <c r="S2977" s="19">
        <v>563200</v>
      </c>
      <c r="AJ2977" s="19">
        <v>0</v>
      </c>
      <c r="AK2977" s="23">
        <v>0</v>
      </c>
      <c r="AM2977" s="19">
        <v>0</v>
      </c>
      <c r="AN2977" s="19">
        <v>563200</v>
      </c>
      <c r="AP2977" s="14">
        <v>563200</v>
      </c>
      <c r="AQ2977" s="12">
        <v>1E-4</v>
      </c>
    </row>
    <row r="2978" spans="1:45" x14ac:dyDescent="0.2">
      <c r="A2978" s="2">
        <v>2542</v>
      </c>
      <c r="B2978" s="13">
        <v>1</v>
      </c>
      <c r="C2978" s="17" t="s">
        <v>52</v>
      </c>
      <c r="D2978" s="17">
        <v>3393</v>
      </c>
      <c r="E2978" s="17">
        <v>62</v>
      </c>
      <c r="F2978" s="17">
        <v>2179</v>
      </c>
      <c r="G2978" s="13">
        <v>2</v>
      </c>
      <c r="H2978" s="17">
        <v>4</v>
      </c>
      <c r="I2978" s="17">
        <v>1</v>
      </c>
      <c r="J2978" s="17">
        <v>7</v>
      </c>
      <c r="K2978" s="10">
        <v>1707</v>
      </c>
      <c r="P2978" s="17">
        <v>1</v>
      </c>
      <c r="Q2978" s="19">
        <v>1707</v>
      </c>
      <c r="R2978" s="14">
        <v>160</v>
      </c>
      <c r="S2978" s="19">
        <v>273120</v>
      </c>
      <c r="AJ2978" s="19">
        <v>0</v>
      </c>
      <c r="AK2978" s="23">
        <v>0</v>
      </c>
      <c r="AM2978" s="19">
        <v>0</v>
      </c>
      <c r="AN2978" s="19">
        <v>273120</v>
      </c>
      <c r="AP2978" s="14">
        <v>273120</v>
      </c>
    </row>
    <row r="2979" spans="1:45" x14ac:dyDescent="0.2">
      <c r="A2979" s="2">
        <v>2543</v>
      </c>
      <c r="B2979" s="13">
        <v>1</v>
      </c>
      <c r="C2979" s="17" t="s">
        <v>65</v>
      </c>
      <c r="D2979" s="17">
        <v>484</v>
      </c>
      <c r="E2979" s="17">
        <v>45</v>
      </c>
      <c r="H2979" s="17">
        <v>4</v>
      </c>
      <c r="I2979" s="17">
        <v>3</v>
      </c>
      <c r="J2979" s="17">
        <v>66</v>
      </c>
      <c r="K2979" s="10">
        <v>1966</v>
      </c>
      <c r="P2979" s="17">
        <v>1</v>
      </c>
      <c r="Q2979" s="19">
        <v>1966</v>
      </c>
      <c r="R2979" s="14">
        <v>160</v>
      </c>
      <c r="S2979" s="19">
        <v>314560</v>
      </c>
      <c r="AJ2979" s="19">
        <v>0</v>
      </c>
      <c r="AK2979" s="23">
        <v>0</v>
      </c>
      <c r="AM2979" s="19">
        <v>0</v>
      </c>
      <c r="AN2979" s="19">
        <v>314560</v>
      </c>
      <c r="AP2979" s="14">
        <v>314560</v>
      </c>
      <c r="AQ2979" s="12">
        <v>1E-4</v>
      </c>
      <c r="AS2979" s="26">
        <v>19</v>
      </c>
    </row>
    <row r="2980" spans="1:45" x14ac:dyDescent="0.2">
      <c r="A2980" s="2">
        <v>2544</v>
      </c>
      <c r="B2980" s="13">
        <v>2</v>
      </c>
      <c r="C2980" s="17" t="s">
        <v>65</v>
      </c>
      <c r="D2980" s="17">
        <v>2795</v>
      </c>
      <c r="E2980" s="17">
        <v>375</v>
      </c>
      <c r="H2980" s="17">
        <v>0</v>
      </c>
      <c r="I2980" s="17">
        <v>1</v>
      </c>
      <c r="J2980" s="17">
        <v>26</v>
      </c>
      <c r="N2980" s="18">
        <v>126</v>
      </c>
      <c r="Q2980" s="19">
        <v>126</v>
      </c>
      <c r="R2980" s="14">
        <v>4500</v>
      </c>
      <c r="S2980" s="19">
        <v>567000</v>
      </c>
      <c r="AJ2980" s="19">
        <v>0</v>
      </c>
      <c r="AK2980" s="23">
        <v>0</v>
      </c>
      <c r="AM2980" s="19">
        <v>0</v>
      </c>
      <c r="AN2980" s="19">
        <v>567000</v>
      </c>
      <c r="AP2980" s="14">
        <v>567000</v>
      </c>
      <c r="AQ2980" s="12">
        <v>3.0000000000000001E-3</v>
      </c>
    </row>
    <row r="2981" spans="1:45" x14ac:dyDescent="0.2">
      <c r="A2981" s="2">
        <v>2545</v>
      </c>
      <c r="B2981" s="13">
        <v>1</v>
      </c>
      <c r="C2981" s="17" t="s">
        <v>52</v>
      </c>
      <c r="D2981" s="17">
        <v>1562</v>
      </c>
      <c r="E2981" s="17">
        <v>110</v>
      </c>
      <c r="F2981" s="17">
        <v>481</v>
      </c>
      <c r="G2981" s="13">
        <v>2</v>
      </c>
      <c r="H2981" s="17">
        <v>7</v>
      </c>
      <c r="I2981" s="17">
        <v>0</v>
      </c>
      <c r="J2981" s="17">
        <v>11</v>
      </c>
      <c r="K2981" s="10">
        <v>2811</v>
      </c>
      <c r="P2981" s="17">
        <v>1</v>
      </c>
      <c r="Q2981" s="19">
        <v>2811</v>
      </c>
      <c r="R2981" s="14">
        <v>200</v>
      </c>
      <c r="S2981" s="19">
        <v>562200</v>
      </c>
      <c r="AJ2981" s="19">
        <v>0</v>
      </c>
      <c r="AK2981" s="23">
        <v>0</v>
      </c>
      <c r="AM2981" s="19">
        <v>0</v>
      </c>
      <c r="AN2981" s="19">
        <v>562200</v>
      </c>
      <c r="AP2981" s="14">
        <v>562200</v>
      </c>
      <c r="AS2981" s="26">
        <v>36</v>
      </c>
    </row>
    <row r="2982" spans="1:45" x14ac:dyDescent="0.2">
      <c r="A2982" s="2">
        <v>2546</v>
      </c>
      <c r="B2982" s="13">
        <v>2</v>
      </c>
      <c r="C2982" s="17" t="s">
        <v>52</v>
      </c>
      <c r="D2982" s="17">
        <v>2440</v>
      </c>
      <c r="E2982" s="17">
        <v>111</v>
      </c>
      <c r="F2982" s="17">
        <v>480</v>
      </c>
      <c r="G2982" s="13">
        <v>2</v>
      </c>
      <c r="H2982" s="17">
        <v>7</v>
      </c>
      <c r="I2982" s="17">
        <v>2</v>
      </c>
      <c r="J2982" s="17">
        <v>50</v>
      </c>
      <c r="K2982" s="10">
        <v>3050</v>
      </c>
      <c r="P2982" s="17">
        <v>1</v>
      </c>
      <c r="Q2982" s="19">
        <v>3050</v>
      </c>
      <c r="R2982" s="14">
        <v>200</v>
      </c>
      <c r="S2982" s="19">
        <v>610000</v>
      </c>
      <c r="AJ2982" s="19">
        <v>0</v>
      </c>
      <c r="AK2982" s="23">
        <v>0</v>
      </c>
      <c r="AM2982" s="19">
        <v>0</v>
      </c>
      <c r="AN2982" s="19">
        <v>610000</v>
      </c>
      <c r="AP2982" s="14">
        <v>610000</v>
      </c>
    </row>
    <row r="2983" spans="1:45" ht="63" x14ac:dyDescent="0.2">
      <c r="A2983" s="2">
        <v>2547</v>
      </c>
      <c r="B2983" s="13">
        <v>1</v>
      </c>
      <c r="C2983" s="17" t="s">
        <v>52</v>
      </c>
      <c r="D2983" s="17">
        <v>12561</v>
      </c>
      <c r="E2983" s="17">
        <v>278</v>
      </c>
      <c r="F2983" s="17">
        <v>3255</v>
      </c>
      <c r="G2983" s="13">
        <v>2</v>
      </c>
      <c r="H2983" s="17">
        <v>1</v>
      </c>
      <c r="I2983" s="17">
        <v>0</v>
      </c>
      <c r="J2983" s="17">
        <v>32</v>
      </c>
      <c r="K2983" s="10">
        <v>390</v>
      </c>
      <c r="L2983" s="17">
        <v>42</v>
      </c>
      <c r="P2983" s="17">
        <v>2</v>
      </c>
      <c r="Q2983" s="19">
        <v>432</v>
      </c>
      <c r="R2983" s="14">
        <v>3350</v>
      </c>
      <c r="S2983" s="19">
        <v>1447200</v>
      </c>
      <c r="T2983" s="17">
        <v>1</v>
      </c>
      <c r="U2983" s="17" t="s">
        <v>57</v>
      </c>
      <c r="V2983" s="17" t="s">
        <v>56</v>
      </c>
      <c r="W2983" s="4">
        <v>168</v>
      </c>
      <c r="Y2983" s="4">
        <v>168</v>
      </c>
      <c r="AB2983" s="17">
        <v>30</v>
      </c>
      <c r="AJ2983" s="19">
        <v>0</v>
      </c>
      <c r="AK2983" s="23">
        <v>30</v>
      </c>
      <c r="AM2983" s="19">
        <v>0</v>
      </c>
      <c r="AN2983" s="19">
        <v>1447200</v>
      </c>
      <c r="AP2983" s="14">
        <v>1447200</v>
      </c>
      <c r="AS2983" s="26">
        <v>13</v>
      </c>
    </row>
    <row r="2984" spans="1:45" ht="63" x14ac:dyDescent="0.2">
      <c r="A2984" s="2">
        <v>2548</v>
      </c>
      <c r="B2984" s="13">
        <v>2</v>
      </c>
      <c r="C2984" s="17" t="s">
        <v>52</v>
      </c>
      <c r="D2984" s="17">
        <v>20493</v>
      </c>
      <c r="E2984" s="17">
        <v>156</v>
      </c>
      <c r="F2984" s="17">
        <v>4578</v>
      </c>
      <c r="G2984" s="13">
        <v>2</v>
      </c>
      <c r="H2984" s="17">
        <v>0</v>
      </c>
      <c r="I2984" s="17">
        <v>0</v>
      </c>
      <c r="J2984" s="17">
        <v>55</v>
      </c>
      <c r="L2984" s="17">
        <v>55</v>
      </c>
      <c r="P2984" s="17">
        <v>2</v>
      </c>
      <c r="Q2984" s="19">
        <v>55</v>
      </c>
      <c r="R2984" s="14">
        <v>250</v>
      </c>
      <c r="S2984" s="19">
        <v>13750</v>
      </c>
      <c r="T2984" s="17">
        <v>1</v>
      </c>
      <c r="U2984" s="17" t="s">
        <v>57</v>
      </c>
      <c r="V2984" s="17" t="s">
        <v>56</v>
      </c>
      <c r="W2984" s="4">
        <v>136</v>
      </c>
      <c r="Y2984" s="4">
        <v>136</v>
      </c>
      <c r="AB2984" s="17">
        <v>1</v>
      </c>
      <c r="AJ2984" s="19">
        <v>0</v>
      </c>
      <c r="AK2984" s="23">
        <v>1</v>
      </c>
      <c r="AM2984" s="19">
        <v>0</v>
      </c>
      <c r="AN2984" s="19">
        <v>13750</v>
      </c>
      <c r="AP2984" s="14">
        <v>13750</v>
      </c>
    </row>
    <row r="2985" spans="1:45" x14ac:dyDescent="0.2">
      <c r="A2985" s="2">
        <v>2549</v>
      </c>
      <c r="B2985" s="13">
        <v>3</v>
      </c>
      <c r="C2985" s="17" t="s">
        <v>52</v>
      </c>
      <c r="D2985" s="17">
        <v>20579</v>
      </c>
      <c r="E2985" s="17">
        <v>36</v>
      </c>
      <c r="F2985" s="17">
        <v>4627</v>
      </c>
      <c r="G2985" s="13">
        <v>2</v>
      </c>
      <c r="H2985" s="17">
        <v>4</v>
      </c>
      <c r="I2985" s="17">
        <v>1</v>
      </c>
      <c r="J2985" s="17">
        <v>25</v>
      </c>
      <c r="K2985" s="10">
        <v>1725</v>
      </c>
      <c r="P2985" s="17">
        <v>1</v>
      </c>
      <c r="Q2985" s="19">
        <v>1725</v>
      </c>
      <c r="R2985" s="14">
        <v>160</v>
      </c>
      <c r="S2985" s="19">
        <v>276000</v>
      </c>
      <c r="AJ2985" s="19">
        <v>0</v>
      </c>
      <c r="AK2985" s="23">
        <v>0</v>
      </c>
      <c r="AM2985" s="19">
        <v>0</v>
      </c>
      <c r="AN2985" s="19">
        <v>276000</v>
      </c>
      <c r="AP2985" s="14">
        <v>276000</v>
      </c>
    </row>
    <row r="2986" spans="1:45" x14ac:dyDescent="0.2">
      <c r="A2986" s="2">
        <v>2550</v>
      </c>
      <c r="B2986" s="13">
        <v>1</v>
      </c>
      <c r="C2986" s="17" t="s">
        <v>52</v>
      </c>
      <c r="D2986" s="17">
        <v>3428</v>
      </c>
      <c r="E2986" s="17">
        <v>21</v>
      </c>
      <c r="F2986" s="17">
        <v>2202</v>
      </c>
      <c r="G2986" s="13">
        <v>2</v>
      </c>
      <c r="H2986" s="17">
        <v>0</v>
      </c>
      <c r="I2986" s="17">
        <v>2</v>
      </c>
      <c r="J2986" s="17">
        <v>18</v>
      </c>
      <c r="K2986" s="10">
        <v>218</v>
      </c>
      <c r="P2986" s="17">
        <v>1</v>
      </c>
      <c r="Q2986" s="19">
        <v>218</v>
      </c>
      <c r="R2986" s="14">
        <v>200</v>
      </c>
      <c r="S2986" s="19">
        <v>43600</v>
      </c>
      <c r="AJ2986" s="19">
        <v>0</v>
      </c>
      <c r="AK2986" s="23">
        <v>0</v>
      </c>
      <c r="AM2986" s="19">
        <v>0</v>
      </c>
      <c r="AN2986" s="19">
        <v>43600</v>
      </c>
      <c r="AP2986" s="14">
        <v>43600</v>
      </c>
      <c r="AS2986" s="26">
        <v>22</v>
      </c>
    </row>
    <row r="2987" spans="1:45" x14ac:dyDescent="0.2">
      <c r="A2987" s="2">
        <v>2551</v>
      </c>
      <c r="B2987" s="13">
        <v>2</v>
      </c>
      <c r="C2987" s="17" t="s">
        <v>52</v>
      </c>
      <c r="D2987" s="17">
        <v>20164</v>
      </c>
      <c r="E2987" s="17">
        <v>163</v>
      </c>
      <c r="F2987" s="17">
        <v>4401</v>
      </c>
      <c r="G2987" s="13">
        <v>2</v>
      </c>
      <c r="H2987" s="17">
        <v>0</v>
      </c>
      <c r="I2987" s="17">
        <v>0</v>
      </c>
      <c r="J2987" s="17">
        <v>52</v>
      </c>
      <c r="N2987" s="18">
        <v>52</v>
      </c>
      <c r="P2987" s="17">
        <v>4</v>
      </c>
      <c r="Q2987" s="19">
        <v>52</v>
      </c>
      <c r="R2987" s="14">
        <v>160</v>
      </c>
      <c r="S2987" s="19">
        <v>8320</v>
      </c>
      <c r="AJ2987" s="19">
        <v>0</v>
      </c>
      <c r="AK2987" s="23">
        <v>0</v>
      </c>
      <c r="AM2987" s="19">
        <v>0</v>
      </c>
      <c r="AN2987" s="19">
        <v>8320</v>
      </c>
      <c r="AP2987" s="14">
        <v>8320</v>
      </c>
      <c r="AQ2987" s="12">
        <v>3.0000000000000001E-3</v>
      </c>
    </row>
    <row r="2988" spans="1:45" x14ac:dyDescent="0.2">
      <c r="A2988" s="2">
        <v>2552</v>
      </c>
      <c r="B2988" s="13">
        <v>3</v>
      </c>
      <c r="C2988" s="17" t="s">
        <v>52</v>
      </c>
      <c r="D2988" s="17">
        <v>20578</v>
      </c>
      <c r="E2988" s="17">
        <v>35</v>
      </c>
      <c r="F2988" s="17">
        <v>4626</v>
      </c>
      <c r="G2988" s="13">
        <v>2</v>
      </c>
      <c r="H2988" s="17">
        <v>5</v>
      </c>
      <c r="I2988" s="17">
        <v>0</v>
      </c>
      <c r="J2988" s="17">
        <v>73</v>
      </c>
      <c r="K2988" s="10">
        <v>2073</v>
      </c>
      <c r="P2988" s="17">
        <v>1</v>
      </c>
      <c r="Q2988" s="19">
        <v>2073</v>
      </c>
      <c r="R2988" s="14">
        <v>160</v>
      </c>
      <c r="S2988" s="19">
        <v>331680</v>
      </c>
      <c r="AJ2988" s="19">
        <v>0</v>
      </c>
      <c r="AK2988" s="23">
        <v>0</v>
      </c>
      <c r="AM2988" s="19">
        <v>0</v>
      </c>
      <c r="AN2988" s="19">
        <v>331680</v>
      </c>
      <c r="AP2988" s="14">
        <v>331680</v>
      </c>
    </row>
    <row r="2989" spans="1:45" x14ac:dyDescent="0.2">
      <c r="A2989" s="2">
        <v>2553</v>
      </c>
      <c r="B2989" s="13">
        <v>4</v>
      </c>
      <c r="C2989" s="17" t="s">
        <v>52</v>
      </c>
      <c r="D2989" s="17">
        <v>25650</v>
      </c>
      <c r="E2989" s="17">
        <v>83</v>
      </c>
      <c r="F2989" s="17">
        <v>4723</v>
      </c>
      <c r="G2989" s="13">
        <v>2</v>
      </c>
      <c r="H2989" s="17">
        <v>0</v>
      </c>
      <c r="I2989" s="17">
        <v>1</v>
      </c>
      <c r="J2989" s="17">
        <v>40</v>
      </c>
      <c r="K2989" s="10">
        <v>140</v>
      </c>
      <c r="P2989" s="17">
        <v>1</v>
      </c>
      <c r="Q2989" s="19">
        <v>140</v>
      </c>
      <c r="R2989" s="14">
        <v>200</v>
      </c>
      <c r="S2989" s="19">
        <v>28000</v>
      </c>
      <c r="AJ2989" s="19">
        <v>0</v>
      </c>
      <c r="AK2989" s="23">
        <v>0</v>
      </c>
      <c r="AM2989" s="19">
        <v>0</v>
      </c>
      <c r="AN2989" s="19">
        <v>28000</v>
      </c>
      <c r="AP2989" s="14">
        <v>28000</v>
      </c>
    </row>
    <row r="2990" spans="1:45" x14ac:dyDescent="0.2">
      <c r="A2990" s="2">
        <v>2554</v>
      </c>
      <c r="B2990" s="13">
        <v>1</v>
      </c>
      <c r="C2990" s="17" t="s">
        <v>52</v>
      </c>
      <c r="D2990" s="17">
        <v>3649</v>
      </c>
      <c r="E2990" s="17">
        <v>15</v>
      </c>
      <c r="F2990" s="17">
        <v>2382</v>
      </c>
      <c r="H2990" s="17">
        <v>10</v>
      </c>
      <c r="I2990" s="17">
        <v>1</v>
      </c>
      <c r="J2990" s="17">
        <v>40</v>
      </c>
      <c r="K2990" s="10">
        <v>4140</v>
      </c>
      <c r="P2990" s="17">
        <v>1</v>
      </c>
      <c r="Q2990" s="19">
        <v>4140</v>
      </c>
      <c r="R2990" s="14">
        <v>160</v>
      </c>
      <c r="S2990" s="19">
        <v>662400</v>
      </c>
      <c r="AJ2990" s="19">
        <v>0</v>
      </c>
      <c r="AK2990" s="23">
        <v>0</v>
      </c>
      <c r="AM2990" s="19">
        <v>0</v>
      </c>
      <c r="AN2990" s="19">
        <v>662400</v>
      </c>
      <c r="AP2990" s="14">
        <v>662400</v>
      </c>
    </row>
    <row r="2991" spans="1:45" x14ac:dyDescent="0.2">
      <c r="A2991" s="2">
        <v>2555</v>
      </c>
      <c r="B2991" s="13">
        <v>1</v>
      </c>
      <c r="C2991" s="17" t="s">
        <v>52</v>
      </c>
      <c r="D2991" s="17">
        <v>1898</v>
      </c>
      <c r="E2991" s="17">
        <v>112</v>
      </c>
      <c r="F2991" s="17">
        <v>483</v>
      </c>
      <c r="G2991" s="13">
        <v>2</v>
      </c>
      <c r="H2991" s="17">
        <v>7</v>
      </c>
      <c r="I2991" s="17">
        <v>3</v>
      </c>
      <c r="J2991" s="17">
        <v>11</v>
      </c>
      <c r="K2991" s="10">
        <v>3111</v>
      </c>
      <c r="P2991" s="17">
        <v>1</v>
      </c>
      <c r="Q2991" s="19">
        <v>3111</v>
      </c>
      <c r="R2991" s="14">
        <v>160</v>
      </c>
      <c r="S2991" s="19">
        <v>497760</v>
      </c>
      <c r="AJ2991" s="19">
        <v>0</v>
      </c>
      <c r="AK2991" s="23">
        <v>0</v>
      </c>
      <c r="AM2991" s="19">
        <v>0</v>
      </c>
      <c r="AN2991" s="19">
        <v>497760</v>
      </c>
      <c r="AP2991" s="14">
        <v>497760</v>
      </c>
      <c r="AS2991" s="26">
        <v>8</v>
      </c>
    </row>
    <row r="2992" spans="1:45" x14ac:dyDescent="0.2">
      <c r="A2992" s="2">
        <v>2556</v>
      </c>
      <c r="B2992" s="13">
        <v>2</v>
      </c>
      <c r="C2992" s="17" t="s">
        <v>52</v>
      </c>
      <c r="D2992" s="17">
        <v>3846</v>
      </c>
      <c r="E2992" s="17">
        <v>17</v>
      </c>
      <c r="F2992" s="17">
        <v>2391</v>
      </c>
      <c r="H2992" s="17">
        <v>5</v>
      </c>
      <c r="I2992" s="17">
        <v>1</v>
      </c>
      <c r="J2992" s="17">
        <v>94</v>
      </c>
      <c r="K2992" s="10">
        <v>2194</v>
      </c>
      <c r="P2992" s="17">
        <v>1</v>
      </c>
      <c r="Q2992" s="19">
        <v>2194</v>
      </c>
      <c r="R2992" s="14">
        <v>200</v>
      </c>
      <c r="S2992" s="19">
        <v>438800</v>
      </c>
      <c r="AJ2992" s="19">
        <v>0</v>
      </c>
      <c r="AK2992" s="23">
        <v>0</v>
      </c>
      <c r="AM2992" s="19">
        <v>0</v>
      </c>
      <c r="AN2992" s="19">
        <v>438800</v>
      </c>
      <c r="AP2992" s="14">
        <v>438800</v>
      </c>
    </row>
    <row r="2993" spans="1:45" ht="63" x14ac:dyDescent="0.2">
      <c r="A2993" s="2">
        <v>2557</v>
      </c>
      <c r="B2993" s="13">
        <v>1</v>
      </c>
      <c r="C2993" s="17" t="s">
        <v>52</v>
      </c>
      <c r="D2993" s="17">
        <v>2434</v>
      </c>
      <c r="E2993" s="17">
        <v>106</v>
      </c>
      <c r="F2993" s="17">
        <v>435</v>
      </c>
      <c r="G2993" s="13">
        <v>2</v>
      </c>
      <c r="H2993" s="17">
        <v>0</v>
      </c>
      <c r="I2993" s="17">
        <v>1</v>
      </c>
      <c r="J2993" s="17">
        <v>86</v>
      </c>
      <c r="L2993" s="17">
        <v>186</v>
      </c>
      <c r="P2993" s="17">
        <v>2</v>
      </c>
      <c r="Q2993" s="19">
        <v>186</v>
      </c>
      <c r="R2993" s="14">
        <v>200</v>
      </c>
      <c r="S2993" s="19">
        <v>37200</v>
      </c>
      <c r="T2993" s="17">
        <v>1</v>
      </c>
      <c r="U2993" s="17" t="s">
        <v>57</v>
      </c>
      <c r="V2993" s="17" t="s">
        <v>56</v>
      </c>
      <c r="W2993" s="4">
        <v>60</v>
      </c>
      <c r="Y2993" s="4">
        <v>60</v>
      </c>
      <c r="AB2993" s="17">
        <v>5</v>
      </c>
      <c r="AJ2993" s="19">
        <v>0</v>
      </c>
      <c r="AK2993" s="23">
        <v>5</v>
      </c>
      <c r="AM2993" s="19">
        <v>0</v>
      </c>
      <c r="AN2993" s="19">
        <v>37200</v>
      </c>
      <c r="AP2993" s="14">
        <v>37200</v>
      </c>
    </row>
    <row r="2994" spans="1:45" x14ac:dyDescent="0.2">
      <c r="A2994" s="2">
        <v>2558</v>
      </c>
      <c r="B2994" s="13">
        <v>2</v>
      </c>
      <c r="C2994" s="17" t="s">
        <v>65</v>
      </c>
      <c r="D2994" s="17">
        <v>2987</v>
      </c>
      <c r="E2994" s="17">
        <v>440</v>
      </c>
      <c r="H2994" s="17">
        <v>1</v>
      </c>
      <c r="I2994" s="17">
        <v>1</v>
      </c>
      <c r="J2994" s="17">
        <v>59</v>
      </c>
      <c r="K2994" s="10">
        <v>559</v>
      </c>
      <c r="Q2994" s="19">
        <v>559</v>
      </c>
      <c r="R2994" s="14">
        <v>250</v>
      </c>
      <c r="S2994" s="19">
        <v>139750</v>
      </c>
      <c r="AE2994" s="17" t="s">
        <v>94</v>
      </c>
      <c r="AJ2994" s="19">
        <v>0</v>
      </c>
      <c r="AK2994" s="23">
        <v>0</v>
      </c>
      <c r="AM2994" s="19">
        <v>0</v>
      </c>
      <c r="AN2994" s="19">
        <v>139750</v>
      </c>
      <c r="AP2994" s="14">
        <v>139750</v>
      </c>
      <c r="AQ2994" s="12">
        <v>1E-4</v>
      </c>
    </row>
    <row r="2995" spans="1:45" ht="63" x14ac:dyDescent="0.2">
      <c r="A2995" s="2">
        <v>2559</v>
      </c>
      <c r="B2995" s="13">
        <v>1</v>
      </c>
      <c r="C2995" s="17" t="s">
        <v>52</v>
      </c>
      <c r="D2995" s="17">
        <v>2432</v>
      </c>
      <c r="E2995" s="17">
        <v>107</v>
      </c>
      <c r="F2995" s="17">
        <v>434</v>
      </c>
      <c r="G2995" s="13">
        <v>2</v>
      </c>
      <c r="H2995" s="17">
        <v>0</v>
      </c>
      <c r="I2995" s="17">
        <v>1</v>
      </c>
      <c r="J2995" s="17">
        <v>88</v>
      </c>
      <c r="L2995" s="17">
        <v>188</v>
      </c>
      <c r="P2995" s="17">
        <v>2</v>
      </c>
      <c r="Q2995" s="19">
        <v>188</v>
      </c>
      <c r="R2995" s="14">
        <v>200</v>
      </c>
      <c r="S2995" s="19">
        <v>37600</v>
      </c>
      <c r="T2995" s="17">
        <v>1</v>
      </c>
      <c r="U2995" s="17" t="s">
        <v>57</v>
      </c>
      <c r="V2995" s="17" t="s">
        <v>88</v>
      </c>
      <c r="W2995" s="4">
        <v>70</v>
      </c>
      <c r="Y2995" s="4">
        <v>70</v>
      </c>
      <c r="AB2995" s="17">
        <v>31</v>
      </c>
      <c r="AJ2995" s="19">
        <v>0</v>
      </c>
      <c r="AK2995" s="23">
        <v>31</v>
      </c>
      <c r="AM2995" s="19">
        <v>0</v>
      </c>
      <c r="AN2995" s="19">
        <v>37600</v>
      </c>
      <c r="AP2995" s="14">
        <v>37600</v>
      </c>
    </row>
    <row r="2996" spans="1:45" x14ac:dyDescent="0.2">
      <c r="A2996" s="2">
        <v>2560</v>
      </c>
      <c r="B2996" s="13">
        <v>2</v>
      </c>
      <c r="C2996" s="17" t="s">
        <v>52</v>
      </c>
      <c r="D2996" s="17">
        <v>2438</v>
      </c>
      <c r="E2996" s="17">
        <v>102</v>
      </c>
      <c r="F2996" s="17">
        <v>439</v>
      </c>
      <c r="G2996" s="13">
        <v>2</v>
      </c>
      <c r="H2996" s="17">
        <v>0</v>
      </c>
      <c r="I2996" s="17">
        <v>2</v>
      </c>
      <c r="J2996" s="17">
        <v>58</v>
      </c>
      <c r="L2996" s="17">
        <v>258</v>
      </c>
      <c r="P2996" s="17">
        <v>2</v>
      </c>
      <c r="Q2996" s="19">
        <v>258</v>
      </c>
      <c r="R2996" s="14">
        <v>200</v>
      </c>
      <c r="S2996" s="19">
        <v>51600</v>
      </c>
      <c r="AJ2996" s="19">
        <v>0</v>
      </c>
      <c r="AK2996" s="23">
        <v>0</v>
      </c>
      <c r="AM2996" s="19">
        <v>0</v>
      </c>
      <c r="AN2996" s="19">
        <v>51600</v>
      </c>
      <c r="AP2996" s="14">
        <v>51600</v>
      </c>
    </row>
    <row r="2997" spans="1:45" x14ac:dyDescent="0.2">
      <c r="A2997" s="2">
        <v>2561</v>
      </c>
      <c r="B2997" s="13">
        <v>3</v>
      </c>
      <c r="C2997" s="17" t="s">
        <v>52</v>
      </c>
      <c r="D2997" s="17">
        <v>1830</v>
      </c>
      <c r="E2997" s="17">
        <v>80</v>
      </c>
      <c r="F2997" s="17">
        <v>1220</v>
      </c>
      <c r="H2997" s="17">
        <v>1</v>
      </c>
      <c r="I2997" s="17">
        <v>3</v>
      </c>
      <c r="J2997" s="17">
        <v>33</v>
      </c>
      <c r="K2997" s="10">
        <v>733</v>
      </c>
      <c r="P2997" s="17">
        <v>1</v>
      </c>
      <c r="Q2997" s="19">
        <v>733</v>
      </c>
      <c r="R2997" s="14">
        <v>160</v>
      </c>
      <c r="S2997" s="19">
        <v>117280</v>
      </c>
      <c r="AJ2997" s="19">
        <v>0</v>
      </c>
      <c r="AK2997" s="23">
        <v>0</v>
      </c>
      <c r="AM2997" s="19">
        <v>0</v>
      </c>
      <c r="AN2997" s="19">
        <v>117280</v>
      </c>
      <c r="AP2997" s="14">
        <v>117280</v>
      </c>
    </row>
    <row r="2998" spans="1:45" x14ac:dyDescent="0.2">
      <c r="A2998" s="2">
        <v>2562</v>
      </c>
      <c r="B2998" s="13">
        <v>1</v>
      </c>
      <c r="C2998" s="17" t="s">
        <v>52</v>
      </c>
      <c r="D2998" s="17">
        <v>2436</v>
      </c>
      <c r="E2998" s="17">
        <v>104</v>
      </c>
      <c r="F2998" s="17">
        <v>437</v>
      </c>
      <c r="G2998" s="13">
        <v>2</v>
      </c>
      <c r="H2998" s="17">
        <v>0</v>
      </c>
      <c r="I2998" s="17">
        <v>3</v>
      </c>
      <c r="J2998" s="17">
        <v>25</v>
      </c>
      <c r="Q2998" s="19">
        <v>325</v>
      </c>
      <c r="R2998" s="14">
        <v>200</v>
      </c>
      <c r="S2998" s="19">
        <v>65000</v>
      </c>
      <c r="AJ2998" s="19">
        <v>0</v>
      </c>
      <c r="AK2998" s="23">
        <v>0</v>
      </c>
      <c r="AM2998" s="19">
        <v>0</v>
      </c>
      <c r="AN2998" s="19">
        <v>65000</v>
      </c>
      <c r="AP2998" s="14">
        <v>65000</v>
      </c>
    </row>
    <row r="2999" spans="1:45" ht="63" x14ac:dyDescent="0.2">
      <c r="A2999" s="2">
        <v>2563</v>
      </c>
      <c r="B2999" s="13">
        <v>1</v>
      </c>
      <c r="C2999" s="17" t="s">
        <v>52</v>
      </c>
      <c r="D2999" s="17">
        <v>2435</v>
      </c>
      <c r="E2999" s="17">
        <v>105</v>
      </c>
      <c r="F2999" s="17">
        <v>436</v>
      </c>
      <c r="G2999" s="13">
        <v>2</v>
      </c>
      <c r="H2999" s="17">
        <v>1</v>
      </c>
      <c r="I2999" s="17">
        <v>2</v>
      </c>
      <c r="J2999" s="17">
        <v>19</v>
      </c>
      <c r="K2999" s="10">
        <v>592</v>
      </c>
      <c r="L2999" s="17">
        <v>27</v>
      </c>
      <c r="P2999" s="17">
        <v>2</v>
      </c>
      <c r="Q2999" s="19">
        <v>619</v>
      </c>
      <c r="R2999" s="14">
        <v>200</v>
      </c>
      <c r="S2999" s="19">
        <v>123800</v>
      </c>
      <c r="T2999" s="17">
        <v>1</v>
      </c>
      <c r="U2999" s="17" t="s">
        <v>57</v>
      </c>
      <c r="V2999" s="17" t="s">
        <v>56</v>
      </c>
      <c r="W2999" s="4">
        <v>108</v>
      </c>
      <c r="Y2999" s="4">
        <v>108</v>
      </c>
      <c r="AB2999" s="17">
        <v>21</v>
      </c>
      <c r="AJ2999" s="19">
        <v>0</v>
      </c>
      <c r="AK2999" s="23">
        <v>21</v>
      </c>
      <c r="AM2999" s="19">
        <v>0</v>
      </c>
      <c r="AN2999" s="19">
        <v>123800</v>
      </c>
      <c r="AP2999" s="14">
        <v>123800</v>
      </c>
    </row>
    <row r="3000" spans="1:45" ht="42" x14ac:dyDescent="0.2">
      <c r="A3000" s="2">
        <v>2564</v>
      </c>
      <c r="B3000" s="13">
        <v>1</v>
      </c>
      <c r="C3000" s="17" t="s">
        <v>52</v>
      </c>
      <c r="D3000" s="17">
        <v>1798</v>
      </c>
      <c r="E3000" s="17">
        <v>8</v>
      </c>
      <c r="F3000" s="17">
        <v>1182</v>
      </c>
      <c r="G3000" s="13">
        <v>2</v>
      </c>
      <c r="H3000" s="17">
        <v>4</v>
      </c>
      <c r="I3000" s="17">
        <v>1</v>
      </c>
      <c r="J3000" s="17">
        <v>96</v>
      </c>
      <c r="K3000" s="10">
        <v>1796</v>
      </c>
      <c r="P3000" s="17">
        <v>1</v>
      </c>
      <c r="Q3000" s="19">
        <v>1796</v>
      </c>
      <c r="R3000" s="14">
        <v>160</v>
      </c>
      <c r="S3000" s="19">
        <v>287360</v>
      </c>
      <c r="AJ3000" s="19">
        <v>0</v>
      </c>
      <c r="AK3000" s="23">
        <v>0</v>
      </c>
      <c r="AM3000" s="19">
        <v>0</v>
      </c>
      <c r="AN3000" s="19">
        <v>287360</v>
      </c>
      <c r="AP3000" s="14">
        <v>287360</v>
      </c>
      <c r="AS3000" s="26" t="s">
        <v>259</v>
      </c>
    </row>
    <row r="3001" spans="1:45" x14ac:dyDescent="0.2">
      <c r="A3001" s="2">
        <v>2565</v>
      </c>
      <c r="R3001" s="14" t="e">
        <v>#N/A</v>
      </c>
    </row>
    <row r="3002" spans="1:45" x14ac:dyDescent="0.2">
      <c r="A3002" s="2">
        <v>2566</v>
      </c>
      <c r="B3002" s="13">
        <v>3</v>
      </c>
      <c r="C3002" s="17" t="s">
        <v>52</v>
      </c>
      <c r="D3002" s="17">
        <v>1958</v>
      </c>
      <c r="E3002" s="17">
        <v>15</v>
      </c>
      <c r="F3002" s="17">
        <v>1315</v>
      </c>
      <c r="G3002" s="13">
        <v>2</v>
      </c>
      <c r="H3002" s="17">
        <v>3</v>
      </c>
      <c r="I3002" s="17">
        <v>3</v>
      </c>
      <c r="J3002" s="17">
        <v>51</v>
      </c>
      <c r="K3002" s="10">
        <v>1551</v>
      </c>
      <c r="P3002" s="17">
        <v>1</v>
      </c>
      <c r="Q3002" s="19">
        <v>1551</v>
      </c>
      <c r="R3002" s="14">
        <v>160</v>
      </c>
      <c r="S3002" s="19">
        <v>248160</v>
      </c>
      <c r="AJ3002" s="19">
        <v>0</v>
      </c>
      <c r="AK3002" s="23">
        <v>0</v>
      </c>
      <c r="AM3002" s="19">
        <v>0</v>
      </c>
      <c r="AN3002" s="19">
        <v>248160</v>
      </c>
      <c r="AP3002" s="14">
        <v>248160</v>
      </c>
    </row>
    <row r="3003" spans="1:45" ht="63" x14ac:dyDescent="0.2">
      <c r="A3003" s="2">
        <v>2567</v>
      </c>
      <c r="B3003" s="13">
        <v>1</v>
      </c>
      <c r="C3003" s="17" t="s">
        <v>52</v>
      </c>
      <c r="D3003" s="17">
        <v>1796</v>
      </c>
      <c r="E3003" s="17">
        <v>6</v>
      </c>
      <c r="F3003" s="17">
        <v>1180</v>
      </c>
      <c r="G3003" s="13">
        <v>2</v>
      </c>
      <c r="H3003" s="17">
        <v>3</v>
      </c>
      <c r="I3003" s="17">
        <v>0</v>
      </c>
      <c r="J3003" s="17">
        <v>44</v>
      </c>
      <c r="K3003" s="10">
        <v>1181.5</v>
      </c>
      <c r="L3003" s="17">
        <v>13.75</v>
      </c>
      <c r="P3003" s="17">
        <v>2</v>
      </c>
      <c r="Q3003" s="19">
        <v>1244</v>
      </c>
      <c r="R3003" s="14">
        <v>160</v>
      </c>
      <c r="S3003" s="19">
        <v>199040</v>
      </c>
      <c r="T3003" s="17">
        <v>1</v>
      </c>
      <c r="U3003" s="17" t="s">
        <v>57</v>
      </c>
      <c r="V3003" s="17" t="s">
        <v>56</v>
      </c>
      <c r="W3003" s="4">
        <v>55</v>
      </c>
      <c r="Y3003" s="4">
        <v>55</v>
      </c>
      <c r="AB3003" s="17">
        <v>29</v>
      </c>
      <c r="AJ3003" s="19">
        <v>0</v>
      </c>
      <c r="AK3003" s="23">
        <v>29</v>
      </c>
      <c r="AM3003" s="19">
        <v>0</v>
      </c>
      <c r="AN3003" s="19">
        <v>199040</v>
      </c>
      <c r="AP3003" s="14">
        <v>199040</v>
      </c>
    </row>
    <row r="3004" spans="1:45" ht="63" x14ac:dyDescent="0.2">
      <c r="L3004" s="17">
        <v>13.75</v>
      </c>
      <c r="Q3004" s="19">
        <v>0</v>
      </c>
      <c r="R3004" s="14">
        <v>160</v>
      </c>
      <c r="S3004" s="19">
        <v>0</v>
      </c>
      <c r="T3004" s="17">
        <v>2</v>
      </c>
      <c r="U3004" s="17" t="s">
        <v>57</v>
      </c>
      <c r="V3004" s="17" t="s">
        <v>88</v>
      </c>
      <c r="W3004" s="4">
        <v>55</v>
      </c>
      <c r="Y3004" s="4">
        <v>55</v>
      </c>
      <c r="AB3004" s="17">
        <v>31</v>
      </c>
      <c r="AJ3004" s="19">
        <v>0</v>
      </c>
      <c r="AK3004" s="23">
        <v>31</v>
      </c>
      <c r="AM3004" s="19">
        <v>0</v>
      </c>
      <c r="AN3004" s="19">
        <v>0</v>
      </c>
      <c r="AP3004" s="14">
        <v>0</v>
      </c>
    </row>
    <row r="3005" spans="1:45" ht="63" x14ac:dyDescent="0.2">
      <c r="L3005" s="17">
        <v>35</v>
      </c>
      <c r="Q3005" s="19">
        <v>0</v>
      </c>
      <c r="R3005" s="14">
        <v>160</v>
      </c>
      <c r="S3005" s="19">
        <v>0</v>
      </c>
      <c r="T3005" s="17">
        <v>3</v>
      </c>
      <c r="U3005" s="17" t="s">
        <v>57</v>
      </c>
      <c r="V3005" s="17" t="s">
        <v>56</v>
      </c>
      <c r="W3005" s="4">
        <v>140</v>
      </c>
      <c r="Y3005" s="4">
        <v>140</v>
      </c>
      <c r="AB3005" s="17">
        <v>23</v>
      </c>
      <c r="AJ3005" s="19">
        <v>0</v>
      </c>
      <c r="AK3005" s="23">
        <v>23</v>
      </c>
      <c r="AM3005" s="19">
        <v>0</v>
      </c>
      <c r="AN3005" s="19">
        <v>0</v>
      </c>
      <c r="AP3005" s="14">
        <v>0</v>
      </c>
    </row>
    <row r="3006" spans="1:45" x14ac:dyDescent="0.2">
      <c r="Q3006" s="19">
        <v>0</v>
      </c>
      <c r="R3006" s="14">
        <v>160</v>
      </c>
      <c r="S3006" s="19">
        <v>0</v>
      </c>
      <c r="AJ3006" s="19">
        <v>0</v>
      </c>
      <c r="AK3006" s="23">
        <v>0</v>
      </c>
      <c r="AM3006" s="19">
        <v>0</v>
      </c>
      <c r="AN3006" s="19">
        <v>0</v>
      </c>
      <c r="AP3006" s="14">
        <v>0</v>
      </c>
    </row>
    <row r="3007" spans="1:45" x14ac:dyDescent="0.2">
      <c r="A3007" s="2">
        <v>2568</v>
      </c>
      <c r="B3007" s="13">
        <v>1</v>
      </c>
      <c r="C3007" s="17" t="s">
        <v>52</v>
      </c>
      <c r="D3007" s="17">
        <v>25539</v>
      </c>
      <c r="E3007" s="17">
        <v>41</v>
      </c>
      <c r="F3007" s="17">
        <v>4995</v>
      </c>
      <c r="G3007" s="13">
        <v>2</v>
      </c>
      <c r="H3007" s="17">
        <v>3</v>
      </c>
      <c r="I3007" s="17">
        <v>2</v>
      </c>
      <c r="J3007" s="17">
        <v>95</v>
      </c>
      <c r="K3007" s="10">
        <v>1495</v>
      </c>
      <c r="P3007" s="17">
        <v>1</v>
      </c>
      <c r="Q3007" s="19">
        <v>1495</v>
      </c>
      <c r="R3007" s="14">
        <v>160</v>
      </c>
      <c r="S3007" s="19">
        <v>239200</v>
      </c>
      <c r="AJ3007" s="19">
        <v>0</v>
      </c>
      <c r="AK3007" s="23">
        <v>0</v>
      </c>
      <c r="AM3007" s="19">
        <v>0</v>
      </c>
      <c r="AN3007" s="19">
        <v>239200</v>
      </c>
      <c r="AP3007" s="14">
        <v>239200</v>
      </c>
    </row>
    <row r="3008" spans="1:45" x14ac:dyDescent="0.2">
      <c r="A3008" s="2">
        <v>2569</v>
      </c>
      <c r="B3008" s="13">
        <v>1</v>
      </c>
      <c r="C3008" s="17" t="s">
        <v>52</v>
      </c>
      <c r="D3008" s="17">
        <v>1797</v>
      </c>
      <c r="E3008" s="17">
        <v>7</v>
      </c>
      <c r="F3008" s="17">
        <v>1181</v>
      </c>
      <c r="G3008" s="13">
        <v>2</v>
      </c>
      <c r="H3008" s="17">
        <v>1</v>
      </c>
      <c r="I3008" s="17">
        <v>1</v>
      </c>
      <c r="J3008" s="17">
        <v>66</v>
      </c>
      <c r="K3008" s="10">
        <v>566</v>
      </c>
      <c r="P3008" s="17">
        <v>1</v>
      </c>
      <c r="Q3008" s="19">
        <v>566</v>
      </c>
      <c r="R3008" s="14">
        <v>160</v>
      </c>
      <c r="S3008" s="19">
        <v>90560</v>
      </c>
      <c r="AJ3008" s="19">
        <v>0</v>
      </c>
      <c r="AK3008" s="23">
        <v>0</v>
      </c>
      <c r="AM3008" s="19">
        <v>0</v>
      </c>
      <c r="AN3008" s="19">
        <v>90560</v>
      </c>
      <c r="AP3008" s="14">
        <v>90560</v>
      </c>
    </row>
    <row r="3009" spans="1:45" x14ac:dyDescent="0.2">
      <c r="A3009" s="2">
        <v>2570</v>
      </c>
      <c r="B3009" s="13">
        <v>1</v>
      </c>
      <c r="C3009" s="17" t="s">
        <v>52</v>
      </c>
      <c r="D3009" s="17">
        <v>25538</v>
      </c>
      <c r="E3009" s="17">
        <v>40</v>
      </c>
      <c r="F3009" s="17">
        <v>4994</v>
      </c>
      <c r="G3009" s="13">
        <v>2</v>
      </c>
      <c r="H3009" s="17">
        <v>1</v>
      </c>
      <c r="I3009" s="17">
        <v>1</v>
      </c>
      <c r="J3009" s="17">
        <v>30</v>
      </c>
      <c r="K3009" s="10">
        <v>530</v>
      </c>
      <c r="P3009" s="17">
        <v>1</v>
      </c>
      <c r="Q3009" s="19">
        <v>530</v>
      </c>
      <c r="R3009" s="14">
        <v>160</v>
      </c>
      <c r="S3009" s="19">
        <v>84800</v>
      </c>
      <c r="AJ3009" s="19">
        <v>0</v>
      </c>
      <c r="AK3009" s="23">
        <v>0</v>
      </c>
      <c r="AM3009" s="19">
        <v>0</v>
      </c>
      <c r="AN3009" s="19">
        <v>84800</v>
      </c>
      <c r="AP3009" s="14">
        <v>84800</v>
      </c>
    </row>
    <row r="3010" spans="1:45" ht="63" x14ac:dyDescent="0.2">
      <c r="A3010" s="2">
        <v>2571</v>
      </c>
      <c r="B3010" s="13">
        <v>1</v>
      </c>
      <c r="C3010" s="17" t="s">
        <v>52</v>
      </c>
      <c r="D3010" s="17">
        <v>28322</v>
      </c>
      <c r="E3010" s="17">
        <v>98</v>
      </c>
      <c r="F3010" s="17">
        <v>5059</v>
      </c>
      <c r="G3010" s="13">
        <v>2</v>
      </c>
      <c r="H3010" s="17">
        <v>1</v>
      </c>
      <c r="I3010" s="17">
        <v>1</v>
      </c>
      <c r="J3010" s="17">
        <v>66</v>
      </c>
      <c r="K3010" s="10">
        <v>504</v>
      </c>
      <c r="L3010" s="17">
        <v>38</v>
      </c>
      <c r="P3010" s="17">
        <v>2</v>
      </c>
      <c r="Q3010" s="19">
        <v>566</v>
      </c>
      <c r="R3010" s="14">
        <v>200</v>
      </c>
      <c r="S3010" s="19">
        <v>113200</v>
      </c>
      <c r="T3010" s="17">
        <v>1</v>
      </c>
      <c r="U3010" s="17" t="s">
        <v>57</v>
      </c>
      <c r="V3010" s="17" t="s">
        <v>56</v>
      </c>
      <c r="W3010" s="4">
        <v>152</v>
      </c>
      <c r="Y3010" s="4">
        <v>152</v>
      </c>
      <c r="AA3010" s="17">
        <v>21</v>
      </c>
      <c r="AJ3010" s="19">
        <v>0</v>
      </c>
      <c r="AK3010" s="23">
        <v>0</v>
      </c>
      <c r="AM3010" s="19">
        <v>0</v>
      </c>
      <c r="AN3010" s="19">
        <v>113200</v>
      </c>
      <c r="AP3010" s="14">
        <v>113200</v>
      </c>
      <c r="AS3010" s="26">
        <v>2</v>
      </c>
    </row>
    <row r="3011" spans="1:45" ht="63" x14ac:dyDescent="0.2">
      <c r="L3011" s="17">
        <v>24</v>
      </c>
      <c r="Q3011" s="19">
        <v>0</v>
      </c>
      <c r="R3011" s="14">
        <v>200</v>
      </c>
      <c r="S3011" s="19">
        <v>0</v>
      </c>
      <c r="T3011" s="17">
        <v>2</v>
      </c>
      <c r="U3011" s="17" t="s">
        <v>57</v>
      </c>
      <c r="V3011" s="17" t="s">
        <v>56</v>
      </c>
      <c r="W3011" s="4">
        <v>96</v>
      </c>
      <c r="Y3011" s="4">
        <v>96</v>
      </c>
      <c r="AB3011" s="17">
        <v>10</v>
      </c>
      <c r="AJ3011" s="19">
        <v>0</v>
      </c>
      <c r="AK3011" s="23">
        <v>10</v>
      </c>
      <c r="AM3011" s="19">
        <v>0</v>
      </c>
      <c r="AN3011" s="19">
        <v>0</v>
      </c>
      <c r="AP3011" s="14">
        <v>0</v>
      </c>
    </row>
    <row r="3012" spans="1:45" x14ac:dyDescent="0.2">
      <c r="A3012" s="2">
        <v>2572</v>
      </c>
      <c r="B3012" s="13">
        <v>1</v>
      </c>
      <c r="C3012" s="17" t="s">
        <v>69</v>
      </c>
      <c r="E3012" s="17">
        <v>1497</v>
      </c>
      <c r="F3012" s="17">
        <v>2</v>
      </c>
      <c r="G3012" s="13">
        <v>6</v>
      </c>
      <c r="H3012" s="17">
        <v>9</v>
      </c>
      <c r="I3012" s="17">
        <v>3</v>
      </c>
      <c r="J3012" s="17">
        <v>42</v>
      </c>
      <c r="K3012" s="10">
        <v>3942</v>
      </c>
      <c r="P3012" s="17">
        <v>1</v>
      </c>
      <c r="Q3012" s="19">
        <v>3942</v>
      </c>
      <c r="R3012" s="14">
        <v>160</v>
      </c>
      <c r="S3012" s="19">
        <v>630720</v>
      </c>
      <c r="AJ3012" s="19">
        <v>0</v>
      </c>
      <c r="AK3012" s="23">
        <v>0</v>
      </c>
      <c r="AM3012" s="19">
        <v>0</v>
      </c>
      <c r="AN3012" s="19">
        <v>630720</v>
      </c>
      <c r="AP3012" s="14">
        <v>630720</v>
      </c>
      <c r="AQ3012" s="12">
        <v>1E-4</v>
      </c>
    </row>
    <row r="3013" spans="1:45" x14ac:dyDescent="0.2">
      <c r="A3013" s="2">
        <v>2573</v>
      </c>
      <c r="B3013" s="13">
        <v>1</v>
      </c>
      <c r="C3013" s="17" t="s">
        <v>52</v>
      </c>
      <c r="D3013" s="17">
        <v>1644</v>
      </c>
      <c r="E3013" s="17">
        <v>20</v>
      </c>
      <c r="F3013" s="17">
        <v>1443</v>
      </c>
      <c r="G3013" s="13">
        <v>3</v>
      </c>
      <c r="H3013" s="17">
        <v>17</v>
      </c>
      <c r="I3013" s="17">
        <v>0</v>
      </c>
      <c r="J3013" s="17">
        <v>89</v>
      </c>
      <c r="K3013" s="10">
        <v>6889</v>
      </c>
      <c r="P3013" s="17">
        <v>1</v>
      </c>
      <c r="Q3013" s="19">
        <v>6889</v>
      </c>
      <c r="R3013" s="14">
        <v>160</v>
      </c>
      <c r="S3013" s="19">
        <v>1102240</v>
      </c>
      <c r="AJ3013" s="19">
        <v>0</v>
      </c>
      <c r="AK3013" s="23">
        <v>0</v>
      </c>
      <c r="AM3013" s="19">
        <v>0</v>
      </c>
      <c r="AN3013" s="19">
        <v>1102240</v>
      </c>
      <c r="AP3013" s="14">
        <v>1102240</v>
      </c>
    </row>
    <row r="3014" spans="1:45" ht="63" x14ac:dyDescent="0.2">
      <c r="A3014" s="2">
        <v>2574</v>
      </c>
      <c r="B3014" s="13">
        <v>1</v>
      </c>
      <c r="C3014" s="17" t="s">
        <v>52</v>
      </c>
      <c r="D3014" s="17">
        <v>16043</v>
      </c>
      <c r="E3014" s="17">
        <v>135</v>
      </c>
      <c r="F3014" s="17">
        <v>3521</v>
      </c>
      <c r="G3014" s="13">
        <v>3</v>
      </c>
      <c r="H3014" s="17">
        <v>0</v>
      </c>
      <c r="I3014" s="17">
        <v>2</v>
      </c>
      <c r="J3014" s="17">
        <v>7</v>
      </c>
      <c r="L3014" s="17">
        <v>207</v>
      </c>
      <c r="P3014" s="17">
        <v>2</v>
      </c>
      <c r="Q3014" s="19">
        <v>207</v>
      </c>
      <c r="R3014" s="14">
        <v>160</v>
      </c>
      <c r="S3014" s="19">
        <v>33120</v>
      </c>
      <c r="U3014" s="17" t="s">
        <v>57</v>
      </c>
      <c r="V3014" s="17" t="s">
        <v>56</v>
      </c>
      <c r="Y3014" s="4" t="s">
        <v>260</v>
      </c>
      <c r="AB3014" s="17">
        <v>10</v>
      </c>
      <c r="AJ3014" s="19">
        <v>0</v>
      </c>
      <c r="AK3014" s="23">
        <v>10</v>
      </c>
      <c r="AM3014" s="19">
        <v>0</v>
      </c>
      <c r="AN3014" s="19">
        <v>33120</v>
      </c>
      <c r="AP3014" s="14">
        <v>33120</v>
      </c>
    </row>
    <row r="3015" spans="1:45" x14ac:dyDescent="0.2">
      <c r="A3015" s="2">
        <v>2575</v>
      </c>
      <c r="B3015" s="13">
        <v>2</v>
      </c>
      <c r="C3015" s="17" t="s">
        <v>52</v>
      </c>
      <c r="D3015" s="17">
        <v>34103</v>
      </c>
      <c r="E3015" s="17">
        <v>149</v>
      </c>
      <c r="F3015" s="17">
        <v>6772</v>
      </c>
      <c r="G3015" s="13">
        <v>3</v>
      </c>
      <c r="H3015" s="17">
        <v>0</v>
      </c>
      <c r="I3015" s="17">
        <v>2</v>
      </c>
      <c r="J3015" s="17">
        <v>1.06</v>
      </c>
      <c r="K3015" s="10">
        <v>201.06</v>
      </c>
      <c r="P3015" s="17">
        <v>1</v>
      </c>
      <c r="Q3015" s="19">
        <v>201.06</v>
      </c>
      <c r="R3015" s="14">
        <v>160</v>
      </c>
      <c r="S3015" s="19">
        <v>32169.599999999999</v>
      </c>
      <c r="AJ3015" s="19">
        <v>0</v>
      </c>
      <c r="AK3015" s="23">
        <v>0</v>
      </c>
      <c r="AM3015" s="19">
        <v>0</v>
      </c>
      <c r="AN3015" s="19">
        <v>32169.599999999999</v>
      </c>
      <c r="AP3015" s="14">
        <v>32169.599999999999</v>
      </c>
    </row>
    <row r="3016" spans="1:45" x14ac:dyDescent="0.2">
      <c r="A3016" s="2">
        <v>2576</v>
      </c>
      <c r="B3016" s="13">
        <v>1</v>
      </c>
      <c r="C3016" s="17" t="s">
        <v>52</v>
      </c>
      <c r="D3016" s="17">
        <v>416</v>
      </c>
      <c r="E3016" s="17">
        <v>507</v>
      </c>
      <c r="F3016" s="17">
        <v>22</v>
      </c>
      <c r="G3016" s="13">
        <v>2</v>
      </c>
      <c r="H3016" s="17">
        <v>0</v>
      </c>
      <c r="I3016" s="17">
        <v>0</v>
      </c>
      <c r="J3016" s="17">
        <v>64.040000000000006</v>
      </c>
      <c r="L3016" s="17">
        <v>64.040000000000006</v>
      </c>
      <c r="P3016" s="17">
        <v>5</v>
      </c>
      <c r="Q3016" s="19">
        <v>64.040000000000006</v>
      </c>
      <c r="R3016" s="14">
        <v>4500</v>
      </c>
      <c r="S3016" s="19">
        <v>288180</v>
      </c>
      <c r="T3016" s="17">
        <v>1</v>
      </c>
      <c r="AF3016" s="14">
        <v>66.67</v>
      </c>
    </row>
    <row r="3017" spans="1:45" ht="63" x14ac:dyDescent="0.2">
      <c r="U3017" s="17" t="s">
        <v>87</v>
      </c>
      <c r="V3017" s="17" t="s">
        <v>56</v>
      </c>
      <c r="W3017" s="4">
        <v>135</v>
      </c>
      <c r="Y3017" s="4" t="s">
        <v>261</v>
      </c>
      <c r="AB3017" s="17">
        <v>42</v>
      </c>
      <c r="AE3017" s="17">
        <v>135</v>
      </c>
      <c r="AF3017" s="14">
        <v>3</v>
      </c>
      <c r="AG3017" s="54">
        <v>82.5</v>
      </c>
      <c r="AH3017" s="11">
        <v>1</v>
      </c>
      <c r="AI3017" s="14">
        <v>8100</v>
      </c>
      <c r="AJ3017" s="19">
        <v>668250</v>
      </c>
      <c r="AK3017" s="23">
        <v>42</v>
      </c>
      <c r="AL3017" s="11">
        <v>0.76</v>
      </c>
      <c r="AM3017" s="19">
        <v>160380</v>
      </c>
      <c r="AN3017" s="19">
        <v>304470</v>
      </c>
      <c r="AP3017" s="14">
        <v>304470</v>
      </c>
      <c r="AQ3017" s="12">
        <v>3.0000000000000001E-3</v>
      </c>
    </row>
    <row r="3018" spans="1:45" ht="63" x14ac:dyDescent="0.2">
      <c r="U3018" s="17" t="s">
        <v>87</v>
      </c>
      <c r="V3018" s="17" t="s">
        <v>56</v>
      </c>
      <c r="W3018" s="4">
        <v>82.5</v>
      </c>
      <c r="Y3018" s="4">
        <v>82.5</v>
      </c>
      <c r="AB3018" s="17">
        <v>42</v>
      </c>
      <c r="AE3018" s="17">
        <v>67.5</v>
      </c>
      <c r="AF3018" s="14">
        <v>2</v>
      </c>
      <c r="AG3018" s="54">
        <v>82.5</v>
      </c>
      <c r="AH3018" s="11">
        <v>0.66669999999999996</v>
      </c>
      <c r="AI3018" s="14">
        <v>8100</v>
      </c>
      <c r="AJ3018" s="19">
        <v>445522.27499999997</v>
      </c>
      <c r="AK3018" s="23">
        <v>42</v>
      </c>
      <c r="AL3018" s="11">
        <v>0.76</v>
      </c>
      <c r="AM3018" s="19">
        <v>106925.34599999996</v>
      </c>
      <c r="AN3018" s="19">
        <v>202990.14899999998</v>
      </c>
      <c r="AP3018" s="14">
        <v>202990.14899999998</v>
      </c>
      <c r="AQ3018" s="12">
        <v>2.0000000000000001E-4</v>
      </c>
    </row>
    <row r="3019" spans="1:45" x14ac:dyDescent="0.2">
      <c r="AF3019" s="14">
        <v>3</v>
      </c>
      <c r="AG3019" s="54">
        <v>82.5</v>
      </c>
      <c r="AH3019" s="11">
        <v>0.33329999999999999</v>
      </c>
      <c r="AI3019" s="14">
        <v>8100</v>
      </c>
      <c r="AJ3019" s="19">
        <v>222727.72499999998</v>
      </c>
      <c r="AK3019" s="23">
        <v>42</v>
      </c>
      <c r="AL3019" s="11">
        <v>0.76</v>
      </c>
      <c r="AM3019" s="19">
        <v>53454.65399999998</v>
      </c>
      <c r="AN3019" s="19">
        <v>101479.85099999998</v>
      </c>
      <c r="AP3019" s="14">
        <v>101479.85099999998</v>
      </c>
      <c r="AQ3019" s="12">
        <v>3.0000000000000001E-3</v>
      </c>
    </row>
    <row r="3020" spans="1:45" x14ac:dyDescent="0.2">
      <c r="A3020" s="2">
        <v>2577</v>
      </c>
      <c r="B3020" s="13">
        <v>2</v>
      </c>
      <c r="C3020" s="17" t="s">
        <v>65</v>
      </c>
      <c r="D3020" s="17">
        <v>1940</v>
      </c>
      <c r="E3020" s="17">
        <v>121</v>
      </c>
      <c r="H3020" s="17">
        <v>2</v>
      </c>
      <c r="I3020" s="17">
        <v>1</v>
      </c>
      <c r="J3020" s="17">
        <v>30</v>
      </c>
      <c r="K3020" s="10">
        <v>930</v>
      </c>
      <c r="P3020" s="17">
        <v>1</v>
      </c>
      <c r="Q3020" s="19">
        <v>930</v>
      </c>
      <c r="R3020" s="14">
        <v>1000</v>
      </c>
      <c r="S3020" s="19">
        <v>930000</v>
      </c>
      <c r="AJ3020" s="19">
        <v>0</v>
      </c>
      <c r="AK3020" s="23">
        <v>0</v>
      </c>
      <c r="AM3020" s="19">
        <v>0</v>
      </c>
      <c r="AN3020" s="19">
        <v>930000</v>
      </c>
      <c r="AP3020" s="14">
        <v>930000</v>
      </c>
      <c r="AQ3020" s="12">
        <v>1E-4</v>
      </c>
    </row>
    <row r="3021" spans="1:45" x14ac:dyDescent="0.2">
      <c r="A3021" s="2">
        <v>2578</v>
      </c>
      <c r="B3021" s="13">
        <v>3</v>
      </c>
      <c r="C3021" s="17" t="s">
        <v>65</v>
      </c>
      <c r="D3021" s="17">
        <v>1941</v>
      </c>
      <c r="E3021" s="17">
        <v>122</v>
      </c>
      <c r="H3021" s="17">
        <v>2</v>
      </c>
      <c r="I3021" s="17">
        <v>3</v>
      </c>
      <c r="J3021" s="17">
        <v>20</v>
      </c>
      <c r="K3021" s="10">
        <v>1120</v>
      </c>
      <c r="P3021" s="17">
        <v>1</v>
      </c>
      <c r="Q3021" s="19">
        <v>1120</v>
      </c>
      <c r="R3021" s="14">
        <v>1000</v>
      </c>
      <c r="S3021" s="19">
        <v>1120000</v>
      </c>
      <c r="AJ3021" s="19">
        <v>0</v>
      </c>
      <c r="AK3021" s="23">
        <v>0</v>
      </c>
      <c r="AM3021" s="19">
        <v>0</v>
      </c>
      <c r="AN3021" s="19">
        <v>1120000</v>
      </c>
      <c r="AP3021" s="14">
        <v>1120000</v>
      </c>
      <c r="AQ3021" s="12">
        <v>1E-4</v>
      </c>
    </row>
    <row r="3022" spans="1:45" x14ac:dyDescent="0.2">
      <c r="A3022" s="2">
        <v>2579</v>
      </c>
      <c r="B3022" s="13">
        <v>4</v>
      </c>
      <c r="C3022" s="17" t="s">
        <v>65</v>
      </c>
      <c r="D3022" s="17">
        <v>2036</v>
      </c>
      <c r="E3022" s="17">
        <v>161</v>
      </c>
      <c r="H3022" s="17">
        <v>7</v>
      </c>
      <c r="I3022" s="17">
        <v>0</v>
      </c>
      <c r="J3022" s="17">
        <v>53</v>
      </c>
      <c r="K3022" s="10">
        <v>2853</v>
      </c>
      <c r="P3022" s="17">
        <v>1</v>
      </c>
      <c r="Q3022" s="19">
        <v>2853</v>
      </c>
      <c r="R3022" s="14">
        <v>160</v>
      </c>
      <c r="S3022" s="19">
        <v>456480</v>
      </c>
      <c r="AJ3022" s="19">
        <v>0</v>
      </c>
      <c r="AK3022" s="23">
        <v>0</v>
      </c>
      <c r="AM3022" s="19">
        <v>0</v>
      </c>
      <c r="AN3022" s="19">
        <v>456480</v>
      </c>
      <c r="AP3022" s="14">
        <v>456480</v>
      </c>
      <c r="AQ3022" s="12">
        <v>1E-4</v>
      </c>
    </row>
    <row r="3023" spans="1:45" x14ac:dyDescent="0.2">
      <c r="A3023" s="2">
        <v>2580</v>
      </c>
      <c r="B3023" s="13">
        <v>5</v>
      </c>
      <c r="C3023" s="17" t="s">
        <v>65</v>
      </c>
      <c r="D3023" s="17">
        <v>3584</v>
      </c>
      <c r="E3023" s="17">
        <v>644</v>
      </c>
      <c r="H3023" s="17">
        <v>0</v>
      </c>
      <c r="I3023" s="17">
        <v>0</v>
      </c>
      <c r="J3023" s="17">
        <v>17</v>
      </c>
      <c r="N3023" s="18">
        <v>17</v>
      </c>
      <c r="P3023" s="17">
        <v>4</v>
      </c>
      <c r="Q3023" s="19">
        <v>17</v>
      </c>
      <c r="R3023" s="14">
        <v>160</v>
      </c>
      <c r="S3023" s="19">
        <v>2720</v>
      </c>
      <c r="AJ3023" s="19">
        <v>0</v>
      </c>
      <c r="AK3023" s="23">
        <v>0</v>
      </c>
      <c r="AM3023" s="19">
        <v>0</v>
      </c>
      <c r="AN3023" s="19">
        <v>2720</v>
      </c>
      <c r="AP3023" s="14">
        <v>2720</v>
      </c>
      <c r="AQ3023" s="12">
        <v>3.0000000000000001E-3</v>
      </c>
    </row>
    <row r="3025" spans="1:45" s="19" customFormat="1" x14ac:dyDescent="0.2">
      <c r="A3025" s="2">
        <v>2581</v>
      </c>
      <c r="B3025" s="13">
        <v>1</v>
      </c>
      <c r="C3025" s="17" t="s">
        <v>65</v>
      </c>
      <c r="D3025" s="17">
        <v>745</v>
      </c>
      <c r="E3025" s="17">
        <v>18</v>
      </c>
      <c r="F3025" s="17"/>
      <c r="G3025" s="13"/>
      <c r="H3025" s="17">
        <v>31</v>
      </c>
      <c r="I3025" s="17">
        <v>3</v>
      </c>
      <c r="J3025" s="17">
        <v>72</v>
      </c>
      <c r="K3025" s="10">
        <v>12737</v>
      </c>
      <c r="L3025" s="17">
        <v>17.5</v>
      </c>
      <c r="M3025" s="15"/>
      <c r="N3025" s="18"/>
      <c r="O3025" s="14"/>
      <c r="P3025" s="17">
        <v>5</v>
      </c>
      <c r="Q3025" s="19">
        <v>12772</v>
      </c>
      <c r="R3025" s="14">
        <v>160</v>
      </c>
      <c r="S3025" s="19">
        <v>2043520</v>
      </c>
      <c r="T3025" s="17"/>
      <c r="U3025" s="17"/>
      <c r="V3025" s="17"/>
      <c r="W3025" s="4"/>
      <c r="X3025" s="17"/>
      <c r="Y3025" s="4"/>
      <c r="Z3025" s="17"/>
      <c r="AA3025" s="17"/>
      <c r="AB3025" s="17"/>
      <c r="AC3025" s="14"/>
      <c r="AD3025" s="14"/>
      <c r="AE3025" s="17"/>
      <c r="AF3025" s="14"/>
      <c r="AG3025" s="54"/>
      <c r="AH3025" s="11"/>
      <c r="AI3025" s="14"/>
      <c r="AK3025" s="23"/>
      <c r="AL3025" s="11"/>
      <c r="AO3025" s="14"/>
      <c r="AP3025" s="14"/>
      <c r="AQ3025" s="12"/>
      <c r="AS3025" s="26"/>
    </row>
    <row r="3026" spans="1:45" s="19" customFormat="1" x14ac:dyDescent="0.2">
      <c r="A3026" s="2"/>
      <c r="B3026" s="13"/>
      <c r="C3026" s="17"/>
      <c r="D3026" s="17"/>
      <c r="E3026" s="17"/>
      <c r="F3026" s="17"/>
      <c r="G3026" s="13"/>
      <c r="H3026" s="17"/>
      <c r="I3026" s="17"/>
      <c r="J3026" s="17"/>
      <c r="K3026" s="10"/>
      <c r="L3026" s="17"/>
      <c r="M3026" s="15"/>
      <c r="N3026" s="18"/>
      <c r="O3026" s="14"/>
      <c r="P3026" s="17">
        <v>1</v>
      </c>
      <c r="Q3026" s="19">
        <v>12737</v>
      </c>
      <c r="R3026" s="14">
        <v>160</v>
      </c>
      <c r="S3026" s="19">
        <v>2037920</v>
      </c>
      <c r="T3026" s="17"/>
      <c r="U3026" s="17"/>
      <c r="V3026" s="17"/>
      <c r="W3026" s="4"/>
      <c r="X3026" s="17"/>
      <c r="Y3026" s="4"/>
      <c r="Z3026" s="17"/>
      <c r="AA3026" s="17"/>
      <c r="AB3026" s="17"/>
      <c r="AC3026" s="14"/>
      <c r="AD3026" s="14"/>
      <c r="AE3026" s="17"/>
      <c r="AF3026" s="14"/>
      <c r="AG3026" s="54"/>
      <c r="AH3026" s="11"/>
      <c r="AI3026" s="14"/>
      <c r="AJ3026" s="19">
        <v>0</v>
      </c>
      <c r="AK3026" s="23">
        <v>0</v>
      </c>
      <c r="AL3026" s="11"/>
      <c r="AM3026" s="19">
        <v>0</v>
      </c>
      <c r="AN3026" s="19">
        <v>2037920</v>
      </c>
      <c r="AO3026" s="14"/>
      <c r="AP3026" s="14">
        <v>2037920</v>
      </c>
      <c r="AQ3026" s="12">
        <v>1E-4</v>
      </c>
      <c r="AS3026" s="26"/>
    </row>
    <row r="3027" spans="1:45" s="19" customFormat="1" x14ac:dyDescent="0.2">
      <c r="A3027" s="2"/>
      <c r="B3027" s="13"/>
      <c r="C3027" s="17"/>
      <c r="D3027" s="17"/>
      <c r="E3027" s="17"/>
      <c r="F3027" s="17"/>
      <c r="G3027" s="13"/>
      <c r="H3027" s="17"/>
      <c r="I3027" s="17"/>
      <c r="J3027" s="17"/>
      <c r="K3027" s="10"/>
      <c r="L3027" s="17"/>
      <c r="M3027" s="15"/>
      <c r="N3027" s="18"/>
      <c r="O3027" s="14"/>
      <c r="P3027" s="17">
        <v>2</v>
      </c>
      <c r="Q3027" s="19">
        <v>35</v>
      </c>
      <c r="R3027" s="14">
        <v>160</v>
      </c>
      <c r="S3027" s="19">
        <v>5600</v>
      </c>
      <c r="T3027" s="17"/>
      <c r="U3027" s="17"/>
      <c r="V3027" s="17"/>
      <c r="W3027" s="4"/>
      <c r="X3027" s="17"/>
      <c r="Y3027" s="4"/>
      <c r="Z3027" s="17"/>
      <c r="AA3027" s="17"/>
      <c r="AB3027" s="17"/>
      <c r="AC3027" s="14"/>
      <c r="AD3027" s="14"/>
      <c r="AE3027" s="17">
        <v>35</v>
      </c>
      <c r="AF3027" s="14"/>
      <c r="AG3027" s="54"/>
      <c r="AH3027" s="11"/>
      <c r="AI3027" s="14"/>
      <c r="AJ3027" s="19">
        <v>0</v>
      </c>
      <c r="AK3027" s="23">
        <v>0</v>
      </c>
      <c r="AL3027" s="11"/>
      <c r="AM3027" s="19">
        <v>0</v>
      </c>
      <c r="AN3027" s="19">
        <v>5600</v>
      </c>
      <c r="AO3027" s="14"/>
      <c r="AP3027" s="14">
        <v>5600</v>
      </c>
      <c r="AQ3027" s="12">
        <v>2.0000000000000001E-4</v>
      </c>
      <c r="AS3027" s="26"/>
    </row>
    <row r="3028" spans="1:45" s="19" customFormat="1" ht="63" x14ac:dyDescent="0.2">
      <c r="A3028" s="2"/>
      <c r="B3028" s="13"/>
      <c r="C3028" s="17"/>
      <c r="D3028" s="17"/>
      <c r="E3028" s="17"/>
      <c r="F3028" s="17"/>
      <c r="G3028" s="13"/>
      <c r="H3028" s="17"/>
      <c r="I3028" s="17"/>
      <c r="J3028" s="17"/>
      <c r="K3028" s="10"/>
      <c r="L3028" s="17"/>
      <c r="M3028" s="15"/>
      <c r="N3028" s="18"/>
      <c r="O3028" s="14"/>
      <c r="P3028" s="17"/>
      <c r="R3028" s="14"/>
      <c r="T3028" s="17">
        <v>1</v>
      </c>
      <c r="U3028" s="17" t="s">
        <v>57</v>
      </c>
      <c r="V3028" s="17" t="s">
        <v>56</v>
      </c>
      <c r="W3028" s="4">
        <v>70</v>
      </c>
      <c r="X3028" s="17"/>
      <c r="Y3028" s="4">
        <v>70</v>
      </c>
      <c r="Z3028" s="17"/>
      <c r="AA3028" s="17"/>
      <c r="AB3028" s="17">
        <v>31</v>
      </c>
      <c r="AC3028" s="14"/>
      <c r="AD3028" s="14"/>
      <c r="AE3028" s="17" t="s">
        <v>262</v>
      </c>
      <c r="AF3028" s="14"/>
      <c r="AG3028" s="54"/>
      <c r="AH3028" s="11"/>
      <c r="AI3028" s="14"/>
      <c r="AJ3028" s="19">
        <v>0</v>
      </c>
      <c r="AK3028" s="23">
        <v>31</v>
      </c>
      <c r="AL3028" s="11"/>
      <c r="AM3028" s="19">
        <v>0</v>
      </c>
      <c r="AN3028" s="19">
        <v>0</v>
      </c>
      <c r="AO3028" s="14"/>
      <c r="AP3028" s="14">
        <v>0</v>
      </c>
      <c r="AQ3028" s="12">
        <v>1E-4</v>
      </c>
      <c r="AS3028" s="26"/>
    </row>
    <row r="3029" spans="1:45" s="19" customFormat="1" ht="63" x14ac:dyDescent="0.2">
      <c r="A3029" s="2"/>
      <c r="B3029" s="13"/>
      <c r="C3029" s="17"/>
      <c r="D3029" s="17"/>
      <c r="E3029" s="17"/>
      <c r="F3029" s="17"/>
      <c r="G3029" s="13"/>
      <c r="H3029" s="17"/>
      <c r="I3029" s="17"/>
      <c r="J3029" s="17"/>
      <c r="K3029" s="10"/>
      <c r="L3029" s="17">
        <v>17.5</v>
      </c>
      <c r="M3029" s="15"/>
      <c r="N3029" s="18"/>
      <c r="O3029" s="14"/>
      <c r="P3029" s="17"/>
      <c r="Q3029" s="19">
        <v>0</v>
      </c>
      <c r="R3029" s="14" t="e">
        <v>#N/A</v>
      </c>
      <c r="S3029" s="19" t="e">
        <v>#N/A</v>
      </c>
      <c r="T3029" s="17">
        <v>2</v>
      </c>
      <c r="U3029" s="17" t="s">
        <v>57</v>
      </c>
      <c r="V3029" s="17" t="s">
        <v>56</v>
      </c>
      <c r="W3029" s="4">
        <v>70</v>
      </c>
      <c r="X3029" s="17"/>
      <c r="Y3029" s="4">
        <v>70</v>
      </c>
      <c r="Z3029" s="17"/>
      <c r="AA3029" s="17"/>
      <c r="AB3029" s="17">
        <v>21</v>
      </c>
      <c r="AC3029" s="14"/>
      <c r="AD3029" s="14"/>
      <c r="AE3029" s="17"/>
      <c r="AF3029" s="14"/>
      <c r="AG3029" s="54"/>
      <c r="AH3029" s="11"/>
      <c r="AI3029" s="14"/>
      <c r="AJ3029" s="19">
        <v>0</v>
      </c>
      <c r="AK3029" s="23">
        <v>21</v>
      </c>
      <c r="AL3029" s="11"/>
      <c r="AM3029" s="19">
        <v>0</v>
      </c>
      <c r="AN3029" s="19" t="e">
        <v>#N/A</v>
      </c>
      <c r="AO3029" s="14"/>
      <c r="AP3029" s="14" t="e">
        <v>#N/A</v>
      </c>
      <c r="AQ3029" s="12"/>
      <c r="AS3029" s="26"/>
    </row>
    <row r="3030" spans="1:45" s="19" customFormat="1" ht="63" x14ac:dyDescent="0.2">
      <c r="A3030" s="2">
        <v>2582</v>
      </c>
      <c r="B3030" s="13">
        <v>1</v>
      </c>
      <c r="C3030" s="17" t="s">
        <v>52</v>
      </c>
      <c r="D3030" s="17">
        <v>30941</v>
      </c>
      <c r="E3030" s="17">
        <v>123</v>
      </c>
      <c r="F3030" s="17">
        <v>5893</v>
      </c>
      <c r="G3030" s="13">
        <v>2</v>
      </c>
      <c r="H3030" s="17">
        <v>0</v>
      </c>
      <c r="I3030" s="17">
        <v>3</v>
      </c>
      <c r="J3030" s="17">
        <v>51.06</v>
      </c>
      <c r="K3030" s="10"/>
      <c r="L3030" s="17">
        <v>51.06</v>
      </c>
      <c r="M3030" s="15"/>
      <c r="N3030" s="18"/>
      <c r="O3030" s="14"/>
      <c r="P3030" s="17">
        <v>2</v>
      </c>
      <c r="Q3030" s="19">
        <v>351.06</v>
      </c>
      <c r="R3030" s="14">
        <v>160</v>
      </c>
      <c r="S3030" s="19">
        <v>56169.599999999999</v>
      </c>
      <c r="T3030" s="17">
        <v>1</v>
      </c>
      <c r="U3030" s="17" t="s">
        <v>57</v>
      </c>
      <c r="V3030" s="17" t="s">
        <v>56</v>
      </c>
      <c r="W3030" s="4">
        <v>225</v>
      </c>
      <c r="X3030" s="17"/>
      <c r="Y3030" s="4">
        <v>225</v>
      </c>
      <c r="Z3030" s="17"/>
      <c r="AA3030" s="17"/>
      <c r="AB3030" s="17">
        <v>29</v>
      </c>
      <c r="AC3030" s="14"/>
      <c r="AD3030" s="14"/>
      <c r="AE3030" s="17"/>
      <c r="AF3030" s="14"/>
      <c r="AG3030" s="54"/>
      <c r="AH3030" s="11"/>
      <c r="AI3030" s="14"/>
      <c r="AJ3030" s="19">
        <v>0</v>
      </c>
      <c r="AK3030" s="23">
        <v>29</v>
      </c>
      <c r="AL3030" s="11"/>
      <c r="AM3030" s="19">
        <v>0</v>
      </c>
      <c r="AN3030" s="19">
        <v>56169.599999999999</v>
      </c>
      <c r="AO3030" s="14"/>
      <c r="AP3030" s="14">
        <v>56169.599999999999</v>
      </c>
      <c r="AQ3030" s="12"/>
      <c r="AS3030" s="26"/>
    </row>
    <row r="3031" spans="1:45" s="19" customFormat="1" x14ac:dyDescent="0.2">
      <c r="A3031" s="2">
        <v>2583</v>
      </c>
      <c r="B3031" s="13">
        <v>1</v>
      </c>
      <c r="C3031" s="17" t="s">
        <v>65</v>
      </c>
      <c r="D3031" s="17">
        <v>814</v>
      </c>
      <c r="E3031" s="17">
        <v>35</v>
      </c>
      <c r="F3031" s="17"/>
      <c r="G3031" s="13"/>
      <c r="H3031" s="17">
        <v>1</v>
      </c>
      <c r="I3031" s="17">
        <v>3</v>
      </c>
      <c r="J3031" s="17">
        <v>23</v>
      </c>
      <c r="K3031" s="10">
        <v>723</v>
      </c>
      <c r="L3031" s="17"/>
      <c r="M3031" s="15"/>
      <c r="N3031" s="18"/>
      <c r="O3031" s="14"/>
      <c r="P3031" s="17"/>
      <c r="Q3031" s="19">
        <v>723</v>
      </c>
      <c r="R3031" s="14">
        <v>160</v>
      </c>
      <c r="S3031" s="19">
        <v>115680</v>
      </c>
      <c r="T3031" s="17"/>
      <c r="U3031" s="17"/>
      <c r="V3031" s="17"/>
      <c r="W3031" s="4"/>
      <c r="X3031" s="17"/>
      <c r="Y3031" s="4"/>
      <c r="Z3031" s="17"/>
      <c r="AA3031" s="17"/>
      <c r="AB3031" s="17"/>
      <c r="AC3031" s="14"/>
      <c r="AD3031" s="14"/>
      <c r="AE3031" s="17" t="s">
        <v>94</v>
      </c>
      <c r="AF3031" s="14"/>
      <c r="AG3031" s="54"/>
      <c r="AH3031" s="11"/>
      <c r="AI3031" s="14"/>
      <c r="AJ3031" s="19">
        <v>0</v>
      </c>
      <c r="AK3031" s="23">
        <v>0</v>
      </c>
      <c r="AL3031" s="11"/>
      <c r="AM3031" s="19">
        <v>0</v>
      </c>
      <c r="AN3031" s="19">
        <v>115680</v>
      </c>
      <c r="AO3031" s="14"/>
      <c r="AP3031" s="14">
        <v>115680</v>
      </c>
      <c r="AQ3031" s="12">
        <v>1E-4</v>
      </c>
      <c r="AS3031" s="26"/>
    </row>
    <row r="3032" spans="1:45" s="19" customFormat="1" x14ac:dyDescent="0.2">
      <c r="A3032" s="2">
        <v>2584</v>
      </c>
      <c r="B3032" s="13">
        <v>1</v>
      </c>
      <c r="C3032" s="17" t="s">
        <v>52</v>
      </c>
      <c r="D3032" s="17">
        <v>31906</v>
      </c>
      <c r="E3032" s="17">
        <v>253</v>
      </c>
      <c r="F3032" s="17">
        <v>6133</v>
      </c>
      <c r="G3032" s="13">
        <v>2</v>
      </c>
      <c r="H3032" s="17">
        <v>4</v>
      </c>
      <c r="I3032" s="17">
        <v>1</v>
      </c>
      <c r="J3032" s="17">
        <v>75.040000000000006</v>
      </c>
      <c r="K3032" s="10">
        <v>1775.04</v>
      </c>
      <c r="L3032" s="17"/>
      <c r="M3032" s="15"/>
      <c r="N3032" s="18"/>
      <c r="O3032" s="14"/>
      <c r="P3032" s="17">
        <v>1</v>
      </c>
      <c r="Q3032" s="19">
        <v>1775.04</v>
      </c>
      <c r="R3032" s="14">
        <v>160</v>
      </c>
      <c r="S3032" s="19">
        <v>284006.40000000002</v>
      </c>
      <c r="T3032" s="17"/>
      <c r="U3032" s="17"/>
      <c r="V3032" s="17"/>
      <c r="W3032" s="4"/>
      <c r="X3032" s="17"/>
      <c r="Y3032" s="4"/>
      <c r="Z3032" s="17"/>
      <c r="AA3032" s="17"/>
      <c r="AB3032" s="17"/>
      <c r="AC3032" s="14"/>
      <c r="AD3032" s="14"/>
      <c r="AE3032" s="17"/>
      <c r="AF3032" s="14"/>
      <c r="AG3032" s="54"/>
      <c r="AH3032" s="11"/>
      <c r="AI3032" s="14"/>
      <c r="AJ3032" s="19">
        <v>0</v>
      </c>
      <c r="AK3032" s="23">
        <v>0</v>
      </c>
      <c r="AL3032" s="11"/>
      <c r="AM3032" s="19">
        <v>0</v>
      </c>
      <c r="AN3032" s="19">
        <v>284006.40000000002</v>
      </c>
      <c r="AO3032" s="14"/>
      <c r="AP3032" s="14">
        <v>284006.40000000002</v>
      </c>
      <c r="AQ3032" s="12"/>
      <c r="AS3032" s="26"/>
    </row>
    <row r="3033" spans="1:45" s="19" customFormat="1" x14ac:dyDescent="0.2">
      <c r="A3033" s="2"/>
      <c r="B3033" s="13"/>
      <c r="C3033" s="17"/>
      <c r="D3033" s="17"/>
      <c r="E3033" s="17"/>
      <c r="F3033" s="17"/>
      <c r="G3033" s="13"/>
      <c r="H3033" s="17"/>
      <c r="I3033" s="17"/>
      <c r="J3033" s="17"/>
      <c r="K3033" s="10"/>
      <c r="L3033" s="17"/>
      <c r="M3033" s="15"/>
      <c r="N3033" s="18"/>
      <c r="O3033" s="14"/>
      <c r="P3033" s="17"/>
      <c r="R3033" s="14"/>
      <c r="T3033" s="17"/>
      <c r="U3033" s="17"/>
      <c r="V3033" s="17"/>
      <c r="W3033" s="4"/>
      <c r="X3033" s="17"/>
      <c r="Y3033" s="4"/>
      <c r="Z3033" s="17"/>
      <c r="AA3033" s="17"/>
      <c r="AB3033" s="17"/>
      <c r="AC3033" s="14"/>
      <c r="AD3033" s="14"/>
      <c r="AE3033" s="17"/>
      <c r="AF3033" s="14"/>
      <c r="AG3033" s="54"/>
      <c r="AH3033" s="11"/>
      <c r="AI3033" s="14"/>
      <c r="AK3033" s="23"/>
      <c r="AL3033" s="11"/>
      <c r="AO3033" s="14"/>
      <c r="AP3033" s="14"/>
      <c r="AQ3033" s="12"/>
      <c r="AS3033" s="26"/>
    </row>
    <row r="3034" spans="1:45" s="19" customFormat="1" x14ac:dyDescent="0.2">
      <c r="A3034" s="2"/>
      <c r="B3034" s="13"/>
      <c r="C3034" s="17"/>
      <c r="D3034" s="17"/>
      <c r="E3034" s="17"/>
      <c r="F3034" s="17"/>
      <c r="G3034" s="13"/>
      <c r="H3034" s="17"/>
      <c r="I3034" s="17"/>
      <c r="J3034" s="17"/>
      <c r="K3034" s="10"/>
      <c r="L3034" s="17"/>
      <c r="M3034" s="15"/>
      <c r="N3034" s="18"/>
      <c r="O3034" s="14"/>
      <c r="P3034" s="17"/>
      <c r="R3034" s="14"/>
      <c r="T3034" s="17"/>
      <c r="U3034" s="17"/>
      <c r="V3034" s="17"/>
      <c r="W3034" s="4"/>
      <c r="X3034" s="17"/>
      <c r="Y3034" s="4"/>
      <c r="Z3034" s="17"/>
      <c r="AA3034" s="17"/>
      <c r="AB3034" s="17"/>
      <c r="AC3034" s="14"/>
      <c r="AD3034" s="14"/>
      <c r="AE3034" s="17"/>
      <c r="AF3034" s="14"/>
      <c r="AG3034" s="54"/>
      <c r="AH3034" s="11"/>
      <c r="AI3034" s="14"/>
      <c r="AK3034" s="23"/>
      <c r="AL3034" s="11"/>
      <c r="AO3034" s="14"/>
      <c r="AP3034" s="14"/>
      <c r="AQ3034" s="12"/>
      <c r="AS3034" s="26"/>
    </row>
    <row r="3035" spans="1:45" s="19" customFormat="1" x14ac:dyDescent="0.2">
      <c r="A3035" s="2">
        <v>2585</v>
      </c>
      <c r="B3035" s="13">
        <v>1</v>
      </c>
      <c r="C3035" s="17" t="s">
        <v>52</v>
      </c>
      <c r="D3035" s="17">
        <v>14116</v>
      </c>
      <c r="E3035" s="17">
        <v>143</v>
      </c>
      <c r="F3035" s="17">
        <v>3327</v>
      </c>
      <c r="G3035" s="13"/>
      <c r="H3035" s="17">
        <v>3</v>
      </c>
      <c r="I3035" s="17">
        <v>1</v>
      </c>
      <c r="J3035" s="17">
        <v>20</v>
      </c>
      <c r="K3035" s="10">
        <v>1320</v>
      </c>
      <c r="L3035" s="17"/>
      <c r="M3035" s="15"/>
      <c r="N3035" s="18"/>
      <c r="O3035" s="14"/>
      <c r="P3035" s="17">
        <v>1</v>
      </c>
      <c r="Q3035" s="19">
        <v>1320</v>
      </c>
      <c r="R3035" s="14">
        <v>160</v>
      </c>
      <c r="S3035" s="19">
        <v>211200</v>
      </c>
      <c r="T3035" s="17"/>
      <c r="U3035" s="17"/>
      <c r="V3035" s="17"/>
      <c r="W3035" s="4"/>
      <c r="X3035" s="17"/>
      <c r="Y3035" s="4"/>
      <c r="Z3035" s="17"/>
      <c r="AA3035" s="17"/>
      <c r="AB3035" s="17"/>
      <c r="AC3035" s="14"/>
      <c r="AD3035" s="14"/>
      <c r="AE3035" s="17"/>
      <c r="AF3035" s="14"/>
      <c r="AG3035" s="54"/>
      <c r="AH3035" s="11"/>
      <c r="AI3035" s="14"/>
      <c r="AJ3035" s="19">
        <v>0</v>
      </c>
      <c r="AK3035" s="23">
        <v>0</v>
      </c>
      <c r="AL3035" s="11"/>
      <c r="AM3035" s="19">
        <v>0</v>
      </c>
      <c r="AN3035" s="19">
        <v>211200</v>
      </c>
      <c r="AO3035" s="14"/>
      <c r="AP3035" s="14">
        <v>211200</v>
      </c>
      <c r="AQ3035" s="12"/>
      <c r="AS3035" s="26"/>
    </row>
    <row r="3036" spans="1:45" s="19" customFormat="1" x14ac:dyDescent="0.2">
      <c r="A3036" s="2">
        <v>2586</v>
      </c>
      <c r="B3036" s="13">
        <v>1</v>
      </c>
      <c r="C3036" s="17" t="s">
        <v>52</v>
      </c>
      <c r="D3036" s="17">
        <v>30940</v>
      </c>
      <c r="E3036" s="17">
        <v>122</v>
      </c>
      <c r="F3036" s="17">
        <v>5892</v>
      </c>
      <c r="G3036" s="13">
        <v>2</v>
      </c>
      <c r="H3036" s="17">
        <v>0</v>
      </c>
      <c r="I3036" s="17">
        <v>1</v>
      </c>
      <c r="J3036" s="17">
        <v>75.09</v>
      </c>
      <c r="K3036" s="10">
        <v>175.09</v>
      </c>
      <c r="L3036" s="17"/>
      <c r="M3036" s="15"/>
      <c r="N3036" s="18"/>
      <c r="O3036" s="14"/>
      <c r="P3036" s="17">
        <v>1</v>
      </c>
      <c r="Q3036" s="19">
        <v>175.09</v>
      </c>
      <c r="R3036" s="14">
        <v>160</v>
      </c>
      <c r="S3036" s="19">
        <v>28014.400000000001</v>
      </c>
      <c r="T3036" s="17"/>
      <c r="U3036" s="17"/>
      <c r="V3036" s="17"/>
      <c r="W3036" s="4"/>
      <c r="X3036" s="17"/>
      <c r="Y3036" s="4"/>
      <c r="Z3036" s="17"/>
      <c r="AA3036" s="17"/>
      <c r="AB3036" s="17"/>
      <c r="AC3036" s="14"/>
      <c r="AD3036" s="14"/>
      <c r="AE3036" s="17"/>
      <c r="AF3036" s="14"/>
      <c r="AG3036" s="54"/>
      <c r="AH3036" s="11"/>
      <c r="AI3036" s="14"/>
      <c r="AJ3036" s="19">
        <v>0</v>
      </c>
      <c r="AK3036" s="23">
        <v>0</v>
      </c>
      <c r="AL3036" s="11"/>
      <c r="AM3036" s="19">
        <v>0</v>
      </c>
      <c r="AN3036" s="19">
        <v>28014.400000000001</v>
      </c>
      <c r="AO3036" s="14"/>
      <c r="AP3036" s="14">
        <v>28014.400000000001</v>
      </c>
      <c r="AQ3036" s="12"/>
      <c r="AS3036" s="26"/>
    </row>
    <row r="3037" spans="1:45" s="19" customFormat="1" x14ac:dyDescent="0.2">
      <c r="A3037" s="2">
        <v>2587</v>
      </c>
      <c r="B3037" s="13">
        <v>2</v>
      </c>
      <c r="C3037" s="17" t="s">
        <v>52</v>
      </c>
      <c r="D3037" s="17">
        <v>14115</v>
      </c>
      <c r="E3037" s="17">
        <v>142</v>
      </c>
      <c r="F3037" s="17">
        <v>3326</v>
      </c>
      <c r="G3037" s="13"/>
      <c r="H3037" s="17">
        <v>4</v>
      </c>
      <c r="I3037" s="17">
        <v>1</v>
      </c>
      <c r="J3037" s="17">
        <v>4</v>
      </c>
      <c r="K3037" s="10">
        <v>1704</v>
      </c>
      <c r="L3037" s="17"/>
      <c r="M3037" s="15"/>
      <c r="N3037" s="18"/>
      <c r="O3037" s="14"/>
      <c r="P3037" s="17">
        <v>1</v>
      </c>
      <c r="Q3037" s="19">
        <v>1704</v>
      </c>
      <c r="R3037" s="14">
        <v>160</v>
      </c>
      <c r="S3037" s="19">
        <v>272640</v>
      </c>
      <c r="T3037" s="17"/>
      <c r="U3037" s="17"/>
      <c r="V3037" s="17"/>
      <c r="W3037" s="4"/>
      <c r="X3037" s="17"/>
      <c r="Y3037" s="4"/>
      <c r="Z3037" s="17"/>
      <c r="AA3037" s="17"/>
      <c r="AB3037" s="17"/>
      <c r="AC3037" s="14"/>
      <c r="AD3037" s="14"/>
      <c r="AE3037" s="17"/>
      <c r="AF3037" s="14"/>
      <c r="AG3037" s="54"/>
      <c r="AH3037" s="11"/>
      <c r="AI3037" s="14"/>
      <c r="AJ3037" s="19">
        <v>0</v>
      </c>
      <c r="AK3037" s="23">
        <v>0</v>
      </c>
      <c r="AL3037" s="11"/>
      <c r="AM3037" s="19">
        <v>0</v>
      </c>
      <c r="AN3037" s="19">
        <v>272640</v>
      </c>
      <c r="AO3037" s="14"/>
      <c r="AP3037" s="14">
        <v>272640</v>
      </c>
      <c r="AQ3037" s="12"/>
      <c r="AS3037" s="26"/>
    </row>
    <row r="3038" spans="1:45" s="19" customFormat="1" x14ac:dyDescent="0.2">
      <c r="A3038" s="2">
        <v>2588</v>
      </c>
      <c r="B3038" s="13">
        <v>3</v>
      </c>
      <c r="C3038" s="17" t="s">
        <v>52</v>
      </c>
      <c r="D3038" s="17">
        <v>14117</v>
      </c>
      <c r="E3038" s="17">
        <v>144</v>
      </c>
      <c r="F3038" s="17">
        <v>3328</v>
      </c>
      <c r="G3038" s="13"/>
      <c r="H3038" s="17">
        <v>6</v>
      </c>
      <c r="I3038" s="17">
        <v>3</v>
      </c>
      <c r="J3038" s="17">
        <v>47</v>
      </c>
      <c r="K3038" s="10">
        <v>2747</v>
      </c>
      <c r="L3038" s="17"/>
      <c r="M3038" s="15"/>
      <c r="N3038" s="18"/>
      <c r="O3038" s="14"/>
      <c r="P3038" s="17">
        <v>1</v>
      </c>
      <c r="Q3038" s="19">
        <v>2747</v>
      </c>
      <c r="R3038" s="14">
        <v>160</v>
      </c>
      <c r="S3038" s="19">
        <v>439520</v>
      </c>
      <c r="T3038" s="17"/>
      <c r="U3038" s="17"/>
      <c r="V3038" s="17"/>
      <c r="W3038" s="4"/>
      <c r="X3038" s="17"/>
      <c r="Y3038" s="4"/>
      <c r="Z3038" s="17"/>
      <c r="AA3038" s="17"/>
      <c r="AB3038" s="17"/>
      <c r="AC3038" s="14"/>
      <c r="AD3038" s="14"/>
      <c r="AE3038" s="17"/>
      <c r="AF3038" s="14"/>
      <c r="AG3038" s="54"/>
      <c r="AH3038" s="11"/>
      <c r="AI3038" s="14"/>
      <c r="AJ3038" s="19">
        <v>0</v>
      </c>
      <c r="AK3038" s="23">
        <v>0</v>
      </c>
      <c r="AL3038" s="11"/>
      <c r="AM3038" s="19">
        <v>0</v>
      </c>
      <c r="AN3038" s="19">
        <v>439520</v>
      </c>
      <c r="AO3038" s="14"/>
      <c r="AP3038" s="14">
        <v>439520</v>
      </c>
      <c r="AQ3038" s="12"/>
      <c r="AS3038" s="26"/>
    </row>
    <row r="3039" spans="1:45" s="19" customFormat="1" x14ac:dyDescent="0.2">
      <c r="A3039" s="2">
        <v>2589</v>
      </c>
      <c r="B3039" s="13">
        <v>1</v>
      </c>
      <c r="C3039" s="17" t="s">
        <v>52</v>
      </c>
      <c r="D3039" s="17">
        <v>30939</v>
      </c>
      <c r="E3039" s="17">
        <v>121</v>
      </c>
      <c r="F3039" s="17">
        <v>5891</v>
      </c>
      <c r="G3039" s="13">
        <v>2</v>
      </c>
      <c r="H3039" s="17">
        <v>0</v>
      </c>
      <c r="I3039" s="17">
        <v>2</v>
      </c>
      <c r="J3039" s="17">
        <v>48.01</v>
      </c>
      <c r="K3039" s="10"/>
      <c r="L3039" s="17"/>
      <c r="M3039" s="15"/>
      <c r="N3039" s="18"/>
      <c r="O3039" s="14"/>
      <c r="P3039" s="17"/>
      <c r="Q3039" s="19">
        <v>248.01</v>
      </c>
      <c r="R3039" s="14">
        <v>160</v>
      </c>
      <c r="S3039" s="19">
        <v>39681.599999999999</v>
      </c>
      <c r="T3039" s="17"/>
      <c r="U3039" s="17"/>
      <c r="V3039" s="17"/>
      <c r="W3039" s="4"/>
      <c r="X3039" s="17"/>
      <c r="Y3039" s="4"/>
      <c r="Z3039" s="17"/>
      <c r="AA3039" s="17"/>
      <c r="AB3039" s="17"/>
      <c r="AC3039" s="14"/>
      <c r="AD3039" s="14"/>
      <c r="AE3039" s="17"/>
      <c r="AF3039" s="14"/>
      <c r="AG3039" s="54"/>
      <c r="AH3039" s="11"/>
      <c r="AI3039" s="14"/>
      <c r="AJ3039" s="19">
        <v>0</v>
      </c>
      <c r="AK3039" s="23">
        <v>0</v>
      </c>
      <c r="AL3039" s="11"/>
      <c r="AM3039" s="19">
        <v>0</v>
      </c>
      <c r="AN3039" s="19">
        <v>39681.599999999999</v>
      </c>
      <c r="AO3039" s="14"/>
      <c r="AP3039" s="14">
        <v>39681.599999999999</v>
      </c>
      <c r="AQ3039" s="12"/>
      <c r="AS3039" s="26"/>
    </row>
    <row r="3040" spans="1:45" s="19" customFormat="1" x14ac:dyDescent="0.2">
      <c r="A3040" s="2">
        <v>2590</v>
      </c>
      <c r="B3040" s="13">
        <v>2</v>
      </c>
      <c r="C3040" s="17" t="s">
        <v>52</v>
      </c>
      <c r="D3040" s="17">
        <v>30967</v>
      </c>
      <c r="E3040" s="17">
        <v>105</v>
      </c>
      <c r="F3040" s="17">
        <v>5919</v>
      </c>
      <c r="G3040" s="13">
        <v>2</v>
      </c>
      <c r="H3040" s="17">
        <v>1</v>
      </c>
      <c r="I3040" s="17">
        <v>2</v>
      </c>
      <c r="J3040" s="17">
        <v>45.07</v>
      </c>
      <c r="K3040" s="10">
        <v>645.07000000000005</v>
      </c>
      <c r="L3040" s="17"/>
      <c r="M3040" s="15"/>
      <c r="N3040" s="18"/>
      <c r="O3040" s="14"/>
      <c r="P3040" s="17">
        <v>1</v>
      </c>
      <c r="Q3040" s="19">
        <v>645.07000000000005</v>
      </c>
      <c r="R3040" s="14">
        <v>160</v>
      </c>
      <c r="S3040" s="19">
        <v>103211.20000000001</v>
      </c>
      <c r="T3040" s="17"/>
      <c r="U3040" s="17"/>
      <c r="V3040" s="17"/>
      <c r="W3040" s="4"/>
      <c r="X3040" s="17"/>
      <c r="Y3040" s="4"/>
      <c r="Z3040" s="17"/>
      <c r="AA3040" s="17"/>
      <c r="AB3040" s="17"/>
      <c r="AC3040" s="14"/>
      <c r="AD3040" s="14"/>
      <c r="AE3040" s="17"/>
      <c r="AF3040" s="14"/>
      <c r="AG3040" s="54"/>
      <c r="AH3040" s="11"/>
      <c r="AI3040" s="14"/>
      <c r="AJ3040" s="19">
        <v>0</v>
      </c>
      <c r="AK3040" s="23">
        <v>0</v>
      </c>
      <c r="AL3040" s="11"/>
      <c r="AM3040" s="19">
        <v>0</v>
      </c>
      <c r="AN3040" s="19">
        <v>103211.20000000001</v>
      </c>
      <c r="AO3040" s="14"/>
      <c r="AP3040" s="14">
        <v>103211.20000000001</v>
      </c>
      <c r="AQ3040" s="12"/>
      <c r="AS3040" s="26"/>
    </row>
    <row r="3041" spans="1:49" x14ac:dyDescent="0.2">
      <c r="A3041" s="2">
        <v>2591</v>
      </c>
      <c r="B3041" s="13">
        <v>1</v>
      </c>
      <c r="C3041" s="17" t="s">
        <v>52</v>
      </c>
      <c r="D3041" s="17">
        <v>934</v>
      </c>
      <c r="E3041" s="17">
        <v>5</v>
      </c>
      <c r="F3041" s="17">
        <v>323</v>
      </c>
      <c r="G3041" s="13">
        <v>1</v>
      </c>
      <c r="H3041" s="17">
        <v>2</v>
      </c>
      <c r="I3041" s="17">
        <v>3</v>
      </c>
      <c r="J3041" s="17">
        <v>76</v>
      </c>
      <c r="K3041" s="10">
        <v>1176</v>
      </c>
      <c r="P3041" s="17">
        <v>1</v>
      </c>
      <c r="Q3041" s="19">
        <v>1176</v>
      </c>
      <c r="R3041" s="14">
        <v>160</v>
      </c>
      <c r="S3041" s="19">
        <v>188160</v>
      </c>
      <c r="AJ3041" s="19">
        <v>0</v>
      </c>
      <c r="AK3041" s="23">
        <v>0</v>
      </c>
      <c r="AM3041" s="19">
        <v>0</v>
      </c>
      <c r="AN3041" s="19">
        <v>188160</v>
      </c>
      <c r="AP3041" s="14">
        <v>188160</v>
      </c>
    </row>
    <row r="3042" spans="1:49" ht="315" x14ac:dyDescent="0.2">
      <c r="A3042" s="2">
        <v>2592</v>
      </c>
      <c r="B3042" s="13">
        <v>2</v>
      </c>
      <c r="C3042" s="17" t="s">
        <v>52</v>
      </c>
      <c r="D3042" s="17">
        <v>1323</v>
      </c>
      <c r="E3042" s="17">
        <v>4</v>
      </c>
      <c r="F3042" s="17">
        <v>579</v>
      </c>
      <c r="G3042" s="13">
        <v>1</v>
      </c>
      <c r="H3042" s="17">
        <v>0</v>
      </c>
      <c r="I3042" s="17">
        <v>0</v>
      </c>
      <c r="J3042" s="17">
        <v>71</v>
      </c>
      <c r="M3042" s="15" t="s">
        <v>153</v>
      </c>
      <c r="Q3042" s="19">
        <v>71</v>
      </c>
      <c r="R3042" s="14">
        <v>3000</v>
      </c>
      <c r="S3042" s="19">
        <v>213000</v>
      </c>
      <c r="T3042" s="17">
        <v>1</v>
      </c>
      <c r="AC3042" s="14" t="s">
        <v>154</v>
      </c>
      <c r="AF3042" s="14">
        <v>2</v>
      </c>
      <c r="AJ3042" s="19">
        <v>0</v>
      </c>
      <c r="AK3042" s="23">
        <v>0</v>
      </c>
      <c r="AM3042" s="19">
        <v>0</v>
      </c>
      <c r="AN3042" s="19">
        <v>213000</v>
      </c>
      <c r="AP3042" s="14">
        <v>213000</v>
      </c>
    </row>
    <row r="3043" spans="1:49" x14ac:dyDescent="0.2">
      <c r="P3043" s="17">
        <v>3</v>
      </c>
      <c r="Q3043" s="19">
        <v>30</v>
      </c>
      <c r="R3043" s="14">
        <v>3000</v>
      </c>
      <c r="S3043" s="19">
        <v>90000</v>
      </c>
      <c r="AM3043" s="19">
        <v>0</v>
      </c>
      <c r="AN3043" s="19">
        <v>90000</v>
      </c>
      <c r="AP3043" s="14">
        <v>90000</v>
      </c>
      <c r="AQ3043" s="12">
        <v>3.0000000000000001E-3</v>
      </c>
    </row>
    <row r="3044" spans="1:49" ht="42" x14ac:dyDescent="0.2">
      <c r="T3044" s="17">
        <v>2</v>
      </c>
      <c r="U3044" s="17" t="s">
        <v>155</v>
      </c>
      <c r="V3044" s="17" t="s">
        <v>56</v>
      </c>
      <c r="W3044" s="4">
        <v>84</v>
      </c>
      <c r="Z3044" s="17">
        <v>84</v>
      </c>
      <c r="AB3044" s="17">
        <v>13</v>
      </c>
      <c r="AE3044" s="17">
        <v>84</v>
      </c>
      <c r="AF3044" s="14">
        <v>3</v>
      </c>
      <c r="AG3044" s="54">
        <v>84</v>
      </c>
      <c r="AH3044" s="11">
        <v>1</v>
      </c>
      <c r="AI3044" s="14">
        <v>5800</v>
      </c>
      <c r="AJ3044" s="19">
        <v>487200</v>
      </c>
      <c r="AK3044" s="23">
        <v>13</v>
      </c>
      <c r="AL3044" s="11">
        <v>0.16</v>
      </c>
      <c r="AM3044" s="19">
        <v>409248</v>
      </c>
      <c r="AN3044" s="19">
        <v>409248</v>
      </c>
      <c r="AP3044" s="14">
        <v>409248</v>
      </c>
      <c r="AQ3044" s="12">
        <v>3.0000000000000001E-3</v>
      </c>
    </row>
    <row r="3045" spans="1:49" x14ac:dyDescent="0.2">
      <c r="A3045" s="2">
        <v>2593</v>
      </c>
      <c r="B3045" s="13">
        <v>3</v>
      </c>
      <c r="C3045" s="17" t="s">
        <v>69</v>
      </c>
      <c r="E3045" s="17">
        <v>2329</v>
      </c>
      <c r="F3045" s="17">
        <v>3</v>
      </c>
      <c r="G3045" s="13">
        <v>1</v>
      </c>
      <c r="H3045" s="17">
        <v>3</v>
      </c>
      <c r="I3045" s="17">
        <v>2</v>
      </c>
      <c r="J3045" s="17">
        <v>80</v>
      </c>
      <c r="K3045" s="10">
        <v>1480</v>
      </c>
      <c r="P3045" s="17">
        <v>1</v>
      </c>
      <c r="Q3045" s="19">
        <v>1480</v>
      </c>
      <c r="R3045" s="14">
        <v>160</v>
      </c>
      <c r="S3045" s="19">
        <v>236800</v>
      </c>
      <c r="AJ3045" s="19">
        <v>0</v>
      </c>
      <c r="AK3045" s="23">
        <v>0</v>
      </c>
      <c r="AM3045" s="19">
        <v>0</v>
      </c>
      <c r="AN3045" s="19">
        <v>236800</v>
      </c>
      <c r="AP3045" s="14">
        <v>236800</v>
      </c>
      <c r="AQ3045" s="12">
        <v>1E-4</v>
      </c>
    </row>
    <row r="3046" spans="1:49" x14ac:dyDescent="0.2">
      <c r="A3046" s="2">
        <v>2594</v>
      </c>
      <c r="B3046" s="13">
        <v>3</v>
      </c>
      <c r="C3046" s="17" t="s">
        <v>65</v>
      </c>
      <c r="D3046" s="17">
        <v>1043</v>
      </c>
      <c r="E3046" s="17">
        <v>214</v>
      </c>
      <c r="H3046" s="17">
        <v>3</v>
      </c>
      <c r="I3046" s="17">
        <v>2</v>
      </c>
      <c r="J3046" s="17">
        <v>82</v>
      </c>
      <c r="K3046" s="10">
        <v>1482</v>
      </c>
      <c r="Q3046" s="19">
        <v>1482</v>
      </c>
      <c r="R3046" s="14">
        <v>200</v>
      </c>
      <c r="S3046" s="19">
        <v>296400</v>
      </c>
      <c r="AE3046" s="17" t="s">
        <v>95</v>
      </c>
      <c r="AJ3046" s="19">
        <v>0</v>
      </c>
      <c r="AK3046" s="23">
        <v>0</v>
      </c>
      <c r="AM3046" s="19">
        <v>0</v>
      </c>
      <c r="AN3046" s="19">
        <v>296400</v>
      </c>
      <c r="AP3046" s="14">
        <v>296400</v>
      </c>
      <c r="AQ3046" s="12">
        <v>1E-4</v>
      </c>
    </row>
    <row r="3047" spans="1:49" x14ac:dyDescent="0.2">
      <c r="A3047" s="2">
        <v>2595</v>
      </c>
      <c r="B3047" s="13">
        <v>1</v>
      </c>
      <c r="C3047" s="17" t="s">
        <v>52</v>
      </c>
      <c r="D3047" s="17">
        <v>1484</v>
      </c>
      <c r="E3047" s="17">
        <v>53</v>
      </c>
      <c r="F3047" s="17">
        <v>548</v>
      </c>
      <c r="G3047" s="13">
        <v>2</v>
      </c>
      <c r="H3047" s="17">
        <v>0</v>
      </c>
      <c r="I3047" s="17">
        <v>2</v>
      </c>
      <c r="J3047" s="17">
        <v>48</v>
      </c>
      <c r="N3047" s="18">
        <v>248</v>
      </c>
      <c r="P3047" s="17">
        <v>4</v>
      </c>
      <c r="Q3047" s="19">
        <v>248</v>
      </c>
      <c r="R3047" s="14">
        <v>250</v>
      </c>
      <c r="S3047" s="19">
        <v>62000</v>
      </c>
      <c r="AJ3047" s="19">
        <v>0</v>
      </c>
      <c r="AK3047" s="23">
        <v>0</v>
      </c>
      <c r="AM3047" s="19">
        <v>0</v>
      </c>
      <c r="AN3047" s="19">
        <v>62000</v>
      </c>
      <c r="AP3047" s="14">
        <v>62000</v>
      </c>
      <c r="AQ3047" s="12">
        <v>3.0000000000000001E-3</v>
      </c>
    </row>
    <row r="3048" spans="1:49" x14ac:dyDescent="0.2">
      <c r="A3048" s="2">
        <v>2596</v>
      </c>
      <c r="B3048" s="13">
        <v>1</v>
      </c>
      <c r="C3048" s="17" t="s">
        <v>52</v>
      </c>
      <c r="D3048" s="17">
        <v>1044</v>
      </c>
      <c r="E3048" s="17">
        <v>31</v>
      </c>
      <c r="F3048" s="17">
        <v>402</v>
      </c>
      <c r="G3048" s="13">
        <v>1</v>
      </c>
      <c r="H3048" s="17">
        <v>12</v>
      </c>
      <c r="I3048" s="17">
        <v>3</v>
      </c>
      <c r="J3048" s="17">
        <v>28</v>
      </c>
      <c r="K3048" s="10">
        <v>5128</v>
      </c>
      <c r="P3048" s="17">
        <v>1</v>
      </c>
      <c r="Q3048" s="19">
        <v>5128</v>
      </c>
      <c r="R3048" s="14">
        <v>200</v>
      </c>
      <c r="S3048" s="19">
        <v>1025600</v>
      </c>
      <c r="AJ3048" s="19">
        <v>0</v>
      </c>
      <c r="AK3048" s="23">
        <v>0</v>
      </c>
      <c r="AM3048" s="19">
        <v>0</v>
      </c>
      <c r="AN3048" s="19">
        <v>1025600</v>
      </c>
      <c r="AP3048" s="14">
        <v>1025600</v>
      </c>
      <c r="AS3048" s="26">
        <v>80</v>
      </c>
      <c r="AW3048" s="14" t="s">
        <v>102</v>
      </c>
    </row>
    <row r="3049" spans="1:49" x14ac:dyDescent="0.2">
      <c r="A3049" s="2">
        <v>2597</v>
      </c>
      <c r="B3049" s="13">
        <v>2</v>
      </c>
      <c r="C3049" s="17" t="s">
        <v>52</v>
      </c>
      <c r="D3049" s="17">
        <v>1488</v>
      </c>
      <c r="E3049" s="17">
        <v>49</v>
      </c>
      <c r="F3049" s="17">
        <v>552</v>
      </c>
      <c r="G3049" s="13">
        <v>2</v>
      </c>
      <c r="H3049" s="17">
        <v>0</v>
      </c>
      <c r="I3049" s="17">
        <v>3</v>
      </c>
      <c r="J3049" s="17">
        <v>11</v>
      </c>
      <c r="K3049" s="10">
        <v>311</v>
      </c>
      <c r="P3049" s="17">
        <v>1</v>
      </c>
      <c r="Q3049" s="19">
        <v>311</v>
      </c>
      <c r="R3049" s="14">
        <v>200</v>
      </c>
      <c r="S3049" s="19">
        <v>62200</v>
      </c>
      <c r="AJ3049" s="19">
        <v>0</v>
      </c>
      <c r="AK3049" s="23">
        <v>0</v>
      </c>
      <c r="AM3049" s="19">
        <v>0</v>
      </c>
      <c r="AN3049" s="19">
        <v>62200</v>
      </c>
      <c r="AP3049" s="14">
        <v>62200</v>
      </c>
    </row>
    <row r="3050" spans="1:49" ht="63" x14ac:dyDescent="0.2">
      <c r="A3050" s="2">
        <v>2598</v>
      </c>
      <c r="B3050" s="13">
        <v>3</v>
      </c>
      <c r="C3050" s="17" t="s">
        <v>52</v>
      </c>
      <c r="D3050" s="17">
        <v>1570</v>
      </c>
      <c r="E3050" s="17">
        <v>71</v>
      </c>
      <c r="F3050" s="17">
        <v>507</v>
      </c>
      <c r="G3050" s="13">
        <v>2</v>
      </c>
      <c r="H3050" s="17">
        <v>1</v>
      </c>
      <c r="I3050" s="17">
        <v>1</v>
      </c>
      <c r="J3050" s="17">
        <v>86</v>
      </c>
      <c r="K3050" s="10">
        <v>478.37</v>
      </c>
      <c r="L3050" s="17">
        <v>31.5</v>
      </c>
      <c r="P3050" s="17">
        <v>2</v>
      </c>
      <c r="Q3050" s="19">
        <v>586</v>
      </c>
      <c r="R3050" s="14">
        <v>160</v>
      </c>
      <c r="S3050" s="19">
        <v>93760</v>
      </c>
      <c r="T3050" s="17">
        <v>1</v>
      </c>
      <c r="U3050" s="17" t="s">
        <v>57</v>
      </c>
      <c r="V3050" s="17" t="s">
        <v>56</v>
      </c>
      <c r="W3050" s="4">
        <v>126</v>
      </c>
      <c r="Y3050" s="4">
        <v>126</v>
      </c>
      <c r="AB3050" s="17">
        <v>12</v>
      </c>
      <c r="AJ3050" s="19">
        <v>0</v>
      </c>
      <c r="AK3050" s="23">
        <v>12</v>
      </c>
      <c r="AM3050" s="19">
        <v>0</v>
      </c>
      <c r="AN3050" s="19">
        <v>93760</v>
      </c>
      <c r="AP3050" s="14">
        <v>93760</v>
      </c>
    </row>
    <row r="3051" spans="1:49" ht="63" x14ac:dyDescent="0.2">
      <c r="L3051" s="17">
        <v>76.13</v>
      </c>
      <c r="Q3051" s="19">
        <v>0</v>
      </c>
      <c r="R3051" s="14" t="e">
        <v>#N/A</v>
      </c>
      <c r="S3051" s="19" t="e">
        <v>#N/A</v>
      </c>
      <c r="T3051" s="17">
        <v>2</v>
      </c>
      <c r="U3051" s="17" t="s">
        <v>57</v>
      </c>
      <c r="V3051" s="17" t="s">
        <v>84</v>
      </c>
      <c r="W3051" s="4">
        <v>304.5</v>
      </c>
      <c r="Y3051" s="4">
        <v>304.5</v>
      </c>
      <c r="AB3051" s="17">
        <v>21</v>
      </c>
      <c r="AJ3051" s="19">
        <v>0</v>
      </c>
      <c r="AK3051" s="23">
        <v>21</v>
      </c>
      <c r="AM3051" s="19">
        <v>0</v>
      </c>
      <c r="AN3051" s="19" t="e">
        <v>#N/A</v>
      </c>
      <c r="AP3051" s="14" t="e">
        <v>#N/A</v>
      </c>
    </row>
    <row r="3052" spans="1:49" x14ac:dyDescent="0.2">
      <c r="A3052" s="2">
        <v>2599</v>
      </c>
      <c r="B3052" s="13">
        <v>4</v>
      </c>
      <c r="C3052" s="17" t="s">
        <v>52</v>
      </c>
      <c r="D3052" s="17">
        <v>33505</v>
      </c>
      <c r="E3052" s="17">
        <v>222</v>
      </c>
      <c r="F3052" s="17">
        <v>6712</v>
      </c>
      <c r="G3052" s="13">
        <v>2</v>
      </c>
      <c r="H3052" s="17">
        <v>1</v>
      </c>
      <c r="I3052" s="17">
        <v>0</v>
      </c>
      <c r="J3052" s="17">
        <v>58</v>
      </c>
      <c r="K3052" s="10">
        <v>458</v>
      </c>
      <c r="P3052" s="17">
        <v>1</v>
      </c>
      <c r="Q3052" s="19">
        <v>458</v>
      </c>
      <c r="R3052" s="14">
        <v>250</v>
      </c>
      <c r="S3052" s="19">
        <v>114500</v>
      </c>
      <c r="AJ3052" s="19">
        <v>0</v>
      </c>
      <c r="AK3052" s="23">
        <v>0</v>
      </c>
      <c r="AM3052" s="19">
        <v>0</v>
      </c>
      <c r="AN3052" s="19">
        <v>114500</v>
      </c>
      <c r="AP3052" s="14">
        <v>114500</v>
      </c>
    </row>
    <row r="3053" spans="1:49" ht="63" x14ac:dyDescent="0.2">
      <c r="A3053" s="2">
        <v>2600</v>
      </c>
      <c r="B3053" s="13">
        <v>1</v>
      </c>
      <c r="C3053" s="17" t="s">
        <v>52</v>
      </c>
      <c r="D3053" s="17">
        <v>868</v>
      </c>
      <c r="E3053" s="17">
        <v>5</v>
      </c>
      <c r="F3053" s="17">
        <v>161</v>
      </c>
      <c r="G3053" s="13">
        <v>1</v>
      </c>
      <c r="H3053" s="17">
        <v>4</v>
      </c>
      <c r="I3053" s="17">
        <v>2</v>
      </c>
      <c r="J3053" s="17">
        <v>96</v>
      </c>
      <c r="K3053" s="10">
        <v>1855.5</v>
      </c>
      <c r="L3053" s="17">
        <v>40.5</v>
      </c>
      <c r="P3053" s="17">
        <v>5</v>
      </c>
      <c r="Q3053" s="19">
        <v>1896</v>
      </c>
      <c r="R3053" s="14">
        <v>250</v>
      </c>
      <c r="S3053" s="19">
        <v>474000</v>
      </c>
      <c r="T3053" s="17">
        <v>1</v>
      </c>
      <c r="U3053" s="17" t="s">
        <v>57</v>
      </c>
      <c r="V3053" s="17" t="s">
        <v>56</v>
      </c>
      <c r="W3053" s="4">
        <v>162</v>
      </c>
      <c r="Y3053" s="4">
        <v>162</v>
      </c>
      <c r="AA3053" s="17">
        <v>26</v>
      </c>
      <c r="AJ3053" s="19">
        <v>0</v>
      </c>
      <c r="AK3053" s="23">
        <v>0</v>
      </c>
      <c r="AM3053" s="19">
        <v>0</v>
      </c>
      <c r="AN3053" s="19">
        <v>474000</v>
      </c>
      <c r="AP3053" s="14">
        <v>474000</v>
      </c>
      <c r="AS3053" s="26">
        <v>56</v>
      </c>
    </row>
    <row r="3054" spans="1:49" x14ac:dyDescent="0.2">
      <c r="A3054" s="2">
        <v>2601</v>
      </c>
      <c r="B3054" s="13">
        <v>2</v>
      </c>
      <c r="C3054" s="17" t="s">
        <v>52</v>
      </c>
      <c r="D3054" s="17">
        <v>1461</v>
      </c>
      <c r="E3054" s="17">
        <v>44</v>
      </c>
      <c r="F3054" s="17">
        <v>538</v>
      </c>
      <c r="G3054" s="13">
        <v>2</v>
      </c>
      <c r="H3054" s="17">
        <v>2</v>
      </c>
      <c r="I3054" s="17">
        <v>2</v>
      </c>
      <c r="J3054" s="17">
        <v>0</v>
      </c>
      <c r="K3054" s="10">
        <v>1000</v>
      </c>
      <c r="P3054" s="17">
        <v>1</v>
      </c>
      <c r="Q3054" s="19">
        <v>1000</v>
      </c>
      <c r="R3054" s="14">
        <v>160</v>
      </c>
      <c r="S3054" s="19">
        <v>160000</v>
      </c>
      <c r="AJ3054" s="19">
        <v>0</v>
      </c>
      <c r="AK3054" s="23">
        <v>0</v>
      </c>
      <c r="AM3054" s="19">
        <v>0</v>
      </c>
      <c r="AN3054" s="19">
        <v>160000</v>
      </c>
      <c r="AP3054" s="14">
        <v>160000</v>
      </c>
    </row>
    <row r="3055" spans="1:49" x14ac:dyDescent="0.2">
      <c r="A3055" s="2">
        <v>2602</v>
      </c>
      <c r="B3055" s="13">
        <v>3</v>
      </c>
      <c r="C3055" s="17" t="s">
        <v>52</v>
      </c>
      <c r="D3055" s="17">
        <v>1580</v>
      </c>
      <c r="E3055" s="17">
        <v>17</v>
      </c>
      <c r="F3055" s="17">
        <v>517</v>
      </c>
      <c r="G3055" s="13">
        <v>2</v>
      </c>
      <c r="H3055" s="17">
        <v>0</v>
      </c>
      <c r="I3055" s="17">
        <v>2</v>
      </c>
      <c r="J3055" s="17">
        <v>42</v>
      </c>
      <c r="K3055" s="10">
        <v>242</v>
      </c>
      <c r="Q3055" s="19">
        <v>242</v>
      </c>
      <c r="R3055" s="14">
        <v>160</v>
      </c>
      <c r="S3055" s="19">
        <v>38720</v>
      </c>
      <c r="AJ3055" s="19">
        <v>0</v>
      </c>
      <c r="AK3055" s="23">
        <v>0</v>
      </c>
      <c r="AM3055" s="19">
        <v>0</v>
      </c>
      <c r="AN3055" s="19">
        <v>38720</v>
      </c>
      <c r="AP3055" s="14">
        <v>38720</v>
      </c>
    </row>
    <row r="3056" spans="1:49" x14ac:dyDescent="0.2">
      <c r="A3056" s="2">
        <v>2603</v>
      </c>
      <c r="B3056" s="13">
        <v>4</v>
      </c>
      <c r="C3056" s="17" t="s">
        <v>52</v>
      </c>
      <c r="D3056" s="17">
        <v>33506</v>
      </c>
      <c r="E3056" s="17">
        <v>223</v>
      </c>
      <c r="F3056" s="17">
        <v>6713</v>
      </c>
      <c r="G3056" s="13">
        <v>2</v>
      </c>
      <c r="H3056" s="17">
        <v>1</v>
      </c>
      <c r="I3056" s="17">
        <v>1</v>
      </c>
      <c r="J3056" s="17">
        <v>10</v>
      </c>
      <c r="K3056" s="10">
        <v>510</v>
      </c>
      <c r="P3056" s="17">
        <v>1</v>
      </c>
      <c r="Q3056" s="19">
        <v>510</v>
      </c>
      <c r="R3056" s="14">
        <v>250</v>
      </c>
      <c r="S3056" s="19">
        <v>127500</v>
      </c>
      <c r="AJ3056" s="19">
        <v>0</v>
      </c>
      <c r="AK3056" s="23">
        <v>0</v>
      </c>
      <c r="AM3056" s="19">
        <v>0</v>
      </c>
      <c r="AN3056" s="19">
        <v>127500</v>
      </c>
      <c r="AP3056" s="14">
        <v>127500</v>
      </c>
    </row>
    <row r="3057" spans="1:49" x14ac:dyDescent="0.2">
      <c r="A3057" s="2">
        <v>2604</v>
      </c>
      <c r="B3057" s="13">
        <v>5</v>
      </c>
      <c r="C3057" s="17" t="s">
        <v>52</v>
      </c>
      <c r="D3057" s="17">
        <v>33535</v>
      </c>
      <c r="E3057" s="17">
        <v>226</v>
      </c>
      <c r="F3057" s="17">
        <v>6716</v>
      </c>
      <c r="G3057" s="13">
        <v>2</v>
      </c>
      <c r="H3057" s="17">
        <v>4</v>
      </c>
      <c r="I3057" s="17">
        <v>2</v>
      </c>
      <c r="J3057" s="17">
        <v>34</v>
      </c>
      <c r="K3057" s="10">
        <v>1834</v>
      </c>
      <c r="P3057" s="17">
        <v>1</v>
      </c>
      <c r="Q3057" s="19">
        <v>1834</v>
      </c>
      <c r="R3057" s="14">
        <v>160</v>
      </c>
      <c r="S3057" s="19">
        <v>293440</v>
      </c>
      <c r="AJ3057" s="19">
        <v>0</v>
      </c>
      <c r="AK3057" s="23">
        <v>0</v>
      </c>
      <c r="AM3057" s="19">
        <v>0</v>
      </c>
      <c r="AN3057" s="19">
        <v>293440</v>
      </c>
      <c r="AP3057" s="14">
        <v>293440</v>
      </c>
    </row>
    <row r="3058" spans="1:49" x14ac:dyDescent="0.2">
      <c r="A3058" s="2">
        <v>2605</v>
      </c>
      <c r="B3058" s="13">
        <v>6</v>
      </c>
      <c r="C3058" s="17" t="s">
        <v>69</v>
      </c>
      <c r="E3058" s="17">
        <v>167</v>
      </c>
      <c r="F3058" s="17">
        <v>2</v>
      </c>
      <c r="G3058" s="13">
        <v>2</v>
      </c>
      <c r="H3058" s="17">
        <v>14</v>
      </c>
      <c r="I3058" s="17">
        <v>1</v>
      </c>
      <c r="J3058" s="17">
        <v>38</v>
      </c>
      <c r="K3058" s="10">
        <v>5738</v>
      </c>
      <c r="P3058" s="17">
        <v>1</v>
      </c>
      <c r="Q3058" s="19">
        <v>5738</v>
      </c>
      <c r="R3058" s="14">
        <v>200</v>
      </c>
      <c r="S3058" s="19">
        <v>1147600</v>
      </c>
      <c r="AJ3058" s="19">
        <v>0</v>
      </c>
      <c r="AK3058" s="23">
        <v>0</v>
      </c>
      <c r="AM3058" s="19">
        <v>0</v>
      </c>
      <c r="AN3058" s="19">
        <v>1147600</v>
      </c>
      <c r="AP3058" s="14">
        <v>1147600</v>
      </c>
      <c r="AQ3058" s="12">
        <v>1E-4</v>
      </c>
    </row>
    <row r="3059" spans="1:49" x14ac:dyDescent="0.2">
      <c r="A3059" s="2">
        <v>2606</v>
      </c>
      <c r="B3059" s="13">
        <v>1</v>
      </c>
      <c r="C3059" s="17" t="s">
        <v>52</v>
      </c>
      <c r="D3059" s="17">
        <v>30359</v>
      </c>
      <c r="E3059" s="17">
        <v>201</v>
      </c>
      <c r="F3059" s="17">
        <v>6831</v>
      </c>
      <c r="G3059" s="13">
        <v>1</v>
      </c>
      <c r="H3059" s="17">
        <v>0</v>
      </c>
      <c r="I3059" s="17">
        <v>0</v>
      </c>
      <c r="J3059" s="17">
        <v>81</v>
      </c>
      <c r="N3059" s="18">
        <v>81</v>
      </c>
      <c r="P3059" s="17">
        <v>4</v>
      </c>
      <c r="Q3059" s="19">
        <v>81</v>
      </c>
      <c r="R3059" s="14">
        <v>250</v>
      </c>
      <c r="S3059" s="19">
        <v>20250</v>
      </c>
      <c r="AJ3059" s="19">
        <v>0</v>
      </c>
      <c r="AK3059" s="23">
        <v>0</v>
      </c>
      <c r="AM3059" s="19">
        <v>0</v>
      </c>
      <c r="AN3059" s="19">
        <v>20250</v>
      </c>
      <c r="AP3059" s="14">
        <v>20250</v>
      </c>
      <c r="AQ3059" s="12">
        <v>3.0000000000000001E-3</v>
      </c>
      <c r="AS3059" s="26">
        <v>67</v>
      </c>
    </row>
    <row r="3060" spans="1:49" x14ac:dyDescent="0.2">
      <c r="A3060" s="2">
        <v>2607</v>
      </c>
      <c r="B3060" s="13">
        <v>2</v>
      </c>
      <c r="C3060" s="17" t="s">
        <v>52</v>
      </c>
      <c r="D3060" s="17">
        <v>1464</v>
      </c>
      <c r="E3060" s="17">
        <v>47</v>
      </c>
      <c r="F3060" s="17">
        <v>541</v>
      </c>
      <c r="G3060" s="13">
        <v>2</v>
      </c>
      <c r="H3060" s="17">
        <v>4</v>
      </c>
      <c r="I3060" s="17">
        <v>0</v>
      </c>
      <c r="J3060" s="17">
        <v>70</v>
      </c>
      <c r="K3060" s="10">
        <v>1670</v>
      </c>
      <c r="P3060" s="17">
        <v>1</v>
      </c>
      <c r="Q3060" s="19">
        <v>1670</v>
      </c>
      <c r="R3060" s="14">
        <v>200</v>
      </c>
      <c r="S3060" s="19">
        <v>334000</v>
      </c>
      <c r="AJ3060" s="19">
        <v>0</v>
      </c>
      <c r="AK3060" s="23">
        <v>0</v>
      </c>
      <c r="AM3060" s="19">
        <v>0</v>
      </c>
      <c r="AN3060" s="19">
        <v>334000</v>
      </c>
      <c r="AP3060" s="14">
        <v>334000</v>
      </c>
    </row>
    <row r="3061" spans="1:49" x14ac:dyDescent="0.2">
      <c r="A3061" s="2">
        <v>2608</v>
      </c>
      <c r="B3061" s="13">
        <v>3</v>
      </c>
      <c r="C3061" s="17" t="s">
        <v>52</v>
      </c>
      <c r="D3061" s="17">
        <v>1602</v>
      </c>
      <c r="E3061" s="17">
        <v>47</v>
      </c>
      <c r="F3061" s="17">
        <v>554</v>
      </c>
      <c r="G3061" s="13">
        <v>2</v>
      </c>
      <c r="H3061" s="17">
        <v>5</v>
      </c>
      <c r="I3061" s="17">
        <v>3</v>
      </c>
      <c r="J3061" s="17">
        <v>99</v>
      </c>
      <c r="K3061" s="10">
        <v>2399</v>
      </c>
      <c r="P3061" s="17">
        <v>1</v>
      </c>
      <c r="Q3061" s="19">
        <v>2399</v>
      </c>
      <c r="R3061" s="14">
        <v>160</v>
      </c>
      <c r="S3061" s="19">
        <v>383840</v>
      </c>
      <c r="AJ3061" s="19">
        <v>0</v>
      </c>
      <c r="AK3061" s="23">
        <v>0</v>
      </c>
      <c r="AM3061" s="19">
        <v>0</v>
      </c>
      <c r="AN3061" s="19">
        <v>383840</v>
      </c>
      <c r="AP3061" s="14">
        <v>383840</v>
      </c>
    </row>
    <row r="3062" spans="1:49" ht="63" x14ac:dyDescent="0.2">
      <c r="A3062" s="2">
        <v>2609</v>
      </c>
      <c r="B3062" s="13">
        <v>4</v>
      </c>
      <c r="C3062" s="17" t="s">
        <v>52</v>
      </c>
      <c r="D3062" s="17">
        <v>33504</v>
      </c>
      <c r="E3062" s="17">
        <v>221</v>
      </c>
      <c r="F3062" s="17">
        <v>6711</v>
      </c>
      <c r="G3062" s="13">
        <v>2</v>
      </c>
      <c r="H3062" s="17">
        <v>1</v>
      </c>
      <c r="I3062" s="17">
        <v>3</v>
      </c>
      <c r="J3062" s="17">
        <v>10</v>
      </c>
      <c r="K3062" s="10">
        <v>656.25</v>
      </c>
      <c r="L3062" s="17">
        <v>45</v>
      </c>
      <c r="P3062" s="17">
        <v>2</v>
      </c>
      <c r="Q3062" s="19">
        <v>710</v>
      </c>
      <c r="R3062" s="14">
        <v>250</v>
      </c>
      <c r="S3062" s="19">
        <v>177500</v>
      </c>
      <c r="T3062" s="17">
        <v>1</v>
      </c>
      <c r="U3062" s="17" t="s">
        <v>57</v>
      </c>
      <c r="V3062" s="17" t="s">
        <v>56</v>
      </c>
      <c r="W3062" s="4">
        <v>180</v>
      </c>
      <c r="Y3062" s="4">
        <v>180</v>
      </c>
      <c r="AB3062" s="17">
        <v>31</v>
      </c>
      <c r="AJ3062" s="19">
        <v>0</v>
      </c>
      <c r="AK3062" s="23">
        <v>31</v>
      </c>
      <c r="AM3062" s="19">
        <v>0</v>
      </c>
      <c r="AN3062" s="19">
        <v>177500</v>
      </c>
      <c r="AP3062" s="14">
        <v>177500</v>
      </c>
    </row>
    <row r="3063" spans="1:49" ht="63" x14ac:dyDescent="0.2">
      <c r="L3063" s="17">
        <v>8.75</v>
      </c>
      <c r="Q3063" s="19">
        <v>0</v>
      </c>
      <c r="R3063" s="14">
        <v>250</v>
      </c>
      <c r="S3063" s="19">
        <v>0</v>
      </c>
      <c r="T3063" s="17">
        <v>2</v>
      </c>
      <c r="U3063" s="17" t="s">
        <v>57</v>
      </c>
      <c r="V3063" s="17" t="s">
        <v>88</v>
      </c>
      <c r="W3063" s="4">
        <v>35</v>
      </c>
      <c r="Y3063" s="4">
        <v>35</v>
      </c>
      <c r="AB3063" s="17">
        <v>11</v>
      </c>
      <c r="AJ3063" s="19">
        <v>0</v>
      </c>
      <c r="AK3063" s="23">
        <v>11</v>
      </c>
      <c r="AM3063" s="19">
        <v>0</v>
      </c>
      <c r="AN3063" s="19">
        <v>0</v>
      </c>
      <c r="AP3063" s="14">
        <v>0</v>
      </c>
    </row>
    <row r="3064" spans="1:49" x14ac:dyDescent="0.2">
      <c r="A3064" s="2">
        <v>2610</v>
      </c>
      <c r="B3064" s="13">
        <v>5</v>
      </c>
      <c r="C3064" s="17" t="s">
        <v>52</v>
      </c>
      <c r="D3064" s="17">
        <v>33536</v>
      </c>
      <c r="E3064" s="17">
        <v>227</v>
      </c>
      <c r="F3064" s="17">
        <v>6717</v>
      </c>
      <c r="G3064" s="13">
        <v>2</v>
      </c>
      <c r="H3064" s="17">
        <v>6</v>
      </c>
      <c r="I3064" s="17">
        <v>1</v>
      </c>
      <c r="J3064" s="17">
        <v>79</v>
      </c>
      <c r="K3064" s="10">
        <v>2579</v>
      </c>
      <c r="P3064" s="17">
        <v>1</v>
      </c>
      <c r="Q3064" s="19">
        <v>2579</v>
      </c>
      <c r="R3064" s="14">
        <v>160</v>
      </c>
      <c r="S3064" s="19">
        <v>412640</v>
      </c>
      <c r="AJ3064" s="19">
        <v>0</v>
      </c>
      <c r="AK3064" s="23">
        <v>0</v>
      </c>
      <c r="AM3064" s="19">
        <v>0</v>
      </c>
      <c r="AN3064" s="19">
        <v>412640</v>
      </c>
      <c r="AP3064" s="14">
        <v>412640</v>
      </c>
      <c r="AW3064" s="14" t="s">
        <v>102</v>
      </c>
    </row>
    <row r="3065" spans="1:49" x14ac:dyDescent="0.2">
      <c r="A3065" s="2">
        <v>2611</v>
      </c>
      <c r="B3065" s="13">
        <v>1</v>
      </c>
      <c r="C3065" s="17" t="s">
        <v>52</v>
      </c>
      <c r="D3065" s="17">
        <v>2734</v>
      </c>
      <c r="E3065" s="17">
        <v>7</v>
      </c>
      <c r="F3065" s="17">
        <v>1906</v>
      </c>
      <c r="G3065" s="13">
        <v>1</v>
      </c>
      <c r="H3065" s="17">
        <v>3</v>
      </c>
      <c r="I3065" s="17">
        <v>1</v>
      </c>
      <c r="J3065" s="17">
        <v>24</v>
      </c>
      <c r="K3065" s="10">
        <v>1324</v>
      </c>
      <c r="P3065" s="17">
        <v>1</v>
      </c>
      <c r="Q3065" s="19">
        <v>1324</v>
      </c>
      <c r="R3065" s="14">
        <v>200</v>
      </c>
      <c r="S3065" s="19">
        <v>264800</v>
      </c>
      <c r="AJ3065" s="19">
        <v>0</v>
      </c>
      <c r="AK3065" s="23">
        <v>0</v>
      </c>
      <c r="AM3065" s="19">
        <v>0</v>
      </c>
      <c r="AN3065" s="19">
        <v>264800</v>
      </c>
      <c r="AP3065" s="14">
        <v>264800</v>
      </c>
      <c r="AS3065" s="26">
        <v>91</v>
      </c>
    </row>
    <row r="3066" spans="1:49" x14ac:dyDescent="0.2">
      <c r="A3066" s="2">
        <v>2612</v>
      </c>
      <c r="B3066" s="13">
        <v>2</v>
      </c>
      <c r="C3066" s="17" t="s">
        <v>52</v>
      </c>
      <c r="D3066" s="17">
        <v>33507</v>
      </c>
      <c r="E3066" s="17">
        <v>224</v>
      </c>
      <c r="F3066" s="17">
        <v>6714</v>
      </c>
      <c r="G3066" s="13">
        <v>2</v>
      </c>
      <c r="H3066" s="17">
        <v>5</v>
      </c>
      <c r="I3066" s="17">
        <v>1</v>
      </c>
      <c r="J3066" s="17">
        <v>85</v>
      </c>
      <c r="K3066" s="10">
        <v>2185</v>
      </c>
      <c r="P3066" s="17">
        <v>1</v>
      </c>
      <c r="Q3066" s="19">
        <v>2185</v>
      </c>
      <c r="R3066" s="14">
        <v>250</v>
      </c>
      <c r="S3066" s="19">
        <v>546250</v>
      </c>
      <c r="AJ3066" s="19">
        <v>0</v>
      </c>
      <c r="AK3066" s="23">
        <v>0</v>
      </c>
      <c r="AM3066" s="19">
        <v>0</v>
      </c>
      <c r="AN3066" s="19">
        <v>546250</v>
      </c>
      <c r="AP3066" s="14">
        <v>546250</v>
      </c>
    </row>
    <row r="3067" spans="1:49" x14ac:dyDescent="0.2">
      <c r="A3067" s="2">
        <v>2613</v>
      </c>
      <c r="B3067" s="13">
        <v>3</v>
      </c>
      <c r="C3067" s="17" t="s">
        <v>52</v>
      </c>
      <c r="D3067" s="17">
        <v>33534</v>
      </c>
      <c r="E3067" s="17">
        <v>225</v>
      </c>
      <c r="F3067" s="17">
        <v>6715</v>
      </c>
      <c r="G3067" s="13">
        <v>2</v>
      </c>
      <c r="H3067" s="17">
        <v>10</v>
      </c>
      <c r="I3067" s="17">
        <v>3</v>
      </c>
      <c r="J3067" s="17">
        <v>93</v>
      </c>
      <c r="K3067" s="10">
        <v>4393</v>
      </c>
      <c r="P3067" s="17">
        <v>1</v>
      </c>
      <c r="Q3067" s="19">
        <v>4393</v>
      </c>
      <c r="R3067" s="14">
        <v>160</v>
      </c>
      <c r="S3067" s="19">
        <v>702880</v>
      </c>
      <c r="AJ3067" s="19">
        <v>0</v>
      </c>
      <c r="AK3067" s="23">
        <v>0</v>
      </c>
      <c r="AM3067" s="19">
        <v>0</v>
      </c>
      <c r="AN3067" s="19">
        <v>702880</v>
      </c>
      <c r="AP3067" s="14">
        <v>702880</v>
      </c>
    </row>
    <row r="3068" spans="1:49" x14ac:dyDescent="0.2">
      <c r="A3068" s="2">
        <v>2614</v>
      </c>
      <c r="B3068" s="13">
        <v>4</v>
      </c>
      <c r="C3068" s="17" t="s">
        <v>52</v>
      </c>
      <c r="D3068" s="17">
        <v>33537</v>
      </c>
      <c r="E3068" s="17">
        <v>228</v>
      </c>
      <c r="F3068" s="17">
        <v>6718</v>
      </c>
      <c r="G3068" s="13">
        <v>2</v>
      </c>
      <c r="H3068" s="17">
        <v>1</v>
      </c>
      <c r="I3068" s="17">
        <v>3</v>
      </c>
      <c r="J3068" s="17">
        <v>17</v>
      </c>
      <c r="K3068" s="10">
        <v>717</v>
      </c>
      <c r="P3068" s="17">
        <v>1</v>
      </c>
      <c r="Q3068" s="19">
        <v>717</v>
      </c>
      <c r="R3068" s="14">
        <v>160</v>
      </c>
      <c r="S3068" s="19">
        <v>114720</v>
      </c>
      <c r="AJ3068" s="19">
        <v>0</v>
      </c>
      <c r="AK3068" s="23">
        <v>0</v>
      </c>
      <c r="AM3068" s="19">
        <v>0</v>
      </c>
      <c r="AN3068" s="19">
        <v>114720</v>
      </c>
      <c r="AP3068" s="14">
        <v>114720</v>
      </c>
    </row>
    <row r="3069" spans="1:49" x14ac:dyDescent="0.2">
      <c r="A3069" s="2">
        <v>2615</v>
      </c>
      <c r="B3069" s="13">
        <v>1</v>
      </c>
      <c r="C3069" s="17" t="s">
        <v>52</v>
      </c>
      <c r="D3069" s="17">
        <v>8327</v>
      </c>
      <c r="E3069" s="17">
        <v>329</v>
      </c>
      <c r="F3069" s="17">
        <v>3109</v>
      </c>
      <c r="G3069" s="13">
        <v>1</v>
      </c>
      <c r="H3069" s="17">
        <v>4</v>
      </c>
      <c r="I3069" s="17">
        <v>3</v>
      </c>
      <c r="J3069" s="17">
        <v>18.02</v>
      </c>
      <c r="K3069" s="10">
        <v>1918.02</v>
      </c>
      <c r="P3069" s="17">
        <v>1</v>
      </c>
      <c r="Q3069" s="19">
        <v>1918.02</v>
      </c>
      <c r="R3069" s="14">
        <v>200</v>
      </c>
      <c r="S3069" s="19">
        <v>383604</v>
      </c>
      <c r="AJ3069" s="19">
        <v>0</v>
      </c>
      <c r="AK3069" s="23">
        <v>0</v>
      </c>
      <c r="AM3069" s="19">
        <v>0</v>
      </c>
      <c r="AN3069" s="19">
        <v>383604</v>
      </c>
      <c r="AP3069" s="14">
        <v>383604</v>
      </c>
    </row>
    <row r="3070" spans="1:49" ht="63" x14ac:dyDescent="0.2">
      <c r="A3070" s="2">
        <v>2616</v>
      </c>
      <c r="B3070" s="13">
        <v>2</v>
      </c>
      <c r="C3070" s="17" t="s">
        <v>52</v>
      </c>
      <c r="D3070" s="17">
        <v>1479</v>
      </c>
      <c r="E3070" s="17">
        <v>23</v>
      </c>
      <c r="F3070" s="17">
        <v>1478</v>
      </c>
      <c r="G3070" s="13">
        <v>2</v>
      </c>
      <c r="H3070" s="17">
        <v>0</v>
      </c>
      <c r="I3070" s="17">
        <v>0</v>
      </c>
      <c r="J3070" s="17">
        <v>22</v>
      </c>
      <c r="L3070" s="17">
        <v>22</v>
      </c>
      <c r="P3070" s="17">
        <v>2</v>
      </c>
      <c r="Q3070" s="19">
        <v>22</v>
      </c>
      <c r="R3070" s="14">
        <v>1950</v>
      </c>
      <c r="S3070" s="19">
        <v>42900</v>
      </c>
      <c r="T3070" s="17">
        <v>1</v>
      </c>
      <c r="U3070" s="17" t="s">
        <v>57</v>
      </c>
      <c r="V3070" s="17" t="s">
        <v>84</v>
      </c>
      <c r="W3070" s="4">
        <v>200</v>
      </c>
      <c r="Y3070" s="4">
        <v>200</v>
      </c>
      <c r="AA3070" s="17">
        <v>23</v>
      </c>
      <c r="AJ3070" s="19">
        <v>0</v>
      </c>
      <c r="AK3070" s="23">
        <v>0</v>
      </c>
      <c r="AM3070" s="19">
        <v>0</v>
      </c>
      <c r="AN3070" s="19">
        <v>42900</v>
      </c>
      <c r="AP3070" s="14">
        <v>42900</v>
      </c>
    </row>
    <row r="3071" spans="1:49" x14ac:dyDescent="0.2">
      <c r="A3071" s="2">
        <v>2617</v>
      </c>
      <c r="B3071" s="13">
        <v>1</v>
      </c>
      <c r="C3071" s="17" t="s">
        <v>52</v>
      </c>
      <c r="D3071" s="17">
        <v>2477</v>
      </c>
      <c r="E3071" s="17">
        <v>20</v>
      </c>
      <c r="F3071" s="17">
        <v>1481</v>
      </c>
      <c r="G3071" s="13">
        <v>2</v>
      </c>
      <c r="H3071" s="17">
        <v>0</v>
      </c>
      <c r="I3071" s="17">
        <v>2</v>
      </c>
      <c r="J3071" s="17">
        <v>32</v>
      </c>
      <c r="Q3071" s="19">
        <v>232</v>
      </c>
      <c r="R3071" s="14">
        <v>3000</v>
      </c>
      <c r="S3071" s="19">
        <v>696000</v>
      </c>
      <c r="AJ3071" s="19">
        <v>0</v>
      </c>
      <c r="AK3071" s="23">
        <v>0</v>
      </c>
      <c r="AM3071" s="19">
        <v>0</v>
      </c>
      <c r="AN3071" s="19">
        <v>696000</v>
      </c>
      <c r="AP3071" s="14">
        <v>696000</v>
      </c>
    </row>
    <row r="3072" spans="1:49" x14ac:dyDescent="0.2">
      <c r="A3072" s="2">
        <v>2618</v>
      </c>
      <c r="B3072" s="13">
        <v>1</v>
      </c>
      <c r="C3072" s="17" t="s">
        <v>52</v>
      </c>
      <c r="D3072" s="17">
        <v>1707</v>
      </c>
      <c r="E3072" s="17">
        <v>33</v>
      </c>
      <c r="F3072" s="17">
        <v>1361</v>
      </c>
      <c r="G3072" s="13">
        <v>2</v>
      </c>
      <c r="H3072" s="17">
        <v>0</v>
      </c>
      <c r="I3072" s="17">
        <v>0</v>
      </c>
      <c r="J3072" s="17">
        <v>46</v>
      </c>
      <c r="Q3072" s="19">
        <v>46</v>
      </c>
      <c r="R3072" s="14">
        <v>4500</v>
      </c>
      <c r="S3072" s="19">
        <v>207000</v>
      </c>
      <c r="AJ3072" s="19">
        <v>0</v>
      </c>
      <c r="AK3072" s="23">
        <v>0</v>
      </c>
      <c r="AM3072" s="19">
        <v>0</v>
      </c>
      <c r="AN3072" s="19">
        <v>207000</v>
      </c>
      <c r="AP3072" s="14">
        <v>207000</v>
      </c>
      <c r="AS3072" s="26">
        <v>181</v>
      </c>
    </row>
    <row r="3073" spans="1:45" x14ac:dyDescent="0.2">
      <c r="A3073" s="2">
        <v>2619</v>
      </c>
      <c r="B3073" s="13">
        <v>2</v>
      </c>
      <c r="C3073" s="17" t="s">
        <v>52</v>
      </c>
      <c r="D3073" s="17">
        <v>1708</v>
      </c>
      <c r="E3073" s="17">
        <v>34</v>
      </c>
      <c r="F3073" s="17">
        <v>1362</v>
      </c>
      <c r="G3073" s="13">
        <v>2</v>
      </c>
      <c r="H3073" s="17">
        <v>0</v>
      </c>
      <c r="I3073" s="17">
        <v>0</v>
      </c>
      <c r="J3073" s="17">
        <v>41</v>
      </c>
      <c r="Q3073" s="19">
        <v>41</v>
      </c>
      <c r="R3073" s="14">
        <v>4500</v>
      </c>
      <c r="S3073" s="19">
        <v>184500</v>
      </c>
      <c r="AJ3073" s="19">
        <v>0</v>
      </c>
      <c r="AK3073" s="23">
        <v>0</v>
      </c>
      <c r="AM3073" s="19">
        <v>0</v>
      </c>
      <c r="AN3073" s="19">
        <v>184500</v>
      </c>
      <c r="AP3073" s="14">
        <v>184500</v>
      </c>
    </row>
    <row r="3074" spans="1:45" x14ac:dyDescent="0.2">
      <c r="A3074" s="2">
        <v>2620</v>
      </c>
      <c r="B3074" s="13">
        <v>3</v>
      </c>
      <c r="C3074" s="17" t="s">
        <v>65</v>
      </c>
      <c r="D3074" s="17">
        <v>2113</v>
      </c>
      <c r="E3074" s="17">
        <v>5</v>
      </c>
      <c r="H3074" s="17">
        <v>45</v>
      </c>
      <c r="I3074" s="17">
        <v>1</v>
      </c>
      <c r="J3074" s="17">
        <v>0</v>
      </c>
      <c r="K3074" s="10">
        <v>18100</v>
      </c>
      <c r="P3074" s="17">
        <v>1</v>
      </c>
      <c r="Q3074" s="19">
        <v>18100</v>
      </c>
      <c r="R3074" s="14">
        <v>160</v>
      </c>
      <c r="S3074" s="19">
        <v>2896000</v>
      </c>
      <c r="AJ3074" s="19">
        <v>0</v>
      </c>
      <c r="AK3074" s="23">
        <v>0</v>
      </c>
      <c r="AM3074" s="19">
        <v>0</v>
      </c>
      <c r="AN3074" s="19">
        <v>2896000</v>
      </c>
      <c r="AP3074" s="14">
        <v>2896000</v>
      </c>
      <c r="AQ3074" s="12">
        <v>1E-4</v>
      </c>
    </row>
    <row r="3075" spans="1:45" x14ac:dyDescent="0.2">
      <c r="A3075" s="2">
        <v>2621</v>
      </c>
      <c r="B3075" s="13">
        <v>4</v>
      </c>
      <c r="C3075" s="17" t="s">
        <v>65</v>
      </c>
      <c r="D3075" s="17">
        <v>2114</v>
      </c>
      <c r="E3075" s="17">
        <v>6</v>
      </c>
      <c r="H3075" s="17">
        <v>3</v>
      </c>
      <c r="I3075" s="17">
        <v>2</v>
      </c>
      <c r="J3075" s="17">
        <v>83</v>
      </c>
      <c r="K3075" s="10">
        <v>1483</v>
      </c>
      <c r="P3075" s="17">
        <v>1</v>
      </c>
      <c r="Q3075" s="19">
        <v>1483</v>
      </c>
      <c r="R3075" s="14">
        <v>160</v>
      </c>
      <c r="S3075" s="19">
        <v>237280</v>
      </c>
      <c r="AJ3075" s="19">
        <v>0</v>
      </c>
      <c r="AK3075" s="23">
        <v>0</v>
      </c>
      <c r="AM3075" s="19">
        <v>0</v>
      </c>
      <c r="AN3075" s="19">
        <v>237280</v>
      </c>
      <c r="AP3075" s="14">
        <v>237280</v>
      </c>
      <c r="AQ3075" s="12">
        <v>1E-4</v>
      </c>
    </row>
    <row r="3076" spans="1:45" ht="63" x14ac:dyDescent="0.2">
      <c r="A3076" s="2">
        <v>2622</v>
      </c>
      <c r="B3076" s="13">
        <v>1</v>
      </c>
      <c r="C3076" s="17" t="s">
        <v>52</v>
      </c>
      <c r="D3076" s="17">
        <v>18429</v>
      </c>
      <c r="E3076" s="17">
        <v>26</v>
      </c>
      <c r="F3076" s="17">
        <v>4317</v>
      </c>
      <c r="G3076" s="13">
        <v>5</v>
      </c>
      <c r="H3076" s="17">
        <v>28</v>
      </c>
      <c r="I3076" s="17">
        <v>3</v>
      </c>
      <c r="J3076" s="17">
        <v>91</v>
      </c>
      <c r="K3076" s="10">
        <v>11579</v>
      </c>
      <c r="L3076" s="17">
        <v>12</v>
      </c>
      <c r="P3076" s="17">
        <v>5</v>
      </c>
      <c r="Q3076" s="19">
        <v>11591</v>
      </c>
      <c r="R3076" s="14">
        <v>375</v>
      </c>
      <c r="S3076" s="19">
        <v>4346625</v>
      </c>
      <c r="T3076" s="17">
        <v>1</v>
      </c>
      <c r="U3076" s="17" t="s">
        <v>57</v>
      </c>
      <c r="V3076" s="17" t="s">
        <v>56</v>
      </c>
      <c r="W3076" s="4">
        <v>48</v>
      </c>
      <c r="Y3076" s="4">
        <v>48</v>
      </c>
      <c r="AB3076" s="17">
        <v>31</v>
      </c>
      <c r="AJ3076" s="19">
        <v>0</v>
      </c>
      <c r="AK3076" s="23">
        <v>31</v>
      </c>
      <c r="AM3076" s="19">
        <v>0</v>
      </c>
      <c r="AN3076" s="19">
        <v>4346625</v>
      </c>
      <c r="AP3076" s="14">
        <v>4346625</v>
      </c>
      <c r="AR3076" s="19" t="s">
        <v>263</v>
      </c>
      <c r="AS3076" s="26">
        <v>7151</v>
      </c>
    </row>
    <row r="3077" spans="1:45" ht="63" x14ac:dyDescent="0.2">
      <c r="A3077" s="2">
        <v>2623</v>
      </c>
      <c r="B3077" s="13">
        <v>2</v>
      </c>
      <c r="C3077" s="17" t="s">
        <v>52</v>
      </c>
      <c r="D3077" s="17">
        <v>1278</v>
      </c>
      <c r="E3077" s="17">
        <v>31</v>
      </c>
      <c r="F3077" s="17">
        <v>751</v>
      </c>
      <c r="G3077" s="13">
        <v>6</v>
      </c>
      <c r="H3077" s="17">
        <v>27</v>
      </c>
      <c r="I3077" s="17">
        <v>3</v>
      </c>
      <c r="J3077" s="17">
        <v>2</v>
      </c>
      <c r="K3077" s="10">
        <v>10994.25</v>
      </c>
      <c r="M3077" s="15">
        <v>45</v>
      </c>
      <c r="P3077" s="17">
        <v>5</v>
      </c>
      <c r="Q3077" s="19">
        <v>11102</v>
      </c>
      <c r="R3077" s="14">
        <v>1100</v>
      </c>
      <c r="S3077" s="19">
        <v>12212200</v>
      </c>
      <c r="AR3077" s="19">
        <v>6750</v>
      </c>
    </row>
    <row r="3078" spans="1:45" x14ac:dyDescent="0.2">
      <c r="P3078" s="17">
        <v>1</v>
      </c>
      <c r="Q3078" s="19">
        <v>10994.25</v>
      </c>
      <c r="R3078" s="14">
        <v>1100</v>
      </c>
      <c r="S3078" s="19">
        <v>12093675</v>
      </c>
    </row>
    <row r="3079" spans="1:45" ht="105" x14ac:dyDescent="0.2">
      <c r="T3079" s="17">
        <v>1</v>
      </c>
      <c r="U3079" s="17" t="s">
        <v>123</v>
      </c>
      <c r="V3079" s="17" t="s">
        <v>56</v>
      </c>
      <c r="W3079" s="4">
        <v>375</v>
      </c>
      <c r="Z3079" s="17">
        <v>375</v>
      </c>
      <c r="AB3079" s="17">
        <v>20</v>
      </c>
      <c r="AF3079" s="14">
        <v>3</v>
      </c>
      <c r="AG3079" s="54">
        <v>375</v>
      </c>
      <c r="AH3079" s="11">
        <v>1</v>
      </c>
      <c r="AI3079" s="14">
        <v>3600</v>
      </c>
      <c r="AJ3079" s="19">
        <v>1350000</v>
      </c>
      <c r="AK3079" s="23">
        <v>20</v>
      </c>
      <c r="AL3079" s="11">
        <v>0.3</v>
      </c>
      <c r="AM3079" s="19">
        <v>945000</v>
      </c>
      <c r="AN3079" s="19">
        <v>1048125</v>
      </c>
      <c r="AP3079" s="14">
        <v>1048125</v>
      </c>
      <c r="AQ3079" s="12">
        <v>3.0000000000000001E-3</v>
      </c>
      <c r="AR3079" s="19" t="s">
        <v>200</v>
      </c>
    </row>
    <row r="3080" spans="1:45" ht="63" x14ac:dyDescent="0.2">
      <c r="L3080" s="17">
        <v>17.5</v>
      </c>
      <c r="T3080" s="17">
        <v>2</v>
      </c>
      <c r="U3080" s="17" t="s">
        <v>57</v>
      </c>
      <c r="V3080" s="17" t="s">
        <v>56</v>
      </c>
      <c r="W3080" s="4">
        <v>70</v>
      </c>
      <c r="Y3080" s="4">
        <v>70</v>
      </c>
      <c r="AB3080" s="17">
        <v>50</v>
      </c>
      <c r="AJ3080" s="19">
        <v>0</v>
      </c>
      <c r="AK3080" s="23">
        <v>50</v>
      </c>
      <c r="AM3080" s="19">
        <v>0</v>
      </c>
      <c r="AN3080" s="19">
        <v>0</v>
      </c>
      <c r="AP3080" s="14">
        <v>0</v>
      </c>
    </row>
    <row r="3081" spans="1:45" ht="84" x14ac:dyDescent="0.2">
      <c r="L3081" s="17">
        <v>25</v>
      </c>
      <c r="T3081" s="17">
        <v>3</v>
      </c>
      <c r="U3081" s="17" t="s">
        <v>101</v>
      </c>
      <c r="V3081" s="17" t="s">
        <v>56</v>
      </c>
      <c r="W3081" s="4">
        <v>100</v>
      </c>
      <c r="Y3081" s="4">
        <v>100</v>
      </c>
      <c r="AB3081" s="17">
        <v>10</v>
      </c>
      <c r="AF3081" s="14">
        <v>3</v>
      </c>
      <c r="AG3081" s="54">
        <v>100</v>
      </c>
      <c r="AH3081" s="11">
        <v>1</v>
      </c>
      <c r="AI3081" s="14">
        <v>3750</v>
      </c>
      <c r="AJ3081" s="19">
        <v>375000</v>
      </c>
      <c r="AK3081" s="23">
        <v>10</v>
      </c>
      <c r="AL3081" s="11">
        <v>0.1</v>
      </c>
      <c r="AM3081" s="19">
        <v>337500</v>
      </c>
      <c r="AN3081" s="19">
        <v>447500</v>
      </c>
      <c r="AP3081" s="14">
        <v>447500</v>
      </c>
      <c r="AQ3081" s="12">
        <v>3.0000000000000001E-3</v>
      </c>
      <c r="AR3081" s="19" t="s">
        <v>264</v>
      </c>
    </row>
    <row r="3082" spans="1:45" ht="63" x14ac:dyDescent="0.2">
      <c r="L3082" s="17">
        <v>20.25</v>
      </c>
      <c r="T3082" s="17">
        <v>4</v>
      </c>
      <c r="U3082" s="17" t="s">
        <v>57</v>
      </c>
      <c r="V3082" s="17" t="s">
        <v>88</v>
      </c>
      <c r="W3082" s="4">
        <v>81</v>
      </c>
      <c r="Y3082" s="4">
        <v>81</v>
      </c>
      <c r="AB3082" s="17">
        <v>31</v>
      </c>
      <c r="AJ3082" s="19">
        <v>0</v>
      </c>
      <c r="AK3082" s="23">
        <v>31</v>
      </c>
      <c r="AM3082" s="19">
        <v>0</v>
      </c>
      <c r="AN3082" s="19">
        <v>0</v>
      </c>
      <c r="AP3082" s="14">
        <v>0</v>
      </c>
    </row>
    <row r="3083" spans="1:45" x14ac:dyDescent="0.2">
      <c r="A3083" s="2">
        <v>2624</v>
      </c>
      <c r="B3083" s="13">
        <v>3</v>
      </c>
      <c r="C3083" s="17" t="s">
        <v>52</v>
      </c>
      <c r="D3083" s="17">
        <v>1279</v>
      </c>
      <c r="E3083" s="17">
        <v>1</v>
      </c>
      <c r="F3083" s="17">
        <v>752</v>
      </c>
      <c r="G3083" s="13">
        <v>6</v>
      </c>
      <c r="H3083" s="17">
        <v>18</v>
      </c>
      <c r="I3083" s="17">
        <v>1</v>
      </c>
      <c r="J3083" s="17">
        <v>3</v>
      </c>
      <c r="P3083" s="17">
        <v>1</v>
      </c>
      <c r="Q3083" s="19">
        <v>7303</v>
      </c>
      <c r="R3083" s="14">
        <v>160</v>
      </c>
      <c r="S3083" s="19">
        <v>1168480</v>
      </c>
      <c r="AJ3083" s="19">
        <v>0</v>
      </c>
      <c r="AK3083" s="23">
        <v>0</v>
      </c>
      <c r="AM3083" s="19">
        <v>0</v>
      </c>
      <c r="AN3083" s="19">
        <v>1168480</v>
      </c>
      <c r="AP3083" s="14">
        <v>1168480</v>
      </c>
    </row>
    <row r="3084" spans="1:45" x14ac:dyDescent="0.2">
      <c r="A3084" s="2">
        <v>2625</v>
      </c>
      <c r="B3084" s="13">
        <v>1</v>
      </c>
      <c r="C3084" s="17" t="s">
        <v>52</v>
      </c>
      <c r="D3084" s="17">
        <v>18423</v>
      </c>
      <c r="E3084" s="17">
        <v>20</v>
      </c>
      <c r="F3084" s="17">
        <v>4311</v>
      </c>
      <c r="G3084" s="13">
        <v>5</v>
      </c>
      <c r="H3084" s="17">
        <v>18</v>
      </c>
      <c r="I3084" s="17">
        <v>2</v>
      </c>
      <c r="J3084" s="17">
        <v>93</v>
      </c>
      <c r="K3084" s="10">
        <v>7303</v>
      </c>
      <c r="P3084" s="17">
        <v>1</v>
      </c>
      <c r="Q3084" s="19">
        <v>7493</v>
      </c>
      <c r="R3084" s="14">
        <v>200</v>
      </c>
      <c r="S3084" s="19">
        <v>1498600</v>
      </c>
      <c r="AJ3084" s="19">
        <v>0</v>
      </c>
      <c r="AK3084" s="23">
        <v>0</v>
      </c>
      <c r="AM3084" s="19">
        <v>0</v>
      </c>
      <c r="AN3084" s="19">
        <v>1498600</v>
      </c>
      <c r="AP3084" s="14">
        <v>1498600</v>
      </c>
    </row>
    <row r="3085" spans="1:45" x14ac:dyDescent="0.2">
      <c r="A3085" s="2">
        <v>2626</v>
      </c>
      <c r="B3085" s="13">
        <v>1</v>
      </c>
      <c r="C3085" s="17" t="s">
        <v>69</v>
      </c>
      <c r="E3085" s="17">
        <v>1516</v>
      </c>
      <c r="F3085" s="17">
        <v>9</v>
      </c>
      <c r="G3085" s="13">
        <v>2</v>
      </c>
      <c r="H3085" s="17">
        <v>15</v>
      </c>
      <c r="I3085" s="17">
        <v>1</v>
      </c>
      <c r="J3085" s="17">
        <v>53</v>
      </c>
      <c r="K3085" s="10">
        <v>6153</v>
      </c>
      <c r="P3085" s="17">
        <v>1</v>
      </c>
      <c r="Q3085" s="19">
        <v>6153</v>
      </c>
      <c r="R3085" s="14">
        <v>160</v>
      </c>
      <c r="S3085" s="19">
        <v>984480</v>
      </c>
      <c r="AJ3085" s="19">
        <v>0</v>
      </c>
      <c r="AK3085" s="23">
        <v>0</v>
      </c>
      <c r="AM3085" s="19">
        <v>0</v>
      </c>
      <c r="AN3085" s="19">
        <v>984480</v>
      </c>
      <c r="AP3085" s="14">
        <v>984480</v>
      </c>
      <c r="AQ3085" s="12">
        <v>1E-4</v>
      </c>
      <c r="AS3085" s="26">
        <v>46</v>
      </c>
    </row>
    <row r="3086" spans="1:45" x14ac:dyDescent="0.2">
      <c r="B3086" s="13">
        <v>1</v>
      </c>
      <c r="C3086" s="17" t="s">
        <v>52</v>
      </c>
      <c r="D3086" s="17">
        <v>16470</v>
      </c>
      <c r="E3086" s="17">
        <v>12</v>
      </c>
      <c r="F3086" s="17">
        <v>3573</v>
      </c>
      <c r="H3086" s="17">
        <v>5</v>
      </c>
      <c r="I3086" s="17">
        <v>2</v>
      </c>
      <c r="J3086" s="17">
        <v>63</v>
      </c>
      <c r="K3086" s="10" t="s">
        <v>265</v>
      </c>
      <c r="P3086" s="17">
        <v>1</v>
      </c>
      <c r="Q3086" s="19">
        <v>2263</v>
      </c>
      <c r="R3086" s="14" t="e">
        <v>#N/A</v>
      </c>
      <c r="S3086" s="19" t="e">
        <v>#N/A</v>
      </c>
    </row>
    <row r="3087" spans="1:45" x14ac:dyDescent="0.2">
      <c r="B3087" s="13">
        <v>2</v>
      </c>
      <c r="C3087" s="17" t="s">
        <v>52</v>
      </c>
      <c r="D3087" s="17">
        <v>22391</v>
      </c>
      <c r="E3087" s="17">
        <v>12</v>
      </c>
      <c r="F3087" s="17">
        <v>4653</v>
      </c>
      <c r="H3087" s="17">
        <v>7</v>
      </c>
      <c r="I3087" s="17">
        <v>1</v>
      </c>
      <c r="J3087" s="17">
        <v>50</v>
      </c>
      <c r="K3087" s="10" t="s">
        <v>266</v>
      </c>
      <c r="P3087" s="17">
        <v>1</v>
      </c>
      <c r="Q3087" s="19">
        <v>2950</v>
      </c>
      <c r="R3087" s="14" t="e">
        <v>#N/A</v>
      </c>
      <c r="S3087" s="19" t="e">
        <v>#N/A</v>
      </c>
    </row>
    <row r="3088" spans="1:45" ht="63" x14ac:dyDescent="0.2">
      <c r="A3088" s="2">
        <v>2627</v>
      </c>
      <c r="B3088" s="13">
        <v>1</v>
      </c>
      <c r="C3088" s="17" t="s">
        <v>52</v>
      </c>
      <c r="D3088" s="17">
        <v>1664</v>
      </c>
      <c r="E3088" s="17">
        <v>5</v>
      </c>
      <c r="F3088" s="17">
        <v>783</v>
      </c>
      <c r="G3088" s="13">
        <v>6</v>
      </c>
      <c r="H3088" s="17">
        <v>0</v>
      </c>
      <c r="I3088" s="17">
        <v>0</v>
      </c>
      <c r="J3088" s="17">
        <v>42</v>
      </c>
      <c r="L3088" s="17">
        <v>42</v>
      </c>
      <c r="P3088" s="17">
        <v>2</v>
      </c>
      <c r="Q3088" s="19">
        <v>42</v>
      </c>
      <c r="R3088" s="14">
        <v>4500</v>
      </c>
      <c r="S3088" s="19">
        <v>189000</v>
      </c>
      <c r="T3088" s="17">
        <v>1</v>
      </c>
      <c r="U3088" s="17" t="s">
        <v>57</v>
      </c>
      <c r="V3088" s="17" t="s">
        <v>56</v>
      </c>
      <c r="W3088" s="4">
        <v>120</v>
      </c>
      <c r="Y3088" s="4">
        <v>120</v>
      </c>
      <c r="AB3088" s="17">
        <v>20</v>
      </c>
      <c r="AJ3088" s="19">
        <v>0</v>
      </c>
      <c r="AK3088" s="23">
        <v>20</v>
      </c>
      <c r="AM3088" s="19">
        <v>0</v>
      </c>
      <c r="AN3088" s="19">
        <v>189000</v>
      </c>
      <c r="AP3088" s="14">
        <v>189000</v>
      </c>
    </row>
    <row r="3089" spans="1:49" x14ac:dyDescent="0.2">
      <c r="A3089" s="2">
        <v>2628</v>
      </c>
      <c r="B3089" s="13">
        <v>1</v>
      </c>
      <c r="C3089" s="17" t="s">
        <v>52</v>
      </c>
      <c r="D3089" s="17">
        <v>1680</v>
      </c>
      <c r="E3089" s="17">
        <v>42</v>
      </c>
      <c r="F3089" s="17">
        <v>1382</v>
      </c>
      <c r="H3089" s="17">
        <v>1</v>
      </c>
      <c r="I3089" s="17">
        <v>1</v>
      </c>
      <c r="J3089" s="17">
        <v>79</v>
      </c>
      <c r="K3089" s="10">
        <v>579</v>
      </c>
      <c r="P3089" s="17">
        <v>1</v>
      </c>
      <c r="Q3089" s="19">
        <v>579</v>
      </c>
      <c r="R3089" s="14">
        <v>160</v>
      </c>
      <c r="S3089" s="19">
        <v>92640</v>
      </c>
      <c r="AJ3089" s="19">
        <v>0</v>
      </c>
      <c r="AK3089" s="23">
        <v>0</v>
      </c>
      <c r="AM3089" s="19">
        <v>0</v>
      </c>
      <c r="AN3089" s="19">
        <v>92640</v>
      </c>
      <c r="AP3089" s="14">
        <v>92640</v>
      </c>
      <c r="AS3089" s="26">
        <v>165</v>
      </c>
      <c r="AW3089" s="14" t="s">
        <v>102</v>
      </c>
    </row>
    <row r="3090" spans="1:49" x14ac:dyDescent="0.2">
      <c r="A3090" s="2">
        <v>2629</v>
      </c>
      <c r="B3090" s="13">
        <v>2</v>
      </c>
      <c r="C3090" s="17" t="s">
        <v>97</v>
      </c>
      <c r="D3090" s="17">
        <v>74</v>
      </c>
      <c r="G3090" s="13">
        <v>5</v>
      </c>
      <c r="H3090" s="17">
        <v>6</v>
      </c>
      <c r="I3090" s="17">
        <v>0</v>
      </c>
      <c r="J3090" s="17">
        <v>0</v>
      </c>
      <c r="K3090" s="10">
        <v>2400</v>
      </c>
      <c r="P3090" s="17">
        <v>1</v>
      </c>
      <c r="Q3090" s="19">
        <v>2400</v>
      </c>
      <c r="R3090" s="14">
        <v>160</v>
      </c>
      <c r="S3090" s="19">
        <v>384000</v>
      </c>
      <c r="AJ3090" s="19">
        <v>0</v>
      </c>
      <c r="AK3090" s="23">
        <v>0</v>
      </c>
      <c r="AM3090" s="19">
        <v>0</v>
      </c>
      <c r="AN3090" s="19">
        <v>384000</v>
      </c>
      <c r="AP3090" s="14">
        <v>384000</v>
      </c>
      <c r="AQ3090" s="12">
        <v>1E-4</v>
      </c>
    </row>
    <row r="3091" spans="1:49" ht="63" x14ac:dyDescent="0.2">
      <c r="A3091" s="2">
        <v>2630</v>
      </c>
      <c r="B3091" s="13">
        <v>3</v>
      </c>
      <c r="C3091" s="17" t="s">
        <v>65</v>
      </c>
      <c r="D3091" s="17">
        <v>650</v>
      </c>
      <c r="E3091" s="17">
        <v>173</v>
      </c>
      <c r="H3091" s="17">
        <v>0</v>
      </c>
      <c r="I3091" s="17">
        <v>1</v>
      </c>
      <c r="J3091" s="17">
        <v>88</v>
      </c>
      <c r="O3091" s="14">
        <v>188</v>
      </c>
      <c r="P3091" s="17">
        <v>5</v>
      </c>
      <c r="Q3091" s="19">
        <v>188</v>
      </c>
      <c r="R3091" s="14">
        <v>4500</v>
      </c>
      <c r="S3091" s="19">
        <v>846000</v>
      </c>
      <c r="U3091" s="17" t="s">
        <v>57</v>
      </c>
      <c r="V3091" s="17" t="s">
        <v>56</v>
      </c>
      <c r="W3091" s="4">
        <v>108</v>
      </c>
      <c r="Y3091" s="4" t="s">
        <v>267</v>
      </c>
      <c r="AB3091" s="17">
        <v>6</v>
      </c>
      <c r="AE3091" s="17">
        <v>0.33333333333333331</v>
      </c>
      <c r="AF3091" s="14">
        <v>2</v>
      </c>
      <c r="AG3091" s="54">
        <v>108</v>
      </c>
      <c r="AH3091" s="11">
        <v>0.67</v>
      </c>
      <c r="AI3091" s="14">
        <v>7250</v>
      </c>
      <c r="AJ3091" s="19">
        <v>524610</v>
      </c>
      <c r="AK3091" s="23">
        <v>6</v>
      </c>
      <c r="AL3091" s="11">
        <v>0.06</v>
      </c>
      <c r="AM3091" s="19">
        <v>493133.4</v>
      </c>
      <c r="AN3091" s="19">
        <v>1059953.3999999999</v>
      </c>
      <c r="AP3091" s="14">
        <v>1059953.3999999999</v>
      </c>
      <c r="AQ3091" s="12">
        <v>2.0000000000000001E-4</v>
      </c>
    </row>
    <row r="3092" spans="1:49" x14ac:dyDescent="0.2">
      <c r="Z3092" s="17">
        <v>54</v>
      </c>
      <c r="AB3092" s="17">
        <v>6</v>
      </c>
      <c r="AE3092" s="17">
        <v>67</v>
      </c>
      <c r="AF3092" s="14">
        <v>3</v>
      </c>
      <c r="AG3092" s="54">
        <v>108</v>
      </c>
      <c r="AH3092" s="11">
        <v>0.33</v>
      </c>
      <c r="AI3092" s="14">
        <v>7250</v>
      </c>
      <c r="AJ3092" s="19">
        <v>258390</v>
      </c>
      <c r="AK3092" s="23">
        <v>6</v>
      </c>
      <c r="AL3092" s="11">
        <v>0.06</v>
      </c>
      <c r="AM3092" s="19">
        <v>242886.6</v>
      </c>
      <c r="AN3092" s="19">
        <v>522066.6</v>
      </c>
      <c r="AP3092" s="14">
        <v>522066.6</v>
      </c>
      <c r="AQ3092" s="12">
        <v>3.0000000000000001E-3</v>
      </c>
    </row>
    <row r="3093" spans="1:49" x14ac:dyDescent="0.2">
      <c r="A3093" s="2">
        <v>2631</v>
      </c>
      <c r="B3093" s="13">
        <v>4</v>
      </c>
      <c r="C3093" s="17" t="s">
        <v>65</v>
      </c>
      <c r="D3093" s="17">
        <v>2027</v>
      </c>
      <c r="E3093" s="17">
        <v>133</v>
      </c>
      <c r="H3093" s="17">
        <v>16</v>
      </c>
      <c r="I3093" s="17">
        <v>0</v>
      </c>
      <c r="J3093" s="17">
        <v>60</v>
      </c>
      <c r="K3093" s="10">
        <v>6460</v>
      </c>
      <c r="P3093" s="17">
        <v>1</v>
      </c>
      <c r="Q3093" s="19">
        <v>6460</v>
      </c>
      <c r="R3093" s="14">
        <v>160</v>
      </c>
      <c r="S3093" s="19">
        <v>1033600</v>
      </c>
      <c r="AJ3093" s="19">
        <v>0</v>
      </c>
      <c r="AK3093" s="23">
        <v>0</v>
      </c>
      <c r="AM3093" s="19">
        <v>0</v>
      </c>
      <c r="AN3093" s="19">
        <v>1033600</v>
      </c>
      <c r="AP3093" s="14">
        <v>1033600</v>
      </c>
      <c r="AQ3093" s="12">
        <v>1E-4</v>
      </c>
    </row>
    <row r="3094" spans="1:49" x14ac:dyDescent="0.2">
      <c r="B3094" s="13">
        <v>4</v>
      </c>
      <c r="C3094" s="17" t="s">
        <v>97</v>
      </c>
      <c r="D3094" s="17">
        <v>128</v>
      </c>
      <c r="G3094" s="13">
        <v>5</v>
      </c>
      <c r="H3094" s="17">
        <v>28</v>
      </c>
      <c r="I3094" s="17">
        <v>0</v>
      </c>
      <c r="J3094" s="17">
        <v>0</v>
      </c>
      <c r="K3094" s="10">
        <v>11200</v>
      </c>
      <c r="P3094" s="17">
        <v>1</v>
      </c>
      <c r="Q3094" s="19">
        <v>11200</v>
      </c>
      <c r="R3094" s="14" t="e">
        <v>#N/A</v>
      </c>
      <c r="S3094" s="19" t="e">
        <v>#N/A</v>
      </c>
      <c r="AJ3094" s="19">
        <v>0</v>
      </c>
      <c r="AK3094" s="23">
        <v>0</v>
      </c>
      <c r="AM3094" s="19">
        <v>0</v>
      </c>
      <c r="AN3094" s="19" t="e">
        <v>#N/A</v>
      </c>
      <c r="AP3094" s="14" t="e">
        <v>#N/A</v>
      </c>
      <c r="AQ3094" s="12">
        <v>1E-4</v>
      </c>
    </row>
    <row r="3095" spans="1:49" x14ac:dyDescent="0.2">
      <c r="B3095" s="13">
        <v>1</v>
      </c>
      <c r="C3095" s="17" t="s">
        <v>65</v>
      </c>
      <c r="D3095" s="17">
        <v>649</v>
      </c>
      <c r="E3095" s="17">
        <v>172</v>
      </c>
      <c r="H3095" s="17">
        <v>10</v>
      </c>
      <c r="I3095" s="17">
        <v>2</v>
      </c>
      <c r="J3095" s="17">
        <v>80</v>
      </c>
      <c r="K3095" s="10">
        <v>4280</v>
      </c>
      <c r="P3095" s="17">
        <v>1</v>
      </c>
      <c r="Q3095" s="19">
        <v>4280</v>
      </c>
      <c r="R3095" s="14" t="e">
        <v>#N/A</v>
      </c>
      <c r="S3095" s="19" t="e">
        <v>#N/A</v>
      </c>
      <c r="AJ3095" s="19">
        <v>0</v>
      </c>
      <c r="AK3095" s="23">
        <v>0</v>
      </c>
      <c r="AM3095" s="19">
        <v>0</v>
      </c>
      <c r="AN3095" s="19" t="e">
        <v>#N/A</v>
      </c>
      <c r="AP3095" s="14" t="e">
        <v>#N/A</v>
      </c>
      <c r="AQ3095" s="12">
        <v>1E-4</v>
      </c>
      <c r="AS3095" s="26">
        <v>129</v>
      </c>
    </row>
    <row r="3096" spans="1:49" x14ac:dyDescent="0.2">
      <c r="A3096" s="2">
        <v>2632</v>
      </c>
      <c r="B3096" s="13">
        <v>2</v>
      </c>
      <c r="C3096" s="17" t="s">
        <v>65</v>
      </c>
      <c r="D3096" s="17">
        <v>896</v>
      </c>
      <c r="E3096" s="17">
        <v>169</v>
      </c>
      <c r="H3096" s="17">
        <v>1</v>
      </c>
      <c r="I3096" s="17">
        <v>0</v>
      </c>
      <c r="J3096" s="17">
        <v>80</v>
      </c>
      <c r="K3096" s="10">
        <v>480</v>
      </c>
      <c r="P3096" s="17">
        <v>1</v>
      </c>
      <c r="Q3096" s="19">
        <v>480</v>
      </c>
      <c r="R3096" s="14">
        <v>4500</v>
      </c>
      <c r="S3096" s="19">
        <v>2160000</v>
      </c>
      <c r="AJ3096" s="19">
        <v>0</v>
      </c>
      <c r="AK3096" s="23">
        <v>0</v>
      </c>
      <c r="AM3096" s="19">
        <v>0</v>
      </c>
      <c r="AN3096" s="19">
        <v>2160000</v>
      </c>
      <c r="AP3096" s="14">
        <v>2160000</v>
      </c>
      <c r="AQ3096" s="12">
        <v>1E-4</v>
      </c>
    </row>
    <row r="3097" spans="1:49" x14ac:dyDescent="0.2">
      <c r="A3097" s="2">
        <v>2633</v>
      </c>
      <c r="B3097" s="13">
        <v>3</v>
      </c>
      <c r="C3097" s="17" t="s">
        <v>65</v>
      </c>
      <c r="D3097" s="17">
        <v>1849</v>
      </c>
      <c r="E3097" s="17">
        <v>106</v>
      </c>
      <c r="H3097" s="17">
        <v>3</v>
      </c>
      <c r="I3097" s="17">
        <v>2</v>
      </c>
      <c r="J3097" s="17">
        <v>90</v>
      </c>
      <c r="K3097" s="10">
        <v>1490</v>
      </c>
      <c r="P3097" s="17">
        <v>1</v>
      </c>
      <c r="Q3097" s="19">
        <v>1490</v>
      </c>
      <c r="R3097" s="14">
        <v>160</v>
      </c>
      <c r="S3097" s="19">
        <v>238400</v>
      </c>
      <c r="AJ3097" s="19">
        <v>0</v>
      </c>
      <c r="AK3097" s="23">
        <v>0</v>
      </c>
      <c r="AM3097" s="19">
        <v>0</v>
      </c>
      <c r="AN3097" s="19">
        <v>238400</v>
      </c>
      <c r="AP3097" s="14">
        <v>238400</v>
      </c>
      <c r="AQ3097" s="12">
        <v>1E-4</v>
      </c>
    </row>
    <row r="3098" spans="1:49" x14ac:dyDescent="0.2">
      <c r="B3098" s="13">
        <v>3</v>
      </c>
      <c r="C3098" s="17" t="s">
        <v>65</v>
      </c>
      <c r="D3098" s="17">
        <v>1848</v>
      </c>
      <c r="E3098" s="17">
        <v>105</v>
      </c>
      <c r="H3098" s="17">
        <v>21</v>
      </c>
      <c r="I3098" s="17">
        <v>1</v>
      </c>
      <c r="J3098" s="17">
        <v>80</v>
      </c>
      <c r="K3098" s="10">
        <v>8580</v>
      </c>
      <c r="P3098" s="17">
        <v>1</v>
      </c>
      <c r="Q3098" s="19">
        <v>8580</v>
      </c>
      <c r="R3098" s="14" t="e">
        <v>#N/A</v>
      </c>
      <c r="S3098" s="19" t="e">
        <v>#N/A</v>
      </c>
      <c r="AE3098" s="17" t="s">
        <v>94</v>
      </c>
      <c r="AJ3098" s="19">
        <v>0</v>
      </c>
      <c r="AK3098" s="23">
        <v>0</v>
      </c>
      <c r="AM3098" s="19">
        <v>0</v>
      </c>
      <c r="AN3098" s="19" t="e">
        <v>#N/A</v>
      </c>
      <c r="AP3098" s="14" t="e">
        <v>#N/A</v>
      </c>
      <c r="AQ3098" s="12">
        <v>1E-4</v>
      </c>
    </row>
    <row r="3099" spans="1:49" x14ac:dyDescent="0.2">
      <c r="A3099" s="2">
        <v>2634</v>
      </c>
      <c r="B3099" s="13">
        <v>1</v>
      </c>
      <c r="C3099" s="17" t="s">
        <v>52</v>
      </c>
      <c r="D3099" s="17">
        <v>1717</v>
      </c>
      <c r="E3099" s="17">
        <v>2</v>
      </c>
      <c r="F3099" s="17">
        <v>1425</v>
      </c>
      <c r="G3099" s="13">
        <v>3</v>
      </c>
      <c r="H3099" s="17">
        <v>7</v>
      </c>
      <c r="I3099" s="17">
        <v>0</v>
      </c>
      <c r="J3099" s="17">
        <v>42</v>
      </c>
      <c r="K3099" s="10">
        <v>2842</v>
      </c>
      <c r="P3099" s="17">
        <v>1</v>
      </c>
      <c r="Q3099" s="19">
        <v>2842</v>
      </c>
      <c r="R3099" s="14">
        <v>160</v>
      </c>
      <c r="S3099" s="19">
        <v>454720</v>
      </c>
      <c r="AJ3099" s="19">
        <v>0</v>
      </c>
      <c r="AK3099" s="23">
        <v>0</v>
      </c>
      <c r="AM3099" s="19">
        <v>0</v>
      </c>
      <c r="AN3099" s="19">
        <v>454720</v>
      </c>
      <c r="AP3099" s="14">
        <v>454720</v>
      </c>
      <c r="AS3099" s="26">
        <v>77</v>
      </c>
    </row>
    <row r="3100" spans="1:49" x14ac:dyDescent="0.2">
      <c r="A3100" s="2">
        <v>2635</v>
      </c>
      <c r="B3100" s="13">
        <v>1</v>
      </c>
      <c r="C3100" s="17" t="s">
        <v>69</v>
      </c>
      <c r="E3100" s="17">
        <v>1516</v>
      </c>
      <c r="F3100" s="17">
        <v>8</v>
      </c>
      <c r="G3100" s="13">
        <v>2</v>
      </c>
      <c r="H3100" s="17">
        <v>16</v>
      </c>
      <c r="I3100" s="17">
        <v>3</v>
      </c>
      <c r="J3100" s="17">
        <v>25</v>
      </c>
      <c r="K3100" s="10">
        <v>6725</v>
      </c>
      <c r="P3100" s="17">
        <v>1</v>
      </c>
      <c r="Q3100" s="19">
        <v>6725</v>
      </c>
      <c r="R3100" s="14">
        <v>160</v>
      </c>
      <c r="S3100" s="19">
        <v>1076000</v>
      </c>
      <c r="AJ3100" s="19">
        <v>0</v>
      </c>
      <c r="AK3100" s="23">
        <v>0</v>
      </c>
      <c r="AM3100" s="19">
        <v>0</v>
      </c>
      <c r="AN3100" s="19">
        <v>1076000</v>
      </c>
      <c r="AP3100" s="14">
        <v>1076000</v>
      </c>
      <c r="AQ3100" s="12">
        <v>1E-4</v>
      </c>
    </row>
    <row r="3101" spans="1:49" x14ac:dyDescent="0.2">
      <c r="A3101" s="2">
        <v>2636</v>
      </c>
      <c r="B3101" s="13">
        <v>1</v>
      </c>
      <c r="C3101" s="17" t="s">
        <v>52</v>
      </c>
      <c r="D3101" s="17">
        <v>33677</v>
      </c>
      <c r="E3101" s="17">
        <v>141</v>
      </c>
      <c r="F3101" s="17">
        <v>6735</v>
      </c>
      <c r="H3101" s="17">
        <v>0</v>
      </c>
      <c r="I3101" s="17">
        <v>1</v>
      </c>
      <c r="J3101" s="17">
        <v>41</v>
      </c>
      <c r="K3101" s="10">
        <v>141</v>
      </c>
      <c r="P3101" s="17">
        <v>1</v>
      </c>
      <c r="Q3101" s="19">
        <v>141</v>
      </c>
      <c r="R3101" s="14">
        <v>250</v>
      </c>
      <c r="S3101" s="19">
        <v>35250</v>
      </c>
      <c r="AJ3101" s="19">
        <v>0</v>
      </c>
      <c r="AK3101" s="23">
        <v>0</v>
      </c>
      <c r="AM3101" s="19">
        <v>0</v>
      </c>
      <c r="AN3101" s="19">
        <v>35250</v>
      </c>
      <c r="AP3101" s="14">
        <v>35250</v>
      </c>
    </row>
    <row r="3102" spans="1:49" ht="63" x14ac:dyDescent="0.2">
      <c r="A3102" s="2">
        <v>2637</v>
      </c>
      <c r="B3102" s="13">
        <v>1</v>
      </c>
      <c r="C3102" s="17" t="s">
        <v>52</v>
      </c>
      <c r="D3102" s="17">
        <v>1710</v>
      </c>
      <c r="E3102" s="17">
        <v>30</v>
      </c>
      <c r="F3102" s="17">
        <v>1379</v>
      </c>
      <c r="H3102" s="17">
        <v>4</v>
      </c>
      <c r="I3102" s="17">
        <v>3</v>
      </c>
      <c r="J3102" s="17">
        <v>46</v>
      </c>
      <c r="K3102" s="10">
        <v>1911</v>
      </c>
      <c r="L3102" s="17">
        <v>35</v>
      </c>
      <c r="P3102" s="17">
        <v>5</v>
      </c>
      <c r="Q3102" s="19">
        <v>1946</v>
      </c>
      <c r="R3102" s="14">
        <v>200</v>
      </c>
      <c r="S3102" s="19">
        <v>389200</v>
      </c>
      <c r="T3102" s="17">
        <v>1</v>
      </c>
      <c r="U3102" s="17" t="s">
        <v>57</v>
      </c>
      <c r="V3102" s="17" t="s">
        <v>84</v>
      </c>
      <c r="W3102" s="4">
        <v>140</v>
      </c>
      <c r="Y3102" s="4">
        <v>140</v>
      </c>
      <c r="AB3102" s="17">
        <v>49</v>
      </c>
      <c r="AJ3102" s="19">
        <v>0</v>
      </c>
      <c r="AK3102" s="23">
        <v>49</v>
      </c>
      <c r="AM3102" s="19">
        <v>0</v>
      </c>
      <c r="AN3102" s="19">
        <v>389200</v>
      </c>
      <c r="AP3102" s="14">
        <v>389200</v>
      </c>
    </row>
    <row r="3103" spans="1:49" x14ac:dyDescent="0.2">
      <c r="A3103" s="2">
        <v>2638</v>
      </c>
      <c r="B3103" s="13">
        <v>1</v>
      </c>
      <c r="C3103" s="17" t="s">
        <v>52</v>
      </c>
      <c r="D3103" s="17">
        <v>429</v>
      </c>
      <c r="E3103" s="17">
        <v>501</v>
      </c>
      <c r="F3103" s="17">
        <v>14</v>
      </c>
      <c r="G3103" s="13">
        <v>2</v>
      </c>
      <c r="H3103" s="17">
        <v>18</v>
      </c>
      <c r="I3103" s="17">
        <v>0</v>
      </c>
      <c r="J3103" s="17">
        <v>53.07</v>
      </c>
      <c r="K3103" s="10">
        <v>7253.07</v>
      </c>
      <c r="P3103" s="17">
        <v>1</v>
      </c>
      <c r="Q3103" s="19">
        <v>7253.07</v>
      </c>
      <c r="R3103" s="14">
        <v>1100</v>
      </c>
      <c r="S3103" s="19">
        <v>7978377</v>
      </c>
      <c r="AJ3103" s="19">
        <v>0</v>
      </c>
      <c r="AK3103" s="23">
        <v>0</v>
      </c>
      <c r="AM3103" s="19">
        <v>0</v>
      </c>
      <c r="AN3103" s="19">
        <v>7978377</v>
      </c>
      <c r="AP3103" s="14">
        <v>7978377</v>
      </c>
    </row>
    <row r="3104" spans="1:49" x14ac:dyDescent="0.2">
      <c r="A3104" s="2">
        <v>2639</v>
      </c>
      <c r="B3104" s="13">
        <v>2</v>
      </c>
      <c r="C3104" s="17" t="s">
        <v>52</v>
      </c>
      <c r="D3104" s="17">
        <v>33701</v>
      </c>
      <c r="E3104" s="17">
        <v>41</v>
      </c>
      <c r="F3104" s="17">
        <v>6680</v>
      </c>
      <c r="G3104" s="13">
        <v>6</v>
      </c>
      <c r="H3104" s="17">
        <v>2</v>
      </c>
      <c r="I3104" s="17">
        <v>1</v>
      </c>
      <c r="J3104" s="17">
        <v>56</v>
      </c>
      <c r="K3104" s="10">
        <v>956</v>
      </c>
      <c r="P3104" s="17">
        <v>1</v>
      </c>
      <c r="Q3104" s="19">
        <v>956</v>
      </c>
      <c r="R3104" s="14">
        <v>1100</v>
      </c>
      <c r="S3104" s="19">
        <v>1051600</v>
      </c>
      <c r="AJ3104" s="19">
        <v>0</v>
      </c>
      <c r="AK3104" s="23">
        <v>0</v>
      </c>
      <c r="AM3104" s="19">
        <v>0</v>
      </c>
      <c r="AN3104" s="19">
        <v>1051600</v>
      </c>
      <c r="AP3104" s="14">
        <v>1051600</v>
      </c>
    </row>
    <row r="3105" spans="1:45" x14ac:dyDescent="0.2">
      <c r="A3105" s="2">
        <v>2640</v>
      </c>
      <c r="B3105" s="13">
        <v>3</v>
      </c>
      <c r="C3105" s="17" t="s">
        <v>52</v>
      </c>
      <c r="D3105" s="17">
        <v>18315</v>
      </c>
      <c r="E3105" s="17">
        <v>288</v>
      </c>
      <c r="F3105" s="17">
        <v>4224</v>
      </c>
      <c r="H3105" s="17">
        <v>16</v>
      </c>
      <c r="I3105" s="17">
        <v>1</v>
      </c>
      <c r="J3105" s="17">
        <v>64</v>
      </c>
      <c r="K3105" s="10">
        <v>6440.87</v>
      </c>
      <c r="M3105" s="15">
        <v>4</v>
      </c>
      <c r="P3105" s="17">
        <v>5</v>
      </c>
      <c r="Q3105" s="19">
        <v>6564</v>
      </c>
      <c r="R3105" s="14">
        <v>500</v>
      </c>
      <c r="S3105" s="19">
        <v>3282000</v>
      </c>
    </row>
    <row r="3106" spans="1:45" ht="105" x14ac:dyDescent="0.2">
      <c r="P3106" s="17">
        <v>3</v>
      </c>
      <c r="Q3106" s="19">
        <v>260</v>
      </c>
      <c r="R3106" s="14">
        <v>500</v>
      </c>
      <c r="S3106" s="19">
        <v>130000</v>
      </c>
      <c r="T3106" s="17">
        <v>1</v>
      </c>
      <c r="U3106" s="17" t="s">
        <v>174</v>
      </c>
      <c r="V3106" s="17" t="s">
        <v>56</v>
      </c>
      <c r="W3106" s="4">
        <v>52</v>
      </c>
      <c r="Z3106" s="17">
        <v>54</v>
      </c>
      <c r="AB3106" s="17">
        <v>5</v>
      </c>
      <c r="AF3106" s="14">
        <v>3</v>
      </c>
      <c r="AG3106" s="54">
        <v>54</v>
      </c>
      <c r="AH3106" s="11">
        <v>1</v>
      </c>
      <c r="AI3106" s="14">
        <v>5800</v>
      </c>
      <c r="AJ3106" s="19">
        <v>313200</v>
      </c>
      <c r="AK3106" s="23">
        <v>5</v>
      </c>
      <c r="AL3106" s="11">
        <v>0.05</v>
      </c>
      <c r="AM3106" s="19">
        <v>297540</v>
      </c>
      <c r="AN3106" s="19">
        <v>307940</v>
      </c>
      <c r="AP3106" s="14">
        <v>307940</v>
      </c>
      <c r="AQ3106" s="12">
        <v>3.0000000000000001E-3</v>
      </c>
    </row>
    <row r="3107" spans="1:45" ht="63" x14ac:dyDescent="0.2">
      <c r="R3107" s="14">
        <v>500</v>
      </c>
      <c r="T3107" s="17">
        <v>2</v>
      </c>
      <c r="U3107" s="17" t="s">
        <v>57</v>
      </c>
      <c r="W3107" s="4">
        <v>40</v>
      </c>
      <c r="Z3107" s="17">
        <v>40</v>
      </c>
      <c r="AB3107" s="17">
        <v>5</v>
      </c>
      <c r="AF3107" s="14">
        <v>3</v>
      </c>
      <c r="AG3107" s="54">
        <v>40</v>
      </c>
      <c r="AH3107" s="11">
        <v>1</v>
      </c>
      <c r="AI3107" s="14">
        <v>7250</v>
      </c>
      <c r="AJ3107" s="19">
        <v>290000</v>
      </c>
      <c r="AK3107" s="23">
        <v>5</v>
      </c>
      <c r="AL3107" s="11">
        <v>0.05</v>
      </c>
      <c r="AM3107" s="19">
        <v>275500</v>
      </c>
      <c r="AN3107" s="19">
        <v>283300</v>
      </c>
      <c r="AP3107" s="14">
        <v>283300</v>
      </c>
      <c r="AQ3107" s="12">
        <v>3.0000000000000001E-3</v>
      </c>
    </row>
    <row r="3108" spans="1:45" ht="105" x14ac:dyDescent="0.2">
      <c r="R3108" s="14">
        <v>500</v>
      </c>
      <c r="T3108" s="17">
        <v>3</v>
      </c>
      <c r="U3108" s="17" t="s">
        <v>174</v>
      </c>
      <c r="W3108" s="4">
        <v>80</v>
      </c>
      <c r="Z3108" s="17">
        <v>80</v>
      </c>
      <c r="AB3108" s="17">
        <v>5</v>
      </c>
      <c r="AF3108" s="14">
        <v>3</v>
      </c>
      <c r="AG3108" s="54">
        <v>80</v>
      </c>
      <c r="AH3108" s="11">
        <v>1</v>
      </c>
      <c r="AI3108" s="14">
        <v>5800</v>
      </c>
      <c r="AJ3108" s="19">
        <v>464000</v>
      </c>
      <c r="AK3108" s="23">
        <v>5</v>
      </c>
      <c r="AL3108" s="11">
        <v>0.05</v>
      </c>
      <c r="AM3108" s="19">
        <v>440800</v>
      </c>
      <c r="AN3108" s="19">
        <v>455100</v>
      </c>
      <c r="AP3108" s="14">
        <v>455100</v>
      </c>
      <c r="AQ3108" s="12">
        <v>3.0000000000000001E-3</v>
      </c>
    </row>
    <row r="3109" spans="1:45" x14ac:dyDescent="0.2">
      <c r="A3109" s="2">
        <v>2641</v>
      </c>
      <c r="B3109" s="13">
        <v>4</v>
      </c>
      <c r="C3109" s="17" t="s">
        <v>65</v>
      </c>
      <c r="D3109" s="17">
        <v>1562</v>
      </c>
      <c r="E3109" s="17">
        <v>30</v>
      </c>
      <c r="H3109" s="17">
        <v>27</v>
      </c>
      <c r="I3109" s="17">
        <v>2</v>
      </c>
      <c r="J3109" s="17">
        <v>50</v>
      </c>
      <c r="K3109" s="10">
        <v>11050</v>
      </c>
      <c r="P3109" s="17">
        <v>1</v>
      </c>
      <c r="Q3109" s="19">
        <v>11050</v>
      </c>
      <c r="R3109" s="14">
        <v>375</v>
      </c>
      <c r="S3109" s="19">
        <v>4143750</v>
      </c>
      <c r="AJ3109" s="19">
        <v>0</v>
      </c>
      <c r="AK3109" s="23">
        <v>0</v>
      </c>
      <c r="AM3109" s="19">
        <v>0</v>
      </c>
      <c r="AN3109" s="19">
        <v>4143750</v>
      </c>
      <c r="AP3109" s="14">
        <v>4143750</v>
      </c>
      <c r="AQ3109" s="12">
        <v>1E-4</v>
      </c>
    </row>
    <row r="3110" spans="1:45" x14ac:dyDescent="0.2">
      <c r="B3110" s="13">
        <v>4</v>
      </c>
      <c r="C3110" s="17" t="s">
        <v>97</v>
      </c>
      <c r="D3110" s="17">
        <v>13</v>
      </c>
      <c r="G3110" s="13">
        <v>2</v>
      </c>
      <c r="H3110" s="17">
        <v>22</v>
      </c>
      <c r="I3110" s="17">
        <v>2</v>
      </c>
      <c r="J3110" s="17">
        <v>0</v>
      </c>
      <c r="K3110" s="10">
        <v>9000</v>
      </c>
      <c r="Q3110" s="19">
        <v>9000</v>
      </c>
      <c r="R3110" s="14" t="e">
        <v>#N/A</v>
      </c>
      <c r="S3110" s="19" t="e">
        <v>#N/A</v>
      </c>
      <c r="AJ3110" s="19">
        <v>0</v>
      </c>
      <c r="AK3110" s="23">
        <v>0</v>
      </c>
      <c r="AM3110" s="19">
        <v>0</v>
      </c>
      <c r="AN3110" s="19" t="e">
        <v>#N/A</v>
      </c>
      <c r="AP3110" s="14" t="e">
        <v>#N/A</v>
      </c>
      <c r="AQ3110" s="12">
        <v>1E-4</v>
      </c>
    </row>
    <row r="3111" spans="1:45" x14ac:dyDescent="0.2">
      <c r="B3111" s="13">
        <v>5</v>
      </c>
      <c r="C3111" s="17" t="s">
        <v>97</v>
      </c>
      <c r="D3111" s="17">
        <v>477</v>
      </c>
      <c r="G3111" s="13">
        <v>2</v>
      </c>
      <c r="H3111" s="17">
        <v>2</v>
      </c>
      <c r="I3111" s="17">
        <v>1</v>
      </c>
      <c r="J3111" s="17">
        <v>73</v>
      </c>
      <c r="K3111" s="10">
        <v>973</v>
      </c>
      <c r="Q3111" s="19">
        <v>973</v>
      </c>
      <c r="R3111" s="14" t="e">
        <v>#N/A</v>
      </c>
      <c r="S3111" s="19" t="e">
        <v>#N/A</v>
      </c>
      <c r="AJ3111" s="19">
        <v>0</v>
      </c>
      <c r="AK3111" s="23">
        <v>0</v>
      </c>
      <c r="AM3111" s="19">
        <v>0</v>
      </c>
      <c r="AN3111" s="19" t="e">
        <v>#N/A</v>
      </c>
      <c r="AP3111" s="14" t="e">
        <v>#N/A</v>
      </c>
      <c r="AQ3111" s="12">
        <v>1E-4</v>
      </c>
    </row>
    <row r="3112" spans="1:45" ht="63" x14ac:dyDescent="0.2">
      <c r="A3112" s="2">
        <v>2642</v>
      </c>
      <c r="B3112" s="13">
        <v>1</v>
      </c>
      <c r="C3112" s="17" t="s">
        <v>52</v>
      </c>
      <c r="D3112" s="17">
        <v>769</v>
      </c>
      <c r="E3112" s="17">
        <v>519</v>
      </c>
      <c r="F3112" s="17">
        <v>103</v>
      </c>
      <c r="G3112" s="13">
        <v>2</v>
      </c>
      <c r="H3112" s="17">
        <v>0</v>
      </c>
      <c r="I3112" s="17">
        <v>0</v>
      </c>
      <c r="J3112" s="17">
        <v>25.07</v>
      </c>
      <c r="L3112" s="17">
        <v>25.07</v>
      </c>
      <c r="P3112" s="17">
        <v>2</v>
      </c>
      <c r="Q3112" s="19">
        <v>25.07</v>
      </c>
      <c r="R3112" s="14">
        <v>4500</v>
      </c>
      <c r="S3112" s="19">
        <v>112815</v>
      </c>
      <c r="T3112" s="17">
        <v>1</v>
      </c>
      <c r="U3112" s="17" t="s">
        <v>57</v>
      </c>
      <c r="V3112" s="17" t="s">
        <v>56</v>
      </c>
      <c r="W3112" s="4">
        <v>72</v>
      </c>
      <c r="Y3112" s="4">
        <v>72</v>
      </c>
      <c r="AB3112" s="17">
        <v>28</v>
      </c>
      <c r="AJ3112" s="19">
        <v>0</v>
      </c>
      <c r="AK3112" s="23">
        <v>28</v>
      </c>
      <c r="AM3112" s="19">
        <v>0</v>
      </c>
      <c r="AN3112" s="19">
        <v>112815</v>
      </c>
      <c r="AP3112" s="14">
        <v>112815</v>
      </c>
    </row>
    <row r="3113" spans="1:45" ht="63" x14ac:dyDescent="0.2">
      <c r="A3113" s="2">
        <v>2643</v>
      </c>
      <c r="B3113" s="13">
        <v>1</v>
      </c>
      <c r="C3113" s="17" t="s">
        <v>52</v>
      </c>
      <c r="D3113" s="17">
        <v>1425</v>
      </c>
      <c r="E3113" s="17">
        <v>4</v>
      </c>
      <c r="F3113" s="17">
        <v>864</v>
      </c>
      <c r="G3113" s="13">
        <v>2</v>
      </c>
      <c r="H3113" s="17">
        <v>1</v>
      </c>
      <c r="I3113" s="17">
        <v>0</v>
      </c>
      <c r="J3113" s="17">
        <v>7</v>
      </c>
      <c r="K3113" s="10">
        <v>298</v>
      </c>
      <c r="L3113" s="17">
        <v>37.5</v>
      </c>
      <c r="P3113" s="17">
        <v>5</v>
      </c>
      <c r="Q3113" s="19">
        <v>407</v>
      </c>
      <c r="R3113" s="14">
        <v>1500</v>
      </c>
      <c r="S3113" s="19">
        <v>610500</v>
      </c>
      <c r="T3113" s="17">
        <v>1</v>
      </c>
      <c r="U3113" s="17" t="s">
        <v>57</v>
      </c>
      <c r="V3113" s="17" t="s">
        <v>88</v>
      </c>
      <c r="W3113" s="4">
        <v>150</v>
      </c>
      <c r="Y3113" s="4">
        <v>150</v>
      </c>
      <c r="AB3113" s="17">
        <v>27</v>
      </c>
      <c r="AJ3113" s="19">
        <v>0</v>
      </c>
      <c r="AK3113" s="23">
        <v>27</v>
      </c>
      <c r="AM3113" s="19">
        <v>0</v>
      </c>
      <c r="AN3113" s="19">
        <v>610500</v>
      </c>
      <c r="AP3113" s="14">
        <v>610500</v>
      </c>
    </row>
    <row r="3114" spans="1:45" ht="63" x14ac:dyDescent="0.2">
      <c r="L3114" s="17">
        <v>58</v>
      </c>
      <c r="Q3114" s="19">
        <v>0</v>
      </c>
      <c r="S3114" s="19">
        <v>0</v>
      </c>
      <c r="T3114" s="17">
        <v>2</v>
      </c>
      <c r="U3114" s="17" t="s">
        <v>57</v>
      </c>
      <c r="V3114" s="17" t="s">
        <v>56</v>
      </c>
      <c r="W3114" s="4">
        <v>232</v>
      </c>
      <c r="Y3114" s="4">
        <v>232</v>
      </c>
      <c r="AB3114" s="17">
        <v>27</v>
      </c>
      <c r="AJ3114" s="19">
        <v>0</v>
      </c>
      <c r="AK3114" s="23">
        <v>27</v>
      </c>
      <c r="AM3114" s="19">
        <v>0</v>
      </c>
      <c r="AN3114" s="19">
        <v>0</v>
      </c>
      <c r="AP3114" s="14">
        <v>0</v>
      </c>
    </row>
    <row r="3115" spans="1:45" x14ac:dyDescent="0.2">
      <c r="B3115" s="13">
        <v>1</v>
      </c>
      <c r="C3115" s="17" t="s">
        <v>69</v>
      </c>
      <c r="E3115" s="17">
        <v>1690</v>
      </c>
      <c r="F3115" s="17">
        <v>2</v>
      </c>
      <c r="G3115" s="13">
        <v>2</v>
      </c>
      <c r="H3115" s="17">
        <v>9</v>
      </c>
      <c r="I3115" s="17">
        <v>1</v>
      </c>
      <c r="J3115" s="17">
        <v>48</v>
      </c>
      <c r="K3115" s="10">
        <v>3748</v>
      </c>
      <c r="Q3115" s="19">
        <v>3748</v>
      </c>
      <c r="R3115" s="14" t="e">
        <v>#N/A</v>
      </c>
      <c r="S3115" s="19" t="e">
        <v>#N/A</v>
      </c>
      <c r="AJ3115" s="19">
        <v>0</v>
      </c>
      <c r="AK3115" s="23">
        <v>0</v>
      </c>
      <c r="AM3115" s="19">
        <v>0</v>
      </c>
      <c r="AN3115" s="19" t="e">
        <v>#N/A</v>
      </c>
      <c r="AP3115" s="14" t="e">
        <v>#N/A</v>
      </c>
      <c r="AQ3115" s="12">
        <v>1E-4</v>
      </c>
    </row>
    <row r="3116" spans="1:45" x14ac:dyDescent="0.2">
      <c r="B3116" s="13">
        <v>2</v>
      </c>
      <c r="C3116" s="17" t="s">
        <v>97</v>
      </c>
      <c r="D3116" s="17">
        <v>107</v>
      </c>
      <c r="G3116" s="13">
        <v>3</v>
      </c>
      <c r="H3116" s="17">
        <v>0</v>
      </c>
      <c r="I3116" s="17">
        <v>0</v>
      </c>
      <c r="J3116" s="17">
        <v>1</v>
      </c>
      <c r="K3116" s="10">
        <v>1</v>
      </c>
      <c r="Q3116" s="19">
        <v>1</v>
      </c>
      <c r="R3116" s="14" t="e">
        <v>#N/A</v>
      </c>
      <c r="S3116" s="19" t="e">
        <v>#N/A</v>
      </c>
      <c r="AJ3116" s="19">
        <v>0</v>
      </c>
      <c r="AK3116" s="23">
        <v>0</v>
      </c>
      <c r="AM3116" s="19">
        <v>0</v>
      </c>
      <c r="AN3116" s="19" t="e">
        <v>#N/A</v>
      </c>
      <c r="AP3116" s="14" t="e">
        <v>#N/A</v>
      </c>
      <c r="AQ3116" s="12">
        <v>1E-4</v>
      </c>
    </row>
    <row r="3117" spans="1:45" ht="63" x14ac:dyDescent="0.2">
      <c r="A3117" s="2">
        <v>2644</v>
      </c>
      <c r="B3117" s="13">
        <v>1</v>
      </c>
      <c r="C3117" s="17" t="s">
        <v>52</v>
      </c>
      <c r="D3117" s="17">
        <v>2099</v>
      </c>
      <c r="E3117" s="17">
        <v>41</v>
      </c>
      <c r="F3117" s="17">
        <v>1607</v>
      </c>
      <c r="G3117" s="13">
        <v>3</v>
      </c>
      <c r="H3117" s="17">
        <v>5</v>
      </c>
      <c r="I3117" s="17">
        <v>1</v>
      </c>
      <c r="J3117" s="17">
        <v>9</v>
      </c>
      <c r="K3117" s="10" t="s">
        <v>268</v>
      </c>
      <c r="P3117" s="17">
        <v>1</v>
      </c>
      <c r="Q3117" s="19">
        <v>2109</v>
      </c>
      <c r="R3117" s="14">
        <v>1000</v>
      </c>
      <c r="S3117" s="19">
        <v>2109000</v>
      </c>
      <c r="AJ3117" s="19">
        <v>0</v>
      </c>
      <c r="AK3117" s="23">
        <v>0</v>
      </c>
      <c r="AM3117" s="19">
        <v>0</v>
      </c>
      <c r="AN3117" s="19">
        <v>2109000</v>
      </c>
      <c r="AP3117" s="14">
        <v>2109000</v>
      </c>
      <c r="AR3117" s="19">
        <v>108</v>
      </c>
      <c r="AS3117" s="26">
        <v>3858</v>
      </c>
    </row>
    <row r="3118" spans="1:45" ht="63" x14ac:dyDescent="0.2">
      <c r="A3118" s="2">
        <v>2645</v>
      </c>
      <c r="B3118" s="13">
        <v>2</v>
      </c>
      <c r="C3118" s="17" t="s">
        <v>52</v>
      </c>
      <c r="D3118" s="17">
        <v>2100</v>
      </c>
      <c r="E3118" s="17">
        <v>37</v>
      </c>
      <c r="F3118" s="17">
        <v>1613</v>
      </c>
      <c r="G3118" s="13">
        <v>3</v>
      </c>
      <c r="H3118" s="17">
        <v>10</v>
      </c>
      <c r="I3118" s="17">
        <v>3</v>
      </c>
      <c r="J3118" s="17">
        <v>0</v>
      </c>
      <c r="K3118" s="10">
        <v>4300</v>
      </c>
      <c r="P3118" s="17">
        <v>1</v>
      </c>
      <c r="Q3118" s="19">
        <v>4300</v>
      </c>
      <c r="R3118" s="14">
        <v>500</v>
      </c>
      <c r="S3118" s="19">
        <v>2150000</v>
      </c>
      <c r="AJ3118" s="19">
        <v>0</v>
      </c>
      <c r="AK3118" s="23">
        <v>0</v>
      </c>
      <c r="AM3118" s="19">
        <v>0</v>
      </c>
      <c r="AN3118" s="19">
        <v>2150000</v>
      </c>
      <c r="AP3118" s="14">
        <v>2150000</v>
      </c>
      <c r="AR3118" s="19">
        <v>3750</v>
      </c>
    </row>
    <row r="3119" spans="1:45" x14ac:dyDescent="0.2">
      <c r="A3119" s="2">
        <v>2646</v>
      </c>
      <c r="B3119" s="13">
        <v>3</v>
      </c>
      <c r="C3119" s="17" t="s">
        <v>52</v>
      </c>
      <c r="D3119" s="17">
        <v>2150</v>
      </c>
      <c r="E3119" s="17">
        <v>35</v>
      </c>
      <c r="F3119" s="17">
        <v>1611</v>
      </c>
      <c r="G3119" s="13">
        <v>3</v>
      </c>
      <c r="H3119" s="17">
        <v>8</v>
      </c>
      <c r="I3119" s="17">
        <v>1</v>
      </c>
      <c r="J3119" s="17">
        <v>65</v>
      </c>
      <c r="K3119" s="10">
        <v>3365</v>
      </c>
      <c r="P3119" s="17">
        <v>1</v>
      </c>
      <c r="Q3119" s="19">
        <v>3365</v>
      </c>
      <c r="R3119" s="14">
        <v>160</v>
      </c>
      <c r="S3119" s="19">
        <v>538400</v>
      </c>
      <c r="AJ3119" s="19">
        <v>0</v>
      </c>
      <c r="AK3119" s="23">
        <v>0</v>
      </c>
      <c r="AM3119" s="19">
        <v>0</v>
      </c>
      <c r="AN3119" s="19">
        <v>538400</v>
      </c>
      <c r="AP3119" s="14">
        <v>538400</v>
      </c>
    </row>
    <row r="3120" spans="1:45" x14ac:dyDescent="0.2">
      <c r="A3120" s="2">
        <v>2647</v>
      </c>
      <c r="B3120" s="13">
        <v>4</v>
      </c>
      <c r="C3120" s="17" t="s">
        <v>52</v>
      </c>
      <c r="D3120" s="17">
        <v>1889</v>
      </c>
      <c r="E3120" s="17">
        <v>36</v>
      </c>
      <c r="F3120" s="17">
        <v>1279</v>
      </c>
      <c r="G3120" s="13">
        <v>2</v>
      </c>
      <c r="H3120" s="17">
        <v>6</v>
      </c>
      <c r="I3120" s="17">
        <v>1</v>
      </c>
      <c r="J3120" s="17">
        <v>51</v>
      </c>
      <c r="K3120" s="10">
        <v>2551</v>
      </c>
      <c r="P3120" s="17">
        <v>1</v>
      </c>
      <c r="Q3120" s="19">
        <v>2551</v>
      </c>
      <c r="R3120" s="14">
        <v>160</v>
      </c>
      <c r="S3120" s="19">
        <v>408160</v>
      </c>
      <c r="AJ3120" s="19">
        <v>0</v>
      </c>
      <c r="AK3120" s="23">
        <v>0</v>
      </c>
      <c r="AM3120" s="19">
        <v>0</v>
      </c>
      <c r="AN3120" s="19">
        <v>408160</v>
      </c>
      <c r="AP3120" s="14">
        <v>408160</v>
      </c>
    </row>
    <row r="3121" spans="1:45" ht="63" x14ac:dyDescent="0.2">
      <c r="A3121" s="2">
        <v>2648</v>
      </c>
      <c r="B3121" s="13">
        <v>1</v>
      </c>
      <c r="C3121" s="17" t="s">
        <v>52</v>
      </c>
      <c r="D3121" s="17">
        <v>2249</v>
      </c>
      <c r="E3121" s="17">
        <v>27</v>
      </c>
      <c r="F3121" s="17">
        <v>1616</v>
      </c>
      <c r="G3121" s="13">
        <v>3</v>
      </c>
      <c r="H3121" s="17">
        <v>15</v>
      </c>
      <c r="I3121" s="17">
        <v>3</v>
      </c>
      <c r="J3121" s="17">
        <v>42</v>
      </c>
      <c r="K3121" s="10">
        <v>6342</v>
      </c>
      <c r="P3121" s="17">
        <v>1</v>
      </c>
      <c r="Q3121" s="19">
        <v>6342</v>
      </c>
      <c r="R3121" s="14">
        <v>500</v>
      </c>
      <c r="S3121" s="19">
        <v>3171000</v>
      </c>
      <c r="AJ3121" s="19">
        <v>0</v>
      </c>
      <c r="AK3121" s="23">
        <v>0</v>
      </c>
      <c r="AM3121" s="19">
        <v>0</v>
      </c>
      <c r="AN3121" s="19">
        <v>3171000</v>
      </c>
      <c r="AP3121" s="14">
        <v>3171000</v>
      </c>
      <c r="AR3121" s="19">
        <v>87</v>
      </c>
      <c r="AS3121" s="26">
        <v>3087</v>
      </c>
    </row>
    <row r="3122" spans="1:45" ht="63" x14ac:dyDescent="0.2">
      <c r="Q3122" s="19">
        <v>0</v>
      </c>
      <c r="R3122" s="14" t="e">
        <v>#N/A</v>
      </c>
      <c r="AR3122" s="19">
        <v>3000</v>
      </c>
    </row>
    <row r="3123" spans="1:45" x14ac:dyDescent="0.2">
      <c r="A3123" s="2">
        <v>2649</v>
      </c>
      <c r="B3123" s="13">
        <v>1</v>
      </c>
      <c r="C3123" s="17" t="s">
        <v>52</v>
      </c>
      <c r="D3123" s="17">
        <v>2248</v>
      </c>
      <c r="E3123" s="17">
        <v>34</v>
      </c>
      <c r="F3123" s="17">
        <v>1610</v>
      </c>
      <c r="G3123" s="13">
        <v>3</v>
      </c>
      <c r="H3123" s="17">
        <v>6</v>
      </c>
      <c r="I3123" s="17">
        <v>1</v>
      </c>
      <c r="J3123" s="17">
        <v>50</v>
      </c>
      <c r="K3123" s="10">
        <v>2550</v>
      </c>
      <c r="P3123" s="17">
        <v>1</v>
      </c>
      <c r="Q3123" s="19">
        <v>2550</v>
      </c>
      <c r="R3123" s="14">
        <v>160</v>
      </c>
      <c r="S3123" s="19">
        <v>408000</v>
      </c>
      <c r="AJ3123" s="19">
        <v>0</v>
      </c>
      <c r="AK3123" s="23">
        <v>0</v>
      </c>
      <c r="AM3123" s="19">
        <v>0</v>
      </c>
      <c r="AN3123" s="19">
        <v>408000</v>
      </c>
      <c r="AP3123" s="14">
        <v>408000</v>
      </c>
    </row>
    <row r="3124" spans="1:45" x14ac:dyDescent="0.2">
      <c r="A3124" s="2">
        <v>2650</v>
      </c>
      <c r="B3124" s="13">
        <v>2</v>
      </c>
      <c r="C3124" s="17" t="s">
        <v>52</v>
      </c>
      <c r="D3124" s="17">
        <v>2331</v>
      </c>
      <c r="E3124" s="17">
        <v>38</v>
      </c>
      <c r="F3124" s="17">
        <v>1609</v>
      </c>
      <c r="G3124" s="13">
        <v>3</v>
      </c>
      <c r="H3124" s="17">
        <v>9</v>
      </c>
      <c r="I3124" s="17">
        <v>2</v>
      </c>
      <c r="J3124" s="17">
        <v>76</v>
      </c>
      <c r="K3124" s="10">
        <v>3876</v>
      </c>
      <c r="P3124" s="17">
        <v>1</v>
      </c>
      <c r="Q3124" s="19">
        <v>3876</v>
      </c>
      <c r="R3124" s="14">
        <v>500</v>
      </c>
      <c r="S3124" s="19">
        <v>1938000</v>
      </c>
      <c r="AJ3124" s="19">
        <v>0</v>
      </c>
      <c r="AK3124" s="23">
        <v>0</v>
      </c>
      <c r="AM3124" s="19">
        <v>0</v>
      </c>
      <c r="AN3124" s="19">
        <v>1938000</v>
      </c>
      <c r="AP3124" s="14">
        <v>1938000</v>
      </c>
    </row>
    <row r="3125" spans="1:45" x14ac:dyDescent="0.2">
      <c r="A3125" s="2">
        <v>2651</v>
      </c>
      <c r="B3125" s="13">
        <v>3</v>
      </c>
      <c r="C3125" s="17" t="s">
        <v>69</v>
      </c>
      <c r="E3125" s="17">
        <v>1519</v>
      </c>
      <c r="F3125" s="17">
        <v>4</v>
      </c>
      <c r="G3125" s="13">
        <v>2</v>
      </c>
      <c r="H3125" s="17">
        <v>9</v>
      </c>
      <c r="I3125" s="17">
        <v>0</v>
      </c>
      <c r="J3125" s="17">
        <v>87</v>
      </c>
      <c r="K3125" s="10">
        <v>3687</v>
      </c>
      <c r="P3125" s="17">
        <v>1</v>
      </c>
      <c r="Q3125" s="19">
        <v>3687</v>
      </c>
      <c r="R3125" s="14">
        <v>160</v>
      </c>
      <c r="S3125" s="19">
        <v>589920</v>
      </c>
      <c r="AJ3125" s="19">
        <v>0</v>
      </c>
      <c r="AK3125" s="23">
        <v>0</v>
      </c>
      <c r="AM3125" s="19">
        <v>0</v>
      </c>
      <c r="AN3125" s="19">
        <v>589920</v>
      </c>
      <c r="AP3125" s="14">
        <v>589920</v>
      </c>
      <c r="AQ3125" s="12">
        <v>1E-4</v>
      </c>
    </row>
    <row r="3126" spans="1:45" x14ac:dyDescent="0.2">
      <c r="A3126" s="2">
        <v>2652</v>
      </c>
      <c r="B3126" s="13">
        <v>4</v>
      </c>
      <c r="C3126" s="17" t="s">
        <v>69</v>
      </c>
      <c r="E3126" s="17">
        <v>1690</v>
      </c>
      <c r="F3126" s="17">
        <v>1</v>
      </c>
      <c r="G3126" s="13">
        <v>2</v>
      </c>
      <c r="H3126" s="17">
        <v>9</v>
      </c>
      <c r="I3126" s="17">
        <v>3</v>
      </c>
      <c r="J3126" s="17">
        <v>24</v>
      </c>
      <c r="K3126" s="10">
        <v>3924</v>
      </c>
      <c r="P3126" s="17">
        <v>1</v>
      </c>
      <c r="Q3126" s="19">
        <v>3924</v>
      </c>
      <c r="R3126" s="14">
        <v>160</v>
      </c>
      <c r="S3126" s="19">
        <v>627840</v>
      </c>
      <c r="AJ3126" s="19">
        <v>0</v>
      </c>
      <c r="AK3126" s="23">
        <v>0</v>
      </c>
      <c r="AM3126" s="19">
        <v>0</v>
      </c>
      <c r="AN3126" s="19">
        <v>627840</v>
      </c>
      <c r="AP3126" s="14">
        <v>627840</v>
      </c>
      <c r="AQ3126" s="12">
        <v>1E-4</v>
      </c>
    </row>
    <row r="3127" spans="1:45" x14ac:dyDescent="0.2">
      <c r="A3127" s="2">
        <v>2653</v>
      </c>
      <c r="B3127" s="13">
        <v>1</v>
      </c>
      <c r="C3127" s="17" t="s">
        <v>52</v>
      </c>
      <c r="D3127" s="17">
        <v>1806</v>
      </c>
      <c r="E3127" s="17">
        <v>123</v>
      </c>
      <c r="F3127" s="17">
        <v>1190</v>
      </c>
      <c r="G3127" s="13">
        <v>2</v>
      </c>
      <c r="H3127" s="17">
        <v>0</v>
      </c>
      <c r="I3127" s="17">
        <v>0</v>
      </c>
      <c r="J3127" s="17">
        <v>21</v>
      </c>
      <c r="Q3127" s="19">
        <v>21</v>
      </c>
      <c r="R3127" s="14">
        <v>2000</v>
      </c>
      <c r="S3127" s="19">
        <v>42000</v>
      </c>
      <c r="AJ3127" s="19">
        <v>0</v>
      </c>
      <c r="AK3127" s="23">
        <v>0</v>
      </c>
      <c r="AM3127" s="19">
        <v>0</v>
      </c>
      <c r="AN3127" s="19">
        <v>42000</v>
      </c>
      <c r="AP3127" s="14">
        <v>42000</v>
      </c>
      <c r="AS3127" s="26">
        <v>257</v>
      </c>
    </row>
    <row r="3128" spans="1:45" x14ac:dyDescent="0.2">
      <c r="A3128" s="2">
        <v>2654</v>
      </c>
      <c r="B3128" s="13">
        <v>2</v>
      </c>
      <c r="C3128" s="17" t="s">
        <v>52</v>
      </c>
      <c r="D3128" s="17">
        <v>2236</v>
      </c>
      <c r="E3128" s="17">
        <v>20</v>
      </c>
      <c r="F3128" s="17">
        <v>1569</v>
      </c>
      <c r="G3128" s="13">
        <v>3</v>
      </c>
      <c r="H3128" s="17">
        <v>40</v>
      </c>
      <c r="I3128" s="17">
        <v>3</v>
      </c>
      <c r="J3128" s="17">
        <v>9</v>
      </c>
      <c r="K3128" s="10">
        <v>16309</v>
      </c>
      <c r="P3128" s="17">
        <v>1</v>
      </c>
      <c r="Q3128" s="19">
        <v>16309</v>
      </c>
      <c r="R3128" s="14">
        <v>200</v>
      </c>
      <c r="S3128" s="19">
        <v>3261800</v>
      </c>
      <c r="AJ3128" s="19">
        <v>0</v>
      </c>
      <c r="AK3128" s="23">
        <v>0</v>
      </c>
      <c r="AM3128" s="19">
        <v>0</v>
      </c>
      <c r="AN3128" s="19">
        <v>3261800</v>
      </c>
      <c r="AP3128" s="14">
        <v>3261800</v>
      </c>
    </row>
    <row r="3129" spans="1:45" x14ac:dyDescent="0.2">
      <c r="A3129" s="2">
        <v>2655</v>
      </c>
      <c r="B3129" s="13">
        <v>3</v>
      </c>
      <c r="C3129" s="17" t="s">
        <v>52</v>
      </c>
      <c r="D3129" s="17">
        <v>2516</v>
      </c>
      <c r="E3129" s="17">
        <v>19</v>
      </c>
      <c r="F3129" s="17">
        <v>1570</v>
      </c>
      <c r="G3129" s="13">
        <v>3</v>
      </c>
      <c r="H3129" s="17">
        <v>6</v>
      </c>
      <c r="I3129" s="17">
        <v>0</v>
      </c>
      <c r="J3129" s="17">
        <v>12</v>
      </c>
      <c r="K3129" s="10">
        <v>2412</v>
      </c>
      <c r="P3129" s="17">
        <v>1</v>
      </c>
      <c r="Q3129" s="19">
        <v>2412</v>
      </c>
      <c r="R3129" s="14">
        <v>200</v>
      </c>
      <c r="S3129" s="19">
        <v>482400</v>
      </c>
      <c r="AJ3129" s="19">
        <v>0</v>
      </c>
      <c r="AK3129" s="23">
        <v>0</v>
      </c>
      <c r="AM3129" s="19">
        <v>0</v>
      </c>
      <c r="AN3129" s="19">
        <v>482400</v>
      </c>
      <c r="AP3129" s="14">
        <v>482400</v>
      </c>
    </row>
    <row r="3130" spans="1:45" x14ac:dyDescent="0.2">
      <c r="A3130" s="2">
        <v>2656</v>
      </c>
      <c r="B3130" s="13">
        <v>4</v>
      </c>
      <c r="C3130" s="17" t="s">
        <v>69</v>
      </c>
      <c r="E3130" s="17">
        <v>1518</v>
      </c>
      <c r="F3130" s="17">
        <v>10</v>
      </c>
      <c r="G3130" s="13">
        <v>2</v>
      </c>
      <c r="H3130" s="17">
        <v>10</v>
      </c>
      <c r="I3130" s="17">
        <v>1</v>
      </c>
      <c r="J3130" s="17">
        <v>16</v>
      </c>
      <c r="K3130" s="10">
        <v>4116</v>
      </c>
      <c r="P3130" s="17">
        <v>1</v>
      </c>
      <c r="Q3130" s="19">
        <v>4116</v>
      </c>
      <c r="R3130" s="14">
        <v>200</v>
      </c>
      <c r="S3130" s="19">
        <v>823200</v>
      </c>
      <c r="AE3130" s="17" t="s">
        <v>269</v>
      </c>
      <c r="AJ3130" s="19">
        <v>0</v>
      </c>
      <c r="AK3130" s="23">
        <v>0</v>
      </c>
      <c r="AM3130" s="19">
        <v>0</v>
      </c>
      <c r="AN3130" s="19">
        <v>823200</v>
      </c>
      <c r="AP3130" s="14">
        <v>823200</v>
      </c>
      <c r="AQ3130" s="12">
        <v>1E-4</v>
      </c>
    </row>
    <row r="3131" spans="1:45" x14ac:dyDescent="0.2">
      <c r="A3131" s="2">
        <v>2657</v>
      </c>
      <c r="B3131" s="13">
        <v>1</v>
      </c>
      <c r="C3131" s="17" t="s">
        <v>52</v>
      </c>
      <c r="D3131" s="17">
        <v>1089</v>
      </c>
      <c r="E3131" s="17">
        <v>27</v>
      </c>
      <c r="F3131" s="17">
        <v>978</v>
      </c>
      <c r="G3131" s="13">
        <v>1</v>
      </c>
      <c r="H3131" s="17">
        <v>7</v>
      </c>
      <c r="I3131" s="17">
        <v>0</v>
      </c>
      <c r="J3131" s="17">
        <v>19</v>
      </c>
      <c r="K3131" s="10">
        <v>2819</v>
      </c>
      <c r="P3131" s="17">
        <v>1</v>
      </c>
      <c r="Q3131" s="19">
        <v>2819</v>
      </c>
      <c r="R3131" s="14">
        <v>200</v>
      </c>
      <c r="S3131" s="19">
        <v>563800</v>
      </c>
      <c r="AJ3131" s="19">
        <v>0</v>
      </c>
      <c r="AK3131" s="23">
        <v>0</v>
      </c>
      <c r="AM3131" s="19">
        <v>0</v>
      </c>
      <c r="AN3131" s="19">
        <v>563800</v>
      </c>
      <c r="AP3131" s="14">
        <v>563800</v>
      </c>
    </row>
    <row r="3132" spans="1:45" x14ac:dyDescent="0.2">
      <c r="A3132" s="2">
        <v>2658</v>
      </c>
      <c r="B3132" s="13">
        <v>2</v>
      </c>
      <c r="C3132" s="17" t="s">
        <v>52</v>
      </c>
      <c r="D3132" s="17">
        <v>1309</v>
      </c>
      <c r="E3132" s="17">
        <v>59</v>
      </c>
      <c r="F3132" s="17">
        <v>564</v>
      </c>
      <c r="G3132" s="13">
        <v>1</v>
      </c>
      <c r="H3132" s="17">
        <v>0</v>
      </c>
      <c r="I3132" s="17">
        <v>1</v>
      </c>
      <c r="J3132" s="17">
        <v>44</v>
      </c>
      <c r="P3132" s="17">
        <v>5</v>
      </c>
      <c r="Q3132" s="19">
        <v>144</v>
      </c>
      <c r="R3132" s="14">
        <v>250</v>
      </c>
      <c r="S3132" s="19">
        <v>36000</v>
      </c>
    </row>
    <row r="3133" spans="1:45" ht="63" x14ac:dyDescent="0.2">
      <c r="T3133" s="17">
        <v>1</v>
      </c>
      <c r="U3133" s="17" t="s">
        <v>57</v>
      </c>
      <c r="V3133" s="17" t="s">
        <v>56</v>
      </c>
      <c r="W3133" s="4">
        <v>240</v>
      </c>
      <c r="Y3133" s="4" t="s">
        <v>270</v>
      </c>
      <c r="Z3133" s="17">
        <v>48</v>
      </c>
      <c r="AB3133" s="17">
        <v>22</v>
      </c>
      <c r="AE3133" s="17">
        <v>0.41666666666666669</v>
      </c>
      <c r="AF3133" s="14">
        <v>2</v>
      </c>
      <c r="AG3133" s="54">
        <v>240</v>
      </c>
      <c r="AH3133" s="11">
        <v>0.8</v>
      </c>
      <c r="AI3133" s="14">
        <v>7250</v>
      </c>
      <c r="AJ3133" s="19">
        <v>1392000</v>
      </c>
      <c r="AK3133" s="23">
        <v>22</v>
      </c>
      <c r="AL3133" s="11">
        <v>0.34</v>
      </c>
      <c r="AM3133" s="19">
        <v>918720</v>
      </c>
      <c r="AN3133" s="19">
        <v>933120</v>
      </c>
      <c r="AP3133" s="14">
        <v>933120</v>
      </c>
    </row>
    <row r="3134" spans="1:45" x14ac:dyDescent="0.2">
      <c r="AF3134" s="14">
        <v>3</v>
      </c>
      <c r="AG3134" s="54">
        <v>240</v>
      </c>
      <c r="AH3134" s="11">
        <v>0.2</v>
      </c>
      <c r="AI3134" s="14">
        <v>7250</v>
      </c>
      <c r="AJ3134" s="19">
        <v>348000</v>
      </c>
      <c r="AK3134" s="23">
        <v>22</v>
      </c>
      <c r="AL3134" s="11">
        <v>0.34</v>
      </c>
      <c r="AM3134" s="19">
        <v>229680</v>
      </c>
      <c r="AN3134" s="19">
        <v>233280</v>
      </c>
      <c r="AP3134" s="14">
        <v>233280</v>
      </c>
      <c r="AQ3134" s="12">
        <v>3.0000000000000001E-3</v>
      </c>
    </row>
    <row r="3135" spans="1:45" ht="63" x14ac:dyDescent="0.2">
      <c r="T3135" s="17">
        <v>2</v>
      </c>
      <c r="U3135" s="17" t="s">
        <v>63</v>
      </c>
      <c r="V3135" s="17" t="s">
        <v>56</v>
      </c>
      <c r="W3135" s="4">
        <v>128</v>
      </c>
      <c r="Y3135" s="4">
        <v>128</v>
      </c>
      <c r="AB3135" s="17">
        <v>17</v>
      </c>
      <c r="AE3135" s="17">
        <v>0.25</v>
      </c>
      <c r="AF3135" s="14">
        <v>2</v>
      </c>
      <c r="AG3135" s="54">
        <v>128</v>
      </c>
      <c r="AH3135" s="11">
        <v>0.75</v>
      </c>
      <c r="AI3135" s="14">
        <v>8100</v>
      </c>
      <c r="AJ3135" s="19">
        <v>777600</v>
      </c>
      <c r="AK3135" s="23">
        <v>17</v>
      </c>
      <c r="AL3135" s="11">
        <v>0.24</v>
      </c>
      <c r="AM3135" s="19">
        <v>590976</v>
      </c>
      <c r="AN3135" s="19">
        <v>604476</v>
      </c>
      <c r="AP3135" s="14">
        <v>604476</v>
      </c>
    </row>
    <row r="3136" spans="1:45" x14ac:dyDescent="0.2">
      <c r="Z3136" s="17">
        <v>32</v>
      </c>
      <c r="AF3136" s="14">
        <v>3</v>
      </c>
      <c r="AG3136" s="54">
        <v>128</v>
      </c>
      <c r="AH3136" s="11">
        <v>0.25</v>
      </c>
      <c r="AI3136" s="14">
        <v>8100</v>
      </c>
      <c r="AJ3136" s="19">
        <v>259200</v>
      </c>
      <c r="AK3136" s="23">
        <v>17</v>
      </c>
      <c r="AL3136" s="11">
        <v>0.24</v>
      </c>
      <c r="AM3136" s="19">
        <v>196992</v>
      </c>
      <c r="AN3136" s="19">
        <v>201492</v>
      </c>
      <c r="AP3136" s="14">
        <v>201492</v>
      </c>
      <c r="AQ3136" s="12">
        <v>3.0000000000000001E-3</v>
      </c>
    </row>
    <row r="3137" spans="1:44" s="26" customFormat="1" ht="63" x14ac:dyDescent="0.2">
      <c r="A3137" s="2">
        <v>2659</v>
      </c>
      <c r="B3137" s="13">
        <v>3</v>
      </c>
      <c r="C3137" s="17" t="s">
        <v>52</v>
      </c>
      <c r="D3137" s="17">
        <v>1312</v>
      </c>
      <c r="E3137" s="17">
        <v>66</v>
      </c>
      <c r="F3137" s="17">
        <v>567</v>
      </c>
      <c r="G3137" s="13">
        <v>1</v>
      </c>
      <c r="H3137" s="17">
        <v>1</v>
      </c>
      <c r="I3137" s="17">
        <v>1</v>
      </c>
      <c r="J3137" s="17">
        <v>61</v>
      </c>
      <c r="K3137" s="10">
        <v>561</v>
      </c>
      <c r="L3137" s="17"/>
      <c r="M3137" s="15"/>
      <c r="N3137" s="18"/>
      <c r="O3137" s="14"/>
      <c r="P3137" s="17">
        <v>3</v>
      </c>
      <c r="Q3137" s="19">
        <v>561</v>
      </c>
      <c r="R3137" s="14">
        <v>200</v>
      </c>
      <c r="S3137" s="19">
        <v>112200</v>
      </c>
      <c r="T3137" s="17"/>
      <c r="U3137" s="17"/>
      <c r="V3137" s="17"/>
      <c r="W3137" s="4">
        <v>144</v>
      </c>
      <c r="X3137" s="17"/>
      <c r="Y3137" s="4"/>
      <c r="Z3137" s="17">
        <v>144</v>
      </c>
      <c r="AA3137" s="17"/>
      <c r="AB3137" s="17">
        <v>6</v>
      </c>
      <c r="AC3137" s="14"/>
      <c r="AD3137" s="14"/>
      <c r="AE3137" s="17" t="s">
        <v>120</v>
      </c>
      <c r="AF3137" s="14"/>
      <c r="AG3137" s="54"/>
      <c r="AH3137" s="11"/>
      <c r="AI3137" s="14"/>
      <c r="AJ3137" s="19"/>
      <c r="AK3137" s="23"/>
      <c r="AL3137" s="11"/>
      <c r="AM3137" s="19"/>
      <c r="AN3137" s="19">
        <v>112200</v>
      </c>
      <c r="AO3137" s="14"/>
      <c r="AP3137" s="14">
        <v>112200</v>
      </c>
      <c r="AQ3137" s="12">
        <v>3.0000000000000001E-3</v>
      </c>
      <c r="AR3137" s="19">
        <v>1640.9160000000002</v>
      </c>
    </row>
    <row r="3138" spans="1:44" s="26" customFormat="1" x14ac:dyDescent="0.2">
      <c r="A3138" s="2">
        <v>2660</v>
      </c>
      <c r="B3138" s="13">
        <v>4</v>
      </c>
      <c r="C3138" s="17" t="s">
        <v>52</v>
      </c>
      <c r="D3138" s="17">
        <v>2715</v>
      </c>
      <c r="E3138" s="17">
        <v>25</v>
      </c>
      <c r="F3138" s="17">
        <v>1881</v>
      </c>
      <c r="G3138" s="13">
        <v>1</v>
      </c>
      <c r="H3138" s="17">
        <v>26</v>
      </c>
      <c r="I3138" s="17">
        <v>3</v>
      </c>
      <c r="J3138" s="17">
        <v>28</v>
      </c>
      <c r="K3138" s="10">
        <v>10728</v>
      </c>
      <c r="L3138" s="17"/>
      <c r="M3138" s="15"/>
      <c r="N3138" s="18"/>
      <c r="O3138" s="14"/>
      <c r="P3138" s="17">
        <v>1</v>
      </c>
      <c r="Q3138" s="19">
        <v>10728</v>
      </c>
      <c r="R3138" s="14">
        <v>200</v>
      </c>
      <c r="S3138" s="19">
        <v>2145600</v>
      </c>
      <c r="T3138" s="17"/>
      <c r="U3138" s="17"/>
      <c r="V3138" s="17"/>
      <c r="W3138" s="4"/>
      <c r="X3138" s="17"/>
      <c r="Y3138" s="4"/>
      <c r="Z3138" s="17"/>
      <c r="AA3138" s="17"/>
      <c r="AB3138" s="17"/>
      <c r="AC3138" s="14"/>
      <c r="AD3138" s="14"/>
      <c r="AE3138" s="17"/>
      <c r="AF3138" s="14"/>
      <c r="AG3138" s="54"/>
      <c r="AH3138" s="11"/>
      <c r="AI3138" s="14"/>
      <c r="AJ3138" s="19">
        <v>0</v>
      </c>
      <c r="AK3138" s="23">
        <v>0</v>
      </c>
      <c r="AL3138" s="11"/>
      <c r="AM3138" s="19">
        <v>0</v>
      </c>
      <c r="AN3138" s="19">
        <v>2145600</v>
      </c>
      <c r="AO3138" s="14"/>
      <c r="AP3138" s="14">
        <v>2145600</v>
      </c>
      <c r="AQ3138" s="12"/>
      <c r="AR3138" s="19"/>
    </row>
    <row r="3139" spans="1:44" s="26" customFormat="1" x14ac:dyDescent="0.2">
      <c r="A3139" s="2">
        <v>2661</v>
      </c>
      <c r="B3139" s="13">
        <v>5</v>
      </c>
      <c r="C3139" s="17" t="s">
        <v>52</v>
      </c>
      <c r="D3139" s="17">
        <v>2716</v>
      </c>
      <c r="E3139" s="17">
        <v>23</v>
      </c>
      <c r="F3139" s="17">
        <v>1882</v>
      </c>
      <c r="G3139" s="13">
        <v>1</v>
      </c>
      <c r="H3139" s="17">
        <v>21</v>
      </c>
      <c r="I3139" s="17">
        <v>3</v>
      </c>
      <c r="J3139" s="17">
        <v>53</v>
      </c>
      <c r="K3139" s="10">
        <v>8753</v>
      </c>
      <c r="L3139" s="17"/>
      <c r="M3139" s="15"/>
      <c r="N3139" s="18"/>
      <c r="O3139" s="14"/>
      <c r="P3139" s="17">
        <v>1</v>
      </c>
      <c r="Q3139" s="19">
        <v>8753</v>
      </c>
      <c r="R3139" s="14">
        <v>200</v>
      </c>
      <c r="S3139" s="19">
        <v>1750600</v>
      </c>
      <c r="T3139" s="17"/>
      <c r="U3139" s="17"/>
      <c r="V3139" s="17"/>
      <c r="W3139" s="4"/>
      <c r="X3139" s="17"/>
      <c r="Y3139" s="4"/>
      <c r="Z3139" s="17"/>
      <c r="AA3139" s="17"/>
      <c r="AB3139" s="17"/>
      <c r="AC3139" s="14"/>
      <c r="AD3139" s="14"/>
      <c r="AE3139" s="17"/>
      <c r="AF3139" s="14"/>
      <c r="AG3139" s="54"/>
      <c r="AH3139" s="11"/>
      <c r="AI3139" s="14"/>
      <c r="AJ3139" s="19">
        <v>0</v>
      </c>
      <c r="AK3139" s="23">
        <v>0</v>
      </c>
      <c r="AL3139" s="11"/>
      <c r="AM3139" s="19">
        <v>0</v>
      </c>
      <c r="AN3139" s="19">
        <v>1750600</v>
      </c>
      <c r="AO3139" s="14"/>
      <c r="AP3139" s="14">
        <v>1750600</v>
      </c>
      <c r="AQ3139" s="12"/>
      <c r="AR3139" s="19"/>
    </row>
    <row r="3140" spans="1:44" s="26" customFormat="1" x14ac:dyDescent="0.2">
      <c r="A3140" s="2">
        <v>2662</v>
      </c>
      <c r="B3140" s="13">
        <v>6</v>
      </c>
      <c r="C3140" s="17" t="s">
        <v>52</v>
      </c>
      <c r="D3140" s="17">
        <v>2717</v>
      </c>
      <c r="E3140" s="17">
        <v>21</v>
      </c>
      <c r="F3140" s="17">
        <v>1883</v>
      </c>
      <c r="G3140" s="13">
        <v>1</v>
      </c>
      <c r="H3140" s="17">
        <v>3</v>
      </c>
      <c r="I3140" s="17">
        <v>3</v>
      </c>
      <c r="J3140" s="17">
        <v>75</v>
      </c>
      <c r="K3140" s="10">
        <v>1575</v>
      </c>
      <c r="L3140" s="17"/>
      <c r="M3140" s="15"/>
      <c r="N3140" s="18"/>
      <c r="O3140" s="14"/>
      <c r="P3140" s="17">
        <v>1</v>
      </c>
      <c r="Q3140" s="19">
        <v>1575</v>
      </c>
      <c r="R3140" s="14">
        <v>160</v>
      </c>
      <c r="S3140" s="19">
        <v>252000</v>
      </c>
      <c r="T3140" s="17"/>
      <c r="U3140" s="17"/>
      <c r="V3140" s="17"/>
      <c r="W3140" s="4"/>
      <c r="X3140" s="17"/>
      <c r="Y3140" s="4"/>
      <c r="Z3140" s="17"/>
      <c r="AA3140" s="17"/>
      <c r="AB3140" s="17"/>
      <c r="AC3140" s="14"/>
      <c r="AD3140" s="14"/>
      <c r="AE3140" s="17"/>
      <c r="AF3140" s="14"/>
      <c r="AG3140" s="54"/>
      <c r="AH3140" s="11"/>
      <c r="AI3140" s="14"/>
      <c r="AJ3140" s="19">
        <v>0</v>
      </c>
      <c r="AK3140" s="23">
        <v>0</v>
      </c>
      <c r="AL3140" s="11"/>
      <c r="AM3140" s="19">
        <v>0</v>
      </c>
      <c r="AN3140" s="19">
        <v>252000</v>
      </c>
      <c r="AO3140" s="14"/>
      <c r="AP3140" s="14">
        <v>252000</v>
      </c>
      <c r="AQ3140" s="12"/>
      <c r="AR3140" s="19"/>
    </row>
    <row r="3141" spans="1:44" s="26" customFormat="1" x14ac:dyDescent="0.2">
      <c r="A3141" s="2">
        <v>2663</v>
      </c>
      <c r="B3141" s="13">
        <v>7</v>
      </c>
      <c r="C3141" s="17" t="s">
        <v>52</v>
      </c>
      <c r="D3141" s="17">
        <v>2909</v>
      </c>
      <c r="E3141" s="17">
        <v>24</v>
      </c>
      <c r="F3141" s="17">
        <v>1992</v>
      </c>
      <c r="G3141" s="13">
        <v>1</v>
      </c>
      <c r="H3141" s="17">
        <v>20</v>
      </c>
      <c r="I3141" s="17">
        <v>1</v>
      </c>
      <c r="J3141" s="17">
        <v>22</v>
      </c>
      <c r="K3141" s="10">
        <v>8122</v>
      </c>
      <c r="L3141" s="17"/>
      <c r="M3141" s="15"/>
      <c r="N3141" s="18"/>
      <c r="O3141" s="14"/>
      <c r="P3141" s="17">
        <v>1</v>
      </c>
      <c r="Q3141" s="19">
        <v>8122</v>
      </c>
      <c r="R3141" s="14">
        <v>160</v>
      </c>
      <c r="S3141" s="19">
        <v>1299520</v>
      </c>
      <c r="T3141" s="17"/>
      <c r="U3141" s="17"/>
      <c r="V3141" s="17"/>
      <c r="W3141" s="4"/>
      <c r="X3141" s="17"/>
      <c r="Y3141" s="4"/>
      <c r="Z3141" s="17"/>
      <c r="AA3141" s="17"/>
      <c r="AB3141" s="17"/>
      <c r="AC3141" s="14"/>
      <c r="AD3141" s="14"/>
      <c r="AE3141" s="17"/>
      <c r="AF3141" s="14"/>
      <c r="AG3141" s="54"/>
      <c r="AH3141" s="11"/>
      <c r="AI3141" s="14"/>
      <c r="AJ3141" s="19">
        <v>0</v>
      </c>
      <c r="AK3141" s="23">
        <v>0</v>
      </c>
      <c r="AL3141" s="11"/>
      <c r="AM3141" s="19">
        <v>0</v>
      </c>
      <c r="AN3141" s="19">
        <v>1299520</v>
      </c>
      <c r="AO3141" s="14"/>
      <c r="AP3141" s="14">
        <v>1299520</v>
      </c>
      <c r="AQ3141" s="12"/>
      <c r="AR3141" s="19"/>
    </row>
    <row r="3142" spans="1:44" s="26" customFormat="1" x14ac:dyDescent="0.2">
      <c r="A3142" s="2">
        <v>2664</v>
      </c>
      <c r="B3142" s="13">
        <v>1</v>
      </c>
      <c r="C3142" s="17" t="s">
        <v>52</v>
      </c>
      <c r="D3142" s="17">
        <v>6638</v>
      </c>
      <c r="E3142" s="17">
        <v>43</v>
      </c>
      <c r="F3142" s="17">
        <v>1611</v>
      </c>
      <c r="G3142" s="13">
        <v>1</v>
      </c>
      <c r="H3142" s="17">
        <v>6</v>
      </c>
      <c r="I3142" s="17">
        <v>0</v>
      </c>
      <c r="J3142" s="17">
        <v>58</v>
      </c>
      <c r="K3142" s="10"/>
      <c r="L3142" s="17"/>
      <c r="M3142" s="15"/>
      <c r="N3142" s="18"/>
      <c r="O3142" s="14"/>
      <c r="P3142" s="17">
        <v>1</v>
      </c>
      <c r="Q3142" s="19">
        <v>2458</v>
      </c>
      <c r="R3142" s="14">
        <v>160</v>
      </c>
      <c r="S3142" s="19">
        <v>393280</v>
      </c>
      <c r="T3142" s="17"/>
      <c r="U3142" s="17"/>
      <c r="V3142" s="17"/>
      <c r="W3142" s="4"/>
      <c r="X3142" s="17"/>
      <c r="Y3142" s="4"/>
      <c r="Z3142" s="17"/>
      <c r="AA3142" s="17"/>
      <c r="AB3142" s="17"/>
      <c r="AC3142" s="14"/>
      <c r="AD3142" s="14"/>
      <c r="AE3142" s="17"/>
      <c r="AF3142" s="14"/>
      <c r="AG3142" s="54"/>
      <c r="AH3142" s="11"/>
      <c r="AI3142" s="14"/>
      <c r="AJ3142" s="19">
        <v>0</v>
      </c>
      <c r="AK3142" s="23">
        <v>0</v>
      </c>
      <c r="AL3142" s="11"/>
      <c r="AM3142" s="19">
        <v>0</v>
      </c>
      <c r="AN3142" s="19">
        <v>393280</v>
      </c>
      <c r="AO3142" s="14"/>
      <c r="AP3142" s="14">
        <v>393280</v>
      </c>
      <c r="AQ3142" s="12"/>
      <c r="AR3142" s="19"/>
    </row>
    <row r="3143" spans="1:44" s="26" customFormat="1" x14ac:dyDescent="0.2">
      <c r="A3143" s="2">
        <v>2665</v>
      </c>
      <c r="B3143" s="13">
        <v>2</v>
      </c>
      <c r="C3143" s="17" t="s">
        <v>52</v>
      </c>
      <c r="D3143" s="17">
        <v>6715</v>
      </c>
      <c r="E3143" s="17">
        <v>92</v>
      </c>
      <c r="F3143" s="17">
        <v>1601</v>
      </c>
      <c r="G3143" s="13"/>
      <c r="H3143" s="17">
        <v>8</v>
      </c>
      <c r="I3143" s="17">
        <v>1</v>
      </c>
      <c r="J3143" s="17">
        <v>99</v>
      </c>
      <c r="K3143" s="10"/>
      <c r="L3143" s="17"/>
      <c r="M3143" s="15"/>
      <c r="N3143" s="18"/>
      <c r="O3143" s="14"/>
      <c r="P3143" s="17">
        <v>1</v>
      </c>
      <c r="Q3143" s="19">
        <v>3399</v>
      </c>
      <c r="R3143" s="14">
        <v>160</v>
      </c>
      <c r="S3143" s="19">
        <v>543840</v>
      </c>
      <c r="T3143" s="17"/>
      <c r="U3143" s="17"/>
      <c r="V3143" s="17"/>
      <c r="W3143" s="4"/>
      <c r="X3143" s="17"/>
      <c r="Y3143" s="4"/>
      <c r="Z3143" s="17"/>
      <c r="AA3143" s="17"/>
      <c r="AB3143" s="17"/>
      <c r="AC3143" s="14"/>
      <c r="AD3143" s="14"/>
      <c r="AE3143" s="17"/>
      <c r="AF3143" s="14"/>
      <c r="AG3143" s="54"/>
      <c r="AH3143" s="11"/>
      <c r="AI3143" s="14"/>
      <c r="AJ3143" s="19">
        <v>0</v>
      </c>
      <c r="AK3143" s="23">
        <v>0</v>
      </c>
      <c r="AL3143" s="11"/>
      <c r="AM3143" s="19">
        <v>0</v>
      </c>
      <c r="AN3143" s="19">
        <v>543840</v>
      </c>
      <c r="AO3143" s="14"/>
      <c r="AP3143" s="14">
        <v>543840</v>
      </c>
      <c r="AQ3143" s="12"/>
      <c r="AR3143" s="19"/>
    </row>
    <row r="3144" spans="1:44" s="26" customFormat="1" x14ac:dyDescent="0.2">
      <c r="A3144" s="2">
        <v>2666</v>
      </c>
      <c r="B3144" s="13">
        <v>1</v>
      </c>
      <c r="C3144" s="17" t="s">
        <v>52</v>
      </c>
      <c r="D3144" s="17">
        <v>4329</v>
      </c>
      <c r="E3144" s="17">
        <v>39</v>
      </c>
      <c r="F3144" s="17">
        <v>1069</v>
      </c>
      <c r="G3144" s="13">
        <v>1</v>
      </c>
      <c r="H3144" s="17">
        <v>10</v>
      </c>
      <c r="I3144" s="17">
        <v>1</v>
      </c>
      <c r="J3144" s="17">
        <v>53</v>
      </c>
      <c r="K3144" s="10"/>
      <c r="L3144" s="17"/>
      <c r="M3144" s="15"/>
      <c r="N3144" s="18"/>
      <c r="O3144" s="14"/>
      <c r="P3144" s="17">
        <v>1</v>
      </c>
      <c r="Q3144" s="19">
        <v>4153</v>
      </c>
      <c r="R3144" s="14">
        <v>160</v>
      </c>
      <c r="S3144" s="19">
        <v>664480</v>
      </c>
      <c r="T3144" s="17"/>
      <c r="U3144" s="17"/>
      <c r="V3144" s="17"/>
      <c r="W3144" s="4"/>
      <c r="X3144" s="17"/>
      <c r="Y3144" s="4"/>
      <c r="Z3144" s="17"/>
      <c r="AA3144" s="17"/>
      <c r="AB3144" s="17"/>
      <c r="AC3144" s="14"/>
      <c r="AD3144" s="14"/>
      <c r="AE3144" s="17"/>
      <c r="AF3144" s="14"/>
      <c r="AG3144" s="54"/>
      <c r="AH3144" s="11"/>
      <c r="AI3144" s="14"/>
      <c r="AJ3144" s="19">
        <v>0</v>
      </c>
      <c r="AK3144" s="23">
        <v>0</v>
      </c>
      <c r="AL3144" s="11"/>
      <c r="AM3144" s="19">
        <v>0</v>
      </c>
      <c r="AN3144" s="19">
        <v>664480</v>
      </c>
      <c r="AO3144" s="14"/>
      <c r="AP3144" s="14">
        <v>664480</v>
      </c>
      <c r="AQ3144" s="12"/>
      <c r="AR3144" s="19"/>
    </row>
    <row r="3145" spans="1:44" s="26" customFormat="1" x14ac:dyDescent="0.2">
      <c r="A3145" s="2">
        <v>2667</v>
      </c>
      <c r="B3145" s="13">
        <v>1</v>
      </c>
      <c r="C3145" s="17" t="s">
        <v>52</v>
      </c>
      <c r="D3145" s="17">
        <v>4557</v>
      </c>
      <c r="E3145" s="17">
        <v>98</v>
      </c>
      <c r="F3145" s="17">
        <v>1608</v>
      </c>
      <c r="G3145" s="13"/>
      <c r="H3145" s="17">
        <v>4</v>
      </c>
      <c r="I3145" s="17">
        <v>2</v>
      </c>
      <c r="J3145" s="17">
        <v>48</v>
      </c>
      <c r="K3145" s="10"/>
      <c r="L3145" s="17"/>
      <c r="M3145" s="15"/>
      <c r="N3145" s="18"/>
      <c r="O3145" s="14"/>
      <c r="P3145" s="17">
        <v>1</v>
      </c>
      <c r="Q3145" s="19">
        <v>1848</v>
      </c>
      <c r="R3145" s="14">
        <v>160</v>
      </c>
      <c r="S3145" s="19">
        <v>295680</v>
      </c>
      <c r="T3145" s="17"/>
      <c r="U3145" s="17"/>
      <c r="V3145" s="17"/>
      <c r="W3145" s="4"/>
      <c r="X3145" s="17"/>
      <c r="Y3145" s="4"/>
      <c r="Z3145" s="17"/>
      <c r="AA3145" s="17"/>
      <c r="AB3145" s="17"/>
      <c r="AC3145" s="14"/>
      <c r="AD3145" s="14"/>
      <c r="AE3145" s="17"/>
      <c r="AF3145" s="14"/>
      <c r="AG3145" s="54"/>
      <c r="AH3145" s="11"/>
      <c r="AI3145" s="14"/>
      <c r="AJ3145" s="19">
        <v>0</v>
      </c>
      <c r="AK3145" s="23">
        <v>0</v>
      </c>
      <c r="AL3145" s="11"/>
      <c r="AM3145" s="19">
        <v>0</v>
      </c>
      <c r="AN3145" s="19">
        <v>295680</v>
      </c>
      <c r="AO3145" s="14"/>
      <c r="AP3145" s="14">
        <v>295680</v>
      </c>
      <c r="AQ3145" s="12"/>
      <c r="AR3145" s="19"/>
    </row>
    <row r="3146" spans="1:44" s="26" customFormat="1" x14ac:dyDescent="0.2">
      <c r="A3146" s="2">
        <v>2668</v>
      </c>
      <c r="B3146" s="13">
        <v>1</v>
      </c>
      <c r="C3146" s="17" t="s">
        <v>52</v>
      </c>
      <c r="D3146" s="17">
        <v>4555</v>
      </c>
      <c r="E3146" s="17">
        <v>94</v>
      </c>
      <c r="F3146" s="17">
        <v>1605</v>
      </c>
      <c r="G3146" s="13"/>
      <c r="H3146" s="17">
        <v>3</v>
      </c>
      <c r="I3146" s="17">
        <v>3</v>
      </c>
      <c r="J3146" s="17">
        <v>31</v>
      </c>
      <c r="K3146" s="10"/>
      <c r="L3146" s="17"/>
      <c r="M3146" s="15"/>
      <c r="N3146" s="18"/>
      <c r="O3146" s="14"/>
      <c r="P3146" s="17">
        <v>1</v>
      </c>
      <c r="Q3146" s="19">
        <v>1531</v>
      </c>
      <c r="R3146" s="14">
        <v>160</v>
      </c>
      <c r="S3146" s="19">
        <v>244960</v>
      </c>
      <c r="T3146" s="17"/>
      <c r="U3146" s="17"/>
      <c r="V3146" s="17"/>
      <c r="W3146" s="4"/>
      <c r="X3146" s="17"/>
      <c r="Y3146" s="4"/>
      <c r="Z3146" s="17"/>
      <c r="AA3146" s="17"/>
      <c r="AB3146" s="17"/>
      <c r="AC3146" s="14"/>
      <c r="AD3146" s="14"/>
      <c r="AE3146" s="17"/>
      <c r="AF3146" s="14"/>
      <c r="AG3146" s="54"/>
      <c r="AH3146" s="11"/>
      <c r="AI3146" s="14"/>
      <c r="AJ3146" s="19">
        <v>0</v>
      </c>
      <c r="AK3146" s="23">
        <v>0</v>
      </c>
      <c r="AL3146" s="11"/>
      <c r="AM3146" s="19">
        <v>0</v>
      </c>
      <c r="AN3146" s="19">
        <v>244960</v>
      </c>
      <c r="AO3146" s="14"/>
      <c r="AP3146" s="14">
        <v>244960</v>
      </c>
      <c r="AQ3146" s="12"/>
      <c r="AR3146" s="19"/>
    </row>
    <row r="3147" spans="1:44" s="26" customFormat="1" x14ac:dyDescent="0.2">
      <c r="A3147" s="2">
        <v>2669</v>
      </c>
      <c r="B3147" s="13">
        <v>1</v>
      </c>
      <c r="C3147" s="17" t="s">
        <v>52</v>
      </c>
      <c r="D3147" s="17">
        <v>4554</v>
      </c>
      <c r="E3147" s="17">
        <v>42</v>
      </c>
      <c r="F3147" s="17">
        <v>1604</v>
      </c>
      <c r="G3147" s="13">
        <v>1</v>
      </c>
      <c r="H3147" s="17">
        <v>4</v>
      </c>
      <c r="I3147" s="17">
        <v>3</v>
      </c>
      <c r="J3147" s="17">
        <v>48</v>
      </c>
      <c r="K3147" s="10"/>
      <c r="L3147" s="17"/>
      <c r="M3147" s="15"/>
      <c r="N3147" s="18"/>
      <c r="O3147" s="14"/>
      <c r="P3147" s="17">
        <v>1</v>
      </c>
      <c r="Q3147" s="19">
        <v>1948</v>
      </c>
      <c r="R3147" s="14">
        <v>160</v>
      </c>
      <c r="S3147" s="19">
        <v>311680</v>
      </c>
      <c r="T3147" s="17"/>
      <c r="U3147" s="17"/>
      <c r="V3147" s="17"/>
      <c r="W3147" s="4"/>
      <c r="X3147" s="17"/>
      <c r="Y3147" s="4"/>
      <c r="Z3147" s="17"/>
      <c r="AA3147" s="17"/>
      <c r="AB3147" s="17"/>
      <c r="AC3147" s="14"/>
      <c r="AD3147" s="14"/>
      <c r="AE3147" s="17"/>
      <c r="AF3147" s="14"/>
      <c r="AG3147" s="54"/>
      <c r="AH3147" s="11"/>
      <c r="AI3147" s="14"/>
      <c r="AJ3147" s="19">
        <v>0</v>
      </c>
      <c r="AK3147" s="23">
        <v>0</v>
      </c>
      <c r="AL3147" s="11"/>
      <c r="AM3147" s="19">
        <v>0</v>
      </c>
      <c r="AN3147" s="19">
        <v>311680</v>
      </c>
      <c r="AO3147" s="14"/>
      <c r="AP3147" s="14">
        <v>311680</v>
      </c>
      <c r="AQ3147" s="12"/>
      <c r="AR3147" s="19"/>
    </row>
    <row r="3148" spans="1:44" s="26" customFormat="1" x14ac:dyDescent="0.2">
      <c r="A3148" s="2">
        <v>2670</v>
      </c>
      <c r="B3148" s="13">
        <v>1</v>
      </c>
      <c r="C3148" s="17" t="s">
        <v>52</v>
      </c>
      <c r="D3148" s="17">
        <v>4328</v>
      </c>
      <c r="E3148" s="17">
        <v>41</v>
      </c>
      <c r="F3148" s="17">
        <v>1068</v>
      </c>
      <c r="G3148" s="13">
        <v>1</v>
      </c>
      <c r="H3148" s="17">
        <v>10</v>
      </c>
      <c r="I3148" s="17">
        <v>1</v>
      </c>
      <c r="J3148" s="17">
        <v>17</v>
      </c>
      <c r="K3148" s="10"/>
      <c r="L3148" s="17"/>
      <c r="M3148" s="15"/>
      <c r="N3148" s="18"/>
      <c r="O3148" s="14"/>
      <c r="P3148" s="17">
        <v>1</v>
      </c>
      <c r="Q3148" s="19">
        <v>4117</v>
      </c>
      <c r="R3148" s="14">
        <v>160</v>
      </c>
      <c r="S3148" s="19">
        <v>658720</v>
      </c>
      <c r="T3148" s="17"/>
      <c r="U3148" s="17"/>
      <c r="V3148" s="17"/>
      <c r="W3148" s="4"/>
      <c r="X3148" s="17"/>
      <c r="Y3148" s="4"/>
      <c r="Z3148" s="17"/>
      <c r="AA3148" s="17"/>
      <c r="AB3148" s="17"/>
      <c r="AC3148" s="14"/>
      <c r="AD3148" s="14"/>
      <c r="AE3148" s="17"/>
      <c r="AF3148" s="14"/>
      <c r="AG3148" s="54"/>
      <c r="AH3148" s="11"/>
      <c r="AI3148" s="14"/>
      <c r="AJ3148" s="19">
        <v>0</v>
      </c>
      <c r="AK3148" s="23">
        <v>0</v>
      </c>
      <c r="AL3148" s="11"/>
      <c r="AM3148" s="19">
        <v>0</v>
      </c>
      <c r="AN3148" s="19">
        <v>658720</v>
      </c>
      <c r="AO3148" s="14"/>
      <c r="AP3148" s="14">
        <v>658720</v>
      </c>
      <c r="AQ3148" s="12"/>
      <c r="AR3148" s="19"/>
    </row>
    <row r="3149" spans="1:44" s="26" customFormat="1" x14ac:dyDescent="0.2">
      <c r="A3149" s="2">
        <v>2671</v>
      </c>
      <c r="B3149" s="13">
        <v>2</v>
      </c>
      <c r="C3149" s="17" t="s">
        <v>52</v>
      </c>
      <c r="D3149" s="17">
        <v>4551</v>
      </c>
      <c r="E3149" s="17">
        <v>91</v>
      </c>
      <c r="F3149" s="17">
        <v>1600</v>
      </c>
      <c r="G3149" s="13"/>
      <c r="H3149" s="17">
        <v>4</v>
      </c>
      <c r="I3149" s="17">
        <v>2</v>
      </c>
      <c r="J3149" s="17">
        <v>31</v>
      </c>
      <c r="K3149" s="10"/>
      <c r="L3149" s="17"/>
      <c r="M3149" s="15"/>
      <c r="N3149" s="18"/>
      <c r="O3149" s="14"/>
      <c r="P3149" s="17">
        <v>1</v>
      </c>
      <c r="Q3149" s="19">
        <v>1831</v>
      </c>
      <c r="R3149" s="14">
        <v>160</v>
      </c>
      <c r="S3149" s="19">
        <v>292960</v>
      </c>
      <c r="T3149" s="17"/>
      <c r="U3149" s="17"/>
      <c r="V3149" s="17"/>
      <c r="W3149" s="4"/>
      <c r="X3149" s="17"/>
      <c r="Y3149" s="4"/>
      <c r="Z3149" s="17"/>
      <c r="AA3149" s="17"/>
      <c r="AB3149" s="17"/>
      <c r="AC3149" s="14"/>
      <c r="AD3149" s="14"/>
      <c r="AE3149" s="17"/>
      <c r="AF3149" s="14"/>
      <c r="AG3149" s="54"/>
      <c r="AH3149" s="11"/>
      <c r="AI3149" s="14"/>
      <c r="AJ3149" s="19">
        <v>0</v>
      </c>
      <c r="AK3149" s="23">
        <v>0</v>
      </c>
      <c r="AL3149" s="11"/>
      <c r="AM3149" s="19">
        <v>0</v>
      </c>
      <c r="AN3149" s="19">
        <v>292960</v>
      </c>
      <c r="AO3149" s="14"/>
      <c r="AP3149" s="14">
        <v>292960</v>
      </c>
      <c r="AQ3149" s="12"/>
      <c r="AR3149" s="19"/>
    </row>
    <row r="3150" spans="1:44" s="26" customFormat="1" x14ac:dyDescent="0.2">
      <c r="A3150" s="2">
        <v>2672</v>
      </c>
      <c r="B3150" s="13">
        <v>3</v>
      </c>
      <c r="C3150" s="17" t="s">
        <v>52</v>
      </c>
      <c r="D3150" s="17">
        <v>5416</v>
      </c>
      <c r="E3150" s="17">
        <v>95</v>
      </c>
      <c r="F3150" s="17">
        <v>1613</v>
      </c>
      <c r="G3150" s="13"/>
      <c r="H3150" s="17">
        <v>7</v>
      </c>
      <c r="I3150" s="17">
        <v>2</v>
      </c>
      <c r="J3150" s="17">
        <v>62</v>
      </c>
      <c r="K3150" s="10"/>
      <c r="L3150" s="17"/>
      <c r="M3150" s="15"/>
      <c r="N3150" s="18"/>
      <c r="O3150" s="14"/>
      <c r="P3150" s="17">
        <v>1</v>
      </c>
      <c r="Q3150" s="19">
        <v>3062</v>
      </c>
      <c r="R3150" s="14">
        <v>160</v>
      </c>
      <c r="S3150" s="19">
        <v>489920</v>
      </c>
      <c r="T3150" s="17"/>
      <c r="U3150" s="17"/>
      <c r="V3150" s="17"/>
      <c r="W3150" s="4"/>
      <c r="X3150" s="17"/>
      <c r="Y3150" s="4"/>
      <c r="Z3150" s="17"/>
      <c r="AA3150" s="17"/>
      <c r="AB3150" s="17"/>
      <c r="AC3150" s="14"/>
      <c r="AD3150" s="14"/>
      <c r="AE3150" s="17"/>
      <c r="AF3150" s="14"/>
      <c r="AG3150" s="54"/>
      <c r="AH3150" s="11"/>
      <c r="AI3150" s="14"/>
      <c r="AJ3150" s="19">
        <v>0</v>
      </c>
      <c r="AK3150" s="23">
        <v>0</v>
      </c>
      <c r="AL3150" s="11"/>
      <c r="AM3150" s="19">
        <v>0</v>
      </c>
      <c r="AN3150" s="19">
        <v>489920</v>
      </c>
      <c r="AO3150" s="14"/>
      <c r="AP3150" s="14">
        <v>489920</v>
      </c>
      <c r="AQ3150" s="12"/>
      <c r="AR3150" s="19"/>
    </row>
    <row r="3151" spans="1:44" s="26" customFormat="1" x14ac:dyDescent="0.2">
      <c r="A3151" s="2">
        <v>2673</v>
      </c>
      <c r="B3151" s="13">
        <v>1</v>
      </c>
      <c r="C3151" s="17" t="s">
        <v>52</v>
      </c>
      <c r="D3151" s="17">
        <v>5415</v>
      </c>
      <c r="E3151" s="17">
        <v>96</v>
      </c>
      <c r="F3151" s="17">
        <v>1606</v>
      </c>
      <c r="G3151" s="13"/>
      <c r="H3151" s="17">
        <v>8</v>
      </c>
      <c r="I3151" s="17">
        <v>2</v>
      </c>
      <c r="J3151" s="17">
        <v>60</v>
      </c>
      <c r="K3151" s="10"/>
      <c r="L3151" s="17"/>
      <c r="M3151" s="15"/>
      <c r="N3151" s="18"/>
      <c r="O3151" s="14"/>
      <c r="P3151" s="17">
        <v>1</v>
      </c>
      <c r="Q3151" s="19">
        <v>3460</v>
      </c>
      <c r="R3151" s="14">
        <v>160</v>
      </c>
      <c r="S3151" s="19">
        <v>553600</v>
      </c>
      <c r="T3151" s="17"/>
      <c r="U3151" s="17"/>
      <c r="V3151" s="17"/>
      <c r="W3151" s="4"/>
      <c r="X3151" s="17"/>
      <c r="Y3151" s="4"/>
      <c r="Z3151" s="17"/>
      <c r="AA3151" s="17"/>
      <c r="AB3151" s="17"/>
      <c r="AC3151" s="14"/>
      <c r="AD3151" s="14"/>
      <c r="AE3151" s="17"/>
      <c r="AF3151" s="14"/>
      <c r="AG3151" s="54"/>
      <c r="AH3151" s="11"/>
      <c r="AI3151" s="14"/>
      <c r="AJ3151" s="19">
        <v>0</v>
      </c>
      <c r="AK3151" s="23">
        <v>0</v>
      </c>
      <c r="AL3151" s="11"/>
      <c r="AM3151" s="19">
        <v>0</v>
      </c>
      <c r="AN3151" s="19">
        <v>553600</v>
      </c>
      <c r="AO3151" s="14"/>
      <c r="AP3151" s="14">
        <v>553600</v>
      </c>
      <c r="AQ3151" s="12"/>
      <c r="AR3151" s="19"/>
    </row>
    <row r="3152" spans="1:44" s="26" customFormat="1" x14ac:dyDescent="0.2">
      <c r="A3152" s="2"/>
      <c r="B3152" s="13"/>
      <c r="C3152" s="17"/>
      <c r="D3152" s="17"/>
      <c r="E3152" s="17"/>
      <c r="F3152" s="17"/>
      <c r="G3152" s="13"/>
      <c r="H3152" s="17"/>
      <c r="I3152" s="17"/>
      <c r="J3152" s="17"/>
      <c r="K3152" s="10"/>
      <c r="L3152" s="17"/>
      <c r="M3152" s="15"/>
      <c r="N3152" s="18"/>
      <c r="O3152" s="14"/>
      <c r="P3152" s="17"/>
      <c r="Q3152" s="19">
        <v>0</v>
      </c>
      <c r="R3152" s="14" t="e">
        <v>#N/A</v>
      </c>
      <c r="S3152" s="19" t="e">
        <v>#N/A</v>
      </c>
      <c r="T3152" s="17"/>
      <c r="U3152" s="17"/>
      <c r="V3152" s="17"/>
      <c r="W3152" s="4"/>
      <c r="X3152" s="17"/>
      <c r="Y3152" s="4"/>
      <c r="Z3152" s="17"/>
      <c r="AA3152" s="17"/>
      <c r="AB3152" s="17"/>
      <c r="AC3152" s="14"/>
      <c r="AD3152" s="14"/>
      <c r="AE3152" s="17"/>
      <c r="AF3152" s="14"/>
      <c r="AG3152" s="54"/>
      <c r="AH3152" s="11"/>
      <c r="AI3152" s="14"/>
      <c r="AJ3152" s="19">
        <v>0</v>
      </c>
      <c r="AK3152" s="23">
        <v>0</v>
      </c>
      <c r="AL3152" s="11"/>
      <c r="AM3152" s="19">
        <v>0</v>
      </c>
      <c r="AN3152" s="19" t="e">
        <v>#N/A</v>
      </c>
      <c r="AO3152" s="14"/>
      <c r="AP3152" s="14" t="e">
        <v>#N/A</v>
      </c>
      <c r="AQ3152" s="12"/>
      <c r="AR3152" s="19"/>
    </row>
    <row r="3153" spans="1:45" x14ac:dyDescent="0.2">
      <c r="A3153" s="2">
        <v>2674</v>
      </c>
      <c r="B3153" s="13">
        <v>1</v>
      </c>
      <c r="C3153" s="17" t="s">
        <v>52</v>
      </c>
      <c r="D3153" s="17">
        <v>1129</v>
      </c>
      <c r="E3153" s="17">
        <v>52</v>
      </c>
      <c r="F3153" s="17">
        <v>709</v>
      </c>
      <c r="G3153" s="13">
        <v>1</v>
      </c>
      <c r="H3153" s="17">
        <v>0</v>
      </c>
      <c r="I3153" s="17">
        <v>0</v>
      </c>
      <c r="J3153" s="17">
        <v>50</v>
      </c>
      <c r="N3153" s="18">
        <v>50</v>
      </c>
      <c r="P3153" s="17">
        <v>1</v>
      </c>
      <c r="Q3153" s="19">
        <v>50</v>
      </c>
      <c r="R3153" s="14">
        <v>250</v>
      </c>
      <c r="S3153" s="19">
        <v>12500</v>
      </c>
      <c r="AJ3153" s="19">
        <v>0</v>
      </c>
      <c r="AK3153" s="23">
        <v>0</v>
      </c>
      <c r="AM3153" s="19">
        <v>0</v>
      </c>
      <c r="AN3153" s="19">
        <v>12500</v>
      </c>
      <c r="AP3153" s="14">
        <v>12500</v>
      </c>
      <c r="AQ3153" s="12">
        <v>3.0000000000000001E-3</v>
      </c>
    </row>
    <row r="3154" spans="1:45" ht="63" x14ac:dyDescent="0.2">
      <c r="A3154" s="2">
        <v>2675</v>
      </c>
      <c r="B3154" s="13">
        <v>1</v>
      </c>
      <c r="C3154" s="17" t="s">
        <v>52</v>
      </c>
      <c r="D3154" s="17">
        <v>5541</v>
      </c>
      <c r="E3154" s="17">
        <v>78</v>
      </c>
      <c r="F3154" s="17">
        <v>2907</v>
      </c>
      <c r="G3154" s="13">
        <v>1</v>
      </c>
      <c r="H3154" s="17">
        <v>0</v>
      </c>
      <c r="I3154" s="17">
        <v>0</v>
      </c>
      <c r="J3154" s="17">
        <v>75.040000000000006</v>
      </c>
      <c r="L3154" s="17">
        <v>75.040000000000006</v>
      </c>
      <c r="P3154" s="17">
        <v>2</v>
      </c>
      <c r="Q3154" s="19">
        <v>75.040000000000006</v>
      </c>
      <c r="R3154" s="14">
        <v>250</v>
      </c>
      <c r="S3154" s="19">
        <v>18760</v>
      </c>
      <c r="T3154" s="17">
        <v>1</v>
      </c>
      <c r="U3154" s="17" t="s">
        <v>57</v>
      </c>
      <c r="V3154" s="17" t="s">
        <v>56</v>
      </c>
      <c r="W3154" s="4">
        <v>126</v>
      </c>
      <c r="Y3154" s="4">
        <v>126</v>
      </c>
      <c r="AB3154" s="17">
        <v>21</v>
      </c>
      <c r="AJ3154" s="19">
        <v>0</v>
      </c>
      <c r="AK3154" s="23">
        <v>21</v>
      </c>
      <c r="AM3154" s="19">
        <v>0</v>
      </c>
      <c r="AN3154" s="19">
        <v>18760</v>
      </c>
      <c r="AP3154" s="14">
        <v>18760</v>
      </c>
    </row>
    <row r="3155" spans="1:45" x14ac:dyDescent="0.2">
      <c r="A3155" s="2">
        <v>2676</v>
      </c>
      <c r="B3155" s="13">
        <v>1</v>
      </c>
      <c r="C3155" s="17" t="s">
        <v>52</v>
      </c>
      <c r="D3155" s="17">
        <v>1408</v>
      </c>
      <c r="E3155" s="17">
        <v>21</v>
      </c>
      <c r="F3155" s="17">
        <v>603</v>
      </c>
      <c r="G3155" s="13">
        <v>1</v>
      </c>
      <c r="H3155" s="17">
        <v>0</v>
      </c>
      <c r="I3155" s="17">
        <v>1</v>
      </c>
      <c r="J3155" s="17">
        <v>66</v>
      </c>
      <c r="Q3155" s="19">
        <v>166</v>
      </c>
      <c r="R3155" s="14">
        <v>250</v>
      </c>
      <c r="S3155" s="19">
        <v>41500</v>
      </c>
      <c r="AJ3155" s="19">
        <v>0</v>
      </c>
      <c r="AK3155" s="23">
        <v>0</v>
      </c>
      <c r="AM3155" s="19">
        <v>0</v>
      </c>
      <c r="AN3155" s="19">
        <v>41500</v>
      </c>
      <c r="AP3155" s="14">
        <v>41500</v>
      </c>
    </row>
    <row r="3156" spans="1:45" x14ac:dyDescent="0.2">
      <c r="A3156" s="2">
        <v>2677</v>
      </c>
      <c r="B3156" s="13">
        <v>2</v>
      </c>
      <c r="C3156" s="17" t="s">
        <v>69</v>
      </c>
      <c r="E3156" s="17">
        <v>156</v>
      </c>
      <c r="F3156" s="17">
        <v>7</v>
      </c>
      <c r="G3156" s="13">
        <v>1</v>
      </c>
      <c r="H3156" s="17">
        <v>7</v>
      </c>
      <c r="I3156" s="17">
        <v>3</v>
      </c>
      <c r="J3156" s="17">
        <v>25</v>
      </c>
      <c r="K3156" s="10">
        <v>3125</v>
      </c>
      <c r="P3156" s="17">
        <v>1</v>
      </c>
      <c r="Q3156" s="19">
        <v>3125</v>
      </c>
      <c r="R3156" s="14">
        <v>200</v>
      </c>
      <c r="S3156" s="19">
        <v>625000</v>
      </c>
      <c r="AJ3156" s="19">
        <v>0</v>
      </c>
      <c r="AK3156" s="23">
        <v>0</v>
      </c>
      <c r="AM3156" s="19">
        <v>0</v>
      </c>
      <c r="AN3156" s="19">
        <v>625000</v>
      </c>
      <c r="AP3156" s="14">
        <v>625000</v>
      </c>
      <c r="AQ3156" s="12">
        <v>1E-4</v>
      </c>
    </row>
    <row r="3157" spans="1:45" ht="63" x14ac:dyDescent="0.2">
      <c r="A3157" s="2">
        <v>2678</v>
      </c>
      <c r="B3157" s="13">
        <v>1</v>
      </c>
      <c r="C3157" s="17" t="s">
        <v>52</v>
      </c>
      <c r="D3157" s="17">
        <v>33340</v>
      </c>
      <c r="E3157" s="17">
        <v>337</v>
      </c>
      <c r="F3157" s="17">
        <v>6706</v>
      </c>
      <c r="G3157" s="13">
        <v>1</v>
      </c>
      <c r="H3157" s="17">
        <v>0</v>
      </c>
      <c r="I3157" s="17">
        <v>0</v>
      </c>
      <c r="J3157" s="17">
        <v>97</v>
      </c>
      <c r="L3157" s="17">
        <v>97</v>
      </c>
      <c r="P3157" s="17">
        <v>2</v>
      </c>
      <c r="Q3157" s="19">
        <v>97</v>
      </c>
      <c r="R3157" s="14">
        <v>250</v>
      </c>
      <c r="S3157" s="19">
        <v>24250</v>
      </c>
      <c r="T3157" s="17">
        <v>1</v>
      </c>
      <c r="U3157" s="17" t="s">
        <v>57</v>
      </c>
      <c r="V3157" s="17" t="s">
        <v>56</v>
      </c>
      <c r="W3157" s="4">
        <v>114</v>
      </c>
      <c r="Y3157" s="4">
        <v>114</v>
      </c>
      <c r="AB3157" s="17">
        <v>21</v>
      </c>
      <c r="AJ3157" s="19">
        <v>0</v>
      </c>
      <c r="AK3157" s="23">
        <v>21</v>
      </c>
      <c r="AM3157" s="19">
        <v>0</v>
      </c>
      <c r="AN3157" s="19">
        <v>24250</v>
      </c>
      <c r="AP3157" s="14">
        <v>24250</v>
      </c>
    </row>
    <row r="3158" spans="1:45" x14ac:dyDescent="0.2">
      <c r="A3158" s="2">
        <v>2679</v>
      </c>
      <c r="B3158" s="13">
        <v>1</v>
      </c>
      <c r="C3158" s="17" t="s">
        <v>52</v>
      </c>
      <c r="D3158" s="17">
        <v>2907</v>
      </c>
      <c r="E3158" s="17">
        <v>10</v>
      </c>
      <c r="F3158" s="17">
        <v>1990</v>
      </c>
      <c r="G3158" s="13">
        <v>1</v>
      </c>
      <c r="H3158" s="17">
        <v>15</v>
      </c>
      <c r="I3158" s="17">
        <v>1</v>
      </c>
      <c r="J3158" s="17">
        <v>12</v>
      </c>
      <c r="K3158" s="10">
        <v>6112</v>
      </c>
      <c r="P3158" s="17">
        <v>1</v>
      </c>
      <c r="Q3158" s="19">
        <v>6112</v>
      </c>
      <c r="R3158" s="14">
        <v>160</v>
      </c>
      <c r="S3158" s="19">
        <v>977920</v>
      </c>
      <c r="AJ3158" s="19">
        <v>0</v>
      </c>
      <c r="AK3158" s="23">
        <v>0</v>
      </c>
      <c r="AM3158" s="19">
        <v>0</v>
      </c>
      <c r="AN3158" s="19">
        <v>977920</v>
      </c>
      <c r="AP3158" s="14">
        <v>977920</v>
      </c>
      <c r="AS3158" s="26">
        <v>47</v>
      </c>
    </row>
    <row r="3159" spans="1:45" x14ac:dyDescent="0.2">
      <c r="A3159" s="2">
        <v>2680</v>
      </c>
      <c r="B3159" s="13">
        <v>2</v>
      </c>
      <c r="C3159" s="17" t="s">
        <v>65</v>
      </c>
      <c r="D3159" s="17">
        <v>854</v>
      </c>
      <c r="E3159" s="17">
        <v>120</v>
      </c>
      <c r="H3159" s="17">
        <v>4</v>
      </c>
      <c r="I3159" s="17">
        <v>1</v>
      </c>
      <c r="J3159" s="17">
        <v>53</v>
      </c>
      <c r="K3159" s="10">
        <v>1753</v>
      </c>
      <c r="P3159" s="17">
        <v>1</v>
      </c>
      <c r="Q3159" s="19">
        <v>1753</v>
      </c>
      <c r="R3159" s="14">
        <v>200</v>
      </c>
      <c r="S3159" s="19">
        <v>350600</v>
      </c>
      <c r="AJ3159" s="19">
        <v>0</v>
      </c>
      <c r="AK3159" s="23">
        <v>0</v>
      </c>
      <c r="AM3159" s="19">
        <v>0</v>
      </c>
      <c r="AN3159" s="19">
        <v>350600</v>
      </c>
      <c r="AP3159" s="14">
        <v>350600</v>
      </c>
      <c r="AQ3159" s="12">
        <v>1E-4</v>
      </c>
    </row>
    <row r="3160" spans="1:45" x14ac:dyDescent="0.2">
      <c r="A3160" s="2">
        <v>2681</v>
      </c>
      <c r="B3160" s="13">
        <v>3</v>
      </c>
      <c r="C3160" s="17" t="s">
        <v>65</v>
      </c>
      <c r="D3160" s="17">
        <v>855</v>
      </c>
      <c r="E3160" s="17">
        <v>121</v>
      </c>
      <c r="H3160" s="17">
        <v>7</v>
      </c>
      <c r="I3160" s="17">
        <v>1</v>
      </c>
      <c r="J3160" s="17">
        <v>33</v>
      </c>
      <c r="K3160" s="10">
        <v>2933</v>
      </c>
      <c r="P3160" s="17">
        <v>1</v>
      </c>
      <c r="Q3160" s="19">
        <v>2933</v>
      </c>
      <c r="R3160" s="14">
        <v>200</v>
      </c>
      <c r="S3160" s="19">
        <v>586600</v>
      </c>
      <c r="AJ3160" s="19">
        <v>0</v>
      </c>
      <c r="AK3160" s="23">
        <v>0</v>
      </c>
      <c r="AM3160" s="19">
        <v>0</v>
      </c>
      <c r="AN3160" s="19">
        <v>586600</v>
      </c>
      <c r="AP3160" s="14">
        <v>586600</v>
      </c>
      <c r="AQ3160" s="12">
        <v>1E-4</v>
      </c>
    </row>
    <row r="3161" spans="1:45" x14ac:dyDescent="0.2">
      <c r="A3161" s="2">
        <v>2682</v>
      </c>
      <c r="B3161" s="13">
        <v>4</v>
      </c>
      <c r="C3161" s="17" t="s">
        <v>65</v>
      </c>
      <c r="D3161" s="17">
        <v>1037</v>
      </c>
      <c r="E3161" s="17">
        <v>208</v>
      </c>
      <c r="H3161" s="17">
        <v>1</v>
      </c>
      <c r="I3161" s="17">
        <v>1</v>
      </c>
      <c r="J3161" s="17">
        <v>10</v>
      </c>
      <c r="K3161" s="10">
        <v>510</v>
      </c>
      <c r="P3161" s="17">
        <v>1</v>
      </c>
      <c r="Q3161" s="19">
        <v>510</v>
      </c>
      <c r="R3161" s="14">
        <v>200</v>
      </c>
      <c r="S3161" s="19">
        <v>102000</v>
      </c>
      <c r="AJ3161" s="19">
        <v>0</v>
      </c>
      <c r="AK3161" s="23">
        <v>0</v>
      </c>
      <c r="AM3161" s="19">
        <v>0</v>
      </c>
      <c r="AN3161" s="19">
        <v>102000</v>
      </c>
      <c r="AP3161" s="14">
        <v>102000</v>
      </c>
      <c r="AQ3161" s="12">
        <v>1E-4</v>
      </c>
    </row>
    <row r="3162" spans="1:45" ht="63" x14ac:dyDescent="0.2">
      <c r="A3162" s="2">
        <v>2683</v>
      </c>
      <c r="B3162" s="13">
        <v>1</v>
      </c>
      <c r="C3162" s="17" t="s">
        <v>52</v>
      </c>
      <c r="D3162" s="17">
        <v>2147</v>
      </c>
      <c r="E3162" s="17">
        <v>33</v>
      </c>
      <c r="F3162" s="17">
        <v>1742</v>
      </c>
      <c r="G3162" s="13">
        <v>4</v>
      </c>
      <c r="H3162" s="17">
        <v>0</v>
      </c>
      <c r="I3162" s="17">
        <v>0</v>
      </c>
      <c r="J3162" s="17">
        <v>39</v>
      </c>
      <c r="L3162" s="17">
        <v>39</v>
      </c>
      <c r="P3162" s="17">
        <v>2</v>
      </c>
      <c r="Q3162" s="19">
        <v>39</v>
      </c>
      <c r="R3162" s="14">
        <v>250</v>
      </c>
      <c r="S3162" s="19">
        <v>9750</v>
      </c>
      <c r="T3162" s="17">
        <v>1</v>
      </c>
      <c r="U3162" s="17" t="s">
        <v>57</v>
      </c>
      <c r="V3162" s="17" t="s">
        <v>56</v>
      </c>
      <c r="W3162" s="4">
        <v>76.5</v>
      </c>
      <c r="Y3162" s="4">
        <v>76.5</v>
      </c>
      <c r="AB3162" s="17">
        <v>41</v>
      </c>
      <c r="AJ3162" s="19">
        <v>0</v>
      </c>
      <c r="AK3162" s="23">
        <v>41</v>
      </c>
      <c r="AM3162" s="19">
        <v>0</v>
      </c>
      <c r="AN3162" s="19">
        <v>9750</v>
      </c>
      <c r="AP3162" s="14">
        <v>9750</v>
      </c>
    </row>
    <row r="3163" spans="1:45" x14ac:dyDescent="0.2">
      <c r="A3163" s="2">
        <v>2684</v>
      </c>
      <c r="B3163" s="13">
        <v>2</v>
      </c>
      <c r="C3163" s="17" t="s">
        <v>52</v>
      </c>
      <c r="D3163" s="17">
        <v>2392</v>
      </c>
      <c r="E3163" s="17">
        <v>24</v>
      </c>
      <c r="F3163" s="17">
        <v>1730</v>
      </c>
      <c r="G3163" s="13">
        <v>4</v>
      </c>
      <c r="H3163" s="17">
        <v>0</v>
      </c>
      <c r="I3163" s="17">
        <v>0</v>
      </c>
      <c r="J3163" s="17">
        <v>18</v>
      </c>
      <c r="N3163" s="18">
        <v>18</v>
      </c>
      <c r="P3163" s="17">
        <v>4</v>
      </c>
      <c r="Q3163" s="19">
        <v>18</v>
      </c>
      <c r="R3163" s="14">
        <v>250</v>
      </c>
      <c r="S3163" s="19">
        <v>4500</v>
      </c>
      <c r="AJ3163" s="19">
        <v>0</v>
      </c>
      <c r="AK3163" s="23">
        <v>0</v>
      </c>
      <c r="AM3163" s="19">
        <v>0</v>
      </c>
      <c r="AN3163" s="19">
        <v>4500</v>
      </c>
      <c r="AP3163" s="14">
        <v>4500</v>
      </c>
      <c r="AQ3163" s="12">
        <v>3.0000000000000001E-3</v>
      </c>
    </row>
    <row r="3164" spans="1:45" x14ac:dyDescent="0.2">
      <c r="A3164" s="2">
        <v>2685</v>
      </c>
      <c r="B3164" s="13">
        <v>3</v>
      </c>
      <c r="C3164" s="17" t="s">
        <v>52</v>
      </c>
      <c r="D3164" s="17">
        <v>2393</v>
      </c>
      <c r="E3164" s="17">
        <v>23</v>
      </c>
      <c r="F3164" s="17">
        <v>1731</v>
      </c>
      <c r="G3164" s="13">
        <v>4</v>
      </c>
      <c r="H3164" s="17">
        <v>0</v>
      </c>
      <c r="I3164" s="17">
        <v>0</v>
      </c>
      <c r="J3164" s="17">
        <v>21</v>
      </c>
      <c r="N3164" s="18">
        <v>21</v>
      </c>
      <c r="P3164" s="17">
        <v>4</v>
      </c>
      <c r="Q3164" s="19">
        <v>21</v>
      </c>
      <c r="R3164" s="14">
        <v>250</v>
      </c>
      <c r="S3164" s="19">
        <v>5250</v>
      </c>
      <c r="AJ3164" s="19">
        <v>0</v>
      </c>
      <c r="AK3164" s="23">
        <v>0</v>
      </c>
      <c r="AM3164" s="19">
        <v>0</v>
      </c>
      <c r="AN3164" s="19">
        <v>5250</v>
      </c>
      <c r="AP3164" s="14">
        <v>5250</v>
      </c>
      <c r="AQ3164" s="12">
        <v>3.0000000000000001E-3</v>
      </c>
    </row>
    <row r="3165" spans="1:45" x14ac:dyDescent="0.2">
      <c r="A3165" s="2">
        <v>2686</v>
      </c>
      <c r="B3165" s="13">
        <v>4</v>
      </c>
      <c r="C3165" s="17" t="s">
        <v>52</v>
      </c>
      <c r="D3165" s="17">
        <v>36290</v>
      </c>
      <c r="E3165" s="17">
        <v>107</v>
      </c>
      <c r="F3165" s="17">
        <v>7090</v>
      </c>
      <c r="G3165" s="13">
        <v>4</v>
      </c>
      <c r="H3165" s="17">
        <v>0</v>
      </c>
      <c r="I3165" s="17">
        <v>0</v>
      </c>
      <c r="J3165" s="17">
        <v>30</v>
      </c>
      <c r="N3165" s="18">
        <v>30</v>
      </c>
      <c r="P3165" s="17">
        <v>4</v>
      </c>
      <c r="Q3165" s="19">
        <v>30</v>
      </c>
      <c r="R3165" s="14">
        <v>2000</v>
      </c>
      <c r="S3165" s="19">
        <v>60000</v>
      </c>
      <c r="AJ3165" s="19">
        <v>0</v>
      </c>
      <c r="AK3165" s="23">
        <v>0</v>
      </c>
      <c r="AM3165" s="19">
        <v>0</v>
      </c>
      <c r="AN3165" s="19">
        <v>60000</v>
      </c>
      <c r="AP3165" s="14">
        <v>60000</v>
      </c>
      <c r="AQ3165" s="12">
        <v>3.0000000000000001E-3</v>
      </c>
    </row>
    <row r="3166" spans="1:45" x14ac:dyDescent="0.2">
      <c r="A3166" s="2">
        <v>2687</v>
      </c>
      <c r="B3166" s="13">
        <v>5</v>
      </c>
      <c r="C3166" s="17" t="s">
        <v>65</v>
      </c>
      <c r="D3166" s="17">
        <v>3616</v>
      </c>
      <c r="E3166" s="17">
        <v>172</v>
      </c>
      <c r="H3166" s="17">
        <v>0</v>
      </c>
      <c r="I3166" s="17">
        <v>0</v>
      </c>
      <c r="J3166" s="17">
        <v>34</v>
      </c>
      <c r="N3166" s="18">
        <v>34</v>
      </c>
      <c r="Q3166" s="19">
        <v>34</v>
      </c>
      <c r="R3166" s="14">
        <v>200</v>
      </c>
      <c r="S3166" s="19">
        <v>6800</v>
      </c>
      <c r="AE3166" s="17" t="s">
        <v>95</v>
      </c>
      <c r="AJ3166" s="19">
        <v>0</v>
      </c>
      <c r="AK3166" s="23">
        <v>0</v>
      </c>
      <c r="AM3166" s="19">
        <v>0</v>
      </c>
      <c r="AN3166" s="19">
        <v>6800</v>
      </c>
      <c r="AP3166" s="14">
        <v>6800</v>
      </c>
      <c r="AQ3166" s="12">
        <v>1E-4</v>
      </c>
    </row>
    <row r="3167" spans="1:45" ht="63" x14ac:dyDescent="0.2">
      <c r="A3167" s="2">
        <v>2688</v>
      </c>
      <c r="B3167" s="13">
        <v>1</v>
      </c>
      <c r="C3167" s="17" t="s">
        <v>52</v>
      </c>
      <c r="D3167" s="17">
        <v>1331</v>
      </c>
      <c r="E3167" s="17">
        <v>131</v>
      </c>
      <c r="F3167" s="17">
        <v>619</v>
      </c>
      <c r="G3167" s="13">
        <v>1</v>
      </c>
      <c r="H3167" s="17">
        <v>0</v>
      </c>
      <c r="I3167" s="17">
        <v>0</v>
      </c>
      <c r="J3167" s="17">
        <v>47</v>
      </c>
      <c r="L3167" s="17">
        <v>44.5</v>
      </c>
      <c r="M3167" s="15">
        <v>2.5</v>
      </c>
      <c r="P3167" s="17">
        <v>2</v>
      </c>
      <c r="Q3167" s="19">
        <v>47</v>
      </c>
      <c r="R3167" s="14">
        <v>3000</v>
      </c>
      <c r="S3167" s="19">
        <v>141000</v>
      </c>
      <c r="T3167" s="17">
        <v>1</v>
      </c>
      <c r="U3167" s="17" t="s">
        <v>63</v>
      </c>
      <c r="V3167" s="17" t="s">
        <v>56</v>
      </c>
      <c r="W3167" s="4">
        <v>82.5</v>
      </c>
      <c r="Y3167" s="4" t="s">
        <v>271</v>
      </c>
      <c r="AB3167" s="17">
        <v>24</v>
      </c>
      <c r="AF3167" s="14">
        <v>2</v>
      </c>
      <c r="AG3167" s="54">
        <v>82.5</v>
      </c>
      <c r="AH3167" s="11">
        <v>0.81</v>
      </c>
      <c r="AI3167" s="14">
        <v>8100</v>
      </c>
      <c r="AJ3167" s="19">
        <v>541282.5</v>
      </c>
      <c r="AK3167" s="23">
        <v>24</v>
      </c>
      <c r="AL3167" s="11">
        <v>0.38</v>
      </c>
      <c r="AM3167" s="19">
        <v>335595.15</v>
      </c>
      <c r="AN3167" s="19">
        <v>476595.15</v>
      </c>
      <c r="AP3167" s="14">
        <v>476595.15</v>
      </c>
      <c r="AS3167" s="26">
        <v>375</v>
      </c>
    </row>
    <row r="3168" spans="1:45" ht="63" x14ac:dyDescent="0.2">
      <c r="Q3168" s="19">
        <v>0</v>
      </c>
      <c r="R3168" s="14">
        <v>3000</v>
      </c>
      <c r="Z3168" s="17">
        <v>16</v>
      </c>
      <c r="AF3168" s="14">
        <v>3</v>
      </c>
      <c r="AG3168" s="54">
        <v>82.5</v>
      </c>
      <c r="AH3168" s="11">
        <v>0.19</v>
      </c>
      <c r="AI3168" s="14">
        <v>8100</v>
      </c>
      <c r="AJ3168" s="19">
        <v>126967.5</v>
      </c>
      <c r="AK3168" s="23">
        <v>24</v>
      </c>
      <c r="AL3168" s="11">
        <v>0.38</v>
      </c>
      <c r="AM3168" s="19">
        <v>78719.850000000006</v>
      </c>
      <c r="AN3168" s="19">
        <v>105509.85</v>
      </c>
      <c r="AP3168" s="14">
        <v>105509.85</v>
      </c>
      <c r="AQ3168" s="12">
        <v>3.0000000000000001E-3</v>
      </c>
      <c r="AR3168" s="19">
        <v>375</v>
      </c>
    </row>
    <row r="3169" spans="1:45" x14ac:dyDescent="0.2">
      <c r="A3169" s="2">
        <v>2689</v>
      </c>
      <c r="B3169" s="13">
        <v>1</v>
      </c>
      <c r="C3169" s="17" t="s">
        <v>52</v>
      </c>
      <c r="D3169" s="17">
        <v>32812</v>
      </c>
      <c r="E3169" s="17">
        <v>289</v>
      </c>
      <c r="F3169" s="17">
        <v>6439</v>
      </c>
      <c r="G3169" s="13">
        <v>1</v>
      </c>
      <c r="H3169" s="17">
        <v>0</v>
      </c>
      <c r="I3169" s="17">
        <v>0</v>
      </c>
      <c r="J3169" s="17">
        <v>44</v>
      </c>
      <c r="K3169" s="10">
        <v>44</v>
      </c>
      <c r="P3169" s="17">
        <v>1</v>
      </c>
      <c r="Q3169" s="19">
        <v>44</v>
      </c>
      <c r="R3169" s="14">
        <v>160</v>
      </c>
      <c r="S3169" s="19">
        <v>7040</v>
      </c>
      <c r="AJ3169" s="19">
        <v>0</v>
      </c>
      <c r="AK3169" s="23">
        <v>0</v>
      </c>
      <c r="AM3169" s="19">
        <v>0</v>
      </c>
      <c r="AN3169" s="19">
        <v>7040</v>
      </c>
      <c r="AP3169" s="14">
        <v>7040</v>
      </c>
    </row>
    <row r="3170" spans="1:45" ht="63" x14ac:dyDescent="0.2">
      <c r="A3170" s="2">
        <v>2690</v>
      </c>
      <c r="B3170" s="13">
        <v>1</v>
      </c>
      <c r="C3170" s="17" t="s">
        <v>52</v>
      </c>
      <c r="D3170" s="17">
        <v>887</v>
      </c>
      <c r="E3170" s="17">
        <v>101</v>
      </c>
      <c r="F3170" s="17">
        <v>181</v>
      </c>
      <c r="G3170" s="13">
        <v>1</v>
      </c>
      <c r="H3170" s="17">
        <v>0</v>
      </c>
      <c r="I3170" s="17">
        <v>0</v>
      </c>
      <c r="J3170" s="17">
        <v>84</v>
      </c>
      <c r="L3170" s="17">
        <v>84</v>
      </c>
      <c r="P3170" s="17">
        <v>2</v>
      </c>
      <c r="Q3170" s="19">
        <v>84</v>
      </c>
      <c r="R3170" s="14">
        <v>200</v>
      </c>
      <c r="S3170" s="19">
        <v>16800</v>
      </c>
      <c r="T3170" s="17">
        <v>1</v>
      </c>
      <c r="U3170" s="17" t="s">
        <v>57</v>
      </c>
      <c r="V3170" s="17" t="s">
        <v>56</v>
      </c>
      <c r="W3170" s="4">
        <v>198</v>
      </c>
      <c r="Y3170" s="4">
        <v>198</v>
      </c>
      <c r="AB3170" s="17">
        <v>33</v>
      </c>
      <c r="AJ3170" s="19">
        <v>0</v>
      </c>
      <c r="AK3170" s="23">
        <v>33</v>
      </c>
      <c r="AM3170" s="19">
        <v>0</v>
      </c>
      <c r="AN3170" s="19">
        <v>16800</v>
      </c>
      <c r="AP3170" s="14">
        <v>16800</v>
      </c>
    </row>
    <row r="3171" spans="1:45" x14ac:dyDescent="0.2">
      <c r="A3171" s="2">
        <v>2691</v>
      </c>
      <c r="B3171" s="13">
        <v>1</v>
      </c>
      <c r="C3171" s="17" t="s">
        <v>52</v>
      </c>
      <c r="D3171" s="17">
        <v>1041</v>
      </c>
      <c r="E3171" s="17">
        <v>25</v>
      </c>
      <c r="F3171" s="17">
        <v>399</v>
      </c>
      <c r="G3171" s="13">
        <v>1</v>
      </c>
      <c r="H3171" s="17">
        <v>6</v>
      </c>
      <c r="I3171" s="17">
        <v>0</v>
      </c>
      <c r="J3171" s="17">
        <v>57</v>
      </c>
      <c r="K3171" s="10">
        <v>2457</v>
      </c>
      <c r="P3171" s="17">
        <v>1</v>
      </c>
      <c r="Q3171" s="19">
        <v>2457</v>
      </c>
      <c r="R3171" s="14">
        <v>200</v>
      </c>
      <c r="S3171" s="19">
        <v>491400</v>
      </c>
      <c r="AJ3171" s="19">
        <v>0</v>
      </c>
      <c r="AK3171" s="23">
        <v>0</v>
      </c>
      <c r="AM3171" s="19">
        <v>0</v>
      </c>
      <c r="AN3171" s="19">
        <v>491400</v>
      </c>
      <c r="AP3171" s="14">
        <v>491400</v>
      </c>
      <c r="AS3171" s="26">
        <v>34</v>
      </c>
    </row>
    <row r="3172" spans="1:45" x14ac:dyDescent="0.2">
      <c r="A3172" s="2">
        <v>2692</v>
      </c>
      <c r="B3172" s="13">
        <v>1</v>
      </c>
      <c r="C3172" s="17" t="s">
        <v>52</v>
      </c>
      <c r="D3172" s="17">
        <v>29207</v>
      </c>
      <c r="E3172" s="17">
        <v>156</v>
      </c>
      <c r="F3172" s="17">
        <v>5402</v>
      </c>
      <c r="G3172" s="13">
        <v>1</v>
      </c>
      <c r="H3172" s="17">
        <v>8</v>
      </c>
      <c r="I3172" s="17">
        <v>0</v>
      </c>
      <c r="J3172" s="17">
        <v>88</v>
      </c>
      <c r="K3172" s="10">
        <v>3108</v>
      </c>
      <c r="L3172" s="17">
        <v>180</v>
      </c>
      <c r="P3172" s="17">
        <v>5</v>
      </c>
      <c r="Q3172" s="19">
        <v>3288</v>
      </c>
      <c r="R3172" s="14">
        <v>750</v>
      </c>
      <c r="S3172" s="19">
        <v>2466000</v>
      </c>
      <c r="AJ3172" s="19">
        <v>0</v>
      </c>
      <c r="AK3172" s="23">
        <v>0</v>
      </c>
      <c r="AM3172" s="19">
        <v>0</v>
      </c>
      <c r="AN3172" s="19">
        <v>2466000</v>
      </c>
      <c r="AP3172" s="14">
        <v>2466000</v>
      </c>
      <c r="AS3172" s="26">
        <v>51</v>
      </c>
    </row>
    <row r="3173" spans="1:45" x14ac:dyDescent="0.2">
      <c r="A3173" s="2">
        <v>2693</v>
      </c>
      <c r="B3173" s="13">
        <v>1</v>
      </c>
      <c r="C3173" s="17" t="s">
        <v>52</v>
      </c>
      <c r="D3173" s="17">
        <v>997</v>
      </c>
      <c r="E3173" s="17">
        <v>10</v>
      </c>
      <c r="F3173" s="17">
        <v>245</v>
      </c>
      <c r="G3173" s="13">
        <v>1</v>
      </c>
      <c r="H3173" s="17">
        <v>2</v>
      </c>
      <c r="I3173" s="17">
        <v>2</v>
      </c>
      <c r="J3173" s="17">
        <v>0</v>
      </c>
      <c r="K3173" s="10">
        <v>1000</v>
      </c>
      <c r="P3173" s="17">
        <v>1</v>
      </c>
      <c r="Q3173" s="19">
        <v>1000</v>
      </c>
      <c r="R3173" s="14">
        <v>160</v>
      </c>
      <c r="S3173" s="19">
        <v>160000</v>
      </c>
      <c r="AJ3173" s="19">
        <v>0</v>
      </c>
      <c r="AK3173" s="23">
        <v>0</v>
      </c>
      <c r="AM3173" s="19">
        <v>0</v>
      </c>
      <c r="AN3173" s="19">
        <v>160000</v>
      </c>
      <c r="AP3173" s="14">
        <v>160000</v>
      </c>
    </row>
    <row r="3174" spans="1:45" x14ac:dyDescent="0.2">
      <c r="A3174" s="2">
        <v>2694</v>
      </c>
      <c r="B3174" s="13">
        <v>2</v>
      </c>
      <c r="C3174" s="17" t="s">
        <v>52</v>
      </c>
      <c r="D3174" s="17">
        <v>4627</v>
      </c>
      <c r="E3174" s="17">
        <v>49</v>
      </c>
      <c r="F3174" s="17">
        <v>2448</v>
      </c>
      <c r="G3174" s="13">
        <v>1</v>
      </c>
      <c r="H3174" s="17">
        <v>5</v>
      </c>
      <c r="I3174" s="17">
        <v>0</v>
      </c>
      <c r="J3174" s="17">
        <v>88</v>
      </c>
      <c r="K3174" s="10">
        <v>2088</v>
      </c>
      <c r="P3174" s="17">
        <v>1</v>
      </c>
      <c r="Q3174" s="19">
        <v>2088</v>
      </c>
      <c r="R3174" s="14">
        <v>200</v>
      </c>
      <c r="S3174" s="19">
        <v>417600</v>
      </c>
      <c r="AJ3174" s="19">
        <v>0</v>
      </c>
      <c r="AK3174" s="23">
        <v>0</v>
      </c>
      <c r="AM3174" s="19">
        <v>0</v>
      </c>
      <c r="AN3174" s="19">
        <v>417600</v>
      </c>
      <c r="AP3174" s="14">
        <v>417600</v>
      </c>
    </row>
    <row r="3175" spans="1:45" ht="63" x14ac:dyDescent="0.2">
      <c r="A3175" s="2">
        <v>2695</v>
      </c>
      <c r="B3175" s="13">
        <v>3</v>
      </c>
      <c r="C3175" s="17" t="s">
        <v>52</v>
      </c>
      <c r="D3175" s="17">
        <v>29201</v>
      </c>
      <c r="E3175" s="17">
        <v>150</v>
      </c>
      <c r="F3175" s="17">
        <v>5396</v>
      </c>
      <c r="G3175" s="13">
        <v>1</v>
      </c>
      <c r="H3175" s="17">
        <v>0</v>
      </c>
      <c r="I3175" s="17">
        <v>0</v>
      </c>
      <c r="J3175" s="17">
        <v>36</v>
      </c>
      <c r="L3175" s="17">
        <v>36</v>
      </c>
      <c r="P3175" s="17">
        <v>2</v>
      </c>
      <c r="Q3175" s="19">
        <v>36</v>
      </c>
      <c r="R3175" s="14">
        <v>3000</v>
      </c>
      <c r="S3175" s="19">
        <v>108000</v>
      </c>
      <c r="T3175" s="17">
        <v>1</v>
      </c>
      <c r="U3175" s="17" t="s">
        <v>63</v>
      </c>
      <c r="V3175" s="17" t="s">
        <v>56</v>
      </c>
      <c r="W3175" s="4">
        <v>96.75</v>
      </c>
      <c r="Y3175" s="4">
        <v>96.75</v>
      </c>
      <c r="AB3175" s="17">
        <v>8</v>
      </c>
      <c r="AJ3175" s="19">
        <v>0</v>
      </c>
      <c r="AK3175" s="23">
        <v>8</v>
      </c>
      <c r="AM3175" s="19">
        <v>0</v>
      </c>
      <c r="AN3175" s="19">
        <v>108000</v>
      </c>
      <c r="AP3175" s="14">
        <v>108000</v>
      </c>
    </row>
    <row r="3176" spans="1:45" ht="63" x14ac:dyDescent="0.2">
      <c r="A3176" s="2">
        <v>2696</v>
      </c>
      <c r="B3176" s="13">
        <v>4</v>
      </c>
      <c r="C3176" s="17" t="s">
        <v>52</v>
      </c>
      <c r="D3176" s="17">
        <v>29202</v>
      </c>
      <c r="E3176" s="17">
        <v>151</v>
      </c>
      <c r="F3176" s="17">
        <v>5397</v>
      </c>
      <c r="G3176" s="13">
        <v>1</v>
      </c>
      <c r="H3176" s="17">
        <v>0</v>
      </c>
      <c r="I3176" s="17">
        <v>0</v>
      </c>
      <c r="J3176" s="17">
        <v>36</v>
      </c>
      <c r="L3176" s="17">
        <v>36</v>
      </c>
      <c r="P3176" s="17">
        <v>2</v>
      </c>
      <c r="Q3176" s="19">
        <v>36</v>
      </c>
      <c r="R3176" s="14">
        <v>3000</v>
      </c>
      <c r="S3176" s="19">
        <v>108000</v>
      </c>
      <c r="T3176" s="17">
        <v>1</v>
      </c>
      <c r="U3176" s="17" t="s">
        <v>63</v>
      </c>
      <c r="V3176" s="17" t="s">
        <v>56</v>
      </c>
      <c r="W3176" s="4">
        <v>96.75</v>
      </c>
      <c r="Y3176" s="4">
        <v>96.75</v>
      </c>
      <c r="AB3176" s="17">
        <v>8</v>
      </c>
      <c r="AJ3176" s="19">
        <v>0</v>
      </c>
      <c r="AK3176" s="23">
        <v>8</v>
      </c>
      <c r="AM3176" s="19">
        <v>0</v>
      </c>
      <c r="AN3176" s="19">
        <v>108000</v>
      </c>
      <c r="AP3176" s="14">
        <v>108000</v>
      </c>
    </row>
    <row r="3177" spans="1:45" ht="63" x14ac:dyDescent="0.2">
      <c r="A3177" s="2">
        <v>2697</v>
      </c>
      <c r="B3177" s="13">
        <v>5</v>
      </c>
      <c r="C3177" s="17" t="s">
        <v>52</v>
      </c>
      <c r="D3177" s="17">
        <v>29203</v>
      </c>
      <c r="E3177" s="17">
        <v>152</v>
      </c>
      <c r="F3177" s="17">
        <v>5398</v>
      </c>
      <c r="G3177" s="13">
        <v>1</v>
      </c>
      <c r="H3177" s="17">
        <v>0</v>
      </c>
      <c r="I3177" s="17">
        <v>0</v>
      </c>
      <c r="J3177" s="17">
        <v>37</v>
      </c>
      <c r="L3177" s="17">
        <v>37</v>
      </c>
      <c r="P3177" s="17">
        <v>2</v>
      </c>
      <c r="Q3177" s="19">
        <v>37</v>
      </c>
      <c r="R3177" s="14">
        <v>3000</v>
      </c>
      <c r="S3177" s="19">
        <v>111000</v>
      </c>
      <c r="T3177" s="17">
        <v>1</v>
      </c>
      <c r="U3177" s="17" t="s">
        <v>63</v>
      </c>
      <c r="V3177" s="17" t="s">
        <v>56</v>
      </c>
      <c r="W3177" s="4">
        <v>96.75</v>
      </c>
      <c r="Y3177" s="4">
        <v>96.75</v>
      </c>
      <c r="AB3177" s="17">
        <v>8</v>
      </c>
      <c r="AJ3177" s="19">
        <v>0</v>
      </c>
      <c r="AK3177" s="23">
        <v>8</v>
      </c>
      <c r="AM3177" s="19">
        <v>0</v>
      </c>
      <c r="AN3177" s="19">
        <v>111000</v>
      </c>
      <c r="AP3177" s="14">
        <v>111000</v>
      </c>
    </row>
    <row r="3178" spans="1:45" x14ac:dyDescent="0.2">
      <c r="A3178" s="2">
        <v>2698</v>
      </c>
      <c r="B3178" s="13">
        <v>6</v>
      </c>
      <c r="C3178" s="17" t="s">
        <v>52</v>
      </c>
      <c r="D3178" s="17">
        <v>29204</v>
      </c>
      <c r="E3178" s="17">
        <v>153</v>
      </c>
      <c r="F3178" s="17">
        <v>5399</v>
      </c>
      <c r="G3178" s="13">
        <v>1</v>
      </c>
      <c r="H3178" s="17">
        <v>0</v>
      </c>
      <c r="I3178" s="17">
        <v>0</v>
      </c>
      <c r="J3178" s="17">
        <v>36</v>
      </c>
      <c r="N3178" s="18">
        <v>36</v>
      </c>
      <c r="P3178" s="17">
        <v>4</v>
      </c>
      <c r="Q3178" s="19">
        <v>36</v>
      </c>
      <c r="R3178" s="14">
        <v>3000</v>
      </c>
      <c r="S3178" s="19">
        <v>108000</v>
      </c>
      <c r="AJ3178" s="19">
        <v>0</v>
      </c>
      <c r="AK3178" s="23">
        <v>0</v>
      </c>
      <c r="AM3178" s="19">
        <v>0</v>
      </c>
      <c r="AN3178" s="19">
        <v>108000</v>
      </c>
      <c r="AP3178" s="14">
        <v>108000</v>
      </c>
      <c r="AQ3178" s="12">
        <v>3.0000000000000001E-3</v>
      </c>
    </row>
    <row r="3179" spans="1:45" x14ac:dyDescent="0.2">
      <c r="A3179" s="2">
        <v>2699</v>
      </c>
      <c r="B3179" s="13">
        <v>7</v>
      </c>
      <c r="C3179" s="17" t="s">
        <v>52</v>
      </c>
      <c r="D3179" s="17">
        <v>29205</v>
      </c>
      <c r="E3179" s="17">
        <v>154</v>
      </c>
      <c r="F3179" s="17">
        <v>5400</v>
      </c>
      <c r="G3179" s="13">
        <v>1</v>
      </c>
      <c r="H3179" s="17">
        <v>0</v>
      </c>
      <c r="I3179" s="17">
        <v>0</v>
      </c>
      <c r="J3179" s="17">
        <v>36</v>
      </c>
      <c r="N3179" s="18">
        <v>36</v>
      </c>
      <c r="P3179" s="17">
        <v>4</v>
      </c>
      <c r="Q3179" s="19">
        <v>36</v>
      </c>
      <c r="R3179" s="14">
        <v>3000</v>
      </c>
      <c r="S3179" s="19">
        <v>108000</v>
      </c>
      <c r="AJ3179" s="19">
        <v>0</v>
      </c>
      <c r="AK3179" s="23">
        <v>0</v>
      </c>
      <c r="AM3179" s="19">
        <v>0</v>
      </c>
      <c r="AN3179" s="19">
        <v>108000</v>
      </c>
      <c r="AP3179" s="14">
        <v>108000</v>
      </c>
      <c r="AQ3179" s="12">
        <v>3.0000000000000001E-3</v>
      </c>
    </row>
    <row r="3180" spans="1:45" ht="63" x14ac:dyDescent="0.2">
      <c r="A3180" s="2">
        <v>2700</v>
      </c>
      <c r="B3180" s="13">
        <v>8</v>
      </c>
      <c r="C3180" s="17" t="s">
        <v>52</v>
      </c>
      <c r="D3180" s="17">
        <v>29206</v>
      </c>
      <c r="E3180" s="17">
        <v>155</v>
      </c>
      <c r="F3180" s="17">
        <v>5401</v>
      </c>
      <c r="G3180" s="13">
        <v>1</v>
      </c>
      <c r="H3180" s="17">
        <v>0</v>
      </c>
      <c r="I3180" s="17">
        <v>1</v>
      </c>
      <c r="J3180" s="17">
        <v>92</v>
      </c>
      <c r="L3180" s="17">
        <v>192</v>
      </c>
      <c r="P3180" s="17">
        <v>2</v>
      </c>
      <c r="Q3180" s="19">
        <v>192</v>
      </c>
      <c r="R3180" s="14">
        <v>3000</v>
      </c>
      <c r="S3180" s="19">
        <v>576000</v>
      </c>
      <c r="T3180" s="17">
        <v>1</v>
      </c>
      <c r="U3180" s="17" t="s">
        <v>57</v>
      </c>
      <c r="V3180" s="17" t="s">
        <v>56</v>
      </c>
      <c r="W3180" s="4">
        <v>230</v>
      </c>
      <c r="Y3180" s="4">
        <v>230</v>
      </c>
      <c r="AB3180" s="17">
        <v>3</v>
      </c>
      <c r="AJ3180" s="19">
        <v>0</v>
      </c>
      <c r="AK3180" s="23">
        <v>3</v>
      </c>
      <c r="AM3180" s="19">
        <v>0</v>
      </c>
      <c r="AN3180" s="19">
        <v>576000</v>
      </c>
      <c r="AP3180" s="14">
        <v>576000</v>
      </c>
    </row>
    <row r="3181" spans="1:45" x14ac:dyDescent="0.2">
      <c r="A3181" s="2">
        <v>2701</v>
      </c>
      <c r="B3181" s="13">
        <v>9</v>
      </c>
      <c r="C3181" s="17" t="s">
        <v>52</v>
      </c>
      <c r="D3181" s="17">
        <v>28228</v>
      </c>
      <c r="E3181" s="17">
        <v>114</v>
      </c>
      <c r="F3181" s="17">
        <v>5036</v>
      </c>
      <c r="G3181" s="13">
        <v>2</v>
      </c>
      <c r="H3181" s="17">
        <v>0</v>
      </c>
      <c r="I3181" s="17">
        <v>1</v>
      </c>
      <c r="J3181" s="17">
        <v>3</v>
      </c>
      <c r="Q3181" s="19">
        <v>103</v>
      </c>
      <c r="R3181" s="14">
        <v>160</v>
      </c>
      <c r="S3181" s="19">
        <v>16480</v>
      </c>
      <c r="AJ3181" s="19">
        <v>0</v>
      </c>
      <c r="AK3181" s="23">
        <v>0</v>
      </c>
      <c r="AM3181" s="19">
        <v>0</v>
      </c>
      <c r="AN3181" s="19">
        <v>16480</v>
      </c>
      <c r="AP3181" s="14">
        <v>16480</v>
      </c>
    </row>
    <row r="3182" spans="1:45" x14ac:dyDescent="0.2">
      <c r="A3182" s="2">
        <f>+A3181+1</f>
        <v>2702</v>
      </c>
      <c r="B3182" s="13">
        <v>10</v>
      </c>
      <c r="C3182" s="17" t="s">
        <v>69</v>
      </c>
      <c r="E3182" s="17">
        <v>153</v>
      </c>
      <c r="F3182" s="17">
        <v>7</v>
      </c>
      <c r="G3182" s="13">
        <v>1</v>
      </c>
      <c r="H3182" s="17">
        <v>6</v>
      </c>
      <c r="I3182" s="17">
        <v>1</v>
      </c>
      <c r="J3182" s="17">
        <v>57</v>
      </c>
      <c r="K3182" s="10">
        <v>2557</v>
      </c>
      <c r="P3182" s="17">
        <v>1</v>
      </c>
      <c r="Q3182" s="19">
        <v>2557</v>
      </c>
      <c r="R3182" s="14">
        <v>160</v>
      </c>
      <c r="S3182" s="19">
        <v>409120</v>
      </c>
      <c r="AJ3182" s="19">
        <v>0</v>
      </c>
      <c r="AK3182" s="23">
        <v>0</v>
      </c>
      <c r="AM3182" s="19">
        <v>0</v>
      </c>
      <c r="AN3182" s="19">
        <v>409120</v>
      </c>
      <c r="AP3182" s="14">
        <v>409120</v>
      </c>
      <c r="AQ3182" s="12">
        <v>1E-4</v>
      </c>
    </row>
    <row r="3183" spans="1:45" x14ac:dyDescent="0.2">
      <c r="A3183" s="121">
        <f t="shared" ref="A3183:A3235" si="457">+A3182+1</f>
        <v>2703</v>
      </c>
      <c r="B3183" s="13">
        <v>11</v>
      </c>
      <c r="C3183" s="17" t="s">
        <v>69</v>
      </c>
      <c r="E3183" s="17">
        <v>153</v>
      </c>
      <c r="F3183" s="17">
        <v>8</v>
      </c>
      <c r="G3183" s="13">
        <v>1</v>
      </c>
      <c r="H3183" s="17">
        <v>9</v>
      </c>
      <c r="I3183" s="17">
        <v>2</v>
      </c>
      <c r="J3183" s="17">
        <v>29</v>
      </c>
      <c r="K3183" s="10">
        <v>3829</v>
      </c>
      <c r="P3183" s="17">
        <v>1</v>
      </c>
      <c r="Q3183" s="19">
        <v>3829</v>
      </c>
      <c r="R3183" s="14">
        <v>160</v>
      </c>
      <c r="S3183" s="19">
        <v>612640</v>
      </c>
      <c r="AJ3183" s="19">
        <v>0</v>
      </c>
      <c r="AK3183" s="23">
        <v>0</v>
      </c>
      <c r="AM3183" s="19">
        <v>0</v>
      </c>
      <c r="AN3183" s="19">
        <v>612640</v>
      </c>
      <c r="AP3183" s="14">
        <v>612640</v>
      </c>
      <c r="AQ3183" s="12">
        <v>1E-4</v>
      </c>
    </row>
    <row r="3184" spans="1:45" x14ac:dyDescent="0.2">
      <c r="A3184" s="121">
        <f t="shared" si="457"/>
        <v>2704</v>
      </c>
      <c r="B3184" s="13">
        <v>1</v>
      </c>
      <c r="C3184" s="17" t="s">
        <v>65</v>
      </c>
      <c r="D3184" s="17">
        <v>2318</v>
      </c>
      <c r="E3184" s="17">
        <v>295</v>
      </c>
      <c r="H3184" s="17">
        <v>6</v>
      </c>
      <c r="I3184" s="17">
        <v>1</v>
      </c>
      <c r="J3184" s="17">
        <v>36</v>
      </c>
      <c r="K3184" s="10">
        <v>2536</v>
      </c>
      <c r="P3184" s="17">
        <v>1</v>
      </c>
      <c r="Q3184" s="19">
        <v>2536</v>
      </c>
      <c r="R3184" s="14">
        <v>160</v>
      </c>
      <c r="S3184" s="19">
        <v>405760</v>
      </c>
      <c r="AJ3184" s="19">
        <v>0</v>
      </c>
      <c r="AK3184" s="23">
        <v>0</v>
      </c>
      <c r="AM3184" s="19">
        <v>0</v>
      </c>
      <c r="AN3184" s="19">
        <v>405760</v>
      </c>
      <c r="AP3184" s="14">
        <v>405760</v>
      </c>
      <c r="AQ3184" s="12">
        <v>1E-4</v>
      </c>
    </row>
    <row r="3185" spans="1:45" s="19" customFormat="1" x14ac:dyDescent="0.2">
      <c r="A3185" s="121">
        <f t="shared" si="457"/>
        <v>2705</v>
      </c>
      <c r="B3185" s="13">
        <v>1</v>
      </c>
      <c r="C3185" s="17" t="s">
        <v>65</v>
      </c>
      <c r="D3185" s="17">
        <v>779</v>
      </c>
      <c r="E3185" s="17">
        <v>209</v>
      </c>
      <c r="F3185" s="17"/>
      <c r="G3185" s="13"/>
      <c r="H3185" s="17">
        <v>4</v>
      </c>
      <c r="I3185" s="17">
        <v>0</v>
      </c>
      <c r="J3185" s="17">
        <v>20</v>
      </c>
      <c r="K3185" s="10">
        <v>1620</v>
      </c>
      <c r="L3185" s="17"/>
      <c r="M3185" s="15"/>
      <c r="N3185" s="18"/>
      <c r="O3185" s="14"/>
      <c r="P3185" s="17">
        <v>1</v>
      </c>
      <c r="Q3185" s="19">
        <v>1620</v>
      </c>
      <c r="R3185" s="14">
        <v>200</v>
      </c>
      <c r="S3185" s="19">
        <v>324000</v>
      </c>
      <c r="T3185" s="17"/>
      <c r="U3185" s="17"/>
      <c r="V3185" s="17"/>
      <c r="W3185" s="4"/>
      <c r="X3185" s="17"/>
      <c r="Y3185" s="4"/>
      <c r="Z3185" s="17"/>
      <c r="AA3185" s="17"/>
      <c r="AB3185" s="17"/>
      <c r="AC3185" s="14"/>
      <c r="AD3185" s="14"/>
      <c r="AE3185" s="17"/>
      <c r="AF3185" s="14"/>
      <c r="AG3185" s="54"/>
      <c r="AH3185" s="11"/>
      <c r="AI3185" s="14"/>
      <c r="AJ3185" s="19">
        <v>0</v>
      </c>
      <c r="AK3185" s="23">
        <v>0</v>
      </c>
      <c r="AL3185" s="11"/>
      <c r="AM3185" s="19">
        <v>0</v>
      </c>
      <c r="AN3185" s="19">
        <v>324000</v>
      </c>
      <c r="AO3185" s="14"/>
      <c r="AP3185" s="14">
        <v>324000</v>
      </c>
      <c r="AQ3185" s="12">
        <v>1E-4</v>
      </c>
      <c r="AS3185" s="26"/>
    </row>
    <row r="3186" spans="1:45" s="19" customFormat="1" x14ac:dyDescent="0.2">
      <c r="A3186" s="121">
        <f t="shared" si="457"/>
        <v>2706</v>
      </c>
      <c r="B3186" s="13">
        <v>1</v>
      </c>
      <c r="C3186" s="17" t="s">
        <v>69</v>
      </c>
      <c r="D3186" s="17"/>
      <c r="E3186" s="17">
        <v>157</v>
      </c>
      <c r="F3186" s="17">
        <v>10</v>
      </c>
      <c r="G3186" s="13">
        <v>1</v>
      </c>
      <c r="H3186" s="17">
        <v>4</v>
      </c>
      <c r="I3186" s="17">
        <v>2</v>
      </c>
      <c r="J3186" s="17">
        <v>54</v>
      </c>
      <c r="K3186" s="10">
        <v>1854</v>
      </c>
      <c r="L3186" s="17"/>
      <c r="M3186" s="15"/>
      <c r="N3186" s="18"/>
      <c r="O3186" s="14"/>
      <c r="P3186" s="17">
        <v>1</v>
      </c>
      <c r="Q3186" s="19">
        <v>1854</v>
      </c>
      <c r="R3186" s="14">
        <v>160</v>
      </c>
      <c r="S3186" s="19">
        <v>296640</v>
      </c>
      <c r="T3186" s="17"/>
      <c r="U3186" s="17"/>
      <c r="V3186" s="17"/>
      <c r="W3186" s="4"/>
      <c r="X3186" s="17"/>
      <c r="Y3186" s="4"/>
      <c r="Z3186" s="17"/>
      <c r="AA3186" s="17"/>
      <c r="AB3186" s="17"/>
      <c r="AC3186" s="14"/>
      <c r="AD3186" s="14"/>
      <c r="AE3186" s="17"/>
      <c r="AF3186" s="14"/>
      <c r="AG3186" s="54"/>
      <c r="AH3186" s="11"/>
      <c r="AI3186" s="14"/>
      <c r="AJ3186" s="19">
        <v>0</v>
      </c>
      <c r="AK3186" s="23">
        <v>0</v>
      </c>
      <c r="AL3186" s="11"/>
      <c r="AM3186" s="19">
        <v>0</v>
      </c>
      <c r="AN3186" s="19">
        <v>296640</v>
      </c>
      <c r="AO3186" s="14"/>
      <c r="AP3186" s="14">
        <v>296640</v>
      </c>
      <c r="AQ3186" s="12">
        <v>1E-4</v>
      </c>
      <c r="AS3186" s="26"/>
    </row>
    <row r="3187" spans="1:45" s="19" customFormat="1" x14ac:dyDescent="0.2">
      <c r="A3187" s="121">
        <f t="shared" si="457"/>
        <v>2707</v>
      </c>
      <c r="B3187" s="13">
        <v>2</v>
      </c>
      <c r="C3187" s="17" t="s">
        <v>69</v>
      </c>
      <c r="D3187" s="17"/>
      <c r="E3187" s="17">
        <v>2329</v>
      </c>
      <c r="F3187" s="17">
        <v>5</v>
      </c>
      <c r="G3187" s="13">
        <v>2</v>
      </c>
      <c r="H3187" s="17">
        <v>2</v>
      </c>
      <c r="I3187" s="17">
        <v>2</v>
      </c>
      <c r="J3187" s="17">
        <v>44</v>
      </c>
      <c r="K3187" s="10">
        <v>1044</v>
      </c>
      <c r="L3187" s="17"/>
      <c r="M3187" s="15"/>
      <c r="N3187" s="18"/>
      <c r="O3187" s="14"/>
      <c r="P3187" s="17">
        <v>1</v>
      </c>
      <c r="Q3187" s="19">
        <v>1044</v>
      </c>
      <c r="R3187" s="14">
        <v>160</v>
      </c>
      <c r="S3187" s="19">
        <v>167040</v>
      </c>
      <c r="T3187" s="17"/>
      <c r="U3187" s="17"/>
      <c r="V3187" s="17"/>
      <c r="W3187" s="4"/>
      <c r="X3187" s="17"/>
      <c r="Y3187" s="4"/>
      <c r="Z3187" s="17"/>
      <c r="AA3187" s="17"/>
      <c r="AB3187" s="17"/>
      <c r="AC3187" s="14"/>
      <c r="AD3187" s="14"/>
      <c r="AE3187" s="17"/>
      <c r="AF3187" s="14"/>
      <c r="AG3187" s="54"/>
      <c r="AH3187" s="11"/>
      <c r="AI3187" s="14"/>
      <c r="AJ3187" s="19">
        <v>0</v>
      </c>
      <c r="AK3187" s="23">
        <v>0</v>
      </c>
      <c r="AL3187" s="11"/>
      <c r="AM3187" s="19">
        <v>0</v>
      </c>
      <c r="AN3187" s="19">
        <v>167040</v>
      </c>
      <c r="AO3187" s="14"/>
      <c r="AP3187" s="14">
        <v>167040</v>
      </c>
      <c r="AQ3187" s="12">
        <v>1E-4</v>
      </c>
      <c r="AS3187" s="26"/>
    </row>
    <row r="3188" spans="1:45" s="19" customFormat="1" x14ac:dyDescent="0.2">
      <c r="A3188" s="121">
        <f t="shared" si="457"/>
        <v>2708</v>
      </c>
      <c r="B3188" s="13">
        <v>1</v>
      </c>
      <c r="C3188" s="17" t="s">
        <v>52</v>
      </c>
      <c r="D3188" s="17">
        <v>29480</v>
      </c>
      <c r="E3188" s="17">
        <v>111</v>
      </c>
      <c r="F3188" s="17">
        <v>5601</v>
      </c>
      <c r="G3188" s="13">
        <v>1</v>
      </c>
      <c r="H3188" s="17">
        <v>2</v>
      </c>
      <c r="I3188" s="17">
        <v>1</v>
      </c>
      <c r="J3188" s="17">
        <v>46</v>
      </c>
      <c r="K3188" s="10">
        <v>946</v>
      </c>
      <c r="L3188" s="17"/>
      <c r="M3188" s="15"/>
      <c r="N3188" s="18"/>
      <c r="O3188" s="14"/>
      <c r="P3188" s="17">
        <v>1</v>
      </c>
      <c r="Q3188" s="19">
        <v>946</v>
      </c>
      <c r="R3188" s="14">
        <v>200</v>
      </c>
      <c r="S3188" s="19">
        <v>189200</v>
      </c>
      <c r="T3188" s="17"/>
      <c r="U3188" s="17"/>
      <c r="V3188" s="17"/>
      <c r="W3188" s="4"/>
      <c r="X3188" s="17"/>
      <c r="Y3188" s="4"/>
      <c r="Z3188" s="17"/>
      <c r="AA3188" s="17"/>
      <c r="AB3188" s="17"/>
      <c r="AC3188" s="14"/>
      <c r="AD3188" s="14"/>
      <c r="AE3188" s="17"/>
      <c r="AF3188" s="14"/>
      <c r="AG3188" s="54"/>
      <c r="AH3188" s="11"/>
      <c r="AI3188" s="14"/>
      <c r="AJ3188" s="19">
        <v>0</v>
      </c>
      <c r="AK3188" s="23">
        <v>0</v>
      </c>
      <c r="AL3188" s="11"/>
      <c r="AM3188" s="19">
        <v>0</v>
      </c>
      <c r="AN3188" s="19">
        <v>189200</v>
      </c>
      <c r="AO3188" s="14"/>
      <c r="AP3188" s="14">
        <v>189200</v>
      </c>
      <c r="AQ3188" s="12"/>
      <c r="AS3188" s="26"/>
    </row>
    <row r="3189" spans="1:45" s="19" customFormat="1" x14ac:dyDescent="0.2">
      <c r="A3189" s="121">
        <f t="shared" si="457"/>
        <v>2709</v>
      </c>
      <c r="B3189" s="13">
        <v>2</v>
      </c>
      <c r="C3189" s="17" t="s">
        <v>69</v>
      </c>
      <c r="D3189" s="17"/>
      <c r="E3189" s="17">
        <v>2329</v>
      </c>
      <c r="F3189" s="17">
        <v>4</v>
      </c>
      <c r="G3189" s="13">
        <v>2</v>
      </c>
      <c r="H3189" s="17">
        <v>5</v>
      </c>
      <c r="I3189" s="17">
        <v>3</v>
      </c>
      <c r="J3189" s="17">
        <v>26</v>
      </c>
      <c r="K3189" s="10">
        <v>2326</v>
      </c>
      <c r="L3189" s="17"/>
      <c r="M3189" s="15"/>
      <c r="N3189" s="18"/>
      <c r="O3189" s="14"/>
      <c r="P3189" s="17">
        <v>1</v>
      </c>
      <c r="Q3189" s="19">
        <v>2326</v>
      </c>
      <c r="R3189" s="14">
        <v>160</v>
      </c>
      <c r="S3189" s="19">
        <v>372160</v>
      </c>
      <c r="T3189" s="17"/>
      <c r="U3189" s="17"/>
      <c r="V3189" s="17"/>
      <c r="W3189" s="4"/>
      <c r="X3189" s="17"/>
      <c r="Y3189" s="4"/>
      <c r="Z3189" s="17"/>
      <c r="AA3189" s="17"/>
      <c r="AB3189" s="17"/>
      <c r="AC3189" s="14"/>
      <c r="AD3189" s="14"/>
      <c r="AE3189" s="17"/>
      <c r="AF3189" s="14"/>
      <c r="AG3189" s="54"/>
      <c r="AH3189" s="11"/>
      <c r="AI3189" s="14"/>
      <c r="AJ3189" s="19">
        <v>0</v>
      </c>
      <c r="AK3189" s="23">
        <v>0</v>
      </c>
      <c r="AL3189" s="11"/>
      <c r="AM3189" s="19">
        <v>0</v>
      </c>
      <c r="AN3189" s="19">
        <v>372160</v>
      </c>
      <c r="AO3189" s="14"/>
      <c r="AP3189" s="14">
        <v>372160</v>
      </c>
      <c r="AQ3189" s="12">
        <v>1E-4</v>
      </c>
      <c r="AS3189" s="26"/>
    </row>
    <row r="3190" spans="1:45" s="19" customFormat="1" x14ac:dyDescent="0.2">
      <c r="A3190" s="121">
        <f t="shared" si="457"/>
        <v>2710</v>
      </c>
      <c r="B3190" s="13">
        <v>1</v>
      </c>
      <c r="C3190" s="17" t="s">
        <v>52</v>
      </c>
      <c r="D3190" s="17">
        <v>869</v>
      </c>
      <c r="E3190" s="17">
        <v>6</v>
      </c>
      <c r="F3190" s="17">
        <v>162</v>
      </c>
      <c r="G3190" s="13">
        <v>1</v>
      </c>
      <c r="H3190" s="17">
        <v>8</v>
      </c>
      <c r="I3190" s="17">
        <v>1</v>
      </c>
      <c r="J3190" s="17">
        <v>21</v>
      </c>
      <c r="K3190" s="10">
        <v>3321</v>
      </c>
      <c r="L3190" s="17"/>
      <c r="M3190" s="15"/>
      <c r="N3190" s="18"/>
      <c r="O3190" s="14"/>
      <c r="P3190" s="17">
        <v>1</v>
      </c>
      <c r="Q3190" s="19">
        <v>3321</v>
      </c>
      <c r="R3190" s="14">
        <v>200</v>
      </c>
      <c r="S3190" s="19">
        <v>664200</v>
      </c>
      <c r="T3190" s="17"/>
      <c r="U3190" s="17"/>
      <c r="V3190" s="17"/>
      <c r="W3190" s="4"/>
      <c r="X3190" s="17"/>
      <c r="Y3190" s="4"/>
      <c r="Z3190" s="17"/>
      <c r="AA3190" s="17"/>
      <c r="AB3190" s="17"/>
      <c r="AC3190" s="14"/>
      <c r="AD3190" s="14"/>
      <c r="AE3190" s="17"/>
      <c r="AF3190" s="14"/>
      <c r="AG3190" s="54"/>
      <c r="AH3190" s="11"/>
      <c r="AI3190" s="14"/>
      <c r="AJ3190" s="19">
        <v>0</v>
      </c>
      <c r="AK3190" s="23">
        <v>0</v>
      </c>
      <c r="AL3190" s="11"/>
      <c r="AM3190" s="19">
        <v>0</v>
      </c>
      <c r="AN3190" s="19">
        <v>664200</v>
      </c>
      <c r="AO3190" s="14"/>
      <c r="AP3190" s="14">
        <v>664200</v>
      </c>
      <c r="AQ3190" s="12"/>
      <c r="AS3190" s="26"/>
    </row>
    <row r="3191" spans="1:45" s="19" customFormat="1" x14ac:dyDescent="0.2">
      <c r="A3191" s="121">
        <f t="shared" si="457"/>
        <v>2711</v>
      </c>
      <c r="B3191" s="13">
        <v>2</v>
      </c>
      <c r="C3191" s="17" t="s">
        <v>52</v>
      </c>
      <c r="D3191" s="17">
        <v>1385</v>
      </c>
      <c r="E3191" s="17">
        <v>9</v>
      </c>
      <c r="F3191" s="17">
        <v>1006</v>
      </c>
      <c r="G3191" s="13">
        <v>1</v>
      </c>
      <c r="H3191" s="17">
        <v>21</v>
      </c>
      <c r="I3191" s="17">
        <v>0</v>
      </c>
      <c r="J3191" s="17">
        <v>91</v>
      </c>
      <c r="K3191" s="10">
        <v>8491</v>
      </c>
      <c r="L3191" s="17"/>
      <c r="M3191" s="15"/>
      <c r="N3191" s="18"/>
      <c r="O3191" s="14"/>
      <c r="P3191" s="17">
        <v>1</v>
      </c>
      <c r="Q3191" s="19">
        <v>8491</v>
      </c>
      <c r="R3191" s="14">
        <v>160</v>
      </c>
      <c r="S3191" s="19">
        <v>1358560</v>
      </c>
      <c r="T3191" s="17"/>
      <c r="U3191" s="17"/>
      <c r="V3191" s="17"/>
      <c r="W3191" s="4"/>
      <c r="X3191" s="17"/>
      <c r="Y3191" s="4"/>
      <c r="Z3191" s="17"/>
      <c r="AA3191" s="17"/>
      <c r="AB3191" s="17"/>
      <c r="AC3191" s="14"/>
      <c r="AD3191" s="14"/>
      <c r="AE3191" s="17"/>
      <c r="AF3191" s="14"/>
      <c r="AG3191" s="54"/>
      <c r="AH3191" s="11"/>
      <c r="AI3191" s="14"/>
      <c r="AJ3191" s="19">
        <v>0</v>
      </c>
      <c r="AK3191" s="23">
        <v>0</v>
      </c>
      <c r="AL3191" s="11"/>
      <c r="AM3191" s="19">
        <v>0</v>
      </c>
      <c r="AN3191" s="19">
        <v>1358560</v>
      </c>
      <c r="AO3191" s="14"/>
      <c r="AP3191" s="14">
        <v>1358560</v>
      </c>
      <c r="AQ3191" s="12"/>
      <c r="AS3191" s="26"/>
    </row>
    <row r="3192" spans="1:45" s="19" customFormat="1" x14ac:dyDescent="0.2">
      <c r="A3192" s="121">
        <f t="shared" si="457"/>
        <v>2712</v>
      </c>
      <c r="B3192" s="13">
        <v>1</v>
      </c>
      <c r="C3192" s="17" t="s">
        <v>52</v>
      </c>
      <c r="D3192" s="17">
        <v>28004</v>
      </c>
      <c r="E3192" s="17">
        <v>119</v>
      </c>
      <c r="F3192" s="17">
        <v>5048</v>
      </c>
      <c r="G3192" s="13">
        <v>1</v>
      </c>
      <c r="H3192" s="17">
        <v>3</v>
      </c>
      <c r="I3192" s="17">
        <v>2</v>
      </c>
      <c r="J3192" s="17">
        <v>36</v>
      </c>
      <c r="K3192" s="10">
        <v>1436</v>
      </c>
      <c r="L3192" s="17"/>
      <c r="M3192" s="15"/>
      <c r="N3192" s="18"/>
      <c r="O3192" s="14"/>
      <c r="P3192" s="17">
        <v>1</v>
      </c>
      <c r="Q3192" s="19">
        <v>1436</v>
      </c>
      <c r="R3192" s="14">
        <v>200</v>
      </c>
      <c r="S3192" s="19">
        <v>287200</v>
      </c>
      <c r="T3192" s="17"/>
      <c r="U3192" s="17"/>
      <c r="V3192" s="17"/>
      <c r="W3192" s="4"/>
      <c r="X3192" s="17"/>
      <c r="Y3192" s="4"/>
      <c r="Z3192" s="17"/>
      <c r="AA3192" s="17"/>
      <c r="AB3192" s="17"/>
      <c r="AC3192" s="14"/>
      <c r="AD3192" s="14"/>
      <c r="AE3192" s="17"/>
      <c r="AF3192" s="14"/>
      <c r="AG3192" s="54"/>
      <c r="AH3192" s="11"/>
      <c r="AI3192" s="14"/>
      <c r="AJ3192" s="19">
        <v>0</v>
      </c>
      <c r="AK3192" s="23">
        <v>0</v>
      </c>
      <c r="AL3192" s="11"/>
      <c r="AM3192" s="19">
        <v>0</v>
      </c>
      <c r="AN3192" s="19">
        <v>287200</v>
      </c>
      <c r="AO3192" s="14"/>
      <c r="AP3192" s="14">
        <v>287200</v>
      </c>
      <c r="AQ3192" s="12"/>
      <c r="AS3192" s="26"/>
    </row>
    <row r="3193" spans="1:45" s="19" customFormat="1" x14ac:dyDescent="0.2">
      <c r="A3193" s="121">
        <f t="shared" si="457"/>
        <v>2713</v>
      </c>
      <c r="B3193" s="13">
        <v>1</v>
      </c>
      <c r="C3193" s="17" t="s">
        <v>52</v>
      </c>
      <c r="D3193" s="17">
        <v>886</v>
      </c>
      <c r="E3193" s="17">
        <v>7</v>
      </c>
      <c r="F3193" s="17">
        <v>180</v>
      </c>
      <c r="G3193" s="13">
        <v>1</v>
      </c>
      <c r="H3193" s="17">
        <v>2</v>
      </c>
      <c r="I3193" s="17">
        <v>0</v>
      </c>
      <c r="J3193" s="17">
        <v>70</v>
      </c>
      <c r="K3193" s="10">
        <v>870</v>
      </c>
      <c r="L3193" s="17"/>
      <c r="M3193" s="15"/>
      <c r="N3193" s="18"/>
      <c r="O3193" s="14"/>
      <c r="P3193" s="17">
        <v>1</v>
      </c>
      <c r="Q3193" s="19">
        <v>870</v>
      </c>
      <c r="R3193" s="14">
        <v>160</v>
      </c>
      <c r="S3193" s="19">
        <v>139200</v>
      </c>
      <c r="T3193" s="17"/>
      <c r="U3193" s="17"/>
      <c r="V3193" s="17"/>
      <c r="W3193" s="4"/>
      <c r="X3193" s="17"/>
      <c r="Y3193" s="4"/>
      <c r="Z3193" s="17"/>
      <c r="AA3193" s="17"/>
      <c r="AB3193" s="17"/>
      <c r="AC3193" s="14"/>
      <c r="AD3193" s="14"/>
      <c r="AE3193" s="17"/>
      <c r="AF3193" s="14"/>
      <c r="AG3193" s="54"/>
      <c r="AH3193" s="11"/>
      <c r="AI3193" s="14"/>
      <c r="AJ3193" s="19">
        <v>0</v>
      </c>
      <c r="AK3193" s="23">
        <v>0</v>
      </c>
      <c r="AL3193" s="11"/>
      <c r="AM3193" s="19">
        <v>0</v>
      </c>
      <c r="AN3193" s="19">
        <v>139200</v>
      </c>
      <c r="AO3193" s="14"/>
      <c r="AP3193" s="14">
        <v>139200</v>
      </c>
      <c r="AQ3193" s="12"/>
      <c r="AS3193" s="26"/>
    </row>
    <row r="3194" spans="1:45" s="19" customFormat="1" ht="63" x14ac:dyDescent="0.2">
      <c r="A3194" s="121">
        <f t="shared" si="457"/>
        <v>2714</v>
      </c>
      <c r="B3194" s="13">
        <v>2</v>
      </c>
      <c r="C3194" s="17" t="s">
        <v>52</v>
      </c>
      <c r="D3194" s="17">
        <v>28005</v>
      </c>
      <c r="E3194" s="17">
        <v>120</v>
      </c>
      <c r="F3194" s="17">
        <v>5049</v>
      </c>
      <c r="G3194" s="13">
        <v>1</v>
      </c>
      <c r="H3194" s="17">
        <v>0</v>
      </c>
      <c r="I3194" s="17">
        <v>2</v>
      </c>
      <c r="J3194" s="17">
        <v>22</v>
      </c>
      <c r="K3194" s="10"/>
      <c r="L3194" s="17">
        <v>222</v>
      </c>
      <c r="M3194" s="15"/>
      <c r="N3194" s="18"/>
      <c r="O3194" s="14"/>
      <c r="P3194" s="17">
        <v>2</v>
      </c>
      <c r="Q3194" s="19">
        <v>222</v>
      </c>
      <c r="R3194" s="14">
        <v>250</v>
      </c>
      <c r="S3194" s="19">
        <v>55500</v>
      </c>
      <c r="T3194" s="17">
        <v>1</v>
      </c>
      <c r="U3194" s="17" t="s">
        <v>57</v>
      </c>
      <c r="V3194" s="17" t="s">
        <v>56</v>
      </c>
      <c r="W3194" s="4"/>
      <c r="X3194" s="17"/>
      <c r="Y3194" s="4"/>
      <c r="Z3194" s="17"/>
      <c r="AA3194" s="17"/>
      <c r="AB3194" s="17">
        <v>30</v>
      </c>
      <c r="AC3194" s="14"/>
      <c r="AD3194" s="14"/>
      <c r="AE3194" s="17"/>
      <c r="AF3194" s="14"/>
      <c r="AG3194" s="54"/>
      <c r="AH3194" s="11"/>
      <c r="AI3194" s="14"/>
      <c r="AJ3194" s="19">
        <v>0</v>
      </c>
      <c r="AK3194" s="23">
        <v>30</v>
      </c>
      <c r="AL3194" s="11"/>
      <c r="AM3194" s="19">
        <v>0</v>
      </c>
      <c r="AN3194" s="19">
        <v>55500</v>
      </c>
      <c r="AO3194" s="14"/>
      <c r="AP3194" s="14">
        <v>55500</v>
      </c>
      <c r="AQ3194" s="12"/>
      <c r="AS3194" s="26"/>
    </row>
    <row r="3195" spans="1:45" s="19" customFormat="1" x14ac:dyDescent="0.2">
      <c r="A3195" s="121">
        <f t="shared" si="457"/>
        <v>2715</v>
      </c>
      <c r="B3195" s="13">
        <v>1</v>
      </c>
      <c r="C3195" s="17" t="s">
        <v>52</v>
      </c>
      <c r="D3195" s="17">
        <v>28002</v>
      </c>
      <c r="E3195" s="17">
        <v>117</v>
      </c>
      <c r="F3195" s="17">
        <v>5046</v>
      </c>
      <c r="G3195" s="13">
        <v>1</v>
      </c>
      <c r="H3195" s="17">
        <v>0</v>
      </c>
      <c r="I3195" s="17">
        <v>2</v>
      </c>
      <c r="J3195" s="17">
        <v>32</v>
      </c>
      <c r="K3195" s="10"/>
      <c r="L3195" s="17"/>
      <c r="M3195" s="15"/>
      <c r="N3195" s="18">
        <v>232</v>
      </c>
      <c r="O3195" s="14"/>
      <c r="P3195" s="17">
        <v>4</v>
      </c>
      <c r="Q3195" s="19">
        <v>232</v>
      </c>
      <c r="R3195" s="14">
        <v>200</v>
      </c>
      <c r="S3195" s="19">
        <v>46400</v>
      </c>
      <c r="T3195" s="17"/>
      <c r="U3195" s="17"/>
      <c r="V3195" s="17"/>
      <c r="W3195" s="4"/>
      <c r="X3195" s="17"/>
      <c r="Y3195" s="4"/>
      <c r="Z3195" s="17"/>
      <c r="AA3195" s="17"/>
      <c r="AB3195" s="17"/>
      <c r="AC3195" s="14"/>
      <c r="AD3195" s="14"/>
      <c r="AE3195" s="17"/>
      <c r="AF3195" s="14"/>
      <c r="AG3195" s="54"/>
      <c r="AH3195" s="11"/>
      <c r="AI3195" s="14"/>
      <c r="AJ3195" s="19">
        <v>0</v>
      </c>
      <c r="AK3195" s="23">
        <v>0</v>
      </c>
      <c r="AL3195" s="11"/>
      <c r="AM3195" s="19">
        <v>0</v>
      </c>
      <c r="AN3195" s="19">
        <v>46400</v>
      </c>
      <c r="AO3195" s="14"/>
      <c r="AP3195" s="14">
        <v>46400</v>
      </c>
      <c r="AQ3195" s="12">
        <v>3.0000000000000001E-3</v>
      </c>
      <c r="AS3195" s="26"/>
    </row>
    <row r="3196" spans="1:45" s="19" customFormat="1" x14ac:dyDescent="0.2">
      <c r="A3196" s="121">
        <f t="shared" si="457"/>
        <v>2716</v>
      </c>
      <c r="B3196" s="13">
        <v>2</v>
      </c>
      <c r="C3196" s="17" t="s">
        <v>69</v>
      </c>
      <c r="D3196" s="17"/>
      <c r="E3196" s="17">
        <v>162</v>
      </c>
      <c r="F3196" s="17">
        <v>4</v>
      </c>
      <c r="G3196" s="13">
        <v>1</v>
      </c>
      <c r="H3196" s="17">
        <v>15</v>
      </c>
      <c r="I3196" s="17">
        <v>0</v>
      </c>
      <c r="J3196" s="17">
        <v>52</v>
      </c>
      <c r="K3196" s="10">
        <v>6052</v>
      </c>
      <c r="L3196" s="17"/>
      <c r="M3196" s="15"/>
      <c r="N3196" s="18"/>
      <c r="O3196" s="14"/>
      <c r="P3196" s="17">
        <v>1</v>
      </c>
      <c r="Q3196" s="19">
        <v>6052</v>
      </c>
      <c r="R3196" s="14">
        <v>160</v>
      </c>
      <c r="S3196" s="19">
        <v>968320</v>
      </c>
      <c r="T3196" s="17"/>
      <c r="U3196" s="17"/>
      <c r="V3196" s="17"/>
      <c r="W3196" s="4"/>
      <c r="X3196" s="17"/>
      <c r="Y3196" s="4"/>
      <c r="Z3196" s="17"/>
      <c r="AA3196" s="17"/>
      <c r="AB3196" s="17"/>
      <c r="AC3196" s="14"/>
      <c r="AD3196" s="14"/>
      <c r="AE3196" s="17"/>
      <c r="AF3196" s="14"/>
      <c r="AG3196" s="54"/>
      <c r="AH3196" s="11"/>
      <c r="AI3196" s="14"/>
      <c r="AJ3196" s="19">
        <v>0</v>
      </c>
      <c r="AK3196" s="23">
        <v>0</v>
      </c>
      <c r="AL3196" s="11"/>
      <c r="AM3196" s="19">
        <v>0</v>
      </c>
      <c r="AN3196" s="19">
        <v>968320</v>
      </c>
      <c r="AO3196" s="14"/>
      <c r="AP3196" s="14">
        <v>968320</v>
      </c>
      <c r="AQ3196" s="12">
        <v>1E-4</v>
      </c>
      <c r="AS3196" s="26"/>
    </row>
    <row r="3197" spans="1:45" s="19" customFormat="1" x14ac:dyDescent="0.2">
      <c r="A3197" s="121">
        <f t="shared" si="457"/>
        <v>2717</v>
      </c>
      <c r="B3197" s="13">
        <v>1</v>
      </c>
      <c r="C3197" s="17" t="s">
        <v>52</v>
      </c>
      <c r="D3197" s="17">
        <v>28001</v>
      </c>
      <c r="E3197" s="17">
        <v>116</v>
      </c>
      <c r="F3197" s="17">
        <v>5045</v>
      </c>
      <c r="G3197" s="13">
        <v>1</v>
      </c>
      <c r="H3197" s="17">
        <v>0</v>
      </c>
      <c r="I3197" s="17">
        <v>1</v>
      </c>
      <c r="J3197" s="17">
        <v>93</v>
      </c>
      <c r="K3197" s="10"/>
      <c r="L3197" s="17"/>
      <c r="M3197" s="15"/>
      <c r="N3197" s="18">
        <v>193</v>
      </c>
      <c r="O3197" s="14"/>
      <c r="P3197" s="17">
        <v>4</v>
      </c>
      <c r="Q3197" s="19">
        <v>193</v>
      </c>
      <c r="R3197" s="14">
        <v>200</v>
      </c>
      <c r="S3197" s="19">
        <v>38600</v>
      </c>
      <c r="T3197" s="17"/>
      <c r="U3197" s="17"/>
      <c r="V3197" s="17"/>
      <c r="W3197" s="4"/>
      <c r="X3197" s="17"/>
      <c r="Y3197" s="4"/>
      <c r="Z3197" s="17"/>
      <c r="AA3197" s="17"/>
      <c r="AB3197" s="17"/>
      <c r="AC3197" s="14"/>
      <c r="AD3197" s="14"/>
      <c r="AE3197" s="17"/>
      <c r="AF3197" s="14"/>
      <c r="AG3197" s="54"/>
      <c r="AH3197" s="11"/>
      <c r="AI3197" s="14"/>
      <c r="AJ3197" s="19">
        <v>0</v>
      </c>
      <c r="AK3197" s="23">
        <v>0</v>
      </c>
      <c r="AL3197" s="11"/>
      <c r="AM3197" s="19">
        <v>0</v>
      </c>
      <c r="AN3197" s="19">
        <v>38600</v>
      </c>
      <c r="AO3197" s="14"/>
      <c r="AP3197" s="14">
        <v>38600</v>
      </c>
      <c r="AQ3197" s="12">
        <v>3.0000000000000001E-3</v>
      </c>
      <c r="AS3197" s="26"/>
    </row>
    <row r="3198" spans="1:45" s="19" customFormat="1" x14ac:dyDescent="0.2">
      <c r="A3198" s="121">
        <f t="shared" si="457"/>
        <v>2718</v>
      </c>
      <c r="B3198" s="13">
        <v>1</v>
      </c>
      <c r="C3198" s="17" t="s">
        <v>52</v>
      </c>
      <c r="D3198" s="17">
        <v>831</v>
      </c>
      <c r="E3198" s="17">
        <v>6</v>
      </c>
      <c r="F3198" s="17">
        <v>369</v>
      </c>
      <c r="G3198" s="13">
        <v>1</v>
      </c>
      <c r="H3198" s="17">
        <v>2</v>
      </c>
      <c r="I3198" s="17">
        <v>1</v>
      </c>
      <c r="J3198" s="17">
        <v>83</v>
      </c>
      <c r="K3198" s="10">
        <v>983</v>
      </c>
      <c r="L3198" s="17"/>
      <c r="M3198" s="15"/>
      <c r="N3198" s="18"/>
      <c r="O3198" s="14"/>
      <c r="P3198" s="17">
        <v>1</v>
      </c>
      <c r="Q3198" s="19">
        <v>983</v>
      </c>
      <c r="R3198" s="14">
        <v>160</v>
      </c>
      <c r="S3198" s="19">
        <v>157280</v>
      </c>
      <c r="T3198" s="17"/>
      <c r="U3198" s="17"/>
      <c r="V3198" s="17"/>
      <c r="W3198" s="4"/>
      <c r="X3198" s="17"/>
      <c r="Y3198" s="4"/>
      <c r="Z3198" s="17"/>
      <c r="AA3198" s="17"/>
      <c r="AB3198" s="17"/>
      <c r="AC3198" s="14"/>
      <c r="AD3198" s="14"/>
      <c r="AE3198" s="17"/>
      <c r="AF3198" s="14"/>
      <c r="AG3198" s="54"/>
      <c r="AH3198" s="11"/>
      <c r="AI3198" s="14"/>
      <c r="AJ3198" s="19">
        <v>0</v>
      </c>
      <c r="AK3198" s="23">
        <v>0</v>
      </c>
      <c r="AL3198" s="11"/>
      <c r="AM3198" s="19">
        <v>0</v>
      </c>
      <c r="AN3198" s="19">
        <v>157280</v>
      </c>
      <c r="AO3198" s="14"/>
      <c r="AP3198" s="14">
        <v>157280</v>
      </c>
      <c r="AQ3198" s="12"/>
      <c r="AS3198" s="26"/>
    </row>
    <row r="3199" spans="1:45" s="19" customFormat="1" x14ac:dyDescent="0.2">
      <c r="A3199" s="121">
        <f t="shared" si="457"/>
        <v>2719</v>
      </c>
      <c r="B3199" s="13">
        <v>2</v>
      </c>
      <c r="C3199" s="17" t="s">
        <v>52</v>
      </c>
      <c r="D3199" s="17">
        <v>28003</v>
      </c>
      <c r="E3199" s="17">
        <v>118</v>
      </c>
      <c r="F3199" s="17">
        <v>5047</v>
      </c>
      <c r="G3199" s="13">
        <v>1</v>
      </c>
      <c r="H3199" s="17">
        <v>0</v>
      </c>
      <c r="I3199" s="17">
        <v>1</v>
      </c>
      <c r="J3199" s="17">
        <v>86</v>
      </c>
      <c r="K3199" s="10"/>
      <c r="L3199" s="17"/>
      <c r="M3199" s="15"/>
      <c r="N3199" s="18">
        <v>186</v>
      </c>
      <c r="O3199" s="14"/>
      <c r="P3199" s="17">
        <v>4</v>
      </c>
      <c r="Q3199" s="19">
        <v>186</v>
      </c>
      <c r="R3199" s="14">
        <v>200</v>
      </c>
      <c r="S3199" s="19">
        <v>37200</v>
      </c>
      <c r="T3199" s="17"/>
      <c r="U3199" s="17"/>
      <c r="V3199" s="17"/>
      <c r="W3199" s="4"/>
      <c r="X3199" s="17"/>
      <c r="Y3199" s="4"/>
      <c r="Z3199" s="17"/>
      <c r="AA3199" s="17"/>
      <c r="AB3199" s="17"/>
      <c r="AC3199" s="14"/>
      <c r="AD3199" s="14"/>
      <c r="AE3199" s="17"/>
      <c r="AF3199" s="14"/>
      <c r="AG3199" s="54"/>
      <c r="AH3199" s="11"/>
      <c r="AI3199" s="14"/>
      <c r="AJ3199" s="19">
        <v>0</v>
      </c>
      <c r="AK3199" s="23">
        <v>0</v>
      </c>
      <c r="AL3199" s="11"/>
      <c r="AM3199" s="19">
        <v>0</v>
      </c>
      <c r="AN3199" s="19">
        <v>37200</v>
      </c>
      <c r="AO3199" s="14"/>
      <c r="AP3199" s="14">
        <v>37200</v>
      </c>
      <c r="AQ3199" s="12">
        <v>3.0000000000000001E-3</v>
      </c>
      <c r="AS3199" s="26"/>
    </row>
    <row r="3200" spans="1:45" s="19" customFormat="1" x14ac:dyDescent="0.2">
      <c r="A3200" s="121">
        <f t="shared" si="457"/>
        <v>2720</v>
      </c>
      <c r="B3200" s="13">
        <v>1</v>
      </c>
      <c r="C3200" s="17" t="s">
        <v>52</v>
      </c>
      <c r="D3200" s="17">
        <v>31250</v>
      </c>
      <c r="E3200" s="17">
        <v>101</v>
      </c>
      <c r="F3200" s="17">
        <v>5838</v>
      </c>
      <c r="G3200" s="13">
        <v>1</v>
      </c>
      <c r="H3200" s="17">
        <v>3</v>
      </c>
      <c r="I3200" s="17">
        <v>3</v>
      </c>
      <c r="J3200" s="17">
        <v>6</v>
      </c>
      <c r="K3200" s="10">
        <v>1506</v>
      </c>
      <c r="L3200" s="17"/>
      <c r="M3200" s="15"/>
      <c r="N3200" s="18"/>
      <c r="O3200" s="14"/>
      <c r="P3200" s="17">
        <v>1</v>
      </c>
      <c r="Q3200" s="19">
        <v>1506</v>
      </c>
      <c r="R3200" s="14">
        <v>160</v>
      </c>
      <c r="S3200" s="19">
        <v>240960</v>
      </c>
      <c r="T3200" s="17"/>
      <c r="U3200" s="17"/>
      <c r="V3200" s="17"/>
      <c r="W3200" s="4"/>
      <c r="X3200" s="17"/>
      <c r="Y3200" s="4"/>
      <c r="Z3200" s="17"/>
      <c r="AA3200" s="17"/>
      <c r="AB3200" s="17"/>
      <c r="AC3200" s="14"/>
      <c r="AD3200" s="14"/>
      <c r="AE3200" s="17"/>
      <c r="AF3200" s="14"/>
      <c r="AG3200" s="54"/>
      <c r="AH3200" s="11"/>
      <c r="AI3200" s="14"/>
      <c r="AJ3200" s="19">
        <v>0</v>
      </c>
      <c r="AK3200" s="23">
        <v>0</v>
      </c>
      <c r="AL3200" s="11"/>
      <c r="AM3200" s="19">
        <v>0</v>
      </c>
      <c r="AN3200" s="19">
        <v>240960</v>
      </c>
      <c r="AO3200" s="14"/>
      <c r="AP3200" s="14">
        <v>240960</v>
      </c>
      <c r="AQ3200" s="12"/>
      <c r="AS3200" s="26"/>
    </row>
    <row r="3201" spans="1:45" x14ac:dyDescent="0.2">
      <c r="A3201" s="121">
        <f t="shared" si="457"/>
        <v>2721</v>
      </c>
      <c r="B3201" s="13">
        <v>2</v>
      </c>
      <c r="C3201" s="17" t="s">
        <v>52</v>
      </c>
      <c r="D3201" s="17">
        <v>31252</v>
      </c>
      <c r="E3201" s="17">
        <v>11</v>
      </c>
      <c r="F3201" s="17">
        <v>5840</v>
      </c>
      <c r="G3201" s="13">
        <v>1</v>
      </c>
      <c r="H3201" s="17">
        <v>4</v>
      </c>
      <c r="I3201" s="17">
        <v>3</v>
      </c>
      <c r="J3201" s="17">
        <v>98</v>
      </c>
      <c r="K3201" s="10">
        <v>1998</v>
      </c>
      <c r="P3201" s="17">
        <v>1</v>
      </c>
      <c r="Q3201" s="19">
        <v>1998</v>
      </c>
      <c r="R3201" s="14">
        <v>200</v>
      </c>
      <c r="S3201" s="19">
        <v>399600</v>
      </c>
      <c r="AJ3201" s="19">
        <v>0</v>
      </c>
      <c r="AK3201" s="23">
        <v>0</v>
      </c>
      <c r="AM3201" s="19">
        <v>0</v>
      </c>
      <c r="AN3201" s="19">
        <v>399600</v>
      </c>
      <c r="AP3201" s="14">
        <v>399600</v>
      </c>
    </row>
    <row r="3202" spans="1:45" ht="63" x14ac:dyDescent="0.2">
      <c r="A3202" s="121">
        <f t="shared" si="457"/>
        <v>2722</v>
      </c>
      <c r="B3202" s="13">
        <v>1</v>
      </c>
      <c r="C3202" s="17" t="s">
        <v>52</v>
      </c>
      <c r="D3202" s="17">
        <v>867</v>
      </c>
      <c r="E3202" s="17">
        <v>93</v>
      </c>
      <c r="F3202" s="17">
        <v>158</v>
      </c>
      <c r="G3202" s="13">
        <v>1</v>
      </c>
      <c r="H3202" s="17">
        <v>1</v>
      </c>
      <c r="I3202" s="17">
        <v>0</v>
      </c>
      <c r="J3202" s="17">
        <v>35</v>
      </c>
      <c r="L3202" s="17">
        <v>435</v>
      </c>
      <c r="P3202" s="17">
        <v>2</v>
      </c>
      <c r="Q3202" s="19">
        <v>435</v>
      </c>
      <c r="R3202" s="14">
        <v>200</v>
      </c>
      <c r="S3202" s="19">
        <v>87000</v>
      </c>
      <c r="T3202" s="17">
        <v>1</v>
      </c>
      <c r="U3202" s="17" t="s">
        <v>57</v>
      </c>
      <c r="V3202" s="17" t="s">
        <v>56</v>
      </c>
      <c r="W3202" s="4">
        <v>108</v>
      </c>
      <c r="Y3202" s="4">
        <v>108</v>
      </c>
      <c r="AB3202" s="17">
        <v>19</v>
      </c>
      <c r="AJ3202" s="19">
        <v>0</v>
      </c>
      <c r="AK3202" s="23">
        <v>19</v>
      </c>
      <c r="AM3202" s="19">
        <v>0</v>
      </c>
      <c r="AN3202" s="19">
        <v>87000</v>
      </c>
      <c r="AP3202" s="14">
        <v>87000</v>
      </c>
    </row>
    <row r="3203" spans="1:45" x14ac:dyDescent="0.2">
      <c r="A3203" s="121">
        <f t="shared" si="457"/>
        <v>2723</v>
      </c>
      <c r="B3203" s="13">
        <v>2</v>
      </c>
      <c r="C3203" s="17" t="s">
        <v>52</v>
      </c>
      <c r="D3203" s="17">
        <v>957</v>
      </c>
      <c r="E3203" s="17">
        <v>3</v>
      </c>
      <c r="F3203" s="17">
        <v>359</v>
      </c>
      <c r="G3203" s="13">
        <v>1</v>
      </c>
      <c r="H3203" s="17">
        <v>6</v>
      </c>
      <c r="I3203" s="17">
        <v>1</v>
      </c>
      <c r="J3203" s="17">
        <v>38</v>
      </c>
      <c r="K3203" s="10">
        <v>2538</v>
      </c>
      <c r="P3203" s="17">
        <v>1</v>
      </c>
      <c r="Q3203" s="19">
        <v>2538</v>
      </c>
      <c r="R3203" s="14">
        <v>160</v>
      </c>
      <c r="S3203" s="19">
        <v>406080</v>
      </c>
      <c r="AJ3203" s="19">
        <v>0</v>
      </c>
      <c r="AK3203" s="23">
        <v>0</v>
      </c>
      <c r="AM3203" s="19">
        <v>0</v>
      </c>
      <c r="AN3203" s="19">
        <v>406080</v>
      </c>
      <c r="AP3203" s="14">
        <v>406080</v>
      </c>
    </row>
    <row r="3204" spans="1:45" x14ac:dyDescent="0.2">
      <c r="A3204" s="121">
        <f t="shared" si="457"/>
        <v>2724</v>
      </c>
      <c r="B3204" s="13">
        <v>3</v>
      </c>
      <c r="C3204" s="17" t="s">
        <v>52</v>
      </c>
      <c r="D3204" s="17">
        <v>34064</v>
      </c>
      <c r="E3204" s="17">
        <v>350</v>
      </c>
      <c r="F3204" s="17">
        <v>6765</v>
      </c>
      <c r="G3204" s="13">
        <v>1</v>
      </c>
      <c r="H3204" s="17">
        <v>0</v>
      </c>
      <c r="I3204" s="17">
        <v>1</v>
      </c>
      <c r="J3204" s="17">
        <v>20</v>
      </c>
      <c r="N3204" s="18">
        <v>120</v>
      </c>
      <c r="P3204" s="17">
        <v>4</v>
      </c>
      <c r="Q3204" s="19">
        <v>120</v>
      </c>
      <c r="R3204" s="14">
        <v>200</v>
      </c>
      <c r="S3204" s="19">
        <v>24000</v>
      </c>
      <c r="AJ3204" s="19">
        <v>0</v>
      </c>
      <c r="AK3204" s="23">
        <v>0</v>
      </c>
      <c r="AM3204" s="19">
        <v>0</v>
      </c>
      <c r="AN3204" s="19">
        <v>24000</v>
      </c>
      <c r="AP3204" s="14">
        <v>24000</v>
      </c>
      <c r="AQ3204" s="12">
        <v>3.0000000000000001E-3</v>
      </c>
    </row>
    <row r="3205" spans="1:45" x14ac:dyDescent="0.2">
      <c r="A3205" s="121">
        <f t="shared" si="457"/>
        <v>2725</v>
      </c>
      <c r="B3205" s="13">
        <v>4</v>
      </c>
      <c r="C3205" s="17" t="s">
        <v>52</v>
      </c>
      <c r="D3205" s="17">
        <v>34065</v>
      </c>
      <c r="E3205" s="17">
        <v>351</v>
      </c>
      <c r="F3205" s="17">
        <v>6766</v>
      </c>
      <c r="G3205" s="13">
        <v>1</v>
      </c>
      <c r="H3205" s="17">
        <v>0</v>
      </c>
      <c r="I3205" s="17">
        <v>1</v>
      </c>
      <c r="J3205" s="17">
        <v>17</v>
      </c>
      <c r="N3205" s="18">
        <v>117</v>
      </c>
      <c r="P3205" s="17">
        <v>4</v>
      </c>
      <c r="Q3205" s="19">
        <v>117</v>
      </c>
      <c r="R3205" s="14">
        <v>200</v>
      </c>
      <c r="S3205" s="19">
        <v>23400</v>
      </c>
      <c r="AJ3205" s="19">
        <v>0</v>
      </c>
      <c r="AK3205" s="23">
        <v>0</v>
      </c>
      <c r="AM3205" s="19">
        <v>0</v>
      </c>
      <c r="AN3205" s="19">
        <v>23400</v>
      </c>
      <c r="AP3205" s="14">
        <v>23400</v>
      </c>
      <c r="AQ3205" s="12">
        <v>3.0000000000000001E-3</v>
      </c>
    </row>
    <row r="3206" spans="1:45" x14ac:dyDescent="0.2">
      <c r="A3206" s="121">
        <f t="shared" si="457"/>
        <v>2726</v>
      </c>
      <c r="B3206" s="13">
        <v>5</v>
      </c>
      <c r="C3206" s="17" t="s">
        <v>52</v>
      </c>
      <c r="D3206" s="17">
        <v>34067</v>
      </c>
      <c r="E3206" s="17">
        <v>353</v>
      </c>
      <c r="F3206" s="17">
        <v>6768</v>
      </c>
      <c r="G3206" s="13">
        <v>1</v>
      </c>
      <c r="H3206" s="17">
        <v>0</v>
      </c>
      <c r="I3206" s="17">
        <v>0</v>
      </c>
      <c r="J3206" s="17">
        <v>65</v>
      </c>
      <c r="N3206" s="18">
        <v>65</v>
      </c>
      <c r="P3206" s="17">
        <v>4</v>
      </c>
      <c r="Q3206" s="19">
        <v>65</v>
      </c>
      <c r="R3206" s="14">
        <v>250</v>
      </c>
      <c r="S3206" s="19">
        <v>16250</v>
      </c>
      <c r="AJ3206" s="19">
        <v>0</v>
      </c>
      <c r="AK3206" s="23">
        <v>0</v>
      </c>
      <c r="AM3206" s="19">
        <v>0</v>
      </c>
      <c r="AN3206" s="19">
        <v>16250</v>
      </c>
      <c r="AP3206" s="14">
        <v>16250</v>
      </c>
      <c r="AQ3206" s="12">
        <v>3.0000000000000001E-3</v>
      </c>
    </row>
    <row r="3207" spans="1:45" x14ac:dyDescent="0.2">
      <c r="A3207" s="121">
        <f t="shared" si="457"/>
        <v>2727</v>
      </c>
      <c r="B3207" s="13">
        <v>6</v>
      </c>
      <c r="C3207" s="17" t="s">
        <v>52</v>
      </c>
      <c r="D3207" s="17">
        <v>34068</v>
      </c>
      <c r="E3207" s="17">
        <v>354</v>
      </c>
      <c r="F3207" s="17">
        <v>6769</v>
      </c>
      <c r="G3207" s="13">
        <v>1</v>
      </c>
      <c r="H3207" s="17">
        <v>1</v>
      </c>
      <c r="I3207" s="17">
        <v>0</v>
      </c>
      <c r="J3207" s="17">
        <v>86</v>
      </c>
      <c r="Q3207" s="19">
        <v>486</v>
      </c>
      <c r="R3207" s="14">
        <v>200</v>
      </c>
      <c r="S3207" s="19">
        <v>97200</v>
      </c>
      <c r="AJ3207" s="19">
        <v>0</v>
      </c>
      <c r="AK3207" s="23">
        <v>0</v>
      </c>
      <c r="AM3207" s="19">
        <v>0</v>
      </c>
      <c r="AN3207" s="19">
        <v>97200</v>
      </c>
      <c r="AP3207" s="14">
        <v>97200</v>
      </c>
    </row>
    <row r="3208" spans="1:45" x14ac:dyDescent="0.2">
      <c r="A3208" s="121">
        <f t="shared" si="457"/>
        <v>2728</v>
      </c>
      <c r="B3208" s="13">
        <v>1</v>
      </c>
      <c r="C3208" s="17" t="s">
        <v>52</v>
      </c>
      <c r="D3208" s="17">
        <v>1462</v>
      </c>
      <c r="E3208" s="17">
        <v>45</v>
      </c>
      <c r="F3208" s="17">
        <v>539</v>
      </c>
      <c r="G3208" s="13">
        <v>2</v>
      </c>
      <c r="H3208" s="17">
        <v>2</v>
      </c>
      <c r="I3208" s="17">
        <v>1</v>
      </c>
      <c r="J3208" s="17">
        <v>39</v>
      </c>
      <c r="K3208" s="10">
        <v>939</v>
      </c>
      <c r="P3208" s="17">
        <v>1</v>
      </c>
      <c r="Q3208" s="19">
        <v>939</v>
      </c>
      <c r="R3208" s="14">
        <v>160</v>
      </c>
      <c r="S3208" s="19">
        <v>150240</v>
      </c>
      <c r="AJ3208" s="19">
        <v>0</v>
      </c>
      <c r="AK3208" s="23">
        <v>0</v>
      </c>
      <c r="AM3208" s="19">
        <v>0</v>
      </c>
      <c r="AN3208" s="19">
        <v>150240</v>
      </c>
      <c r="AP3208" s="14">
        <v>150240</v>
      </c>
    </row>
    <row r="3209" spans="1:45" x14ac:dyDescent="0.2">
      <c r="A3209" s="121">
        <f t="shared" si="457"/>
        <v>2729</v>
      </c>
      <c r="B3209" s="13">
        <v>2</v>
      </c>
      <c r="C3209" s="17" t="s">
        <v>52</v>
      </c>
      <c r="D3209" s="17">
        <v>1579</v>
      </c>
      <c r="E3209" s="17">
        <v>42</v>
      </c>
      <c r="F3209" s="17">
        <v>516</v>
      </c>
      <c r="G3209" s="13">
        <v>2</v>
      </c>
      <c r="H3209" s="17">
        <v>0</v>
      </c>
      <c r="I3209" s="17">
        <v>2</v>
      </c>
      <c r="J3209" s="17">
        <v>46</v>
      </c>
      <c r="K3209" s="10">
        <v>246</v>
      </c>
      <c r="P3209" s="17">
        <v>1</v>
      </c>
      <c r="Q3209" s="19">
        <v>246</v>
      </c>
      <c r="R3209" s="14">
        <v>160</v>
      </c>
      <c r="S3209" s="19">
        <v>39360</v>
      </c>
      <c r="AJ3209" s="19">
        <v>0</v>
      </c>
      <c r="AK3209" s="23">
        <v>0</v>
      </c>
      <c r="AM3209" s="19">
        <v>0</v>
      </c>
      <c r="AN3209" s="19">
        <v>39360</v>
      </c>
      <c r="AP3209" s="14">
        <v>39360</v>
      </c>
    </row>
    <row r="3210" spans="1:45" x14ac:dyDescent="0.2">
      <c r="A3210" s="121">
        <f t="shared" si="457"/>
        <v>2730</v>
      </c>
      <c r="B3210" s="13">
        <v>1</v>
      </c>
      <c r="C3210" s="17" t="s">
        <v>52</v>
      </c>
      <c r="D3210" s="17">
        <v>34148</v>
      </c>
      <c r="E3210" s="17">
        <v>17</v>
      </c>
      <c r="F3210" s="17">
        <v>6770</v>
      </c>
      <c r="G3210" s="13">
        <v>1</v>
      </c>
      <c r="H3210" s="17">
        <v>2</v>
      </c>
      <c r="I3210" s="17">
        <v>3</v>
      </c>
      <c r="J3210" s="17">
        <v>11</v>
      </c>
      <c r="K3210" s="10">
        <v>1111</v>
      </c>
      <c r="P3210" s="17">
        <v>1</v>
      </c>
      <c r="Q3210" s="19">
        <v>1111</v>
      </c>
      <c r="R3210" s="14">
        <v>160</v>
      </c>
      <c r="S3210" s="19">
        <v>177760</v>
      </c>
      <c r="AJ3210" s="19">
        <v>0</v>
      </c>
      <c r="AK3210" s="23">
        <v>0</v>
      </c>
      <c r="AM3210" s="19">
        <v>0</v>
      </c>
      <c r="AN3210" s="19">
        <v>177760</v>
      </c>
      <c r="AP3210" s="14">
        <v>177760</v>
      </c>
    </row>
    <row r="3211" spans="1:45" x14ac:dyDescent="0.2">
      <c r="A3211" s="121">
        <f t="shared" si="457"/>
        <v>2731</v>
      </c>
      <c r="B3211" s="13">
        <v>2</v>
      </c>
      <c r="C3211" s="17" t="s">
        <v>52</v>
      </c>
      <c r="D3211" s="17">
        <v>1572</v>
      </c>
      <c r="E3211" s="17">
        <v>69</v>
      </c>
      <c r="F3211" s="17">
        <v>509</v>
      </c>
      <c r="G3211" s="13">
        <v>2</v>
      </c>
      <c r="H3211" s="17">
        <v>1</v>
      </c>
      <c r="I3211" s="17">
        <v>3</v>
      </c>
      <c r="J3211" s="17">
        <v>25</v>
      </c>
      <c r="Q3211" s="19">
        <v>725</v>
      </c>
      <c r="R3211" s="14">
        <v>160</v>
      </c>
      <c r="S3211" s="19">
        <v>116000</v>
      </c>
      <c r="AJ3211" s="19">
        <v>0</v>
      </c>
      <c r="AK3211" s="23">
        <v>0</v>
      </c>
      <c r="AM3211" s="19">
        <v>0</v>
      </c>
      <c r="AN3211" s="19">
        <v>116000</v>
      </c>
      <c r="AP3211" s="14">
        <v>116000</v>
      </c>
    </row>
    <row r="3212" spans="1:45" x14ac:dyDescent="0.2">
      <c r="A3212" s="121">
        <f t="shared" si="457"/>
        <v>2732</v>
      </c>
      <c r="B3212" s="13">
        <v>1</v>
      </c>
      <c r="C3212" s="17" t="s">
        <v>52</v>
      </c>
      <c r="D3212" s="17">
        <v>31192</v>
      </c>
      <c r="E3212" s="17">
        <v>148</v>
      </c>
      <c r="F3212" s="17">
        <v>5852</v>
      </c>
      <c r="G3212" s="13">
        <v>2</v>
      </c>
      <c r="H3212" s="17">
        <v>2</v>
      </c>
      <c r="I3212" s="17">
        <v>0</v>
      </c>
      <c r="J3212" s="17">
        <v>34</v>
      </c>
      <c r="K3212" s="10">
        <v>834</v>
      </c>
      <c r="P3212" s="17">
        <v>1</v>
      </c>
      <c r="Q3212" s="19">
        <v>834</v>
      </c>
      <c r="R3212" s="14">
        <v>160</v>
      </c>
      <c r="S3212" s="19">
        <v>133440</v>
      </c>
      <c r="AJ3212" s="19">
        <v>0</v>
      </c>
      <c r="AK3212" s="23">
        <v>0</v>
      </c>
      <c r="AM3212" s="19">
        <v>0</v>
      </c>
      <c r="AN3212" s="19">
        <v>133440</v>
      </c>
      <c r="AP3212" s="14">
        <v>133440</v>
      </c>
    </row>
    <row r="3213" spans="1:45" x14ac:dyDescent="0.2">
      <c r="A3213" s="121">
        <f t="shared" si="457"/>
        <v>2733</v>
      </c>
      <c r="B3213" s="13">
        <v>2</v>
      </c>
      <c r="C3213" s="17" t="s">
        <v>52</v>
      </c>
      <c r="D3213" s="17">
        <v>31249</v>
      </c>
      <c r="E3213" s="17">
        <v>147</v>
      </c>
      <c r="F3213" s="17">
        <v>5851</v>
      </c>
      <c r="G3213" s="13">
        <v>2</v>
      </c>
      <c r="H3213" s="17">
        <v>0</v>
      </c>
      <c r="I3213" s="17">
        <v>1</v>
      </c>
      <c r="J3213" s="17">
        <v>74</v>
      </c>
      <c r="K3213" s="10">
        <v>174</v>
      </c>
      <c r="P3213" s="17">
        <v>1</v>
      </c>
      <c r="Q3213" s="19">
        <v>174</v>
      </c>
      <c r="R3213" s="14">
        <v>160</v>
      </c>
      <c r="S3213" s="19">
        <v>27840</v>
      </c>
      <c r="AJ3213" s="19">
        <v>0</v>
      </c>
      <c r="AK3213" s="23">
        <v>0</v>
      </c>
      <c r="AM3213" s="19">
        <v>0</v>
      </c>
      <c r="AN3213" s="19">
        <v>27840</v>
      </c>
      <c r="AP3213" s="14">
        <v>27840</v>
      </c>
    </row>
    <row r="3214" spans="1:45" x14ac:dyDescent="0.2">
      <c r="A3214" s="121">
        <f t="shared" si="457"/>
        <v>2734</v>
      </c>
      <c r="B3214" s="13">
        <v>1</v>
      </c>
      <c r="C3214" s="17" t="s">
        <v>69</v>
      </c>
      <c r="E3214" s="17">
        <v>2329</v>
      </c>
      <c r="F3214" s="17">
        <v>15</v>
      </c>
      <c r="G3214" s="13">
        <v>1</v>
      </c>
      <c r="H3214" s="17">
        <v>8</v>
      </c>
      <c r="I3214" s="17">
        <v>3</v>
      </c>
      <c r="J3214" s="17">
        <v>36</v>
      </c>
      <c r="K3214" s="10">
        <v>3536</v>
      </c>
      <c r="P3214" s="17">
        <v>1</v>
      </c>
      <c r="Q3214" s="19">
        <v>3536</v>
      </c>
      <c r="R3214" s="14">
        <v>200</v>
      </c>
      <c r="S3214" s="19">
        <v>707200</v>
      </c>
      <c r="AJ3214" s="19">
        <v>0</v>
      </c>
      <c r="AK3214" s="23">
        <v>0</v>
      </c>
      <c r="AM3214" s="19">
        <v>0</v>
      </c>
      <c r="AN3214" s="19">
        <v>707200</v>
      </c>
      <c r="AP3214" s="14">
        <v>707200</v>
      </c>
      <c r="AQ3214" s="12">
        <v>1E-4</v>
      </c>
    </row>
    <row r="3215" spans="1:45" x14ac:dyDescent="0.2">
      <c r="A3215" s="121">
        <f t="shared" si="457"/>
        <v>2735</v>
      </c>
      <c r="B3215" s="13">
        <v>1</v>
      </c>
      <c r="C3215" s="17" t="s">
        <v>52</v>
      </c>
      <c r="D3215" s="17">
        <v>2802</v>
      </c>
      <c r="E3215" s="17">
        <v>32</v>
      </c>
      <c r="F3215" s="17">
        <v>1919</v>
      </c>
      <c r="G3215" s="13">
        <v>1</v>
      </c>
      <c r="H3215" s="17">
        <v>7</v>
      </c>
      <c r="I3215" s="17">
        <v>1</v>
      </c>
      <c r="J3215" s="17">
        <v>51</v>
      </c>
      <c r="K3215" s="10">
        <v>2951</v>
      </c>
      <c r="P3215" s="17">
        <v>1</v>
      </c>
      <c r="Q3215" s="19">
        <v>2951</v>
      </c>
      <c r="R3215" s="14">
        <v>160</v>
      </c>
      <c r="S3215" s="19">
        <v>472160</v>
      </c>
      <c r="AJ3215" s="19">
        <v>0</v>
      </c>
      <c r="AK3215" s="23">
        <v>0</v>
      </c>
      <c r="AM3215" s="19">
        <v>0</v>
      </c>
      <c r="AN3215" s="19">
        <v>472160</v>
      </c>
      <c r="AP3215" s="14">
        <v>472160</v>
      </c>
      <c r="AS3215" s="26">
        <v>22</v>
      </c>
    </row>
    <row r="3216" spans="1:45" ht="63" x14ac:dyDescent="0.2">
      <c r="A3216" s="121">
        <f t="shared" si="457"/>
        <v>2736</v>
      </c>
      <c r="B3216" s="13">
        <v>2</v>
      </c>
      <c r="C3216" s="17" t="s">
        <v>52</v>
      </c>
      <c r="D3216" s="17">
        <v>32442</v>
      </c>
      <c r="E3216" s="17">
        <v>285</v>
      </c>
      <c r="F3216" s="17">
        <v>6417</v>
      </c>
      <c r="G3216" s="13">
        <v>1</v>
      </c>
      <c r="H3216" s="17">
        <v>0</v>
      </c>
      <c r="I3216" s="17">
        <v>1</v>
      </c>
      <c r="J3216" s="17">
        <v>45</v>
      </c>
      <c r="L3216" s="17">
        <v>145</v>
      </c>
      <c r="P3216" s="17">
        <v>2</v>
      </c>
      <c r="Q3216" s="19">
        <v>145</v>
      </c>
      <c r="R3216" s="14">
        <v>3000</v>
      </c>
      <c r="S3216" s="19">
        <v>435000</v>
      </c>
      <c r="T3216" s="17">
        <v>1</v>
      </c>
      <c r="U3216" s="17" t="s">
        <v>57</v>
      </c>
      <c r="V3216" s="17" t="s">
        <v>56</v>
      </c>
      <c r="W3216" s="4">
        <v>97.5</v>
      </c>
      <c r="Y3216" s="4">
        <v>97.5</v>
      </c>
      <c r="AB3216" s="17">
        <v>17</v>
      </c>
      <c r="AJ3216" s="19">
        <v>0</v>
      </c>
      <c r="AK3216" s="23">
        <v>17</v>
      </c>
      <c r="AM3216" s="19">
        <v>0</v>
      </c>
      <c r="AN3216" s="19">
        <v>435000</v>
      </c>
      <c r="AP3216" s="14">
        <v>435000</v>
      </c>
    </row>
    <row r="3217" spans="1:45" x14ac:dyDescent="0.2">
      <c r="A3217" s="121">
        <f t="shared" si="457"/>
        <v>2737</v>
      </c>
      <c r="B3217" s="13">
        <v>1</v>
      </c>
      <c r="C3217" s="17" t="s">
        <v>52</v>
      </c>
      <c r="D3217" s="17">
        <v>32448</v>
      </c>
      <c r="E3217" s="17">
        <v>326</v>
      </c>
      <c r="F3217" s="17">
        <v>6420</v>
      </c>
      <c r="G3217" s="13">
        <v>1</v>
      </c>
      <c r="H3217" s="17">
        <v>0</v>
      </c>
      <c r="I3217" s="17">
        <v>0</v>
      </c>
      <c r="J3217" s="17">
        <v>64</v>
      </c>
      <c r="N3217" s="18">
        <v>64</v>
      </c>
      <c r="P3217" s="17">
        <v>4</v>
      </c>
      <c r="Q3217" s="19">
        <v>64</v>
      </c>
      <c r="R3217" s="14">
        <v>250</v>
      </c>
      <c r="S3217" s="19">
        <v>16000</v>
      </c>
      <c r="AJ3217" s="19">
        <v>0</v>
      </c>
      <c r="AK3217" s="23">
        <v>0</v>
      </c>
      <c r="AM3217" s="19">
        <v>0</v>
      </c>
      <c r="AN3217" s="19">
        <v>16000</v>
      </c>
      <c r="AP3217" s="14">
        <v>16000</v>
      </c>
      <c r="AQ3217" s="12">
        <v>3.0000000000000001E-3</v>
      </c>
    </row>
    <row r="3218" spans="1:45" ht="63" x14ac:dyDescent="0.2">
      <c r="A3218" s="121">
        <f t="shared" si="457"/>
        <v>2738</v>
      </c>
      <c r="B3218" s="13">
        <v>1</v>
      </c>
      <c r="C3218" s="17" t="s">
        <v>52</v>
      </c>
      <c r="D3218" s="17">
        <v>32451</v>
      </c>
      <c r="E3218" s="17">
        <v>329</v>
      </c>
      <c r="F3218" s="17">
        <v>6423</v>
      </c>
      <c r="G3218" s="13">
        <v>1</v>
      </c>
      <c r="H3218" s="17">
        <v>6</v>
      </c>
      <c r="I3218" s="17">
        <v>3</v>
      </c>
      <c r="J3218" s="17">
        <v>0</v>
      </c>
      <c r="K3218" s="10">
        <v>2683.75</v>
      </c>
      <c r="L3218" s="17">
        <v>16.25</v>
      </c>
      <c r="P3218" s="17">
        <v>2</v>
      </c>
      <c r="Q3218" s="19">
        <v>2700</v>
      </c>
      <c r="R3218" s="14">
        <v>200</v>
      </c>
      <c r="S3218" s="19">
        <v>540000</v>
      </c>
      <c r="T3218" s="17">
        <v>1</v>
      </c>
      <c r="U3218" s="17" t="s">
        <v>57</v>
      </c>
      <c r="V3218" s="17" t="s">
        <v>88</v>
      </c>
      <c r="W3218" s="4">
        <v>65</v>
      </c>
      <c r="Y3218" s="4">
        <v>65</v>
      </c>
      <c r="AB3218" s="17">
        <v>27</v>
      </c>
      <c r="AJ3218" s="19">
        <v>0</v>
      </c>
      <c r="AK3218" s="23">
        <v>27</v>
      </c>
      <c r="AM3218" s="19">
        <v>0</v>
      </c>
      <c r="AN3218" s="19">
        <v>540000</v>
      </c>
      <c r="AP3218" s="14">
        <v>540000</v>
      </c>
    </row>
    <row r="3219" spans="1:45" x14ac:dyDescent="0.2">
      <c r="A3219" s="121">
        <f t="shared" si="457"/>
        <v>2739</v>
      </c>
      <c r="B3219" s="13">
        <v>1</v>
      </c>
      <c r="C3219" s="17" t="s">
        <v>52</v>
      </c>
      <c r="D3219" s="17">
        <v>29455</v>
      </c>
      <c r="E3219" s="17">
        <v>182</v>
      </c>
      <c r="F3219" s="17">
        <v>5576</v>
      </c>
      <c r="G3219" s="13">
        <v>1</v>
      </c>
      <c r="H3219" s="17">
        <v>0</v>
      </c>
      <c r="I3219" s="17">
        <v>0</v>
      </c>
      <c r="J3219" s="17">
        <v>75</v>
      </c>
      <c r="K3219" s="10">
        <v>75</v>
      </c>
      <c r="P3219" s="17">
        <v>1</v>
      </c>
      <c r="Q3219" s="19">
        <v>75</v>
      </c>
      <c r="R3219" s="14">
        <v>250</v>
      </c>
      <c r="S3219" s="19">
        <v>18750</v>
      </c>
      <c r="AJ3219" s="19">
        <v>0</v>
      </c>
      <c r="AK3219" s="23">
        <v>0</v>
      </c>
      <c r="AM3219" s="19">
        <v>0</v>
      </c>
      <c r="AN3219" s="19">
        <v>18750</v>
      </c>
      <c r="AP3219" s="14">
        <v>18750</v>
      </c>
    </row>
    <row r="3220" spans="1:45" x14ac:dyDescent="0.2">
      <c r="A3220" s="121">
        <f t="shared" si="457"/>
        <v>2740</v>
      </c>
      <c r="B3220" s="13">
        <v>2</v>
      </c>
      <c r="C3220" s="17" t="s">
        <v>52</v>
      </c>
      <c r="D3220" s="17">
        <v>29456</v>
      </c>
      <c r="E3220" s="17">
        <v>183</v>
      </c>
      <c r="F3220" s="17">
        <v>5577</v>
      </c>
      <c r="G3220" s="13">
        <v>1</v>
      </c>
      <c r="H3220" s="17">
        <v>0</v>
      </c>
      <c r="I3220" s="17">
        <v>0</v>
      </c>
      <c r="J3220" s="17">
        <v>72</v>
      </c>
      <c r="K3220" s="10">
        <v>72</v>
      </c>
      <c r="P3220" s="17">
        <v>1</v>
      </c>
      <c r="Q3220" s="19">
        <v>72</v>
      </c>
      <c r="R3220" s="14">
        <v>250</v>
      </c>
      <c r="S3220" s="19">
        <v>18000</v>
      </c>
      <c r="AJ3220" s="19">
        <v>0</v>
      </c>
      <c r="AK3220" s="23">
        <v>0</v>
      </c>
      <c r="AM3220" s="19">
        <v>0</v>
      </c>
      <c r="AN3220" s="19">
        <v>18000</v>
      </c>
      <c r="AP3220" s="14">
        <v>18000</v>
      </c>
    </row>
    <row r="3221" spans="1:45" x14ac:dyDescent="0.2">
      <c r="A3221" s="121">
        <f t="shared" si="457"/>
        <v>2741</v>
      </c>
      <c r="B3221" s="13">
        <v>3</v>
      </c>
      <c r="C3221" s="17" t="s">
        <v>52</v>
      </c>
      <c r="D3221" s="17">
        <v>29457</v>
      </c>
      <c r="E3221" s="17">
        <v>184</v>
      </c>
      <c r="F3221" s="17">
        <v>5578</v>
      </c>
      <c r="G3221" s="13">
        <v>1</v>
      </c>
      <c r="H3221" s="17">
        <v>0</v>
      </c>
      <c r="I3221" s="17">
        <v>0</v>
      </c>
      <c r="J3221" s="17">
        <v>74</v>
      </c>
      <c r="K3221" s="10">
        <v>74</v>
      </c>
      <c r="P3221" s="17">
        <v>1</v>
      </c>
      <c r="Q3221" s="19">
        <v>74</v>
      </c>
      <c r="R3221" s="14">
        <v>250</v>
      </c>
      <c r="S3221" s="19">
        <v>18500</v>
      </c>
      <c r="AJ3221" s="19">
        <v>0</v>
      </c>
      <c r="AK3221" s="23">
        <v>0</v>
      </c>
      <c r="AM3221" s="19">
        <v>0</v>
      </c>
      <c r="AN3221" s="19">
        <v>18500</v>
      </c>
      <c r="AP3221" s="14">
        <v>18500</v>
      </c>
    </row>
    <row r="3222" spans="1:45" x14ac:dyDescent="0.2">
      <c r="A3222" s="121">
        <f t="shared" si="457"/>
        <v>2742</v>
      </c>
      <c r="B3222" s="13">
        <v>4</v>
      </c>
      <c r="C3222" s="17" t="s">
        <v>52</v>
      </c>
      <c r="D3222" s="17">
        <v>29458</v>
      </c>
      <c r="E3222" s="17">
        <v>185</v>
      </c>
      <c r="F3222" s="17">
        <v>5579</v>
      </c>
      <c r="G3222" s="13">
        <v>1</v>
      </c>
      <c r="H3222" s="17">
        <v>0</v>
      </c>
      <c r="I3222" s="17">
        <v>0</v>
      </c>
      <c r="J3222" s="17">
        <v>76</v>
      </c>
      <c r="K3222" s="10">
        <v>76</v>
      </c>
      <c r="P3222" s="17">
        <v>1</v>
      </c>
      <c r="Q3222" s="19">
        <v>76</v>
      </c>
      <c r="R3222" s="14">
        <v>250</v>
      </c>
      <c r="S3222" s="19">
        <v>19000</v>
      </c>
      <c r="AJ3222" s="19">
        <v>0</v>
      </c>
      <c r="AK3222" s="23">
        <v>0</v>
      </c>
      <c r="AM3222" s="19">
        <v>0</v>
      </c>
      <c r="AN3222" s="19">
        <v>19000</v>
      </c>
      <c r="AP3222" s="14">
        <v>19000</v>
      </c>
    </row>
    <row r="3223" spans="1:45" x14ac:dyDescent="0.2">
      <c r="A3223" s="121">
        <f t="shared" si="457"/>
        <v>2743</v>
      </c>
      <c r="B3223" s="13">
        <v>5</v>
      </c>
      <c r="C3223" s="17" t="s">
        <v>52</v>
      </c>
      <c r="D3223" s="17">
        <v>29459</v>
      </c>
      <c r="E3223" s="17">
        <v>186</v>
      </c>
      <c r="F3223" s="17">
        <v>5580</v>
      </c>
      <c r="G3223" s="13">
        <v>1</v>
      </c>
      <c r="H3223" s="17">
        <v>0</v>
      </c>
      <c r="I3223" s="17">
        <v>0</v>
      </c>
      <c r="J3223" s="17">
        <v>76</v>
      </c>
      <c r="K3223" s="10">
        <v>76</v>
      </c>
      <c r="P3223" s="17">
        <v>1</v>
      </c>
      <c r="Q3223" s="19">
        <v>76</v>
      </c>
      <c r="R3223" s="14">
        <v>250</v>
      </c>
      <c r="S3223" s="19">
        <v>19000</v>
      </c>
      <c r="AJ3223" s="19">
        <v>0</v>
      </c>
      <c r="AK3223" s="23">
        <v>0</v>
      </c>
      <c r="AM3223" s="19">
        <v>0</v>
      </c>
      <c r="AN3223" s="19">
        <v>19000</v>
      </c>
      <c r="AP3223" s="14">
        <v>19000</v>
      </c>
    </row>
    <row r="3224" spans="1:45" x14ac:dyDescent="0.2">
      <c r="A3224" s="121">
        <f t="shared" si="457"/>
        <v>2744</v>
      </c>
      <c r="B3224" s="13">
        <v>6</v>
      </c>
      <c r="C3224" s="17" t="s">
        <v>65</v>
      </c>
      <c r="D3224" s="17">
        <v>289</v>
      </c>
      <c r="E3224" s="17">
        <v>118</v>
      </c>
      <c r="H3224" s="17">
        <v>0</v>
      </c>
      <c r="I3224" s="17">
        <v>0</v>
      </c>
      <c r="J3224" s="17">
        <v>80</v>
      </c>
      <c r="N3224" s="18">
        <v>80</v>
      </c>
      <c r="P3224" s="17">
        <v>4</v>
      </c>
      <c r="Q3224" s="19">
        <v>80</v>
      </c>
      <c r="R3224" s="14">
        <v>3000</v>
      </c>
      <c r="S3224" s="19">
        <v>240000</v>
      </c>
      <c r="AJ3224" s="19">
        <v>0</v>
      </c>
      <c r="AK3224" s="23">
        <v>0</v>
      </c>
      <c r="AM3224" s="19">
        <v>0</v>
      </c>
      <c r="AN3224" s="19">
        <v>240000</v>
      </c>
      <c r="AP3224" s="14">
        <v>240000</v>
      </c>
      <c r="AQ3224" s="12">
        <v>3.0000000000000001E-3</v>
      </c>
    </row>
    <row r="3225" spans="1:45" x14ac:dyDescent="0.2">
      <c r="A3225" s="121">
        <f t="shared" si="457"/>
        <v>2745</v>
      </c>
      <c r="B3225" s="13">
        <v>1</v>
      </c>
      <c r="C3225" s="17" t="s">
        <v>52</v>
      </c>
      <c r="D3225" s="17">
        <v>29460</v>
      </c>
      <c r="E3225" s="17">
        <v>187</v>
      </c>
      <c r="F3225" s="17">
        <v>5581</v>
      </c>
      <c r="G3225" s="13">
        <v>1</v>
      </c>
      <c r="H3225" s="17">
        <v>0</v>
      </c>
      <c r="I3225" s="17">
        <v>0</v>
      </c>
      <c r="J3225" s="17">
        <v>35</v>
      </c>
      <c r="K3225" s="10">
        <v>35</v>
      </c>
      <c r="P3225" s="17">
        <v>1</v>
      </c>
      <c r="Q3225" s="19">
        <v>35</v>
      </c>
      <c r="R3225" s="14">
        <v>250</v>
      </c>
      <c r="S3225" s="19">
        <v>8750</v>
      </c>
      <c r="AJ3225" s="19">
        <v>0</v>
      </c>
      <c r="AK3225" s="23">
        <v>0</v>
      </c>
      <c r="AM3225" s="19">
        <v>0</v>
      </c>
      <c r="AN3225" s="19">
        <v>8750</v>
      </c>
      <c r="AP3225" s="14">
        <v>8750</v>
      </c>
    </row>
    <row r="3226" spans="1:45" ht="63" x14ac:dyDescent="0.2">
      <c r="A3226" s="121">
        <f t="shared" si="457"/>
        <v>2746</v>
      </c>
      <c r="B3226" s="13">
        <v>1</v>
      </c>
      <c r="C3226" s="17" t="s">
        <v>52</v>
      </c>
      <c r="D3226" s="17">
        <v>23961</v>
      </c>
      <c r="E3226" s="17">
        <v>100</v>
      </c>
      <c r="F3226" s="17">
        <v>3366</v>
      </c>
      <c r="G3226" s="13">
        <v>1</v>
      </c>
      <c r="H3226" s="17">
        <v>0</v>
      </c>
      <c r="I3226" s="17">
        <v>0</v>
      </c>
      <c r="J3226" s="17">
        <v>50</v>
      </c>
      <c r="L3226" s="17">
        <v>50</v>
      </c>
      <c r="P3226" s="17">
        <v>2</v>
      </c>
      <c r="Q3226" s="19">
        <v>50</v>
      </c>
      <c r="R3226" s="14">
        <v>250</v>
      </c>
      <c r="S3226" s="19">
        <v>12500</v>
      </c>
      <c r="U3226" s="17" t="s">
        <v>57</v>
      </c>
      <c r="V3226" s="17" t="s">
        <v>56</v>
      </c>
      <c r="W3226" s="4">
        <v>90</v>
      </c>
      <c r="Y3226" s="4" t="s">
        <v>272</v>
      </c>
      <c r="AJ3226" s="19">
        <v>0</v>
      </c>
      <c r="AK3226" s="23">
        <v>0</v>
      </c>
      <c r="AM3226" s="19">
        <v>0</v>
      </c>
      <c r="AN3226" s="19">
        <v>12500</v>
      </c>
      <c r="AP3226" s="14">
        <v>12500</v>
      </c>
    </row>
    <row r="3227" spans="1:45" x14ac:dyDescent="0.2">
      <c r="A3227" s="121">
        <f t="shared" si="457"/>
        <v>2747</v>
      </c>
      <c r="B3227" s="13">
        <v>2</v>
      </c>
      <c r="C3227" s="17" t="s">
        <v>52</v>
      </c>
      <c r="D3227" s="17">
        <v>29454</v>
      </c>
      <c r="E3227" s="17">
        <v>181</v>
      </c>
      <c r="F3227" s="17">
        <v>5575</v>
      </c>
      <c r="G3227" s="13">
        <v>1</v>
      </c>
      <c r="H3227" s="17">
        <v>2</v>
      </c>
      <c r="I3227" s="17">
        <v>1</v>
      </c>
      <c r="J3227" s="17">
        <v>78</v>
      </c>
      <c r="K3227" s="10">
        <v>978</v>
      </c>
      <c r="P3227" s="17">
        <v>1</v>
      </c>
      <c r="Q3227" s="19">
        <v>978</v>
      </c>
      <c r="R3227" s="14">
        <v>200</v>
      </c>
      <c r="S3227" s="19">
        <v>195600</v>
      </c>
      <c r="AJ3227" s="19">
        <v>0</v>
      </c>
      <c r="AK3227" s="23">
        <v>0</v>
      </c>
      <c r="AM3227" s="19">
        <v>0</v>
      </c>
      <c r="AN3227" s="19">
        <v>195600</v>
      </c>
      <c r="AP3227" s="14">
        <v>195600</v>
      </c>
    </row>
    <row r="3228" spans="1:45" ht="63" x14ac:dyDescent="0.2">
      <c r="A3228" s="121">
        <f t="shared" si="457"/>
        <v>2748</v>
      </c>
      <c r="B3228" s="13">
        <v>1</v>
      </c>
      <c r="C3228" s="17" t="s">
        <v>52</v>
      </c>
      <c r="D3228" s="17">
        <v>1388</v>
      </c>
      <c r="E3228" s="17">
        <v>43</v>
      </c>
      <c r="F3228" s="17">
        <v>385</v>
      </c>
      <c r="G3228" s="13">
        <v>1</v>
      </c>
      <c r="H3228" s="17">
        <v>0</v>
      </c>
      <c r="I3228" s="17">
        <v>1</v>
      </c>
      <c r="J3228" s="17">
        <v>33</v>
      </c>
      <c r="L3228" s="17">
        <v>133</v>
      </c>
      <c r="P3228" s="17">
        <v>2</v>
      </c>
      <c r="Q3228" s="19">
        <v>133</v>
      </c>
      <c r="R3228" s="14">
        <v>250</v>
      </c>
      <c r="S3228" s="19">
        <v>33250</v>
      </c>
      <c r="T3228" s="17">
        <v>1</v>
      </c>
      <c r="U3228" s="17" t="s">
        <v>57</v>
      </c>
      <c r="V3228" s="17" t="s">
        <v>56</v>
      </c>
      <c r="W3228" s="4">
        <v>90</v>
      </c>
      <c r="Y3228" s="4" t="s">
        <v>156</v>
      </c>
      <c r="AB3228" s="17">
        <v>15</v>
      </c>
      <c r="AJ3228" s="19">
        <v>0</v>
      </c>
      <c r="AK3228" s="23">
        <v>15</v>
      </c>
      <c r="AM3228" s="19">
        <v>0</v>
      </c>
      <c r="AN3228" s="19">
        <v>33250</v>
      </c>
      <c r="AP3228" s="14">
        <v>33250</v>
      </c>
    </row>
    <row r="3229" spans="1:45" x14ac:dyDescent="0.2">
      <c r="A3229" s="121">
        <f t="shared" si="457"/>
        <v>2749</v>
      </c>
      <c r="B3229" s="13">
        <v>2</v>
      </c>
      <c r="C3229" s="17" t="s">
        <v>52</v>
      </c>
      <c r="D3229" s="17">
        <v>29461</v>
      </c>
      <c r="E3229" s="17">
        <v>188</v>
      </c>
      <c r="F3229" s="17">
        <v>5582</v>
      </c>
      <c r="G3229" s="13">
        <v>1</v>
      </c>
      <c r="H3229" s="17">
        <v>0</v>
      </c>
      <c r="I3229" s="17">
        <v>0</v>
      </c>
      <c r="J3229" s="17">
        <v>35</v>
      </c>
      <c r="L3229" s="17">
        <v>35</v>
      </c>
      <c r="P3229" s="17">
        <v>2</v>
      </c>
      <c r="Q3229" s="19">
        <v>35</v>
      </c>
      <c r="R3229" s="14">
        <v>250</v>
      </c>
      <c r="S3229" s="19">
        <v>8750</v>
      </c>
      <c r="AJ3229" s="19">
        <v>0</v>
      </c>
      <c r="AK3229" s="23">
        <v>0</v>
      </c>
      <c r="AM3229" s="19">
        <v>0</v>
      </c>
      <c r="AN3229" s="19">
        <v>8750</v>
      </c>
      <c r="AP3229" s="14">
        <v>8750</v>
      </c>
    </row>
    <row r="3230" spans="1:45" x14ac:dyDescent="0.2">
      <c r="A3230" s="121">
        <f t="shared" si="457"/>
        <v>2750</v>
      </c>
      <c r="B3230" s="13">
        <v>3</v>
      </c>
      <c r="C3230" s="17" t="s">
        <v>52</v>
      </c>
      <c r="D3230" s="17">
        <v>29462</v>
      </c>
      <c r="E3230" s="17">
        <v>189</v>
      </c>
      <c r="F3230" s="17">
        <v>5583</v>
      </c>
      <c r="G3230" s="13">
        <v>1</v>
      </c>
      <c r="H3230" s="17">
        <v>0</v>
      </c>
      <c r="I3230" s="17">
        <v>0</v>
      </c>
      <c r="J3230" s="17">
        <v>80</v>
      </c>
      <c r="N3230" s="18">
        <v>80</v>
      </c>
      <c r="P3230" s="17">
        <v>4</v>
      </c>
      <c r="Q3230" s="19">
        <v>80</v>
      </c>
      <c r="R3230" s="14">
        <v>250</v>
      </c>
      <c r="S3230" s="19">
        <v>20000</v>
      </c>
      <c r="AJ3230" s="19">
        <v>0</v>
      </c>
      <c r="AK3230" s="23">
        <v>0</v>
      </c>
      <c r="AM3230" s="19">
        <v>0</v>
      </c>
      <c r="AN3230" s="19">
        <v>20000</v>
      </c>
      <c r="AP3230" s="14">
        <v>20000</v>
      </c>
      <c r="AQ3230" s="12">
        <v>3.0000000000000001E-3</v>
      </c>
    </row>
    <row r="3231" spans="1:45" x14ac:dyDescent="0.2">
      <c r="A3231" s="121">
        <f t="shared" si="457"/>
        <v>2751</v>
      </c>
      <c r="B3231" s="13">
        <v>1</v>
      </c>
      <c r="C3231" s="17" t="s">
        <v>52</v>
      </c>
      <c r="D3231" s="17">
        <v>1029</v>
      </c>
      <c r="E3231" s="17">
        <v>56</v>
      </c>
      <c r="F3231" s="17">
        <v>386</v>
      </c>
      <c r="G3231" s="13">
        <v>1</v>
      </c>
      <c r="H3231" s="17">
        <v>0</v>
      </c>
      <c r="I3231" s="17">
        <v>1</v>
      </c>
      <c r="J3231" s="17">
        <v>29</v>
      </c>
      <c r="Q3231" s="19">
        <v>129</v>
      </c>
      <c r="R3231" s="14">
        <v>3000</v>
      </c>
      <c r="S3231" s="19">
        <v>387000</v>
      </c>
      <c r="AJ3231" s="19">
        <v>0</v>
      </c>
      <c r="AK3231" s="23">
        <v>0</v>
      </c>
      <c r="AM3231" s="19">
        <v>0</v>
      </c>
      <c r="AN3231" s="19">
        <v>387000</v>
      </c>
      <c r="AP3231" s="14">
        <v>387000</v>
      </c>
    </row>
    <row r="3232" spans="1:45" x14ac:dyDescent="0.2">
      <c r="A3232" s="121">
        <f t="shared" si="457"/>
        <v>2752</v>
      </c>
      <c r="B3232" s="13">
        <v>1</v>
      </c>
      <c r="C3232" s="17" t="s">
        <v>52</v>
      </c>
      <c r="D3232" s="17">
        <v>1030</v>
      </c>
      <c r="E3232" s="17">
        <v>55</v>
      </c>
      <c r="F3232" s="17">
        <v>387</v>
      </c>
      <c r="G3232" s="13">
        <v>1</v>
      </c>
      <c r="H3232" s="17">
        <v>0</v>
      </c>
      <c r="I3232" s="17">
        <v>1</v>
      </c>
      <c r="J3232" s="17">
        <v>52</v>
      </c>
      <c r="N3232" s="18">
        <v>152</v>
      </c>
      <c r="P3232" s="17">
        <v>4</v>
      </c>
      <c r="Q3232" s="19">
        <v>152</v>
      </c>
      <c r="R3232" s="14">
        <v>3000</v>
      </c>
      <c r="S3232" s="19">
        <v>456000</v>
      </c>
      <c r="AJ3232" s="19">
        <v>0</v>
      </c>
      <c r="AK3232" s="23">
        <v>0</v>
      </c>
      <c r="AM3232" s="19">
        <v>0</v>
      </c>
      <c r="AN3232" s="19">
        <v>456000</v>
      </c>
      <c r="AP3232" s="14">
        <v>456000</v>
      </c>
      <c r="AQ3232" s="12">
        <v>3.0000000000000001E-3</v>
      </c>
      <c r="AS3232" s="26">
        <v>3</v>
      </c>
    </row>
    <row r="3233" spans="1:49" x14ac:dyDescent="0.2">
      <c r="A3233" s="121">
        <f t="shared" si="457"/>
        <v>2753</v>
      </c>
      <c r="B3233" s="13">
        <v>1</v>
      </c>
      <c r="C3233" s="17" t="s">
        <v>52</v>
      </c>
      <c r="D3233" s="17">
        <v>1386</v>
      </c>
      <c r="E3233" s="17">
        <v>13</v>
      </c>
      <c r="F3233" s="17">
        <v>173</v>
      </c>
      <c r="G3233" s="13">
        <v>1</v>
      </c>
      <c r="H3233" s="17">
        <v>3</v>
      </c>
      <c r="I3233" s="17">
        <v>3</v>
      </c>
      <c r="J3233" s="17">
        <v>90</v>
      </c>
      <c r="K3233" s="10">
        <v>1590</v>
      </c>
      <c r="P3233" s="17">
        <v>1</v>
      </c>
      <c r="Q3233" s="19">
        <v>1590</v>
      </c>
      <c r="R3233" s="14">
        <v>200</v>
      </c>
      <c r="S3233" s="19">
        <v>318000</v>
      </c>
      <c r="AJ3233" s="19">
        <v>0</v>
      </c>
      <c r="AK3233" s="23">
        <v>0</v>
      </c>
      <c r="AM3233" s="19">
        <v>0</v>
      </c>
      <c r="AN3233" s="19">
        <v>318000</v>
      </c>
      <c r="AP3233" s="14">
        <v>318000</v>
      </c>
    </row>
    <row r="3234" spans="1:49" x14ac:dyDescent="0.2">
      <c r="A3234" s="121">
        <f t="shared" si="457"/>
        <v>2754</v>
      </c>
      <c r="B3234" s="13">
        <v>2</v>
      </c>
      <c r="C3234" s="17" t="s">
        <v>52</v>
      </c>
      <c r="D3234" s="17">
        <v>21298</v>
      </c>
      <c r="E3234" s="17">
        <v>98</v>
      </c>
      <c r="F3234" s="17">
        <v>4726</v>
      </c>
      <c r="G3234" s="13">
        <v>1</v>
      </c>
      <c r="H3234" s="17">
        <v>0</v>
      </c>
      <c r="I3234" s="17">
        <v>0</v>
      </c>
      <c r="J3234" s="17">
        <v>36</v>
      </c>
      <c r="N3234" s="18">
        <v>36</v>
      </c>
      <c r="P3234" s="17">
        <v>4</v>
      </c>
      <c r="Q3234" s="19">
        <v>36</v>
      </c>
      <c r="R3234" s="14">
        <v>3000</v>
      </c>
      <c r="S3234" s="19">
        <v>108000</v>
      </c>
      <c r="AJ3234" s="19">
        <v>0</v>
      </c>
      <c r="AK3234" s="23">
        <v>0</v>
      </c>
      <c r="AM3234" s="19">
        <v>0</v>
      </c>
      <c r="AN3234" s="19">
        <v>108000</v>
      </c>
      <c r="AP3234" s="14">
        <v>108000</v>
      </c>
      <c r="AQ3234" s="12">
        <v>3.0000000000000001E-3</v>
      </c>
    </row>
    <row r="3235" spans="1:49" x14ac:dyDescent="0.2">
      <c r="A3235" s="121">
        <f t="shared" si="457"/>
        <v>2755</v>
      </c>
      <c r="B3235" s="13">
        <v>1</v>
      </c>
      <c r="C3235" s="17" t="s">
        <v>52</v>
      </c>
      <c r="D3235" s="17">
        <v>1112</v>
      </c>
      <c r="E3235" s="17">
        <v>44</v>
      </c>
      <c r="F3235" s="17">
        <v>394</v>
      </c>
      <c r="G3235" s="13">
        <v>1</v>
      </c>
      <c r="H3235" s="17">
        <v>5</v>
      </c>
      <c r="I3235" s="17">
        <v>0</v>
      </c>
      <c r="J3235" s="17">
        <v>99</v>
      </c>
      <c r="K3235" s="10">
        <v>2099</v>
      </c>
      <c r="P3235" s="17">
        <v>5</v>
      </c>
      <c r="Q3235" s="19">
        <v>2099</v>
      </c>
      <c r="R3235" s="14">
        <v>200</v>
      </c>
      <c r="S3235" s="19">
        <v>419800</v>
      </c>
      <c r="AE3235" s="17">
        <v>1899</v>
      </c>
      <c r="AJ3235" s="19">
        <v>0</v>
      </c>
      <c r="AK3235" s="23">
        <v>0</v>
      </c>
      <c r="AM3235" s="19">
        <v>0</v>
      </c>
      <c r="AN3235" s="19">
        <v>419800</v>
      </c>
      <c r="AP3235" s="14">
        <v>419800</v>
      </c>
      <c r="AS3235" s="26">
        <v>112</v>
      </c>
    </row>
    <row r="3236" spans="1:49" x14ac:dyDescent="0.2">
      <c r="P3236" s="17">
        <v>1</v>
      </c>
      <c r="Q3236" s="19">
        <v>1899</v>
      </c>
      <c r="R3236" s="14">
        <v>200</v>
      </c>
      <c r="S3236" s="19">
        <v>379800</v>
      </c>
      <c r="AE3236" s="17">
        <v>204.5</v>
      </c>
      <c r="AJ3236" s="19">
        <v>0</v>
      </c>
      <c r="AK3236" s="23">
        <v>0</v>
      </c>
      <c r="AM3236" s="19">
        <v>0</v>
      </c>
      <c r="AN3236" s="19">
        <v>379800</v>
      </c>
      <c r="AP3236" s="14">
        <v>379800</v>
      </c>
    </row>
    <row r="3237" spans="1:49" ht="63" x14ac:dyDescent="0.2">
      <c r="P3237" s="17">
        <v>2</v>
      </c>
      <c r="Q3237" s="19">
        <v>200</v>
      </c>
      <c r="R3237" s="14">
        <v>200</v>
      </c>
      <c r="S3237" s="19">
        <v>40000</v>
      </c>
      <c r="U3237" s="17" t="s">
        <v>63</v>
      </c>
      <c r="V3237" s="17" t="s">
        <v>56</v>
      </c>
      <c r="W3237" s="4">
        <v>84.5</v>
      </c>
      <c r="Y3237" s="4" t="s">
        <v>273</v>
      </c>
      <c r="AB3237" s="17">
        <v>25</v>
      </c>
      <c r="AE3237" s="17">
        <v>0.41320293398533009</v>
      </c>
      <c r="AF3237" s="14">
        <v>2</v>
      </c>
      <c r="AG3237" s="54">
        <v>84.5</v>
      </c>
      <c r="AH3237" s="11">
        <v>1</v>
      </c>
      <c r="AI3237" s="14">
        <v>8100</v>
      </c>
      <c r="AJ3237" s="19">
        <v>684450</v>
      </c>
      <c r="AK3237" s="23">
        <v>25</v>
      </c>
      <c r="AL3237" s="11">
        <v>0.4</v>
      </c>
      <c r="AM3237" s="19">
        <v>410670</v>
      </c>
      <c r="AN3237" s="19">
        <v>427070</v>
      </c>
      <c r="AP3237" s="14">
        <v>427070</v>
      </c>
      <c r="AQ3237" s="12">
        <v>2.0000000000000001E-4</v>
      </c>
    </row>
    <row r="3238" spans="1:49" ht="63" x14ac:dyDescent="0.2">
      <c r="S3238" s="19">
        <v>0</v>
      </c>
      <c r="U3238" s="17" t="s">
        <v>63</v>
      </c>
      <c r="V3238" s="17" t="s">
        <v>56</v>
      </c>
      <c r="W3238" s="4">
        <v>60</v>
      </c>
      <c r="Y3238" s="4" t="s">
        <v>274</v>
      </c>
      <c r="AB3238" s="17">
        <v>25</v>
      </c>
      <c r="AE3238" s="17">
        <v>0.29339853300733498</v>
      </c>
      <c r="AF3238" s="14">
        <v>2</v>
      </c>
      <c r="AG3238" s="54">
        <v>60</v>
      </c>
      <c r="AH3238" s="11">
        <v>1</v>
      </c>
      <c r="AI3238" s="14">
        <v>8100</v>
      </c>
      <c r="AJ3238" s="19">
        <v>486000</v>
      </c>
      <c r="AK3238" s="23">
        <v>25</v>
      </c>
      <c r="AL3238" s="11">
        <v>0.4</v>
      </c>
      <c r="AM3238" s="19">
        <v>291600</v>
      </c>
      <c r="AN3238" s="19">
        <v>303200</v>
      </c>
      <c r="AP3238" s="14">
        <v>303200</v>
      </c>
      <c r="AQ3238" s="12">
        <v>2.0000000000000001E-4</v>
      </c>
    </row>
    <row r="3239" spans="1:49" ht="63" x14ac:dyDescent="0.2">
      <c r="S3239" s="19">
        <v>0</v>
      </c>
      <c r="U3239" s="17" t="s">
        <v>57</v>
      </c>
      <c r="V3239" s="17" t="s">
        <v>84</v>
      </c>
      <c r="W3239" s="4">
        <v>60</v>
      </c>
      <c r="Y3239" s="4" t="s">
        <v>274</v>
      </c>
      <c r="AB3239" s="17">
        <v>5</v>
      </c>
      <c r="AE3239" s="17">
        <v>0.29339853300733498</v>
      </c>
      <c r="AF3239" s="14">
        <v>2</v>
      </c>
      <c r="AG3239" s="54">
        <v>60</v>
      </c>
      <c r="AH3239" s="11">
        <v>1</v>
      </c>
      <c r="AI3239" s="14">
        <v>7250</v>
      </c>
      <c r="AJ3239" s="19">
        <v>435000</v>
      </c>
      <c r="AK3239" s="23">
        <v>5</v>
      </c>
      <c r="AL3239" s="11">
        <v>0.1</v>
      </c>
      <c r="AM3239" s="19">
        <v>391500</v>
      </c>
      <c r="AN3239" s="19">
        <v>403100</v>
      </c>
      <c r="AP3239" s="14">
        <v>403100</v>
      </c>
      <c r="AQ3239" s="12">
        <v>2.0000000000000001E-4</v>
      </c>
    </row>
    <row r="3240" spans="1:49" x14ac:dyDescent="0.2">
      <c r="A3240" s="2">
        <f>+A3235+1</f>
        <v>2756</v>
      </c>
      <c r="B3240" s="13">
        <v>2</v>
      </c>
      <c r="C3240" s="17" t="s">
        <v>52</v>
      </c>
      <c r="D3240" s="17">
        <v>1165</v>
      </c>
      <c r="E3240" s="17">
        <v>7</v>
      </c>
      <c r="F3240" s="17">
        <v>1003</v>
      </c>
      <c r="G3240" s="13">
        <v>1</v>
      </c>
      <c r="H3240" s="17">
        <v>5</v>
      </c>
      <c r="I3240" s="17">
        <v>0</v>
      </c>
      <c r="J3240" s="17">
        <v>52</v>
      </c>
      <c r="K3240" s="10">
        <v>2052</v>
      </c>
      <c r="P3240" s="17">
        <v>1</v>
      </c>
      <c r="Q3240" s="19">
        <v>2052</v>
      </c>
      <c r="R3240" s="14">
        <v>160</v>
      </c>
      <c r="S3240" s="19">
        <v>328320</v>
      </c>
      <c r="AE3240" s="17">
        <v>60</v>
      </c>
      <c r="AJ3240" s="19">
        <v>0</v>
      </c>
      <c r="AK3240" s="23">
        <v>0</v>
      </c>
      <c r="AM3240" s="19">
        <v>0</v>
      </c>
      <c r="AN3240" s="19">
        <v>328320</v>
      </c>
      <c r="AP3240" s="14">
        <v>328320</v>
      </c>
    </row>
    <row r="3241" spans="1:49" x14ac:dyDescent="0.2">
      <c r="A3241" s="121">
        <v>2757</v>
      </c>
      <c r="B3241" s="13">
        <v>3</v>
      </c>
      <c r="C3241" s="17" t="s">
        <v>65</v>
      </c>
      <c r="D3241" s="17">
        <v>1110</v>
      </c>
      <c r="E3241" s="17">
        <v>19</v>
      </c>
      <c r="H3241" s="17">
        <v>8</v>
      </c>
      <c r="I3241" s="17">
        <v>0</v>
      </c>
      <c r="J3241" s="17">
        <v>16</v>
      </c>
      <c r="K3241" s="10">
        <v>3216</v>
      </c>
      <c r="Q3241" s="19">
        <v>3216</v>
      </c>
      <c r="R3241" s="14">
        <v>160</v>
      </c>
      <c r="S3241" s="19">
        <v>514560</v>
      </c>
      <c r="AJ3241" s="19">
        <v>0</v>
      </c>
      <c r="AK3241" s="23">
        <v>0</v>
      </c>
      <c r="AM3241" s="19">
        <v>0</v>
      </c>
      <c r="AN3241" s="19">
        <v>514560</v>
      </c>
      <c r="AP3241" s="14">
        <v>514560</v>
      </c>
      <c r="AQ3241" s="12">
        <v>1E-4</v>
      </c>
    </row>
    <row r="3242" spans="1:49" x14ac:dyDescent="0.2">
      <c r="A3242" s="121">
        <v>2758</v>
      </c>
      <c r="B3242" s="13">
        <v>4</v>
      </c>
      <c r="C3242" s="17" t="s">
        <v>65</v>
      </c>
      <c r="D3242" s="17">
        <v>1111</v>
      </c>
      <c r="E3242" s="17">
        <v>20</v>
      </c>
      <c r="H3242" s="17">
        <v>8</v>
      </c>
      <c r="I3242" s="17">
        <v>0</v>
      </c>
      <c r="J3242" s="17">
        <v>22</v>
      </c>
      <c r="K3242" s="10">
        <v>3222</v>
      </c>
      <c r="Q3242" s="19">
        <v>3222</v>
      </c>
      <c r="R3242" s="14">
        <v>250</v>
      </c>
      <c r="S3242" s="19">
        <v>805500</v>
      </c>
      <c r="AJ3242" s="19">
        <v>0</v>
      </c>
      <c r="AK3242" s="23">
        <v>0</v>
      </c>
      <c r="AM3242" s="19">
        <v>0</v>
      </c>
      <c r="AN3242" s="19">
        <v>805500</v>
      </c>
      <c r="AP3242" s="14">
        <v>805500</v>
      </c>
      <c r="AQ3242" s="12">
        <v>1E-4</v>
      </c>
    </row>
    <row r="3243" spans="1:49" x14ac:dyDescent="0.2">
      <c r="B3243" s="13">
        <v>5</v>
      </c>
      <c r="C3243" s="17" t="s">
        <v>65</v>
      </c>
      <c r="D3243" s="17">
        <v>2639</v>
      </c>
      <c r="E3243" s="17">
        <v>318</v>
      </c>
      <c r="H3243" s="17">
        <v>4</v>
      </c>
      <c r="I3243" s="17">
        <v>3</v>
      </c>
      <c r="J3243" s="17">
        <v>82</v>
      </c>
      <c r="K3243" s="10">
        <v>1982</v>
      </c>
      <c r="Q3243" s="19">
        <v>1982</v>
      </c>
      <c r="R3243" s="14" t="e">
        <v>#N/A</v>
      </c>
      <c r="S3243" s="19" t="e">
        <v>#N/A</v>
      </c>
      <c r="AJ3243" s="19">
        <v>0</v>
      </c>
      <c r="AK3243" s="23">
        <v>0</v>
      </c>
      <c r="AM3243" s="19">
        <v>0</v>
      </c>
      <c r="AN3243" s="19" t="e">
        <v>#N/A</v>
      </c>
      <c r="AP3243" s="14" t="e">
        <v>#N/A</v>
      </c>
      <c r="AQ3243" s="12">
        <v>1E-4</v>
      </c>
      <c r="AW3243" s="14" t="s">
        <v>102</v>
      </c>
    </row>
    <row r="3244" spans="1:49" ht="42" x14ac:dyDescent="0.2">
      <c r="A3244" s="2">
        <v>2759</v>
      </c>
      <c r="B3244" s="13">
        <v>1</v>
      </c>
      <c r="C3244" s="17" t="s">
        <v>52</v>
      </c>
      <c r="D3244" s="17">
        <v>1326</v>
      </c>
      <c r="E3244" s="17">
        <v>50</v>
      </c>
      <c r="F3244" s="17">
        <v>594</v>
      </c>
      <c r="G3244" s="13">
        <v>1</v>
      </c>
      <c r="H3244" s="17">
        <v>7</v>
      </c>
      <c r="I3244" s="17">
        <v>1</v>
      </c>
      <c r="J3244" s="17">
        <v>11</v>
      </c>
      <c r="K3244" s="10">
        <v>2911</v>
      </c>
      <c r="P3244" s="17">
        <v>1</v>
      </c>
      <c r="Q3244" s="19">
        <v>2911</v>
      </c>
      <c r="R3244" s="14">
        <v>200</v>
      </c>
      <c r="S3244" s="19">
        <v>582200</v>
      </c>
      <c r="AJ3244" s="19">
        <v>0</v>
      </c>
      <c r="AK3244" s="23">
        <v>0</v>
      </c>
      <c r="AM3244" s="19">
        <v>0</v>
      </c>
      <c r="AN3244" s="19">
        <v>582200</v>
      </c>
      <c r="AP3244" s="14">
        <v>582200</v>
      </c>
      <c r="AS3244" s="26" t="s">
        <v>275</v>
      </c>
    </row>
    <row r="3245" spans="1:49" ht="63" x14ac:dyDescent="0.2">
      <c r="A3245" s="2">
        <f>+A3244+1</f>
        <v>2760</v>
      </c>
      <c r="B3245" s="13">
        <v>2</v>
      </c>
      <c r="C3245" s="17" t="s">
        <v>52</v>
      </c>
      <c r="D3245" s="17">
        <v>1393</v>
      </c>
      <c r="E3245" s="17">
        <v>40</v>
      </c>
      <c r="F3245" s="17">
        <v>583</v>
      </c>
      <c r="G3245" s="13">
        <v>1</v>
      </c>
      <c r="H3245" s="17">
        <v>1</v>
      </c>
      <c r="I3245" s="17">
        <v>2</v>
      </c>
      <c r="J3245" s="17">
        <v>70</v>
      </c>
      <c r="L3245" s="17">
        <v>670</v>
      </c>
      <c r="P3245" s="17">
        <v>2</v>
      </c>
      <c r="Q3245" s="19">
        <v>670</v>
      </c>
      <c r="R3245" s="14">
        <v>200</v>
      </c>
      <c r="S3245" s="19">
        <v>134000</v>
      </c>
      <c r="T3245" s="17">
        <v>1</v>
      </c>
      <c r="U3245" s="17" t="s">
        <v>57</v>
      </c>
      <c r="V3245" s="17" t="s">
        <v>56</v>
      </c>
      <c r="W3245" s="4">
        <v>243.75</v>
      </c>
      <c r="Y3245" s="4">
        <v>243.75</v>
      </c>
      <c r="AB3245" s="17">
        <v>16</v>
      </c>
      <c r="AJ3245" s="19">
        <v>0</v>
      </c>
      <c r="AK3245" s="23">
        <v>16</v>
      </c>
      <c r="AM3245" s="19">
        <v>0</v>
      </c>
      <c r="AN3245" s="19">
        <v>134000</v>
      </c>
      <c r="AP3245" s="14">
        <v>134000</v>
      </c>
    </row>
    <row r="3246" spans="1:49" ht="42" x14ac:dyDescent="0.2">
      <c r="A3246" s="121">
        <f t="shared" ref="A3246:A3250" si="458">+A3245+1</f>
        <v>2761</v>
      </c>
      <c r="B3246" s="13">
        <v>1</v>
      </c>
      <c r="C3246" s="17" t="s">
        <v>52</v>
      </c>
      <c r="D3246" s="17">
        <v>994</v>
      </c>
      <c r="E3246" s="17">
        <v>34</v>
      </c>
      <c r="F3246" s="17">
        <v>241</v>
      </c>
      <c r="G3246" s="13">
        <v>1</v>
      </c>
      <c r="H3246" s="17">
        <v>3</v>
      </c>
      <c r="I3246" s="17">
        <v>0</v>
      </c>
      <c r="J3246" s="17">
        <v>56</v>
      </c>
      <c r="K3246" s="10">
        <v>1256</v>
      </c>
      <c r="P3246" s="17">
        <v>1</v>
      </c>
      <c r="Q3246" s="19">
        <v>1256</v>
      </c>
      <c r="R3246" s="14">
        <v>160</v>
      </c>
      <c r="S3246" s="19">
        <v>200960</v>
      </c>
      <c r="AJ3246" s="19">
        <v>0</v>
      </c>
      <c r="AK3246" s="23">
        <v>0</v>
      </c>
      <c r="AM3246" s="19">
        <v>0</v>
      </c>
      <c r="AN3246" s="19">
        <v>200960</v>
      </c>
      <c r="AP3246" s="14">
        <v>200960</v>
      </c>
      <c r="AS3246" s="26" t="s">
        <v>276</v>
      </c>
      <c r="AW3246" s="14" t="s">
        <v>277</v>
      </c>
    </row>
    <row r="3247" spans="1:49" x14ac:dyDescent="0.2">
      <c r="A3247" s="121">
        <f t="shared" si="458"/>
        <v>2762</v>
      </c>
      <c r="B3247" s="13">
        <v>2</v>
      </c>
      <c r="C3247" s="17" t="s">
        <v>52</v>
      </c>
      <c r="D3247" s="17">
        <v>1033</v>
      </c>
      <c r="E3247" s="17">
        <v>50</v>
      </c>
      <c r="F3247" s="17">
        <v>390</v>
      </c>
      <c r="G3247" s="13">
        <v>1</v>
      </c>
      <c r="H3247" s="17">
        <v>0</v>
      </c>
      <c r="I3247" s="17">
        <v>0</v>
      </c>
      <c r="J3247" s="17">
        <v>65</v>
      </c>
      <c r="N3247" s="18">
        <v>65</v>
      </c>
      <c r="P3247" s="17">
        <v>4</v>
      </c>
      <c r="Q3247" s="19">
        <v>65</v>
      </c>
      <c r="R3247" s="14">
        <v>3000</v>
      </c>
      <c r="S3247" s="19">
        <v>195000</v>
      </c>
      <c r="AJ3247" s="19">
        <v>0</v>
      </c>
      <c r="AK3247" s="23">
        <v>0</v>
      </c>
      <c r="AM3247" s="19">
        <v>0</v>
      </c>
      <c r="AN3247" s="19">
        <v>195000</v>
      </c>
      <c r="AP3247" s="14">
        <v>195000</v>
      </c>
      <c r="AQ3247" s="12">
        <v>3.0000000000000001E-3</v>
      </c>
    </row>
    <row r="3248" spans="1:49" x14ac:dyDescent="0.2">
      <c r="A3248" s="121">
        <f>+A3247+1</f>
        <v>2763</v>
      </c>
      <c r="B3248" s="13">
        <v>3</v>
      </c>
      <c r="C3248" s="17" t="s">
        <v>52</v>
      </c>
      <c r="D3248" s="17">
        <v>1036</v>
      </c>
      <c r="E3248" s="17">
        <v>51</v>
      </c>
      <c r="F3248" s="17">
        <v>393</v>
      </c>
      <c r="G3248" s="13">
        <v>1</v>
      </c>
      <c r="H3248" s="17">
        <v>2</v>
      </c>
      <c r="I3248" s="17">
        <v>1</v>
      </c>
      <c r="J3248" s="17">
        <v>75</v>
      </c>
      <c r="K3248" s="10">
        <v>975</v>
      </c>
      <c r="P3248" s="17">
        <v>1</v>
      </c>
      <c r="Q3248" s="19">
        <v>975</v>
      </c>
      <c r="R3248" s="14">
        <v>200</v>
      </c>
      <c r="S3248" s="19">
        <v>195000</v>
      </c>
      <c r="AJ3248" s="19">
        <v>0</v>
      </c>
      <c r="AK3248" s="23">
        <v>0</v>
      </c>
      <c r="AM3248" s="19">
        <v>0</v>
      </c>
      <c r="AN3248" s="19">
        <v>195000</v>
      </c>
      <c r="AP3248" s="14">
        <v>195000</v>
      </c>
    </row>
    <row r="3249" spans="1:45" x14ac:dyDescent="0.2">
      <c r="A3249" s="121">
        <f t="shared" si="458"/>
        <v>2764</v>
      </c>
      <c r="B3249" s="13">
        <v>4</v>
      </c>
      <c r="C3249" s="17" t="s">
        <v>69</v>
      </c>
      <c r="E3249" s="17">
        <v>158</v>
      </c>
      <c r="F3249" s="17">
        <v>1</v>
      </c>
      <c r="G3249" s="13">
        <v>1</v>
      </c>
      <c r="H3249" s="17">
        <v>31</v>
      </c>
      <c r="I3249" s="17">
        <v>0</v>
      </c>
      <c r="J3249" s="17">
        <v>46</v>
      </c>
      <c r="K3249" s="10">
        <v>12446</v>
      </c>
      <c r="P3249" s="17">
        <v>1</v>
      </c>
      <c r="Q3249" s="19">
        <v>12446</v>
      </c>
      <c r="R3249" s="14">
        <v>200</v>
      </c>
      <c r="S3249" s="19">
        <v>2489200</v>
      </c>
      <c r="AJ3249" s="19">
        <v>0</v>
      </c>
      <c r="AK3249" s="23">
        <v>0</v>
      </c>
      <c r="AM3249" s="19">
        <v>0</v>
      </c>
      <c r="AN3249" s="19">
        <v>2489200</v>
      </c>
      <c r="AP3249" s="14">
        <v>2489200</v>
      </c>
      <c r="AQ3249" s="12">
        <v>1E-4</v>
      </c>
    </row>
    <row r="3250" spans="1:45" ht="63" x14ac:dyDescent="0.2">
      <c r="A3250" s="121">
        <f t="shared" si="458"/>
        <v>2765</v>
      </c>
      <c r="B3250" s="13">
        <v>1</v>
      </c>
      <c r="C3250" s="17" t="s">
        <v>52</v>
      </c>
      <c r="D3250" s="17">
        <v>1387</v>
      </c>
      <c r="E3250" s="17">
        <v>42</v>
      </c>
      <c r="F3250" s="17">
        <v>384</v>
      </c>
      <c r="G3250" s="13">
        <v>1</v>
      </c>
      <c r="H3250" s="17">
        <v>23</v>
      </c>
      <c r="I3250" s="17">
        <v>3</v>
      </c>
      <c r="J3250" s="17">
        <v>63</v>
      </c>
      <c r="K3250" s="10">
        <v>9482.3700000000008</v>
      </c>
      <c r="L3250" s="17">
        <v>41.25</v>
      </c>
      <c r="P3250" s="17">
        <v>2</v>
      </c>
      <c r="Q3250" s="19">
        <v>9563</v>
      </c>
      <c r="R3250" s="14">
        <v>750</v>
      </c>
      <c r="S3250" s="19">
        <v>7172250</v>
      </c>
      <c r="T3250" s="17">
        <v>1</v>
      </c>
      <c r="U3250" s="17" t="s">
        <v>57</v>
      </c>
      <c r="V3250" s="17" t="s">
        <v>56</v>
      </c>
      <c r="W3250" s="4">
        <v>165</v>
      </c>
      <c r="Y3250" s="4">
        <v>165</v>
      </c>
      <c r="AB3250" s="17">
        <v>31</v>
      </c>
      <c r="AJ3250" s="19">
        <v>0</v>
      </c>
      <c r="AK3250" s="23">
        <v>31</v>
      </c>
      <c r="AM3250" s="19">
        <v>0</v>
      </c>
      <c r="AN3250" s="19">
        <v>7172250</v>
      </c>
      <c r="AP3250" s="14">
        <v>7172250</v>
      </c>
      <c r="AS3250" s="26">
        <v>196</v>
      </c>
    </row>
    <row r="3251" spans="1:45" ht="63" x14ac:dyDescent="0.2">
      <c r="L3251" s="17">
        <v>22.5</v>
      </c>
      <c r="Q3251" s="19">
        <v>0</v>
      </c>
      <c r="T3251" s="17">
        <v>2</v>
      </c>
      <c r="U3251" s="17" t="s">
        <v>57</v>
      </c>
      <c r="V3251" s="17" t="s">
        <v>56</v>
      </c>
      <c r="W3251" s="4">
        <v>90</v>
      </c>
      <c r="Y3251" s="4">
        <v>90</v>
      </c>
      <c r="AB3251" s="17">
        <v>21</v>
      </c>
      <c r="AJ3251" s="19">
        <v>0</v>
      </c>
      <c r="AK3251" s="23">
        <v>21</v>
      </c>
      <c r="AM3251" s="19">
        <v>0</v>
      </c>
      <c r="AN3251" s="19">
        <v>0</v>
      </c>
      <c r="AP3251" s="14">
        <v>0</v>
      </c>
    </row>
    <row r="3252" spans="1:45" ht="63" x14ac:dyDescent="0.2">
      <c r="L3252" s="17">
        <v>16.88</v>
      </c>
      <c r="Q3252" s="19">
        <v>0</v>
      </c>
      <c r="T3252" s="17">
        <v>3</v>
      </c>
      <c r="U3252" s="17" t="s">
        <v>57</v>
      </c>
      <c r="V3252" s="17" t="s">
        <v>56</v>
      </c>
      <c r="W3252" s="4">
        <v>67.5</v>
      </c>
      <c r="Y3252" s="4">
        <v>67.5</v>
      </c>
      <c r="AB3252" s="17">
        <v>10</v>
      </c>
      <c r="AJ3252" s="19">
        <v>0</v>
      </c>
      <c r="AK3252" s="23">
        <v>10</v>
      </c>
      <c r="AM3252" s="19">
        <v>0</v>
      </c>
      <c r="AN3252" s="19">
        <v>0</v>
      </c>
      <c r="AP3252" s="14">
        <v>0</v>
      </c>
    </row>
    <row r="3253" spans="1:45" x14ac:dyDescent="0.2">
      <c r="A3253" s="2">
        <v>2766</v>
      </c>
      <c r="B3253" s="13">
        <v>1</v>
      </c>
      <c r="C3253" s="17" t="s">
        <v>52</v>
      </c>
      <c r="D3253" s="17">
        <v>1164</v>
      </c>
      <c r="E3253" s="17">
        <v>6</v>
      </c>
      <c r="F3253" s="17">
        <v>1002</v>
      </c>
      <c r="G3253" s="13">
        <v>1</v>
      </c>
      <c r="H3253" s="17">
        <v>12</v>
      </c>
      <c r="I3253" s="17">
        <v>1</v>
      </c>
      <c r="J3253" s="17">
        <v>64</v>
      </c>
      <c r="K3253" s="10">
        <v>4964</v>
      </c>
      <c r="P3253" s="17">
        <v>1</v>
      </c>
      <c r="Q3253" s="19">
        <v>4964</v>
      </c>
      <c r="R3253" s="14">
        <v>160</v>
      </c>
      <c r="S3253" s="19">
        <v>794240</v>
      </c>
      <c r="AJ3253" s="19">
        <v>0</v>
      </c>
      <c r="AK3253" s="23">
        <v>0</v>
      </c>
      <c r="AM3253" s="19">
        <v>0</v>
      </c>
      <c r="AN3253" s="19">
        <v>794240</v>
      </c>
      <c r="AP3253" s="14">
        <v>794240</v>
      </c>
    </row>
    <row r="3254" spans="1:45" ht="63" x14ac:dyDescent="0.2">
      <c r="A3254" s="2">
        <f>+A3253+1</f>
        <v>2767</v>
      </c>
      <c r="B3254" s="13">
        <v>2</v>
      </c>
      <c r="C3254" s="17" t="s">
        <v>52</v>
      </c>
      <c r="D3254" s="17">
        <v>1392</v>
      </c>
      <c r="E3254" s="17">
        <v>39</v>
      </c>
      <c r="F3254" s="17">
        <v>582</v>
      </c>
      <c r="G3254" s="13">
        <v>1</v>
      </c>
      <c r="H3254" s="17">
        <v>2</v>
      </c>
      <c r="I3254" s="17">
        <v>2</v>
      </c>
      <c r="J3254" s="17">
        <v>60</v>
      </c>
      <c r="K3254" s="10">
        <v>986.5</v>
      </c>
      <c r="L3254" s="17">
        <v>73.5</v>
      </c>
      <c r="P3254" s="17">
        <v>5</v>
      </c>
      <c r="Q3254" s="19">
        <v>1060</v>
      </c>
      <c r="R3254" s="14">
        <v>200</v>
      </c>
      <c r="S3254" s="19">
        <v>212000</v>
      </c>
      <c r="T3254" s="17">
        <v>1</v>
      </c>
      <c r="U3254" s="17" t="s">
        <v>57</v>
      </c>
      <c r="V3254" s="17" t="s">
        <v>84</v>
      </c>
      <c r="W3254" s="4">
        <v>294</v>
      </c>
      <c r="Y3254" s="4">
        <v>294</v>
      </c>
      <c r="AB3254" s="17">
        <v>30</v>
      </c>
      <c r="AJ3254" s="19">
        <v>0</v>
      </c>
      <c r="AK3254" s="23">
        <v>30</v>
      </c>
      <c r="AM3254" s="19">
        <v>0</v>
      </c>
      <c r="AN3254" s="19">
        <v>212000</v>
      </c>
      <c r="AP3254" s="14">
        <v>212000</v>
      </c>
    </row>
    <row r="3255" spans="1:45" x14ac:dyDescent="0.2">
      <c r="A3255" s="121">
        <f t="shared" ref="A3255:A3259" si="459">+A3254+1</f>
        <v>2768</v>
      </c>
      <c r="B3255" s="13">
        <v>3</v>
      </c>
      <c r="C3255" s="17" t="s">
        <v>52</v>
      </c>
      <c r="D3255" s="17">
        <v>33276</v>
      </c>
      <c r="E3255" s="17">
        <v>90</v>
      </c>
      <c r="F3255" s="17">
        <v>6684</v>
      </c>
      <c r="G3255" s="13">
        <v>1</v>
      </c>
      <c r="H3255" s="17">
        <v>0</v>
      </c>
      <c r="I3255" s="17">
        <v>1</v>
      </c>
      <c r="J3255" s="17">
        <v>79</v>
      </c>
      <c r="K3255" s="10">
        <v>179</v>
      </c>
      <c r="P3255" s="17">
        <v>1</v>
      </c>
      <c r="Q3255" s="19">
        <v>179</v>
      </c>
      <c r="R3255" s="14">
        <v>200</v>
      </c>
      <c r="S3255" s="19">
        <v>35800</v>
      </c>
      <c r="AJ3255" s="19">
        <v>0</v>
      </c>
      <c r="AK3255" s="23">
        <v>0</v>
      </c>
      <c r="AM3255" s="19">
        <v>0</v>
      </c>
      <c r="AN3255" s="19">
        <v>35800</v>
      </c>
      <c r="AP3255" s="14">
        <v>35800</v>
      </c>
    </row>
    <row r="3256" spans="1:45" x14ac:dyDescent="0.2">
      <c r="A3256" s="121">
        <f t="shared" si="459"/>
        <v>2769</v>
      </c>
      <c r="B3256" s="13">
        <v>4</v>
      </c>
      <c r="C3256" s="17" t="s">
        <v>52</v>
      </c>
      <c r="D3256" s="17">
        <v>3383</v>
      </c>
      <c r="E3256" s="17">
        <v>68</v>
      </c>
      <c r="F3256" s="17">
        <v>2169</v>
      </c>
      <c r="G3256" s="13">
        <v>2</v>
      </c>
      <c r="H3256" s="17">
        <v>0</v>
      </c>
      <c r="I3256" s="17">
        <v>1</v>
      </c>
      <c r="J3256" s="17">
        <v>17</v>
      </c>
      <c r="K3256" s="10">
        <v>117</v>
      </c>
      <c r="P3256" s="17">
        <v>1</v>
      </c>
      <c r="Q3256" s="19">
        <v>117</v>
      </c>
      <c r="R3256" s="14">
        <v>250</v>
      </c>
      <c r="S3256" s="19">
        <v>29250</v>
      </c>
      <c r="AJ3256" s="19">
        <v>0</v>
      </c>
      <c r="AK3256" s="23">
        <v>0</v>
      </c>
      <c r="AM3256" s="19">
        <v>0</v>
      </c>
      <c r="AN3256" s="19">
        <v>29250</v>
      </c>
      <c r="AP3256" s="14">
        <v>29250</v>
      </c>
    </row>
    <row r="3257" spans="1:45" x14ac:dyDescent="0.2">
      <c r="A3257" s="121">
        <f t="shared" si="459"/>
        <v>2770</v>
      </c>
      <c r="B3257" s="13">
        <v>1</v>
      </c>
      <c r="C3257" s="17" t="s">
        <v>52</v>
      </c>
      <c r="D3257" s="17">
        <v>34263</v>
      </c>
      <c r="E3257" s="17">
        <v>314</v>
      </c>
      <c r="F3257" s="17">
        <v>6805</v>
      </c>
      <c r="G3257" s="13">
        <v>1</v>
      </c>
      <c r="H3257" s="17">
        <v>0</v>
      </c>
      <c r="I3257" s="17">
        <v>0</v>
      </c>
      <c r="J3257" s="17">
        <v>73</v>
      </c>
      <c r="Q3257" s="19">
        <v>73</v>
      </c>
      <c r="R3257" s="14">
        <v>160</v>
      </c>
      <c r="S3257" s="19">
        <v>11680</v>
      </c>
      <c r="AJ3257" s="19">
        <v>0</v>
      </c>
      <c r="AK3257" s="23">
        <v>0</v>
      </c>
      <c r="AM3257" s="19">
        <v>0</v>
      </c>
      <c r="AN3257" s="19">
        <v>11680</v>
      </c>
      <c r="AP3257" s="14">
        <v>11680</v>
      </c>
    </row>
    <row r="3258" spans="1:45" ht="63" x14ac:dyDescent="0.2">
      <c r="A3258" s="121">
        <f t="shared" si="459"/>
        <v>2771</v>
      </c>
      <c r="B3258" s="13">
        <v>2</v>
      </c>
      <c r="C3258" s="17" t="s">
        <v>52</v>
      </c>
      <c r="D3258" s="17">
        <v>35383</v>
      </c>
      <c r="E3258" s="17">
        <v>316</v>
      </c>
      <c r="F3258" s="17">
        <v>6887</v>
      </c>
      <c r="G3258" s="13">
        <v>1</v>
      </c>
      <c r="H3258" s="17">
        <v>0</v>
      </c>
      <c r="I3258" s="17">
        <v>0</v>
      </c>
      <c r="J3258" s="17">
        <v>84</v>
      </c>
      <c r="L3258" s="17">
        <v>84</v>
      </c>
      <c r="P3258" s="17">
        <v>2</v>
      </c>
      <c r="Q3258" s="19">
        <v>84</v>
      </c>
      <c r="R3258" s="14">
        <v>250</v>
      </c>
      <c r="S3258" s="19">
        <v>21000</v>
      </c>
      <c r="T3258" s="17">
        <v>1</v>
      </c>
      <c r="U3258" s="17" t="s">
        <v>63</v>
      </c>
      <c r="V3258" s="17" t="s">
        <v>56</v>
      </c>
      <c r="W3258" s="4">
        <v>96</v>
      </c>
      <c r="Y3258" s="4">
        <v>96</v>
      </c>
      <c r="AB3258" s="17">
        <v>11</v>
      </c>
      <c r="AJ3258" s="19">
        <v>0</v>
      </c>
      <c r="AK3258" s="23">
        <v>11</v>
      </c>
      <c r="AM3258" s="19">
        <v>0</v>
      </c>
      <c r="AN3258" s="19">
        <v>21000</v>
      </c>
      <c r="AP3258" s="14">
        <v>21000</v>
      </c>
    </row>
    <row r="3259" spans="1:45" x14ac:dyDescent="0.2">
      <c r="A3259" s="121">
        <f t="shared" si="459"/>
        <v>2772</v>
      </c>
      <c r="B3259" s="13">
        <v>1</v>
      </c>
      <c r="C3259" s="17" t="s">
        <v>52</v>
      </c>
      <c r="D3259" s="17">
        <v>2424</v>
      </c>
      <c r="E3259" s="17">
        <v>66</v>
      </c>
      <c r="F3259" s="17">
        <v>425</v>
      </c>
      <c r="G3259" s="13">
        <v>2</v>
      </c>
      <c r="H3259" s="17">
        <v>0</v>
      </c>
      <c r="I3259" s="17">
        <v>1</v>
      </c>
      <c r="J3259" s="17">
        <v>7</v>
      </c>
      <c r="Q3259" s="19">
        <v>107</v>
      </c>
      <c r="R3259" s="14">
        <v>4500</v>
      </c>
      <c r="S3259" s="19">
        <v>481500</v>
      </c>
      <c r="AJ3259" s="19">
        <v>0</v>
      </c>
      <c r="AK3259" s="23">
        <v>0</v>
      </c>
      <c r="AM3259" s="19">
        <v>0</v>
      </c>
      <c r="AN3259" s="19">
        <v>481500</v>
      </c>
      <c r="AP3259" s="14">
        <v>481500</v>
      </c>
    </row>
    <row r="3260" spans="1:45" x14ac:dyDescent="0.2">
      <c r="B3260" s="13">
        <v>2</v>
      </c>
      <c r="C3260" s="17" t="s">
        <v>65</v>
      </c>
      <c r="D3260" s="17">
        <v>2686</v>
      </c>
      <c r="E3260" s="17">
        <v>337</v>
      </c>
      <c r="H3260" s="17">
        <v>0</v>
      </c>
      <c r="I3260" s="17">
        <v>0</v>
      </c>
      <c r="J3260" s="17">
        <v>61</v>
      </c>
      <c r="N3260" s="18">
        <v>61</v>
      </c>
      <c r="Q3260" s="19">
        <v>61</v>
      </c>
      <c r="R3260" s="14" t="e">
        <v>#N/A</v>
      </c>
      <c r="S3260" s="19" t="e">
        <v>#N/A</v>
      </c>
      <c r="AE3260" s="17" t="s">
        <v>95</v>
      </c>
      <c r="AJ3260" s="19">
        <v>0</v>
      </c>
      <c r="AK3260" s="23">
        <v>0</v>
      </c>
      <c r="AM3260" s="19">
        <v>0</v>
      </c>
      <c r="AN3260" s="19" t="e">
        <v>#N/A</v>
      </c>
      <c r="AP3260" s="14" t="e">
        <v>#N/A</v>
      </c>
      <c r="AQ3260" s="12">
        <v>3.0000000000000001E-3</v>
      </c>
    </row>
    <row r="3261" spans="1:45" x14ac:dyDescent="0.2">
      <c r="R3261" s="14" t="e">
        <v>#N/A</v>
      </c>
    </row>
    <row r="3262" spans="1:45" x14ac:dyDescent="0.2">
      <c r="A3262" s="2">
        <v>2773</v>
      </c>
      <c r="B3262" s="13">
        <v>1</v>
      </c>
      <c r="C3262" s="17" t="s">
        <v>52</v>
      </c>
      <c r="D3262" s="17">
        <v>31060</v>
      </c>
      <c r="E3262" s="17">
        <v>196</v>
      </c>
      <c r="F3262" s="17">
        <v>6010</v>
      </c>
      <c r="G3262" s="13">
        <v>2</v>
      </c>
      <c r="H3262" s="17">
        <v>4</v>
      </c>
      <c r="I3262" s="17">
        <v>3</v>
      </c>
      <c r="J3262" s="17">
        <v>66.05</v>
      </c>
      <c r="K3262" s="10">
        <v>1966.05</v>
      </c>
      <c r="P3262" s="17">
        <v>1</v>
      </c>
      <c r="Q3262" s="19">
        <v>1966.05</v>
      </c>
      <c r="R3262" s="14">
        <v>160</v>
      </c>
      <c r="S3262" s="19">
        <v>314568</v>
      </c>
      <c r="AJ3262" s="19">
        <v>0</v>
      </c>
      <c r="AK3262" s="23">
        <v>0</v>
      </c>
      <c r="AM3262" s="19">
        <v>0</v>
      </c>
      <c r="AN3262" s="19">
        <v>314568</v>
      </c>
      <c r="AP3262" s="14">
        <v>314568</v>
      </c>
      <c r="AS3262" s="26">
        <v>27</v>
      </c>
    </row>
    <row r="3263" spans="1:45" ht="63" x14ac:dyDescent="0.2">
      <c r="A3263" s="2">
        <f>+A3262+1</f>
        <v>2774</v>
      </c>
      <c r="B3263" s="13">
        <v>1</v>
      </c>
      <c r="C3263" s="17" t="s">
        <v>52</v>
      </c>
      <c r="D3263" s="17">
        <v>1037</v>
      </c>
      <c r="E3263" s="17">
        <v>38</v>
      </c>
      <c r="F3263" s="17">
        <v>395</v>
      </c>
      <c r="G3263" s="13">
        <v>1</v>
      </c>
      <c r="H3263" s="17">
        <v>20</v>
      </c>
      <c r="I3263" s="17">
        <v>2</v>
      </c>
      <c r="J3263" s="17">
        <v>96</v>
      </c>
      <c r="K3263" s="10">
        <v>8251</v>
      </c>
      <c r="L3263" s="17">
        <v>45</v>
      </c>
      <c r="P3263" s="17">
        <v>5</v>
      </c>
      <c r="Q3263" s="19">
        <v>8296</v>
      </c>
      <c r="R3263" s="14">
        <v>200</v>
      </c>
      <c r="S3263" s="19">
        <v>1659200</v>
      </c>
      <c r="T3263" s="17">
        <v>1</v>
      </c>
      <c r="U3263" s="17" t="s">
        <v>57</v>
      </c>
      <c r="V3263" s="17" t="s">
        <v>88</v>
      </c>
      <c r="W3263" s="4">
        <v>180</v>
      </c>
      <c r="Y3263" s="4">
        <v>180</v>
      </c>
      <c r="AB3263" s="17">
        <v>17</v>
      </c>
      <c r="AJ3263" s="19">
        <v>0</v>
      </c>
      <c r="AK3263" s="23">
        <v>17</v>
      </c>
      <c r="AM3263" s="19">
        <v>0</v>
      </c>
      <c r="AN3263" s="19">
        <v>1659200</v>
      </c>
      <c r="AP3263" s="14">
        <v>1659200</v>
      </c>
      <c r="AS3263" s="26">
        <v>6</v>
      </c>
    </row>
    <row r="3264" spans="1:45" x14ac:dyDescent="0.2">
      <c r="A3264" s="121">
        <f t="shared" ref="A3264:A3279" si="460">+A3263+1</f>
        <v>2775</v>
      </c>
      <c r="B3264" s="13">
        <v>2</v>
      </c>
      <c r="C3264" s="17" t="s">
        <v>52</v>
      </c>
      <c r="D3264" s="17">
        <v>1569</v>
      </c>
      <c r="E3264" s="17">
        <v>4</v>
      </c>
      <c r="F3264" s="17">
        <v>506</v>
      </c>
      <c r="G3264" s="13">
        <v>2</v>
      </c>
      <c r="H3264" s="17">
        <v>2</v>
      </c>
      <c r="I3264" s="17">
        <v>0</v>
      </c>
      <c r="J3264" s="17">
        <v>8</v>
      </c>
      <c r="K3264" s="10">
        <v>808</v>
      </c>
      <c r="P3264" s="17">
        <v>1</v>
      </c>
      <c r="Q3264" s="19">
        <v>808</v>
      </c>
      <c r="R3264" s="14">
        <v>160</v>
      </c>
      <c r="S3264" s="19">
        <v>129280</v>
      </c>
      <c r="AJ3264" s="19">
        <v>0</v>
      </c>
      <c r="AK3264" s="23">
        <v>0</v>
      </c>
      <c r="AM3264" s="19">
        <v>0</v>
      </c>
      <c r="AN3264" s="19">
        <v>129280</v>
      </c>
      <c r="AP3264" s="14">
        <v>129280</v>
      </c>
    </row>
    <row r="3265" spans="1:45" x14ac:dyDescent="0.2">
      <c r="A3265" s="121">
        <f t="shared" si="460"/>
        <v>2776</v>
      </c>
      <c r="B3265" s="13">
        <v>1</v>
      </c>
      <c r="C3265" s="17" t="s">
        <v>52</v>
      </c>
      <c r="D3265" s="17">
        <v>829</v>
      </c>
      <c r="E3265" s="17">
        <v>55</v>
      </c>
      <c r="F3265" s="17">
        <v>363</v>
      </c>
      <c r="G3265" s="13">
        <v>1</v>
      </c>
      <c r="H3265" s="17">
        <v>13</v>
      </c>
      <c r="I3265" s="17">
        <v>0</v>
      </c>
      <c r="J3265" s="17">
        <v>12</v>
      </c>
      <c r="K3265" s="10">
        <v>5212</v>
      </c>
      <c r="P3265" s="17">
        <v>1</v>
      </c>
      <c r="Q3265" s="19">
        <v>5212</v>
      </c>
      <c r="R3265" s="14">
        <v>200</v>
      </c>
      <c r="S3265" s="19">
        <v>1042400</v>
      </c>
      <c r="AJ3265" s="19">
        <v>0</v>
      </c>
      <c r="AK3265" s="23">
        <v>0</v>
      </c>
      <c r="AM3265" s="19">
        <v>0</v>
      </c>
      <c r="AN3265" s="19">
        <v>1042400</v>
      </c>
      <c r="AP3265" s="14">
        <v>1042400</v>
      </c>
    </row>
    <row r="3266" spans="1:45" ht="63" x14ac:dyDescent="0.2">
      <c r="A3266" s="121">
        <f t="shared" si="460"/>
        <v>2777</v>
      </c>
      <c r="B3266" s="13">
        <v>2</v>
      </c>
      <c r="C3266" s="17" t="s">
        <v>52</v>
      </c>
      <c r="D3266" s="17">
        <v>1396</v>
      </c>
      <c r="E3266" s="17">
        <v>32</v>
      </c>
      <c r="F3266" s="17">
        <v>586</v>
      </c>
      <c r="G3266" s="13">
        <v>1</v>
      </c>
      <c r="H3266" s="17">
        <v>8</v>
      </c>
      <c r="I3266" s="17">
        <v>0</v>
      </c>
      <c r="J3266" s="17">
        <v>64</v>
      </c>
      <c r="K3266" s="10">
        <v>3264</v>
      </c>
      <c r="P3266" s="17">
        <v>1</v>
      </c>
      <c r="Q3266" s="19">
        <v>3264</v>
      </c>
      <c r="R3266" s="14">
        <v>160</v>
      </c>
      <c r="S3266" s="19">
        <v>522240</v>
      </c>
      <c r="U3266" s="17" t="s">
        <v>57</v>
      </c>
      <c r="V3266" s="17" t="s">
        <v>56</v>
      </c>
      <c r="W3266" s="4">
        <v>100</v>
      </c>
      <c r="Y3266" s="4" t="s">
        <v>253</v>
      </c>
      <c r="AB3266" s="17">
        <v>10</v>
      </c>
      <c r="AJ3266" s="19">
        <v>0</v>
      </c>
      <c r="AK3266" s="23">
        <v>10</v>
      </c>
      <c r="AM3266" s="19">
        <v>0</v>
      </c>
      <c r="AN3266" s="19">
        <v>522240</v>
      </c>
      <c r="AP3266" s="14">
        <v>522240</v>
      </c>
    </row>
    <row r="3267" spans="1:45" x14ac:dyDescent="0.2">
      <c r="A3267" s="121">
        <f t="shared" si="460"/>
        <v>2778</v>
      </c>
      <c r="B3267" s="13">
        <v>3</v>
      </c>
      <c r="C3267" s="17" t="s">
        <v>52</v>
      </c>
      <c r="D3267" s="17">
        <v>31058</v>
      </c>
      <c r="E3267" s="17">
        <v>194</v>
      </c>
      <c r="F3267" s="17">
        <v>6008</v>
      </c>
      <c r="G3267" s="13">
        <v>2</v>
      </c>
      <c r="H3267" s="17">
        <v>6</v>
      </c>
      <c r="I3267" s="17">
        <v>0</v>
      </c>
      <c r="J3267" s="17">
        <v>50.01</v>
      </c>
      <c r="K3267" s="10">
        <v>650.01</v>
      </c>
      <c r="P3267" s="17">
        <v>1</v>
      </c>
      <c r="Q3267" s="19">
        <v>2450.0100000000002</v>
      </c>
      <c r="R3267" s="14">
        <v>160</v>
      </c>
      <c r="S3267" s="19">
        <v>392001.60000000003</v>
      </c>
      <c r="AJ3267" s="19">
        <v>0</v>
      </c>
      <c r="AK3267" s="23">
        <v>0</v>
      </c>
      <c r="AM3267" s="19">
        <v>0</v>
      </c>
      <c r="AN3267" s="19">
        <v>392001.60000000003</v>
      </c>
      <c r="AP3267" s="14">
        <v>392001.60000000003</v>
      </c>
    </row>
    <row r="3268" spans="1:45" ht="63" x14ac:dyDescent="0.2">
      <c r="A3268" s="121">
        <f t="shared" si="460"/>
        <v>2779</v>
      </c>
      <c r="B3268" s="13">
        <v>1</v>
      </c>
      <c r="C3268" s="17" t="s">
        <v>52</v>
      </c>
      <c r="D3268" s="17">
        <v>877</v>
      </c>
      <c r="E3268" s="17">
        <v>10</v>
      </c>
      <c r="F3268" s="17">
        <v>170</v>
      </c>
      <c r="G3268" s="13">
        <v>1</v>
      </c>
      <c r="H3268" s="17">
        <v>2</v>
      </c>
      <c r="I3268" s="17">
        <v>1</v>
      </c>
      <c r="J3268" s="17">
        <v>10</v>
      </c>
      <c r="K3268" s="10">
        <v>862.75</v>
      </c>
      <c r="L3268" s="17">
        <v>47.25</v>
      </c>
      <c r="P3268" s="17">
        <v>2</v>
      </c>
      <c r="Q3268" s="19">
        <v>910</v>
      </c>
      <c r="R3268" s="14">
        <v>200</v>
      </c>
      <c r="S3268" s="19">
        <v>182000</v>
      </c>
      <c r="T3268" s="17">
        <v>1</v>
      </c>
      <c r="U3268" s="17" t="s">
        <v>63</v>
      </c>
      <c r="V3268" s="17" t="s">
        <v>56</v>
      </c>
      <c r="W3268" s="4">
        <v>189</v>
      </c>
      <c r="Y3268" s="4">
        <v>189</v>
      </c>
      <c r="AB3268" s="17">
        <v>7</v>
      </c>
      <c r="AJ3268" s="19">
        <v>0</v>
      </c>
      <c r="AK3268" s="23">
        <v>7</v>
      </c>
      <c r="AM3268" s="19">
        <v>0</v>
      </c>
      <c r="AN3268" s="19">
        <v>182000</v>
      </c>
      <c r="AP3268" s="14">
        <v>182000</v>
      </c>
    </row>
    <row r="3269" spans="1:45" x14ac:dyDescent="0.2">
      <c r="A3269" s="121">
        <f t="shared" si="460"/>
        <v>2780</v>
      </c>
      <c r="B3269" s="13">
        <v>2</v>
      </c>
      <c r="C3269" s="17" t="s">
        <v>52</v>
      </c>
      <c r="D3269" s="17">
        <v>878</v>
      </c>
      <c r="E3269" s="17">
        <v>9</v>
      </c>
      <c r="F3269" s="17">
        <v>171</v>
      </c>
      <c r="G3269" s="13">
        <v>1</v>
      </c>
      <c r="H3269" s="17">
        <v>4</v>
      </c>
      <c r="I3269" s="17">
        <v>2</v>
      </c>
      <c r="J3269" s="17">
        <v>30</v>
      </c>
      <c r="K3269" s="10">
        <v>1830</v>
      </c>
      <c r="P3269" s="17">
        <v>1</v>
      </c>
      <c r="Q3269" s="19">
        <v>1830</v>
      </c>
      <c r="R3269" s="14">
        <v>200</v>
      </c>
      <c r="S3269" s="19">
        <v>366000</v>
      </c>
      <c r="AJ3269" s="19">
        <v>0</v>
      </c>
      <c r="AK3269" s="23">
        <v>0</v>
      </c>
      <c r="AM3269" s="19">
        <v>0</v>
      </c>
      <c r="AN3269" s="19">
        <v>366000</v>
      </c>
      <c r="AP3269" s="14">
        <v>366000</v>
      </c>
    </row>
    <row r="3270" spans="1:45" x14ac:dyDescent="0.2">
      <c r="A3270" s="121">
        <f t="shared" si="460"/>
        <v>2781</v>
      </c>
      <c r="B3270" s="13">
        <v>3</v>
      </c>
      <c r="C3270" s="17" t="s">
        <v>52</v>
      </c>
      <c r="D3270" s="17">
        <v>879</v>
      </c>
      <c r="E3270" s="17">
        <v>11</v>
      </c>
      <c r="F3270" s="17">
        <v>172</v>
      </c>
      <c r="G3270" s="13">
        <v>1</v>
      </c>
      <c r="H3270" s="17">
        <v>4</v>
      </c>
      <c r="I3270" s="17">
        <v>1</v>
      </c>
      <c r="J3270" s="17">
        <v>88</v>
      </c>
      <c r="K3270" s="10">
        <v>1788</v>
      </c>
      <c r="P3270" s="17">
        <v>1</v>
      </c>
      <c r="Q3270" s="19">
        <v>1788</v>
      </c>
      <c r="R3270" s="14">
        <v>200</v>
      </c>
      <c r="S3270" s="19">
        <v>357600</v>
      </c>
      <c r="AJ3270" s="19">
        <v>0</v>
      </c>
      <c r="AK3270" s="23">
        <v>0</v>
      </c>
      <c r="AM3270" s="19">
        <v>0</v>
      </c>
      <c r="AN3270" s="19">
        <v>357600</v>
      </c>
      <c r="AP3270" s="14">
        <v>357600</v>
      </c>
    </row>
    <row r="3271" spans="1:45" x14ac:dyDescent="0.2">
      <c r="A3271" s="121">
        <f t="shared" si="460"/>
        <v>2782</v>
      </c>
      <c r="B3271" s="13">
        <v>1</v>
      </c>
      <c r="C3271" s="17" t="s">
        <v>52</v>
      </c>
      <c r="D3271" s="17">
        <v>844</v>
      </c>
      <c r="E3271" s="17">
        <v>62</v>
      </c>
      <c r="F3271" s="17">
        <v>134</v>
      </c>
      <c r="G3271" s="13">
        <v>1</v>
      </c>
      <c r="H3271" s="17">
        <v>0</v>
      </c>
      <c r="I3271" s="17">
        <v>0</v>
      </c>
      <c r="J3271" s="17">
        <v>68</v>
      </c>
      <c r="L3271" s="17">
        <v>68</v>
      </c>
      <c r="P3271" s="17">
        <v>2</v>
      </c>
      <c r="Q3271" s="19">
        <v>68</v>
      </c>
      <c r="R3271" s="14">
        <v>250</v>
      </c>
      <c r="S3271" s="19">
        <v>17000</v>
      </c>
      <c r="AJ3271" s="19">
        <v>0</v>
      </c>
      <c r="AK3271" s="23">
        <v>0</v>
      </c>
      <c r="AM3271" s="19">
        <v>0</v>
      </c>
      <c r="AN3271" s="19">
        <v>17000</v>
      </c>
      <c r="AP3271" s="14">
        <v>17000</v>
      </c>
      <c r="AS3271" s="26">
        <v>32</v>
      </c>
    </row>
    <row r="3272" spans="1:45" x14ac:dyDescent="0.2">
      <c r="A3272" s="121">
        <f t="shared" si="460"/>
        <v>2783</v>
      </c>
      <c r="B3272" s="13">
        <v>2</v>
      </c>
      <c r="C3272" s="17" t="s">
        <v>52</v>
      </c>
      <c r="D3272" s="17">
        <v>29162</v>
      </c>
      <c r="E3272" s="17">
        <v>258</v>
      </c>
      <c r="F3272" s="17">
        <v>5357</v>
      </c>
      <c r="G3272" s="13">
        <v>1</v>
      </c>
      <c r="H3272" s="17">
        <v>0</v>
      </c>
      <c r="I3272" s="17">
        <v>0</v>
      </c>
      <c r="J3272" s="17">
        <v>66</v>
      </c>
      <c r="K3272" s="10">
        <v>66</v>
      </c>
      <c r="P3272" s="17">
        <v>1</v>
      </c>
      <c r="Q3272" s="19">
        <v>66</v>
      </c>
      <c r="R3272" s="14">
        <v>200</v>
      </c>
      <c r="S3272" s="19">
        <v>13200</v>
      </c>
      <c r="AJ3272" s="19">
        <v>0</v>
      </c>
      <c r="AK3272" s="23">
        <v>0</v>
      </c>
      <c r="AM3272" s="19">
        <v>0</v>
      </c>
      <c r="AN3272" s="19">
        <v>13200</v>
      </c>
      <c r="AP3272" s="14">
        <v>13200</v>
      </c>
    </row>
    <row r="3273" spans="1:45" x14ac:dyDescent="0.2">
      <c r="A3273" s="121">
        <f t="shared" si="460"/>
        <v>2784</v>
      </c>
      <c r="B3273" s="13">
        <v>3</v>
      </c>
      <c r="C3273" s="17" t="s">
        <v>52</v>
      </c>
      <c r="D3273" s="17">
        <v>1584</v>
      </c>
      <c r="E3273" s="17">
        <v>21</v>
      </c>
      <c r="F3273" s="17">
        <v>521</v>
      </c>
      <c r="G3273" s="13">
        <v>2</v>
      </c>
      <c r="H3273" s="17">
        <v>4</v>
      </c>
      <c r="I3273" s="17">
        <v>1</v>
      </c>
      <c r="J3273" s="17">
        <v>54</v>
      </c>
      <c r="K3273" s="10">
        <v>1754</v>
      </c>
      <c r="P3273" s="17">
        <v>1</v>
      </c>
      <c r="Q3273" s="19">
        <v>1754</v>
      </c>
      <c r="R3273" s="14">
        <v>160</v>
      </c>
      <c r="S3273" s="19">
        <v>280640</v>
      </c>
      <c r="AJ3273" s="19">
        <v>0</v>
      </c>
      <c r="AK3273" s="23">
        <v>0</v>
      </c>
      <c r="AM3273" s="19">
        <v>0</v>
      </c>
      <c r="AN3273" s="19">
        <v>280640</v>
      </c>
      <c r="AP3273" s="14">
        <v>280640</v>
      </c>
    </row>
    <row r="3274" spans="1:45" x14ac:dyDescent="0.2">
      <c r="A3274" s="121">
        <f t="shared" si="460"/>
        <v>2785</v>
      </c>
      <c r="B3274" s="13">
        <v>4</v>
      </c>
      <c r="C3274" s="17" t="s">
        <v>52</v>
      </c>
      <c r="D3274" s="17">
        <v>1592</v>
      </c>
      <c r="E3274" s="17">
        <v>30</v>
      </c>
      <c r="F3274" s="17">
        <v>529</v>
      </c>
      <c r="G3274" s="13">
        <v>2</v>
      </c>
      <c r="H3274" s="17">
        <v>6</v>
      </c>
      <c r="I3274" s="17">
        <v>1</v>
      </c>
      <c r="J3274" s="17">
        <v>72</v>
      </c>
      <c r="K3274" s="10">
        <v>2572</v>
      </c>
      <c r="P3274" s="17">
        <v>1</v>
      </c>
      <c r="Q3274" s="19">
        <v>2572</v>
      </c>
      <c r="R3274" s="14">
        <v>160</v>
      </c>
      <c r="S3274" s="19">
        <v>411520</v>
      </c>
      <c r="AJ3274" s="19">
        <v>0</v>
      </c>
      <c r="AK3274" s="23">
        <v>0</v>
      </c>
      <c r="AM3274" s="19">
        <v>0</v>
      </c>
      <c r="AN3274" s="19">
        <v>411520</v>
      </c>
      <c r="AP3274" s="14">
        <v>411520</v>
      </c>
    </row>
    <row r="3275" spans="1:45" x14ac:dyDescent="0.2">
      <c r="A3275" s="121">
        <f t="shared" si="460"/>
        <v>2786</v>
      </c>
      <c r="B3275" s="13">
        <v>1</v>
      </c>
      <c r="C3275" s="17" t="s">
        <v>52</v>
      </c>
      <c r="D3275" s="17">
        <v>1590</v>
      </c>
      <c r="E3275" s="17">
        <v>28</v>
      </c>
      <c r="F3275" s="17">
        <v>527</v>
      </c>
      <c r="G3275" s="13">
        <v>2</v>
      </c>
      <c r="H3275" s="17">
        <v>5</v>
      </c>
      <c r="I3275" s="17">
        <v>1</v>
      </c>
      <c r="J3275" s="17">
        <v>46</v>
      </c>
      <c r="K3275" s="10">
        <v>2146</v>
      </c>
      <c r="P3275" s="17">
        <v>1</v>
      </c>
      <c r="Q3275" s="19">
        <v>2146</v>
      </c>
      <c r="R3275" s="14">
        <v>200</v>
      </c>
      <c r="S3275" s="19">
        <v>429200</v>
      </c>
      <c r="AJ3275" s="19">
        <v>0</v>
      </c>
      <c r="AK3275" s="23">
        <v>0</v>
      </c>
      <c r="AM3275" s="19">
        <v>0</v>
      </c>
      <c r="AN3275" s="19">
        <v>429200</v>
      </c>
      <c r="AP3275" s="14">
        <v>429200</v>
      </c>
    </row>
    <row r="3276" spans="1:45" x14ac:dyDescent="0.2">
      <c r="A3276" s="121">
        <f t="shared" si="460"/>
        <v>2787</v>
      </c>
      <c r="B3276" s="13">
        <v>2</v>
      </c>
      <c r="C3276" s="17" t="s">
        <v>65</v>
      </c>
      <c r="D3276" s="17">
        <v>1115</v>
      </c>
      <c r="E3276" s="17">
        <v>24</v>
      </c>
      <c r="H3276" s="17">
        <v>10</v>
      </c>
      <c r="I3276" s="17">
        <v>3</v>
      </c>
      <c r="J3276" s="17">
        <v>60</v>
      </c>
      <c r="K3276" s="10">
        <v>4360</v>
      </c>
      <c r="P3276" s="17">
        <v>1</v>
      </c>
      <c r="Q3276" s="19">
        <v>4360</v>
      </c>
      <c r="R3276" s="14">
        <v>250</v>
      </c>
      <c r="S3276" s="19">
        <v>1090000</v>
      </c>
      <c r="AJ3276" s="19">
        <v>0</v>
      </c>
      <c r="AK3276" s="23">
        <v>0</v>
      </c>
      <c r="AM3276" s="19">
        <v>0</v>
      </c>
      <c r="AN3276" s="19">
        <v>1090000</v>
      </c>
      <c r="AP3276" s="14">
        <v>1090000</v>
      </c>
      <c r="AQ3276" s="12">
        <v>1E-4</v>
      </c>
    </row>
    <row r="3277" spans="1:45" x14ac:dyDescent="0.2">
      <c r="A3277" s="121">
        <f t="shared" si="460"/>
        <v>2788</v>
      </c>
      <c r="B3277" s="13">
        <v>3</v>
      </c>
      <c r="C3277" s="17" t="s">
        <v>65</v>
      </c>
      <c r="D3277" s="17">
        <v>1116</v>
      </c>
      <c r="E3277" s="17">
        <v>25</v>
      </c>
      <c r="H3277" s="17">
        <v>12</v>
      </c>
      <c r="I3277" s="17">
        <v>1</v>
      </c>
      <c r="J3277" s="17">
        <v>30</v>
      </c>
      <c r="K3277" s="10">
        <v>4930</v>
      </c>
      <c r="P3277" s="17">
        <v>1</v>
      </c>
      <c r="Q3277" s="19">
        <v>4930</v>
      </c>
      <c r="R3277" s="14">
        <v>250</v>
      </c>
      <c r="S3277" s="19">
        <v>1232500</v>
      </c>
      <c r="AJ3277" s="19">
        <v>0</v>
      </c>
      <c r="AK3277" s="23">
        <v>0</v>
      </c>
      <c r="AM3277" s="19">
        <v>0</v>
      </c>
      <c r="AN3277" s="19">
        <v>1232500</v>
      </c>
      <c r="AP3277" s="14">
        <v>1232500</v>
      </c>
      <c r="AQ3277" s="12">
        <v>1E-4</v>
      </c>
    </row>
    <row r="3278" spans="1:45" x14ac:dyDescent="0.2">
      <c r="A3278" s="121">
        <f t="shared" si="460"/>
        <v>2789</v>
      </c>
      <c r="B3278" s="13">
        <v>1</v>
      </c>
      <c r="C3278" s="17" t="s">
        <v>52</v>
      </c>
      <c r="D3278" s="17">
        <v>876</v>
      </c>
      <c r="E3278" s="17">
        <v>12</v>
      </c>
      <c r="F3278" s="17">
        <v>169</v>
      </c>
      <c r="G3278" s="13">
        <v>1</v>
      </c>
      <c r="H3278" s="17">
        <v>5</v>
      </c>
      <c r="I3278" s="17">
        <v>2</v>
      </c>
      <c r="J3278" s="17">
        <v>37</v>
      </c>
      <c r="K3278" s="10">
        <v>2237</v>
      </c>
      <c r="P3278" s="17">
        <v>1</v>
      </c>
      <c r="Q3278" s="19">
        <v>2237</v>
      </c>
      <c r="R3278" s="14">
        <v>200</v>
      </c>
      <c r="S3278" s="19">
        <v>447400</v>
      </c>
      <c r="AJ3278" s="19">
        <v>0</v>
      </c>
      <c r="AK3278" s="23">
        <v>0</v>
      </c>
      <c r="AM3278" s="19">
        <v>0</v>
      </c>
      <c r="AN3278" s="19">
        <v>447400</v>
      </c>
      <c r="AP3278" s="14">
        <v>447400</v>
      </c>
    </row>
    <row r="3279" spans="1:45" ht="63" x14ac:dyDescent="0.2">
      <c r="A3279" s="121">
        <f t="shared" si="460"/>
        <v>2790</v>
      </c>
      <c r="B3279" s="13">
        <v>2</v>
      </c>
      <c r="C3279" s="17" t="s">
        <v>52</v>
      </c>
      <c r="D3279" s="17">
        <v>36787</v>
      </c>
      <c r="E3279" s="17">
        <v>377</v>
      </c>
      <c r="F3279" s="17">
        <v>7106</v>
      </c>
      <c r="G3279" s="13">
        <v>1</v>
      </c>
      <c r="H3279" s="17">
        <v>0</v>
      </c>
      <c r="I3279" s="17">
        <v>1</v>
      </c>
      <c r="J3279" s="17">
        <v>65</v>
      </c>
      <c r="L3279" s="17">
        <v>165</v>
      </c>
      <c r="P3279" s="17">
        <v>2</v>
      </c>
      <c r="Q3279" s="19">
        <v>165</v>
      </c>
      <c r="R3279" s="14">
        <v>160</v>
      </c>
      <c r="S3279" s="19">
        <v>26400</v>
      </c>
      <c r="U3279" s="17" t="s">
        <v>57</v>
      </c>
      <c r="V3279" s="17" t="s">
        <v>56</v>
      </c>
      <c r="W3279" s="4">
        <v>150</v>
      </c>
      <c r="Y3279" s="4" t="s">
        <v>279</v>
      </c>
      <c r="AB3279" s="17">
        <v>10</v>
      </c>
      <c r="AJ3279" s="19">
        <v>0</v>
      </c>
      <c r="AK3279" s="23">
        <v>10</v>
      </c>
      <c r="AM3279" s="19">
        <v>0</v>
      </c>
      <c r="AN3279" s="19">
        <v>26400</v>
      </c>
      <c r="AP3279" s="14">
        <v>26400</v>
      </c>
    </row>
    <row r="3280" spans="1:45" ht="63" x14ac:dyDescent="0.2">
      <c r="Q3280" s="19">
        <v>0</v>
      </c>
      <c r="R3280" s="14" t="e">
        <v>#N/A</v>
      </c>
      <c r="U3280" s="17" t="s">
        <v>57</v>
      </c>
      <c r="V3280" s="17" t="s">
        <v>56</v>
      </c>
      <c r="W3280" s="4">
        <v>150</v>
      </c>
      <c r="Y3280" s="4" t="s">
        <v>279</v>
      </c>
      <c r="AB3280" s="17">
        <v>10</v>
      </c>
    </row>
    <row r="3281" spans="1:45" ht="63" x14ac:dyDescent="0.2">
      <c r="A3281" s="2">
        <v>2791</v>
      </c>
      <c r="B3281" s="13">
        <v>1</v>
      </c>
      <c r="C3281" s="17" t="s">
        <v>52</v>
      </c>
      <c r="D3281" s="17">
        <v>14031</v>
      </c>
      <c r="E3281" s="17">
        <v>152</v>
      </c>
      <c r="F3281" s="17">
        <v>3300</v>
      </c>
      <c r="G3281" s="13">
        <v>1</v>
      </c>
      <c r="H3281" s="17">
        <v>1</v>
      </c>
      <c r="I3281" s="17">
        <v>3</v>
      </c>
      <c r="J3281" s="17">
        <v>99</v>
      </c>
      <c r="L3281" s="17">
        <v>776.5</v>
      </c>
      <c r="P3281" s="17">
        <v>2</v>
      </c>
      <c r="Q3281" s="19">
        <v>799</v>
      </c>
      <c r="R3281" s="14">
        <v>200</v>
      </c>
      <c r="S3281" s="19">
        <v>159800</v>
      </c>
      <c r="T3281" s="17">
        <v>1</v>
      </c>
      <c r="U3281" s="17" t="s">
        <v>57</v>
      </c>
      <c r="V3281" s="17" t="s">
        <v>56</v>
      </c>
      <c r="W3281" s="4">
        <v>108</v>
      </c>
      <c r="Y3281" s="4">
        <v>108</v>
      </c>
      <c r="AB3281" s="17">
        <v>26</v>
      </c>
      <c r="AJ3281" s="19">
        <v>0</v>
      </c>
      <c r="AK3281" s="23">
        <v>26</v>
      </c>
      <c r="AM3281" s="19">
        <v>0</v>
      </c>
      <c r="AN3281" s="19">
        <v>159800</v>
      </c>
      <c r="AP3281" s="14">
        <v>159800</v>
      </c>
    </row>
    <row r="3282" spans="1:45" ht="63" x14ac:dyDescent="0.2">
      <c r="L3282" s="17">
        <v>22.5</v>
      </c>
      <c r="P3282" s="17">
        <v>2</v>
      </c>
      <c r="Q3282" s="19">
        <v>0</v>
      </c>
      <c r="R3282" s="14" t="e">
        <v>#N/A</v>
      </c>
      <c r="S3282" s="19" t="e">
        <v>#N/A</v>
      </c>
      <c r="T3282" s="17">
        <v>2</v>
      </c>
      <c r="U3282" s="17" t="s">
        <v>57</v>
      </c>
      <c r="V3282" s="17" t="s">
        <v>56</v>
      </c>
      <c r="W3282" s="4">
        <v>90</v>
      </c>
      <c r="Y3282" s="4">
        <v>90</v>
      </c>
      <c r="AB3282" s="17">
        <v>17</v>
      </c>
      <c r="AJ3282" s="19">
        <v>0</v>
      </c>
      <c r="AK3282" s="23">
        <v>17</v>
      </c>
      <c r="AM3282" s="19">
        <v>0</v>
      </c>
      <c r="AN3282" s="19" t="e">
        <v>#N/A</v>
      </c>
      <c r="AP3282" s="14" t="e">
        <v>#N/A</v>
      </c>
    </row>
    <row r="3283" spans="1:45" ht="63" x14ac:dyDescent="0.2">
      <c r="A3283" s="2">
        <v>2792</v>
      </c>
      <c r="B3283" s="13">
        <v>1</v>
      </c>
      <c r="C3283" s="17" t="s">
        <v>52</v>
      </c>
      <c r="D3283" s="17">
        <v>36786</v>
      </c>
      <c r="E3283" s="17">
        <v>376</v>
      </c>
      <c r="F3283" s="17">
        <v>7105</v>
      </c>
      <c r="G3283" s="13">
        <v>1</v>
      </c>
      <c r="H3283" s="17">
        <v>0</v>
      </c>
      <c r="I3283" s="17">
        <v>2</v>
      </c>
      <c r="J3283" s="17">
        <v>12</v>
      </c>
      <c r="Q3283" s="19">
        <v>212</v>
      </c>
      <c r="R3283" s="14">
        <v>160</v>
      </c>
      <c r="S3283" s="19">
        <v>33920</v>
      </c>
      <c r="U3283" s="17" t="s">
        <v>57</v>
      </c>
      <c r="V3283" s="17" t="s">
        <v>56</v>
      </c>
      <c r="W3283" s="4">
        <v>50</v>
      </c>
      <c r="Y3283" s="4" t="s">
        <v>280</v>
      </c>
      <c r="AB3283" s="17">
        <v>30</v>
      </c>
      <c r="AJ3283" s="19">
        <v>0</v>
      </c>
      <c r="AK3283" s="23">
        <v>30</v>
      </c>
      <c r="AM3283" s="19">
        <v>0</v>
      </c>
      <c r="AN3283" s="19">
        <v>33920</v>
      </c>
      <c r="AP3283" s="14">
        <v>33920</v>
      </c>
    </row>
    <row r="3284" spans="1:45" ht="63" x14ac:dyDescent="0.2">
      <c r="A3284" s="2">
        <f>+A3283+1</f>
        <v>2793</v>
      </c>
      <c r="B3284" s="13">
        <v>1</v>
      </c>
      <c r="C3284" s="17" t="s">
        <v>52</v>
      </c>
      <c r="D3284" s="17">
        <v>1395</v>
      </c>
      <c r="E3284" s="17">
        <v>34</v>
      </c>
      <c r="F3284" s="17">
        <v>585</v>
      </c>
      <c r="G3284" s="13">
        <v>1</v>
      </c>
      <c r="H3284" s="17">
        <v>3</v>
      </c>
      <c r="I3284" s="17">
        <v>3</v>
      </c>
      <c r="J3284" s="17">
        <v>81</v>
      </c>
      <c r="K3284" s="10">
        <v>1536</v>
      </c>
      <c r="L3284" s="17">
        <v>45</v>
      </c>
      <c r="P3284" s="17">
        <v>1</v>
      </c>
      <c r="Q3284" s="19">
        <v>1581</v>
      </c>
      <c r="R3284" s="14">
        <v>200</v>
      </c>
      <c r="S3284" s="19">
        <v>316200</v>
      </c>
      <c r="T3284" s="17">
        <v>1</v>
      </c>
      <c r="U3284" s="17" t="s">
        <v>57</v>
      </c>
      <c r="V3284" s="17" t="s">
        <v>56</v>
      </c>
      <c r="W3284" s="4">
        <v>180</v>
      </c>
      <c r="Y3284" s="4">
        <v>180</v>
      </c>
      <c r="AB3284" s="17">
        <v>40</v>
      </c>
      <c r="AE3284" s="17" t="s">
        <v>281</v>
      </c>
      <c r="AJ3284" s="19">
        <v>0</v>
      </c>
      <c r="AK3284" s="23">
        <v>40</v>
      </c>
      <c r="AM3284" s="19">
        <v>0</v>
      </c>
      <c r="AN3284" s="19">
        <v>316200</v>
      </c>
      <c r="AP3284" s="14">
        <v>316200</v>
      </c>
    </row>
    <row r="3285" spans="1:45" x14ac:dyDescent="0.2">
      <c r="B3285" s="13">
        <v>2</v>
      </c>
      <c r="C3285" s="17" t="s">
        <v>65</v>
      </c>
      <c r="D3285" s="17">
        <v>533</v>
      </c>
      <c r="E3285" s="17">
        <v>132</v>
      </c>
      <c r="H3285" s="17">
        <v>3</v>
      </c>
      <c r="I3285" s="17">
        <v>1</v>
      </c>
      <c r="J3285" s="17">
        <v>36</v>
      </c>
      <c r="K3285" s="10">
        <v>1336</v>
      </c>
      <c r="Q3285" s="19">
        <v>1336</v>
      </c>
      <c r="R3285" s="14" t="e">
        <v>#N/A</v>
      </c>
      <c r="S3285" s="19" t="e">
        <v>#N/A</v>
      </c>
      <c r="AE3285" s="17" t="s">
        <v>94</v>
      </c>
      <c r="AJ3285" s="19">
        <v>0</v>
      </c>
      <c r="AK3285" s="23">
        <v>0</v>
      </c>
      <c r="AM3285" s="19">
        <v>0</v>
      </c>
      <c r="AN3285" s="19" t="e">
        <v>#N/A</v>
      </c>
      <c r="AP3285" s="14" t="e">
        <v>#N/A</v>
      </c>
      <c r="AQ3285" s="12">
        <v>1E-4</v>
      </c>
    </row>
    <row r="3286" spans="1:45" x14ac:dyDescent="0.2">
      <c r="A3286" s="2">
        <v>2794</v>
      </c>
      <c r="B3286" s="13">
        <v>1</v>
      </c>
      <c r="C3286" s="17" t="s">
        <v>52</v>
      </c>
      <c r="D3286" s="17">
        <v>2733</v>
      </c>
      <c r="E3286" s="17">
        <v>6</v>
      </c>
      <c r="F3286" s="17">
        <v>1905</v>
      </c>
      <c r="G3286" s="13">
        <v>1</v>
      </c>
      <c r="H3286" s="17">
        <v>7</v>
      </c>
      <c r="I3286" s="17">
        <v>0</v>
      </c>
      <c r="J3286" s="17">
        <v>11</v>
      </c>
      <c r="K3286" s="10">
        <v>2811</v>
      </c>
      <c r="P3286" s="17">
        <v>1</v>
      </c>
      <c r="Q3286" s="19">
        <v>2811</v>
      </c>
      <c r="R3286" s="14">
        <v>160</v>
      </c>
      <c r="S3286" s="19">
        <v>449760</v>
      </c>
      <c r="AJ3286" s="19">
        <v>0</v>
      </c>
      <c r="AK3286" s="23">
        <v>0</v>
      </c>
      <c r="AM3286" s="19">
        <v>0</v>
      </c>
      <c r="AN3286" s="19">
        <v>449760</v>
      </c>
      <c r="AP3286" s="14">
        <v>449760</v>
      </c>
      <c r="AS3286" s="26">
        <v>21</v>
      </c>
    </row>
    <row r="3287" spans="1:45" x14ac:dyDescent="0.2">
      <c r="A3287" s="2">
        <f>+A3286+1</f>
        <v>2795</v>
      </c>
      <c r="B3287" s="13">
        <v>1</v>
      </c>
      <c r="C3287" s="17" t="s">
        <v>52</v>
      </c>
      <c r="D3287" s="17">
        <v>37687</v>
      </c>
      <c r="E3287" s="17">
        <v>339</v>
      </c>
      <c r="F3287" s="17">
        <v>7643</v>
      </c>
      <c r="G3287" s="13">
        <v>1</v>
      </c>
      <c r="H3287" s="17">
        <v>1</v>
      </c>
      <c r="I3287" s="17">
        <v>0</v>
      </c>
      <c r="J3287" s="17">
        <v>57.01</v>
      </c>
      <c r="L3287" s="17">
        <v>457.01</v>
      </c>
      <c r="P3287" s="17">
        <v>2</v>
      </c>
      <c r="Q3287" s="19">
        <v>457.01</v>
      </c>
      <c r="R3287" s="14">
        <v>160</v>
      </c>
      <c r="S3287" s="19">
        <v>73121.600000000006</v>
      </c>
      <c r="AJ3287" s="19">
        <v>0</v>
      </c>
      <c r="AK3287" s="23">
        <v>0</v>
      </c>
      <c r="AM3287" s="19">
        <v>0</v>
      </c>
      <c r="AN3287" s="19">
        <v>73121.600000000006</v>
      </c>
      <c r="AP3287" s="14">
        <v>73121.600000000006</v>
      </c>
    </row>
    <row r="3288" spans="1:45" x14ac:dyDescent="0.2">
      <c r="A3288" s="121">
        <f t="shared" ref="A3288:A3308" si="461">+A3287+1</f>
        <v>2796</v>
      </c>
      <c r="B3288" s="13">
        <v>2</v>
      </c>
      <c r="C3288" s="17" t="s">
        <v>52</v>
      </c>
      <c r="D3288" s="17">
        <v>37688</v>
      </c>
      <c r="E3288" s="17">
        <v>340</v>
      </c>
      <c r="F3288" s="17">
        <v>7644</v>
      </c>
      <c r="G3288" s="13">
        <v>1</v>
      </c>
      <c r="H3288" s="17">
        <v>0</v>
      </c>
      <c r="I3288" s="17">
        <v>0</v>
      </c>
      <c r="J3288" s="17">
        <v>74.010000000000005</v>
      </c>
      <c r="K3288" s="10">
        <v>74.010000000000005</v>
      </c>
      <c r="P3288" s="17">
        <v>1</v>
      </c>
      <c r="Q3288" s="19">
        <v>74.010000000000005</v>
      </c>
      <c r="R3288" s="14">
        <v>160</v>
      </c>
      <c r="S3288" s="19">
        <v>11841.6</v>
      </c>
      <c r="AJ3288" s="19">
        <v>0</v>
      </c>
      <c r="AK3288" s="23">
        <v>0</v>
      </c>
      <c r="AM3288" s="19">
        <v>0</v>
      </c>
      <c r="AN3288" s="19">
        <v>11841.6</v>
      </c>
      <c r="AP3288" s="14">
        <v>11841.6</v>
      </c>
    </row>
    <row r="3289" spans="1:45" x14ac:dyDescent="0.2">
      <c r="A3289" s="121">
        <f t="shared" si="461"/>
        <v>2797</v>
      </c>
      <c r="B3289" s="13">
        <v>3</v>
      </c>
      <c r="C3289" s="17" t="s">
        <v>52</v>
      </c>
      <c r="D3289" s="17">
        <v>37689</v>
      </c>
      <c r="E3289" s="17">
        <v>341</v>
      </c>
      <c r="F3289" s="17">
        <v>7645</v>
      </c>
      <c r="G3289" s="13">
        <v>1</v>
      </c>
      <c r="H3289" s="17">
        <v>0</v>
      </c>
      <c r="I3289" s="17">
        <v>0</v>
      </c>
      <c r="J3289" s="17">
        <v>73.08</v>
      </c>
      <c r="K3289" s="10">
        <v>73.08</v>
      </c>
      <c r="P3289" s="17">
        <v>1</v>
      </c>
      <c r="Q3289" s="19">
        <v>73.08</v>
      </c>
      <c r="R3289" s="14">
        <v>160</v>
      </c>
      <c r="S3289" s="19">
        <v>11692.8</v>
      </c>
      <c r="AJ3289" s="19">
        <v>0</v>
      </c>
      <c r="AK3289" s="23">
        <v>0</v>
      </c>
      <c r="AM3289" s="19">
        <v>0</v>
      </c>
      <c r="AN3289" s="19">
        <v>11692.8</v>
      </c>
      <c r="AP3289" s="14">
        <v>11692.8</v>
      </c>
    </row>
    <row r="3290" spans="1:45" x14ac:dyDescent="0.2">
      <c r="A3290" s="121">
        <f t="shared" si="461"/>
        <v>2798</v>
      </c>
      <c r="B3290" s="13">
        <v>4</v>
      </c>
      <c r="C3290" s="17" t="s">
        <v>52</v>
      </c>
      <c r="D3290" s="17">
        <v>37690</v>
      </c>
      <c r="E3290" s="17">
        <v>342</v>
      </c>
      <c r="F3290" s="17">
        <v>7646</v>
      </c>
      <c r="G3290" s="13">
        <v>1</v>
      </c>
      <c r="H3290" s="17">
        <v>0</v>
      </c>
      <c r="I3290" s="17">
        <v>0</v>
      </c>
      <c r="J3290" s="17">
        <v>73.06</v>
      </c>
      <c r="K3290" s="10">
        <v>73.06</v>
      </c>
      <c r="P3290" s="17">
        <v>1</v>
      </c>
      <c r="Q3290" s="19">
        <v>73.06</v>
      </c>
      <c r="R3290" s="14">
        <v>160</v>
      </c>
      <c r="S3290" s="19">
        <v>11689.6</v>
      </c>
      <c r="AJ3290" s="19">
        <v>0</v>
      </c>
      <c r="AK3290" s="23">
        <v>0</v>
      </c>
      <c r="AM3290" s="19">
        <v>0</v>
      </c>
      <c r="AN3290" s="19">
        <v>11689.6</v>
      </c>
      <c r="AP3290" s="14">
        <v>11689.6</v>
      </c>
    </row>
    <row r="3291" spans="1:45" x14ac:dyDescent="0.2">
      <c r="A3291" s="121">
        <f t="shared" si="461"/>
        <v>2799</v>
      </c>
      <c r="B3291" s="13">
        <v>5</v>
      </c>
      <c r="C3291" s="17" t="s">
        <v>52</v>
      </c>
      <c r="D3291" s="17">
        <v>37691</v>
      </c>
      <c r="E3291" s="17">
        <v>343</v>
      </c>
      <c r="F3291" s="17">
        <v>7647</v>
      </c>
      <c r="G3291" s="13">
        <v>1</v>
      </c>
      <c r="H3291" s="17">
        <v>0</v>
      </c>
      <c r="I3291" s="17">
        <v>0</v>
      </c>
      <c r="J3291" s="17">
        <v>73.03</v>
      </c>
      <c r="K3291" s="10">
        <v>73.03</v>
      </c>
      <c r="P3291" s="17">
        <v>1</v>
      </c>
      <c r="Q3291" s="19">
        <v>73.03</v>
      </c>
      <c r="R3291" s="14">
        <v>160</v>
      </c>
      <c r="S3291" s="19">
        <v>11684.8</v>
      </c>
      <c r="AJ3291" s="19">
        <v>0</v>
      </c>
      <c r="AK3291" s="23">
        <v>0</v>
      </c>
      <c r="AM3291" s="19">
        <v>0</v>
      </c>
      <c r="AN3291" s="19">
        <v>11684.8</v>
      </c>
      <c r="AP3291" s="14">
        <v>11684.8</v>
      </c>
    </row>
    <row r="3292" spans="1:45" x14ac:dyDescent="0.2">
      <c r="A3292" s="121">
        <f t="shared" si="461"/>
        <v>2800</v>
      </c>
      <c r="B3292" s="13">
        <v>6</v>
      </c>
      <c r="C3292" s="17" t="s">
        <v>52</v>
      </c>
      <c r="D3292" s="17">
        <v>37692</v>
      </c>
      <c r="E3292" s="17">
        <v>344</v>
      </c>
      <c r="F3292" s="17">
        <v>7648</v>
      </c>
      <c r="G3292" s="13">
        <v>1</v>
      </c>
      <c r="H3292" s="17">
        <v>0</v>
      </c>
      <c r="I3292" s="17">
        <v>0</v>
      </c>
      <c r="J3292" s="17">
        <v>73.010000000000005</v>
      </c>
      <c r="K3292" s="10">
        <v>73.010000000000005</v>
      </c>
      <c r="P3292" s="17">
        <v>1</v>
      </c>
      <c r="Q3292" s="19">
        <v>73.010000000000005</v>
      </c>
      <c r="R3292" s="14">
        <v>160</v>
      </c>
      <c r="S3292" s="19">
        <v>11681.6</v>
      </c>
      <c r="AJ3292" s="19">
        <v>0</v>
      </c>
      <c r="AK3292" s="23">
        <v>0</v>
      </c>
      <c r="AM3292" s="19">
        <v>0</v>
      </c>
      <c r="AN3292" s="19">
        <v>11681.6</v>
      </c>
      <c r="AP3292" s="14">
        <v>11681.6</v>
      </c>
    </row>
    <row r="3293" spans="1:45" ht="63" x14ac:dyDescent="0.2">
      <c r="A3293" s="121">
        <f t="shared" si="461"/>
        <v>2801</v>
      </c>
      <c r="B3293" s="13">
        <v>1</v>
      </c>
      <c r="C3293" s="17" t="s">
        <v>52</v>
      </c>
      <c r="D3293" s="17">
        <v>1038</v>
      </c>
      <c r="E3293" s="17">
        <v>35</v>
      </c>
      <c r="F3293" s="17">
        <v>396</v>
      </c>
      <c r="G3293" s="13">
        <v>1</v>
      </c>
      <c r="H3293" s="17">
        <v>5</v>
      </c>
      <c r="I3293" s="17">
        <v>0</v>
      </c>
      <c r="J3293" s="17">
        <v>30</v>
      </c>
      <c r="K3293" s="10">
        <v>1984.87</v>
      </c>
      <c r="L3293" s="17">
        <v>45.13</v>
      </c>
      <c r="P3293" s="17">
        <v>2</v>
      </c>
      <c r="Q3293" s="19">
        <v>2030</v>
      </c>
      <c r="R3293" s="14">
        <v>200</v>
      </c>
      <c r="S3293" s="19">
        <v>406000</v>
      </c>
      <c r="T3293" s="17">
        <v>1</v>
      </c>
      <c r="U3293" s="17" t="s">
        <v>57</v>
      </c>
      <c r="V3293" s="17" t="s">
        <v>56</v>
      </c>
      <c r="W3293" s="4">
        <v>180.5</v>
      </c>
      <c r="Y3293" s="4">
        <v>180.5</v>
      </c>
      <c r="AB3293" s="17">
        <v>7</v>
      </c>
      <c r="AJ3293" s="19">
        <v>0</v>
      </c>
      <c r="AK3293" s="23">
        <v>7</v>
      </c>
      <c r="AM3293" s="19">
        <v>0</v>
      </c>
      <c r="AN3293" s="19">
        <v>406000</v>
      </c>
      <c r="AP3293" s="14">
        <v>406000</v>
      </c>
      <c r="AS3293" s="26">
        <v>62</v>
      </c>
    </row>
    <row r="3294" spans="1:45" x14ac:dyDescent="0.2">
      <c r="A3294" s="121">
        <f t="shared" si="461"/>
        <v>2802</v>
      </c>
      <c r="B3294" s="13">
        <v>2</v>
      </c>
      <c r="C3294" s="17" t="s">
        <v>52</v>
      </c>
      <c r="D3294" s="17">
        <v>1039</v>
      </c>
      <c r="E3294" s="17">
        <v>36</v>
      </c>
      <c r="F3294" s="17">
        <v>397</v>
      </c>
      <c r="G3294" s="13">
        <v>1</v>
      </c>
      <c r="H3294" s="17">
        <v>5</v>
      </c>
      <c r="I3294" s="17">
        <v>3</v>
      </c>
      <c r="J3294" s="17">
        <v>66.010000000000005</v>
      </c>
      <c r="K3294" s="10">
        <v>2366.0100000000002</v>
      </c>
      <c r="P3294" s="17">
        <v>1</v>
      </c>
      <c r="Q3294" s="19">
        <v>2366.0100000000002</v>
      </c>
      <c r="R3294" s="14">
        <v>200</v>
      </c>
      <c r="S3294" s="19">
        <v>473202.00000000006</v>
      </c>
      <c r="AJ3294" s="19">
        <v>0</v>
      </c>
      <c r="AK3294" s="23">
        <v>0</v>
      </c>
      <c r="AM3294" s="19">
        <v>0</v>
      </c>
      <c r="AN3294" s="19">
        <v>473202.00000000006</v>
      </c>
      <c r="AP3294" s="14">
        <v>473202.00000000006</v>
      </c>
    </row>
    <row r="3295" spans="1:45" x14ac:dyDescent="0.2">
      <c r="A3295" s="121">
        <f t="shared" si="461"/>
        <v>2803</v>
      </c>
      <c r="B3295" s="13">
        <v>3</v>
      </c>
      <c r="C3295" s="17" t="s">
        <v>52</v>
      </c>
      <c r="D3295" s="17">
        <v>35430</v>
      </c>
      <c r="E3295" s="17">
        <v>325</v>
      </c>
      <c r="F3295" s="17">
        <v>7039</v>
      </c>
      <c r="G3295" s="13">
        <v>1</v>
      </c>
      <c r="H3295" s="17">
        <v>0</v>
      </c>
      <c r="I3295" s="17">
        <v>0</v>
      </c>
      <c r="J3295" s="17">
        <v>45</v>
      </c>
      <c r="N3295" s="18">
        <v>45</v>
      </c>
      <c r="P3295" s="17">
        <v>4</v>
      </c>
      <c r="Q3295" s="19">
        <v>45</v>
      </c>
      <c r="R3295" s="14">
        <v>160</v>
      </c>
      <c r="S3295" s="19">
        <v>7200</v>
      </c>
      <c r="AJ3295" s="19">
        <v>0</v>
      </c>
      <c r="AK3295" s="23">
        <v>0</v>
      </c>
      <c r="AM3295" s="19">
        <v>0</v>
      </c>
      <c r="AN3295" s="19">
        <v>7200</v>
      </c>
      <c r="AP3295" s="14">
        <v>7200</v>
      </c>
      <c r="AQ3295" s="12">
        <v>3.0000000000000001E-3</v>
      </c>
    </row>
    <row r="3296" spans="1:45" x14ac:dyDescent="0.2">
      <c r="A3296" s="121">
        <f t="shared" si="461"/>
        <v>2804</v>
      </c>
      <c r="B3296" s="13">
        <v>4</v>
      </c>
      <c r="C3296" s="17" t="s">
        <v>52</v>
      </c>
      <c r="D3296" s="17">
        <v>35431</v>
      </c>
      <c r="E3296" s="17">
        <v>326</v>
      </c>
      <c r="F3296" s="17">
        <v>7040</v>
      </c>
      <c r="G3296" s="13">
        <v>1</v>
      </c>
      <c r="H3296" s="17">
        <v>0</v>
      </c>
      <c r="I3296" s="17">
        <v>0</v>
      </c>
      <c r="J3296" s="17">
        <v>45</v>
      </c>
      <c r="N3296" s="18">
        <v>45</v>
      </c>
      <c r="P3296" s="17">
        <v>4</v>
      </c>
      <c r="Q3296" s="19">
        <v>45</v>
      </c>
      <c r="R3296" s="14">
        <v>160</v>
      </c>
      <c r="S3296" s="19">
        <v>7200</v>
      </c>
      <c r="AJ3296" s="19">
        <v>0</v>
      </c>
      <c r="AK3296" s="23">
        <v>0</v>
      </c>
      <c r="AM3296" s="19">
        <v>0</v>
      </c>
      <c r="AN3296" s="19">
        <v>7200</v>
      </c>
      <c r="AP3296" s="14">
        <v>7200</v>
      </c>
      <c r="AQ3296" s="12">
        <v>3.0000000000000001E-3</v>
      </c>
    </row>
    <row r="3297" spans="1:45" s="19" customFormat="1" ht="63" x14ac:dyDescent="0.2">
      <c r="A3297" s="121">
        <f t="shared" si="461"/>
        <v>2805</v>
      </c>
      <c r="B3297" s="13">
        <v>1</v>
      </c>
      <c r="C3297" s="17" t="s">
        <v>52</v>
      </c>
      <c r="D3297" s="17">
        <v>1040</v>
      </c>
      <c r="E3297" s="17">
        <v>37</v>
      </c>
      <c r="F3297" s="17">
        <v>398</v>
      </c>
      <c r="G3297" s="13">
        <v>1</v>
      </c>
      <c r="H3297" s="17">
        <v>7</v>
      </c>
      <c r="I3297" s="17">
        <v>1</v>
      </c>
      <c r="J3297" s="17">
        <v>45</v>
      </c>
      <c r="K3297" s="10">
        <v>2945</v>
      </c>
      <c r="L3297" s="17"/>
      <c r="M3297" s="15"/>
      <c r="N3297" s="18"/>
      <c r="O3297" s="14"/>
      <c r="P3297" s="17">
        <v>1</v>
      </c>
      <c r="Q3297" s="19">
        <v>2945</v>
      </c>
      <c r="R3297" s="14">
        <v>200</v>
      </c>
      <c r="S3297" s="19">
        <v>589000</v>
      </c>
      <c r="T3297" s="17"/>
      <c r="U3297" s="17" t="s">
        <v>57</v>
      </c>
      <c r="V3297" s="17" t="s">
        <v>56</v>
      </c>
      <c r="W3297" s="4">
        <v>120</v>
      </c>
      <c r="X3297" s="17"/>
      <c r="Y3297" s="4" t="s">
        <v>282</v>
      </c>
      <c r="Z3297" s="17"/>
      <c r="AA3297" s="17"/>
      <c r="AB3297" s="17">
        <v>30</v>
      </c>
      <c r="AC3297" s="14"/>
      <c r="AD3297" s="14"/>
      <c r="AE3297" s="17"/>
      <c r="AF3297" s="14"/>
      <c r="AG3297" s="54"/>
      <c r="AH3297" s="11"/>
      <c r="AI3297" s="14"/>
      <c r="AJ3297" s="19">
        <v>0</v>
      </c>
      <c r="AK3297" s="23">
        <v>30</v>
      </c>
      <c r="AL3297" s="11"/>
      <c r="AM3297" s="19">
        <v>0</v>
      </c>
      <c r="AN3297" s="19">
        <v>589000</v>
      </c>
      <c r="AO3297" s="14"/>
      <c r="AP3297" s="14">
        <v>589000</v>
      </c>
      <c r="AQ3297" s="12"/>
      <c r="AS3297" s="26"/>
    </row>
    <row r="3298" spans="1:45" s="19" customFormat="1" x14ac:dyDescent="0.2">
      <c r="A3298" s="121">
        <f t="shared" si="461"/>
        <v>2806</v>
      </c>
      <c r="B3298" s="13">
        <v>2</v>
      </c>
      <c r="C3298" s="17" t="s">
        <v>69</v>
      </c>
      <c r="D3298" s="17"/>
      <c r="E3298" s="17">
        <v>2328</v>
      </c>
      <c r="F3298" s="17">
        <v>1</v>
      </c>
      <c r="G3298" s="13">
        <v>2</v>
      </c>
      <c r="H3298" s="17">
        <v>6</v>
      </c>
      <c r="I3298" s="17">
        <v>2</v>
      </c>
      <c r="J3298" s="17">
        <v>84</v>
      </c>
      <c r="K3298" s="10">
        <v>2684</v>
      </c>
      <c r="L3298" s="17"/>
      <c r="M3298" s="15"/>
      <c r="N3298" s="18"/>
      <c r="O3298" s="14"/>
      <c r="P3298" s="17">
        <v>1</v>
      </c>
      <c r="Q3298" s="19">
        <v>2684</v>
      </c>
      <c r="R3298" s="14">
        <v>160</v>
      </c>
      <c r="S3298" s="19">
        <v>429440</v>
      </c>
      <c r="T3298" s="17"/>
      <c r="U3298" s="17"/>
      <c r="V3298" s="17"/>
      <c r="W3298" s="4"/>
      <c r="X3298" s="17"/>
      <c r="Y3298" s="4"/>
      <c r="Z3298" s="17"/>
      <c r="AA3298" s="17"/>
      <c r="AB3298" s="17"/>
      <c r="AC3298" s="14"/>
      <c r="AD3298" s="14"/>
      <c r="AE3298" s="17"/>
      <c r="AF3298" s="14"/>
      <c r="AG3298" s="54"/>
      <c r="AH3298" s="11"/>
      <c r="AI3298" s="14"/>
      <c r="AJ3298" s="19">
        <v>0</v>
      </c>
      <c r="AK3298" s="23">
        <v>0</v>
      </c>
      <c r="AL3298" s="11"/>
      <c r="AM3298" s="19">
        <v>0</v>
      </c>
      <c r="AN3298" s="19">
        <v>429440</v>
      </c>
      <c r="AO3298" s="14"/>
      <c r="AP3298" s="14">
        <v>429440</v>
      </c>
      <c r="AQ3298" s="12">
        <v>1E-4</v>
      </c>
      <c r="AS3298" s="26"/>
    </row>
    <row r="3299" spans="1:45" s="19" customFormat="1" x14ac:dyDescent="0.2">
      <c r="A3299" s="121">
        <f t="shared" si="461"/>
        <v>2807</v>
      </c>
      <c r="B3299" s="13">
        <v>1</v>
      </c>
      <c r="C3299" s="17" t="s">
        <v>52</v>
      </c>
      <c r="D3299" s="17">
        <v>29156</v>
      </c>
      <c r="E3299" s="17">
        <v>252</v>
      </c>
      <c r="F3299" s="17">
        <v>5351</v>
      </c>
      <c r="G3299" s="13">
        <v>1</v>
      </c>
      <c r="H3299" s="17">
        <v>0</v>
      </c>
      <c r="I3299" s="17">
        <v>0</v>
      </c>
      <c r="J3299" s="17">
        <v>48</v>
      </c>
      <c r="K3299" s="10"/>
      <c r="L3299" s="17"/>
      <c r="M3299" s="15"/>
      <c r="N3299" s="18">
        <v>48</v>
      </c>
      <c r="O3299" s="14"/>
      <c r="P3299" s="17">
        <v>4</v>
      </c>
      <c r="Q3299" s="19">
        <v>48</v>
      </c>
      <c r="R3299" s="14">
        <v>250</v>
      </c>
      <c r="S3299" s="19">
        <v>12000</v>
      </c>
      <c r="T3299" s="17"/>
      <c r="U3299" s="17"/>
      <c r="V3299" s="17"/>
      <c r="W3299" s="4"/>
      <c r="X3299" s="17"/>
      <c r="Y3299" s="4"/>
      <c r="Z3299" s="17"/>
      <c r="AA3299" s="17"/>
      <c r="AB3299" s="17"/>
      <c r="AC3299" s="14"/>
      <c r="AD3299" s="14"/>
      <c r="AE3299" s="17"/>
      <c r="AF3299" s="14"/>
      <c r="AG3299" s="54"/>
      <c r="AH3299" s="11"/>
      <c r="AI3299" s="14"/>
      <c r="AJ3299" s="19">
        <v>0</v>
      </c>
      <c r="AK3299" s="23">
        <v>0</v>
      </c>
      <c r="AL3299" s="11"/>
      <c r="AM3299" s="19">
        <v>0</v>
      </c>
      <c r="AN3299" s="19">
        <v>12000</v>
      </c>
      <c r="AO3299" s="14"/>
      <c r="AP3299" s="14">
        <v>12000</v>
      </c>
      <c r="AQ3299" s="12"/>
      <c r="AS3299" s="26"/>
    </row>
    <row r="3300" spans="1:45" s="19" customFormat="1" x14ac:dyDescent="0.2">
      <c r="A3300" s="121">
        <f t="shared" si="461"/>
        <v>2808</v>
      </c>
      <c r="B3300" s="13">
        <v>2</v>
      </c>
      <c r="C3300" s="17" t="s">
        <v>52</v>
      </c>
      <c r="D3300" s="17">
        <v>29160</v>
      </c>
      <c r="E3300" s="17">
        <v>256</v>
      </c>
      <c r="F3300" s="17">
        <v>5355</v>
      </c>
      <c r="G3300" s="13">
        <v>1</v>
      </c>
      <c r="H3300" s="17">
        <v>2</v>
      </c>
      <c r="I3300" s="17">
        <v>1</v>
      </c>
      <c r="J3300" s="17">
        <v>5</v>
      </c>
      <c r="K3300" s="10">
        <v>905</v>
      </c>
      <c r="L3300" s="17"/>
      <c r="M3300" s="15"/>
      <c r="N3300" s="18"/>
      <c r="O3300" s="14"/>
      <c r="P3300" s="17">
        <v>1</v>
      </c>
      <c r="Q3300" s="19">
        <v>905</v>
      </c>
      <c r="R3300" s="14">
        <v>200</v>
      </c>
      <c r="S3300" s="19">
        <v>181000</v>
      </c>
      <c r="T3300" s="17"/>
      <c r="U3300" s="17"/>
      <c r="V3300" s="17"/>
      <c r="W3300" s="4"/>
      <c r="X3300" s="17"/>
      <c r="Y3300" s="4"/>
      <c r="Z3300" s="17"/>
      <c r="AA3300" s="17"/>
      <c r="AB3300" s="17"/>
      <c r="AC3300" s="14"/>
      <c r="AD3300" s="14"/>
      <c r="AE3300" s="17"/>
      <c r="AF3300" s="14"/>
      <c r="AG3300" s="54"/>
      <c r="AH3300" s="11"/>
      <c r="AI3300" s="14"/>
      <c r="AJ3300" s="19">
        <v>0</v>
      </c>
      <c r="AK3300" s="23">
        <v>0</v>
      </c>
      <c r="AL3300" s="11"/>
      <c r="AM3300" s="19">
        <v>0</v>
      </c>
      <c r="AN3300" s="19">
        <v>181000</v>
      </c>
      <c r="AO3300" s="14"/>
      <c r="AP3300" s="14">
        <v>181000</v>
      </c>
      <c r="AQ3300" s="12"/>
      <c r="AS3300" s="26"/>
    </row>
    <row r="3301" spans="1:45" s="19" customFormat="1" x14ac:dyDescent="0.2">
      <c r="A3301" s="121">
        <f t="shared" si="461"/>
        <v>2809</v>
      </c>
      <c r="B3301" s="13">
        <v>1</v>
      </c>
      <c r="C3301" s="17" t="s">
        <v>52</v>
      </c>
      <c r="D3301" s="17">
        <v>916</v>
      </c>
      <c r="E3301" s="17">
        <v>21</v>
      </c>
      <c r="F3301" s="17">
        <v>217</v>
      </c>
      <c r="G3301" s="13">
        <v>1</v>
      </c>
      <c r="H3301" s="17">
        <v>1</v>
      </c>
      <c r="I3301" s="17">
        <v>3</v>
      </c>
      <c r="J3301" s="17">
        <v>30</v>
      </c>
      <c r="K3301" s="10">
        <v>730</v>
      </c>
      <c r="L3301" s="17"/>
      <c r="M3301" s="15"/>
      <c r="N3301" s="18"/>
      <c r="O3301" s="14"/>
      <c r="P3301" s="17">
        <v>1</v>
      </c>
      <c r="Q3301" s="19">
        <v>730</v>
      </c>
      <c r="R3301" s="14">
        <v>200</v>
      </c>
      <c r="S3301" s="19">
        <v>146000</v>
      </c>
      <c r="T3301" s="17"/>
      <c r="U3301" s="17"/>
      <c r="V3301" s="17"/>
      <c r="W3301" s="4"/>
      <c r="X3301" s="17"/>
      <c r="Y3301" s="4"/>
      <c r="Z3301" s="17"/>
      <c r="AA3301" s="17"/>
      <c r="AB3301" s="17"/>
      <c r="AC3301" s="14"/>
      <c r="AD3301" s="14"/>
      <c r="AE3301" s="17"/>
      <c r="AF3301" s="14"/>
      <c r="AG3301" s="54"/>
      <c r="AH3301" s="11"/>
      <c r="AI3301" s="14"/>
      <c r="AJ3301" s="19">
        <v>0</v>
      </c>
      <c r="AK3301" s="23">
        <v>0</v>
      </c>
      <c r="AL3301" s="11"/>
      <c r="AM3301" s="19">
        <v>0</v>
      </c>
      <c r="AN3301" s="19">
        <v>146000</v>
      </c>
      <c r="AO3301" s="14"/>
      <c r="AP3301" s="14">
        <v>146000</v>
      </c>
      <c r="AQ3301" s="12"/>
      <c r="AS3301" s="26"/>
    </row>
    <row r="3302" spans="1:45" s="19" customFormat="1" x14ac:dyDescent="0.2">
      <c r="A3302" s="121">
        <f t="shared" si="461"/>
        <v>2810</v>
      </c>
      <c r="B3302" s="13">
        <v>2</v>
      </c>
      <c r="C3302" s="17" t="s">
        <v>52</v>
      </c>
      <c r="D3302" s="17">
        <v>929</v>
      </c>
      <c r="E3302" s="17">
        <v>24</v>
      </c>
      <c r="F3302" s="17">
        <v>318</v>
      </c>
      <c r="G3302" s="13">
        <v>1</v>
      </c>
      <c r="H3302" s="17">
        <v>0</v>
      </c>
      <c r="I3302" s="17">
        <v>2</v>
      </c>
      <c r="J3302" s="17">
        <v>44</v>
      </c>
      <c r="K3302" s="10">
        <v>244</v>
      </c>
      <c r="L3302" s="17"/>
      <c r="M3302" s="15"/>
      <c r="N3302" s="18"/>
      <c r="O3302" s="14"/>
      <c r="P3302" s="17">
        <v>1</v>
      </c>
      <c r="Q3302" s="19">
        <v>244</v>
      </c>
      <c r="R3302" s="14">
        <v>250</v>
      </c>
      <c r="S3302" s="19">
        <v>61000</v>
      </c>
      <c r="T3302" s="17"/>
      <c r="U3302" s="17"/>
      <c r="V3302" s="17"/>
      <c r="W3302" s="4"/>
      <c r="X3302" s="17"/>
      <c r="Y3302" s="4"/>
      <c r="Z3302" s="17"/>
      <c r="AA3302" s="17"/>
      <c r="AB3302" s="17"/>
      <c r="AC3302" s="14"/>
      <c r="AD3302" s="14"/>
      <c r="AE3302" s="17"/>
      <c r="AF3302" s="14"/>
      <c r="AG3302" s="54"/>
      <c r="AH3302" s="11"/>
      <c r="AI3302" s="14"/>
      <c r="AJ3302" s="19">
        <v>0</v>
      </c>
      <c r="AK3302" s="23">
        <v>0</v>
      </c>
      <c r="AL3302" s="11"/>
      <c r="AM3302" s="19">
        <v>0</v>
      </c>
      <c r="AN3302" s="19">
        <v>61000</v>
      </c>
      <c r="AO3302" s="14"/>
      <c r="AP3302" s="14">
        <v>61000</v>
      </c>
      <c r="AQ3302" s="12"/>
      <c r="AS3302" s="26"/>
    </row>
    <row r="3303" spans="1:45" s="19" customFormat="1" x14ac:dyDescent="0.2">
      <c r="A3303" s="121">
        <f t="shared" si="461"/>
        <v>2811</v>
      </c>
      <c r="B3303" s="13">
        <v>3</v>
      </c>
      <c r="C3303" s="17" t="s">
        <v>52</v>
      </c>
      <c r="D3303" s="17">
        <v>931</v>
      </c>
      <c r="E3303" s="17">
        <v>22</v>
      </c>
      <c r="F3303" s="17">
        <v>320</v>
      </c>
      <c r="G3303" s="13">
        <v>1</v>
      </c>
      <c r="H3303" s="17">
        <v>1</v>
      </c>
      <c r="I3303" s="17">
        <v>3</v>
      </c>
      <c r="J3303" s="17">
        <v>35</v>
      </c>
      <c r="K3303" s="10">
        <v>735</v>
      </c>
      <c r="L3303" s="17"/>
      <c r="M3303" s="15"/>
      <c r="N3303" s="18"/>
      <c r="O3303" s="14"/>
      <c r="P3303" s="17">
        <v>1</v>
      </c>
      <c r="Q3303" s="19">
        <v>735</v>
      </c>
      <c r="R3303" s="14">
        <v>200</v>
      </c>
      <c r="S3303" s="19">
        <v>147000</v>
      </c>
      <c r="T3303" s="17"/>
      <c r="U3303" s="17"/>
      <c r="V3303" s="17"/>
      <c r="W3303" s="4"/>
      <c r="X3303" s="17"/>
      <c r="Y3303" s="4"/>
      <c r="Z3303" s="17"/>
      <c r="AA3303" s="17"/>
      <c r="AB3303" s="17"/>
      <c r="AC3303" s="14"/>
      <c r="AD3303" s="14"/>
      <c r="AE3303" s="17"/>
      <c r="AF3303" s="14"/>
      <c r="AG3303" s="54"/>
      <c r="AH3303" s="11"/>
      <c r="AI3303" s="14"/>
      <c r="AJ3303" s="19">
        <v>0</v>
      </c>
      <c r="AK3303" s="23">
        <v>0</v>
      </c>
      <c r="AL3303" s="11"/>
      <c r="AM3303" s="19">
        <v>0</v>
      </c>
      <c r="AN3303" s="19">
        <v>147000</v>
      </c>
      <c r="AO3303" s="14"/>
      <c r="AP3303" s="14">
        <v>147000</v>
      </c>
      <c r="AQ3303" s="12"/>
      <c r="AS3303" s="26"/>
    </row>
    <row r="3304" spans="1:45" s="19" customFormat="1" x14ac:dyDescent="0.2">
      <c r="A3304" s="121">
        <f t="shared" si="461"/>
        <v>2812</v>
      </c>
      <c r="B3304" s="13">
        <v>4</v>
      </c>
      <c r="C3304" s="17" t="s">
        <v>52</v>
      </c>
      <c r="D3304" s="17">
        <v>1316</v>
      </c>
      <c r="E3304" s="17">
        <v>30</v>
      </c>
      <c r="F3304" s="17">
        <v>571</v>
      </c>
      <c r="G3304" s="13">
        <v>1</v>
      </c>
      <c r="H3304" s="17">
        <v>12</v>
      </c>
      <c r="I3304" s="17">
        <v>3</v>
      </c>
      <c r="J3304" s="17">
        <v>53</v>
      </c>
      <c r="K3304" s="10">
        <v>5153</v>
      </c>
      <c r="L3304" s="17"/>
      <c r="M3304" s="15"/>
      <c r="N3304" s="18"/>
      <c r="O3304" s="14"/>
      <c r="P3304" s="17">
        <v>1</v>
      </c>
      <c r="Q3304" s="19">
        <v>5153</v>
      </c>
      <c r="R3304" s="14">
        <v>160</v>
      </c>
      <c r="S3304" s="19">
        <v>824480</v>
      </c>
      <c r="T3304" s="17"/>
      <c r="U3304" s="17"/>
      <c r="V3304" s="17"/>
      <c r="W3304" s="4"/>
      <c r="X3304" s="17"/>
      <c r="Y3304" s="4"/>
      <c r="Z3304" s="17"/>
      <c r="AA3304" s="17"/>
      <c r="AB3304" s="17"/>
      <c r="AC3304" s="14"/>
      <c r="AD3304" s="14"/>
      <c r="AE3304" s="17"/>
      <c r="AF3304" s="14"/>
      <c r="AG3304" s="54"/>
      <c r="AH3304" s="11"/>
      <c r="AI3304" s="14"/>
      <c r="AJ3304" s="19">
        <v>0</v>
      </c>
      <c r="AK3304" s="23">
        <v>0</v>
      </c>
      <c r="AL3304" s="11"/>
      <c r="AM3304" s="19">
        <v>0</v>
      </c>
      <c r="AN3304" s="19">
        <v>824480</v>
      </c>
      <c r="AO3304" s="14"/>
      <c r="AP3304" s="14">
        <v>824480</v>
      </c>
      <c r="AQ3304" s="12"/>
      <c r="AS3304" s="26"/>
    </row>
    <row r="3305" spans="1:45" s="19" customFormat="1" ht="63" x14ac:dyDescent="0.2">
      <c r="A3305" s="121">
        <f t="shared" si="461"/>
        <v>2813</v>
      </c>
      <c r="B3305" s="13">
        <v>5</v>
      </c>
      <c r="C3305" s="17" t="s">
        <v>52</v>
      </c>
      <c r="D3305" s="17">
        <v>31641</v>
      </c>
      <c r="E3305" s="17">
        <v>318</v>
      </c>
      <c r="F3305" s="17">
        <v>6211</v>
      </c>
      <c r="G3305" s="13">
        <v>1</v>
      </c>
      <c r="H3305" s="17">
        <v>0</v>
      </c>
      <c r="I3305" s="17">
        <v>0</v>
      </c>
      <c r="J3305" s="17">
        <v>37</v>
      </c>
      <c r="K3305" s="10"/>
      <c r="L3305" s="17">
        <v>37</v>
      </c>
      <c r="M3305" s="15"/>
      <c r="N3305" s="18"/>
      <c r="O3305" s="14"/>
      <c r="P3305" s="17">
        <v>2</v>
      </c>
      <c r="Q3305" s="19">
        <v>37</v>
      </c>
      <c r="R3305" s="14">
        <v>3000</v>
      </c>
      <c r="S3305" s="19">
        <v>111000</v>
      </c>
      <c r="T3305" s="17">
        <v>1</v>
      </c>
      <c r="U3305" s="17" t="s">
        <v>57</v>
      </c>
      <c r="V3305" s="17" t="s">
        <v>56</v>
      </c>
      <c r="W3305" s="4">
        <v>100</v>
      </c>
      <c r="X3305" s="17"/>
      <c r="Y3305" s="4">
        <v>100</v>
      </c>
      <c r="Z3305" s="17"/>
      <c r="AA3305" s="17"/>
      <c r="AB3305" s="17">
        <v>31</v>
      </c>
      <c r="AC3305" s="14"/>
      <c r="AD3305" s="14"/>
      <c r="AE3305" s="17"/>
      <c r="AF3305" s="14"/>
      <c r="AG3305" s="54"/>
      <c r="AH3305" s="11"/>
      <c r="AI3305" s="14"/>
      <c r="AJ3305" s="19">
        <v>0</v>
      </c>
      <c r="AK3305" s="23">
        <v>31</v>
      </c>
      <c r="AL3305" s="11"/>
      <c r="AM3305" s="19">
        <v>0</v>
      </c>
      <c r="AN3305" s="19">
        <v>111000</v>
      </c>
      <c r="AO3305" s="14"/>
      <c r="AP3305" s="14">
        <v>111000</v>
      </c>
      <c r="AQ3305" s="12"/>
      <c r="AS3305" s="26"/>
    </row>
    <row r="3306" spans="1:45" s="19" customFormat="1" x14ac:dyDescent="0.2">
      <c r="A3306" s="121">
        <f t="shared" si="461"/>
        <v>2814</v>
      </c>
      <c r="B3306" s="13">
        <v>1</v>
      </c>
      <c r="C3306" s="17" t="s">
        <v>52</v>
      </c>
      <c r="D3306" s="17">
        <v>1013</v>
      </c>
      <c r="E3306" s="17">
        <v>60</v>
      </c>
      <c r="F3306" s="17">
        <v>361</v>
      </c>
      <c r="G3306" s="13">
        <v>1</v>
      </c>
      <c r="H3306" s="17">
        <v>8</v>
      </c>
      <c r="I3306" s="17">
        <v>3</v>
      </c>
      <c r="J3306" s="17">
        <v>9.06</v>
      </c>
      <c r="K3306" s="10">
        <v>3509.06</v>
      </c>
      <c r="L3306" s="17"/>
      <c r="M3306" s="15"/>
      <c r="N3306" s="18"/>
      <c r="O3306" s="14"/>
      <c r="P3306" s="17">
        <v>1</v>
      </c>
      <c r="Q3306" s="19">
        <v>3509.06</v>
      </c>
      <c r="R3306" s="14">
        <v>160</v>
      </c>
      <c r="S3306" s="19">
        <v>561449.6</v>
      </c>
      <c r="T3306" s="17"/>
      <c r="U3306" s="17"/>
      <c r="V3306" s="17"/>
      <c r="W3306" s="4"/>
      <c r="X3306" s="17"/>
      <c r="Y3306" s="4"/>
      <c r="Z3306" s="17"/>
      <c r="AA3306" s="17"/>
      <c r="AB3306" s="17"/>
      <c r="AC3306" s="14"/>
      <c r="AD3306" s="14"/>
      <c r="AE3306" s="17"/>
      <c r="AF3306" s="14"/>
      <c r="AG3306" s="54"/>
      <c r="AH3306" s="11"/>
      <c r="AI3306" s="14"/>
      <c r="AJ3306" s="19">
        <v>0</v>
      </c>
      <c r="AK3306" s="23">
        <v>0</v>
      </c>
      <c r="AL3306" s="11"/>
      <c r="AM3306" s="19">
        <v>0</v>
      </c>
      <c r="AN3306" s="19">
        <v>561449.6</v>
      </c>
      <c r="AO3306" s="14"/>
      <c r="AP3306" s="14">
        <v>561449.6</v>
      </c>
      <c r="AQ3306" s="12"/>
      <c r="AS3306" s="26"/>
    </row>
    <row r="3307" spans="1:45" s="19" customFormat="1" x14ac:dyDescent="0.2">
      <c r="A3307" s="121">
        <f t="shared" si="461"/>
        <v>2815</v>
      </c>
      <c r="B3307" s="13">
        <v>2</v>
      </c>
      <c r="C3307" s="17" t="s">
        <v>52</v>
      </c>
      <c r="D3307" s="17">
        <v>3200</v>
      </c>
      <c r="E3307" s="17">
        <v>42</v>
      </c>
      <c r="F3307" s="17">
        <v>2132</v>
      </c>
      <c r="G3307" s="13">
        <v>2</v>
      </c>
      <c r="H3307" s="17">
        <v>4</v>
      </c>
      <c r="I3307" s="17">
        <v>0</v>
      </c>
      <c r="J3307" s="17">
        <v>82</v>
      </c>
      <c r="K3307" s="10">
        <v>1682</v>
      </c>
      <c r="L3307" s="17"/>
      <c r="M3307" s="15"/>
      <c r="N3307" s="18"/>
      <c r="O3307" s="14"/>
      <c r="P3307" s="17">
        <v>1</v>
      </c>
      <c r="Q3307" s="19">
        <v>1682</v>
      </c>
      <c r="R3307" s="14">
        <v>160</v>
      </c>
      <c r="S3307" s="19">
        <v>269120</v>
      </c>
      <c r="T3307" s="17"/>
      <c r="U3307" s="17"/>
      <c r="V3307" s="17"/>
      <c r="W3307" s="4"/>
      <c r="X3307" s="17"/>
      <c r="Y3307" s="4"/>
      <c r="Z3307" s="17"/>
      <c r="AA3307" s="17"/>
      <c r="AB3307" s="17"/>
      <c r="AC3307" s="14"/>
      <c r="AD3307" s="14"/>
      <c r="AE3307" s="17"/>
      <c r="AF3307" s="14"/>
      <c r="AG3307" s="54"/>
      <c r="AH3307" s="11"/>
      <c r="AI3307" s="14"/>
      <c r="AJ3307" s="19">
        <v>0</v>
      </c>
      <c r="AK3307" s="23">
        <v>0</v>
      </c>
      <c r="AL3307" s="11"/>
      <c r="AM3307" s="19">
        <v>0</v>
      </c>
      <c r="AN3307" s="19">
        <v>269120</v>
      </c>
      <c r="AO3307" s="14"/>
      <c r="AP3307" s="14">
        <v>269120</v>
      </c>
      <c r="AQ3307" s="12"/>
      <c r="AS3307" s="26"/>
    </row>
    <row r="3308" spans="1:45" s="19" customFormat="1" ht="63" x14ac:dyDescent="0.2">
      <c r="A3308" s="121">
        <f t="shared" si="461"/>
        <v>2816</v>
      </c>
      <c r="B3308" s="13">
        <v>3</v>
      </c>
      <c r="C3308" s="17" t="s">
        <v>52</v>
      </c>
      <c r="D3308" s="17">
        <v>3201</v>
      </c>
      <c r="E3308" s="17">
        <v>43</v>
      </c>
      <c r="F3308" s="17">
        <v>2133</v>
      </c>
      <c r="G3308" s="13">
        <v>2</v>
      </c>
      <c r="H3308" s="17">
        <v>3</v>
      </c>
      <c r="I3308" s="17">
        <v>2</v>
      </c>
      <c r="J3308" s="17">
        <v>84</v>
      </c>
      <c r="K3308" s="10">
        <v>1457.75</v>
      </c>
      <c r="L3308" s="17">
        <v>15</v>
      </c>
      <c r="M3308" s="15"/>
      <c r="N3308" s="18"/>
      <c r="O3308" s="14"/>
      <c r="P3308" s="17">
        <v>5</v>
      </c>
      <c r="Q3308" s="19">
        <v>1484</v>
      </c>
      <c r="R3308" s="14">
        <v>200</v>
      </c>
      <c r="S3308" s="19">
        <v>296800</v>
      </c>
      <c r="T3308" s="17">
        <v>1</v>
      </c>
      <c r="U3308" s="17" t="s">
        <v>57</v>
      </c>
      <c r="V3308" s="17" t="s">
        <v>84</v>
      </c>
      <c r="W3308" s="4">
        <v>60</v>
      </c>
      <c r="X3308" s="17"/>
      <c r="Y3308" s="4">
        <v>60</v>
      </c>
      <c r="Z3308" s="17"/>
      <c r="AA3308" s="17"/>
      <c r="AB3308" s="17">
        <v>11</v>
      </c>
      <c r="AC3308" s="14"/>
      <c r="AD3308" s="14"/>
      <c r="AE3308" s="17"/>
      <c r="AF3308" s="14"/>
      <c r="AG3308" s="54"/>
      <c r="AH3308" s="11"/>
      <c r="AI3308" s="14"/>
      <c r="AJ3308" s="19">
        <v>0</v>
      </c>
      <c r="AK3308" s="23">
        <v>11</v>
      </c>
      <c r="AL3308" s="11"/>
      <c r="AM3308" s="19">
        <v>0</v>
      </c>
      <c r="AN3308" s="19">
        <v>296800</v>
      </c>
      <c r="AO3308" s="14"/>
      <c r="AP3308" s="14">
        <v>296800</v>
      </c>
      <c r="AQ3308" s="12"/>
      <c r="AS3308" s="26"/>
    </row>
    <row r="3309" spans="1:45" s="19" customFormat="1" ht="63" x14ac:dyDescent="0.2">
      <c r="A3309" s="2"/>
      <c r="B3309" s="13"/>
      <c r="C3309" s="17"/>
      <c r="D3309" s="17"/>
      <c r="E3309" s="17"/>
      <c r="F3309" s="17"/>
      <c r="G3309" s="13"/>
      <c r="H3309" s="17"/>
      <c r="I3309" s="17"/>
      <c r="J3309" s="17"/>
      <c r="K3309" s="10"/>
      <c r="L3309" s="17">
        <v>11.25</v>
      </c>
      <c r="M3309" s="15"/>
      <c r="N3309" s="18"/>
      <c r="O3309" s="14"/>
      <c r="P3309" s="17"/>
      <c r="Q3309" s="19">
        <v>0</v>
      </c>
      <c r="R3309" s="14" t="e">
        <v>#N/A</v>
      </c>
      <c r="S3309" s="19" t="e">
        <v>#N/A</v>
      </c>
      <c r="T3309" s="17">
        <v>2</v>
      </c>
      <c r="U3309" s="17" t="s">
        <v>57</v>
      </c>
      <c r="V3309" s="17" t="s">
        <v>56</v>
      </c>
      <c r="W3309" s="4">
        <v>45</v>
      </c>
      <c r="X3309" s="17"/>
      <c r="Y3309" s="4">
        <v>45</v>
      </c>
      <c r="Z3309" s="17"/>
      <c r="AA3309" s="17"/>
      <c r="AB3309" s="17">
        <v>30</v>
      </c>
      <c r="AC3309" s="14"/>
      <c r="AD3309" s="14"/>
      <c r="AE3309" s="17"/>
      <c r="AF3309" s="14"/>
      <c r="AG3309" s="54"/>
      <c r="AH3309" s="11"/>
      <c r="AI3309" s="14"/>
      <c r="AJ3309" s="19">
        <v>0</v>
      </c>
      <c r="AK3309" s="23">
        <v>30</v>
      </c>
      <c r="AL3309" s="11"/>
      <c r="AM3309" s="19">
        <v>0</v>
      </c>
      <c r="AN3309" s="19" t="e">
        <v>#N/A</v>
      </c>
      <c r="AO3309" s="14"/>
      <c r="AP3309" s="14" t="e">
        <v>#N/A</v>
      </c>
      <c r="AQ3309" s="12"/>
      <c r="AS3309" s="26"/>
    </row>
    <row r="3310" spans="1:45" s="19" customFormat="1" ht="63" x14ac:dyDescent="0.2">
      <c r="A3310" s="2">
        <v>2817</v>
      </c>
      <c r="B3310" s="13">
        <v>4</v>
      </c>
      <c r="C3310" s="17" t="s">
        <v>52</v>
      </c>
      <c r="D3310" s="17">
        <v>3202</v>
      </c>
      <c r="E3310" s="17">
        <v>44</v>
      </c>
      <c r="F3310" s="17">
        <v>2134</v>
      </c>
      <c r="G3310" s="13">
        <v>2</v>
      </c>
      <c r="H3310" s="17">
        <v>2</v>
      </c>
      <c r="I3310" s="17">
        <v>0</v>
      </c>
      <c r="J3310" s="17">
        <v>84</v>
      </c>
      <c r="K3310" s="10">
        <v>852</v>
      </c>
      <c r="L3310" s="17">
        <v>16</v>
      </c>
      <c r="M3310" s="15"/>
      <c r="N3310" s="18"/>
      <c r="O3310" s="14"/>
      <c r="P3310" s="17">
        <v>5</v>
      </c>
      <c r="Q3310" s="19">
        <v>884</v>
      </c>
      <c r="R3310" s="14">
        <v>200</v>
      </c>
      <c r="S3310" s="19">
        <v>176800</v>
      </c>
      <c r="T3310" s="17">
        <v>1</v>
      </c>
      <c r="U3310" s="17" t="s">
        <v>57</v>
      </c>
      <c r="V3310" s="17" t="s">
        <v>56</v>
      </c>
      <c r="W3310" s="4">
        <v>64</v>
      </c>
      <c r="X3310" s="17"/>
      <c r="Y3310" s="4">
        <v>64</v>
      </c>
      <c r="Z3310" s="17"/>
      <c r="AA3310" s="17"/>
      <c r="AB3310" s="17">
        <v>28</v>
      </c>
      <c r="AC3310" s="14"/>
      <c r="AD3310" s="14"/>
      <c r="AE3310" s="17"/>
      <c r="AF3310" s="14"/>
      <c r="AG3310" s="54"/>
      <c r="AH3310" s="11"/>
      <c r="AI3310" s="14"/>
      <c r="AJ3310" s="19">
        <v>0</v>
      </c>
      <c r="AK3310" s="23">
        <v>28</v>
      </c>
      <c r="AL3310" s="11"/>
      <c r="AM3310" s="19">
        <v>0</v>
      </c>
      <c r="AN3310" s="19">
        <v>176800</v>
      </c>
      <c r="AO3310" s="14"/>
      <c r="AP3310" s="14">
        <v>176800</v>
      </c>
      <c r="AQ3310" s="12"/>
      <c r="AS3310" s="26"/>
    </row>
    <row r="3311" spans="1:45" s="19" customFormat="1" ht="63" x14ac:dyDescent="0.2">
      <c r="A3311" s="2"/>
      <c r="B3311" s="13"/>
      <c r="C3311" s="17"/>
      <c r="D3311" s="17"/>
      <c r="E3311" s="17"/>
      <c r="F3311" s="17"/>
      <c r="G3311" s="13"/>
      <c r="H3311" s="17"/>
      <c r="I3311" s="17"/>
      <c r="J3311" s="17"/>
      <c r="K3311" s="10"/>
      <c r="L3311" s="17">
        <v>16</v>
      </c>
      <c r="M3311" s="15"/>
      <c r="N3311" s="18"/>
      <c r="O3311" s="14"/>
      <c r="P3311" s="17"/>
      <c r="Q3311" s="19">
        <v>0</v>
      </c>
      <c r="R3311" s="14" t="e">
        <v>#N/A</v>
      </c>
      <c r="S3311" s="19" t="e">
        <v>#N/A</v>
      </c>
      <c r="T3311" s="17">
        <v>2</v>
      </c>
      <c r="U3311" s="17" t="s">
        <v>57</v>
      </c>
      <c r="V3311" s="17" t="s">
        <v>56</v>
      </c>
      <c r="W3311" s="4">
        <v>64</v>
      </c>
      <c r="X3311" s="17"/>
      <c r="Y3311" s="4">
        <v>64</v>
      </c>
      <c r="Z3311" s="17"/>
      <c r="AA3311" s="17"/>
      <c r="AB3311" s="17">
        <v>18</v>
      </c>
      <c r="AC3311" s="14"/>
      <c r="AD3311" s="14"/>
      <c r="AE3311" s="17"/>
      <c r="AF3311" s="14"/>
      <c r="AG3311" s="54"/>
      <c r="AH3311" s="11"/>
      <c r="AI3311" s="14"/>
      <c r="AJ3311" s="19">
        <v>0</v>
      </c>
      <c r="AK3311" s="23">
        <v>18</v>
      </c>
      <c r="AL3311" s="11"/>
      <c r="AM3311" s="19">
        <v>0</v>
      </c>
      <c r="AN3311" s="19" t="e">
        <v>#N/A</v>
      </c>
      <c r="AO3311" s="14"/>
      <c r="AP3311" s="14" t="e">
        <v>#N/A</v>
      </c>
      <c r="AQ3311" s="12"/>
      <c r="AS3311" s="26"/>
    </row>
    <row r="3312" spans="1:45" s="19" customFormat="1" x14ac:dyDescent="0.2">
      <c r="A3312" s="2">
        <v>2818</v>
      </c>
      <c r="B3312" s="13">
        <v>1</v>
      </c>
      <c r="C3312" s="17" t="s">
        <v>69</v>
      </c>
      <c r="D3312" s="17"/>
      <c r="E3312" s="17">
        <v>155</v>
      </c>
      <c r="F3312" s="17">
        <v>3</v>
      </c>
      <c r="G3312" s="13">
        <v>2</v>
      </c>
      <c r="H3312" s="17">
        <v>3</v>
      </c>
      <c r="I3312" s="17">
        <v>3</v>
      </c>
      <c r="J3312" s="17">
        <v>65</v>
      </c>
      <c r="K3312" s="10">
        <v>1565</v>
      </c>
      <c r="L3312" s="17"/>
      <c r="M3312" s="15"/>
      <c r="N3312" s="18"/>
      <c r="O3312" s="14"/>
      <c r="P3312" s="17">
        <v>1</v>
      </c>
      <c r="Q3312" s="19">
        <v>1565</v>
      </c>
      <c r="R3312" s="14">
        <v>200</v>
      </c>
      <c r="S3312" s="19">
        <v>313000</v>
      </c>
      <c r="T3312" s="17"/>
      <c r="U3312" s="17"/>
      <c r="V3312" s="17"/>
      <c r="W3312" s="4"/>
      <c r="X3312" s="17"/>
      <c r="Y3312" s="4"/>
      <c r="Z3312" s="17"/>
      <c r="AA3312" s="17"/>
      <c r="AB3312" s="17"/>
      <c r="AC3312" s="14"/>
      <c r="AD3312" s="14"/>
      <c r="AE3312" s="17"/>
      <c r="AF3312" s="14"/>
      <c r="AG3312" s="54"/>
      <c r="AH3312" s="11"/>
      <c r="AI3312" s="14"/>
      <c r="AJ3312" s="19">
        <v>0</v>
      </c>
      <c r="AK3312" s="23">
        <v>0</v>
      </c>
      <c r="AL3312" s="11"/>
      <c r="AM3312" s="19">
        <v>0</v>
      </c>
      <c r="AN3312" s="19">
        <v>313000</v>
      </c>
      <c r="AO3312" s="14"/>
      <c r="AP3312" s="14">
        <v>313000</v>
      </c>
      <c r="AQ3312" s="12">
        <v>1E-4</v>
      </c>
      <c r="AS3312" s="26"/>
    </row>
    <row r="3313" spans="1:45" s="19" customFormat="1" x14ac:dyDescent="0.2">
      <c r="A3313" s="2">
        <f>+A3312+1</f>
        <v>2819</v>
      </c>
      <c r="B3313" s="13">
        <v>2</v>
      </c>
      <c r="C3313" s="17" t="s">
        <v>69</v>
      </c>
      <c r="D3313" s="17"/>
      <c r="E3313" s="17">
        <v>162</v>
      </c>
      <c r="F3313" s="17">
        <v>2</v>
      </c>
      <c r="G3313" s="13">
        <v>1</v>
      </c>
      <c r="H3313" s="17">
        <v>1</v>
      </c>
      <c r="I3313" s="17">
        <v>0</v>
      </c>
      <c r="J3313" s="17">
        <v>0</v>
      </c>
      <c r="K3313" s="10">
        <v>400</v>
      </c>
      <c r="L3313" s="17"/>
      <c r="M3313" s="15"/>
      <c r="N3313" s="18"/>
      <c r="O3313" s="14"/>
      <c r="P3313" s="17">
        <v>1</v>
      </c>
      <c r="Q3313" s="19">
        <v>400</v>
      </c>
      <c r="R3313" s="14">
        <v>160</v>
      </c>
      <c r="S3313" s="19">
        <v>64000</v>
      </c>
      <c r="T3313" s="17"/>
      <c r="U3313" s="17"/>
      <c r="V3313" s="17"/>
      <c r="W3313" s="4"/>
      <c r="X3313" s="17"/>
      <c r="Y3313" s="4"/>
      <c r="Z3313" s="17"/>
      <c r="AA3313" s="17"/>
      <c r="AB3313" s="17"/>
      <c r="AC3313" s="14"/>
      <c r="AD3313" s="14"/>
      <c r="AE3313" s="17"/>
      <c r="AF3313" s="14"/>
      <c r="AG3313" s="54"/>
      <c r="AH3313" s="11"/>
      <c r="AI3313" s="14"/>
      <c r="AJ3313" s="19">
        <v>0</v>
      </c>
      <c r="AK3313" s="23">
        <v>0</v>
      </c>
      <c r="AL3313" s="11"/>
      <c r="AM3313" s="19">
        <v>0</v>
      </c>
      <c r="AN3313" s="19">
        <v>64000</v>
      </c>
      <c r="AO3313" s="14"/>
      <c r="AP3313" s="14">
        <v>64000</v>
      </c>
      <c r="AQ3313" s="12">
        <v>1E-4</v>
      </c>
      <c r="AS3313" s="26"/>
    </row>
    <row r="3314" spans="1:45" s="19" customFormat="1" x14ac:dyDescent="0.2">
      <c r="A3314" s="121">
        <f t="shared" ref="A3314:A3321" si="462">+A3313+1</f>
        <v>2820</v>
      </c>
      <c r="B3314" s="13">
        <v>1</v>
      </c>
      <c r="C3314" s="17" t="s">
        <v>69</v>
      </c>
      <c r="D3314" s="17"/>
      <c r="E3314" s="17">
        <v>151</v>
      </c>
      <c r="F3314" s="17">
        <v>5</v>
      </c>
      <c r="G3314" s="13">
        <v>2</v>
      </c>
      <c r="H3314" s="17">
        <v>1</v>
      </c>
      <c r="I3314" s="17">
        <v>2</v>
      </c>
      <c r="J3314" s="17">
        <v>73</v>
      </c>
      <c r="K3314" s="10">
        <v>673</v>
      </c>
      <c r="L3314" s="17"/>
      <c r="M3314" s="15"/>
      <c r="N3314" s="18"/>
      <c r="O3314" s="14"/>
      <c r="P3314" s="17">
        <v>1</v>
      </c>
      <c r="Q3314" s="19">
        <v>673</v>
      </c>
      <c r="R3314" s="14">
        <v>160</v>
      </c>
      <c r="S3314" s="19">
        <v>107680</v>
      </c>
      <c r="T3314" s="17"/>
      <c r="U3314" s="17"/>
      <c r="V3314" s="17"/>
      <c r="W3314" s="4"/>
      <c r="X3314" s="17"/>
      <c r="Y3314" s="4"/>
      <c r="Z3314" s="17"/>
      <c r="AA3314" s="17"/>
      <c r="AB3314" s="17"/>
      <c r="AC3314" s="14"/>
      <c r="AD3314" s="14"/>
      <c r="AE3314" s="17"/>
      <c r="AF3314" s="14"/>
      <c r="AG3314" s="54"/>
      <c r="AH3314" s="11"/>
      <c r="AI3314" s="14"/>
      <c r="AJ3314" s="19">
        <v>0</v>
      </c>
      <c r="AK3314" s="23">
        <v>0</v>
      </c>
      <c r="AL3314" s="11"/>
      <c r="AM3314" s="19">
        <v>0</v>
      </c>
      <c r="AN3314" s="19">
        <v>107680</v>
      </c>
      <c r="AO3314" s="14"/>
      <c r="AP3314" s="14">
        <v>107680</v>
      </c>
      <c r="AQ3314" s="12">
        <v>1E-4</v>
      </c>
      <c r="AS3314" s="26"/>
    </row>
    <row r="3315" spans="1:45" s="19" customFormat="1" x14ac:dyDescent="0.2">
      <c r="A3315" s="121">
        <f t="shared" si="462"/>
        <v>2821</v>
      </c>
      <c r="B3315" s="13">
        <v>1</v>
      </c>
      <c r="C3315" s="17" t="s">
        <v>52</v>
      </c>
      <c r="D3315" s="17">
        <v>873</v>
      </c>
      <c r="E3315" s="17">
        <v>16</v>
      </c>
      <c r="F3315" s="17">
        <v>166</v>
      </c>
      <c r="G3315" s="13">
        <v>1</v>
      </c>
      <c r="H3315" s="17">
        <v>2</v>
      </c>
      <c r="I3315" s="17">
        <v>0</v>
      </c>
      <c r="J3315" s="17">
        <v>44</v>
      </c>
      <c r="K3315" s="10"/>
      <c r="L3315" s="17"/>
      <c r="M3315" s="15"/>
      <c r="N3315" s="18"/>
      <c r="O3315" s="14"/>
      <c r="P3315" s="17"/>
      <c r="Q3315" s="19">
        <v>844</v>
      </c>
      <c r="R3315" s="14">
        <v>160</v>
      </c>
      <c r="S3315" s="19">
        <v>135040</v>
      </c>
      <c r="T3315" s="17"/>
      <c r="U3315" s="17"/>
      <c r="V3315" s="17"/>
      <c r="W3315" s="4"/>
      <c r="X3315" s="17"/>
      <c r="Y3315" s="4"/>
      <c r="Z3315" s="17"/>
      <c r="AA3315" s="17"/>
      <c r="AB3315" s="17"/>
      <c r="AC3315" s="14"/>
      <c r="AD3315" s="14"/>
      <c r="AE3315" s="17"/>
      <c r="AF3315" s="14"/>
      <c r="AG3315" s="54"/>
      <c r="AH3315" s="11"/>
      <c r="AI3315" s="14"/>
      <c r="AJ3315" s="19">
        <v>0</v>
      </c>
      <c r="AK3315" s="23">
        <v>0</v>
      </c>
      <c r="AL3315" s="11"/>
      <c r="AM3315" s="19">
        <v>0</v>
      </c>
      <c r="AN3315" s="19">
        <v>135040</v>
      </c>
      <c r="AO3315" s="14"/>
      <c r="AP3315" s="14">
        <v>135040</v>
      </c>
      <c r="AQ3315" s="12"/>
      <c r="AS3315" s="26"/>
    </row>
    <row r="3316" spans="1:45" s="19" customFormat="1" x14ac:dyDescent="0.2">
      <c r="A3316" s="121">
        <f t="shared" si="462"/>
        <v>2822</v>
      </c>
      <c r="B3316" s="13">
        <v>2</v>
      </c>
      <c r="C3316" s="17" t="s">
        <v>52</v>
      </c>
      <c r="D3316" s="17">
        <v>1177</v>
      </c>
      <c r="E3316" s="17">
        <v>18</v>
      </c>
      <c r="F3316" s="17">
        <v>1016</v>
      </c>
      <c r="G3316" s="13">
        <v>1</v>
      </c>
      <c r="H3316" s="17">
        <v>8</v>
      </c>
      <c r="I3316" s="17">
        <v>2</v>
      </c>
      <c r="J3316" s="17">
        <v>2</v>
      </c>
      <c r="K3316" s="10">
        <v>3402</v>
      </c>
      <c r="L3316" s="17"/>
      <c r="M3316" s="15"/>
      <c r="N3316" s="18"/>
      <c r="O3316" s="14"/>
      <c r="P3316" s="17">
        <v>1</v>
      </c>
      <c r="Q3316" s="19">
        <v>3402</v>
      </c>
      <c r="R3316" s="14">
        <v>200</v>
      </c>
      <c r="S3316" s="19">
        <v>680400</v>
      </c>
      <c r="T3316" s="17"/>
      <c r="U3316" s="17"/>
      <c r="V3316" s="17"/>
      <c r="W3316" s="4"/>
      <c r="X3316" s="17"/>
      <c r="Y3316" s="4"/>
      <c r="Z3316" s="17"/>
      <c r="AA3316" s="17"/>
      <c r="AB3316" s="17"/>
      <c r="AC3316" s="14"/>
      <c r="AD3316" s="14"/>
      <c r="AE3316" s="17"/>
      <c r="AF3316" s="14"/>
      <c r="AG3316" s="54"/>
      <c r="AH3316" s="11"/>
      <c r="AI3316" s="14"/>
      <c r="AJ3316" s="19">
        <v>0</v>
      </c>
      <c r="AK3316" s="23">
        <v>0</v>
      </c>
      <c r="AL3316" s="11"/>
      <c r="AM3316" s="19">
        <v>0</v>
      </c>
      <c r="AN3316" s="19">
        <v>680400</v>
      </c>
      <c r="AO3316" s="14"/>
      <c r="AP3316" s="14">
        <v>680400</v>
      </c>
      <c r="AQ3316" s="12"/>
      <c r="AS3316" s="26"/>
    </row>
    <row r="3317" spans="1:45" s="19" customFormat="1" x14ac:dyDescent="0.2">
      <c r="A3317" s="121">
        <f t="shared" si="462"/>
        <v>2823</v>
      </c>
      <c r="B3317" s="13">
        <v>1</v>
      </c>
      <c r="C3317" s="17" t="s">
        <v>52</v>
      </c>
      <c r="D3317" s="17">
        <v>995</v>
      </c>
      <c r="E3317" s="17">
        <v>12</v>
      </c>
      <c r="F3317" s="17">
        <v>243</v>
      </c>
      <c r="G3317" s="13">
        <v>1</v>
      </c>
      <c r="H3317" s="17">
        <v>4</v>
      </c>
      <c r="I3317" s="17">
        <v>2</v>
      </c>
      <c r="J3317" s="17">
        <v>71</v>
      </c>
      <c r="K3317" s="10">
        <v>1871</v>
      </c>
      <c r="L3317" s="17"/>
      <c r="M3317" s="15"/>
      <c r="N3317" s="18"/>
      <c r="O3317" s="14"/>
      <c r="P3317" s="17">
        <v>1</v>
      </c>
      <c r="Q3317" s="19">
        <v>1871</v>
      </c>
      <c r="R3317" s="14">
        <v>160</v>
      </c>
      <c r="S3317" s="19">
        <v>299360</v>
      </c>
      <c r="T3317" s="17"/>
      <c r="U3317" s="17"/>
      <c r="V3317" s="17"/>
      <c r="W3317" s="4"/>
      <c r="X3317" s="17"/>
      <c r="Y3317" s="4"/>
      <c r="Z3317" s="17"/>
      <c r="AA3317" s="17"/>
      <c r="AB3317" s="17"/>
      <c r="AC3317" s="14"/>
      <c r="AD3317" s="14"/>
      <c r="AE3317" s="17"/>
      <c r="AF3317" s="14"/>
      <c r="AG3317" s="54"/>
      <c r="AH3317" s="11"/>
      <c r="AI3317" s="14"/>
      <c r="AJ3317" s="19">
        <v>0</v>
      </c>
      <c r="AK3317" s="23">
        <v>0</v>
      </c>
      <c r="AL3317" s="11"/>
      <c r="AM3317" s="19">
        <v>0</v>
      </c>
      <c r="AN3317" s="19">
        <v>299360</v>
      </c>
      <c r="AO3317" s="14"/>
      <c r="AP3317" s="14">
        <v>299360</v>
      </c>
      <c r="AQ3317" s="12"/>
      <c r="AS3317" s="26"/>
    </row>
    <row r="3318" spans="1:45" s="19" customFormat="1" ht="63" x14ac:dyDescent="0.2">
      <c r="A3318" s="121">
        <f t="shared" si="462"/>
        <v>2824</v>
      </c>
      <c r="B3318" s="13">
        <v>2</v>
      </c>
      <c r="C3318" s="17" t="s">
        <v>52</v>
      </c>
      <c r="D3318" s="17">
        <v>18447</v>
      </c>
      <c r="E3318" s="17">
        <v>163</v>
      </c>
      <c r="F3318" s="17">
        <v>3640</v>
      </c>
      <c r="G3318" s="13">
        <v>1</v>
      </c>
      <c r="H3318" s="17">
        <v>0</v>
      </c>
      <c r="I3318" s="17">
        <v>1</v>
      </c>
      <c r="J3318" s="17">
        <v>97</v>
      </c>
      <c r="K3318" s="10"/>
      <c r="L3318" s="17">
        <v>197</v>
      </c>
      <c r="M3318" s="15"/>
      <c r="N3318" s="18"/>
      <c r="O3318" s="14"/>
      <c r="P3318" s="17">
        <v>2</v>
      </c>
      <c r="Q3318" s="19">
        <v>197</v>
      </c>
      <c r="R3318" s="14">
        <v>200</v>
      </c>
      <c r="S3318" s="19">
        <v>39400</v>
      </c>
      <c r="T3318" s="17">
        <v>1</v>
      </c>
      <c r="U3318" s="17" t="s">
        <v>57</v>
      </c>
      <c r="V3318" s="17" t="s">
        <v>56</v>
      </c>
      <c r="W3318" s="4">
        <v>144</v>
      </c>
      <c r="X3318" s="17"/>
      <c r="Y3318" s="4">
        <v>144</v>
      </c>
      <c r="Z3318" s="17"/>
      <c r="AA3318" s="17"/>
      <c r="AB3318" s="17">
        <v>8</v>
      </c>
      <c r="AC3318" s="14"/>
      <c r="AD3318" s="14"/>
      <c r="AE3318" s="17"/>
      <c r="AF3318" s="14"/>
      <c r="AG3318" s="54"/>
      <c r="AH3318" s="11"/>
      <c r="AI3318" s="14"/>
      <c r="AJ3318" s="19">
        <v>0</v>
      </c>
      <c r="AK3318" s="23">
        <v>8</v>
      </c>
      <c r="AL3318" s="11"/>
      <c r="AM3318" s="19">
        <v>0</v>
      </c>
      <c r="AN3318" s="19">
        <v>39400</v>
      </c>
      <c r="AO3318" s="14"/>
      <c r="AP3318" s="14">
        <v>39400</v>
      </c>
      <c r="AQ3318" s="12"/>
      <c r="AS3318" s="26"/>
    </row>
    <row r="3319" spans="1:45" s="19" customFormat="1" x14ac:dyDescent="0.2">
      <c r="A3319" s="121">
        <f t="shared" si="462"/>
        <v>2825</v>
      </c>
      <c r="B3319" s="13">
        <v>1</v>
      </c>
      <c r="C3319" s="17" t="s">
        <v>52</v>
      </c>
      <c r="D3319" s="17">
        <v>34563</v>
      </c>
      <c r="E3319" s="17">
        <v>150</v>
      </c>
      <c r="F3319" s="17">
        <v>6905</v>
      </c>
      <c r="G3319" s="13">
        <v>1</v>
      </c>
      <c r="H3319" s="17">
        <v>3</v>
      </c>
      <c r="I3319" s="17">
        <v>1</v>
      </c>
      <c r="J3319" s="17">
        <v>91.06</v>
      </c>
      <c r="K3319" s="10">
        <v>1391.06</v>
      </c>
      <c r="L3319" s="17"/>
      <c r="M3319" s="15"/>
      <c r="N3319" s="18"/>
      <c r="O3319" s="14"/>
      <c r="P3319" s="17">
        <v>1</v>
      </c>
      <c r="Q3319" s="19">
        <v>1391.06</v>
      </c>
      <c r="R3319" s="14">
        <v>200</v>
      </c>
      <c r="S3319" s="19">
        <v>278212</v>
      </c>
      <c r="T3319" s="17"/>
      <c r="U3319" s="17"/>
      <c r="V3319" s="17"/>
      <c r="W3319" s="4"/>
      <c r="X3319" s="17"/>
      <c r="Y3319" s="4"/>
      <c r="Z3319" s="17"/>
      <c r="AA3319" s="17"/>
      <c r="AB3319" s="17"/>
      <c r="AC3319" s="14"/>
      <c r="AD3319" s="14"/>
      <c r="AE3319" s="17"/>
      <c r="AF3319" s="14"/>
      <c r="AG3319" s="54"/>
      <c r="AH3319" s="11"/>
      <c r="AI3319" s="14"/>
      <c r="AJ3319" s="19">
        <v>0</v>
      </c>
      <c r="AK3319" s="23">
        <v>0</v>
      </c>
      <c r="AL3319" s="11"/>
      <c r="AM3319" s="19">
        <v>0</v>
      </c>
      <c r="AN3319" s="19">
        <v>278212</v>
      </c>
      <c r="AO3319" s="14"/>
      <c r="AP3319" s="14">
        <v>278212</v>
      </c>
      <c r="AQ3319" s="12"/>
      <c r="AS3319" s="26"/>
    </row>
    <row r="3320" spans="1:45" s="19" customFormat="1" x14ac:dyDescent="0.2">
      <c r="A3320" s="121">
        <f t="shared" si="462"/>
        <v>2826</v>
      </c>
      <c r="B3320" s="13">
        <v>2</v>
      </c>
      <c r="C3320" s="17" t="s">
        <v>52</v>
      </c>
      <c r="D3320" s="17">
        <v>34564</v>
      </c>
      <c r="E3320" s="17">
        <v>151</v>
      </c>
      <c r="F3320" s="17">
        <v>6906</v>
      </c>
      <c r="G3320" s="13">
        <v>1</v>
      </c>
      <c r="H3320" s="17">
        <v>1</v>
      </c>
      <c r="I3320" s="17">
        <v>1</v>
      </c>
      <c r="J3320" s="17">
        <v>75.09</v>
      </c>
      <c r="K3320" s="10"/>
      <c r="L3320" s="17"/>
      <c r="M3320" s="15"/>
      <c r="N3320" s="18"/>
      <c r="O3320" s="14"/>
      <c r="P3320" s="17">
        <v>1</v>
      </c>
      <c r="Q3320" s="19">
        <v>575.09</v>
      </c>
      <c r="R3320" s="14">
        <v>200</v>
      </c>
      <c r="S3320" s="19">
        <v>115018</v>
      </c>
      <c r="T3320" s="17"/>
      <c r="U3320" s="17"/>
      <c r="V3320" s="17"/>
      <c r="W3320" s="4"/>
      <c r="X3320" s="17"/>
      <c r="Y3320" s="4"/>
      <c r="Z3320" s="17"/>
      <c r="AA3320" s="17"/>
      <c r="AB3320" s="17"/>
      <c r="AC3320" s="14"/>
      <c r="AD3320" s="14"/>
      <c r="AE3320" s="17"/>
      <c r="AF3320" s="14"/>
      <c r="AG3320" s="54"/>
      <c r="AH3320" s="11"/>
      <c r="AI3320" s="14"/>
      <c r="AJ3320" s="19">
        <v>0</v>
      </c>
      <c r="AK3320" s="23">
        <v>0</v>
      </c>
      <c r="AL3320" s="11"/>
      <c r="AM3320" s="19">
        <v>0</v>
      </c>
      <c r="AN3320" s="19">
        <v>115018</v>
      </c>
      <c r="AO3320" s="14"/>
      <c r="AP3320" s="14">
        <v>115018</v>
      </c>
      <c r="AQ3320" s="12"/>
      <c r="AS3320" s="26"/>
    </row>
    <row r="3321" spans="1:45" s="19" customFormat="1" x14ac:dyDescent="0.2">
      <c r="A3321" s="121">
        <f t="shared" si="462"/>
        <v>2827</v>
      </c>
      <c r="B3321" s="13">
        <v>3</v>
      </c>
      <c r="C3321" s="17" t="s">
        <v>65</v>
      </c>
      <c r="D3321" s="17">
        <v>1454</v>
      </c>
      <c r="E3321" s="17">
        <v>32</v>
      </c>
      <c r="F3321" s="17"/>
      <c r="G3321" s="13"/>
      <c r="H3321" s="17">
        <v>4</v>
      </c>
      <c r="I3321" s="17">
        <v>0</v>
      </c>
      <c r="J3321" s="17">
        <v>53</v>
      </c>
      <c r="K3321" s="10">
        <v>1620</v>
      </c>
      <c r="L3321" s="17">
        <v>33</v>
      </c>
      <c r="M3321" s="15"/>
      <c r="N3321" s="18"/>
      <c r="O3321" s="14"/>
      <c r="P3321" s="17">
        <v>5</v>
      </c>
      <c r="Q3321" s="19">
        <v>1653</v>
      </c>
      <c r="R3321" s="14">
        <v>550</v>
      </c>
      <c r="S3321" s="19">
        <v>909150</v>
      </c>
      <c r="T3321" s="17">
        <v>1</v>
      </c>
      <c r="U3321" s="17"/>
      <c r="V3321" s="17"/>
      <c r="W3321" s="4"/>
      <c r="X3321" s="17"/>
      <c r="Y3321" s="4"/>
      <c r="Z3321" s="17"/>
      <c r="AA3321" s="17"/>
      <c r="AB3321" s="17"/>
      <c r="AC3321" s="14"/>
      <c r="AD3321" s="14"/>
      <c r="AE3321" s="17">
        <v>33</v>
      </c>
      <c r="AF3321" s="14"/>
      <c r="AG3321" s="54"/>
      <c r="AH3321" s="11"/>
      <c r="AI3321" s="14"/>
      <c r="AK3321" s="23"/>
      <c r="AL3321" s="11"/>
      <c r="AO3321" s="14"/>
      <c r="AP3321" s="14"/>
      <c r="AQ3321" s="12"/>
      <c r="AS3321" s="26"/>
    </row>
    <row r="3322" spans="1:45" s="19" customFormat="1" x14ac:dyDescent="0.2">
      <c r="A3322" s="2"/>
      <c r="B3322" s="13"/>
      <c r="C3322" s="17"/>
      <c r="D3322" s="17"/>
      <c r="E3322" s="17"/>
      <c r="F3322" s="17"/>
      <c r="G3322" s="13"/>
      <c r="H3322" s="17"/>
      <c r="I3322" s="17"/>
      <c r="J3322" s="17"/>
      <c r="K3322" s="10"/>
      <c r="L3322" s="17"/>
      <c r="M3322" s="15"/>
      <c r="N3322" s="18"/>
      <c r="O3322" s="14"/>
      <c r="P3322" s="17">
        <v>1</v>
      </c>
      <c r="Q3322" s="19">
        <v>1620</v>
      </c>
      <c r="R3322" s="14">
        <v>550</v>
      </c>
      <c r="S3322" s="19">
        <v>891000</v>
      </c>
      <c r="T3322" s="17"/>
      <c r="U3322" s="17"/>
      <c r="V3322" s="17"/>
      <c r="W3322" s="4"/>
      <c r="X3322" s="17"/>
      <c r="Y3322" s="4"/>
      <c r="Z3322" s="17"/>
      <c r="AA3322" s="17"/>
      <c r="AB3322" s="17"/>
      <c r="AC3322" s="14"/>
      <c r="AD3322" s="14"/>
      <c r="AE3322" s="17"/>
      <c r="AF3322" s="14"/>
      <c r="AG3322" s="54"/>
      <c r="AH3322" s="11"/>
      <c r="AI3322" s="14"/>
      <c r="AK3322" s="23"/>
      <c r="AL3322" s="11"/>
      <c r="AN3322" s="19">
        <v>891000</v>
      </c>
      <c r="AO3322" s="14"/>
      <c r="AP3322" s="14">
        <v>891000</v>
      </c>
      <c r="AQ3322" s="12">
        <v>1E-4</v>
      </c>
      <c r="AS3322" s="26"/>
    </row>
    <row r="3323" spans="1:45" s="19" customFormat="1" ht="63" x14ac:dyDescent="0.2">
      <c r="A3323" s="2"/>
      <c r="B3323" s="13"/>
      <c r="C3323" s="17"/>
      <c r="D3323" s="17"/>
      <c r="E3323" s="17"/>
      <c r="F3323" s="17"/>
      <c r="G3323" s="13"/>
      <c r="H3323" s="17"/>
      <c r="I3323" s="17"/>
      <c r="J3323" s="17"/>
      <c r="K3323" s="10"/>
      <c r="L3323" s="17"/>
      <c r="M3323" s="15"/>
      <c r="N3323" s="18"/>
      <c r="O3323" s="14"/>
      <c r="P3323" s="17">
        <v>2</v>
      </c>
      <c r="Q3323" s="19">
        <v>33</v>
      </c>
      <c r="R3323" s="14">
        <v>550</v>
      </c>
      <c r="S3323" s="19">
        <v>18150</v>
      </c>
      <c r="T3323" s="17"/>
      <c r="U3323" s="17" t="s">
        <v>283</v>
      </c>
      <c r="V3323" s="17" t="s">
        <v>88</v>
      </c>
      <c r="W3323" s="4">
        <v>132</v>
      </c>
      <c r="X3323" s="17"/>
      <c r="Y3323" s="4" t="s">
        <v>284</v>
      </c>
      <c r="Z3323" s="17"/>
      <c r="AA3323" s="17"/>
      <c r="AB3323" s="17"/>
      <c r="AC3323" s="14"/>
      <c r="AD3323" s="14"/>
      <c r="AE3323" s="17"/>
      <c r="AF3323" s="14"/>
      <c r="AG3323" s="54"/>
      <c r="AH3323" s="11"/>
      <c r="AI3323" s="14"/>
      <c r="AJ3323" s="19">
        <v>0</v>
      </c>
      <c r="AK3323" s="23">
        <v>0</v>
      </c>
      <c r="AL3323" s="11"/>
      <c r="AM3323" s="19">
        <v>0</v>
      </c>
      <c r="AN3323" s="19">
        <v>18150</v>
      </c>
      <c r="AO3323" s="14"/>
      <c r="AP3323" s="14">
        <v>18150</v>
      </c>
      <c r="AQ3323" s="12">
        <v>2.0000000000000001E-4</v>
      </c>
      <c r="AS3323" s="26"/>
    </row>
    <row r="3324" spans="1:45" s="19" customFormat="1" x14ac:dyDescent="0.2">
      <c r="A3324" s="2">
        <v>2828</v>
      </c>
      <c r="B3324" s="13">
        <v>1</v>
      </c>
      <c r="C3324" s="17" t="s">
        <v>52</v>
      </c>
      <c r="D3324" s="17">
        <v>34565</v>
      </c>
      <c r="E3324" s="17">
        <v>148</v>
      </c>
      <c r="F3324" s="17">
        <v>6907</v>
      </c>
      <c r="G3324" s="13">
        <v>1</v>
      </c>
      <c r="H3324" s="17">
        <v>5</v>
      </c>
      <c r="I3324" s="17">
        <v>1</v>
      </c>
      <c r="J3324" s="17">
        <v>99.04</v>
      </c>
      <c r="K3324" s="10">
        <v>2199.04</v>
      </c>
      <c r="L3324" s="17"/>
      <c r="M3324" s="15"/>
      <c r="N3324" s="18"/>
      <c r="O3324" s="14"/>
      <c r="P3324" s="17">
        <v>1</v>
      </c>
      <c r="Q3324" s="19">
        <v>2199.04</v>
      </c>
      <c r="R3324" s="14">
        <v>160</v>
      </c>
      <c r="S3324" s="19">
        <v>351846.40000000002</v>
      </c>
      <c r="T3324" s="17"/>
      <c r="U3324" s="17"/>
      <c r="V3324" s="17"/>
      <c r="W3324" s="4"/>
      <c r="X3324" s="17"/>
      <c r="Y3324" s="4"/>
      <c r="Z3324" s="17"/>
      <c r="AA3324" s="17"/>
      <c r="AB3324" s="17"/>
      <c r="AC3324" s="14"/>
      <c r="AD3324" s="14"/>
      <c r="AE3324" s="17"/>
      <c r="AF3324" s="14"/>
      <c r="AG3324" s="54"/>
      <c r="AH3324" s="11"/>
      <c r="AI3324" s="14"/>
      <c r="AJ3324" s="19">
        <v>0</v>
      </c>
      <c r="AK3324" s="23">
        <v>0</v>
      </c>
      <c r="AL3324" s="11"/>
      <c r="AM3324" s="19">
        <v>0</v>
      </c>
      <c r="AN3324" s="19">
        <v>351846.40000000002</v>
      </c>
      <c r="AO3324" s="14"/>
      <c r="AP3324" s="14">
        <v>351846.40000000002</v>
      </c>
      <c r="AQ3324" s="12"/>
      <c r="AS3324" s="26"/>
    </row>
    <row r="3325" spans="1:45" s="19" customFormat="1" x14ac:dyDescent="0.2">
      <c r="A3325" s="2">
        <f>+A3324+1</f>
        <v>2829</v>
      </c>
      <c r="B3325" s="13">
        <v>2</v>
      </c>
      <c r="C3325" s="17" t="s">
        <v>52</v>
      </c>
      <c r="D3325" s="17">
        <v>34566</v>
      </c>
      <c r="E3325" s="17">
        <v>149</v>
      </c>
      <c r="F3325" s="17">
        <v>6908</v>
      </c>
      <c r="G3325" s="13">
        <v>1</v>
      </c>
      <c r="H3325" s="17">
        <v>6</v>
      </c>
      <c r="I3325" s="17">
        <v>1</v>
      </c>
      <c r="J3325" s="17">
        <v>83.02</v>
      </c>
      <c r="K3325" s="10">
        <v>2583.02</v>
      </c>
      <c r="L3325" s="17"/>
      <c r="M3325" s="15"/>
      <c r="N3325" s="18"/>
      <c r="O3325" s="14"/>
      <c r="P3325" s="17">
        <v>1</v>
      </c>
      <c r="Q3325" s="19">
        <v>2583.02</v>
      </c>
      <c r="R3325" s="14">
        <v>160</v>
      </c>
      <c r="S3325" s="19">
        <v>413283.2</v>
      </c>
      <c r="T3325" s="17"/>
      <c r="U3325" s="17"/>
      <c r="V3325" s="17"/>
      <c r="W3325" s="4"/>
      <c r="X3325" s="17"/>
      <c r="Y3325" s="4"/>
      <c r="Z3325" s="17"/>
      <c r="AA3325" s="17"/>
      <c r="AB3325" s="17"/>
      <c r="AC3325" s="14"/>
      <c r="AD3325" s="14"/>
      <c r="AE3325" s="17"/>
      <c r="AF3325" s="14"/>
      <c r="AG3325" s="54"/>
      <c r="AH3325" s="11"/>
      <c r="AI3325" s="14"/>
      <c r="AJ3325" s="19">
        <v>0</v>
      </c>
      <c r="AK3325" s="23">
        <v>0</v>
      </c>
      <c r="AL3325" s="11"/>
      <c r="AM3325" s="19">
        <v>0</v>
      </c>
      <c r="AN3325" s="19">
        <v>413283.2</v>
      </c>
      <c r="AO3325" s="14"/>
      <c r="AP3325" s="14">
        <v>413283.2</v>
      </c>
      <c r="AQ3325" s="12"/>
      <c r="AS3325" s="26"/>
    </row>
    <row r="3326" spans="1:45" s="19" customFormat="1" x14ac:dyDescent="0.2">
      <c r="A3326" s="121">
        <f>+A3325+1</f>
        <v>2830</v>
      </c>
      <c r="B3326" s="13">
        <v>1</v>
      </c>
      <c r="C3326" s="17" t="s">
        <v>52</v>
      </c>
      <c r="D3326" s="17">
        <v>971</v>
      </c>
      <c r="E3326" s="17">
        <v>59</v>
      </c>
      <c r="F3326" s="17">
        <v>360</v>
      </c>
      <c r="G3326" s="13">
        <v>1</v>
      </c>
      <c r="H3326" s="17">
        <v>4</v>
      </c>
      <c r="I3326" s="17">
        <v>2</v>
      </c>
      <c r="J3326" s="17">
        <v>4</v>
      </c>
      <c r="K3326" s="10">
        <v>1804</v>
      </c>
      <c r="L3326" s="17"/>
      <c r="M3326" s="15"/>
      <c r="N3326" s="18"/>
      <c r="O3326" s="14"/>
      <c r="P3326" s="17">
        <v>1</v>
      </c>
      <c r="Q3326" s="19">
        <v>1804</v>
      </c>
      <c r="R3326" s="14">
        <v>160</v>
      </c>
      <c r="S3326" s="19">
        <v>288640</v>
      </c>
      <c r="T3326" s="17"/>
      <c r="U3326" s="17"/>
      <c r="V3326" s="17"/>
      <c r="W3326" s="4"/>
      <c r="X3326" s="17"/>
      <c r="Y3326" s="4"/>
      <c r="Z3326" s="17"/>
      <c r="AA3326" s="17"/>
      <c r="AB3326" s="17"/>
      <c r="AC3326" s="14"/>
      <c r="AD3326" s="14"/>
      <c r="AE3326" s="17"/>
      <c r="AF3326" s="14"/>
      <c r="AG3326" s="54"/>
      <c r="AH3326" s="11"/>
      <c r="AI3326" s="14"/>
      <c r="AJ3326" s="19">
        <v>0</v>
      </c>
      <c r="AK3326" s="23">
        <v>0</v>
      </c>
      <c r="AL3326" s="11"/>
      <c r="AM3326" s="19">
        <v>0</v>
      </c>
      <c r="AN3326" s="19">
        <v>288640</v>
      </c>
      <c r="AO3326" s="14"/>
      <c r="AP3326" s="14">
        <v>288640</v>
      </c>
      <c r="AQ3326" s="12"/>
      <c r="AS3326" s="26"/>
    </row>
    <row r="3327" spans="1:45" s="19" customFormat="1" x14ac:dyDescent="0.2">
      <c r="A3327" s="2"/>
      <c r="B3327" s="13"/>
      <c r="C3327" s="17" t="s">
        <v>52</v>
      </c>
      <c r="D3327" s="17">
        <v>37187</v>
      </c>
      <c r="E3327" s="17">
        <v>338</v>
      </c>
      <c r="F3327" s="17">
        <v>7297</v>
      </c>
      <c r="G3327" s="13"/>
      <c r="H3327" s="17">
        <v>0</v>
      </c>
      <c r="I3327" s="17">
        <v>2</v>
      </c>
      <c r="J3327" s="17">
        <v>84</v>
      </c>
      <c r="K3327" s="10" t="s">
        <v>285</v>
      </c>
      <c r="L3327" s="17"/>
      <c r="M3327" s="15"/>
      <c r="N3327" s="18"/>
      <c r="O3327" s="14"/>
      <c r="P3327" s="17">
        <v>1</v>
      </c>
      <c r="Q3327" s="19">
        <v>284</v>
      </c>
      <c r="R3327" s="14" t="e">
        <v>#N/A</v>
      </c>
      <c r="T3327" s="17"/>
      <c r="U3327" s="17"/>
      <c r="V3327" s="17"/>
      <c r="W3327" s="4"/>
      <c r="X3327" s="17"/>
      <c r="Y3327" s="4"/>
      <c r="Z3327" s="17"/>
      <c r="AA3327" s="17"/>
      <c r="AB3327" s="17"/>
      <c r="AC3327" s="14"/>
      <c r="AD3327" s="14"/>
      <c r="AE3327" s="17"/>
      <c r="AF3327" s="14"/>
      <c r="AG3327" s="54"/>
      <c r="AH3327" s="11"/>
      <c r="AI3327" s="14"/>
      <c r="AK3327" s="23"/>
      <c r="AL3327" s="11"/>
      <c r="AO3327" s="14"/>
      <c r="AP3327" s="14"/>
      <c r="AQ3327" s="12"/>
      <c r="AS3327" s="26"/>
    </row>
    <row r="3328" spans="1:45" s="19" customFormat="1" x14ac:dyDescent="0.2">
      <c r="A3328" s="2"/>
      <c r="B3328" s="13"/>
      <c r="C3328" s="17" t="s">
        <v>52</v>
      </c>
      <c r="D3328" s="17">
        <v>38389</v>
      </c>
      <c r="E3328" s="17">
        <v>110</v>
      </c>
      <c r="F3328" s="17">
        <v>7668</v>
      </c>
      <c r="G3328" s="13"/>
      <c r="H3328" s="17">
        <v>0</v>
      </c>
      <c r="I3328" s="17">
        <v>0</v>
      </c>
      <c r="J3328" s="17">
        <v>97</v>
      </c>
      <c r="K3328" s="10" t="s">
        <v>286</v>
      </c>
      <c r="L3328" s="17"/>
      <c r="M3328" s="15"/>
      <c r="N3328" s="18"/>
      <c r="O3328" s="14"/>
      <c r="P3328" s="17">
        <v>1</v>
      </c>
      <c r="Q3328" s="19">
        <v>97</v>
      </c>
      <c r="R3328" s="14" t="e">
        <v>#N/A</v>
      </c>
      <c r="T3328" s="17"/>
      <c r="U3328" s="17"/>
      <c r="V3328" s="17"/>
      <c r="W3328" s="4"/>
      <c r="X3328" s="17"/>
      <c r="Y3328" s="4"/>
      <c r="Z3328" s="17"/>
      <c r="AA3328" s="17"/>
      <c r="AB3328" s="17"/>
      <c r="AC3328" s="14"/>
      <c r="AD3328" s="14"/>
      <c r="AE3328" s="17"/>
      <c r="AF3328" s="14"/>
      <c r="AG3328" s="54"/>
      <c r="AH3328" s="11"/>
      <c r="AI3328" s="14"/>
      <c r="AK3328" s="23"/>
      <c r="AL3328" s="11"/>
      <c r="AO3328" s="14"/>
      <c r="AP3328" s="14"/>
      <c r="AQ3328" s="12"/>
      <c r="AS3328" s="26"/>
    </row>
    <row r="3329" spans="1:45" s="19" customFormat="1" x14ac:dyDescent="0.2">
      <c r="A3329" s="2"/>
      <c r="B3329" s="13"/>
      <c r="C3329" s="17" t="s">
        <v>52</v>
      </c>
      <c r="D3329" s="17">
        <v>38390</v>
      </c>
      <c r="E3329" s="17">
        <v>111</v>
      </c>
      <c r="F3329" s="17">
        <v>7669</v>
      </c>
      <c r="G3329" s="13"/>
      <c r="H3329" s="17">
        <v>4</v>
      </c>
      <c r="I3329" s="17">
        <v>2</v>
      </c>
      <c r="J3329" s="17">
        <v>4</v>
      </c>
      <c r="K3329" s="10" t="s">
        <v>287</v>
      </c>
      <c r="L3329" s="17"/>
      <c r="M3329" s="15"/>
      <c r="N3329" s="18"/>
      <c r="O3329" s="14"/>
      <c r="P3329" s="17">
        <v>1</v>
      </c>
      <c r="Q3329" s="19">
        <v>1804</v>
      </c>
      <c r="R3329" s="14" t="e">
        <v>#N/A</v>
      </c>
      <c r="T3329" s="17"/>
      <c r="U3329" s="17"/>
      <c r="V3329" s="17"/>
      <c r="W3329" s="4"/>
      <c r="X3329" s="17"/>
      <c r="Y3329" s="4"/>
      <c r="Z3329" s="17"/>
      <c r="AA3329" s="17"/>
      <c r="AB3329" s="17"/>
      <c r="AC3329" s="14"/>
      <c r="AD3329" s="14"/>
      <c r="AE3329" s="17"/>
      <c r="AF3329" s="14"/>
      <c r="AG3329" s="54"/>
      <c r="AH3329" s="11"/>
      <c r="AI3329" s="14"/>
      <c r="AK3329" s="23"/>
      <c r="AL3329" s="11"/>
      <c r="AO3329" s="14"/>
      <c r="AP3329" s="14"/>
      <c r="AQ3329" s="12"/>
      <c r="AS3329" s="26"/>
    </row>
    <row r="3330" spans="1:45" s="19" customFormat="1" x14ac:dyDescent="0.2">
      <c r="A3330" s="2"/>
      <c r="B3330" s="13"/>
      <c r="C3330" s="17" t="s">
        <v>52</v>
      </c>
      <c r="D3330" s="17">
        <v>38391</v>
      </c>
      <c r="E3330" s="17">
        <v>112</v>
      </c>
      <c r="F3330" s="17">
        <v>7670</v>
      </c>
      <c r="G3330" s="13"/>
      <c r="H3330" s="17">
        <v>4</v>
      </c>
      <c r="I3330" s="17">
        <v>2</v>
      </c>
      <c r="J3330" s="17">
        <v>4</v>
      </c>
      <c r="K3330" s="10" t="s">
        <v>287</v>
      </c>
      <c r="L3330" s="17"/>
      <c r="M3330" s="15"/>
      <c r="N3330" s="18"/>
      <c r="O3330" s="14"/>
      <c r="P3330" s="17">
        <v>1</v>
      </c>
      <c r="Q3330" s="19">
        <v>1804</v>
      </c>
      <c r="R3330" s="14" t="e">
        <v>#N/A</v>
      </c>
      <c r="T3330" s="17"/>
      <c r="U3330" s="17"/>
      <c r="V3330" s="17"/>
      <c r="W3330" s="4"/>
      <c r="X3330" s="17"/>
      <c r="Y3330" s="4"/>
      <c r="Z3330" s="17"/>
      <c r="AA3330" s="17"/>
      <c r="AB3330" s="17"/>
      <c r="AC3330" s="14"/>
      <c r="AD3330" s="14"/>
      <c r="AE3330" s="17"/>
      <c r="AF3330" s="14"/>
      <c r="AG3330" s="54"/>
      <c r="AH3330" s="11"/>
      <c r="AI3330" s="14"/>
      <c r="AK3330" s="23"/>
      <c r="AL3330" s="11"/>
      <c r="AO3330" s="14"/>
      <c r="AP3330" s="14"/>
      <c r="AQ3330" s="12"/>
      <c r="AS3330" s="26"/>
    </row>
    <row r="3331" spans="1:45" s="19" customFormat="1" x14ac:dyDescent="0.2">
      <c r="A3331" s="2">
        <v>2831</v>
      </c>
      <c r="B3331" s="13">
        <v>2</v>
      </c>
      <c r="C3331" s="17" t="s">
        <v>69</v>
      </c>
      <c r="D3331" s="17"/>
      <c r="E3331" s="17">
        <v>162</v>
      </c>
      <c r="F3331" s="17">
        <v>9</v>
      </c>
      <c r="G3331" s="13">
        <v>1</v>
      </c>
      <c r="H3331" s="17">
        <v>4</v>
      </c>
      <c r="I3331" s="17">
        <v>3</v>
      </c>
      <c r="J3331" s="17">
        <v>15</v>
      </c>
      <c r="K3331" s="10">
        <v>1915</v>
      </c>
      <c r="L3331" s="17"/>
      <c r="M3331" s="15"/>
      <c r="N3331" s="18"/>
      <c r="O3331" s="14"/>
      <c r="P3331" s="17">
        <v>1</v>
      </c>
      <c r="Q3331" s="19">
        <v>1915</v>
      </c>
      <c r="R3331" s="14">
        <v>200</v>
      </c>
      <c r="S3331" s="19">
        <v>383000</v>
      </c>
      <c r="T3331" s="17"/>
      <c r="U3331" s="17"/>
      <c r="V3331" s="17"/>
      <c r="W3331" s="4"/>
      <c r="X3331" s="17"/>
      <c r="Y3331" s="4"/>
      <c r="Z3331" s="17"/>
      <c r="AA3331" s="17"/>
      <c r="AB3331" s="17"/>
      <c r="AC3331" s="14"/>
      <c r="AD3331" s="14"/>
      <c r="AE3331" s="17"/>
      <c r="AF3331" s="14"/>
      <c r="AG3331" s="54"/>
      <c r="AH3331" s="11"/>
      <c r="AI3331" s="14"/>
      <c r="AJ3331" s="19">
        <v>0</v>
      </c>
      <c r="AK3331" s="23">
        <v>0</v>
      </c>
      <c r="AL3331" s="11"/>
      <c r="AM3331" s="19">
        <v>0</v>
      </c>
      <c r="AN3331" s="19">
        <v>383000</v>
      </c>
      <c r="AO3331" s="14"/>
      <c r="AP3331" s="14">
        <v>383000</v>
      </c>
      <c r="AQ3331" s="12">
        <v>1E-4</v>
      </c>
      <c r="AS3331" s="26"/>
    </row>
    <row r="3332" spans="1:45" s="19" customFormat="1" x14ac:dyDescent="0.2">
      <c r="A3332" s="2">
        <f>+A3331+1</f>
        <v>2832</v>
      </c>
      <c r="B3332" s="13">
        <v>3</v>
      </c>
      <c r="C3332" s="17" t="s">
        <v>69</v>
      </c>
      <c r="D3332" s="17"/>
      <c r="E3332" s="17">
        <v>162</v>
      </c>
      <c r="F3332" s="17">
        <v>10</v>
      </c>
      <c r="G3332" s="13">
        <v>1</v>
      </c>
      <c r="H3332" s="17">
        <v>5</v>
      </c>
      <c r="I3332" s="17">
        <v>0</v>
      </c>
      <c r="J3332" s="17">
        <v>10</v>
      </c>
      <c r="K3332" s="10">
        <v>2010</v>
      </c>
      <c r="L3332" s="17"/>
      <c r="M3332" s="15"/>
      <c r="N3332" s="18"/>
      <c r="O3332" s="14"/>
      <c r="P3332" s="17">
        <v>1</v>
      </c>
      <c r="Q3332" s="19">
        <v>2010</v>
      </c>
      <c r="R3332" s="14">
        <v>200</v>
      </c>
      <c r="S3332" s="19">
        <v>402000</v>
      </c>
      <c r="T3332" s="17"/>
      <c r="U3332" s="17"/>
      <c r="V3332" s="17"/>
      <c r="W3332" s="4"/>
      <c r="X3332" s="17"/>
      <c r="Y3332" s="4"/>
      <c r="Z3332" s="17"/>
      <c r="AA3332" s="17"/>
      <c r="AB3332" s="17"/>
      <c r="AC3332" s="14"/>
      <c r="AD3332" s="14"/>
      <c r="AE3332" s="17"/>
      <c r="AF3332" s="14"/>
      <c r="AG3332" s="54"/>
      <c r="AH3332" s="11"/>
      <c r="AI3332" s="14"/>
      <c r="AJ3332" s="19">
        <v>0</v>
      </c>
      <c r="AK3332" s="23">
        <v>0</v>
      </c>
      <c r="AL3332" s="11"/>
      <c r="AM3332" s="19">
        <v>0</v>
      </c>
      <c r="AN3332" s="19">
        <v>402000</v>
      </c>
      <c r="AO3332" s="14"/>
      <c r="AP3332" s="14">
        <v>402000</v>
      </c>
      <c r="AQ3332" s="12">
        <v>1E-4</v>
      </c>
      <c r="AS3332" s="26"/>
    </row>
    <row r="3333" spans="1:45" s="19" customFormat="1" ht="63" x14ac:dyDescent="0.2">
      <c r="A3333" s="121">
        <f>+A3332+1</f>
        <v>2833</v>
      </c>
      <c r="B3333" s="13">
        <v>1</v>
      </c>
      <c r="C3333" s="17" t="s">
        <v>52</v>
      </c>
      <c r="D3333" s="17">
        <v>1394</v>
      </c>
      <c r="E3333" s="17">
        <v>26</v>
      </c>
      <c r="F3333" s="17">
        <v>584</v>
      </c>
      <c r="G3333" s="13">
        <v>1</v>
      </c>
      <c r="H3333" s="17">
        <v>8</v>
      </c>
      <c r="I3333" s="17">
        <v>3</v>
      </c>
      <c r="J3333" s="17">
        <v>86</v>
      </c>
      <c r="K3333" s="10">
        <v>3496.75</v>
      </c>
      <c r="L3333" s="17">
        <v>33.75</v>
      </c>
      <c r="M3333" s="15"/>
      <c r="N3333" s="18"/>
      <c r="O3333" s="14"/>
      <c r="P3333" s="17">
        <v>5</v>
      </c>
      <c r="Q3333" s="19">
        <v>3586</v>
      </c>
      <c r="R3333" s="14">
        <v>200</v>
      </c>
      <c r="S3333" s="19">
        <v>717200</v>
      </c>
      <c r="T3333" s="17">
        <v>1</v>
      </c>
      <c r="U3333" s="17" t="s">
        <v>57</v>
      </c>
      <c r="V3333" s="17" t="s">
        <v>56</v>
      </c>
      <c r="W3333" s="4">
        <v>135</v>
      </c>
      <c r="X3333" s="17"/>
      <c r="Y3333" s="4">
        <v>135</v>
      </c>
      <c r="Z3333" s="17"/>
      <c r="AA3333" s="17"/>
      <c r="AB3333" s="17">
        <v>9</v>
      </c>
      <c r="AC3333" s="14"/>
      <c r="AD3333" s="14"/>
      <c r="AE3333" s="17"/>
      <c r="AF3333" s="14"/>
      <c r="AG3333" s="54"/>
      <c r="AH3333" s="11"/>
      <c r="AI3333" s="14"/>
      <c r="AJ3333" s="19">
        <v>0</v>
      </c>
      <c r="AK3333" s="23">
        <v>9</v>
      </c>
      <c r="AL3333" s="11"/>
      <c r="AM3333" s="19">
        <v>0</v>
      </c>
      <c r="AN3333" s="19">
        <v>717200</v>
      </c>
      <c r="AO3333" s="14"/>
      <c r="AP3333" s="14">
        <v>717200</v>
      </c>
      <c r="AQ3333" s="12"/>
      <c r="AS3333" s="26"/>
    </row>
    <row r="3334" spans="1:45" s="19" customFormat="1" ht="63" x14ac:dyDescent="0.2">
      <c r="A3334" s="2"/>
      <c r="B3334" s="13"/>
      <c r="C3334" s="17"/>
      <c r="D3334" s="17"/>
      <c r="E3334" s="17"/>
      <c r="F3334" s="17"/>
      <c r="G3334" s="13"/>
      <c r="H3334" s="17"/>
      <c r="I3334" s="17"/>
      <c r="J3334" s="17"/>
      <c r="K3334" s="10"/>
      <c r="L3334" s="17">
        <v>55.5</v>
      </c>
      <c r="M3334" s="15"/>
      <c r="N3334" s="18"/>
      <c r="O3334" s="14"/>
      <c r="P3334" s="17"/>
      <c r="Q3334" s="19">
        <v>0</v>
      </c>
      <c r="R3334" s="14" t="e">
        <v>#N/A</v>
      </c>
      <c r="S3334" s="19" t="e">
        <v>#N/A</v>
      </c>
      <c r="T3334" s="17">
        <v>2</v>
      </c>
      <c r="U3334" s="17" t="s">
        <v>57</v>
      </c>
      <c r="V3334" s="17" t="s">
        <v>56</v>
      </c>
      <c r="W3334" s="4">
        <v>222</v>
      </c>
      <c r="X3334" s="17"/>
      <c r="Y3334" s="4">
        <v>222</v>
      </c>
      <c r="Z3334" s="17"/>
      <c r="AA3334" s="17"/>
      <c r="AB3334" s="17">
        <v>20</v>
      </c>
      <c r="AC3334" s="14"/>
      <c r="AD3334" s="14"/>
      <c r="AE3334" s="17"/>
      <c r="AF3334" s="14"/>
      <c r="AG3334" s="54"/>
      <c r="AH3334" s="11"/>
      <c r="AI3334" s="14"/>
      <c r="AJ3334" s="19">
        <v>0</v>
      </c>
      <c r="AK3334" s="23">
        <v>20</v>
      </c>
      <c r="AL3334" s="11"/>
      <c r="AM3334" s="19">
        <v>0</v>
      </c>
      <c r="AN3334" s="19" t="e">
        <v>#N/A</v>
      </c>
      <c r="AO3334" s="14"/>
      <c r="AP3334" s="14" t="e">
        <v>#N/A</v>
      </c>
      <c r="AQ3334" s="12"/>
      <c r="AS3334" s="26"/>
    </row>
    <row r="3335" spans="1:45" s="19" customFormat="1" x14ac:dyDescent="0.2">
      <c r="A3335" s="2">
        <v>2834</v>
      </c>
      <c r="B3335" s="13">
        <v>2</v>
      </c>
      <c r="C3335" s="17" t="s">
        <v>52</v>
      </c>
      <c r="D3335" s="17">
        <v>35677</v>
      </c>
      <c r="E3335" s="17">
        <v>38</v>
      </c>
      <c r="F3335" s="17">
        <v>543</v>
      </c>
      <c r="G3335" s="13">
        <v>2</v>
      </c>
      <c r="H3335" s="17">
        <v>4</v>
      </c>
      <c r="I3335" s="17">
        <v>3</v>
      </c>
      <c r="J3335" s="17">
        <v>91</v>
      </c>
      <c r="K3335" s="10">
        <v>1991</v>
      </c>
      <c r="L3335" s="17"/>
      <c r="M3335" s="15"/>
      <c r="N3335" s="18"/>
      <c r="O3335" s="14"/>
      <c r="P3335" s="17">
        <v>1</v>
      </c>
      <c r="Q3335" s="19">
        <v>1991</v>
      </c>
      <c r="R3335" s="14">
        <v>200</v>
      </c>
      <c r="S3335" s="19">
        <v>398200</v>
      </c>
      <c r="T3335" s="17"/>
      <c r="U3335" s="17"/>
      <c r="V3335" s="17"/>
      <c r="W3335" s="4"/>
      <c r="X3335" s="17"/>
      <c r="Y3335" s="4"/>
      <c r="Z3335" s="17"/>
      <c r="AA3335" s="17"/>
      <c r="AB3335" s="17"/>
      <c r="AC3335" s="14"/>
      <c r="AD3335" s="14"/>
      <c r="AE3335" s="17"/>
      <c r="AF3335" s="14"/>
      <c r="AG3335" s="54"/>
      <c r="AH3335" s="11"/>
      <c r="AI3335" s="14"/>
      <c r="AJ3335" s="19">
        <v>0</v>
      </c>
      <c r="AK3335" s="23">
        <v>0</v>
      </c>
      <c r="AL3335" s="11"/>
      <c r="AM3335" s="19">
        <v>0</v>
      </c>
      <c r="AN3335" s="19">
        <v>398200</v>
      </c>
      <c r="AO3335" s="14"/>
      <c r="AP3335" s="14">
        <v>398200</v>
      </c>
      <c r="AQ3335" s="12"/>
      <c r="AS3335" s="26"/>
    </row>
    <row r="3336" spans="1:45" s="19" customFormat="1" x14ac:dyDescent="0.2">
      <c r="A3336" s="2"/>
      <c r="B3336" s="13">
        <v>3</v>
      </c>
      <c r="C3336" s="17" t="s">
        <v>65</v>
      </c>
      <c r="D3336" s="17">
        <v>534</v>
      </c>
      <c r="E3336" s="17">
        <v>133</v>
      </c>
      <c r="F3336" s="17"/>
      <c r="G3336" s="13"/>
      <c r="H3336" s="17">
        <v>7</v>
      </c>
      <c r="I3336" s="17">
        <v>2</v>
      </c>
      <c r="J3336" s="17">
        <v>26</v>
      </c>
      <c r="K3336" s="10">
        <v>3026</v>
      </c>
      <c r="L3336" s="17"/>
      <c r="M3336" s="15"/>
      <c r="N3336" s="18"/>
      <c r="O3336" s="14"/>
      <c r="P3336" s="17"/>
      <c r="Q3336" s="19">
        <v>3026</v>
      </c>
      <c r="R3336" s="14" t="e">
        <v>#N/A</v>
      </c>
      <c r="S3336" s="19" t="e">
        <v>#N/A</v>
      </c>
      <c r="T3336" s="17"/>
      <c r="U3336" s="17"/>
      <c r="V3336" s="17"/>
      <c r="W3336" s="4"/>
      <c r="X3336" s="17"/>
      <c r="Y3336" s="4"/>
      <c r="Z3336" s="17"/>
      <c r="AA3336" s="17"/>
      <c r="AB3336" s="17"/>
      <c r="AC3336" s="14"/>
      <c r="AD3336" s="14"/>
      <c r="AE3336" s="17" t="s">
        <v>94</v>
      </c>
      <c r="AF3336" s="14"/>
      <c r="AG3336" s="54"/>
      <c r="AH3336" s="11"/>
      <c r="AI3336" s="14"/>
      <c r="AJ3336" s="19">
        <v>0</v>
      </c>
      <c r="AK3336" s="23">
        <v>0</v>
      </c>
      <c r="AL3336" s="11"/>
      <c r="AM3336" s="19">
        <v>0</v>
      </c>
      <c r="AN3336" s="19" t="e">
        <v>#N/A</v>
      </c>
      <c r="AO3336" s="14"/>
      <c r="AP3336" s="14" t="e">
        <v>#N/A</v>
      </c>
      <c r="AQ3336" s="12">
        <v>1E-4</v>
      </c>
      <c r="AS3336" s="26"/>
    </row>
    <row r="3337" spans="1:45" s="19" customFormat="1" ht="63" x14ac:dyDescent="0.2">
      <c r="A3337" s="2">
        <v>2835</v>
      </c>
      <c r="B3337" s="13">
        <v>1</v>
      </c>
      <c r="C3337" s="17" t="s">
        <v>52</v>
      </c>
      <c r="D3337" s="17">
        <v>845</v>
      </c>
      <c r="E3337" s="17">
        <v>63</v>
      </c>
      <c r="F3337" s="17">
        <v>135</v>
      </c>
      <c r="G3337" s="13">
        <v>1</v>
      </c>
      <c r="H3337" s="17">
        <v>0</v>
      </c>
      <c r="I3337" s="17">
        <v>0</v>
      </c>
      <c r="J3337" s="17">
        <v>62</v>
      </c>
      <c r="K3337" s="10"/>
      <c r="L3337" s="17">
        <v>62</v>
      </c>
      <c r="M3337" s="15"/>
      <c r="N3337" s="18"/>
      <c r="O3337" s="14"/>
      <c r="P3337" s="17">
        <v>2</v>
      </c>
      <c r="Q3337" s="19">
        <v>62</v>
      </c>
      <c r="R3337" s="14">
        <v>250</v>
      </c>
      <c r="S3337" s="19">
        <v>15500</v>
      </c>
      <c r="T3337" s="17">
        <v>1</v>
      </c>
      <c r="U3337" s="17" t="s">
        <v>57</v>
      </c>
      <c r="V3337" s="17" t="s">
        <v>56</v>
      </c>
      <c r="W3337" s="4">
        <v>76.5</v>
      </c>
      <c r="X3337" s="17"/>
      <c r="Y3337" s="4">
        <v>76.5</v>
      </c>
      <c r="Z3337" s="17"/>
      <c r="AA3337" s="17"/>
      <c r="AB3337" s="17">
        <v>21</v>
      </c>
      <c r="AC3337" s="14"/>
      <c r="AD3337" s="14"/>
      <c r="AE3337" s="17"/>
      <c r="AF3337" s="14"/>
      <c r="AG3337" s="54"/>
      <c r="AH3337" s="11"/>
      <c r="AI3337" s="14"/>
      <c r="AJ3337" s="19">
        <v>0</v>
      </c>
      <c r="AK3337" s="23">
        <v>21</v>
      </c>
      <c r="AL3337" s="11"/>
      <c r="AM3337" s="19">
        <v>0</v>
      </c>
      <c r="AN3337" s="19">
        <v>15500</v>
      </c>
      <c r="AO3337" s="14"/>
      <c r="AP3337" s="14">
        <v>15500</v>
      </c>
      <c r="AQ3337" s="12"/>
      <c r="AS3337" s="26"/>
    </row>
    <row r="3338" spans="1:45" s="19" customFormat="1" x14ac:dyDescent="0.2">
      <c r="A3338" s="2">
        <f>+A3337+1</f>
        <v>2836</v>
      </c>
      <c r="B3338" s="13">
        <v>1</v>
      </c>
      <c r="C3338" s="17" t="s">
        <v>52</v>
      </c>
      <c r="D3338" s="17">
        <v>4178</v>
      </c>
      <c r="E3338" s="17">
        <v>43</v>
      </c>
      <c r="F3338" s="17">
        <v>2519</v>
      </c>
      <c r="G3338" s="13">
        <v>1</v>
      </c>
      <c r="H3338" s="17">
        <v>3</v>
      </c>
      <c r="I3338" s="17">
        <v>2</v>
      </c>
      <c r="J3338" s="17">
        <v>87</v>
      </c>
      <c r="K3338" s="10">
        <v>1487</v>
      </c>
      <c r="L3338" s="17"/>
      <c r="M3338" s="15"/>
      <c r="N3338" s="18"/>
      <c r="O3338" s="14"/>
      <c r="P3338" s="17">
        <v>1</v>
      </c>
      <c r="Q3338" s="19">
        <v>1487</v>
      </c>
      <c r="R3338" s="14">
        <v>200</v>
      </c>
      <c r="S3338" s="19">
        <v>297400</v>
      </c>
      <c r="T3338" s="17"/>
      <c r="U3338" s="17"/>
      <c r="V3338" s="17"/>
      <c r="W3338" s="4"/>
      <c r="X3338" s="17"/>
      <c r="Y3338" s="4"/>
      <c r="Z3338" s="17"/>
      <c r="AA3338" s="17"/>
      <c r="AB3338" s="17"/>
      <c r="AC3338" s="14"/>
      <c r="AD3338" s="14"/>
      <c r="AE3338" s="17"/>
      <c r="AF3338" s="14"/>
      <c r="AG3338" s="54"/>
      <c r="AH3338" s="11"/>
      <c r="AI3338" s="14"/>
      <c r="AJ3338" s="19">
        <v>0</v>
      </c>
      <c r="AK3338" s="23">
        <v>0</v>
      </c>
      <c r="AL3338" s="11"/>
      <c r="AM3338" s="19">
        <v>0</v>
      </c>
      <c r="AN3338" s="19">
        <v>297400</v>
      </c>
      <c r="AO3338" s="14"/>
      <c r="AP3338" s="14">
        <v>297400</v>
      </c>
      <c r="AQ3338" s="12"/>
      <c r="AS3338" s="26"/>
    </row>
    <row r="3339" spans="1:45" s="19" customFormat="1" x14ac:dyDescent="0.2">
      <c r="A3339" s="121">
        <f t="shared" ref="A3339:A3358" si="463">+A3338+1</f>
        <v>2837</v>
      </c>
      <c r="B3339" s="13">
        <v>2</v>
      </c>
      <c r="C3339" s="17" t="s">
        <v>69</v>
      </c>
      <c r="D3339" s="17"/>
      <c r="E3339" s="17">
        <v>153</v>
      </c>
      <c r="F3339" s="17">
        <v>13</v>
      </c>
      <c r="G3339" s="13">
        <v>1</v>
      </c>
      <c r="H3339" s="17">
        <v>2</v>
      </c>
      <c r="I3339" s="17">
        <v>1</v>
      </c>
      <c r="J3339" s="17">
        <v>97</v>
      </c>
      <c r="K3339" s="10">
        <v>997</v>
      </c>
      <c r="L3339" s="17"/>
      <c r="M3339" s="15"/>
      <c r="N3339" s="18"/>
      <c r="O3339" s="14"/>
      <c r="P3339" s="17">
        <v>1</v>
      </c>
      <c r="Q3339" s="19">
        <v>997</v>
      </c>
      <c r="R3339" s="14">
        <v>200</v>
      </c>
      <c r="S3339" s="19">
        <v>199400</v>
      </c>
      <c r="T3339" s="17"/>
      <c r="U3339" s="17"/>
      <c r="V3339" s="17"/>
      <c r="W3339" s="4"/>
      <c r="X3339" s="17"/>
      <c r="Y3339" s="4"/>
      <c r="Z3339" s="17"/>
      <c r="AA3339" s="17"/>
      <c r="AB3339" s="17"/>
      <c r="AC3339" s="14"/>
      <c r="AD3339" s="14"/>
      <c r="AE3339" s="17"/>
      <c r="AF3339" s="14"/>
      <c r="AG3339" s="54"/>
      <c r="AH3339" s="11"/>
      <c r="AI3339" s="14"/>
      <c r="AJ3339" s="19">
        <v>0</v>
      </c>
      <c r="AK3339" s="23">
        <v>0</v>
      </c>
      <c r="AL3339" s="11"/>
      <c r="AM3339" s="19">
        <v>0</v>
      </c>
      <c r="AN3339" s="19">
        <v>199400</v>
      </c>
      <c r="AO3339" s="14"/>
      <c r="AP3339" s="14">
        <v>199400</v>
      </c>
      <c r="AQ3339" s="12">
        <v>1E-4</v>
      </c>
      <c r="AS3339" s="26"/>
    </row>
    <row r="3340" spans="1:45" s="19" customFormat="1" x14ac:dyDescent="0.2">
      <c r="A3340" s="121">
        <f t="shared" si="463"/>
        <v>2838</v>
      </c>
      <c r="B3340" s="13">
        <v>3</v>
      </c>
      <c r="C3340" s="17" t="s">
        <v>69</v>
      </c>
      <c r="D3340" s="17"/>
      <c r="E3340" s="17">
        <v>156</v>
      </c>
      <c r="F3340" s="17">
        <v>4</v>
      </c>
      <c r="G3340" s="13">
        <v>1</v>
      </c>
      <c r="H3340" s="17">
        <v>13</v>
      </c>
      <c r="I3340" s="17">
        <v>1</v>
      </c>
      <c r="J3340" s="17">
        <v>32</v>
      </c>
      <c r="K3340" s="10">
        <v>5332</v>
      </c>
      <c r="L3340" s="17"/>
      <c r="M3340" s="15"/>
      <c r="N3340" s="18"/>
      <c r="O3340" s="14"/>
      <c r="P3340" s="17">
        <v>1</v>
      </c>
      <c r="Q3340" s="19">
        <v>5332</v>
      </c>
      <c r="R3340" s="14">
        <v>160</v>
      </c>
      <c r="S3340" s="19">
        <v>853120</v>
      </c>
      <c r="T3340" s="17"/>
      <c r="U3340" s="17"/>
      <c r="V3340" s="17"/>
      <c r="W3340" s="4"/>
      <c r="X3340" s="17"/>
      <c r="Y3340" s="4"/>
      <c r="Z3340" s="17"/>
      <c r="AA3340" s="17"/>
      <c r="AB3340" s="17"/>
      <c r="AC3340" s="14"/>
      <c r="AD3340" s="14"/>
      <c r="AE3340" s="17"/>
      <c r="AF3340" s="14"/>
      <c r="AG3340" s="54"/>
      <c r="AH3340" s="11"/>
      <c r="AI3340" s="14"/>
      <c r="AJ3340" s="19">
        <v>0</v>
      </c>
      <c r="AK3340" s="23">
        <v>0</v>
      </c>
      <c r="AL3340" s="11"/>
      <c r="AM3340" s="19">
        <v>0</v>
      </c>
      <c r="AN3340" s="19">
        <v>853120</v>
      </c>
      <c r="AO3340" s="14"/>
      <c r="AP3340" s="14">
        <v>853120</v>
      </c>
      <c r="AQ3340" s="12">
        <v>1E-4</v>
      </c>
      <c r="AS3340" s="26"/>
    </row>
    <row r="3341" spans="1:45" s="19" customFormat="1" ht="63" x14ac:dyDescent="0.2">
      <c r="A3341" s="121">
        <f t="shared" si="463"/>
        <v>2839</v>
      </c>
      <c r="B3341" s="13">
        <v>1</v>
      </c>
      <c r="C3341" s="17" t="s">
        <v>52</v>
      </c>
      <c r="D3341" s="17">
        <v>906</v>
      </c>
      <c r="E3341" s="17">
        <v>34</v>
      </c>
      <c r="F3341" s="17">
        <v>204</v>
      </c>
      <c r="G3341" s="13">
        <v>1</v>
      </c>
      <c r="H3341" s="17">
        <v>0</v>
      </c>
      <c r="I3341" s="17">
        <v>1</v>
      </c>
      <c r="J3341" s="17">
        <v>9</v>
      </c>
      <c r="K3341" s="10"/>
      <c r="L3341" s="17">
        <v>109</v>
      </c>
      <c r="M3341" s="15"/>
      <c r="N3341" s="18"/>
      <c r="O3341" s="14"/>
      <c r="P3341" s="17">
        <v>2</v>
      </c>
      <c r="Q3341" s="19">
        <v>109</v>
      </c>
      <c r="R3341" s="14">
        <v>250</v>
      </c>
      <c r="S3341" s="19">
        <v>27250</v>
      </c>
      <c r="T3341" s="17">
        <v>1</v>
      </c>
      <c r="U3341" s="17" t="s">
        <v>57</v>
      </c>
      <c r="V3341" s="17" t="s">
        <v>56</v>
      </c>
      <c r="W3341" s="4">
        <v>54</v>
      </c>
      <c r="X3341" s="17"/>
      <c r="Y3341" s="4">
        <v>54</v>
      </c>
      <c r="Z3341" s="17"/>
      <c r="AA3341" s="17"/>
      <c r="AB3341" s="17">
        <v>21</v>
      </c>
      <c r="AC3341" s="14"/>
      <c r="AD3341" s="14"/>
      <c r="AE3341" s="17"/>
      <c r="AF3341" s="14"/>
      <c r="AG3341" s="54"/>
      <c r="AH3341" s="11"/>
      <c r="AI3341" s="14"/>
      <c r="AJ3341" s="19">
        <v>0</v>
      </c>
      <c r="AK3341" s="23">
        <v>21</v>
      </c>
      <c r="AL3341" s="11"/>
      <c r="AM3341" s="19">
        <v>0</v>
      </c>
      <c r="AN3341" s="19">
        <v>27250</v>
      </c>
      <c r="AO3341" s="14"/>
      <c r="AP3341" s="14">
        <v>27250</v>
      </c>
      <c r="AQ3341" s="12"/>
      <c r="AS3341" s="26"/>
    </row>
    <row r="3342" spans="1:45" s="19" customFormat="1" x14ac:dyDescent="0.2">
      <c r="A3342" s="121">
        <f t="shared" si="463"/>
        <v>2840</v>
      </c>
      <c r="B3342" s="13">
        <v>1</v>
      </c>
      <c r="C3342" s="17" t="s">
        <v>52</v>
      </c>
      <c r="D3342" s="17">
        <v>1184</v>
      </c>
      <c r="E3342" s="17">
        <v>8</v>
      </c>
      <c r="F3342" s="17">
        <v>1023</v>
      </c>
      <c r="G3342" s="13">
        <v>1</v>
      </c>
      <c r="H3342" s="17">
        <v>4</v>
      </c>
      <c r="I3342" s="17">
        <v>0</v>
      </c>
      <c r="J3342" s="17">
        <v>55</v>
      </c>
      <c r="K3342" s="10">
        <v>1655</v>
      </c>
      <c r="L3342" s="17"/>
      <c r="M3342" s="15"/>
      <c r="N3342" s="18"/>
      <c r="O3342" s="14"/>
      <c r="P3342" s="17">
        <v>1</v>
      </c>
      <c r="Q3342" s="19">
        <v>1655</v>
      </c>
      <c r="R3342" s="14">
        <v>200</v>
      </c>
      <c r="S3342" s="19">
        <v>331000</v>
      </c>
      <c r="T3342" s="17"/>
      <c r="U3342" s="17"/>
      <c r="V3342" s="17"/>
      <c r="W3342" s="4"/>
      <c r="X3342" s="17"/>
      <c r="Y3342" s="4"/>
      <c r="Z3342" s="17"/>
      <c r="AA3342" s="17"/>
      <c r="AB3342" s="17"/>
      <c r="AC3342" s="14"/>
      <c r="AD3342" s="14"/>
      <c r="AE3342" s="17"/>
      <c r="AF3342" s="14"/>
      <c r="AG3342" s="54"/>
      <c r="AH3342" s="11"/>
      <c r="AI3342" s="14"/>
      <c r="AJ3342" s="19">
        <v>0</v>
      </c>
      <c r="AK3342" s="23">
        <v>0</v>
      </c>
      <c r="AL3342" s="11"/>
      <c r="AM3342" s="19">
        <v>0</v>
      </c>
      <c r="AN3342" s="19">
        <v>331000</v>
      </c>
      <c r="AO3342" s="14"/>
      <c r="AP3342" s="14">
        <v>331000</v>
      </c>
      <c r="AQ3342" s="12"/>
      <c r="AS3342" s="26"/>
    </row>
    <row r="3343" spans="1:45" s="19" customFormat="1" x14ac:dyDescent="0.2">
      <c r="A3343" s="121">
        <f t="shared" si="463"/>
        <v>2841</v>
      </c>
      <c r="B3343" s="13">
        <v>2</v>
      </c>
      <c r="C3343" s="17" t="s">
        <v>52</v>
      </c>
      <c r="D3343" s="17">
        <v>1185</v>
      </c>
      <c r="E3343" s="17">
        <v>9</v>
      </c>
      <c r="F3343" s="17">
        <v>1024</v>
      </c>
      <c r="G3343" s="13">
        <v>1</v>
      </c>
      <c r="H3343" s="17">
        <v>2</v>
      </c>
      <c r="I3343" s="17">
        <v>2</v>
      </c>
      <c r="J3343" s="17">
        <v>20</v>
      </c>
      <c r="K3343" s="10">
        <v>1020</v>
      </c>
      <c r="L3343" s="17"/>
      <c r="M3343" s="15"/>
      <c r="N3343" s="18"/>
      <c r="O3343" s="14"/>
      <c r="P3343" s="17">
        <v>1</v>
      </c>
      <c r="Q3343" s="19">
        <v>1020</v>
      </c>
      <c r="R3343" s="14">
        <v>200</v>
      </c>
      <c r="S3343" s="19">
        <v>204000</v>
      </c>
      <c r="T3343" s="17"/>
      <c r="U3343" s="17"/>
      <c r="V3343" s="17"/>
      <c r="W3343" s="4"/>
      <c r="X3343" s="17"/>
      <c r="Y3343" s="4"/>
      <c r="Z3343" s="17"/>
      <c r="AA3343" s="17"/>
      <c r="AB3343" s="17"/>
      <c r="AC3343" s="14"/>
      <c r="AD3343" s="14"/>
      <c r="AE3343" s="17"/>
      <c r="AF3343" s="14"/>
      <c r="AG3343" s="54"/>
      <c r="AH3343" s="11"/>
      <c r="AI3343" s="14"/>
      <c r="AJ3343" s="19">
        <v>0</v>
      </c>
      <c r="AK3343" s="23">
        <v>0</v>
      </c>
      <c r="AL3343" s="11"/>
      <c r="AM3343" s="19">
        <v>0</v>
      </c>
      <c r="AN3343" s="19">
        <v>204000</v>
      </c>
      <c r="AO3343" s="14"/>
      <c r="AP3343" s="14">
        <v>204000</v>
      </c>
      <c r="AQ3343" s="12"/>
      <c r="AS3343" s="26"/>
    </row>
    <row r="3344" spans="1:45" s="19" customFormat="1" x14ac:dyDescent="0.2">
      <c r="A3344" s="121">
        <f t="shared" si="463"/>
        <v>2842</v>
      </c>
      <c r="B3344" s="13">
        <v>3</v>
      </c>
      <c r="C3344" s="17" t="s">
        <v>69</v>
      </c>
      <c r="D3344" s="17"/>
      <c r="E3344" s="17">
        <v>2329</v>
      </c>
      <c r="F3344" s="17">
        <v>13</v>
      </c>
      <c r="G3344" s="13">
        <v>1</v>
      </c>
      <c r="H3344" s="17">
        <v>8</v>
      </c>
      <c r="I3344" s="17">
        <v>0</v>
      </c>
      <c r="J3344" s="17">
        <v>34</v>
      </c>
      <c r="K3344" s="10">
        <v>3234</v>
      </c>
      <c r="L3344" s="17"/>
      <c r="M3344" s="15"/>
      <c r="N3344" s="18"/>
      <c r="O3344" s="14"/>
      <c r="P3344" s="17">
        <v>1</v>
      </c>
      <c r="Q3344" s="19">
        <v>3234</v>
      </c>
      <c r="R3344" s="14">
        <v>200</v>
      </c>
      <c r="S3344" s="19">
        <v>646800</v>
      </c>
      <c r="T3344" s="17"/>
      <c r="U3344" s="17"/>
      <c r="V3344" s="17"/>
      <c r="W3344" s="4"/>
      <c r="X3344" s="17"/>
      <c r="Y3344" s="4"/>
      <c r="Z3344" s="17"/>
      <c r="AA3344" s="17"/>
      <c r="AB3344" s="17"/>
      <c r="AC3344" s="14"/>
      <c r="AD3344" s="14"/>
      <c r="AE3344" s="17"/>
      <c r="AF3344" s="14"/>
      <c r="AG3344" s="54"/>
      <c r="AH3344" s="11"/>
      <c r="AI3344" s="14"/>
      <c r="AJ3344" s="19">
        <v>0</v>
      </c>
      <c r="AK3344" s="23">
        <v>0</v>
      </c>
      <c r="AL3344" s="11"/>
      <c r="AM3344" s="19">
        <v>0</v>
      </c>
      <c r="AN3344" s="19">
        <v>646800</v>
      </c>
      <c r="AO3344" s="14"/>
      <c r="AP3344" s="14">
        <v>646800</v>
      </c>
      <c r="AQ3344" s="12">
        <v>1E-4</v>
      </c>
      <c r="AS3344" s="26"/>
    </row>
    <row r="3345" spans="1:45" ht="63" x14ac:dyDescent="0.2">
      <c r="A3345" s="121">
        <f t="shared" si="463"/>
        <v>2843</v>
      </c>
      <c r="B3345" s="13">
        <v>2288</v>
      </c>
      <c r="C3345" s="17" t="s">
        <v>52</v>
      </c>
      <c r="D3345" s="17">
        <v>885</v>
      </c>
      <c r="E3345" s="17">
        <v>100</v>
      </c>
      <c r="F3345" s="17">
        <v>179</v>
      </c>
      <c r="G3345" s="13">
        <v>1</v>
      </c>
      <c r="H3345" s="17">
        <v>1</v>
      </c>
      <c r="I3345" s="17">
        <v>0</v>
      </c>
      <c r="J3345" s="17">
        <v>98</v>
      </c>
      <c r="L3345" s="17">
        <v>498</v>
      </c>
      <c r="P3345" s="17" t="s">
        <v>288</v>
      </c>
      <c r="Q3345" s="19">
        <v>498</v>
      </c>
      <c r="R3345" s="14">
        <v>200</v>
      </c>
      <c r="S3345" s="19">
        <v>99600</v>
      </c>
      <c r="T3345" s="17">
        <v>1</v>
      </c>
      <c r="U3345" s="17" t="s">
        <v>57</v>
      </c>
      <c r="V3345" s="17" t="s">
        <v>56</v>
      </c>
      <c r="W3345" s="4">
        <v>306</v>
      </c>
      <c r="Y3345" s="4">
        <v>306</v>
      </c>
      <c r="AB3345" s="17">
        <v>20</v>
      </c>
      <c r="AJ3345" s="19">
        <v>0</v>
      </c>
      <c r="AK3345" s="23">
        <v>20</v>
      </c>
      <c r="AM3345" s="19">
        <v>0</v>
      </c>
      <c r="AN3345" s="19">
        <v>99600</v>
      </c>
      <c r="AP3345" s="14">
        <v>99600</v>
      </c>
    </row>
    <row r="3346" spans="1:45" x14ac:dyDescent="0.2">
      <c r="A3346" s="121">
        <f t="shared" si="463"/>
        <v>2844</v>
      </c>
      <c r="B3346" s="13">
        <v>1</v>
      </c>
      <c r="C3346" s="17" t="s">
        <v>52</v>
      </c>
      <c r="D3346" s="17">
        <v>1080</v>
      </c>
      <c r="E3346" s="17">
        <v>67</v>
      </c>
      <c r="F3346" s="17">
        <v>696</v>
      </c>
      <c r="G3346" s="13">
        <v>1</v>
      </c>
      <c r="H3346" s="17">
        <v>1</v>
      </c>
      <c r="I3346" s="17">
        <v>0</v>
      </c>
      <c r="J3346" s="17">
        <v>80</v>
      </c>
      <c r="K3346" s="10">
        <v>480</v>
      </c>
      <c r="P3346" s="17" t="s">
        <v>122</v>
      </c>
      <c r="Q3346" s="19">
        <v>480</v>
      </c>
      <c r="R3346" s="14">
        <v>200</v>
      </c>
      <c r="S3346" s="19">
        <v>96000</v>
      </c>
      <c r="AJ3346" s="19">
        <v>0</v>
      </c>
      <c r="AK3346" s="23">
        <v>0</v>
      </c>
      <c r="AM3346" s="19">
        <v>0</v>
      </c>
      <c r="AN3346" s="19">
        <v>96000</v>
      </c>
      <c r="AP3346" s="14">
        <v>96000</v>
      </c>
    </row>
    <row r="3347" spans="1:45" x14ac:dyDescent="0.2">
      <c r="A3347" s="121">
        <f t="shared" si="463"/>
        <v>2845</v>
      </c>
      <c r="B3347" s="13">
        <v>2</v>
      </c>
      <c r="C3347" s="17" t="s">
        <v>52</v>
      </c>
      <c r="D3347" s="17">
        <v>4668</v>
      </c>
      <c r="E3347" s="17">
        <v>57</v>
      </c>
      <c r="F3347" s="17">
        <v>2494</v>
      </c>
      <c r="G3347" s="13">
        <v>1</v>
      </c>
      <c r="H3347" s="17">
        <v>3</v>
      </c>
      <c r="I3347" s="17">
        <v>3</v>
      </c>
      <c r="J3347" s="17">
        <v>0</v>
      </c>
      <c r="K3347" s="10">
        <v>1500</v>
      </c>
      <c r="P3347" s="17">
        <v>1</v>
      </c>
      <c r="Q3347" s="19">
        <v>1500</v>
      </c>
      <c r="R3347" s="14">
        <v>200</v>
      </c>
      <c r="S3347" s="19">
        <v>300000</v>
      </c>
      <c r="AJ3347" s="19">
        <v>0</v>
      </c>
      <c r="AK3347" s="23">
        <v>0</v>
      </c>
      <c r="AM3347" s="19">
        <v>0</v>
      </c>
      <c r="AN3347" s="19">
        <v>300000</v>
      </c>
      <c r="AP3347" s="14">
        <v>300000</v>
      </c>
    </row>
    <row r="3348" spans="1:45" ht="63" x14ac:dyDescent="0.2">
      <c r="A3348" s="121">
        <f t="shared" si="463"/>
        <v>2846</v>
      </c>
      <c r="B3348" s="13">
        <v>3</v>
      </c>
      <c r="C3348" s="17" t="s">
        <v>52</v>
      </c>
      <c r="D3348" s="17">
        <v>18443</v>
      </c>
      <c r="E3348" s="17">
        <v>159</v>
      </c>
      <c r="F3348" s="17">
        <v>3636</v>
      </c>
      <c r="G3348" s="13">
        <v>1</v>
      </c>
      <c r="H3348" s="17">
        <v>0</v>
      </c>
      <c r="I3348" s="17">
        <v>2</v>
      </c>
      <c r="J3348" s="17">
        <v>77</v>
      </c>
      <c r="L3348" s="17">
        <v>277</v>
      </c>
      <c r="P3348" s="17">
        <v>2</v>
      </c>
      <c r="Q3348" s="19">
        <v>277</v>
      </c>
      <c r="R3348" s="14">
        <v>200</v>
      </c>
      <c r="S3348" s="19">
        <v>55400</v>
      </c>
      <c r="T3348" s="17">
        <v>1</v>
      </c>
      <c r="U3348" s="17" t="s">
        <v>57</v>
      </c>
      <c r="V3348" s="17" t="s">
        <v>56</v>
      </c>
      <c r="W3348" s="4">
        <v>216</v>
      </c>
      <c r="Y3348" s="4">
        <v>216</v>
      </c>
      <c r="AB3348" s="17">
        <v>10</v>
      </c>
      <c r="AJ3348" s="19">
        <v>0</v>
      </c>
      <c r="AK3348" s="23">
        <v>10</v>
      </c>
      <c r="AM3348" s="19">
        <v>0</v>
      </c>
      <c r="AN3348" s="19">
        <v>55400</v>
      </c>
      <c r="AP3348" s="14">
        <v>55400</v>
      </c>
    </row>
    <row r="3349" spans="1:45" x14ac:dyDescent="0.2">
      <c r="A3349" s="121">
        <f t="shared" si="463"/>
        <v>2847</v>
      </c>
      <c r="B3349" s="13">
        <v>4</v>
      </c>
      <c r="C3349" s="17" t="s">
        <v>52</v>
      </c>
      <c r="D3349" s="17">
        <v>20647</v>
      </c>
      <c r="E3349" s="17">
        <v>188</v>
      </c>
      <c r="F3349" s="17">
        <v>4633</v>
      </c>
      <c r="G3349" s="13">
        <v>1</v>
      </c>
      <c r="H3349" s="17">
        <v>2</v>
      </c>
      <c r="I3349" s="17">
        <v>0</v>
      </c>
      <c r="J3349" s="17">
        <v>56</v>
      </c>
      <c r="K3349" s="10">
        <v>856</v>
      </c>
      <c r="P3349" s="17">
        <v>1</v>
      </c>
      <c r="Q3349" s="19">
        <v>856</v>
      </c>
      <c r="R3349" s="14">
        <v>160</v>
      </c>
      <c r="S3349" s="19">
        <v>136960</v>
      </c>
      <c r="AJ3349" s="19">
        <v>0</v>
      </c>
      <c r="AK3349" s="23">
        <v>0</v>
      </c>
      <c r="AM3349" s="19">
        <v>0</v>
      </c>
      <c r="AN3349" s="19">
        <v>136960</v>
      </c>
      <c r="AP3349" s="14">
        <v>136960</v>
      </c>
    </row>
    <row r="3350" spans="1:45" x14ac:dyDescent="0.2">
      <c r="A3350" s="121">
        <f t="shared" si="463"/>
        <v>2848</v>
      </c>
      <c r="B3350" s="13">
        <v>5</v>
      </c>
      <c r="C3350" s="17" t="s">
        <v>52</v>
      </c>
      <c r="D3350" s="17">
        <v>30530</v>
      </c>
      <c r="E3350" s="17">
        <v>312</v>
      </c>
      <c r="F3350" s="17">
        <v>5850</v>
      </c>
      <c r="G3350" s="13">
        <v>1</v>
      </c>
      <c r="H3350" s="17">
        <v>0</v>
      </c>
      <c r="I3350" s="17">
        <v>1</v>
      </c>
      <c r="J3350" s="17">
        <v>36</v>
      </c>
      <c r="K3350" s="10" t="s">
        <v>289</v>
      </c>
      <c r="P3350" s="17">
        <v>1</v>
      </c>
      <c r="Q3350" s="19">
        <v>136</v>
      </c>
      <c r="R3350" s="14">
        <v>160</v>
      </c>
      <c r="S3350" s="19">
        <v>21760</v>
      </c>
      <c r="AJ3350" s="19">
        <v>0</v>
      </c>
      <c r="AK3350" s="23">
        <v>0</v>
      </c>
      <c r="AM3350" s="19">
        <v>0</v>
      </c>
      <c r="AN3350" s="19">
        <v>21760</v>
      </c>
      <c r="AP3350" s="14">
        <v>21760</v>
      </c>
    </row>
    <row r="3351" spans="1:45" x14ac:dyDescent="0.2">
      <c r="A3351" s="121">
        <f t="shared" si="463"/>
        <v>2849</v>
      </c>
      <c r="B3351" s="13">
        <v>6</v>
      </c>
      <c r="C3351" s="17" t="s">
        <v>52</v>
      </c>
      <c r="D3351" s="17">
        <v>35575</v>
      </c>
      <c r="E3351" s="17">
        <v>156</v>
      </c>
      <c r="F3351" s="17">
        <v>6942</v>
      </c>
      <c r="G3351" s="13">
        <v>1</v>
      </c>
      <c r="H3351" s="17">
        <v>2</v>
      </c>
      <c r="I3351" s="17">
        <v>2</v>
      </c>
      <c r="J3351" s="17">
        <v>60.1</v>
      </c>
      <c r="K3351" s="10" t="s">
        <v>290</v>
      </c>
      <c r="P3351" s="17">
        <v>1</v>
      </c>
      <c r="Q3351" s="19">
        <v>1060.0999999999999</v>
      </c>
      <c r="R3351" s="14">
        <v>160</v>
      </c>
      <c r="S3351" s="19">
        <v>169616</v>
      </c>
      <c r="AJ3351" s="19">
        <v>0</v>
      </c>
      <c r="AK3351" s="23">
        <v>0</v>
      </c>
      <c r="AM3351" s="19">
        <v>0</v>
      </c>
      <c r="AN3351" s="19">
        <v>169616</v>
      </c>
      <c r="AP3351" s="14">
        <v>169616</v>
      </c>
    </row>
    <row r="3352" spans="1:45" x14ac:dyDescent="0.2">
      <c r="A3352" s="121">
        <f t="shared" si="463"/>
        <v>2850</v>
      </c>
      <c r="B3352" s="13">
        <v>7</v>
      </c>
      <c r="C3352" s="17" t="s">
        <v>69</v>
      </c>
      <c r="E3352" s="17">
        <v>2329</v>
      </c>
      <c r="F3352" s="17">
        <v>11</v>
      </c>
      <c r="G3352" s="13">
        <v>1</v>
      </c>
      <c r="H3352" s="17">
        <v>14</v>
      </c>
      <c r="I3352" s="17">
        <v>3</v>
      </c>
      <c r="J3352" s="17">
        <v>84</v>
      </c>
      <c r="K3352" s="10">
        <v>5984</v>
      </c>
      <c r="P3352" s="17">
        <v>1</v>
      </c>
      <c r="Q3352" s="19">
        <v>5984</v>
      </c>
      <c r="R3352" s="14">
        <v>160</v>
      </c>
      <c r="S3352" s="19">
        <v>957440</v>
      </c>
      <c r="AJ3352" s="19">
        <v>0</v>
      </c>
      <c r="AK3352" s="23">
        <v>0</v>
      </c>
      <c r="AM3352" s="19">
        <v>0</v>
      </c>
      <c r="AN3352" s="19">
        <v>957440</v>
      </c>
      <c r="AP3352" s="14">
        <v>957440</v>
      </c>
      <c r="AQ3352" s="12">
        <v>1E-4</v>
      </c>
    </row>
    <row r="3353" spans="1:45" x14ac:dyDescent="0.2">
      <c r="A3353" s="121">
        <f t="shared" si="463"/>
        <v>2851</v>
      </c>
      <c r="B3353" s="13">
        <v>1</v>
      </c>
      <c r="C3353" s="17" t="s">
        <v>69</v>
      </c>
      <c r="E3353" s="17">
        <v>153</v>
      </c>
      <c r="F3353" s="17">
        <v>6</v>
      </c>
      <c r="G3353" s="13">
        <v>1</v>
      </c>
      <c r="H3353" s="17">
        <v>3</v>
      </c>
      <c r="I3353" s="17">
        <v>2</v>
      </c>
      <c r="J3353" s="17">
        <v>13</v>
      </c>
      <c r="K3353" s="10">
        <v>1413</v>
      </c>
      <c r="P3353" s="17">
        <v>1</v>
      </c>
      <c r="Q3353" s="19">
        <v>1413</v>
      </c>
      <c r="R3353" s="14">
        <v>160</v>
      </c>
      <c r="S3353" s="19">
        <v>226080</v>
      </c>
      <c r="AJ3353" s="19">
        <v>0</v>
      </c>
      <c r="AK3353" s="23">
        <v>0</v>
      </c>
      <c r="AM3353" s="19">
        <v>0</v>
      </c>
      <c r="AN3353" s="19">
        <v>226080</v>
      </c>
      <c r="AP3353" s="14">
        <v>226080</v>
      </c>
      <c r="AQ3353" s="12">
        <v>1E-4</v>
      </c>
    </row>
    <row r="3354" spans="1:45" x14ac:dyDescent="0.2">
      <c r="A3354" s="121">
        <f t="shared" si="463"/>
        <v>2852</v>
      </c>
      <c r="B3354" s="13">
        <v>1</v>
      </c>
      <c r="C3354" s="17" t="s">
        <v>52</v>
      </c>
      <c r="D3354" s="17">
        <v>1577</v>
      </c>
      <c r="E3354" s="17">
        <v>40</v>
      </c>
      <c r="F3354" s="17">
        <v>514</v>
      </c>
      <c r="G3354" s="13">
        <v>2</v>
      </c>
      <c r="H3354" s="17">
        <v>2</v>
      </c>
      <c r="I3354" s="17">
        <v>0</v>
      </c>
      <c r="J3354" s="17">
        <v>64</v>
      </c>
      <c r="K3354" s="10">
        <v>864</v>
      </c>
      <c r="P3354" s="17">
        <v>1</v>
      </c>
      <c r="Q3354" s="19">
        <v>864</v>
      </c>
      <c r="R3354" s="14">
        <v>160</v>
      </c>
      <c r="S3354" s="19">
        <v>138240</v>
      </c>
      <c r="AJ3354" s="19">
        <v>0</v>
      </c>
      <c r="AK3354" s="23">
        <v>0</v>
      </c>
      <c r="AM3354" s="19">
        <v>0</v>
      </c>
      <c r="AN3354" s="19">
        <v>138240</v>
      </c>
      <c r="AP3354" s="14">
        <v>138240</v>
      </c>
    </row>
    <row r="3355" spans="1:45" x14ac:dyDescent="0.2">
      <c r="A3355" s="121">
        <f t="shared" si="463"/>
        <v>2853</v>
      </c>
      <c r="B3355" s="13">
        <v>2</v>
      </c>
      <c r="C3355" s="17" t="s">
        <v>52</v>
      </c>
      <c r="D3355" s="17">
        <v>32808</v>
      </c>
      <c r="E3355" s="17">
        <v>506</v>
      </c>
      <c r="F3355" s="17">
        <v>6465</v>
      </c>
      <c r="G3355" s="13">
        <v>2</v>
      </c>
      <c r="H3355" s="17">
        <v>2</v>
      </c>
      <c r="I3355" s="17">
        <v>3</v>
      </c>
      <c r="J3355" s="17">
        <v>33.04</v>
      </c>
      <c r="K3355" s="10">
        <v>1133.04</v>
      </c>
      <c r="P3355" s="17">
        <v>1</v>
      </c>
      <c r="Q3355" s="19">
        <v>1133.04</v>
      </c>
      <c r="R3355" s="14">
        <v>160</v>
      </c>
      <c r="S3355" s="19">
        <v>181286.39999999999</v>
      </c>
      <c r="AJ3355" s="19">
        <v>0</v>
      </c>
      <c r="AK3355" s="23">
        <v>0</v>
      </c>
      <c r="AM3355" s="19">
        <v>0</v>
      </c>
      <c r="AN3355" s="19">
        <v>181286.39999999999</v>
      </c>
      <c r="AP3355" s="14">
        <v>181286.39999999999</v>
      </c>
    </row>
    <row r="3356" spans="1:45" ht="63" x14ac:dyDescent="0.2">
      <c r="A3356" s="121">
        <f t="shared" si="463"/>
        <v>2854</v>
      </c>
      <c r="B3356" s="13">
        <v>1</v>
      </c>
      <c r="C3356" s="17" t="s">
        <v>52</v>
      </c>
      <c r="D3356" s="17">
        <v>965</v>
      </c>
      <c r="E3356" s="17">
        <v>7</v>
      </c>
      <c r="F3356" s="17">
        <v>375</v>
      </c>
      <c r="G3356" s="13">
        <v>1</v>
      </c>
      <c r="H3356" s="17">
        <v>4</v>
      </c>
      <c r="I3356" s="17">
        <v>3</v>
      </c>
      <c r="J3356" s="17">
        <v>92</v>
      </c>
      <c r="K3356" s="10">
        <v>1992</v>
      </c>
      <c r="P3356" s="17">
        <v>1</v>
      </c>
      <c r="Q3356" s="19">
        <v>1992</v>
      </c>
      <c r="R3356" s="14">
        <v>550</v>
      </c>
      <c r="S3356" s="19">
        <v>1095600</v>
      </c>
      <c r="U3356" s="17" t="s">
        <v>57</v>
      </c>
      <c r="V3356" s="17" t="s">
        <v>56</v>
      </c>
      <c r="W3356" s="4">
        <v>250</v>
      </c>
      <c r="Y3356" s="4" t="s">
        <v>291</v>
      </c>
      <c r="AB3356" s="17">
        <v>8</v>
      </c>
      <c r="AJ3356" s="19">
        <v>0</v>
      </c>
      <c r="AK3356" s="23">
        <v>8</v>
      </c>
      <c r="AM3356" s="19">
        <v>0</v>
      </c>
      <c r="AN3356" s="19">
        <v>1095600</v>
      </c>
      <c r="AP3356" s="14">
        <v>1095600</v>
      </c>
      <c r="AS3356" s="26">
        <v>28</v>
      </c>
    </row>
    <row r="3357" spans="1:45" ht="63" x14ac:dyDescent="0.2">
      <c r="A3357" s="121">
        <f t="shared" si="463"/>
        <v>2855</v>
      </c>
      <c r="B3357" s="13">
        <v>1</v>
      </c>
      <c r="C3357" s="17" t="s">
        <v>52</v>
      </c>
      <c r="D3357" s="17">
        <v>1043</v>
      </c>
      <c r="E3357" s="17">
        <v>33</v>
      </c>
      <c r="F3357" s="17">
        <v>401</v>
      </c>
      <c r="G3357" s="13">
        <v>1</v>
      </c>
      <c r="H3357" s="17">
        <v>0</v>
      </c>
      <c r="I3357" s="17">
        <v>1</v>
      </c>
      <c r="J3357" s="17">
        <v>60</v>
      </c>
      <c r="L3357" s="17">
        <v>160</v>
      </c>
      <c r="P3357" s="17">
        <v>2</v>
      </c>
      <c r="Q3357" s="19">
        <v>160</v>
      </c>
      <c r="R3357" s="14">
        <v>200</v>
      </c>
      <c r="S3357" s="19">
        <v>32000</v>
      </c>
      <c r="T3357" s="17">
        <v>1</v>
      </c>
      <c r="U3357" s="17" t="s">
        <v>57</v>
      </c>
      <c r="V3357" s="17" t="s">
        <v>56</v>
      </c>
      <c r="W3357" s="4">
        <v>72</v>
      </c>
      <c r="Y3357" s="4">
        <v>72</v>
      </c>
      <c r="AB3357" s="17">
        <v>20</v>
      </c>
      <c r="AJ3357" s="19">
        <v>0</v>
      </c>
      <c r="AK3357" s="23">
        <v>20</v>
      </c>
      <c r="AM3357" s="19">
        <v>0</v>
      </c>
      <c r="AN3357" s="19">
        <v>32000</v>
      </c>
      <c r="AP3357" s="14">
        <v>32000</v>
      </c>
    </row>
    <row r="3358" spans="1:45" x14ac:dyDescent="0.2">
      <c r="A3358" s="121">
        <f t="shared" si="463"/>
        <v>2856</v>
      </c>
      <c r="B3358" s="13">
        <v>2</v>
      </c>
      <c r="C3358" s="17" t="s">
        <v>52</v>
      </c>
      <c r="D3358" s="17">
        <v>34262</v>
      </c>
      <c r="E3358" s="17">
        <v>313</v>
      </c>
      <c r="F3358" s="17">
        <v>6804</v>
      </c>
      <c r="G3358" s="13">
        <v>1</v>
      </c>
      <c r="H3358" s="17">
        <v>0</v>
      </c>
      <c r="I3358" s="17">
        <v>0</v>
      </c>
      <c r="J3358" s="17">
        <v>85</v>
      </c>
      <c r="N3358" s="18">
        <v>85</v>
      </c>
      <c r="P3358" s="17">
        <v>4</v>
      </c>
      <c r="Q3358" s="19">
        <v>85</v>
      </c>
      <c r="R3358" s="14">
        <v>160</v>
      </c>
      <c r="S3358" s="19">
        <v>13600</v>
      </c>
      <c r="AJ3358" s="19">
        <v>0</v>
      </c>
      <c r="AK3358" s="23">
        <v>0</v>
      </c>
      <c r="AM3358" s="19">
        <v>0</v>
      </c>
      <c r="AN3358" s="19">
        <v>13600</v>
      </c>
      <c r="AP3358" s="14">
        <v>13600</v>
      </c>
      <c r="AQ3358" s="12">
        <v>3.0000000000000001E-3</v>
      </c>
    </row>
    <row r="3359" spans="1:45" x14ac:dyDescent="0.2">
      <c r="R3359" s="14" t="e">
        <v>#N/A</v>
      </c>
    </row>
    <row r="3360" spans="1:45" x14ac:dyDescent="0.2">
      <c r="A3360" s="2">
        <v>2857</v>
      </c>
      <c r="B3360" s="13">
        <v>1</v>
      </c>
      <c r="C3360" s="17" t="s">
        <v>52</v>
      </c>
      <c r="D3360" s="17">
        <v>5542</v>
      </c>
      <c r="E3360" s="17">
        <v>79</v>
      </c>
      <c r="F3360" s="17">
        <v>2908</v>
      </c>
      <c r="G3360" s="13">
        <v>1</v>
      </c>
      <c r="H3360" s="17">
        <v>0</v>
      </c>
      <c r="I3360" s="17">
        <v>0</v>
      </c>
      <c r="J3360" s="17">
        <v>96.06</v>
      </c>
      <c r="L3360" s="17">
        <v>96.06</v>
      </c>
      <c r="P3360" s="17">
        <v>2</v>
      </c>
      <c r="Q3360" s="19">
        <v>96.06</v>
      </c>
      <c r="R3360" s="14">
        <v>250</v>
      </c>
      <c r="S3360" s="19">
        <v>24015</v>
      </c>
      <c r="AJ3360" s="19">
        <v>0</v>
      </c>
      <c r="AK3360" s="23">
        <v>0</v>
      </c>
      <c r="AM3360" s="19">
        <v>0</v>
      </c>
      <c r="AN3360" s="19">
        <v>24015</v>
      </c>
      <c r="AP3360" s="14">
        <v>24015</v>
      </c>
      <c r="AS3360" s="26">
        <v>24</v>
      </c>
    </row>
    <row r="3361" spans="1:45" x14ac:dyDescent="0.2">
      <c r="A3361" s="2">
        <f>+A3360+1</f>
        <v>2858</v>
      </c>
      <c r="B3361" s="13">
        <v>2</v>
      </c>
      <c r="C3361" s="17" t="s">
        <v>52</v>
      </c>
      <c r="D3361" s="17">
        <v>34261</v>
      </c>
      <c r="E3361" s="17">
        <v>312</v>
      </c>
      <c r="F3361" s="17">
        <v>6803</v>
      </c>
      <c r="G3361" s="13">
        <v>1</v>
      </c>
      <c r="H3361" s="17">
        <v>4</v>
      </c>
      <c r="I3361" s="17">
        <v>0</v>
      </c>
      <c r="J3361" s="17">
        <v>56</v>
      </c>
      <c r="Q3361" s="19">
        <v>1656</v>
      </c>
      <c r="R3361" s="14">
        <v>160</v>
      </c>
      <c r="S3361" s="19">
        <v>264960</v>
      </c>
      <c r="AJ3361" s="19">
        <v>0</v>
      </c>
      <c r="AK3361" s="23">
        <v>0</v>
      </c>
      <c r="AM3361" s="19">
        <v>0</v>
      </c>
      <c r="AN3361" s="19">
        <v>264960</v>
      </c>
      <c r="AP3361" s="14">
        <v>264960</v>
      </c>
    </row>
    <row r="3362" spans="1:45" x14ac:dyDescent="0.2">
      <c r="A3362" s="121">
        <f t="shared" ref="A3362:A3367" si="464">+A3361+1</f>
        <v>2859</v>
      </c>
      <c r="B3362" s="13">
        <v>3</v>
      </c>
      <c r="C3362" s="17" t="s">
        <v>52</v>
      </c>
      <c r="D3362" s="17">
        <v>34264</v>
      </c>
      <c r="E3362" s="17">
        <v>315</v>
      </c>
      <c r="F3362" s="17">
        <v>6806</v>
      </c>
      <c r="G3362" s="13">
        <v>1</v>
      </c>
      <c r="H3362" s="17">
        <v>0</v>
      </c>
      <c r="I3362" s="17">
        <v>0</v>
      </c>
      <c r="J3362" s="17">
        <v>71</v>
      </c>
      <c r="N3362" s="18">
        <v>71</v>
      </c>
      <c r="P3362" s="17">
        <v>4</v>
      </c>
      <c r="Q3362" s="19">
        <v>71</v>
      </c>
      <c r="R3362" s="14">
        <v>160</v>
      </c>
      <c r="S3362" s="19">
        <v>11360</v>
      </c>
      <c r="AJ3362" s="19">
        <v>0</v>
      </c>
      <c r="AK3362" s="23">
        <v>0</v>
      </c>
      <c r="AM3362" s="19">
        <v>0</v>
      </c>
      <c r="AN3362" s="19">
        <v>11360</v>
      </c>
      <c r="AP3362" s="14">
        <v>11360</v>
      </c>
      <c r="AQ3362" s="12">
        <v>3.0000000000000001E-3</v>
      </c>
    </row>
    <row r="3363" spans="1:45" ht="63" x14ac:dyDescent="0.2">
      <c r="A3363" s="121">
        <f t="shared" si="464"/>
        <v>2860</v>
      </c>
      <c r="B3363" s="13">
        <v>4</v>
      </c>
      <c r="C3363" s="17" t="s">
        <v>52</v>
      </c>
      <c r="D3363" s="17">
        <v>35348</v>
      </c>
      <c r="E3363" s="17">
        <v>133</v>
      </c>
      <c r="F3363" s="17">
        <v>7037</v>
      </c>
      <c r="G3363" s="13">
        <v>1</v>
      </c>
      <c r="H3363" s="17">
        <v>0</v>
      </c>
      <c r="I3363" s="17">
        <v>1</v>
      </c>
      <c r="J3363" s="17">
        <v>0</v>
      </c>
      <c r="L3363" s="17">
        <v>100</v>
      </c>
      <c r="P3363" s="17">
        <v>2</v>
      </c>
      <c r="Q3363" s="19">
        <v>100</v>
      </c>
      <c r="R3363" s="14">
        <v>160</v>
      </c>
      <c r="S3363" s="19">
        <v>16000</v>
      </c>
      <c r="T3363" s="17">
        <v>1</v>
      </c>
      <c r="U3363" s="17" t="s">
        <v>57</v>
      </c>
      <c r="V3363" s="17" t="s">
        <v>56</v>
      </c>
      <c r="W3363" s="4">
        <v>50</v>
      </c>
      <c r="Y3363" s="4">
        <v>50</v>
      </c>
      <c r="AJ3363" s="19">
        <v>0</v>
      </c>
      <c r="AK3363" s="23">
        <v>0</v>
      </c>
      <c r="AM3363" s="19">
        <v>0</v>
      </c>
      <c r="AN3363" s="19">
        <v>16000</v>
      </c>
      <c r="AP3363" s="14">
        <v>16000</v>
      </c>
    </row>
    <row r="3364" spans="1:45" x14ac:dyDescent="0.2">
      <c r="A3364" s="121">
        <f t="shared" si="464"/>
        <v>2861</v>
      </c>
      <c r="B3364" s="13">
        <v>1</v>
      </c>
      <c r="C3364" s="17" t="s">
        <v>52</v>
      </c>
      <c r="D3364" s="17">
        <v>34259</v>
      </c>
      <c r="E3364" s="17">
        <v>310</v>
      </c>
      <c r="F3364" s="17">
        <v>6801</v>
      </c>
      <c r="G3364" s="13">
        <v>1</v>
      </c>
      <c r="H3364" s="17">
        <v>2</v>
      </c>
      <c r="I3364" s="17">
        <v>3</v>
      </c>
      <c r="J3364" s="17">
        <v>47</v>
      </c>
      <c r="K3364" s="10">
        <v>1147</v>
      </c>
      <c r="P3364" s="17">
        <v>1</v>
      </c>
      <c r="Q3364" s="19">
        <v>1147</v>
      </c>
      <c r="R3364" s="14">
        <v>160</v>
      </c>
      <c r="S3364" s="19">
        <v>183520</v>
      </c>
      <c r="AJ3364" s="19">
        <v>0</v>
      </c>
      <c r="AK3364" s="23">
        <v>0</v>
      </c>
      <c r="AM3364" s="19">
        <v>0</v>
      </c>
      <c r="AN3364" s="19">
        <v>183520</v>
      </c>
      <c r="AP3364" s="14">
        <v>183520</v>
      </c>
      <c r="AS3364" s="26">
        <v>16</v>
      </c>
    </row>
    <row r="3365" spans="1:45" x14ac:dyDescent="0.2">
      <c r="A3365" s="121">
        <f t="shared" si="464"/>
        <v>2862</v>
      </c>
      <c r="B3365" s="13">
        <v>1</v>
      </c>
      <c r="C3365" s="17" t="s">
        <v>52</v>
      </c>
      <c r="D3365" s="17">
        <v>1084</v>
      </c>
      <c r="E3365" s="17">
        <v>3</v>
      </c>
      <c r="F3365" s="17">
        <v>944</v>
      </c>
      <c r="G3365" s="13">
        <v>1</v>
      </c>
      <c r="H3365" s="17">
        <v>10</v>
      </c>
      <c r="I3365" s="17">
        <v>3</v>
      </c>
      <c r="J3365" s="17">
        <v>74</v>
      </c>
      <c r="K3365" s="10">
        <v>4374</v>
      </c>
      <c r="P3365" s="17">
        <v>1</v>
      </c>
      <c r="Q3365" s="19">
        <v>4374</v>
      </c>
      <c r="R3365" s="14">
        <v>200</v>
      </c>
      <c r="S3365" s="19">
        <v>874800</v>
      </c>
      <c r="AJ3365" s="19">
        <v>0</v>
      </c>
      <c r="AK3365" s="23">
        <v>0</v>
      </c>
      <c r="AM3365" s="19">
        <v>0</v>
      </c>
      <c r="AN3365" s="19">
        <v>874800</v>
      </c>
      <c r="AP3365" s="14">
        <v>874800</v>
      </c>
      <c r="AS3365" s="26">
        <v>169</v>
      </c>
    </row>
    <row r="3366" spans="1:45" x14ac:dyDescent="0.2">
      <c r="A3366" s="121">
        <f t="shared" si="464"/>
        <v>2863</v>
      </c>
      <c r="B3366" s="13">
        <v>2</v>
      </c>
      <c r="C3366" s="17" t="s">
        <v>52</v>
      </c>
      <c r="D3366" s="17">
        <v>36029</v>
      </c>
      <c r="E3366" s="17">
        <v>373</v>
      </c>
      <c r="F3366" s="17">
        <v>7062</v>
      </c>
      <c r="G3366" s="13">
        <v>1</v>
      </c>
      <c r="H3366" s="17">
        <v>1</v>
      </c>
      <c r="I3366" s="17">
        <v>2</v>
      </c>
      <c r="J3366" s="17">
        <v>79.02</v>
      </c>
      <c r="K3366" s="10">
        <v>679.02</v>
      </c>
      <c r="P3366" s="17">
        <v>1</v>
      </c>
      <c r="Q3366" s="19">
        <v>679.02</v>
      </c>
      <c r="R3366" s="14">
        <v>200</v>
      </c>
      <c r="S3366" s="19">
        <v>135804</v>
      </c>
      <c r="AJ3366" s="19">
        <v>0</v>
      </c>
      <c r="AK3366" s="23">
        <v>0</v>
      </c>
      <c r="AM3366" s="19">
        <v>0</v>
      </c>
      <c r="AN3366" s="19">
        <v>135804</v>
      </c>
      <c r="AP3366" s="14">
        <v>135804</v>
      </c>
    </row>
    <row r="3367" spans="1:45" x14ac:dyDescent="0.2">
      <c r="A3367" s="121">
        <f t="shared" si="464"/>
        <v>2864</v>
      </c>
      <c r="B3367" s="13">
        <v>1</v>
      </c>
      <c r="C3367" s="17" t="s">
        <v>52</v>
      </c>
      <c r="D3367" s="17">
        <v>1338</v>
      </c>
      <c r="E3367" s="17">
        <v>122</v>
      </c>
      <c r="F3367" s="17">
        <v>627</v>
      </c>
      <c r="G3367" s="13">
        <v>1</v>
      </c>
      <c r="H3367" s="17">
        <v>6</v>
      </c>
      <c r="I3367" s="17">
        <v>1</v>
      </c>
      <c r="J3367" s="17">
        <v>27</v>
      </c>
      <c r="K3367" s="10" t="s">
        <v>292</v>
      </c>
      <c r="M3367" s="15" t="s">
        <v>292</v>
      </c>
      <c r="P3367" s="17">
        <v>2</v>
      </c>
      <c r="Q3367" s="19">
        <v>2527</v>
      </c>
      <c r="R3367" s="14">
        <v>750</v>
      </c>
      <c r="S3367" s="19">
        <v>1895250</v>
      </c>
      <c r="AJ3367" s="19">
        <v>0</v>
      </c>
      <c r="AK3367" s="23">
        <v>0</v>
      </c>
      <c r="AM3367" s="19">
        <v>0</v>
      </c>
      <c r="AN3367" s="19">
        <v>1895250</v>
      </c>
      <c r="AP3367" s="14">
        <v>1895250</v>
      </c>
      <c r="AQ3367" s="12">
        <v>3.0000000000000001E-3</v>
      </c>
      <c r="AS3367" s="26">
        <v>52</v>
      </c>
    </row>
    <row r="3368" spans="1:45" ht="42" x14ac:dyDescent="0.2">
      <c r="T3368" s="17">
        <v>1</v>
      </c>
      <c r="U3368" s="17" t="s">
        <v>293</v>
      </c>
      <c r="V3368" s="17" t="s">
        <v>56</v>
      </c>
      <c r="W3368" s="4">
        <v>448</v>
      </c>
      <c r="Z3368" s="17">
        <v>448</v>
      </c>
      <c r="AB3368" s="17">
        <v>16</v>
      </c>
      <c r="AF3368" s="14">
        <v>3</v>
      </c>
      <c r="AG3368" s="54">
        <v>448</v>
      </c>
      <c r="AH3368" s="11">
        <v>1</v>
      </c>
      <c r="AI3368" s="14">
        <v>7650</v>
      </c>
      <c r="AJ3368" s="19">
        <v>3427200</v>
      </c>
      <c r="AK3368" s="23">
        <v>16</v>
      </c>
      <c r="AL3368" s="11">
        <v>0.22</v>
      </c>
      <c r="AM3368" s="19">
        <v>2673216</v>
      </c>
      <c r="AP3368" s="14">
        <v>2673216</v>
      </c>
      <c r="AQ3368" s="12">
        <v>3.0000000000000001E-3</v>
      </c>
    </row>
    <row r="3369" spans="1:45" ht="42" x14ac:dyDescent="0.2">
      <c r="T3369" s="17">
        <v>2</v>
      </c>
      <c r="U3369" s="17" t="s">
        <v>293</v>
      </c>
      <c r="V3369" s="17" t="s">
        <v>56</v>
      </c>
      <c r="W3369" s="4">
        <v>832</v>
      </c>
      <c r="Z3369" s="17">
        <v>832</v>
      </c>
      <c r="AB3369" s="17">
        <v>16</v>
      </c>
      <c r="AF3369" s="14">
        <v>3</v>
      </c>
      <c r="AG3369" s="54">
        <v>832</v>
      </c>
      <c r="AH3369" s="11">
        <v>1</v>
      </c>
      <c r="AI3369" s="14">
        <v>7650</v>
      </c>
      <c r="AJ3369" s="19">
        <v>6364800</v>
      </c>
      <c r="AK3369" s="23">
        <v>16</v>
      </c>
      <c r="AL3369" s="11">
        <v>0.22</v>
      </c>
      <c r="AM3369" s="19">
        <v>4964544</v>
      </c>
      <c r="AP3369" s="14">
        <v>4964544</v>
      </c>
      <c r="AQ3369" s="12">
        <v>3.0000000000000001E-3</v>
      </c>
    </row>
    <row r="3370" spans="1:45" x14ac:dyDescent="0.2">
      <c r="A3370" s="2">
        <v>2865</v>
      </c>
      <c r="B3370" s="13">
        <v>1</v>
      </c>
      <c r="C3370" s="17" t="s">
        <v>52</v>
      </c>
      <c r="D3370" s="17">
        <v>1101</v>
      </c>
      <c r="E3370" s="17">
        <v>10</v>
      </c>
      <c r="F3370" s="17">
        <v>990</v>
      </c>
      <c r="G3370" s="13">
        <v>1</v>
      </c>
      <c r="H3370" s="17">
        <v>3</v>
      </c>
      <c r="I3370" s="17">
        <v>2</v>
      </c>
      <c r="J3370" s="17">
        <v>65</v>
      </c>
      <c r="K3370" s="10">
        <v>1465</v>
      </c>
      <c r="P3370" s="17">
        <v>1</v>
      </c>
      <c r="Q3370" s="19">
        <v>1465</v>
      </c>
      <c r="R3370" s="14">
        <v>160</v>
      </c>
      <c r="S3370" s="19">
        <v>234400</v>
      </c>
      <c r="AJ3370" s="19">
        <v>0</v>
      </c>
      <c r="AK3370" s="23">
        <v>0</v>
      </c>
      <c r="AM3370" s="19">
        <v>0</v>
      </c>
      <c r="AN3370" s="19">
        <v>234400</v>
      </c>
      <c r="AP3370" s="14">
        <v>234400</v>
      </c>
    </row>
    <row r="3371" spans="1:45" x14ac:dyDescent="0.2">
      <c r="A3371" s="2">
        <f>+A3370+1</f>
        <v>2866</v>
      </c>
      <c r="B3371" s="13">
        <v>2</v>
      </c>
      <c r="C3371" s="17" t="s">
        <v>52</v>
      </c>
      <c r="D3371" s="17">
        <v>1102</v>
      </c>
      <c r="E3371" s="17">
        <v>17</v>
      </c>
      <c r="F3371" s="17">
        <v>991</v>
      </c>
      <c r="G3371" s="13">
        <v>1</v>
      </c>
      <c r="H3371" s="17">
        <v>7</v>
      </c>
      <c r="I3371" s="17">
        <v>0</v>
      </c>
      <c r="J3371" s="17">
        <v>3</v>
      </c>
      <c r="K3371" s="10">
        <v>2803</v>
      </c>
      <c r="P3371" s="17">
        <v>1</v>
      </c>
      <c r="Q3371" s="19">
        <v>2803</v>
      </c>
      <c r="R3371" s="14">
        <v>160</v>
      </c>
      <c r="S3371" s="19">
        <v>448480</v>
      </c>
      <c r="AJ3371" s="19">
        <v>0</v>
      </c>
      <c r="AK3371" s="23">
        <v>0</v>
      </c>
      <c r="AM3371" s="19">
        <v>0</v>
      </c>
      <c r="AN3371" s="19">
        <v>448480</v>
      </c>
      <c r="AP3371" s="14">
        <v>448480</v>
      </c>
    </row>
    <row r="3372" spans="1:45" x14ac:dyDescent="0.2">
      <c r="A3372" s="121">
        <f t="shared" ref="A3372:A3373" si="465">+A3371+1</f>
        <v>2867</v>
      </c>
      <c r="B3372" s="13">
        <v>3</v>
      </c>
      <c r="C3372" s="17" t="s">
        <v>52</v>
      </c>
      <c r="D3372" s="17">
        <v>1337</v>
      </c>
      <c r="E3372" s="17">
        <v>56</v>
      </c>
      <c r="F3372" s="17">
        <v>626</v>
      </c>
      <c r="G3372" s="13">
        <v>1</v>
      </c>
      <c r="H3372" s="17">
        <v>8</v>
      </c>
      <c r="I3372" s="17">
        <v>3</v>
      </c>
      <c r="J3372" s="17">
        <v>26</v>
      </c>
      <c r="K3372" s="10">
        <v>3526</v>
      </c>
      <c r="P3372" s="17">
        <v>1</v>
      </c>
      <c r="Q3372" s="19">
        <v>3526</v>
      </c>
      <c r="R3372" s="14">
        <v>160</v>
      </c>
      <c r="S3372" s="19">
        <v>564160</v>
      </c>
      <c r="AJ3372" s="19">
        <v>0</v>
      </c>
      <c r="AK3372" s="23">
        <v>0</v>
      </c>
      <c r="AM3372" s="19">
        <v>0</v>
      </c>
      <c r="AN3372" s="19">
        <v>564160</v>
      </c>
      <c r="AP3372" s="14">
        <v>564160</v>
      </c>
    </row>
    <row r="3373" spans="1:45" x14ac:dyDescent="0.2">
      <c r="A3373" s="121">
        <f t="shared" si="465"/>
        <v>2868</v>
      </c>
      <c r="B3373" s="13">
        <v>4</v>
      </c>
      <c r="C3373" s="17" t="s">
        <v>52</v>
      </c>
      <c r="D3373" s="17">
        <v>24546</v>
      </c>
      <c r="E3373" s="17">
        <v>284</v>
      </c>
      <c r="F3373" s="17">
        <v>4894</v>
      </c>
      <c r="H3373" s="17">
        <v>0</v>
      </c>
      <c r="I3373" s="17">
        <v>0</v>
      </c>
      <c r="J3373" s="17">
        <v>73</v>
      </c>
      <c r="N3373" s="18">
        <v>73</v>
      </c>
      <c r="P3373" s="17">
        <v>4</v>
      </c>
      <c r="Q3373" s="19">
        <v>73</v>
      </c>
      <c r="R3373" s="14">
        <v>2000</v>
      </c>
      <c r="S3373" s="19">
        <v>146000</v>
      </c>
      <c r="AJ3373" s="19">
        <v>0</v>
      </c>
      <c r="AK3373" s="23">
        <v>0</v>
      </c>
      <c r="AM3373" s="19">
        <v>0</v>
      </c>
      <c r="AN3373" s="19">
        <v>146000</v>
      </c>
      <c r="AP3373" s="14">
        <v>146000</v>
      </c>
      <c r="AQ3373" s="12">
        <v>3.0000000000000001E-3</v>
      </c>
    </row>
    <row r="3374" spans="1:45" x14ac:dyDescent="0.2">
      <c r="B3374" s="13">
        <v>5</v>
      </c>
      <c r="C3374" s="17" t="s">
        <v>65</v>
      </c>
      <c r="D3374" s="17">
        <v>472</v>
      </c>
      <c r="E3374" s="17">
        <v>25</v>
      </c>
      <c r="H3374" s="17">
        <v>9</v>
      </c>
      <c r="I3374" s="17">
        <v>3</v>
      </c>
      <c r="J3374" s="17">
        <v>20</v>
      </c>
      <c r="K3374" s="10">
        <v>3920</v>
      </c>
      <c r="Q3374" s="19">
        <v>3920</v>
      </c>
      <c r="R3374" s="14" t="e">
        <v>#N/A</v>
      </c>
      <c r="S3374" s="19" t="e">
        <v>#N/A</v>
      </c>
      <c r="W3374" s="4" t="s">
        <v>94</v>
      </c>
      <c r="AE3374" s="17" t="s">
        <v>94</v>
      </c>
      <c r="AJ3374" s="19">
        <v>0</v>
      </c>
      <c r="AK3374" s="23">
        <v>0</v>
      </c>
      <c r="AM3374" s="19">
        <v>0</v>
      </c>
      <c r="AN3374" s="19" t="e">
        <v>#N/A</v>
      </c>
      <c r="AP3374" s="14" t="e">
        <v>#N/A</v>
      </c>
      <c r="AQ3374" s="12">
        <v>1E-4</v>
      </c>
    </row>
    <row r="3375" spans="1:45" x14ac:dyDescent="0.2">
      <c r="B3375" s="13">
        <v>6</v>
      </c>
      <c r="C3375" s="17" t="s">
        <v>65</v>
      </c>
      <c r="D3375" s="17">
        <v>561</v>
      </c>
      <c r="E3375" s="17">
        <v>165</v>
      </c>
      <c r="H3375" s="17">
        <v>13</v>
      </c>
      <c r="I3375" s="17">
        <v>2</v>
      </c>
      <c r="J3375" s="17">
        <v>26</v>
      </c>
      <c r="K3375" s="10">
        <v>5426</v>
      </c>
      <c r="Q3375" s="19">
        <v>5426</v>
      </c>
      <c r="R3375" s="14" t="e">
        <v>#N/A</v>
      </c>
      <c r="S3375" s="19" t="e">
        <v>#N/A</v>
      </c>
      <c r="AE3375" s="17" t="s">
        <v>94</v>
      </c>
      <c r="AJ3375" s="19">
        <v>0</v>
      </c>
      <c r="AK3375" s="23">
        <v>0</v>
      </c>
      <c r="AM3375" s="19">
        <v>0</v>
      </c>
      <c r="AN3375" s="19" t="e">
        <v>#N/A</v>
      </c>
      <c r="AP3375" s="14" t="e">
        <v>#N/A</v>
      </c>
      <c r="AQ3375" s="12">
        <v>1E-4</v>
      </c>
    </row>
    <row r="3376" spans="1:45" x14ac:dyDescent="0.2">
      <c r="A3376" s="2">
        <v>2869</v>
      </c>
      <c r="B3376" s="13">
        <v>1</v>
      </c>
      <c r="C3376" s="17" t="s">
        <v>52</v>
      </c>
      <c r="D3376" s="17">
        <v>1026</v>
      </c>
      <c r="E3376" s="17">
        <v>21</v>
      </c>
      <c r="F3376" s="17">
        <v>325</v>
      </c>
      <c r="G3376" s="13">
        <v>1</v>
      </c>
      <c r="H3376" s="17">
        <v>10</v>
      </c>
      <c r="I3376" s="17">
        <v>0</v>
      </c>
      <c r="J3376" s="17">
        <v>31</v>
      </c>
      <c r="K3376" s="10">
        <v>4031</v>
      </c>
      <c r="P3376" s="17">
        <v>1</v>
      </c>
      <c r="Q3376" s="19">
        <v>4031</v>
      </c>
      <c r="R3376" s="14">
        <v>200</v>
      </c>
      <c r="S3376" s="19">
        <v>806200</v>
      </c>
      <c r="AJ3376" s="19">
        <v>0</v>
      </c>
      <c r="AK3376" s="23">
        <v>0</v>
      </c>
      <c r="AM3376" s="19">
        <v>0</v>
      </c>
      <c r="AN3376" s="19">
        <v>806200</v>
      </c>
      <c r="AP3376" s="14">
        <v>806200</v>
      </c>
    </row>
    <row r="3377" spans="1:45" s="19" customFormat="1" x14ac:dyDescent="0.2">
      <c r="A3377" s="2">
        <v>2870</v>
      </c>
      <c r="B3377" s="13">
        <v>2</v>
      </c>
      <c r="C3377" s="17" t="s">
        <v>65</v>
      </c>
      <c r="D3377" s="17">
        <v>780</v>
      </c>
      <c r="E3377" s="17">
        <v>210</v>
      </c>
      <c r="F3377" s="17"/>
      <c r="G3377" s="13"/>
      <c r="H3377" s="17">
        <v>5</v>
      </c>
      <c r="I3377" s="17">
        <v>1</v>
      </c>
      <c r="J3377" s="17">
        <v>23</v>
      </c>
      <c r="K3377" s="10">
        <v>2123</v>
      </c>
      <c r="L3377" s="17"/>
      <c r="M3377" s="15"/>
      <c r="N3377" s="18"/>
      <c r="O3377" s="14"/>
      <c r="P3377" s="17">
        <v>1</v>
      </c>
      <c r="Q3377" s="19">
        <v>2123</v>
      </c>
      <c r="R3377" s="14">
        <v>200</v>
      </c>
      <c r="S3377" s="19">
        <v>424600</v>
      </c>
      <c r="T3377" s="17"/>
      <c r="U3377" s="17"/>
      <c r="V3377" s="17"/>
      <c r="W3377" s="4"/>
      <c r="X3377" s="17"/>
      <c r="Y3377" s="4"/>
      <c r="Z3377" s="17"/>
      <c r="AA3377" s="17"/>
      <c r="AB3377" s="17"/>
      <c r="AC3377" s="14"/>
      <c r="AD3377" s="14"/>
      <c r="AE3377" s="17"/>
      <c r="AF3377" s="14"/>
      <c r="AG3377" s="54"/>
      <c r="AH3377" s="11"/>
      <c r="AI3377" s="14"/>
      <c r="AJ3377" s="19">
        <v>0</v>
      </c>
      <c r="AK3377" s="23">
        <v>0</v>
      </c>
      <c r="AL3377" s="11"/>
      <c r="AM3377" s="19">
        <v>0</v>
      </c>
      <c r="AN3377" s="19">
        <v>424600</v>
      </c>
      <c r="AO3377" s="14"/>
      <c r="AP3377" s="14">
        <v>424600</v>
      </c>
      <c r="AQ3377" s="12">
        <v>1E-4</v>
      </c>
      <c r="AS3377" s="26"/>
    </row>
    <row r="3378" spans="1:45" s="19" customFormat="1" x14ac:dyDescent="0.2">
      <c r="A3378" s="2">
        <v>2871</v>
      </c>
      <c r="B3378" s="13">
        <v>1</v>
      </c>
      <c r="C3378" s="17" t="s">
        <v>52</v>
      </c>
      <c r="D3378" s="17">
        <v>976</v>
      </c>
      <c r="E3378" s="17">
        <v>3</v>
      </c>
      <c r="F3378" s="17">
        <v>380</v>
      </c>
      <c r="G3378" s="13">
        <v>1</v>
      </c>
      <c r="H3378" s="17">
        <v>0</v>
      </c>
      <c r="I3378" s="17">
        <v>1</v>
      </c>
      <c r="J3378" s="17">
        <v>73</v>
      </c>
      <c r="K3378" s="10"/>
      <c r="L3378" s="17"/>
      <c r="M3378" s="15" t="s">
        <v>294</v>
      </c>
      <c r="N3378" s="18"/>
      <c r="O3378" s="14"/>
      <c r="P3378" s="17">
        <v>5</v>
      </c>
      <c r="Q3378" s="19">
        <v>173</v>
      </c>
      <c r="R3378" s="14">
        <v>2250</v>
      </c>
      <c r="S3378" s="19">
        <v>389250</v>
      </c>
      <c r="T3378" s="17"/>
      <c r="U3378" s="17"/>
      <c r="V3378" s="17"/>
      <c r="W3378" s="4"/>
      <c r="X3378" s="17"/>
      <c r="Y3378" s="4"/>
      <c r="Z3378" s="17"/>
      <c r="AA3378" s="17"/>
      <c r="AB3378" s="17"/>
      <c r="AC3378" s="14"/>
      <c r="AD3378" s="14"/>
      <c r="AE3378" s="17"/>
      <c r="AF3378" s="14"/>
      <c r="AG3378" s="54"/>
      <c r="AH3378" s="11"/>
      <c r="AI3378" s="14"/>
      <c r="AJ3378" s="19">
        <v>0</v>
      </c>
      <c r="AK3378" s="23">
        <v>0</v>
      </c>
      <c r="AL3378" s="11"/>
      <c r="AM3378" s="19">
        <v>0</v>
      </c>
      <c r="AO3378" s="14"/>
      <c r="AP3378" s="14"/>
      <c r="AQ3378" s="12"/>
      <c r="AS3378" s="26"/>
    </row>
    <row r="3379" spans="1:45" s="19" customFormat="1" x14ac:dyDescent="0.2">
      <c r="A3379" s="2"/>
      <c r="B3379" s="13"/>
      <c r="C3379" s="17"/>
      <c r="D3379" s="17"/>
      <c r="E3379" s="17"/>
      <c r="F3379" s="17"/>
      <c r="G3379" s="13"/>
      <c r="H3379" s="17"/>
      <c r="I3379" s="17"/>
      <c r="J3379" s="17"/>
      <c r="K3379" s="10"/>
      <c r="L3379" s="17"/>
      <c r="M3379" s="15"/>
      <c r="N3379" s="18"/>
      <c r="O3379" s="14"/>
      <c r="P3379" s="17">
        <v>4</v>
      </c>
      <c r="R3379" s="14" t="e">
        <v>#N/A</v>
      </c>
      <c r="S3379" s="19" t="e">
        <v>#N/A</v>
      </c>
      <c r="T3379" s="17">
        <v>1</v>
      </c>
      <c r="U3379" s="17"/>
      <c r="V3379" s="17"/>
      <c r="W3379" s="4"/>
      <c r="X3379" s="17"/>
      <c r="Y3379" s="4"/>
      <c r="Z3379" s="17"/>
      <c r="AA3379" s="17"/>
      <c r="AB3379" s="17"/>
      <c r="AC3379" s="14"/>
      <c r="AD3379" s="14"/>
      <c r="AE3379" s="17"/>
      <c r="AF3379" s="14"/>
      <c r="AG3379" s="54"/>
      <c r="AH3379" s="11"/>
      <c r="AI3379" s="14"/>
      <c r="AK3379" s="23"/>
      <c r="AL3379" s="11"/>
      <c r="AN3379" s="19">
        <v>262687.5</v>
      </c>
      <c r="AO3379" s="14"/>
      <c r="AP3379" s="14">
        <v>262687.5</v>
      </c>
      <c r="AQ3379" s="12">
        <v>3.0000000000000001E-3</v>
      </c>
      <c r="AS3379" s="26"/>
    </row>
    <row r="3380" spans="1:45" s="19" customFormat="1" x14ac:dyDescent="0.2">
      <c r="A3380" s="2"/>
      <c r="B3380" s="13"/>
      <c r="C3380" s="17"/>
      <c r="D3380" s="17"/>
      <c r="E3380" s="17"/>
      <c r="F3380" s="17"/>
      <c r="G3380" s="13"/>
      <c r="H3380" s="17"/>
      <c r="I3380" s="17"/>
      <c r="J3380" s="17"/>
      <c r="K3380" s="10"/>
      <c r="L3380" s="17"/>
      <c r="M3380" s="15"/>
      <c r="N3380" s="18"/>
      <c r="O3380" s="14"/>
      <c r="P3380" s="17">
        <v>3</v>
      </c>
      <c r="Q3380" s="19">
        <v>56.25</v>
      </c>
      <c r="R3380" s="14">
        <v>2250</v>
      </c>
      <c r="S3380" s="19">
        <v>126562.5</v>
      </c>
      <c r="T3380" s="17">
        <v>2</v>
      </c>
      <c r="U3380" s="17"/>
      <c r="V3380" s="17"/>
      <c r="W3380" s="4"/>
      <c r="X3380" s="17"/>
      <c r="Y3380" s="4"/>
      <c r="Z3380" s="17"/>
      <c r="AA3380" s="17"/>
      <c r="AB3380" s="17"/>
      <c r="AC3380" s="14"/>
      <c r="AD3380" s="14"/>
      <c r="AE3380" s="17" t="s">
        <v>295</v>
      </c>
      <c r="AF3380" s="14"/>
      <c r="AG3380" s="54"/>
      <c r="AH3380" s="11"/>
      <c r="AI3380" s="14"/>
      <c r="AK3380" s="23"/>
      <c r="AL3380" s="11"/>
      <c r="AN3380" s="19">
        <v>126562.5</v>
      </c>
      <c r="AO3380" s="14"/>
      <c r="AP3380" s="14">
        <v>126562.5</v>
      </c>
      <c r="AQ3380" s="12">
        <v>3.0000000000000001E-3</v>
      </c>
      <c r="AS3380" s="26"/>
    </row>
    <row r="3381" spans="1:45" s="19" customFormat="1" x14ac:dyDescent="0.2">
      <c r="A3381" s="2">
        <v>2872</v>
      </c>
      <c r="B3381" s="13">
        <v>2</v>
      </c>
      <c r="C3381" s="17" t="s">
        <v>52</v>
      </c>
      <c r="D3381" s="17">
        <v>29214</v>
      </c>
      <c r="E3381" s="17">
        <v>238</v>
      </c>
      <c r="F3381" s="17">
        <v>5409</v>
      </c>
      <c r="G3381" s="13">
        <v>1</v>
      </c>
      <c r="H3381" s="17">
        <v>0</v>
      </c>
      <c r="I3381" s="17">
        <v>2</v>
      </c>
      <c r="J3381" s="17">
        <v>83</v>
      </c>
      <c r="K3381" s="10">
        <v>283</v>
      </c>
      <c r="L3381" s="17"/>
      <c r="M3381" s="15"/>
      <c r="N3381" s="18"/>
      <c r="O3381" s="14"/>
      <c r="P3381" s="17">
        <v>1</v>
      </c>
      <c r="Q3381" s="19">
        <v>283</v>
      </c>
      <c r="R3381" s="14">
        <v>1500</v>
      </c>
      <c r="S3381" s="19">
        <v>424500</v>
      </c>
      <c r="T3381" s="17"/>
      <c r="U3381" s="17"/>
      <c r="V3381" s="17"/>
      <c r="W3381" s="4"/>
      <c r="X3381" s="17"/>
      <c r="Y3381" s="4"/>
      <c r="Z3381" s="17"/>
      <c r="AA3381" s="17"/>
      <c r="AB3381" s="17"/>
      <c r="AC3381" s="14"/>
      <c r="AD3381" s="14"/>
      <c r="AE3381" s="17"/>
      <c r="AF3381" s="14"/>
      <c r="AG3381" s="54"/>
      <c r="AH3381" s="11"/>
      <c r="AI3381" s="14"/>
      <c r="AJ3381" s="19">
        <v>0</v>
      </c>
      <c r="AK3381" s="23">
        <v>0</v>
      </c>
      <c r="AL3381" s="11"/>
      <c r="AM3381" s="19">
        <v>0</v>
      </c>
      <c r="AN3381" s="19">
        <v>424500</v>
      </c>
      <c r="AO3381" s="14"/>
      <c r="AP3381" s="14">
        <v>424500</v>
      </c>
      <c r="AQ3381" s="12"/>
      <c r="AS3381" s="26"/>
    </row>
    <row r="3382" spans="1:45" s="19" customFormat="1" x14ac:dyDescent="0.2">
      <c r="A3382" s="2">
        <f>+A3381+1</f>
        <v>2873</v>
      </c>
      <c r="B3382" s="13">
        <v>3</v>
      </c>
      <c r="C3382" s="17" t="s">
        <v>52</v>
      </c>
      <c r="D3382" s="17">
        <v>29215</v>
      </c>
      <c r="E3382" s="17">
        <v>239</v>
      </c>
      <c r="F3382" s="17">
        <v>5410</v>
      </c>
      <c r="G3382" s="13">
        <v>1</v>
      </c>
      <c r="H3382" s="17">
        <v>0</v>
      </c>
      <c r="I3382" s="17">
        <v>2</v>
      </c>
      <c r="J3382" s="17">
        <v>40</v>
      </c>
      <c r="K3382" s="10">
        <v>240</v>
      </c>
      <c r="L3382" s="17"/>
      <c r="M3382" s="15"/>
      <c r="N3382" s="18"/>
      <c r="O3382" s="14"/>
      <c r="P3382" s="17">
        <v>1</v>
      </c>
      <c r="Q3382" s="19">
        <v>240</v>
      </c>
      <c r="R3382" s="14">
        <v>1500</v>
      </c>
      <c r="S3382" s="19">
        <v>360000</v>
      </c>
      <c r="T3382" s="17"/>
      <c r="U3382" s="17"/>
      <c r="V3382" s="17"/>
      <c r="W3382" s="4"/>
      <c r="X3382" s="17"/>
      <c r="Y3382" s="4"/>
      <c r="Z3382" s="17"/>
      <c r="AA3382" s="17"/>
      <c r="AB3382" s="17"/>
      <c r="AC3382" s="14"/>
      <c r="AD3382" s="14"/>
      <c r="AE3382" s="17"/>
      <c r="AF3382" s="14"/>
      <c r="AG3382" s="54"/>
      <c r="AH3382" s="11"/>
      <c r="AI3382" s="14"/>
      <c r="AJ3382" s="19">
        <v>0</v>
      </c>
      <c r="AK3382" s="23">
        <v>0</v>
      </c>
      <c r="AL3382" s="11"/>
      <c r="AM3382" s="19">
        <v>0</v>
      </c>
      <c r="AN3382" s="19">
        <v>360000</v>
      </c>
      <c r="AO3382" s="14"/>
      <c r="AP3382" s="14">
        <v>360000</v>
      </c>
      <c r="AQ3382" s="12"/>
      <c r="AS3382" s="26"/>
    </row>
    <row r="3383" spans="1:45" s="19" customFormat="1" x14ac:dyDescent="0.2">
      <c r="A3383" s="121">
        <f t="shared" ref="A3383:A3396" si="466">+A3382+1</f>
        <v>2874</v>
      </c>
      <c r="B3383" s="13">
        <v>4</v>
      </c>
      <c r="C3383" s="17" t="s">
        <v>52</v>
      </c>
      <c r="D3383" s="17">
        <v>29218</v>
      </c>
      <c r="E3383" s="17">
        <v>242</v>
      </c>
      <c r="F3383" s="17">
        <v>5413</v>
      </c>
      <c r="G3383" s="13">
        <v>1</v>
      </c>
      <c r="H3383" s="17">
        <v>0</v>
      </c>
      <c r="I3383" s="17">
        <v>2</v>
      </c>
      <c r="J3383" s="17">
        <v>21</v>
      </c>
      <c r="K3383" s="10">
        <v>221</v>
      </c>
      <c r="L3383" s="17"/>
      <c r="M3383" s="15"/>
      <c r="N3383" s="18"/>
      <c r="O3383" s="14"/>
      <c r="P3383" s="17">
        <v>1</v>
      </c>
      <c r="Q3383" s="19">
        <v>221</v>
      </c>
      <c r="R3383" s="14">
        <v>1500</v>
      </c>
      <c r="S3383" s="19">
        <v>331500</v>
      </c>
      <c r="T3383" s="17"/>
      <c r="U3383" s="17"/>
      <c r="V3383" s="17"/>
      <c r="W3383" s="4"/>
      <c r="X3383" s="17"/>
      <c r="Y3383" s="4"/>
      <c r="Z3383" s="17"/>
      <c r="AA3383" s="17"/>
      <c r="AB3383" s="17"/>
      <c r="AC3383" s="14"/>
      <c r="AD3383" s="14"/>
      <c r="AE3383" s="17"/>
      <c r="AF3383" s="14"/>
      <c r="AG3383" s="54"/>
      <c r="AH3383" s="11"/>
      <c r="AI3383" s="14"/>
      <c r="AJ3383" s="19">
        <v>0</v>
      </c>
      <c r="AK3383" s="23">
        <v>0</v>
      </c>
      <c r="AL3383" s="11"/>
      <c r="AM3383" s="19">
        <v>0</v>
      </c>
      <c r="AN3383" s="19">
        <v>331500</v>
      </c>
      <c r="AO3383" s="14"/>
      <c r="AP3383" s="14">
        <v>331500</v>
      </c>
      <c r="AQ3383" s="12"/>
      <c r="AS3383" s="26"/>
    </row>
    <row r="3384" spans="1:45" s="19" customFormat="1" x14ac:dyDescent="0.2">
      <c r="A3384" s="121">
        <f t="shared" si="466"/>
        <v>2875</v>
      </c>
      <c r="B3384" s="13">
        <v>1</v>
      </c>
      <c r="C3384" s="17" t="s">
        <v>52</v>
      </c>
      <c r="D3384" s="17">
        <v>33548</v>
      </c>
      <c r="E3384" s="17">
        <v>130</v>
      </c>
      <c r="F3384" s="17">
        <v>6240</v>
      </c>
      <c r="G3384" s="13">
        <v>1</v>
      </c>
      <c r="H3384" s="17">
        <v>4</v>
      </c>
      <c r="I3384" s="17">
        <v>0</v>
      </c>
      <c r="J3384" s="17">
        <v>65.06</v>
      </c>
      <c r="K3384" s="10">
        <v>1665.06</v>
      </c>
      <c r="L3384" s="17"/>
      <c r="M3384" s="15"/>
      <c r="N3384" s="18"/>
      <c r="O3384" s="14"/>
      <c r="P3384" s="17">
        <v>1</v>
      </c>
      <c r="Q3384" s="19">
        <v>1665.06</v>
      </c>
      <c r="R3384" s="14">
        <v>160</v>
      </c>
      <c r="S3384" s="19">
        <v>266409.59999999998</v>
      </c>
      <c r="T3384" s="17"/>
      <c r="U3384" s="17"/>
      <c r="V3384" s="17"/>
      <c r="W3384" s="4"/>
      <c r="X3384" s="17"/>
      <c r="Y3384" s="4"/>
      <c r="Z3384" s="17"/>
      <c r="AA3384" s="17"/>
      <c r="AB3384" s="17"/>
      <c r="AC3384" s="14"/>
      <c r="AD3384" s="14"/>
      <c r="AE3384" s="17"/>
      <c r="AF3384" s="14"/>
      <c r="AG3384" s="54"/>
      <c r="AH3384" s="11"/>
      <c r="AI3384" s="14"/>
      <c r="AJ3384" s="19">
        <v>0</v>
      </c>
      <c r="AK3384" s="23">
        <v>0</v>
      </c>
      <c r="AL3384" s="11"/>
      <c r="AM3384" s="19">
        <v>0</v>
      </c>
      <c r="AN3384" s="19">
        <v>266409.59999999998</v>
      </c>
      <c r="AO3384" s="14"/>
      <c r="AP3384" s="14">
        <v>266409.59999999998</v>
      </c>
      <c r="AQ3384" s="12"/>
      <c r="AS3384" s="26"/>
    </row>
    <row r="3385" spans="1:45" s="19" customFormat="1" x14ac:dyDescent="0.2">
      <c r="A3385" s="121">
        <f t="shared" si="466"/>
        <v>2876</v>
      </c>
      <c r="B3385" s="13">
        <v>1</v>
      </c>
      <c r="C3385" s="17" t="s">
        <v>52</v>
      </c>
      <c r="D3385" s="17">
        <v>18771</v>
      </c>
      <c r="E3385" s="17">
        <v>168</v>
      </c>
      <c r="F3385" s="17">
        <v>3683</v>
      </c>
      <c r="G3385" s="13">
        <v>1</v>
      </c>
      <c r="H3385" s="17">
        <v>0</v>
      </c>
      <c r="I3385" s="17">
        <v>1</v>
      </c>
      <c r="J3385" s="17">
        <v>39</v>
      </c>
      <c r="K3385" s="10"/>
      <c r="L3385" s="17"/>
      <c r="M3385" s="15"/>
      <c r="N3385" s="18"/>
      <c r="O3385" s="14"/>
      <c r="P3385" s="17"/>
      <c r="Q3385" s="19">
        <v>139</v>
      </c>
      <c r="R3385" s="14">
        <v>250</v>
      </c>
      <c r="S3385" s="19">
        <v>34750</v>
      </c>
      <c r="T3385" s="17"/>
      <c r="U3385" s="17"/>
      <c r="V3385" s="17"/>
      <c r="W3385" s="4"/>
      <c r="X3385" s="17"/>
      <c r="Y3385" s="4"/>
      <c r="Z3385" s="17"/>
      <c r="AA3385" s="17"/>
      <c r="AB3385" s="17"/>
      <c r="AC3385" s="14"/>
      <c r="AD3385" s="14"/>
      <c r="AE3385" s="17"/>
      <c r="AF3385" s="14"/>
      <c r="AG3385" s="54"/>
      <c r="AH3385" s="11"/>
      <c r="AI3385" s="14"/>
      <c r="AJ3385" s="19">
        <v>0</v>
      </c>
      <c r="AK3385" s="23">
        <v>0</v>
      </c>
      <c r="AL3385" s="11"/>
      <c r="AM3385" s="19">
        <v>0</v>
      </c>
      <c r="AN3385" s="19">
        <v>34750</v>
      </c>
      <c r="AO3385" s="14"/>
      <c r="AP3385" s="14">
        <v>34750</v>
      </c>
      <c r="AQ3385" s="12"/>
      <c r="AS3385" s="26"/>
    </row>
    <row r="3386" spans="1:45" s="19" customFormat="1" x14ac:dyDescent="0.2">
      <c r="A3386" s="121">
        <f t="shared" si="466"/>
        <v>2877</v>
      </c>
      <c r="B3386" s="13">
        <v>1</v>
      </c>
      <c r="C3386" s="17" t="s">
        <v>52</v>
      </c>
      <c r="D3386" s="17">
        <v>1154</v>
      </c>
      <c r="E3386" s="17">
        <v>27</v>
      </c>
      <c r="F3386" s="17">
        <v>971</v>
      </c>
      <c r="G3386" s="13">
        <v>1</v>
      </c>
      <c r="H3386" s="17">
        <v>13</v>
      </c>
      <c r="I3386" s="17">
        <v>0</v>
      </c>
      <c r="J3386" s="17">
        <v>49</v>
      </c>
      <c r="K3386" s="10">
        <v>5249</v>
      </c>
      <c r="L3386" s="17"/>
      <c r="M3386" s="15"/>
      <c r="N3386" s="18"/>
      <c r="O3386" s="14"/>
      <c r="P3386" s="17">
        <v>1</v>
      </c>
      <c r="Q3386" s="19">
        <v>5249</v>
      </c>
      <c r="R3386" s="14">
        <v>750</v>
      </c>
      <c r="S3386" s="19">
        <v>3936750</v>
      </c>
      <c r="T3386" s="17"/>
      <c r="U3386" s="17"/>
      <c r="V3386" s="17"/>
      <c r="W3386" s="4"/>
      <c r="X3386" s="17"/>
      <c r="Y3386" s="4"/>
      <c r="Z3386" s="17"/>
      <c r="AA3386" s="17"/>
      <c r="AB3386" s="17"/>
      <c r="AC3386" s="14"/>
      <c r="AD3386" s="14"/>
      <c r="AE3386" s="17"/>
      <c r="AF3386" s="14"/>
      <c r="AG3386" s="54"/>
      <c r="AH3386" s="11"/>
      <c r="AI3386" s="14"/>
      <c r="AJ3386" s="19">
        <v>0</v>
      </c>
      <c r="AK3386" s="23">
        <v>0</v>
      </c>
      <c r="AL3386" s="11"/>
      <c r="AM3386" s="19">
        <v>0</v>
      </c>
      <c r="AN3386" s="19">
        <v>3936750</v>
      </c>
      <c r="AO3386" s="14"/>
      <c r="AP3386" s="14">
        <v>3936750</v>
      </c>
      <c r="AQ3386" s="12"/>
      <c r="AS3386" s="26"/>
    </row>
    <row r="3387" spans="1:45" s="19" customFormat="1" x14ac:dyDescent="0.2">
      <c r="A3387" s="121">
        <f t="shared" si="466"/>
        <v>2878</v>
      </c>
      <c r="B3387" s="13">
        <v>1</v>
      </c>
      <c r="C3387" s="17" t="s">
        <v>52</v>
      </c>
      <c r="D3387" s="17">
        <v>1134</v>
      </c>
      <c r="E3387" s="17">
        <v>28</v>
      </c>
      <c r="F3387" s="17">
        <v>714</v>
      </c>
      <c r="G3387" s="13">
        <v>1</v>
      </c>
      <c r="H3387" s="17">
        <v>8</v>
      </c>
      <c r="I3387" s="17">
        <v>1</v>
      </c>
      <c r="J3387" s="17">
        <v>52</v>
      </c>
      <c r="K3387" s="10">
        <v>3352</v>
      </c>
      <c r="L3387" s="17"/>
      <c r="M3387" s="15"/>
      <c r="N3387" s="18"/>
      <c r="O3387" s="14"/>
      <c r="P3387" s="17">
        <v>1</v>
      </c>
      <c r="Q3387" s="19">
        <v>3352</v>
      </c>
      <c r="R3387" s="14">
        <v>160</v>
      </c>
      <c r="S3387" s="19">
        <v>536320</v>
      </c>
      <c r="T3387" s="17"/>
      <c r="U3387" s="17"/>
      <c r="V3387" s="17"/>
      <c r="W3387" s="4"/>
      <c r="X3387" s="17"/>
      <c r="Y3387" s="4"/>
      <c r="Z3387" s="17"/>
      <c r="AA3387" s="17"/>
      <c r="AB3387" s="17"/>
      <c r="AC3387" s="14"/>
      <c r="AD3387" s="14"/>
      <c r="AE3387" s="17"/>
      <c r="AF3387" s="14"/>
      <c r="AG3387" s="54"/>
      <c r="AH3387" s="11"/>
      <c r="AI3387" s="14"/>
      <c r="AJ3387" s="19">
        <v>0</v>
      </c>
      <c r="AK3387" s="23">
        <v>0</v>
      </c>
      <c r="AL3387" s="11"/>
      <c r="AM3387" s="19">
        <v>0</v>
      </c>
      <c r="AN3387" s="19">
        <v>536320</v>
      </c>
      <c r="AO3387" s="14"/>
      <c r="AP3387" s="14">
        <v>536320</v>
      </c>
      <c r="AQ3387" s="12"/>
      <c r="AS3387" s="26"/>
    </row>
    <row r="3388" spans="1:45" s="19" customFormat="1" x14ac:dyDescent="0.2">
      <c r="A3388" s="121">
        <f t="shared" si="466"/>
        <v>2879</v>
      </c>
      <c r="B3388" s="13">
        <v>2</v>
      </c>
      <c r="C3388" s="17" t="s">
        <v>52</v>
      </c>
      <c r="D3388" s="17">
        <v>28140</v>
      </c>
      <c r="E3388" s="17">
        <v>78</v>
      </c>
      <c r="F3388" s="17">
        <v>5019</v>
      </c>
      <c r="G3388" s="13">
        <v>1</v>
      </c>
      <c r="H3388" s="17">
        <v>8</v>
      </c>
      <c r="I3388" s="17">
        <v>3</v>
      </c>
      <c r="J3388" s="17">
        <v>10</v>
      </c>
      <c r="K3388" s="10">
        <v>3352</v>
      </c>
      <c r="L3388" s="17"/>
      <c r="M3388" s="15"/>
      <c r="N3388" s="18"/>
      <c r="O3388" s="14"/>
      <c r="P3388" s="17">
        <v>1</v>
      </c>
      <c r="Q3388" s="19">
        <v>3510</v>
      </c>
      <c r="R3388" s="14">
        <v>160</v>
      </c>
      <c r="S3388" s="19">
        <v>561600</v>
      </c>
      <c r="T3388" s="17"/>
      <c r="U3388" s="17"/>
      <c r="V3388" s="17"/>
      <c r="W3388" s="4"/>
      <c r="X3388" s="17"/>
      <c r="Y3388" s="4"/>
      <c r="Z3388" s="17"/>
      <c r="AA3388" s="17"/>
      <c r="AB3388" s="17"/>
      <c r="AC3388" s="14"/>
      <c r="AD3388" s="14"/>
      <c r="AE3388" s="17"/>
      <c r="AF3388" s="14"/>
      <c r="AG3388" s="54"/>
      <c r="AH3388" s="11"/>
      <c r="AI3388" s="14"/>
      <c r="AJ3388" s="19">
        <v>0</v>
      </c>
      <c r="AK3388" s="23">
        <v>0</v>
      </c>
      <c r="AL3388" s="11"/>
      <c r="AM3388" s="19">
        <v>0</v>
      </c>
      <c r="AN3388" s="19">
        <v>561600</v>
      </c>
      <c r="AO3388" s="14"/>
      <c r="AP3388" s="14">
        <v>561600</v>
      </c>
      <c r="AQ3388" s="12"/>
      <c r="AS3388" s="26"/>
    </row>
    <row r="3389" spans="1:45" s="19" customFormat="1" x14ac:dyDescent="0.2">
      <c r="A3389" s="121">
        <f t="shared" si="466"/>
        <v>2880</v>
      </c>
      <c r="B3389" s="13">
        <v>3</v>
      </c>
      <c r="C3389" s="17" t="s">
        <v>52</v>
      </c>
      <c r="D3389" s="17">
        <v>29213</v>
      </c>
      <c r="E3389" s="17">
        <v>237</v>
      </c>
      <c r="F3389" s="17">
        <v>5408</v>
      </c>
      <c r="G3389" s="13">
        <v>1</v>
      </c>
      <c r="H3389" s="17">
        <v>1</v>
      </c>
      <c r="I3389" s="17">
        <v>2</v>
      </c>
      <c r="J3389" s="17">
        <v>90</v>
      </c>
      <c r="K3389" s="10">
        <v>690</v>
      </c>
      <c r="L3389" s="17"/>
      <c r="M3389" s="15"/>
      <c r="N3389" s="18"/>
      <c r="O3389" s="14"/>
      <c r="P3389" s="17">
        <v>1</v>
      </c>
      <c r="Q3389" s="19">
        <v>690</v>
      </c>
      <c r="R3389" s="14">
        <v>2250</v>
      </c>
      <c r="S3389" s="19">
        <v>1552500</v>
      </c>
      <c r="T3389" s="17"/>
      <c r="U3389" s="17"/>
      <c r="V3389" s="17"/>
      <c r="W3389" s="4"/>
      <c r="X3389" s="17"/>
      <c r="Y3389" s="4"/>
      <c r="Z3389" s="17"/>
      <c r="AA3389" s="17"/>
      <c r="AB3389" s="17"/>
      <c r="AC3389" s="14"/>
      <c r="AD3389" s="14"/>
      <c r="AE3389" s="17"/>
      <c r="AF3389" s="14"/>
      <c r="AG3389" s="54"/>
      <c r="AH3389" s="11"/>
      <c r="AI3389" s="14"/>
      <c r="AJ3389" s="19">
        <v>0</v>
      </c>
      <c r="AK3389" s="23">
        <v>0</v>
      </c>
      <c r="AL3389" s="11"/>
      <c r="AM3389" s="19">
        <v>0</v>
      </c>
      <c r="AN3389" s="19">
        <v>1552500</v>
      </c>
      <c r="AO3389" s="14"/>
      <c r="AP3389" s="14">
        <v>1552500</v>
      </c>
      <c r="AQ3389" s="12"/>
      <c r="AS3389" s="26"/>
    </row>
    <row r="3390" spans="1:45" s="19" customFormat="1" x14ac:dyDescent="0.2">
      <c r="A3390" s="121">
        <f t="shared" si="466"/>
        <v>2881</v>
      </c>
      <c r="B3390" s="13">
        <v>1</v>
      </c>
      <c r="C3390" s="17" t="s">
        <v>65</v>
      </c>
      <c r="D3390" s="17">
        <v>2007</v>
      </c>
      <c r="E3390" s="17">
        <v>41</v>
      </c>
      <c r="F3390" s="17"/>
      <c r="G3390" s="13"/>
      <c r="H3390" s="17">
        <v>0</v>
      </c>
      <c r="I3390" s="17">
        <v>3</v>
      </c>
      <c r="J3390" s="17">
        <v>79</v>
      </c>
      <c r="K3390" s="10">
        <v>379</v>
      </c>
      <c r="L3390" s="17"/>
      <c r="M3390" s="15"/>
      <c r="N3390" s="18"/>
      <c r="O3390" s="14"/>
      <c r="P3390" s="17">
        <v>1</v>
      </c>
      <c r="Q3390" s="19">
        <v>379</v>
      </c>
      <c r="R3390" s="14">
        <v>160</v>
      </c>
      <c r="S3390" s="19">
        <v>60640</v>
      </c>
      <c r="T3390" s="17"/>
      <c r="U3390" s="17"/>
      <c r="V3390" s="17"/>
      <c r="W3390" s="4"/>
      <c r="X3390" s="17"/>
      <c r="Y3390" s="4"/>
      <c r="Z3390" s="17"/>
      <c r="AA3390" s="17"/>
      <c r="AB3390" s="17"/>
      <c r="AC3390" s="14"/>
      <c r="AD3390" s="14"/>
      <c r="AE3390" s="17"/>
      <c r="AF3390" s="14"/>
      <c r="AG3390" s="54"/>
      <c r="AH3390" s="11"/>
      <c r="AI3390" s="14"/>
      <c r="AJ3390" s="19">
        <v>0</v>
      </c>
      <c r="AK3390" s="23">
        <v>0</v>
      </c>
      <c r="AL3390" s="11"/>
      <c r="AM3390" s="19">
        <v>0</v>
      </c>
      <c r="AN3390" s="19">
        <v>60640</v>
      </c>
      <c r="AO3390" s="14"/>
      <c r="AP3390" s="14">
        <v>60640</v>
      </c>
      <c r="AQ3390" s="12">
        <v>1E-4</v>
      </c>
      <c r="AS3390" s="26"/>
    </row>
    <row r="3391" spans="1:45" s="19" customFormat="1" x14ac:dyDescent="0.2">
      <c r="A3391" s="121">
        <f>+A3390+1</f>
        <v>2882</v>
      </c>
      <c r="B3391" s="13">
        <v>1</v>
      </c>
      <c r="C3391" s="17" t="s">
        <v>52</v>
      </c>
      <c r="D3391" s="17">
        <v>1935</v>
      </c>
      <c r="E3391" s="17">
        <v>36</v>
      </c>
      <c r="F3391" s="17">
        <v>1331</v>
      </c>
      <c r="G3391" s="13">
        <v>2</v>
      </c>
      <c r="H3391" s="17">
        <v>5</v>
      </c>
      <c r="I3391" s="17">
        <v>0</v>
      </c>
      <c r="J3391" s="17">
        <v>14</v>
      </c>
      <c r="K3391" s="10">
        <v>2014</v>
      </c>
      <c r="L3391" s="17"/>
      <c r="M3391" s="15"/>
      <c r="N3391" s="18"/>
      <c r="O3391" s="14"/>
      <c r="P3391" s="17">
        <v>1</v>
      </c>
      <c r="Q3391" s="19">
        <v>2014</v>
      </c>
      <c r="R3391" s="14">
        <v>160</v>
      </c>
      <c r="S3391" s="19">
        <v>322240</v>
      </c>
      <c r="T3391" s="17"/>
      <c r="U3391" s="17"/>
      <c r="V3391" s="17"/>
      <c r="W3391" s="4"/>
      <c r="X3391" s="17"/>
      <c r="Y3391" s="4"/>
      <c r="Z3391" s="17"/>
      <c r="AA3391" s="17"/>
      <c r="AB3391" s="17"/>
      <c r="AC3391" s="14"/>
      <c r="AD3391" s="14"/>
      <c r="AE3391" s="17"/>
      <c r="AF3391" s="14"/>
      <c r="AG3391" s="54"/>
      <c r="AH3391" s="11"/>
      <c r="AI3391" s="14"/>
      <c r="AJ3391" s="19">
        <v>0</v>
      </c>
      <c r="AK3391" s="23">
        <v>0</v>
      </c>
      <c r="AL3391" s="11"/>
      <c r="AM3391" s="19">
        <v>0</v>
      </c>
      <c r="AN3391" s="19">
        <v>322240</v>
      </c>
      <c r="AO3391" s="14"/>
      <c r="AP3391" s="14">
        <v>322240</v>
      </c>
      <c r="AQ3391" s="12"/>
      <c r="AS3391" s="26"/>
    </row>
    <row r="3392" spans="1:45" s="19" customFormat="1" ht="63" x14ac:dyDescent="0.2">
      <c r="A3392" s="121">
        <f t="shared" si="466"/>
        <v>2883</v>
      </c>
      <c r="B3392" s="13">
        <v>2</v>
      </c>
      <c r="C3392" s="17" t="s">
        <v>52</v>
      </c>
      <c r="D3392" s="17">
        <v>30974</v>
      </c>
      <c r="E3392" s="17">
        <v>101</v>
      </c>
      <c r="F3392" s="17">
        <v>5926</v>
      </c>
      <c r="G3392" s="13">
        <v>2</v>
      </c>
      <c r="H3392" s="17">
        <v>2</v>
      </c>
      <c r="I3392" s="17">
        <v>0</v>
      </c>
      <c r="J3392" s="17">
        <v>95.06</v>
      </c>
      <c r="K3392" s="10">
        <v>863</v>
      </c>
      <c r="L3392" s="17">
        <v>32.06</v>
      </c>
      <c r="M3392" s="15"/>
      <c r="N3392" s="18"/>
      <c r="O3392" s="14"/>
      <c r="P3392" s="17">
        <v>5</v>
      </c>
      <c r="Q3392" s="19">
        <v>895.06</v>
      </c>
      <c r="R3392" s="14">
        <v>200</v>
      </c>
      <c r="S3392" s="19">
        <v>179012</v>
      </c>
      <c r="T3392" s="17">
        <v>1</v>
      </c>
      <c r="U3392" s="17" t="s">
        <v>57</v>
      </c>
      <c r="V3392" s="17" t="s">
        <v>56</v>
      </c>
      <c r="W3392" s="4">
        <v>128.25</v>
      </c>
      <c r="X3392" s="17"/>
      <c r="Y3392" s="4">
        <v>128.25</v>
      </c>
      <c r="Z3392" s="17"/>
      <c r="AA3392" s="17"/>
      <c r="AB3392" s="17">
        <v>31</v>
      </c>
      <c r="AC3392" s="14"/>
      <c r="AD3392" s="14"/>
      <c r="AE3392" s="17"/>
      <c r="AF3392" s="14"/>
      <c r="AG3392" s="54"/>
      <c r="AH3392" s="11"/>
      <c r="AI3392" s="14"/>
      <c r="AJ3392" s="19">
        <v>0</v>
      </c>
      <c r="AK3392" s="23">
        <v>31</v>
      </c>
      <c r="AL3392" s="11"/>
      <c r="AM3392" s="19">
        <v>0</v>
      </c>
      <c r="AN3392" s="19">
        <v>179012</v>
      </c>
      <c r="AO3392" s="14"/>
      <c r="AP3392" s="14">
        <v>179012</v>
      </c>
      <c r="AQ3392" s="12"/>
      <c r="AS3392" s="26"/>
    </row>
    <row r="3393" spans="1:45" s="19" customFormat="1" x14ac:dyDescent="0.2">
      <c r="A3393" s="121">
        <f t="shared" si="466"/>
        <v>2884</v>
      </c>
      <c r="B3393" s="13">
        <v>3</v>
      </c>
      <c r="C3393" s="17" t="s">
        <v>52</v>
      </c>
      <c r="D3393" s="17">
        <v>30975</v>
      </c>
      <c r="E3393" s="17">
        <v>101</v>
      </c>
      <c r="F3393" s="17">
        <v>5927</v>
      </c>
      <c r="G3393" s="13">
        <v>2</v>
      </c>
      <c r="H3393" s="17">
        <v>4</v>
      </c>
      <c r="I3393" s="17">
        <v>2</v>
      </c>
      <c r="J3393" s="17">
        <v>15.07</v>
      </c>
      <c r="K3393" s="10">
        <v>1815.07</v>
      </c>
      <c r="L3393" s="17"/>
      <c r="M3393" s="15"/>
      <c r="N3393" s="18"/>
      <c r="O3393" s="14"/>
      <c r="P3393" s="17">
        <v>1</v>
      </c>
      <c r="Q3393" s="19">
        <v>1815.07</v>
      </c>
      <c r="R3393" s="14">
        <v>200</v>
      </c>
      <c r="S3393" s="19">
        <v>363014</v>
      </c>
      <c r="T3393" s="17"/>
      <c r="U3393" s="17"/>
      <c r="V3393" s="17"/>
      <c r="W3393" s="4"/>
      <c r="X3393" s="17"/>
      <c r="Y3393" s="4"/>
      <c r="Z3393" s="17"/>
      <c r="AA3393" s="17"/>
      <c r="AB3393" s="17"/>
      <c r="AC3393" s="14"/>
      <c r="AD3393" s="14"/>
      <c r="AE3393" s="17"/>
      <c r="AF3393" s="14"/>
      <c r="AG3393" s="54"/>
      <c r="AH3393" s="11"/>
      <c r="AI3393" s="14"/>
      <c r="AJ3393" s="19">
        <v>0</v>
      </c>
      <c r="AK3393" s="23">
        <v>0</v>
      </c>
      <c r="AL3393" s="11"/>
      <c r="AM3393" s="19">
        <v>0</v>
      </c>
      <c r="AN3393" s="19">
        <v>363014</v>
      </c>
      <c r="AO3393" s="14"/>
      <c r="AP3393" s="14">
        <v>363014</v>
      </c>
      <c r="AQ3393" s="12"/>
      <c r="AS3393" s="26"/>
    </row>
    <row r="3394" spans="1:45" s="19" customFormat="1" x14ac:dyDescent="0.2">
      <c r="A3394" s="121">
        <f t="shared" si="466"/>
        <v>2885</v>
      </c>
      <c r="B3394" s="13">
        <v>4</v>
      </c>
      <c r="C3394" s="17" t="s">
        <v>52</v>
      </c>
      <c r="D3394" s="17">
        <v>31136</v>
      </c>
      <c r="E3394" s="17">
        <v>138</v>
      </c>
      <c r="F3394" s="17">
        <v>6081</v>
      </c>
      <c r="G3394" s="13">
        <v>2</v>
      </c>
      <c r="H3394" s="17">
        <v>0</v>
      </c>
      <c r="I3394" s="17">
        <v>3</v>
      </c>
      <c r="J3394" s="17">
        <v>5.0599999999999996</v>
      </c>
      <c r="K3394" s="10">
        <v>305.06</v>
      </c>
      <c r="L3394" s="17"/>
      <c r="M3394" s="15"/>
      <c r="N3394" s="18"/>
      <c r="O3394" s="14"/>
      <c r="P3394" s="17">
        <v>1</v>
      </c>
      <c r="Q3394" s="19">
        <v>305.06</v>
      </c>
      <c r="R3394" s="14">
        <v>160</v>
      </c>
      <c r="S3394" s="19">
        <v>48809.599999999999</v>
      </c>
      <c r="T3394" s="17"/>
      <c r="U3394" s="17"/>
      <c r="V3394" s="17"/>
      <c r="W3394" s="4"/>
      <c r="X3394" s="17"/>
      <c r="Y3394" s="4"/>
      <c r="Z3394" s="17"/>
      <c r="AA3394" s="17"/>
      <c r="AB3394" s="17"/>
      <c r="AC3394" s="14"/>
      <c r="AD3394" s="14"/>
      <c r="AE3394" s="17"/>
      <c r="AF3394" s="14"/>
      <c r="AG3394" s="54"/>
      <c r="AH3394" s="11"/>
      <c r="AI3394" s="14"/>
      <c r="AJ3394" s="19">
        <v>0</v>
      </c>
      <c r="AK3394" s="23">
        <v>0</v>
      </c>
      <c r="AL3394" s="11"/>
      <c r="AM3394" s="19">
        <v>0</v>
      </c>
      <c r="AN3394" s="19">
        <v>48809.599999999999</v>
      </c>
      <c r="AO3394" s="14"/>
      <c r="AP3394" s="14">
        <v>48809.599999999999</v>
      </c>
      <c r="AQ3394" s="12"/>
      <c r="AS3394" s="26"/>
    </row>
    <row r="3395" spans="1:45" s="19" customFormat="1" x14ac:dyDescent="0.2">
      <c r="A3395" s="121">
        <f>+A3394+1</f>
        <v>2886</v>
      </c>
      <c r="B3395" s="13">
        <v>5</v>
      </c>
      <c r="C3395" s="17" t="s">
        <v>65</v>
      </c>
      <c r="D3395" s="17">
        <v>329</v>
      </c>
      <c r="E3395" s="17">
        <v>74</v>
      </c>
      <c r="F3395" s="17"/>
      <c r="G3395" s="13"/>
      <c r="H3395" s="17">
        <v>3</v>
      </c>
      <c r="I3395" s="17">
        <v>2</v>
      </c>
      <c r="J3395" s="17">
        <v>13</v>
      </c>
      <c r="K3395" s="10">
        <v>1413</v>
      </c>
      <c r="L3395" s="17"/>
      <c r="M3395" s="15"/>
      <c r="N3395" s="18"/>
      <c r="O3395" s="14"/>
      <c r="P3395" s="17">
        <v>1</v>
      </c>
      <c r="Q3395" s="19">
        <v>1413</v>
      </c>
      <c r="R3395" s="14">
        <v>160</v>
      </c>
      <c r="S3395" s="19">
        <v>226080</v>
      </c>
      <c r="T3395" s="17"/>
      <c r="U3395" s="17"/>
      <c r="V3395" s="17"/>
      <c r="W3395" s="4"/>
      <c r="X3395" s="17"/>
      <c r="Y3395" s="4"/>
      <c r="Z3395" s="17"/>
      <c r="AA3395" s="17"/>
      <c r="AB3395" s="17"/>
      <c r="AC3395" s="14"/>
      <c r="AD3395" s="14"/>
      <c r="AE3395" s="17"/>
      <c r="AF3395" s="14"/>
      <c r="AG3395" s="54"/>
      <c r="AH3395" s="11"/>
      <c r="AI3395" s="14"/>
      <c r="AJ3395" s="19">
        <v>0</v>
      </c>
      <c r="AK3395" s="23">
        <v>0</v>
      </c>
      <c r="AL3395" s="11"/>
      <c r="AM3395" s="19">
        <v>0</v>
      </c>
      <c r="AN3395" s="19">
        <v>226080</v>
      </c>
      <c r="AO3395" s="14"/>
      <c r="AP3395" s="14">
        <v>226080</v>
      </c>
      <c r="AQ3395" s="12">
        <v>1E-4</v>
      </c>
      <c r="AS3395" s="26"/>
    </row>
    <row r="3396" spans="1:45" s="19" customFormat="1" x14ac:dyDescent="0.2">
      <c r="A3396" s="121">
        <f t="shared" si="466"/>
        <v>2887</v>
      </c>
      <c r="B3396" s="13">
        <v>6</v>
      </c>
      <c r="C3396" s="17" t="s">
        <v>65</v>
      </c>
      <c r="D3396" s="17">
        <v>879</v>
      </c>
      <c r="E3396" s="17">
        <v>164</v>
      </c>
      <c r="F3396" s="17"/>
      <c r="G3396" s="13"/>
      <c r="H3396" s="17">
        <v>4</v>
      </c>
      <c r="I3396" s="17">
        <v>1</v>
      </c>
      <c r="J3396" s="17">
        <v>33</v>
      </c>
      <c r="K3396" s="10">
        <v>1733</v>
      </c>
      <c r="L3396" s="17"/>
      <c r="M3396" s="15"/>
      <c r="N3396" s="18"/>
      <c r="O3396" s="14"/>
      <c r="P3396" s="17">
        <v>1</v>
      </c>
      <c r="Q3396" s="19">
        <v>1733</v>
      </c>
      <c r="R3396" s="14">
        <v>200</v>
      </c>
      <c r="S3396" s="19">
        <v>346600</v>
      </c>
      <c r="T3396" s="17"/>
      <c r="U3396" s="17"/>
      <c r="V3396" s="17"/>
      <c r="W3396" s="4"/>
      <c r="X3396" s="17"/>
      <c r="Y3396" s="4"/>
      <c r="Z3396" s="17"/>
      <c r="AA3396" s="17"/>
      <c r="AB3396" s="17"/>
      <c r="AC3396" s="14"/>
      <c r="AD3396" s="14"/>
      <c r="AE3396" s="17"/>
      <c r="AF3396" s="14"/>
      <c r="AG3396" s="54"/>
      <c r="AH3396" s="11"/>
      <c r="AI3396" s="14"/>
      <c r="AJ3396" s="19">
        <v>0</v>
      </c>
      <c r="AK3396" s="23">
        <v>0</v>
      </c>
      <c r="AL3396" s="11"/>
      <c r="AM3396" s="19">
        <v>0</v>
      </c>
      <c r="AN3396" s="19">
        <v>346600</v>
      </c>
      <c r="AO3396" s="14"/>
      <c r="AP3396" s="14">
        <v>346600</v>
      </c>
      <c r="AQ3396" s="12">
        <v>1E-4</v>
      </c>
      <c r="AS3396" s="26"/>
    </row>
    <row r="3397" spans="1:45" s="19" customFormat="1" x14ac:dyDescent="0.2">
      <c r="A3397" s="2"/>
      <c r="B3397" s="13">
        <v>6</v>
      </c>
      <c r="C3397" s="17" t="s">
        <v>65</v>
      </c>
      <c r="D3397" s="17">
        <v>3464</v>
      </c>
      <c r="E3397" s="17">
        <v>259</v>
      </c>
      <c r="F3397" s="17"/>
      <c r="G3397" s="13"/>
      <c r="H3397" s="17">
        <v>2</v>
      </c>
      <c r="I3397" s="17">
        <v>0</v>
      </c>
      <c r="J3397" s="17">
        <v>62</v>
      </c>
      <c r="K3397" s="10">
        <v>862</v>
      </c>
      <c r="L3397" s="17"/>
      <c r="M3397" s="15"/>
      <c r="N3397" s="18"/>
      <c r="O3397" s="14"/>
      <c r="P3397" s="17"/>
      <c r="Q3397" s="19">
        <v>862</v>
      </c>
      <c r="R3397" s="14" t="e">
        <v>#N/A</v>
      </c>
      <c r="S3397" s="19" t="e">
        <v>#N/A</v>
      </c>
      <c r="T3397" s="17"/>
      <c r="U3397" s="17"/>
      <c r="V3397" s="17"/>
      <c r="W3397" s="4"/>
      <c r="X3397" s="17"/>
      <c r="Y3397" s="4"/>
      <c r="Z3397" s="17"/>
      <c r="AA3397" s="17"/>
      <c r="AB3397" s="17"/>
      <c r="AC3397" s="14"/>
      <c r="AD3397" s="14"/>
      <c r="AE3397" s="17" t="s">
        <v>94</v>
      </c>
      <c r="AF3397" s="14"/>
      <c r="AG3397" s="54"/>
      <c r="AH3397" s="11"/>
      <c r="AI3397" s="14"/>
      <c r="AJ3397" s="19">
        <v>0</v>
      </c>
      <c r="AK3397" s="23">
        <v>0</v>
      </c>
      <c r="AL3397" s="11"/>
      <c r="AM3397" s="19">
        <v>0</v>
      </c>
      <c r="AN3397" s="19" t="e">
        <v>#N/A</v>
      </c>
      <c r="AO3397" s="14"/>
      <c r="AP3397" s="14" t="e">
        <v>#N/A</v>
      </c>
      <c r="AQ3397" s="12">
        <v>1E-4</v>
      </c>
      <c r="AS3397" s="26"/>
    </row>
    <row r="3398" spans="1:45" s="19" customFormat="1" x14ac:dyDescent="0.2">
      <c r="A3398" s="2">
        <v>2888</v>
      </c>
      <c r="B3398" s="13">
        <v>1</v>
      </c>
      <c r="C3398" s="17" t="s">
        <v>65</v>
      </c>
      <c r="D3398" s="17">
        <v>3462</v>
      </c>
      <c r="E3398" s="17">
        <v>257</v>
      </c>
      <c r="F3398" s="17"/>
      <c r="G3398" s="13"/>
      <c r="H3398" s="17">
        <v>2</v>
      </c>
      <c r="I3398" s="17">
        <v>1</v>
      </c>
      <c r="J3398" s="17">
        <v>37</v>
      </c>
      <c r="K3398" s="10">
        <v>937</v>
      </c>
      <c r="L3398" s="17"/>
      <c r="M3398" s="15"/>
      <c r="N3398" s="18"/>
      <c r="O3398" s="14"/>
      <c r="P3398" s="17">
        <v>1</v>
      </c>
      <c r="Q3398" s="19">
        <v>937</v>
      </c>
      <c r="R3398" s="14">
        <v>160</v>
      </c>
      <c r="S3398" s="19">
        <v>149920</v>
      </c>
      <c r="T3398" s="17"/>
      <c r="U3398" s="17"/>
      <c r="V3398" s="17"/>
      <c r="W3398" s="4"/>
      <c r="X3398" s="17"/>
      <c r="Y3398" s="4"/>
      <c r="Z3398" s="17"/>
      <c r="AA3398" s="17"/>
      <c r="AB3398" s="17"/>
      <c r="AC3398" s="14"/>
      <c r="AD3398" s="14"/>
      <c r="AE3398" s="17"/>
      <c r="AF3398" s="14"/>
      <c r="AG3398" s="54"/>
      <c r="AH3398" s="11"/>
      <c r="AI3398" s="14"/>
      <c r="AJ3398" s="19">
        <v>0</v>
      </c>
      <c r="AK3398" s="23">
        <v>0</v>
      </c>
      <c r="AL3398" s="11"/>
      <c r="AM3398" s="19">
        <v>0</v>
      </c>
      <c r="AN3398" s="19">
        <v>149920</v>
      </c>
      <c r="AO3398" s="14"/>
      <c r="AP3398" s="14">
        <v>149920</v>
      </c>
      <c r="AQ3398" s="12">
        <v>1E-4</v>
      </c>
      <c r="AS3398" s="26"/>
    </row>
    <row r="3399" spans="1:45" s="19" customFormat="1" x14ac:dyDescent="0.2">
      <c r="A3399" s="2"/>
      <c r="B3399" s="13">
        <v>1</v>
      </c>
      <c r="C3399" s="17" t="s">
        <v>65</v>
      </c>
      <c r="D3399" s="17">
        <v>3731</v>
      </c>
      <c r="E3399" s="17">
        <v>101</v>
      </c>
      <c r="F3399" s="17"/>
      <c r="G3399" s="13"/>
      <c r="H3399" s="17">
        <v>2</v>
      </c>
      <c r="I3399" s="17">
        <v>2</v>
      </c>
      <c r="J3399" s="17">
        <v>13</v>
      </c>
      <c r="K3399" s="10">
        <v>1013</v>
      </c>
      <c r="L3399" s="17"/>
      <c r="M3399" s="15"/>
      <c r="N3399" s="18"/>
      <c r="O3399" s="14"/>
      <c r="P3399" s="17"/>
      <c r="Q3399" s="19">
        <v>1013</v>
      </c>
      <c r="R3399" s="14" t="e">
        <v>#N/A</v>
      </c>
      <c r="S3399" s="19" t="e">
        <v>#N/A</v>
      </c>
      <c r="T3399" s="17"/>
      <c r="U3399" s="17"/>
      <c r="V3399" s="17"/>
      <c r="W3399" s="4"/>
      <c r="X3399" s="17"/>
      <c r="Y3399" s="4"/>
      <c r="Z3399" s="17"/>
      <c r="AA3399" s="17"/>
      <c r="AB3399" s="17"/>
      <c r="AC3399" s="14"/>
      <c r="AD3399" s="14"/>
      <c r="AE3399" s="17" t="s">
        <v>95</v>
      </c>
      <c r="AF3399" s="14"/>
      <c r="AG3399" s="54"/>
      <c r="AH3399" s="11"/>
      <c r="AI3399" s="14"/>
      <c r="AJ3399" s="19">
        <v>0</v>
      </c>
      <c r="AK3399" s="23">
        <v>0</v>
      </c>
      <c r="AL3399" s="11"/>
      <c r="AM3399" s="19">
        <v>0</v>
      </c>
      <c r="AN3399" s="19" t="e">
        <v>#N/A</v>
      </c>
      <c r="AO3399" s="14"/>
      <c r="AP3399" s="14" t="e">
        <v>#N/A</v>
      </c>
      <c r="AQ3399" s="12">
        <v>1E-4</v>
      </c>
      <c r="AS3399" s="26"/>
    </row>
    <row r="3400" spans="1:45" s="19" customFormat="1" x14ac:dyDescent="0.2">
      <c r="A3400" s="2">
        <v>2889</v>
      </c>
      <c r="B3400" s="13">
        <v>1</v>
      </c>
      <c r="C3400" s="17" t="s">
        <v>52</v>
      </c>
      <c r="D3400" s="17">
        <v>3192</v>
      </c>
      <c r="E3400" s="17">
        <v>24</v>
      </c>
      <c r="F3400" s="17">
        <v>2124</v>
      </c>
      <c r="G3400" s="13">
        <v>2</v>
      </c>
      <c r="H3400" s="17">
        <v>0</v>
      </c>
      <c r="I3400" s="17">
        <v>2</v>
      </c>
      <c r="J3400" s="17">
        <v>75</v>
      </c>
      <c r="K3400" s="10">
        <v>275</v>
      </c>
      <c r="L3400" s="17"/>
      <c r="M3400" s="15"/>
      <c r="N3400" s="18"/>
      <c r="O3400" s="14"/>
      <c r="P3400" s="17">
        <v>1</v>
      </c>
      <c r="Q3400" s="19">
        <v>275</v>
      </c>
      <c r="R3400" s="14">
        <v>160</v>
      </c>
      <c r="S3400" s="19">
        <v>44000</v>
      </c>
      <c r="T3400" s="17"/>
      <c r="U3400" s="17"/>
      <c r="V3400" s="17"/>
      <c r="W3400" s="4"/>
      <c r="X3400" s="17"/>
      <c r="Y3400" s="4"/>
      <c r="Z3400" s="17"/>
      <c r="AA3400" s="17"/>
      <c r="AB3400" s="17"/>
      <c r="AC3400" s="14"/>
      <c r="AD3400" s="14"/>
      <c r="AE3400" s="17"/>
      <c r="AF3400" s="14"/>
      <c r="AG3400" s="54"/>
      <c r="AH3400" s="11"/>
      <c r="AI3400" s="14"/>
      <c r="AJ3400" s="19">
        <v>0</v>
      </c>
      <c r="AK3400" s="23">
        <v>0</v>
      </c>
      <c r="AL3400" s="11"/>
      <c r="AM3400" s="19">
        <v>0</v>
      </c>
      <c r="AN3400" s="19">
        <v>44000</v>
      </c>
      <c r="AO3400" s="14"/>
      <c r="AP3400" s="14">
        <v>44000</v>
      </c>
      <c r="AQ3400" s="12"/>
      <c r="AS3400" s="26"/>
    </row>
    <row r="3401" spans="1:45" s="19" customFormat="1" ht="63" x14ac:dyDescent="0.2">
      <c r="A3401" s="2">
        <f>+A3400+1</f>
        <v>2890</v>
      </c>
      <c r="B3401" s="13">
        <v>1</v>
      </c>
      <c r="C3401" s="17" t="s">
        <v>52</v>
      </c>
      <c r="D3401" s="17">
        <v>3190</v>
      </c>
      <c r="E3401" s="17">
        <v>28</v>
      </c>
      <c r="F3401" s="17">
        <v>2122</v>
      </c>
      <c r="G3401" s="13">
        <v>2</v>
      </c>
      <c r="H3401" s="17">
        <v>0</v>
      </c>
      <c r="I3401" s="17">
        <v>3</v>
      </c>
      <c r="J3401" s="17">
        <v>69</v>
      </c>
      <c r="K3401" s="10"/>
      <c r="L3401" s="17">
        <v>341.25</v>
      </c>
      <c r="M3401" s="15"/>
      <c r="N3401" s="18"/>
      <c r="O3401" s="14"/>
      <c r="P3401" s="17">
        <v>2</v>
      </c>
      <c r="Q3401" s="19">
        <v>369</v>
      </c>
      <c r="R3401" s="14">
        <v>160</v>
      </c>
      <c r="S3401" s="19">
        <v>59040</v>
      </c>
      <c r="T3401" s="17">
        <v>1</v>
      </c>
      <c r="U3401" s="17" t="s">
        <v>57</v>
      </c>
      <c r="V3401" s="17" t="s">
        <v>56</v>
      </c>
      <c r="W3401" s="4">
        <v>56</v>
      </c>
      <c r="X3401" s="17"/>
      <c r="Y3401" s="4">
        <v>56</v>
      </c>
      <c r="Z3401" s="17"/>
      <c r="AA3401" s="17"/>
      <c r="AB3401" s="17">
        <v>19</v>
      </c>
      <c r="AC3401" s="14"/>
      <c r="AD3401" s="14"/>
      <c r="AE3401" s="17"/>
      <c r="AF3401" s="14"/>
      <c r="AG3401" s="54"/>
      <c r="AH3401" s="11"/>
      <c r="AI3401" s="14"/>
      <c r="AJ3401" s="19">
        <v>0</v>
      </c>
      <c r="AK3401" s="23">
        <v>19</v>
      </c>
      <c r="AL3401" s="11"/>
      <c r="AM3401" s="19">
        <v>0</v>
      </c>
      <c r="AN3401" s="19">
        <v>59040</v>
      </c>
      <c r="AO3401" s="14"/>
      <c r="AP3401" s="14">
        <v>59040</v>
      </c>
      <c r="AQ3401" s="12"/>
      <c r="AS3401" s="26"/>
    </row>
    <row r="3402" spans="1:45" s="19" customFormat="1" ht="63" x14ac:dyDescent="0.2">
      <c r="A3402" s="2"/>
      <c r="B3402" s="13"/>
      <c r="C3402" s="17"/>
      <c r="D3402" s="17"/>
      <c r="E3402" s="17"/>
      <c r="F3402" s="17"/>
      <c r="G3402" s="13"/>
      <c r="H3402" s="17"/>
      <c r="I3402" s="17"/>
      <c r="J3402" s="17"/>
      <c r="K3402" s="10"/>
      <c r="L3402" s="17">
        <v>20.25</v>
      </c>
      <c r="M3402" s="15"/>
      <c r="N3402" s="18"/>
      <c r="O3402" s="14"/>
      <c r="P3402" s="17"/>
      <c r="R3402" s="14"/>
      <c r="T3402" s="17">
        <v>2</v>
      </c>
      <c r="U3402" s="17" t="s">
        <v>57</v>
      </c>
      <c r="V3402" s="17" t="s">
        <v>56</v>
      </c>
      <c r="W3402" s="4">
        <v>81</v>
      </c>
      <c r="X3402" s="17"/>
      <c r="Y3402" s="4">
        <v>81</v>
      </c>
      <c r="Z3402" s="17"/>
      <c r="AA3402" s="17"/>
      <c r="AB3402" s="17">
        <v>3</v>
      </c>
      <c r="AC3402" s="14"/>
      <c r="AD3402" s="14"/>
      <c r="AE3402" s="17"/>
      <c r="AF3402" s="14"/>
      <c r="AG3402" s="54"/>
      <c r="AH3402" s="11"/>
      <c r="AI3402" s="14"/>
      <c r="AJ3402" s="19">
        <v>0</v>
      </c>
      <c r="AK3402" s="23">
        <v>3</v>
      </c>
      <c r="AL3402" s="11"/>
      <c r="AM3402" s="19">
        <v>0</v>
      </c>
      <c r="AN3402" s="19">
        <v>0</v>
      </c>
      <c r="AO3402" s="14"/>
      <c r="AP3402" s="14">
        <v>0</v>
      </c>
      <c r="AQ3402" s="12"/>
      <c r="AS3402" s="26"/>
    </row>
    <row r="3403" spans="1:45" s="19" customFormat="1" ht="63" x14ac:dyDescent="0.2">
      <c r="A3403" s="2"/>
      <c r="B3403" s="13"/>
      <c r="C3403" s="17"/>
      <c r="D3403" s="17"/>
      <c r="E3403" s="17"/>
      <c r="F3403" s="17"/>
      <c r="G3403" s="13"/>
      <c r="H3403" s="17"/>
      <c r="I3403" s="17"/>
      <c r="J3403" s="17"/>
      <c r="K3403" s="10"/>
      <c r="L3403" s="17">
        <v>7.5</v>
      </c>
      <c r="M3403" s="15"/>
      <c r="N3403" s="18"/>
      <c r="O3403" s="14"/>
      <c r="P3403" s="17"/>
      <c r="R3403" s="14"/>
      <c r="T3403" s="17">
        <v>3</v>
      </c>
      <c r="U3403" s="17" t="s">
        <v>57</v>
      </c>
      <c r="V3403" s="17" t="s">
        <v>56</v>
      </c>
      <c r="W3403" s="4">
        <v>30</v>
      </c>
      <c r="X3403" s="17"/>
      <c r="Y3403" s="4">
        <v>30</v>
      </c>
      <c r="Z3403" s="17"/>
      <c r="AA3403" s="17"/>
      <c r="AB3403" s="17">
        <v>29</v>
      </c>
      <c r="AC3403" s="14"/>
      <c r="AD3403" s="14"/>
      <c r="AE3403" s="17"/>
      <c r="AF3403" s="14"/>
      <c r="AG3403" s="54"/>
      <c r="AH3403" s="11"/>
      <c r="AI3403" s="14"/>
      <c r="AJ3403" s="19">
        <v>0</v>
      </c>
      <c r="AK3403" s="23">
        <v>29</v>
      </c>
      <c r="AL3403" s="11"/>
      <c r="AM3403" s="19">
        <v>0</v>
      </c>
      <c r="AN3403" s="19">
        <v>0</v>
      </c>
      <c r="AO3403" s="14"/>
      <c r="AP3403" s="14">
        <v>0</v>
      </c>
      <c r="AQ3403" s="12"/>
      <c r="AS3403" s="26"/>
    </row>
    <row r="3404" spans="1:45" s="19" customFormat="1" x14ac:dyDescent="0.2">
      <c r="A3404" s="2">
        <v>2891</v>
      </c>
      <c r="B3404" s="13">
        <v>1</v>
      </c>
      <c r="C3404" s="17" t="s">
        <v>52</v>
      </c>
      <c r="D3404" s="17">
        <v>10447</v>
      </c>
      <c r="E3404" s="17">
        <v>115</v>
      </c>
      <c r="F3404" s="17">
        <v>3133</v>
      </c>
      <c r="G3404" s="13">
        <v>2</v>
      </c>
      <c r="H3404" s="17">
        <v>3</v>
      </c>
      <c r="I3404" s="17">
        <v>0</v>
      </c>
      <c r="J3404" s="17">
        <v>61.02</v>
      </c>
      <c r="K3404" s="10"/>
      <c r="L3404" s="17"/>
      <c r="M3404" s="15"/>
      <c r="N3404" s="18"/>
      <c r="O3404" s="14"/>
      <c r="P3404" s="17"/>
      <c r="Q3404" s="19">
        <v>1261.02</v>
      </c>
      <c r="R3404" s="14">
        <v>160</v>
      </c>
      <c r="S3404" s="19">
        <v>201763.20000000001</v>
      </c>
      <c r="T3404" s="17"/>
      <c r="U3404" s="17"/>
      <c r="V3404" s="17"/>
      <c r="W3404" s="4"/>
      <c r="X3404" s="17"/>
      <c r="Y3404" s="4"/>
      <c r="Z3404" s="17"/>
      <c r="AA3404" s="17"/>
      <c r="AB3404" s="17"/>
      <c r="AC3404" s="14"/>
      <c r="AD3404" s="14"/>
      <c r="AE3404" s="17"/>
      <c r="AF3404" s="14"/>
      <c r="AG3404" s="54"/>
      <c r="AH3404" s="11"/>
      <c r="AI3404" s="14"/>
      <c r="AJ3404" s="19">
        <v>0</v>
      </c>
      <c r="AK3404" s="23">
        <v>0</v>
      </c>
      <c r="AL3404" s="11"/>
      <c r="AM3404" s="19">
        <v>0</v>
      </c>
      <c r="AN3404" s="19">
        <v>201763.20000000001</v>
      </c>
      <c r="AO3404" s="14"/>
      <c r="AP3404" s="14">
        <v>201763.20000000001</v>
      </c>
      <c r="AQ3404" s="12"/>
      <c r="AS3404" s="26"/>
    </row>
    <row r="3405" spans="1:45" s="19" customFormat="1" x14ac:dyDescent="0.2">
      <c r="A3405" s="2">
        <f>+A3404+1</f>
        <v>2892</v>
      </c>
      <c r="B3405" s="13">
        <v>1</v>
      </c>
      <c r="C3405" s="17" t="s">
        <v>52</v>
      </c>
      <c r="D3405" s="17">
        <v>2991</v>
      </c>
      <c r="E3405" s="17">
        <v>15</v>
      </c>
      <c r="F3405" s="17">
        <v>2059</v>
      </c>
      <c r="G3405" s="13">
        <v>2</v>
      </c>
      <c r="H3405" s="17">
        <v>4</v>
      </c>
      <c r="I3405" s="17">
        <v>3</v>
      </c>
      <c r="J3405" s="17">
        <v>24.09</v>
      </c>
      <c r="K3405" s="10">
        <v>1924.09</v>
      </c>
      <c r="L3405" s="17"/>
      <c r="M3405" s="15"/>
      <c r="N3405" s="18"/>
      <c r="O3405" s="14"/>
      <c r="P3405" s="17">
        <v>1</v>
      </c>
      <c r="Q3405" s="19">
        <v>1924.09</v>
      </c>
      <c r="R3405" s="14">
        <v>160</v>
      </c>
      <c r="S3405" s="19">
        <v>307854.39999999997</v>
      </c>
      <c r="T3405" s="17"/>
      <c r="U3405" s="17"/>
      <c r="V3405" s="17"/>
      <c r="W3405" s="4"/>
      <c r="X3405" s="17"/>
      <c r="Y3405" s="4"/>
      <c r="Z3405" s="17"/>
      <c r="AA3405" s="17"/>
      <c r="AB3405" s="17"/>
      <c r="AC3405" s="14"/>
      <c r="AD3405" s="14"/>
      <c r="AE3405" s="17"/>
      <c r="AF3405" s="14"/>
      <c r="AG3405" s="54"/>
      <c r="AH3405" s="11"/>
      <c r="AI3405" s="14"/>
      <c r="AJ3405" s="19">
        <v>0</v>
      </c>
      <c r="AK3405" s="23">
        <v>0</v>
      </c>
      <c r="AL3405" s="11"/>
      <c r="AM3405" s="19">
        <v>0</v>
      </c>
      <c r="AN3405" s="19">
        <v>307854.39999999997</v>
      </c>
      <c r="AO3405" s="14"/>
      <c r="AP3405" s="14">
        <v>307854.39999999997</v>
      </c>
      <c r="AQ3405" s="12"/>
      <c r="AS3405" s="26"/>
    </row>
    <row r="3406" spans="1:45" s="19" customFormat="1" x14ac:dyDescent="0.2">
      <c r="A3406" s="121">
        <f t="shared" ref="A3406:A3413" si="467">+A3405+1</f>
        <v>2893</v>
      </c>
      <c r="B3406" s="13">
        <v>1</v>
      </c>
      <c r="C3406" s="17" t="s">
        <v>52</v>
      </c>
      <c r="D3406" s="17">
        <v>3185</v>
      </c>
      <c r="E3406" s="17">
        <v>30</v>
      </c>
      <c r="F3406" s="17">
        <v>2117</v>
      </c>
      <c r="G3406" s="13">
        <v>2</v>
      </c>
      <c r="H3406" s="17">
        <v>4</v>
      </c>
      <c r="I3406" s="17">
        <v>3</v>
      </c>
      <c r="J3406" s="17">
        <v>25</v>
      </c>
      <c r="K3406" s="10">
        <v>1925</v>
      </c>
      <c r="L3406" s="17"/>
      <c r="M3406" s="15"/>
      <c r="N3406" s="18"/>
      <c r="O3406" s="14"/>
      <c r="P3406" s="17">
        <v>1</v>
      </c>
      <c r="Q3406" s="19">
        <v>1925</v>
      </c>
      <c r="R3406" s="14">
        <v>160</v>
      </c>
      <c r="S3406" s="19">
        <v>308000</v>
      </c>
      <c r="T3406" s="17"/>
      <c r="U3406" s="17"/>
      <c r="V3406" s="17"/>
      <c r="W3406" s="4"/>
      <c r="X3406" s="17"/>
      <c r="Y3406" s="4"/>
      <c r="Z3406" s="17"/>
      <c r="AA3406" s="17"/>
      <c r="AB3406" s="17"/>
      <c r="AC3406" s="14"/>
      <c r="AD3406" s="14"/>
      <c r="AE3406" s="17"/>
      <c r="AF3406" s="14"/>
      <c r="AG3406" s="54"/>
      <c r="AH3406" s="11"/>
      <c r="AI3406" s="14"/>
      <c r="AJ3406" s="19">
        <v>0</v>
      </c>
      <c r="AK3406" s="23">
        <v>0</v>
      </c>
      <c r="AL3406" s="11"/>
      <c r="AM3406" s="19">
        <v>0</v>
      </c>
      <c r="AN3406" s="19">
        <v>308000</v>
      </c>
      <c r="AO3406" s="14"/>
      <c r="AP3406" s="14">
        <v>308000</v>
      </c>
      <c r="AQ3406" s="12"/>
      <c r="AS3406" s="26"/>
    </row>
    <row r="3407" spans="1:45" s="19" customFormat="1" ht="63" x14ac:dyDescent="0.2">
      <c r="A3407" s="121">
        <f t="shared" si="467"/>
        <v>2894</v>
      </c>
      <c r="B3407" s="13">
        <v>2</v>
      </c>
      <c r="C3407" s="17" t="s">
        <v>52</v>
      </c>
      <c r="D3407" s="17">
        <v>3410</v>
      </c>
      <c r="E3407" s="17">
        <v>43</v>
      </c>
      <c r="F3407" s="17">
        <v>2214</v>
      </c>
      <c r="G3407" s="13">
        <v>2</v>
      </c>
      <c r="H3407" s="17">
        <v>0</v>
      </c>
      <c r="I3407" s="17">
        <v>0</v>
      </c>
      <c r="J3407" s="17">
        <v>80</v>
      </c>
      <c r="K3407" s="10"/>
      <c r="L3407" s="17">
        <v>80</v>
      </c>
      <c r="M3407" s="15"/>
      <c r="N3407" s="18"/>
      <c r="O3407" s="14"/>
      <c r="P3407" s="17">
        <v>2</v>
      </c>
      <c r="Q3407" s="19">
        <v>80</v>
      </c>
      <c r="R3407" s="14">
        <v>250</v>
      </c>
      <c r="S3407" s="19">
        <v>20000</v>
      </c>
      <c r="T3407" s="17">
        <v>1</v>
      </c>
      <c r="U3407" s="17" t="s">
        <v>57</v>
      </c>
      <c r="V3407" s="17" t="s">
        <v>56</v>
      </c>
      <c r="W3407" s="4">
        <v>52</v>
      </c>
      <c r="X3407" s="17"/>
      <c r="Y3407" s="4">
        <v>52</v>
      </c>
      <c r="Z3407" s="17"/>
      <c r="AA3407" s="17"/>
      <c r="AB3407" s="17">
        <v>21</v>
      </c>
      <c r="AC3407" s="14"/>
      <c r="AD3407" s="14"/>
      <c r="AE3407" s="17"/>
      <c r="AF3407" s="14"/>
      <c r="AG3407" s="54"/>
      <c r="AH3407" s="11"/>
      <c r="AI3407" s="14"/>
      <c r="AJ3407" s="19">
        <v>0</v>
      </c>
      <c r="AK3407" s="23">
        <v>21</v>
      </c>
      <c r="AL3407" s="11"/>
      <c r="AM3407" s="19">
        <v>0</v>
      </c>
      <c r="AN3407" s="19">
        <v>20000</v>
      </c>
      <c r="AO3407" s="14"/>
      <c r="AP3407" s="14">
        <v>20000</v>
      </c>
      <c r="AQ3407" s="12"/>
      <c r="AS3407" s="26"/>
    </row>
    <row r="3408" spans="1:45" s="19" customFormat="1" x14ac:dyDescent="0.2">
      <c r="A3408" s="121">
        <f t="shared" si="467"/>
        <v>2895</v>
      </c>
      <c r="B3408" s="13">
        <v>1</v>
      </c>
      <c r="C3408" s="17" t="s">
        <v>52</v>
      </c>
      <c r="D3408" s="17">
        <v>3411</v>
      </c>
      <c r="E3408" s="17">
        <v>44</v>
      </c>
      <c r="F3408" s="17">
        <v>2215</v>
      </c>
      <c r="G3408" s="13">
        <v>2</v>
      </c>
      <c r="H3408" s="17">
        <v>0</v>
      </c>
      <c r="I3408" s="17">
        <v>0</v>
      </c>
      <c r="J3408" s="17">
        <v>75</v>
      </c>
      <c r="K3408" s="10"/>
      <c r="L3408" s="17"/>
      <c r="M3408" s="15"/>
      <c r="N3408" s="18">
        <v>75</v>
      </c>
      <c r="O3408" s="14"/>
      <c r="P3408" s="17">
        <v>4</v>
      </c>
      <c r="Q3408" s="19">
        <v>75</v>
      </c>
      <c r="R3408" s="14">
        <v>250</v>
      </c>
      <c r="S3408" s="19">
        <v>18750</v>
      </c>
      <c r="T3408" s="17"/>
      <c r="U3408" s="17"/>
      <c r="V3408" s="17"/>
      <c r="W3408" s="4"/>
      <c r="X3408" s="17"/>
      <c r="Y3408" s="4"/>
      <c r="Z3408" s="17"/>
      <c r="AA3408" s="17"/>
      <c r="AB3408" s="17"/>
      <c r="AC3408" s="14"/>
      <c r="AD3408" s="14"/>
      <c r="AE3408" s="17"/>
      <c r="AF3408" s="14"/>
      <c r="AG3408" s="54"/>
      <c r="AH3408" s="11"/>
      <c r="AI3408" s="14"/>
      <c r="AJ3408" s="19">
        <v>0</v>
      </c>
      <c r="AK3408" s="23">
        <v>0</v>
      </c>
      <c r="AL3408" s="11"/>
      <c r="AM3408" s="19">
        <v>0</v>
      </c>
      <c r="AN3408" s="19">
        <v>18750</v>
      </c>
      <c r="AO3408" s="14"/>
      <c r="AP3408" s="14">
        <v>18750</v>
      </c>
      <c r="AQ3408" s="12">
        <v>3.0000000000000001E-3</v>
      </c>
      <c r="AS3408" s="26"/>
    </row>
    <row r="3409" spans="1:45" x14ac:dyDescent="0.2">
      <c r="A3409" s="121">
        <f t="shared" si="467"/>
        <v>2896</v>
      </c>
      <c r="B3409" s="13">
        <v>1</v>
      </c>
      <c r="C3409" s="17" t="s">
        <v>52</v>
      </c>
      <c r="D3409" s="17">
        <v>3413</v>
      </c>
      <c r="E3409" s="17">
        <v>46</v>
      </c>
      <c r="F3409" s="17">
        <v>2217</v>
      </c>
      <c r="G3409" s="13">
        <v>2</v>
      </c>
      <c r="H3409" s="17">
        <v>0</v>
      </c>
      <c r="I3409" s="17">
        <v>0</v>
      </c>
      <c r="J3409" s="17">
        <v>85</v>
      </c>
      <c r="N3409" s="18">
        <v>85</v>
      </c>
      <c r="P3409" s="17">
        <v>4</v>
      </c>
      <c r="Q3409" s="19">
        <v>85</v>
      </c>
      <c r="R3409" s="14">
        <v>250</v>
      </c>
      <c r="S3409" s="19">
        <v>21250</v>
      </c>
      <c r="AJ3409" s="19">
        <v>0</v>
      </c>
      <c r="AK3409" s="23">
        <v>0</v>
      </c>
      <c r="AM3409" s="19">
        <v>0</v>
      </c>
      <c r="AN3409" s="19">
        <v>21250</v>
      </c>
      <c r="AP3409" s="14">
        <v>21250</v>
      </c>
    </row>
    <row r="3410" spans="1:45" ht="63" x14ac:dyDescent="0.2">
      <c r="A3410" s="121">
        <f t="shared" si="467"/>
        <v>2897</v>
      </c>
      <c r="B3410" s="13">
        <v>2</v>
      </c>
      <c r="C3410" s="17" t="s">
        <v>52</v>
      </c>
      <c r="D3410" s="17">
        <v>3426</v>
      </c>
      <c r="E3410" s="17">
        <v>19</v>
      </c>
      <c r="F3410" s="17">
        <v>2200</v>
      </c>
      <c r="G3410" s="13">
        <v>2</v>
      </c>
      <c r="H3410" s="17">
        <v>0</v>
      </c>
      <c r="I3410" s="17">
        <v>1</v>
      </c>
      <c r="J3410" s="17">
        <v>12</v>
      </c>
      <c r="L3410" s="17">
        <v>112</v>
      </c>
      <c r="P3410" s="17">
        <v>2</v>
      </c>
      <c r="Q3410" s="19">
        <v>112</v>
      </c>
      <c r="R3410" s="14">
        <v>200</v>
      </c>
      <c r="S3410" s="19">
        <v>22400</v>
      </c>
      <c r="T3410" s="17">
        <v>1</v>
      </c>
      <c r="U3410" s="17" t="s">
        <v>57</v>
      </c>
      <c r="V3410" s="17" t="s">
        <v>56</v>
      </c>
      <c r="W3410" s="4">
        <v>68</v>
      </c>
      <c r="Y3410" s="4">
        <v>68</v>
      </c>
      <c r="AB3410" s="17">
        <v>11</v>
      </c>
      <c r="AJ3410" s="19">
        <v>0</v>
      </c>
      <c r="AK3410" s="23">
        <v>11</v>
      </c>
      <c r="AM3410" s="19">
        <v>0</v>
      </c>
      <c r="AN3410" s="19">
        <v>22400</v>
      </c>
      <c r="AP3410" s="14">
        <v>22400</v>
      </c>
    </row>
    <row r="3411" spans="1:45" x14ac:dyDescent="0.2">
      <c r="A3411" s="121">
        <f t="shared" si="467"/>
        <v>2898</v>
      </c>
      <c r="B3411" s="13">
        <v>1</v>
      </c>
      <c r="C3411" s="17" t="s">
        <v>52</v>
      </c>
      <c r="D3411" s="17">
        <v>3414</v>
      </c>
      <c r="E3411" s="17">
        <v>47</v>
      </c>
      <c r="F3411" s="17">
        <v>2218</v>
      </c>
      <c r="G3411" s="13">
        <v>2</v>
      </c>
      <c r="H3411" s="17">
        <v>0</v>
      </c>
      <c r="I3411" s="17">
        <v>0</v>
      </c>
      <c r="J3411" s="17">
        <v>97</v>
      </c>
      <c r="N3411" s="18">
        <v>97</v>
      </c>
      <c r="P3411" s="17">
        <v>4</v>
      </c>
      <c r="Q3411" s="19">
        <v>97</v>
      </c>
      <c r="R3411" s="14">
        <v>250</v>
      </c>
      <c r="S3411" s="19">
        <v>24250</v>
      </c>
      <c r="AJ3411" s="19">
        <v>0</v>
      </c>
      <c r="AK3411" s="23">
        <v>0</v>
      </c>
      <c r="AM3411" s="19">
        <v>0</v>
      </c>
      <c r="AN3411" s="19">
        <v>24250</v>
      </c>
      <c r="AP3411" s="14">
        <v>24250</v>
      </c>
      <c r="AQ3411" s="12">
        <v>3.0000000000000001E-3</v>
      </c>
    </row>
    <row r="3412" spans="1:45" x14ac:dyDescent="0.2">
      <c r="A3412" s="121">
        <f t="shared" si="467"/>
        <v>2899</v>
      </c>
      <c r="B3412" s="13">
        <v>1</v>
      </c>
      <c r="C3412" s="17" t="s">
        <v>52</v>
      </c>
      <c r="D3412" s="17">
        <v>3591</v>
      </c>
      <c r="E3412" s="17">
        <v>48</v>
      </c>
      <c r="F3412" s="17">
        <v>2222</v>
      </c>
      <c r="G3412" s="13">
        <v>2</v>
      </c>
      <c r="H3412" s="17">
        <v>0</v>
      </c>
      <c r="I3412" s="17">
        <v>0</v>
      </c>
      <c r="J3412" s="17">
        <v>84</v>
      </c>
      <c r="N3412" s="18">
        <v>84</v>
      </c>
      <c r="P3412" s="17">
        <v>4</v>
      </c>
      <c r="Q3412" s="19">
        <v>84</v>
      </c>
      <c r="R3412" s="14">
        <v>250</v>
      </c>
      <c r="S3412" s="19">
        <v>21000</v>
      </c>
      <c r="AJ3412" s="19">
        <v>0</v>
      </c>
      <c r="AK3412" s="23">
        <v>0</v>
      </c>
      <c r="AM3412" s="19">
        <v>0</v>
      </c>
      <c r="AN3412" s="19">
        <v>21000</v>
      </c>
      <c r="AP3412" s="14">
        <v>21000</v>
      </c>
      <c r="AQ3412" s="12">
        <v>3.0000000000000001E-3</v>
      </c>
    </row>
    <row r="3413" spans="1:45" ht="63" x14ac:dyDescent="0.2">
      <c r="A3413" s="121">
        <f t="shared" si="467"/>
        <v>2900</v>
      </c>
      <c r="B3413" s="13">
        <v>1</v>
      </c>
      <c r="C3413" s="17" t="s">
        <v>52</v>
      </c>
      <c r="D3413" s="17">
        <v>3211</v>
      </c>
      <c r="E3413" s="17">
        <v>52</v>
      </c>
      <c r="F3413" s="17">
        <v>2144</v>
      </c>
      <c r="G3413" s="13">
        <v>2</v>
      </c>
      <c r="H3413" s="17">
        <v>1</v>
      </c>
      <c r="I3413" s="17">
        <v>0</v>
      </c>
      <c r="J3413" s="17">
        <v>49</v>
      </c>
      <c r="L3413" s="17">
        <v>420.25</v>
      </c>
      <c r="P3413" s="17">
        <v>2</v>
      </c>
      <c r="Q3413" s="19">
        <v>449</v>
      </c>
      <c r="R3413" s="14">
        <v>250</v>
      </c>
      <c r="S3413" s="19">
        <v>112250</v>
      </c>
      <c r="T3413" s="17">
        <v>1</v>
      </c>
      <c r="U3413" s="17" t="s">
        <v>57</v>
      </c>
      <c r="V3413" s="17" t="s">
        <v>56</v>
      </c>
      <c r="W3413" s="4">
        <v>52</v>
      </c>
      <c r="Y3413" s="4">
        <v>52</v>
      </c>
      <c r="AB3413" s="17">
        <v>41</v>
      </c>
      <c r="AJ3413" s="19">
        <v>0</v>
      </c>
      <c r="AK3413" s="23">
        <v>41</v>
      </c>
      <c r="AM3413" s="19">
        <v>0</v>
      </c>
      <c r="AN3413" s="19">
        <v>112250</v>
      </c>
      <c r="AP3413" s="14">
        <v>112250</v>
      </c>
    </row>
    <row r="3414" spans="1:45" ht="63" x14ac:dyDescent="0.2">
      <c r="L3414" s="17">
        <v>28.75</v>
      </c>
      <c r="Q3414" s="19">
        <v>0</v>
      </c>
      <c r="T3414" s="17">
        <v>2</v>
      </c>
      <c r="U3414" s="17" t="s">
        <v>57</v>
      </c>
      <c r="V3414" s="17" t="s">
        <v>56</v>
      </c>
      <c r="W3414" s="4">
        <v>115</v>
      </c>
      <c r="Y3414" s="4">
        <v>115</v>
      </c>
      <c r="AB3414" s="17">
        <v>15</v>
      </c>
      <c r="AJ3414" s="19">
        <v>0</v>
      </c>
      <c r="AK3414" s="23">
        <v>15</v>
      </c>
      <c r="AM3414" s="19">
        <v>0</v>
      </c>
      <c r="AN3414" s="19">
        <v>0</v>
      </c>
      <c r="AP3414" s="14">
        <v>0</v>
      </c>
    </row>
    <row r="3415" spans="1:45" x14ac:dyDescent="0.2">
      <c r="A3415" s="2">
        <v>2901</v>
      </c>
      <c r="B3415" s="13">
        <v>1</v>
      </c>
      <c r="C3415" s="17" t="s">
        <v>52</v>
      </c>
      <c r="D3415" s="17">
        <v>5063</v>
      </c>
      <c r="E3415" s="17">
        <v>81</v>
      </c>
      <c r="F3415" s="17">
        <v>2221</v>
      </c>
      <c r="G3415" s="13">
        <v>2</v>
      </c>
      <c r="H3415" s="17">
        <v>2</v>
      </c>
      <c r="I3415" s="17">
        <v>2</v>
      </c>
      <c r="J3415" s="17">
        <v>32</v>
      </c>
      <c r="K3415" s="10">
        <v>1032</v>
      </c>
      <c r="P3415" s="17">
        <v>1</v>
      </c>
      <c r="Q3415" s="19">
        <v>1032</v>
      </c>
      <c r="R3415" s="14">
        <v>160</v>
      </c>
      <c r="S3415" s="19">
        <v>165120</v>
      </c>
      <c r="AJ3415" s="19">
        <v>0</v>
      </c>
      <c r="AK3415" s="23">
        <v>0</v>
      </c>
      <c r="AM3415" s="19">
        <v>0</v>
      </c>
      <c r="AN3415" s="19">
        <v>165120</v>
      </c>
      <c r="AP3415" s="14">
        <v>165120</v>
      </c>
    </row>
    <row r="3416" spans="1:45" x14ac:dyDescent="0.2">
      <c r="A3416" s="2">
        <f>+A3415+1</f>
        <v>2902</v>
      </c>
      <c r="B3416" s="13">
        <v>2</v>
      </c>
      <c r="C3416" s="17" t="s">
        <v>69</v>
      </c>
      <c r="E3416" s="17">
        <v>162</v>
      </c>
      <c r="F3416" s="17">
        <v>1</v>
      </c>
      <c r="G3416" s="13">
        <v>1</v>
      </c>
      <c r="H3416" s="17">
        <v>10</v>
      </c>
      <c r="I3416" s="17">
        <v>2</v>
      </c>
      <c r="J3416" s="17">
        <v>72</v>
      </c>
      <c r="K3416" s="10">
        <v>4272</v>
      </c>
      <c r="P3416" s="17">
        <v>1</v>
      </c>
      <c r="Q3416" s="19">
        <v>4272</v>
      </c>
      <c r="R3416" s="14">
        <v>160</v>
      </c>
      <c r="S3416" s="19">
        <v>683520</v>
      </c>
      <c r="AJ3416" s="19">
        <v>0</v>
      </c>
      <c r="AK3416" s="23">
        <v>0</v>
      </c>
      <c r="AM3416" s="19">
        <v>0</v>
      </c>
      <c r="AN3416" s="19">
        <v>683520</v>
      </c>
      <c r="AP3416" s="14">
        <v>683520</v>
      </c>
      <c r="AQ3416" s="12">
        <v>1E-4</v>
      </c>
    </row>
    <row r="3417" spans="1:45" ht="63" x14ac:dyDescent="0.2">
      <c r="A3417" s="121">
        <f t="shared" ref="A3417:A3420" si="468">+A3416+1</f>
        <v>2903</v>
      </c>
      <c r="B3417" s="13">
        <v>1</v>
      </c>
      <c r="C3417" s="17" t="s">
        <v>52</v>
      </c>
      <c r="D3417" s="17">
        <v>3214</v>
      </c>
      <c r="E3417" s="17">
        <v>55</v>
      </c>
      <c r="F3417" s="17">
        <v>2147</v>
      </c>
      <c r="G3417" s="13">
        <v>2</v>
      </c>
      <c r="H3417" s="17">
        <v>0</v>
      </c>
      <c r="I3417" s="17">
        <v>1</v>
      </c>
      <c r="J3417" s="17">
        <v>37</v>
      </c>
      <c r="L3417" s="17">
        <v>137</v>
      </c>
      <c r="P3417" s="17">
        <v>2</v>
      </c>
      <c r="Q3417" s="19">
        <v>137</v>
      </c>
      <c r="R3417" s="14">
        <v>250</v>
      </c>
      <c r="S3417" s="19">
        <v>34250</v>
      </c>
      <c r="T3417" s="17">
        <v>1</v>
      </c>
      <c r="U3417" s="17" t="s">
        <v>57</v>
      </c>
      <c r="V3417" s="17" t="s">
        <v>56</v>
      </c>
      <c r="W3417" s="4">
        <v>260</v>
      </c>
      <c r="Y3417" s="4">
        <v>260</v>
      </c>
      <c r="AB3417" s="17">
        <v>47</v>
      </c>
      <c r="AJ3417" s="19">
        <v>0</v>
      </c>
      <c r="AK3417" s="23">
        <v>47</v>
      </c>
      <c r="AM3417" s="19">
        <v>0</v>
      </c>
      <c r="AN3417" s="19">
        <v>34250</v>
      </c>
      <c r="AP3417" s="14">
        <v>34250</v>
      </c>
    </row>
    <row r="3418" spans="1:45" ht="63" x14ac:dyDescent="0.2">
      <c r="A3418" s="121">
        <f t="shared" si="468"/>
        <v>2904</v>
      </c>
      <c r="B3418" s="13">
        <v>2</v>
      </c>
      <c r="C3418" s="17" t="s">
        <v>52</v>
      </c>
      <c r="D3418" s="17">
        <v>3776</v>
      </c>
      <c r="E3418" s="17">
        <v>105</v>
      </c>
      <c r="F3418" s="17">
        <v>2303</v>
      </c>
      <c r="G3418" s="13">
        <v>2</v>
      </c>
      <c r="H3418" s="17">
        <v>3</v>
      </c>
      <c r="I3418" s="17">
        <v>2</v>
      </c>
      <c r="J3418" s="17">
        <v>50</v>
      </c>
      <c r="K3418" s="10">
        <v>1442</v>
      </c>
      <c r="L3418" s="17">
        <v>8</v>
      </c>
      <c r="P3418" s="17">
        <v>5</v>
      </c>
      <c r="Q3418" s="19">
        <v>1450</v>
      </c>
      <c r="R3418" s="14">
        <v>160</v>
      </c>
      <c r="S3418" s="19">
        <v>232000</v>
      </c>
      <c r="T3418" s="17">
        <v>1</v>
      </c>
      <c r="U3418" s="17" t="s">
        <v>57</v>
      </c>
      <c r="V3418" s="17" t="s">
        <v>56</v>
      </c>
      <c r="W3418" s="4">
        <v>36</v>
      </c>
      <c r="Y3418" s="4">
        <v>36</v>
      </c>
      <c r="AB3418" s="17">
        <v>21</v>
      </c>
      <c r="AJ3418" s="19">
        <v>0</v>
      </c>
      <c r="AK3418" s="23">
        <v>21</v>
      </c>
      <c r="AM3418" s="19">
        <v>0</v>
      </c>
      <c r="AN3418" s="19">
        <v>232000</v>
      </c>
      <c r="AP3418" s="14">
        <v>232000</v>
      </c>
    </row>
    <row r="3419" spans="1:45" x14ac:dyDescent="0.2">
      <c r="A3419" s="121">
        <f t="shared" si="468"/>
        <v>2905</v>
      </c>
      <c r="B3419" s="13">
        <v>1</v>
      </c>
      <c r="C3419" s="17" t="s">
        <v>52</v>
      </c>
      <c r="D3419" s="17">
        <v>3605</v>
      </c>
      <c r="E3419" s="17">
        <v>88</v>
      </c>
      <c r="F3419" s="17">
        <v>2236</v>
      </c>
      <c r="G3419" s="13">
        <v>2</v>
      </c>
      <c r="H3419" s="17">
        <v>4</v>
      </c>
      <c r="I3419" s="17">
        <v>3</v>
      </c>
      <c r="J3419" s="17">
        <v>74</v>
      </c>
      <c r="K3419" s="10">
        <v>1974</v>
      </c>
      <c r="P3419" s="17">
        <v>1</v>
      </c>
      <c r="Q3419" s="19">
        <v>1974</v>
      </c>
      <c r="R3419" s="14">
        <v>200</v>
      </c>
      <c r="S3419" s="19">
        <v>394800</v>
      </c>
      <c r="AJ3419" s="19">
        <v>0</v>
      </c>
      <c r="AK3419" s="23">
        <v>0</v>
      </c>
      <c r="AM3419" s="19">
        <v>0</v>
      </c>
      <c r="AN3419" s="19">
        <v>394800</v>
      </c>
      <c r="AP3419" s="14">
        <v>394800</v>
      </c>
      <c r="AS3419" s="26">
        <v>35</v>
      </c>
    </row>
    <row r="3420" spans="1:45" ht="63" x14ac:dyDescent="0.2">
      <c r="A3420" s="121">
        <f t="shared" si="468"/>
        <v>2906</v>
      </c>
      <c r="B3420" s="13">
        <v>2</v>
      </c>
      <c r="C3420" s="17" t="s">
        <v>52</v>
      </c>
      <c r="D3420" s="17">
        <v>12591</v>
      </c>
      <c r="E3420" s="17">
        <v>89</v>
      </c>
      <c r="F3420" s="17">
        <v>3259</v>
      </c>
      <c r="G3420" s="13">
        <v>2</v>
      </c>
      <c r="H3420" s="17">
        <v>4</v>
      </c>
      <c r="I3420" s="17">
        <v>1</v>
      </c>
      <c r="J3420" s="17">
        <v>14</v>
      </c>
      <c r="K3420" s="10">
        <v>1734.82</v>
      </c>
      <c r="L3420" s="17">
        <v>10.68</v>
      </c>
      <c r="P3420" s="17">
        <v>5</v>
      </c>
      <c r="Q3420" s="19">
        <v>1714</v>
      </c>
      <c r="R3420" s="14">
        <v>160</v>
      </c>
      <c r="S3420" s="19">
        <v>274240</v>
      </c>
      <c r="T3420" s="17">
        <v>1</v>
      </c>
      <c r="U3420" s="17" t="s">
        <v>57</v>
      </c>
      <c r="V3420" s="17" t="s">
        <v>56</v>
      </c>
      <c r="W3420" s="4">
        <v>42.75</v>
      </c>
      <c r="Y3420" s="4">
        <v>42.75</v>
      </c>
      <c r="AB3420" s="17">
        <v>19</v>
      </c>
      <c r="AJ3420" s="19">
        <v>0</v>
      </c>
      <c r="AK3420" s="23">
        <v>19</v>
      </c>
      <c r="AM3420" s="19">
        <v>0</v>
      </c>
      <c r="AN3420" s="19">
        <v>274240</v>
      </c>
      <c r="AP3420" s="14">
        <v>274240</v>
      </c>
    </row>
    <row r="3421" spans="1:45" ht="63" x14ac:dyDescent="0.2">
      <c r="L3421" s="17">
        <v>31.5</v>
      </c>
      <c r="Q3421" s="19">
        <v>0</v>
      </c>
      <c r="R3421" s="14" t="e">
        <v>#N/A</v>
      </c>
      <c r="S3421" s="19" t="e">
        <v>#N/A</v>
      </c>
      <c r="T3421" s="17">
        <v>2</v>
      </c>
      <c r="U3421" s="17" t="s">
        <v>57</v>
      </c>
      <c r="V3421" s="17" t="s">
        <v>56</v>
      </c>
      <c r="W3421" s="4">
        <v>126</v>
      </c>
      <c r="Y3421" s="4">
        <v>126</v>
      </c>
      <c r="AB3421" s="17">
        <v>1</v>
      </c>
      <c r="AJ3421" s="19">
        <v>0</v>
      </c>
      <c r="AK3421" s="23">
        <v>1</v>
      </c>
      <c r="AM3421" s="19">
        <v>0</v>
      </c>
      <c r="AN3421" s="19" t="e">
        <v>#N/A</v>
      </c>
      <c r="AP3421" s="14" t="e">
        <v>#N/A</v>
      </c>
    </row>
    <row r="3422" spans="1:45" ht="63" x14ac:dyDescent="0.2">
      <c r="A3422" s="2">
        <v>2907</v>
      </c>
      <c r="B3422" s="13">
        <v>1</v>
      </c>
      <c r="C3422" s="17" t="s">
        <v>52</v>
      </c>
      <c r="D3422" s="17">
        <v>3174</v>
      </c>
      <c r="E3422" s="17">
        <v>31</v>
      </c>
      <c r="F3422" s="17">
        <v>2103</v>
      </c>
      <c r="G3422" s="13">
        <v>2</v>
      </c>
      <c r="H3422" s="17">
        <v>0</v>
      </c>
      <c r="I3422" s="17">
        <v>0</v>
      </c>
      <c r="J3422" s="17">
        <v>97</v>
      </c>
      <c r="L3422" s="17">
        <v>97</v>
      </c>
      <c r="P3422" s="17">
        <v>2</v>
      </c>
      <c r="Q3422" s="19">
        <v>97</v>
      </c>
      <c r="R3422" s="14">
        <v>250</v>
      </c>
      <c r="S3422" s="19">
        <v>24250</v>
      </c>
      <c r="T3422" s="17">
        <v>1</v>
      </c>
      <c r="U3422" s="17" t="s">
        <v>57</v>
      </c>
      <c r="V3422" s="17" t="s">
        <v>56</v>
      </c>
      <c r="W3422" s="4">
        <v>105</v>
      </c>
      <c r="Y3422" s="4">
        <v>105</v>
      </c>
      <c r="AB3422" s="17">
        <v>11</v>
      </c>
      <c r="AJ3422" s="19">
        <v>0</v>
      </c>
      <c r="AK3422" s="23">
        <v>11</v>
      </c>
      <c r="AM3422" s="19">
        <v>0</v>
      </c>
      <c r="AN3422" s="19">
        <v>24250</v>
      </c>
      <c r="AP3422" s="14">
        <v>24250</v>
      </c>
      <c r="AR3422" s="19">
        <v>45</v>
      </c>
      <c r="AS3422" s="26">
        <v>405</v>
      </c>
    </row>
    <row r="3423" spans="1:45" ht="63" x14ac:dyDescent="0.2">
      <c r="A3423" s="2">
        <f>+A3422+1</f>
        <v>2908</v>
      </c>
      <c r="B3423" s="13">
        <v>2</v>
      </c>
      <c r="C3423" s="17" t="s">
        <v>52</v>
      </c>
      <c r="D3423" s="17">
        <v>3175</v>
      </c>
      <c r="E3423" s="17">
        <v>32</v>
      </c>
      <c r="F3423" s="17">
        <v>2104</v>
      </c>
      <c r="G3423" s="13">
        <v>2</v>
      </c>
      <c r="H3423" s="17">
        <v>0</v>
      </c>
      <c r="I3423" s="17">
        <v>1</v>
      </c>
      <c r="J3423" s="17">
        <v>28</v>
      </c>
      <c r="L3423" s="17">
        <v>125</v>
      </c>
      <c r="M3423" s="15">
        <v>3</v>
      </c>
      <c r="P3423" s="17">
        <v>5</v>
      </c>
      <c r="Q3423" s="19">
        <v>128</v>
      </c>
      <c r="R3423" s="14">
        <v>250</v>
      </c>
      <c r="S3423" s="19">
        <v>32000</v>
      </c>
      <c r="T3423" s="17">
        <v>1</v>
      </c>
      <c r="U3423" s="17" t="s">
        <v>57</v>
      </c>
      <c r="V3423" s="17" t="s">
        <v>56</v>
      </c>
      <c r="W3423" s="4">
        <v>250</v>
      </c>
      <c r="Y3423" s="4" t="s">
        <v>296</v>
      </c>
      <c r="Z3423" s="17">
        <v>16</v>
      </c>
      <c r="AB3423" s="17">
        <v>11</v>
      </c>
      <c r="AF3423" s="14">
        <v>2</v>
      </c>
      <c r="AG3423" s="54">
        <v>250</v>
      </c>
      <c r="AH3423" s="11">
        <v>0.93600000000000005</v>
      </c>
      <c r="AI3423" s="14">
        <v>7250</v>
      </c>
      <c r="AJ3423" s="19">
        <v>1696500</v>
      </c>
      <c r="AK3423" s="23">
        <v>11</v>
      </c>
      <c r="AL3423" s="11">
        <v>0.12</v>
      </c>
      <c r="AM3423" s="19">
        <v>1492920</v>
      </c>
      <c r="AN3423" s="19">
        <v>1524920</v>
      </c>
      <c r="AP3423" s="14">
        <v>1524920</v>
      </c>
      <c r="AR3423" s="19">
        <v>360</v>
      </c>
    </row>
    <row r="3424" spans="1:45" x14ac:dyDescent="0.2">
      <c r="AF3424" s="14">
        <v>3</v>
      </c>
      <c r="AG3424" s="54">
        <v>250</v>
      </c>
      <c r="AH3424" s="11">
        <v>6.4000000000000001E-2</v>
      </c>
      <c r="AI3424" s="14">
        <v>7250</v>
      </c>
      <c r="AJ3424" s="19">
        <v>116000</v>
      </c>
      <c r="AK3424" s="23">
        <v>11</v>
      </c>
      <c r="AL3424" s="11">
        <v>0.12</v>
      </c>
      <c r="AM3424" s="19">
        <v>102080</v>
      </c>
      <c r="AN3424" s="19">
        <v>104128</v>
      </c>
      <c r="AP3424" s="14">
        <v>104128</v>
      </c>
      <c r="AQ3424" s="12">
        <v>3.0000000000000001E-3</v>
      </c>
    </row>
    <row r="3425" spans="1:45" s="19" customFormat="1" x14ac:dyDescent="0.2">
      <c r="A3425" s="2">
        <v>2909</v>
      </c>
      <c r="B3425" s="13">
        <v>3</v>
      </c>
      <c r="C3425" s="17" t="s">
        <v>52</v>
      </c>
      <c r="D3425" s="17">
        <v>3366</v>
      </c>
      <c r="E3425" s="17">
        <v>30</v>
      </c>
      <c r="F3425" s="17">
        <v>2152</v>
      </c>
      <c r="G3425" s="13">
        <v>2</v>
      </c>
      <c r="H3425" s="17">
        <v>0</v>
      </c>
      <c r="I3425" s="17">
        <v>0</v>
      </c>
      <c r="J3425" s="17">
        <v>45</v>
      </c>
      <c r="K3425" s="10"/>
      <c r="L3425" s="17">
        <v>45</v>
      </c>
      <c r="M3425" s="15"/>
      <c r="N3425" s="18"/>
      <c r="O3425" s="14"/>
      <c r="P3425" s="17">
        <v>2</v>
      </c>
      <c r="Q3425" s="19">
        <v>45</v>
      </c>
      <c r="R3425" s="14">
        <v>250</v>
      </c>
      <c r="S3425" s="19">
        <v>11250</v>
      </c>
      <c r="T3425" s="17"/>
      <c r="U3425" s="17"/>
      <c r="V3425" s="17"/>
      <c r="W3425" s="4"/>
      <c r="X3425" s="17"/>
      <c r="Y3425" s="4"/>
      <c r="Z3425" s="17"/>
      <c r="AA3425" s="17"/>
      <c r="AB3425" s="17"/>
      <c r="AC3425" s="14"/>
      <c r="AD3425" s="14"/>
      <c r="AE3425" s="17"/>
      <c r="AF3425" s="14"/>
      <c r="AG3425" s="54"/>
      <c r="AH3425" s="11"/>
      <c r="AI3425" s="14"/>
      <c r="AJ3425" s="19">
        <v>0</v>
      </c>
      <c r="AK3425" s="23">
        <v>0</v>
      </c>
      <c r="AL3425" s="11"/>
      <c r="AM3425" s="19">
        <v>0</v>
      </c>
      <c r="AN3425" s="19">
        <v>11250</v>
      </c>
      <c r="AO3425" s="14"/>
      <c r="AP3425" s="14">
        <v>11250</v>
      </c>
      <c r="AQ3425" s="12">
        <v>3.0000000000000001E-3</v>
      </c>
      <c r="AS3425" s="26"/>
    </row>
    <row r="3426" spans="1:45" s="19" customFormat="1" x14ac:dyDescent="0.2">
      <c r="A3426" s="2">
        <f>+A3425+1</f>
        <v>2910</v>
      </c>
      <c r="B3426" s="13">
        <v>4</v>
      </c>
      <c r="C3426" s="17" t="s">
        <v>52</v>
      </c>
      <c r="D3426" s="17">
        <v>3369</v>
      </c>
      <c r="E3426" s="17">
        <v>18</v>
      </c>
      <c r="F3426" s="17">
        <v>2155</v>
      </c>
      <c r="G3426" s="13">
        <v>2</v>
      </c>
      <c r="H3426" s="17">
        <v>2</v>
      </c>
      <c r="I3426" s="17">
        <v>3</v>
      </c>
      <c r="J3426" s="17">
        <v>49</v>
      </c>
      <c r="K3426" s="10">
        <v>1149</v>
      </c>
      <c r="L3426" s="17"/>
      <c r="M3426" s="15"/>
      <c r="N3426" s="18"/>
      <c r="O3426" s="14"/>
      <c r="P3426" s="17">
        <v>1</v>
      </c>
      <c r="Q3426" s="19">
        <v>1149</v>
      </c>
      <c r="R3426" s="14">
        <v>160</v>
      </c>
      <c r="S3426" s="19">
        <v>183840</v>
      </c>
      <c r="T3426" s="17"/>
      <c r="U3426" s="17"/>
      <c r="V3426" s="17"/>
      <c r="W3426" s="4"/>
      <c r="X3426" s="17"/>
      <c r="Y3426" s="4"/>
      <c r="Z3426" s="17"/>
      <c r="AA3426" s="17"/>
      <c r="AB3426" s="17"/>
      <c r="AC3426" s="14"/>
      <c r="AD3426" s="14"/>
      <c r="AE3426" s="17"/>
      <c r="AF3426" s="14"/>
      <c r="AG3426" s="54"/>
      <c r="AH3426" s="11"/>
      <c r="AI3426" s="14"/>
      <c r="AJ3426" s="19">
        <v>0</v>
      </c>
      <c r="AK3426" s="23">
        <v>0</v>
      </c>
      <c r="AL3426" s="11"/>
      <c r="AM3426" s="19">
        <v>0</v>
      </c>
      <c r="AN3426" s="19">
        <v>183840</v>
      </c>
      <c r="AO3426" s="14"/>
      <c r="AP3426" s="14">
        <v>183840</v>
      </c>
      <c r="AQ3426" s="12"/>
      <c r="AS3426" s="26"/>
    </row>
    <row r="3427" spans="1:45" s="19" customFormat="1" x14ac:dyDescent="0.2">
      <c r="A3427" s="121">
        <f t="shared" ref="A3427:A3438" si="469">+A3426+1</f>
        <v>2911</v>
      </c>
      <c r="B3427" s="13">
        <v>5</v>
      </c>
      <c r="C3427" s="17" t="s">
        <v>52</v>
      </c>
      <c r="D3427" s="17">
        <v>12618</v>
      </c>
      <c r="E3427" s="17">
        <v>90</v>
      </c>
      <c r="F3427" s="17">
        <v>3265</v>
      </c>
      <c r="G3427" s="13">
        <v>2</v>
      </c>
      <c r="H3427" s="17">
        <v>0</v>
      </c>
      <c r="I3427" s="17">
        <v>0</v>
      </c>
      <c r="J3427" s="17">
        <v>36</v>
      </c>
      <c r="K3427" s="10"/>
      <c r="L3427" s="17">
        <v>36</v>
      </c>
      <c r="M3427" s="15"/>
      <c r="N3427" s="18"/>
      <c r="O3427" s="14"/>
      <c r="P3427" s="17">
        <v>2</v>
      </c>
      <c r="Q3427" s="19">
        <v>36</v>
      </c>
      <c r="R3427" s="14">
        <v>250</v>
      </c>
      <c r="S3427" s="19">
        <v>9000</v>
      </c>
      <c r="T3427" s="17"/>
      <c r="U3427" s="17"/>
      <c r="V3427" s="17"/>
      <c r="W3427" s="4"/>
      <c r="X3427" s="17"/>
      <c r="Y3427" s="4"/>
      <c r="Z3427" s="17"/>
      <c r="AA3427" s="17"/>
      <c r="AB3427" s="17"/>
      <c r="AC3427" s="14"/>
      <c r="AD3427" s="14"/>
      <c r="AE3427" s="17"/>
      <c r="AF3427" s="14"/>
      <c r="AG3427" s="54"/>
      <c r="AH3427" s="11"/>
      <c r="AI3427" s="14"/>
      <c r="AJ3427" s="19">
        <v>0</v>
      </c>
      <c r="AK3427" s="23">
        <v>0</v>
      </c>
      <c r="AL3427" s="11"/>
      <c r="AM3427" s="19">
        <v>0</v>
      </c>
      <c r="AN3427" s="19">
        <v>9000</v>
      </c>
      <c r="AO3427" s="14"/>
      <c r="AP3427" s="14">
        <v>9000</v>
      </c>
      <c r="AQ3427" s="12">
        <v>3.0000000000000001E-3</v>
      </c>
      <c r="AS3427" s="26"/>
    </row>
    <row r="3428" spans="1:45" s="19" customFormat="1" x14ac:dyDescent="0.2">
      <c r="A3428" s="121">
        <f t="shared" si="469"/>
        <v>2912</v>
      </c>
      <c r="B3428" s="13">
        <v>6</v>
      </c>
      <c r="C3428" s="17" t="s">
        <v>52</v>
      </c>
      <c r="D3428" s="17">
        <v>12619</v>
      </c>
      <c r="E3428" s="17">
        <v>91</v>
      </c>
      <c r="F3428" s="17">
        <v>3266</v>
      </c>
      <c r="G3428" s="13">
        <v>2</v>
      </c>
      <c r="H3428" s="17">
        <v>0</v>
      </c>
      <c r="I3428" s="17">
        <v>0</v>
      </c>
      <c r="J3428" s="17">
        <v>59</v>
      </c>
      <c r="K3428" s="10"/>
      <c r="L3428" s="17">
        <v>59</v>
      </c>
      <c r="M3428" s="15"/>
      <c r="N3428" s="18"/>
      <c r="O3428" s="14"/>
      <c r="P3428" s="17">
        <v>2</v>
      </c>
      <c r="Q3428" s="19">
        <v>59</v>
      </c>
      <c r="R3428" s="14">
        <v>250</v>
      </c>
      <c r="S3428" s="19">
        <v>14750</v>
      </c>
      <c r="T3428" s="17"/>
      <c r="U3428" s="17"/>
      <c r="V3428" s="17"/>
      <c r="W3428" s="4"/>
      <c r="X3428" s="17"/>
      <c r="Y3428" s="4"/>
      <c r="Z3428" s="17"/>
      <c r="AA3428" s="17"/>
      <c r="AB3428" s="17"/>
      <c r="AC3428" s="14"/>
      <c r="AD3428" s="14"/>
      <c r="AE3428" s="17"/>
      <c r="AF3428" s="14"/>
      <c r="AG3428" s="54"/>
      <c r="AH3428" s="11"/>
      <c r="AI3428" s="14"/>
      <c r="AJ3428" s="19">
        <v>0</v>
      </c>
      <c r="AK3428" s="23">
        <v>0</v>
      </c>
      <c r="AL3428" s="11"/>
      <c r="AM3428" s="19">
        <v>0</v>
      </c>
      <c r="AN3428" s="19">
        <v>14750</v>
      </c>
      <c r="AO3428" s="14"/>
      <c r="AP3428" s="14">
        <v>14750</v>
      </c>
      <c r="AQ3428" s="12">
        <v>3.0000000000000001E-3</v>
      </c>
      <c r="AS3428" s="26"/>
    </row>
    <row r="3429" spans="1:45" s="19" customFormat="1" x14ac:dyDescent="0.2">
      <c r="A3429" s="121">
        <f t="shared" si="469"/>
        <v>2913</v>
      </c>
      <c r="B3429" s="13">
        <v>7</v>
      </c>
      <c r="C3429" s="17" t="s">
        <v>52</v>
      </c>
      <c r="D3429" s="17">
        <v>13486</v>
      </c>
      <c r="E3429" s="17">
        <v>95</v>
      </c>
      <c r="F3429" s="17">
        <v>3285</v>
      </c>
      <c r="G3429" s="13">
        <v>2</v>
      </c>
      <c r="H3429" s="17">
        <v>1</v>
      </c>
      <c r="I3429" s="17">
        <v>0</v>
      </c>
      <c r="J3429" s="17">
        <v>0</v>
      </c>
      <c r="K3429" s="10">
        <v>400</v>
      </c>
      <c r="L3429" s="17"/>
      <c r="M3429" s="15"/>
      <c r="N3429" s="18"/>
      <c r="O3429" s="14"/>
      <c r="P3429" s="17">
        <v>1</v>
      </c>
      <c r="Q3429" s="19">
        <v>400</v>
      </c>
      <c r="R3429" s="14">
        <v>160</v>
      </c>
      <c r="S3429" s="19">
        <v>64000</v>
      </c>
      <c r="T3429" s="17"/>
      <c r="U3429" s="17"/>
      <c r="V3429" s="17"/>
      <c r="W3429" s="4"/>
      <c r="X3429" s="17"/>
      <c r="Y3429" s="4"/>
      <c r="Z3429" s="17"/>
      <c r="AA3429" s="17"/>
      <c r="AB3429" s="17"/>
      <c r="AC3429" s="14"/>
      <c r="AD3429" s="14"/>
      <c r="AE3429" s="17"/>
      <c r="AF3429" s="14"/>
      <c r="AG3429" s="54"/>
      <c r="AH3429" s="11"/>
      <c r="AI3429" s="14"/>
      <c r="AJ3429" s="19">
        <v>0</v>
      </c>
      <c r="AK3429" s="23">
        <v>0</v>
      </c>
      <c r="AL3429" s="11"/>
      <c r="AM3429" s="19">
        <v>0</v>
      </c>
      <c r="AN3429" s="19">
        <v>64000</v>
      </c>
      <c r="AO3429" s="14"/>
      <c r="AP3429" s="14">
        <v>64000</v>
      </c>
      <c r="AQ3429" s="12"/>
      <c r="AS3429" s="26"/>
    </row>
    <row r="3430" spans="1:45" s="19" customFormat="1" x14ac:dyDescent="0.2">
      <c r="A3430" s="121">
        <f t="shared" si="469"/>
        <v>2914</v>
      </c>
      <c r="B3430" s="13">
        <v>8</v>
      </c>
      <c r="C3430" s="17" t="s">
        <v>65</v>
      </c>
      <c r="D3430" s="17">
        <v>872</v>
      </c>
      <c r="E3430" s="17">
        <v>145</v>
      </c>
      <c r="F3430" s="17"/>
      <c r="G3430" s="13"/>
      <c r="H3430" s="17">
        <v>12</v>
      </c>
      <c r="I3430" s="17">
        <v>3</v>
      </c>
      <c r="J3430" s="17">
        <v>48</v>
      </c>
      <c r="K3430" s="10">
        <v>5148</v>
      </c>
      <c r="L3430" s="17"/>
      <c r="M3430" s="15"/>
      <c r="N3430" s="18"/>
      <c r="O3430" s="14"/>
      <c r="P3430" s="17">
        <v>1</v>
      </c>
      <c r="Q3430" s="19">
        <v>5148</v>
      </c>
      <c r="R3430" s="14">
        <v>160</v>
      </c>
      <c r="S3430" s="19">
        <v>823680</v>
      </c>
      <c r="T3430" s="17"/>
      <c r="U3430" s="17"/>
      <c r="V3430" s="17"/>
      <c r="W3430" s="4"/>
      <c r="X3430" s="17"/>
      <c r="Y3430" s="4"/>
      <c r="Z3430" s="17"/>
      <c r="AA3430" s="17"/>
      <c r="AB3430" s="17"/>
      <c r="AC3430" s="14"/>
      <c r="AD3430" s="14"/>
      <c r="AE3430" s="17"/>
      <c r="AF3430" s="14"/>
      <c r="AG3430" s="54"/>
      <c r="AH3430" s="11"/>
      <c r="AI3430" s="14"/>
      <c r="AJ3430" s="19">
        <v>0</v>
      </c>
      <c r="AK3430" s="23">
        <v>0</v>
      </c>
      <c r="AL3430" s="11"/>
      <c r="AM3430" s="19">
        <v>0</v>
      </c>
      <c r="AN3430" s="19">
        <v>823680</v>
      </c>
      <c r="AO3430" s="14"/>
      <c r="AP3430" s="14">
        <v>823680</v>
      </c>
      <c r="AQ3430" s="12">
        <v>1E-4</v>
      </c>
      <c r="AS3430" s="26"/>
    </row>
    <row r="3431" spans="1:45" s="19" customFormat="1" x14ac:dyDescent="0.2">
      <c r="A3431" s="121">
        <f t="shared" si="469"/>
        <v>2915</v>
      </c>
      <c r="B3431" s="13">
        <v>1</v>
      </c>
      <c r="C3431" s="17" t="s">
        <v>52</v>
      </c>
      <c r="D3431" s="17">
        <v>3606</v>
      </c>
      <c r="E3431" s="17">
        <v>89</v>
      </c>
      <c r="F3431" s="17">
        <v>2237</v>
      </c>
      <c r="G3431" s="13">
        <v>2</v>
      </c>
      <c r="H3431" s="17">
        <v>2</v>
      </c>
      <c r="I3431" s="17">
        <v>3</v>
      </c>
      <c r="J3431" s="17">
        <v>3</v>
      </c>
      <c r="K3431" s="10">
        <v>1103</v>
      </c>
      <c r="L3431" s="17"/>
      <c r="M3431" s="15"/>
      <c r="N3431" s="18"/>
      <c r="O3431" s="14"/>
      <c r="P3431" s="17">
        <v>1</v>
      </c>
      <c r="Q3431" s="19">
        <v>1103</v>
      </c>
      <c r="R3431" s="14">
        <v>200</v>
      </c>
      <c r="S3431" s="19">
        <v>220600</v>
      </c>
      <c r="T3431" s="17"/>
      <c r="U3431" s="17"/>
      <c r="V3431" s="17"/>
      <c r="W3431" s="4"/>
      <c r="X3431" s="17"/>
      <c r="Y3431" s="4"/>
      <c r="Z3431" s="17"/>
      <c r="AA3431" s="17"/>
      <c r="AB3431" s="17"/>
      <c r="AC3431" s="14"/>
      <c r="AD3431" s="14"/>
      <c r="AE3431" s="17"/>
      <c r="AF3431" s="14"/>
      <c r="AG3431" s="54"/>
      <c r="AH3431" s="11"/>
      <c r="AI3431" s="14"/>
      <c r="AJ3431" s="19">
        <v>0</v>
      </c>
      <c r="AK3431" s="23">
        <v>0</v>
      </c>
      <c r="AL3431" s="11"/>
      <c r="AM3431" s="19">
        <v>0</v>
      </c>
      <c r="AN3431" s="19">
        <v>220600</v>
      </c>
      <c r="AO3431" s="14"/>
      <c r="AP3431" s="14">
        <v>220600</v>
      </c>
      <c r="AQ3431" s="12"/>
      <c r="AS3431" s="26"/>
    </row>
    <row r="3432" spans="1:45" s="19" customFormat="1" x14ac:dyDescent="0.2">
      <c r="A3432" s="121">
        <f t="shared" si="469"/>
        <v>2916</v>
      </c>
      <c r="B3432" s="13">
        <v>2</v>
      </c>
      <c r="C3432" s="17" t="s">
        <v>52</v>
      </c>
      <c r="D3432" s="17">
        <v>37015</v>
      </c>
      <c r="E3432" s="17">
        <v>153</v>
      </c>
      <c r="F3432" s="17">
        <v>7128</v>
      </c>
      <c r="G3432" s="13">
        <v>2</v>
      </c>
      <c r="H3432" s="17">
        <v>2</v>
      </c>
      <c r="I3432" s="17">
        <v>3</v>
      </c>
      <c r="J3432" s="17">
        <v>52</v>
      </c>
      <c r="K3432" s="10">
        <v>1152</v>
      </c>
      <c r="L3432" s="17"/>
      <c r="M3432" s="15"/>
      <c r="N3432" s="18"/>
      <c r="O3432" s="14"/>
      <c r="P3432" s="17">
        <v>1</v>
      </c>
      <c r="Q3432" s="19">
        <v>1152</v>
      </c>
      <c r="R3432" s="14">
        <v>160</v>
      </c>
      <c r="S3432" s="19">
        <v>184320</v>
      </c>
      <c r="T3432" s="17"/>
      <c r="U3432" s="17"/>
      <c r="V3432" s="17"/>
      <c r="W3432" s="4"/>
      <c r="X3432" s="17"/>
      <c r="Y3432" s="4"/>
      <c r="Z3432" s="17"/>
      <c r="AA3432" s="17"/>
      <c r="AB3432" s="17"/>
      <c r="AC3432" s="14"/>
      <c r="AD3432" s="14"/>
      <c r="AE3432" s="17"/>
      <c r="AF3432" s="14"/>
      <c r="AG3432" s="54"/>
      <c r="AH3432" s="11"/>
      <c r="AI3432" s="14"/>
      <c r="AJ3432" s="19">
        <v>0</v>
      </c>
      <c r="AK3432" s="23">
        <v>0</v>
      </c>
      <c r="AL3432" s="11"/>
      <c r="AM3432" s="19">
        <v>0</v>
      </c>
      <c r="AN3432" s="19">
        <v>184320</v>
      </c>
      <c r="AO3432" s="14"/>
      <c r="AP3432" s="14">
        <v>184320</v>
      </c>
      <c r="AQ3432" s="12"/>
      <c r="AS3432" s="26"/>
    </row>
    <row r="3433" spans="1:45" s="19" customFormat="1" x14ac:dyDescent="0.2">
      <c r="A3433" s="121">
        <f t="shared" si="469"/>
        <v>2917</v>
      </c>
      <c r="B3433" s="13">
        <v>1</v>
      </c>
      <c r="C3433" s="17" t="s">
        <v>52</v>
      </c>
      <c r="D3433" s="17">
        <v>2956</v>
      </c>
      <c r="E3433" s="17">
        <v>36</v>
      </c>
      <c r="F3433" s="17">
        <v>2020</v>
      </c>
      <c r="G3433" s="13">
        <v>2</v>
      </c>
      <c r="H3433" s="17">
        <v>5</v>
      </c>
      <c r="I3433" s="17">
        <v>1</v>
      </c>
      <c r="J3433" s="17">
        <v>88</v>
      </c>
      <c r="K3433" s="10">
        <v>2188</v>
      </c>
      <c r="L3433" s="17"/>
      <c r="M3433" s="15"/>
      <c r="N3433" s="18"/>
      <c r="O3433" s="14"/>
      <c r="P3433" s="17">
        <v>1</v>
      </c>
      <c r="Q3433" s="19">
        <v>2188</v>
      </c>
      <c r="R3433" s="14">
        <v>200</v>
      </c>
      <c r="S3433" s="19">
        <v>437600</v>
      </c>
      <c r="T3433" s="17"/>
      <c r="U3433" s="17"/>
      <c r="V3433" s="17"/>
      <c r="W3433" s="4"/>
      <c r="X3433" s="17"/>
      <c r="Y3433" s="4"/>
      <c r="Z3433" s="17"/>
      <c r="AA3433" s="17"/>
      <c r="AB3433" s="17"/>
      <c r="AC3433" s="14"/>
      <c r="AD3433" s="14"/>
      <c r="AE3433" s="17"/>
      <c r="AF3433" s="14"/>
      <c r="AG3433" s="54"/>
      <c r="AH3433" s="11"/>
      <c r="AI3433" s="14"/>
      <c r="AJ3433" s="19">
        <v>0</v>
      </c>
      <c r="AK3433" s="23">
        <v>0</v>
      </c>
      <c r="AL3433" s="11"/>
      <c r="AM3433" s="19">
        <v>0</v>
      </c>
      <c r="AN3433" s="19">
        <v>437600</v>
      </c>
      <c r="AO3433" s="14"/>
      <c r="AP3433" s="14">
        <v>437600</v>
      </c>
      <c r="AQ3433" s="12"/>
      <c r="AS3433" s="26"/>
    </row>
    <row r="3434" spans="1:45" s="19" customFormat="1" x14ac:dyDescent="0.2">
      <c r="A3434" s="121">
        <f t="shared" si="469"/>
        <v>2918</v>
      </c>
      <c r="B3434" s="13">
        <v>2</v>
      </c>
      <c r="C3434" s="17" t="s">
        <v>52</v>
      </c>
      <c r="D3434" s="17">
        <v>3387</v>
      </c>
      <c r="E3434" s="17">
        <v>61</v>
      </c>
      <c r="F3434" s="17">
        <v>2173</v>
      </c>
      <c r="G3434" s="13">
        <v>2</v>
      </c>
      <c r="H3434" s="17">
        <v>4</v>
      </c>
      <c r="I3434" s="17">
        <v>3</v>
      </c>
      <c r="J3434" s="17">
        <v>29</v>
      </c>
      <c r="K3434" s="10">
        <v>1929</v>
      </c>
      <c r="L3434" s="17"/>
      <c r="M3434" s="15"/>
      <c r="N3434" s="18"/>
      <c r="O3434" s="14"/>
      <c r="P3434" s="17">
        <v>1</v>
      </c>
      <c r="Q3434" s="19">
        <v>1929</v>
      </c>
      <c r="R3434" s="14">
        <v>160</v>
      </c>
      <c r="S3434" s="19">
        <v>308640</v>
      </c>
      <c r="T3434" s="17"/>
      <c r="U3434" s="17"/>
      <c r="V3434" s="17"/>
      <c r="W3434" s="4"/>
      <c r="X3434" s="17"/>
      <c r="Y3434" s="4"/>
      <c r="Z3434" s="17"/>
      <c r="AA3434" s="17"/>
      <c r="AB3434" s="17"/>
      <c r="AC3434" s="14"/>
      <c r="AD3434" s="14"/>
      <c r="AE3434" s="17"/>
      <c r="AF3434" s="14"/>
      <c r="AG3434" s="54"/>
      <c r="AH3434" s="11"/>
      <c r="AI3434" s="14"/>
      <c r="AJ3434" s="19">
        <v>0</v>
      </c>
      <c r="AK3434" s="23">
        <v>0</v>
      </c>
      <c r="AL3434" s="11"/>
      <c r="AM3434" s="19">
        <v>0</v>
      </c>
      <c r="AN3434" s="19">
        <v>308640</v>
      </c>
      <c r="AO3434" s="14"/>
      <c r="AP3434" s="14">
        <v>308640</v>
      </c>
      <c r="AQ3434" s="12"/>
      <c r="AS3434" s="26"/>
    </row>
    <row r="3435" spans="1:45" s="19" customFormat="1" x14ac:dyDescent="0.2">
      <c r="A3435" s="121">
        <f t="shared" si="469"/>
        <v>2919</v>
      </c>
      <c r="B3435" s="13">
        <v>1</v>
      </c>
      <c r="C3435" s="17" t="s">
        <v>52</v>
      </c>
      <c r="D3435" s="17">
        <v>3391</v>
      </c>
      <c r="E3435" s="17">
        <v>64</v>
      </c>
      <c r="F3435" s="17">
        <v>2177</v>
      </c>
      <c r="G3435" s="13">
        <v>2</v>
      </c>
      <c r="H3435" s="17">
        <v>2</v>
      </c>
      <c r="I3435" s="17">
        <v>1</v>
      </c>
      <c r="J3435" s="17">
        <v>43</v>
      </c>
      <c r="K3435" s="10">
        <v>943</v>
      </c>
      <c r="L3435" s="17"/>
      <c r="M3435" s="15"/>
      <c r="N3435" s="18"/>
      <c r="O3435" s="14"/>
      <c r="P3435" s="17">
        <v>1</v>
      </c>
      <c r="Q3435" s="19">
        <v>943</v>
      </c>
      <c r="R3435" s="14">
        <v>160</v>
      </c>
      <c r="S3435" s="19">
        <v>150880</v>
      </c>
      <c r="T3435" s="17"/>
      <c r="U3435" s="17"/>
      <c r="V3435" s="17"/>
      <c r="W3435" s="4"/>
      <c r="X3435" s="17"/>
      <c r="Y3435" s="4"/>
      <c r="Z3435" s="17"/>
      <c r="AA3435" s="17"/>
      <c r="AB3435" s="17"/>
      <c r="AC3435" s="14"/>
      <c r="AD3435" s="14"/>
      <c r="AE3435" s="17"/>
      <c r="AF3435" s="14"/>
      <c r="AG3435" s="54"/>
      <c r="AH3435" s="11"/>
      <c r="AI3435" s="14"/>
      <c r="AJ3435" s="19">
        <v>0</v>
      </c>
      <c r="AK3435" s="23">
        <v>0</v>
      </c>
      <c r="AL3435" s="11"/>
      <c r="AM3435" s="19">
        <v>0</v>
      </c>
      <c r="AN3435" s="19">
        <v>150880</v>
      </c>
      <c r="AO3435" s="14"/>
      <c r="AP3435" s="14">
        <v>150880</v>
      </c>
      <c r="AQ3435" s="12"/>
      <c r="AS3435" s="26"/>
    </row>
    <row r="3436" spans="1:45" s="19" customFormat="1" x14ac:dyDescent="0.2">
      <c r="A3436" s="121">
        <f t="shared" si="469"/>
        <v>2920</v>
      </c>
      <c r="B3436" s="13">
        <v>1</v>
      </c>
      <c r="C3436" s="17" t="s">
        <v>52</v>
      </c>
      <c r="D3436" s="17">
        <v>3390</v>
      </c>
      <c r="E3436" s="17">
        <v>65</v>
      </c>
      <c r="F3436" s="17">
        <v>2176</v>
      </c>
      <c r="G3436" s="13">
        <v>2</v>
      </c>
      <c r="H3436" s="17">
        <v>3</v>
      </c>
      <c r="I3436" s="17">
        <v>0</v>
      </c>
      <c r="J3436" s="17">
        <v>36</v>
      </c>
      <c r="K3436" s="10">
        <v>1236</v>
      </c>
      <c r="L3436" s="17"/>
      <c r="M3436" s="15"/>
      <c r="N3436" s="18"/>
      <c r="O3436" s="14"/>
      <c r="P3436" s="17">
        <v>1</v>
      </c>
      <c r="Q3436" s="19">
        <v>1236</v>
      </c>
      <c r="R3436" s="14">
        <v>160</v>
      </c>
      <c r="S3436" s="19">
        <v>197760</v>
      </c>
      <c r="T3436" s="17"/>
      <c r="U3436" s="17"/>
      <c r="V3436" s="17"/>
      <c r="W3436" s="4"/>
      <c r="X3436" s="17"/>
      <c r="Y3436" s="4"/>
      <c r="Z3436" s="17"/>
      <c r="AA3436" s="17"/>
      <c r="AB3436" s="17"/>
      <c r="AC3436" s="14"/>
      <c r="AD3436" s="14"/>
      <c r="AE3436" s="17"/>
      <c r="AF3436" s="14"/>
      <c r="AG3436" s="54"/>
      <c r="AH3436" s="11"/>
      <c r="AI3436" s="14"/>
      <c r="AJ3436" s="19">
        <v>0</v>
      </c>
      <c r="AK3436" s="23">
        <v>0</v>
      </c>
      <c r="AL3436" s="11"/>
      <c r="AM3436" s="19">
        <v>0</v>
      </c>
      <c r="AN3436" s="19">
        <v>197760</v>
      </c>
      <c r="AO3436" s="14"/>
      <c r="AP3436" s="14">
        <v>197760</v>
      </c>
      <c r="AQ3436" s="12"/>
      <c r="AS3436" s="26"/>
    </row>
    <row r="3437" spans="1:45" s="19" customFormat="1" x14ac:dyDescent="0.2">
      <c r="A3437" s="121">
        <f t="shared" si="469"/>
        <v>2921</v>
      </c>
      <c r="B3437" s="13">
        <v>2</v>
      </c>
      <c r="C3437" s="17" t="s">
        <v>69</v>
      </c>
      <c r="D3437" s="17"/>
      <c r="E3437" s="17">
        <v>151</v>
      </c>
      <c r="F3437" s="17">
        <v>2</v>
      </c>
      <c r="G3437" s="13">
        <v>2</v>
      </c>
      <c r="H3437" s="17">
        <v>4</v>
      </c>
      <c r="I3437" s="17">
        <v>0</v>
      </c>
      <c r="J3437" s="17">
        <v>55</v>
      </c>
      <c r="K3437" s="10">
        <v>1655</v>
      </c>
      <c r="L3437" s="17"/>
      <c r="M3437" s="15"/>
      <c r="N3437" s="18"/>
      <c r="O3437" s="14"/>
      <c r="P3437" s="17">
        <v>1</v>
      </c>
      <c r="Q3437" s="19">
        <v>1655</v>
      </c>
      <c r="R3437" s="14">
        <v>160</v>
      </c>
      <c r="S3437" s="19">
        <v>264800</v>
      </c>
      <c r="T3437" s="17"/>
      <c r="U3437" s="17"/>
      <c r="V3437" s="17"/>
      <c r="W3437" s="4"/>
      <c r="X3437" s="17"/>
      <c r="Y3437" s="4"/>
      <c r="Z3437" s="17"/>
      <c r="AA3437" s="17"/>
      <c r="AB3437" s="17"/>
      <c r="AC3437" s="14"/>
      <c r="AD3437" s="14"/>
      <c r="AE3437" s="17"/>
      <c r="AF3437" s="14"/>
      <c r="AG3437" s="54"/>
      <c r="AH3437" s="11"/>
      <c r="AI3437" s="14"/>
      <c r="AJ3437" s="19">
        <v>0</v>
      </c>
      <c r="AK3437" s="23">
        <v>0</v>
      </c>
      <c r="AL3437" s="11"/>
      <c r="AM3437" s="19">
        <v>0</v>
      </c>
      <c r="AN3437" s="19">
        <v>264800</v>
      </c>
      <c r="AO3437" s="14"/>
      <c r="AP3437" s="14">
        <v>264800</v>
      </c>
      <c r="AQ3437" s="12"/>
      <c r="AS3437" s="26"/>
    </row>
    <row r="3438" spans="1:45" s="19" customFormat="1" ht="63" x14ac:dyDescent="0.2">
      <c r="A3438" s="121">
        <f t="shared" si="469"/>
        <v>2922</v>
      </c>
      <c r="B3438" s="13">
        <v>2356</v>
      </c>
      <c r="C3438" s="17" t="s">
        <v>52</v>
      </c>
      <c r="D3438" s="17">
        <v>3384</v>
      </c>
      <c r="E3438" s="17">
        <v>60</v>
      </c>
      <c r="F3438" s="17">
        <v>2170</v>
      </c>
      <c r="G3438" s="13">
        <v>2</v>
      </c>
      <c r="H3438" s="17">
        <v>2</v>
      </c>
      <c r="I3438" s="17">
        <v>0</v>
      </c>
      <c r="J3438" s="17">
        <v>45</v>
      </c>
      <c r="K3438" s="10">
        <v>750.12</v>
      </c>
      <c r="L3438" s="17">
        <v>50</v>
      </c>
      <c r="M3438" s="15"/>
      <c r="N3438" s="18"/>
      <c r="O3438" s="14"/>
      <c r="P3438" s="17">
        <v>5</v>
      </c>
      <c r="Q3438" s="19">
        <v>845</v>
      </c>
      <c r="R3438" s="14">
        <v>250</v>
      </c>
      <c r="S3438" s="19">
        <v>211250</v>
      </c>
      <c r="T3438" s="17">
        <v>1</v>
      </c>
      <c r="U3438" s="17" t="s">
        <v>57</v>
      </c>
      <c r="V3438" s="17" t="s">
        <v>56</v>
      </c>
      <c r="W3438" s="4">
        <v>200</v>
      </c>
      <c r="X3438" s="17"/>
      <c r="Y3438" s="4">
        <v>200</v>
      </c>
      <c r="Z3438" s="17"/>
      <c r="AA3438" s="17"/>
      <c r="AB3438" s="17">
        <v>3</v>
      </c>
      <c r="AC3438" s="14"/>
      <c r="AD3438" s="14"/>
      <c r="AE3438" s="17"/>
      <c r="AF3438" s="14"/>
      <c r="AG3438" s="54"/>
      <c r="AH3438" s="11"/>
      <c r="AI3438" s="14"/>
      <c r="AJ3438" s="19">
        <v>0</v>
      </c>
      <c r="AK3438" s="23">
        <v>3</v>
      </c>
      <c r="AL3438" s="11"/>
      <c r="AM3438" s="19">
        <v>0</v>
      </c>
      <c r="AN3438" s="19">
        <v>211250</v>
      </c>
      <c r="AO3438" s="14"/>
      <c r="AP3438" s="14">
        <v>211250</v>
      </c>
      <c r="AQ3438" s="12"/>
      <c r="AS3438" s="26"/>
    </row>
    <row r="3439" spans="1:45" s="19" customFormat="1" ht="63" x14ac:dyDescent="0.2">
      <c r="A3439" s="2"/>
      <c r="B3439" s="13"/>
      <c r="C3439" s="17"/>
      <c r="D3439" s="17"/>
      <c r="E3439" s="17"/>
      <c r="F3439" s="17"/>
      <c r="G3439" s="13"/>
      <c r="H3439" s="17"/>
      <c r="I3439" s="17"/>
      <c r="J3439" s="17"/>
      <c r="K3439" s="10"/>
      <c r="L3439" s="17">
        <v>21.25</v>
      </c>
      <c r="M3439" s="15"/>
      <c r="N3439" s="18"/>
      <c r="O3439" s="14"/>
      <c r="P3439" s="17"/>
      <c r="Q3439" s="19">
        <v>0</v>
      </c>
      <c r="R3439" s="14" t="e">
        <v>#N/A</v>
      </c>
      <c r="S3439" s="19" t="e">
        <v>#N/A</v>
      </c>
      <c r="T3439" s="17">
        <v>2</v>
      </c>
      <c r="U3439" s="17" t="s">
        <v>57</v>
      </c>
      <c r="V3439" s="17" t="s">
        <v>56</v>
      </c>
      <c r="W3439" s="4">
        <v>85</v>
      </c>
      <c r="X3439" s="17"/>
      <c r="Y3439" s="4">
        <v>85</v>
      </c>
      <c r="Z3439" s="17"/>
      <c r="AA3439" s="17"/>
      <c r="AB3439" s="17">
        <v>8</v>
      </c>
      <c r="AC3439" s="14"/>
      <c r="AD3439" s="14"/>
      <c r="AE3439" s="17"/>
      <c r="AF3439" s="14"/>
      <c r="AG3439" s="54"/>
      <c r="AH3439" s="11"/>
      <c r="AI3439" s="14"/>
      <c r="AJ3439" s="19">
        <v>0</v>
      </c>
      <c r="AK3439" s="23">
        <v>8</v>
      </c>
      <c r="AL3439" s="11"/>
      <c r="AM3439" s="19">
        <v>0</v>
      </c>
      <c r="AN3439" s="19" t="e">
        <v>#N/A</v>
      </c>
      <c r="AO3439" s="14"/>
      <c r="AP3439" s="14" t="e">
        <v>#N/A</v>
      </c>
      <c r="AQ3439" s="12"/>
      <c r="AS3439" s="26"/>
    </row>
    <row r="3440" spans="1:45" s="19" customFormat="1" ht="63" x14ac:dyDescent="0.2">
      <c r="A3440" s="2"/>
      <c r="B3440" s="13"/>
      <c r="C3440" s="17"/>
      <c r="D3440" s="17"/>
      <c r="E3440" s="17"/>
      <c r="F3440" s="17"/>
      <c r="G3440" s="13"/>
      <c r="H3440" s="17"/>
      <c r="I3440" s="17"/>
      <c r="J3440" s="17"/>
      <c r="K3440" s="10"/>
      <c r="L3440" s="17">
        <v>6.75</v>
      </c>
      <c r="M3440" s="15"/>
      <c r="N3440" s="18"/>
      <c r="O3440" s="14"/>
      <c r="P3440" s="17"/>
      <c r="Q3440" s="19">
        <v>0</v>
      </c>
      <c r="R3440" s="14" t="e">
        <v>#N/A</v>
      </c>
      <c r="S3440" s="19" t="e">
        <v>#N/A</v>
      </c>
      <c r="T3440" s="17">
        <v>3</v>
      </c>
      <c r="U3440" s="17" t="s">
        <v>57</v>
      </c>
      <c r="V3440" s="17" t="s">
        <v>56</v>
      </c>
      <c r="W3440" s="4">
        <v>27</v>
      </c>
      <c r="X3440" s="17"/>
      <c r="Y3440" s="4">
        <v>27</v>
      </c>
      <c r="Z3440" s="17"/>
      <c r="AA3440" s="17"/>
      <c r="AB3440" s="17">
        <v>4</v>
      </c>
      <c r="AC3440" s="14"/>
      <c r="AD3440" s="14"/>
      <c r="AE3440" s="17"/>
      <c r="AF3440" s="14"/>
      <c r="AG3440" s="54"/>
      <c r="AH3440" s="11"/>
      <c r="AI3440" s="14"/>
      <c r="AJ3440" s="19">
        <v>0</v>
      </c>
      <c r="AK3440" s="23">
        <v>4</v>
      </c>
      <c r="AL3440" s="11"/>
      <c r="AM3440" s="19">
        <v>0</v>
      </c>
      <c r="AN3440" s="19" t="e">
        <v>#N/A</v>
      </c>
      <c r="AO3440" s="14"/>
      <c r="AP3440" s="14" t="e">
        <v>#N/A</v>
      </c>
      <c r="AQ3440" s="12"/>
      <c r="AS3440" s="26"/>
    </row>
    <row r="3441" spans="1:45" s="19" customFormat="1" ht="63" x14ac:dyDescent="0.2">
      <c r="A3441" s="2"/>
      <c r="B3441" s="13"/>
      <c r="C3441" s="17"/>
      <c r="D3441" s="17"/>
      <c r="E3441" s="17"/>
      <c r="F3441" s="17"/>
      <c r="G3441" s="13"/>
      <c r="H3441" s="17"/>
      <c r="I3441" s="17"/>
      <c r="J3441" s="17"/>
      <c r="K3441" s="10"/>
      <c r="L3441" s="17">
        <v>6.75</v>
      </c>
      <c r="M3441" s="15"/>
      <c r="N3441" s="18"/>
      <c r="O3441" s="14"/>
      <c r="P3441" s="17"/>
      <c r="Q3441" s="19">
        <v>0</v>
      </c>
      <c r="R3441" s="14" t="e">
        <v>#N/A</v>
      </c>
      <c r="S3441" s="19" t="e">
        <v>#N/A</v>
      </c>
      <c r="T3441" s="17">
        <v>4</v>
      </c>
      <c r="U3441" s="17" t="s">
        <v>57</v>
      </c>
      <c r="V3441" s="17" t="s">
        <v>56</v>
      </c>
      <c r="W3441" s="4">
        <v>27</v>
      </c>
      <c r="X3441" s="17"/>
      <c r="Y3441" s="4">
        <v>27</v>
      </c>
      <c r="Z3441" s="17"/>
      <c r="AA3441" s="17"/>
      <c r="AB3441" s="17">
        <v>4</v>
      </c>
      <c r="AC3441" s="14"/>
      <c r="AD3441" s="14"/>
      <c r="AE3441" s="17"/>
      <c r="AF3441" s="14"/>
      <c r="AG3441" s="54"/>
      <c r="AH3441" s="11"/>
      <c r="AI3441" s="14"/>
      <c r="AJ3441" s="19">
        <v>0</v>
      </c>
      <c r="AK3441" s="23">
        <v>4</v>
      </c>
      <c r="AL3441" s="11"/>
      <c r="AM3441" s="19">
        <v>0</v>
      </c>
      <c r="AN3441" s="19" t="e">
        <v>#N/A</v>
      </c>
      <c r="AO3441" s="14"/>
      <c r="AP3441" s="14" t="e">
        <v>#N/A</v>
      </c>
      <c r="AQ3441" s="12"/>
      <c r="AS3441" s="26"/>
    </row>
    <row r="3442" spans="1:45" s="19" customFormat="1" ht="63" x14ac:dyDescent="0.2">
      <c r="A3442" s="2"/>
      <c r="B3442" s="13"/>
      <c r="C3442" s="17"/>
      <c r="D3442" s="17"/>
      <c r="E3442" s="17"/>
      <c r="F3442" s="17"/>
      <c r="G3442" s="13"/>
      <c r="H3442" s="17"/>
      <c r="I3442" s="17"/>
      <c r="J3442" s="17"/>
      <c r="K3442" s="10"/>
      <c r="L3442" s="17">
        <v>10.130000000000001</v>
      </c>
      <c r="M3442" s="15"/>
      <c r="N3442" s="18"/>
      <c r="O3442" s="14"/>
      <c r="P3442" s="17"/>
      <c r="Q3442" s="19">
        <v>0</v>
      </c>
      <c r="R3442" s="14" t="e">
        <v>#N/A</v>
      </c>
      <c r="S3442" s="19" t="e">
        <v>#N/A</v>
      </c>
      <c r="T3442" s="17">
        <v>5</v>
      </c>
      <c r="U3442" s="17" t="s">
        <v>57</v>
      </c>
      <c r="V3442" s="17" t="s">
        <v>56</v>
      </c>
      <c r="W3442" s="4">
        <v>40.5</v>
      </c>
      <c r="X3442" s="17"/>
      <c r="Y3442" s="4">
        <v>40.5</v>
      </c>
      <c r="Z3442" s="17"/>
      <c r="AA3442" s="17"/>
      <c r="AB3442" s="17">
        <v>4</v>
      </c>
      <c r="AC3442" s="14"/>
      <c r="AD3442" s="14"/>
      <c r="AE3442" s="17"/>
      <c r="AF3442" s="14"/>
      <c r="AG3442" s="54"/>
      <c r="AH3442" s="11"/>
      <c r="AI3442" s="14"/>
      <c r="AJ3442" s="19">
        <v>0</v>
      </c>
      <c r="AK3442" s="23">
        <v>4</v>
      </c>
      <c r="AL3442" s="11"/>
      <c r="AM3442" s="19">
        <v>0</v>
      </c>
      <c r="AN3442" s="19" t="e">
        <v>#N/A</v>
      </c>
      <c r="AO3442" s="14"/>
      <c r="AP3442" s="14" t="e">
        <v>#N/A</v>
      </c>
      <c r="AQ3442" s="12"/>
      <c r="AS3442" s="26"/>
    </row>
    <row r="3443" spans="1:45" s="19" customFormat="1" x14ac:dyDescent="0.2">
      <c r="A3443" s="2">
        <v>2923</v>
      </c>
      <c r="B3443" s="13">
        <v>1</v>
      </c>
      <c r="C3443" s="17" t="s">
        <v>52</v>
      </c>
      <c r="D3443" s="17">
        <v>3385</v>
      </c>
      <c r="E3443" s="17">
        <v>59</v>
      </c>
      <c r="F3443" s="17">
        <v>2171</v>
      </c>
      <c r="G3443" s="13">
        <v>2</v>
      </c>
      <c r="H3443" s="17">
        <v>0</v>
      </c>
      <c r="I3443" s="17">
        <v>3</v>
      </c>
      <c r="J3443" s="17">
        <v>15</v>
      </c>
      <c r="K3443" s="10">
        <v>315</v>
      </c>
      <c r="L3443" s="17">
        <v>315</v>
      </c>
      <c r="M3443" s="15"/>
      <c r="N3443" s="18"/>
      <c r="O3443" s="14"/>
      <c r="P3443" s="17">
        <v>1</v>
      </c>
      <c r="Q3443" s="19">
        <v>315</v>
      </c>
      <c r="R3443" s="14">
        <v>250</v>
      </c>
      <c r="S3443" s="19">
        <v>78750</v>
      </c>
      <c r="T3443" s="17"/>
      <c r="U3443" s="17"/>
      <c r="V3443" s="17"/>
      <c r="W3443" s="4"/>
      <c r="X3443" s="17"/>
      <c r="Y3443" s="4"/>
      <c r="Z3443" s="17"/>
      <c r="AA3443" s="17"/>
      <c r="AB3443" s="17"/>
      <c r="AC3443" s="14"/>
      <c r="AD3443" s="14"/>
      <c r="AE3443" s="17" t="s">
        <v>297</v>
      </c>
      <c r="AF3443" s="14"/>
      <c r="AG3443" s="54"/>
      <c r="AH3443" s="11"/>
      <c r="AI3443" s="14"/>
      <c r="AJ3443" s="19">
        <v>0</v>
      </c>
      <c r="AK3443" s="23">
        <v>0</v>
      </c>
      <c r="AL3443" s="11"/>
      <c r="AM3443" s="19">
        <v>0</v>
      </c>
      <c r="AN3443" s="19">
        <v>78750</v>
      </c>
      <c r="AO3443" s="14"/>
      <c r="AP3443" s="14">
        <v>78750</v>
      </c>
      <c r="AQ3443" s="12"/>
      <c r="AS3443" s="26"/>
    </row>
    <row r="3444" spans="1:45" s="19" customFormat="1" x14ac:dyDescent="0.2">
      <c r="A3444" s="2">
        <f>+A3443+1</f>
        <v>2924</v>
      </c>
      <c r="B3444" s="13">
        <v>2</v>
      </c>
      <c r="C3444" s="17" t="s">
        <v>52</v>
      </c>
      <c r="D3444" s="17">
        <v>3389</v>
      </c>
      <c r="E3444" s="17">
        <v>66</v>
      </c>
      <c r="F3444" s="17">
        <v>2175</v>
      </c>
      <c r="G3444" s="13">
        <v>2</v>
      </c>
      <c r="H3444" s="17">
        <v>3</v>
      </c>
      <c r="I3444" s="17">
        <v>0</v>
      </c>
      <c r="J3444" s="17">
        <v>11</v>
      </c>
      <c r="K3444" s="10">
        <v>1211</v>
      </c>
      <c r="L3444" s="17">
        <v>1211</v>
      </c>
      <c r="M3444" s="15"/>
      <c r="N3444" s="18"/>
      <c r="O3444" s="14"/>
      <c r="P3444" s="17">
        <v>1</v>
      </c>
      <c r="Q3444" s="19">
        <v>1211</v>
      </c>
      <c r="R3444" s="14">
        <v>160</v>
      </c>
      <c r="S3444" s="19">
        <v>193760</v>
      </c>
      <c r="T3444" s="17"/>
      <c r="U3444" s="17"/>
      <c r="V3444" s="17"/>
      <c r="W3444" s="4"/>
      <c r="X3444" s="17"/>
      <c r="Y3444" s="4"/>
      <c r="Z3444" s="17"/>
      <c r="AA3444" s="17"/>
      <c r="AB3444" s="17"/>
      <c r="AC3444" s="14"/>
      <c r="AD3444" s="14"/>
      <c r="AE3444" s="17"/>
      <c r="AF3444" s="14"/>
      <c r="AG3444" s="54"/>
      <c r="AH3444" s="11"/>
      <c r="AI3444" s="14"/>
      <c r="AJ3444" s="19">
        <v>0</v>
      </c>
      <c r="AK3444" s="23">
        <v>0</v>
      </c>
      <c r="AL3444" s="11"/>
      <c r="AM3444" s="19">
        <v>0</v>
      </c>
      <c r="AN3444" s="19">
        <v>193760</v>
      </c>
      <c r="AO3444" s="14"/>
      <c r="AP3444" s="14">
        <v>193760</v>
      </c>
      <c r="AQ3444" s="12"/>
      <c r="AS3444" s="26"/>
    </row>
    <row r="3445" spans="1:45" s="19" customFormat="1" ht="63" x14ac:dyDescent="0.2">
      <c r="A3445" s="121">
        <f t="shared" ref="A3445:A3474" si="470">+A3444+1</f>
        <v>2925</v>
      </c>
      <c r="B3445" s="13">
        <v>1</v>
      </c>
      <c r="C3445" s="17" t="s">
        <v>52</v>
      </c>
      <c r="D3445" s="17">
        <v>3373</v>
      </c>
      <c r="E3445" s="17">
        <v>15</v>
      </c>
      <c r="F3445" s="17">
        <v>2159</v>
      </c>
      <c r="G3445" s="13">
        <v>2</v>
      </c>
      <c r="H3445" s="17">
        <v>2</v>
      </c>
      <c r="I3445" s="17">
        <v>0</v>
      </c>
      <c r="J3445" s="17">
        <v>30</v>
      </c>
      <c r="K3445" s="10">
        <v>811.25</v>
      </c>
      <c r="L3445" s="17">
        <v>18.75</v>
      </c>
      <c r="M3445" s="15"/>
      <c r="N3445" s="18"/>
      <c r="O3445" s="14"/>
      <c r="P3445" s="17">
        <v>1</v>
      </c>
      <c r="Q3445" s="19">
        <v>830</v>
      </c>
      <c r="R3445" s="14">
        <v>160</v>
      </c>
      <c r="S3445" s="19">
        <v>132800</v>
      </c>
      <c r="T3445" s="17">
        <v>1</v>
      </c>
      <c r="U3445" s="17" t="s">
        <v>57</v>
      </c>
      <c r="V3445" s="17" t="s">
        <v>88</v>
      </c>
      <c r="W3445" s="4">
        <v>75</v>
      </c>
      <c r="X3445" s="17"/>
      <c r="Y3445" s="4">
        <v>75</v>
      </c>
      <c r="Z3445" s="17"/>
      <c r="AA3445" s="17"/>
      <c r="AB3445" s="17">
        <v>29</v>
      </c>
      <c r="AC3445" s="14"/>
      <c r="AD3445" s="14"/>
      <c r="AE3445" s="17"/>
      <c r="AF3445" s="14"/>
      <c r="AG3445" s="54"/>
      <c r="AH3445" s="11"/>
      <c r="AI3445" s="14"/>
      <c r="AJ3445" s="19">
        <v>0</v>
      </c>
      <c r="AK3445" s="23">
        <v>29</v>
      </c>
      <c r="AL3445" s="11"/>
      <c r="AM3445" s="19">
        <v>0</v>
      </c>
      <c r="AN3445" s="19">
        <v>132800</v>
      </c>
      <c r="AO3445" s="14"/>
      <c r="AP3445" s="14">
        <v>132800</v>
      </c>
      <c r="AQ3445" s="12"/>
      <c r="AS3445" s="26"/>
    </row>
    <row r="3446" spans="1:45" s="19" customFormat="1" ht="63" x14ac:dyDescent="0.2">
      <c r="A3446" s="121">
        <f t="shared" si="470"/>
        <v>2926</v>
      </c>
      <c r="B3446" s="13">
        <v>1</v>
      </c>
      <c r="C3446" s="17" t="s">
        <v>52</v>
      </c>
      <c r="D3446" s="17">
        <v>14532</v>
      </c>
      <c r="E3446" s="17">
        <v>97</v>
      </c>
      <c r="F3446" s="17">
        <v>3389</v>
      </c>
      <c r="G3446" s="13">
        <v>2</v>
      </c>
      <c r="H3446" s="17">
        <v>1</v>
      </c>
      <c r="I3446" s="17">
        <v>0</v>
      </c>
      <c r="J3446" s="17">
        <v>35</v>
      </c>
      <c r="K3446" s="10"/>
      <c r="L3446" s="17">
        <v>435</v>
      </c>
      <c r="M3446" s="15"/>
      <c r="N3446" s="18"/>
      <c r="O3446" s="14"/>
      <c r="P3446" s="17">
        <v>2</v>
      </c>
      <c r="Q3446" s="19">
        <v>435</v>
      </c>
      <c r="R3446" s="14">
        <v>200</v>
      </c>
      <c r="S3446" s="19">
        <v>87000</v>
      </c>
      <c r="T3446" s="17">
        <v>1</v>
      </c>
      <c r="U3446" s="17" t="s">
        <v>57</v>
      </c>
      <c r="V3446" s="17" t="s">
        <v>56</v>
      </c>
      <c r="W3446" s="4">
        <v>80</v>
      </c>
      <c r="X3446" s="17"/>
      <c r="Y3446" s="4">
        <v>80</v>
      </c>
      <c r="Z3446" s="17"/>
      <c r="AA3446" s="17"/>
      <c r="AB3446" s="17">
        <v>21</v>
      </c>
      <c r="AC3446" s="14"/>
      <c r="AD3446" s="14"/>
      <c r="AE3446" s="17"/>
      <c r="AF3446" s="14"/>
      <c r="AG3446" s="54"/>
      <c r="AH3446" s="11"/>
      <c r="AI3446" s="14"/>
      <c r="AJ3446" s="19">
        <v>0</v>
      </c>
      <c r="AK3446" s="23">
        <v>21</v>
      </c>
      <c r="AL3446" s="11"/>
      <c r="AM3446" s="19">
        <v>0</v>
      </c>
      <c r="AN3446" s="19">
        <v>87000</v>
      </c>
      <c r="AO3446" s="14"/>
      <c r="AP3446" s="14">
        <v>87000</v>
      </c>
      <c r="AQ3446" s="12"/>
      <c r="AS3446" s="26"/>
    </row>
    <row r="3447" spans="1:45" s="19" customFormat="1" x14ac:dyDescent="0.2">
      <c r="A3447" s="121">
        <f t="shared" si="470"/>
        <v>2927</v>
      </c>
      <c r="B3447" s="13">
        <v>2</v>
      </c>
      <c r="C3447" s="17" t="s">
        <v>69</v>
      </c>
      <c r="D3447" s="17"/>
      <c r="E3447" s="17">
        <v>152</v>
      </c>
      <c r="F3447" s="17">
        <v>5</v>
      </c>
      <c r="G3447" s="13">
        <v>2</v>
      </c>
      <c r="H3447" s="17">
        <v>6</v>
      </c>
      <c r="I3447" s="17">
        <v>0</v>
      </c>
      <c r="J3447" s="17">
        <v>55</v>
      </c>
      <c r="K3447" s="10">
        <v>2455</v>
      </c>
      <c r="L3447" s="17"/>
      <c r="M3447" s="15"/>
      <c r="N3447" s="18"/>
      <c r="O3447" s="14"/>
      <c r="P3447" s="17">
        <v>1</v>
      </c>
      <c r="Q3447" s="19">
        <v>2455</v>
      </c>
      <c r="R3447" s="14">
        <v>160</v>
      </c>
      <c r="S3447" s="19">
        <v>392800</v>
      </c>
      <c r="T3447" s="17"/>
      <c r="U3447" s="17"/>
      <c r="V3447" s="17"/>
      <c r="W3447" s="4"/>
      <c r="X3447" s="17"/>
      <c r="Y3447" s="4"/>
      <c r="Z3447" s="17"/>
      <c r="AA3447" s="17"/>
      <c r="AB3447" s="17"/>
      <c r="AC3447" s="14"/>
      <c r="AD3447" s="14"/>
      <c r="AE3447" s="17"/>
      <c r="AF3447" s="14"/>
      <c r="AG3447" s="54"/>
      <c r="AH3447" s="11"/>
      <c r="AI3447" s="14"/>
      <c r="AJ3447" s="19">
        <v>0</v>
      </c>
      <c r="AK3447" s="23">
        <v>0</v>
      </c>
      <c r="AL3447" s="11"/>
      <c r="AM3447" s="19">
        <v>0</v>
      </c>
      <c r="AN3447" s="19">
        <v>392800</v>
      </c>
      <c r="AO3447" s="14"/>
      <c r="AP3447" s="14">
        <v>392800</v>
      </c>
      <c r="AQ3447" s="12">
        <v>1E-4</v>
      </c>
      <c r="AS3447" s="26"/>
    </row>
    <row r="3448" spans="1:45" s="19" customFormat="1" x14ac:dyDescent="0.2">
      <c r="A3448" s="121">
        <f t="shared" si="470"/>
        <v>2928</v>
      </c>
      <c r="B3448" s="13">
        <v>2361</v>
      </c>
      <c r="C3448" s="17" t="s">
        <v>52</v>
      </c>
      <c r="D3448" s="17">
        <v>14535</v>
      </c>
      <c r="E3448" s="17">
        <v>100</v>
      </c>
      <c r="F3448" s="17">
        <v>3392</v>
      </c>
      <c r="G3448" s="13">
        <v>2</v>
      </c>
      <c r="H3448" s="17">
        <v>0</v>
      </c>
      <c r="I3448" s="17">
        <v>1</v>
      </c>
      <c r="J3448" s="17">
        <v>74</v>
      </c>
      <c r="K3448" s="10">
        <v>174</v>
      </c>
      <c r="L3448" s="17"/>
      <c r="M3448" s="15"/>
      <c r="N3448" s="18"/>
      <c r="O3448" s="14"/>
      <c r="P3448" s="17">
        <v>1</v>
      </c>
      <c r="Q3448" s="19">
        <v>174</v>
      </c>
      <c r="R3448" s="14">
        <v>250</v>
      </c>
      <c r="S3448" s="19">
        <v>43500</v>
      </c>
      <c r="T3448" s="17"/>
      <c r="U3448" s="17"/>
      <c r="V3448" s="17"/>
      <c r="W3448" s="4"/>
      <c r="X3448" s="17"/>
      <c r="Y3448" s="4"/>
      <c r="Z3448" s="17"/>
      <c r="AA3448" s="17"/>
      <c r="AB3448" s="17"/>
      <c r="AC3448" s="14"/>
      <c r="AD3448" s="14"/>
      <c r="AE3448" s="17"/>
      <c r="AF3448" s="14"/>
      <c r="AG3448" s="54"/>
      <c r="AH3448" s="11"/>
      <c r="AI3448" s="14"/>
      <c r="AJ3448" s="19">
        <v>0</v>
      </c>
      <c r="AK3448" s="23">
        <v>0</v>
      </c>
      <c r="AL3448" s="11"/>
      <c r="AM3448" s="19">
        <v>0</v>
      </c>
      <c r="AN3448" s="19">
        <v>43500</v>
      </c>
      <c r="AO3448" s="14"/>
      <c r="AP3448" s="14">
        <v>43500</v>
      </c>
      <c r="AQ3448" s="12"/>
      <c r="AS3448" s="26"/>
    </row>
    <row r="3449" spans="1:45" s="19" customFormat="1" x14ac:dyDescent="0.2">
      <c r="A3449" s="121">
        <f t="shared" si="470"/>
        <v>2929</v>
      </c>
      <c r="B3449" s="13">
        <v>2362</v>
      </c>
      <c r="C3449" s="17" t="s">
        <v>52</v>
      </c>
      <c r="D3449" s="17">
        <v>2941</v>
      </c>
      <c r="E3449" s="17">
        <v>37</v>
      </c>
      <c r="F3449" s="17">
        <v>2003</v>
      </c>
      <c r="G3449" s="13">
        <v>2</v>
      </c>
      <c r="H3449" s="17">
        <v>5</v>
      </c>
      <c r="I3449" s="17">
        <v>0</v>
      </c>
      <c r="J3449" s="17">
        <v>33</v>
      </c>
      <c r="K3449" s="10">
        <v>2033</v>
      </c>
      <c r="L3449" s="17"/>
      <c r="M3449" s="15"/>
      <c r="N3449" s="18"/>
      <c r="O3449" s="14"/>
      <c r="P3449" s="17">
        <v>1</v>
      </c>
      <c r="Q3449" s="19">
        <v>2033</v>
      </c>
      <c r="R3449" s="14">
        <v>200</v>
      </c>
      <c r="S3449" s="19">
        <v>406600</v>
      </c>
      <c r="T3449" s="17"/>
      <c r="U3449" s="17"/>
      <c r="V3449" s="17"/>
      <c r="W3449" s="4"/>
      <c r="X3449" s="17"/>
      <c r="Y3449" s="4"/>
      <c r="Z3449" s="17"/>
      <c r="AA3449" s="17"/>
      <c r="AB3449" s="17"/>
      <c r="AC3449" s="14"/>
      <c r="AD3449" s="14"/>
      <c r="AE3449" s="17"/>
      <c r="AF3449" s="14"/>
      <c r="AG3449" s="54"/>
      <c r="AH3449" s="11"/>
      <c r="AI3449" s="14"/>
      <c r="AJ3449" s="19">
        <v>0</v>
      </c>
      <c r="AK3449" s="23">
        <v>0</v>
      </c>
      <c r="AL3449" s="11"/>
      <c r="AM3449" s="19">
        <v>0</v>
      </c>
      <c r="AN3449" s="19">
        <v>406600</v>
      </c>
      <c r="AO3449" s="14"/>
      <c r="AP3449" s="14">
        <v>406600</v>
      </c>
      <c r="AQ3449" s="12"/>
      <c r="AS3449" s="26"/>
    </row>
    <row r="3450" spans="1:45" s="19" customFormat="1" x14ac:dyDescent="0.2">
      <c r="A3450" s="121">
        <f t="shared" si="470"/>
        <v>2930</v>
      </c>
      <c r="B3450" s="13">
        <v>2363</v>
      </c>
      <c r="C3450" s="17" t="s">
        <v>52</v>
      </c>
      <c r="D3450" s="17">
        <v>14534</v>
      </c>
      <c r="E3450" s="17">
        <v>99</v>
      </c>
      <c r="F3450" s="17">
        <v>3391</v>
      </c>
      <c r="G3450" s="13">
        <v>2</v>
      </c>
      <c r="H3450" s="17">
        <v>0</v>
      </c>
      <c r="I3450" s="17">
        <v>1</v>
      </c>
      <c r="J3450" s="17">
        <v>74</v>
      </c>
      <c r="K3450" s="10" t="s">
        <v>298</v>
      </c>
      <c r="L3450" s="17"/>
      <c r="M3450" s="15"/>
      <c r="N3450" s="18">
        <v>174</v>
      </c>
      <c r="O3450" s="14"/>
      <c r="P3450" s="17">
        <v>1</v>
      </c>
      <c r="Q3450" s="19">
        <v>174</v>
      </c>
      <c r="R3450" s="14">
        <v>250</v>
      </c>
      <c r="S3450" s="19">
        <v>43500</v>
      </c>
      <c r="T3450" s="17"/>
      <c r="U3450" s="17"/>
      <c r="V3450" s="17"/>
      <c r="W3450" s="4"/>
      <c r="X3450" s="17"/>
      <c r="Y3450" s="4"/>
      <c r="Z3450" s="17"/>
      <c r="AA3450" s="17"/>
      <c r="AB3450" s="17"/>
      <c r="AC3450" s="14"/>
      <c r="AD3450" s="14"/>
      <c r="AE3450" s="17"/>
      <c r="AF3450" s="14"/>
      <c r="AG3450" s="54"/>
      <c r="AH3450" s="11"/>
      <c r="AI3450" s="14"/>
      <c r="AJ3450" s="19">
        <v>0</v>
      </c>
      <c r="AK3450" s="23">
        <v>0</v>
      </c>
      <c r="AL3450" s="11"/>
      <c r="AM3450" s="19">
        <v>0</v>
      </c>
      <c r="AN3450" s="19">
        <v>43500</v>
      </c>
      <c r="AO3450" s="14"/>
      <c r="AP3450" s="14">
        <v>43500</v>
      </c>
      <c r="AQ3450" s="12"/>
      <c r="AS3450" s="26"/>
    </row>
    <row r="3451" spans="1:45" s="19" customFormat="1" x14ac:dyDescent="0.2">
      <c r="A3451" s="121">
        <f t="shared" si="470"/>
        <v>2931</v>
      </c>
      <c r="B3451" s="13">
        <v>1</v>
      </c>
      <c r="C3451" s="17" t="s">
        <v>52</v>
      </c>
      <c r="D3451" s="17">
        <v>37207</v>
      </c>
      <c r="E3451" s="17">
        <v>203</v>
      </c>
      <c r="F3451" s="17">
        <v>7293</v>
      </c>
      <c r="G3451" s="13">
        <v>2</v>
      </c>
      <c r="H3451" s="17">
        <v>3</v>
      </c>
      <c r="I3451" s="17">
        <v>0</v>
      </c>
      <c r="J3451" s="17">
        <v>17.09</v>
      </c>
      <c r="K3451" s="10">
        <v>1217.0899999999999</v>
      </c>
      <c r="L3451" s="17"/>
      <c r="M3451" s="15"/>
      <c r="N3451" s="18"/>
      <c r="O3451" s="14"/>
      <c r="P3451" s="17">
        <v>1</v>
      </c>
      <c r="Q3451" s="19">
        <v>1217.0899999999999</v>
      </c>
      <c r="R3451" s="14">
        <v>160</v>
      </c>
      <c r="S3451" s="19">
        <v>194734.4</v>
      </c>
      <c r="T3451" s="17"/>
      <c r="U3451" s="17"/>
      <c r="V3451" s="17"/>
      <c r="W3451" s="4"/>
      <c r="X3451" s="17"/>
      <c r="Y3451" s="4"/>
      <c r="Z3451" s="17"/>
      <c r="AA3451" s="17"/>
      <c r="AB3451" s="17"/>
      <c r="AC3451" s="14"/>
      <c r="AD3451" s="14"/>
      <c r="AE3451" s="17"/>
      <c r="AF3451" s="14"/>
      <c r="AG3451" s="54"/>
      <c r="AH3451" s="11"/>
      <c r="AI3451" s="14"/>
      <c r="AJ3451" s="19">
        <v>0</v>
      </c>
      <c r="AK3451" s="23">
        <v>0</v>
      </c>
      <c r="AL3451" s="11"/>
      <c r="AM3451" s="19">
        <v>0</v>
      </c>
      <c r="AN3451" s="19">
        <v>194734.4</v>
      </c>
      <c r="AO3451" s="14"/>
      <c r="AP3451" s="14">
        <v>194734.4</v>
      </c>
      <c r="AQ3451" s="12"/>
      <c r="AS3451" s="26"/>
    </row>
    <row r="3452" spans="1:45" s="19" customFormat="1" x14ac:dyDescent="0.2">
      <c r="A3452" s="121">
        <f t="shared" si="470"/>
        <v>2932</v>
      </c>
      <c r="B3452" s="13">
        <v>2</v>
      </c>
      <c r="C3452" s="17" t="s">
        <v>52</v>
      </c>
      <c r="D3452" s="17">
        <v>37276</v>
      </c>
      <c r="E3452" s="17">
        <v>159</v>
      </c>
      <c r="F3452" s="17">
        <v>7290</v>
      </c>
      <c r="G3452" s="13">
        <v>2</v>
      </c>
      <c r="H3452" s="17">
        <v>0</v>
      </c>
      <c r="I3452" s="17">
        <v>0</v>
      </c>
      <c r="J3452" s="17">
        <v>36.020000000000003</v>
      </c>
      <c r="K3452" s="10"/>
      <c r="L3452" s="17">
        <v>36.020000000000003</v>
      </c>
      <c r="M3452" s="15"/>
      <c r="N3452" s="18"/>
      <c r="O3452" s="14"/>
      <c r="P3452" s="17">
        <v>2</v>
      </c>
      <c r="Q3452" s="19">
        <v>36.020000000000003</v>
      </c>
      <c r="R3452" s="14">
        <v>250</v>
      </c>
      <c r="S3452" s="19">
        <v>9005</v>
      </c>
      <c r="T3452" s="17"/>
      <c r="U3452" s="17"/>
      <c r="V3452" s="17"/>
      <c r="W3452" s="4"/>
      <c r="X3452" s="17"/>
      <c r="Y3452" s="4"/>
      <c r="Z3452" s="17"/>
      <c r="AA3452" s="17"/>
      <c r="AB3452" s="17"/>
      <c r="AC3452" s="14"/>
      <c r="AD3452" s="14"/>
      <c r="AE3452" s="17"/>
      <c r="AF3452" s="14"/>
      <c r="AG3452" s="54"/>
      <c r="AH3452" s="11"/>
      <c r="AI3452" s="14"/>
      <c r="AJ3452" s="19">
        <v>0</v>
      </c>
      <c r="AK3452" s="23">
        <v>0</v>
      </c>
      <c r="AL3452" s="11"/>
      <c r="AM3452" s="19">
        <v>0</v>
      </c>
      <c r="AN3452" s="19">
        <v>9005</v>
      </c>
      <c r="AO3452" s="14"/>
      <c r="AP3452" s="14">
        <v>9005</v>
      </c>
      <c r="AQ3452" s="12"/>
      <c r="AS3452" s="26"/>
    </row>
    <row r="3453" spans="1:45" s="19" customFormat="1" x14ac:dyDescent="0.2">
      <c r="A3453" s="121">
        <f t="shared" si="470"/>
        <v>2933</v>
      </c>
      <c r="B3453" s="13">
        <v>3</v>
      </c>
      <c r="C3453" s="17" t="s">
        <v>52</v>
      </c>
      <c r="D3453" s="17">
        <v>37277</v>
      </c>
      <c r="E3453" s="17">
        <v>160</v>
      </c>
      <c r="F3453" s="17">
        <v>7291</v>
      </c>
      <c r="G3453" s="13">
        <v>2</v>
      </c>
      <c r="H3453" s="17">
        <v>0</v>
      </c>
      <c r="I3453" s="17">
        <v>0</v>
      </c>
      <c r="J3453" s="17">
        <v>72.03</v>
      </c>
      <c r="K3453" s="10"/>
      <c r="L3453" s="17">
        <v>72.03</v>
      </c>
      <c r="M3453" s="15"/>
      <c r="N3453" s="18"/>
      <c r="O3453" s="14"/>
      <c r="P3453" s="17">
        <v>2</v>
      </c>
      <c r="Q3453" s="19">
        <v>72.03</v>
      </c>
      <c r="R3453" s="14">
        <v>250</v>
      </c>
      <c r="S3453" s="19">
        <v>18007.5</v>
      </c>
      <c r="T3453" s="17"/>
      <c r="U3453" s="17"/>
      <c r="V3453" s="17"/>
      <c r="W3453" s="4"/>
      <c r="X3453" s="17"/>
      <c r="Y3453" s="4"/>
      <c r="Z3453" s="17"/>
      <c r="AA3453" s="17"/>
      <c r="AB3453" s="17"/>
      <c r="AC3453" s="14"/>
      <c r="AD3453" s="14"/>
      <c r="AE3453" s="17"/>
      <c r="AF3453" s="14"/>
      <c r="AG3453" s="54"/>
      <c r="AH3453" s="11"/>
      <c r="AI3453" s="14"/>
      <c r="AJ3453" s="19">
        <v>0</v>
      </c>
      <c r="AK3453" s="23">
        <v>0</v>
      </c>
      <c r="AL3453" s="11"/>
      <c r="AM3453" s="19">
        <v>0</v>
      </c>
      <c r="AN3453" s="19">
        <v>18007.5</v>
      </c>
      <c r="AO3453" s="14"/>
      <c r="AP3453" s="14">
        <v>18007.5</v>
      </c>
      <c r="AQ3453" s="12"/>
      <c r="AS3453" s="26"/>
    </row>
    <row r="3454" spans="1:45" s="19" customFormat="1" x14ac:dyDescent="0.2">
      <c r="A3454" s="121">
        <f t="shared" si="470"/>
        <v>2934</v>
      </c>
      <c r="B3454" s="13">
        <v>4</v>
      </c>
      <c r="C3454" s="17" t="s">
        <v>69</v>
      </c>
      <c r="D3454" s="17"/>
      <c r="E3454" s="17">
        <v>155</v>
      </c>
      <c r="F3454" s="17">
        <v>10</v>
      </c>
      <c r="G3454" s="13">
        <v>2</v>
      </c>
      <c r="H3454" s="17">
        <v>3</v>
      </c>
      <c r="I3454" s="17">
        <v>2</v>
      </c>
      <c r="J3454" s="17">
        <v>53</v>
      </c>
      <c r="K3454" s="10">
        <v>1453</v>
      </c>
      <c r="L3454" s="17"/>
      <c r="M3454" s="15"/>
      <c r="N3454" s="18"/>
      <c r="O3454" s="14"/>
      <c r="P3454" s="17">
        <v>1</v>
      </c>
      <c r="Q3454" s="19">
        <v>1453</v>
      </c>
      <c r="R3454" s="14">
        <v>200</v>
      </c>
      <c r="S3454" s="19">
        <v>290600</v>
      </c>
      <c r="T3454" s="17"/>
      <c r="U3454" s="17"/>
      <c r="V3454" s="17"/>
      <c r="W3454" s="4"/>
      <c r="X3454" s="17"/>
      <c r="Y3454" s="4"/>
      <c r="Z3454" s="17"/>
      <c r="AA3454" s="17"/>
      <c r="AB3454" s="17"/>
      <c r="AC3454" s="14"/>
      <c r="AD3454" s="14"/>
      <c r="AE3454" s="17"/>
      <c r="AF3454" s="14"/>
      <c r="AG3454" s="54"/>
      <c r="AH3454" s="11"/>
      <c r="AI3454" s="14"/>
      <c r="AJ3454" s="19">
        <v>0</v>
      </c>
      <c r="AK3454" s="23">
        <v>0</v>
      </c>
      <c r="AL3454" s="11"/>
      <c r="AM3454" s="19">
        <v>0</v>
      </c>
      <c r="AN3454" s="19">
        <v>290600</v>
      </c>
      <c r="AO3454" s="14"/>
      <c r="AP3454" s="14">
        <v>290600</v>
      </c>
      <c r="AQ3454" s="12">
        <v>1E-4</v>
      </c>
      <c r="AS3454" s="26"/>
    </row>
    <row r="3455" spans="1:45" s="19" customFormat="1" x14ac:dyDescent="0.2">
      <c r="A3455" s="121">
        <f t="shared" si="470"/>
        <v>2935</v>
      </c>
      <c r="B3455" s="13">
        <v>5</v>
      </c>
      <c r="C3455" s="17" t="s">
        <v>69</v>
      </c>
      <c r="D3455" s="17"/>
      <c r="E3455" s="17">
        <v>164</v>
      </c>
      <c r="F3455" s="17">
        <v>5</v>
      </c>
      <c r="G3455" s="13">
        <v>2</v>
      </c>
      <c r="H3455" s="17">
        <v>3</v>
      </c>
      <c r="I3455" s="17">
        <v>2</v>
      </c>
      <c r="J3455" s="17">
        <v>88</v>
      </c>
      <c r="K3455" s="10">
        <v>1488</v>
      </c>
      <c r="L3455" s="17"/>
      <c r="M3455" s="15"/>
      <c r="N3455" s="18"/>
      <c r="O3455" s="14"/>
      <c r="P3455" s="17">
        <v>1</v>
      </c>
      <c r="Q3455" s="19">
        <v>1488</v>
      </c>
      <c r="R3455" s="14">
        <v>160</v>
      </c>
      <c r="S3455" s="19">
        <v>238080</v>
      </c>
      <c r="T3455" s="17"/>
      <c r="U3455" s="17"/>
      <c r="V3455" s="17"/>
      <c r="W3455" s="4"/>
      <c r="X3455" s="17"/>
      <c r="Y3455" s="4"/>
      <c r="Z3455" s="17"/>
      <c r="AA3455" s="17"/>
      <c r="AB3455" s="17"/>
      <c r="AC3455" s="14"/>
      <c r="AD3455" s="14"/>
      <c r="AE3455" s="17"/>
      <c r="AF3455" s="14"/>
      <c r="AG3455" s="54"/>
      <c r="AH3455" s="11"/>
      <c r="AI3455" s="14"/>
      <c r="AJ3455" s="19">
        <v>0</v>
      </c>
      <c r="AK3455" s="23">
        <v>0</v>
      </c>
      <c r="AL3455" s="11"/>
      <c r="AM3455" s="19">
        <v>0</v>
      </c>
      <c r="AN3455" s="19">
        <v>238080</v>
      </c>
      <c r="AO3455" s="14"/>
      <c r="AP3455" s="14">
        <v>238080</v>
      </c>
      <c r="AQ3455" s="12">
        <v>1E-4</v>
      </c>
      <c r="AS3455" s="26"/>
    </row>
    <row r="3456" spans="1:45" s="19" customFormat="1" x14ac:dyDescent="0.2">
      <c r="A3456" s="121">
        <f t="shared" si="470"/>
        <v>2936</v>
      </c>
      <c r="B3456" s="13">
        <v>1</v>
      </c>
      <c r="C3456" s="17" t="s">
        <v>52</v>
      </c>
      <c r="D3456" s="17">
        <v>3597</v>
      </c>
      <c r="E3456" s="17">
        <v>55</v>
      </c>
      <c r="F3456" s="17">
        <v>2228</v>
      </c>
      <c r="G3456" s="13">
        <v>2</v>
      </c>
      <c r="H3456" s="17">
        <v>4</v>
      </c>
      <c r="I3456" s="17">
        <v>0</v>
      </c>
      <c r="J3456" s="17">
        <v>7</v>
      </c>
      <c r="K3456" s="10">
        <v>1607</v>
      </c>
      <c r="L3456" s="17"/>
      <c r="M3456" s="15"/>
      <c r="N3456" s="18"/>
      <c r="O3456" s="14"/>
      <c r="P3456" s="17">
        <v>1</v>
      </c>
      <c r="Q3456" s="19">
        <v>1607</v>
      </c>
      <c r="R3456" s="14">
        <v>200</v>
      </c>
      <c r="S3456" s="19">
        <v>321400</v>
      </c>
      <c r="T3456" s="17"/>
      <c r="U3456" s="17"/>
      <c r="V3456" s="17"/>
      <c r="W3456" s="4"/>
      <c r="X3456" s="17"/>
      <c r="Y3456" s="4"/>
      <c r="Z3456" s="17"/>
      <c r="AA3456" s="17"/>
      <c r="AB3456" s="17"/>
      <c r="AC3456" s="14"/>
      <c r="AD3456" s="14"/>
      <c r="AE3456" s="17"/>
      <c r="AF3456" s="14"/>
      <c r="AG3456" s="54"/>
      <c r="AH3456" s="11"/>
      <c r="AI3456" s="14"/>
      <c r="AJ3456" s="19">
        <v>0</v>
      </c>
      <c r="AK3456" s="23">
        <v>0</v>
      </c>
      <c r="AL3456" s="11"/>
      <c r="AM3456" s="19">
        <v>0</v>
      </c>
      <c r="AN3456" s="19">
        <v>321400</v>
      </c>
      <c r="AO3456" s="14"/>
      <c r="AP3456" s="14">
        <v>321400</v>
      </c>
      <c r="AQ3456" s="12"/>
      <c r="AS3456" s="26"/>
    </row>
    <row r="3457" spans="1:45" ht="63" x14ac:dyDescent="0.2">
      <c r="A3457" s="121">
        <f t="shared" si="470"/>
        <v>2937</v>
      </c>
      <c r="B3457" s="13">
        <v>2</v>
      </c>
      <c r="C3457" s="17" t="s">
        <v>52</v>
      </c>
      <c r="D3457" s="17">
        <v>37271</v>
      </c>
      <c r="E3457" s="17">
        <v>154</v>
      </c>
      <c r="F3457" s="17">
        <v>7285</v>
      </c>
      <c r="G3457" s="13">
        <v>2</v>
      </c>
      <c r="H3457" s="17">
        <v>0</v>
      </c>
      <c r="I3457" s="17">
        <v>1</v>
      </c>
      <c r="J3457" s="17">
        <v>48.08</v>
      </c>
      <c r="L3457" s="17">
        <v>148.08000000000001</v>
      </c>
      <c r="P3457" s="17">
        <v>2</v>
      </c>
      <c r="Q3457" s="19">
        <v>148.07999999999998</v>
      </c>
      <c r="R3457" s="14">
        <v>250</v>
      </c>
      <c r="S3457" s="19">
        <v>37019.999999999993</v>
      </c>
      <c r="T3457" s="17">
        <v>1</v>
      </c>
      <c r="U3457" s="17" t="s">
        <v>57</v>
      </c>
      <c r="V3457" s="17" t="s">
        <v>56</v>
      </c>
      <c r="W3457" s="4">
        <v>78</v>
      </c>
      <c r="Y3457" s="4">
        <v>78</v>
      </c>
      <c r="AB3457" s="17">
        <v>14</v>
      </c>
      <c r="AJ3457" s="19">
        <v>0</v>
      </c>
      <c r="AK3457" s="23">
        <v>14</v>
      </c>
      <c r="AM3457" s="19">
        <v>0</v>
      </c>
      <c r="AN3457" s="19">
        <v>37019.999999999993</v>
      </c>
      <c r="AP3457" s="14">
        <v>37019.999999999993</v>
      </c>
    </row>
    <row r="3458" spans="1:45" x14ac:dyDescent="0.2">
      <c r="A3458" s="121">
        <f>+A3457+1</f>
        <v>2938</v>
      </c>
      <c r="B3458" s="13">
        <v>1</v>
      </c>
      <c r="C3458" s="17" t="s">
        <v>52</v>
      </c>
      <c r="D3458" s="17">
        <v>1900</v>
      </c>
      <c r="E3458" s="17">
        <v>113</v>
      </c>
      <c r="F3458" s="17">
        <v>484</v>
      </c>
      <c r="G3458" s="13">
        <v>2</v>
      </c>
      <c r="H3458" s="17">
        <v>4</v>
      </c>
      <c r="I3458" s="17">
        <v>1</v>
      </c>
      <c r="J3458" s="17">
        <v>32</v>
      </c>
      <c r="K3458" s="10">
        <v>1732</v>
      </c>
      <c r="P3458" s="17">
        <v>1</v>
      </c>
      <c r="Q3458" s="19">
        <v>1732</v>
      </c>
      <c r="R3458" s="14">
        <v>160</v>
      </c>
      <c r="S3458" s="19">
        <v>277120</v>
      </c>
      <c r="AJ3458" s="19">
        <v>0</v>
      </c>
      <c r="AK3458" s="23">
        <v>0</v>
      </c>
      <c r="AM3458" s="19">
        <v>0</v>
      </c>
      <c r="AN3458" s="19">
        <v>277120</v>
      </c>
      <c r="AP3458" s="14">
        <v>277120</v>
      </c>
    </row>
    <row r="3459" spans="1:45" x14ac:dyDescent="0.2">
      <c r="A3459" s="121">
        <f t="shared" si="470"/>
        <v>2939</v>
      </c>
      <c r="B3459" s="13">
        <v>2</v>
      </c>
      <c r="C3459" s="17" t="s">
        <v>52</v>
      </c>
      <c r="D3459" s="17">
        <v>1901</v>
      </c>
      <c r="E3459" s="17">
        <v>96</v>
      </c>
      <c r="F3459" s="17">
        <v>485</v>
      </c>
      <c r="G3459" s="13">
        <v>2</v>
      </c>
      <c r="H3459" s="17">
        <v>3</v>
      </c>
      <c r="I3459" s="17">
        <v>2</v>
      </c>
      <c r="J3459" s="17">
        <v>82</v>
      </c>
      <c r="K3459" s="10">
        <v>1482</v>
      </c>
      <c r="P3459" s="17">
        <v>1</v>
      </c>
      <c r="Q3459" s="19">
        <v>1482</v>
      </c>
      <c r="R3459" s="14">
        <v>160</v>
      </c>
      <c r="S3459" s="19">
        <v>237120</v>
      </c>
      <c r="AJ3459" s="19">
        <v>0</v>
      </c>
      <c r="AK3459" s="23">
        <v>0</v>
      </c>
      <c r="AM3459" s="19">
        <v>0</v>
      </c>
      <c r="AN3459" s="19">
        <v>237120</v>
      </c>
      <c r="AP3459" s="14">
        <v>237120</v>
      </c>
    </row>
    <row r="3460" spans="1:45" x14ac:dyDescent="0.2">
      <c r="A3460" s="121">
        <f t="shared" si="470"/>
        <v>2940</v>
      </c>
      <c r="B3460" s="13">
        <v>1</v>
      </c>
      <c r="C3460" s="17" t="s">
        <v>69</v>
      </c>
      <c r="E3460" s="17">
        <v>151</v>
      </c>
      <c r="F3460" s="17">
        <v>13</v>
      </c>
      <c r="G3460" s="13">
        <v>2</v>
      </c>
      <c r="H3460" s="17">
        <v>12</v>
      </c>
      <c r="I3460" s="17">
        <v>2</v>
      </c>
      <c r="J3460" s="17">
        <v>40</v>
      </c>
      <c r="K3460" s="10">
        <v>5040</v>
      </c>
      <c r="P3460" s="17">
        <v>1</v>
      </c>
      <c r="Q3460" s="19">
        <v>5040</v>
      </c>
      <c r="R3460" s="14">
        <v>200</v>
      </c>
      <c r="S3460" s="19">
        <v>1008000</v>
      </c>
      <c r="AJ3460" s="19">
        <v>0</v>
      </c>
      <c r="AK3460" s="23">
        <v>0</v>
      </c>
      <c r="AM3460" s="19">
        <v>0</v>
      </c>
      <c r="AN3460" s="19">
        <v>1008000</v>
      </c>
      <c r="AP3460" s="14">
        <v>1008000</v>
      </c>
      <c r="AQ3460" s="12">
        <v>1E-4</v>
      </c>
      <c r="AS3460" s="26">
        <v>70</v>
      </c>
    </row>
    <row r="3461" spans="1:45" x14ac:dyDescent="0.2">
      <c r="A3461" s="121">
        <f t="shared" si="470"/>
        <v>2941</v>
      </c>
      <c r="B3461" s="13">
        <v>1</v>
      </c>
      <c r="C3461" s="17" t="s">
        <v>52</v>
      </c>
      <c r="D3461" s="17">
        <v>2950</v>
      </c>
      <c r="E3461" s="17">
        <v>135</v>
      </c>
      <c r="F3461" s="17">
        <v>2012</v>
      </c>
      <c r="G3461" s="13">
        <v>2</v>
      </c>
      <c r="H3461" s="17">
        <v>2</v>
      </c>
      <c r="I3461" s="17">
        <v>1</v>
      </c>
      <c r="J3461" s="17">
        <v>69</v>
      </c>
      <c r="K3461" s="10">
        <v>969</v>
      </c>
      <c r="P3461" s="17">
        <v>1</v>
      </c>
      <c r="Q3461" s="19">
        <v>969</v>
      </c>
      <c r="R3461" s="14">
        <v>200</v>
      </c>
      <c r="S3461" s="19">
        <v>193800</v>
      </c>
      <c r="AJ3461" s="19">
        <v>0</v>
      </c>
      <c r="AK3461" s="23">
        <v>0</v>
      </c>
      <c r="AM3461" s="19">
        <v>0</v>
      </c>
      <c r="AN3461" s="19">
        <v>193800</v>
      </c>
      <c r="AP3461" s="14">
        <v>193800</v>
      </c>
      <c r="AS3461" s="26">
        <v>16</v>
      </c>
    </row>
    <row r="3462" spans="1:45" x14ac:dyDescent="0.2">
      <c r="A3462" s="121">
        <f t="shared" si="470"/>
        <v>2942</v>
      </c>
      <c r="B3462" s="13">
        <v>2</v>
      </c>
      <c r="C3462" s="17" t="s">
        <v>52</v>
      </c>
      <c r="D3462" s="17">
        <v>37274</v>
      </c>
      <c r="E3462" s="17">
        <v>157</v>
      </c>
      <c r="F3462" s="17">
        <v>7288</v>
      </c>
      <c r="G3462" s="13">
        <v>2</v>
      </c>
      <c r="H3462" s="17">
        <v>0</v>
      </c>
      <c r="I3462" s="17">
        <v>0</v>
      </c>
      <c r="J3462" s="17">
        <v>71.010000000000005</v>
      </c>
      <c r="N3462" s="18">
        <v>71.010000000000005</v>
      </c>
      <c r="P3462" s="17">
        <v>4</v>
      </c>
      <c r="Q3462" s="19">
        <v>71.010000000000005</v>
      </c>
      <c r="R3462" s="14">
        <v>250</v>
      </c>
      <c r="S3462" s="19">
        <v>17752.5</v>
      </c>
      <c r="AJ3462" s="19">
        <v>0</v>
      </c>
      <c r="AK3462" s="23">
        <v>0</v>
      </c>
      <c r="AM3462" s="19">
        <v>0</v>
      </c>
      <c r="AN3462" s="19">
        <v>17752.5</v>
      </c>
      <c r="AP3462" s="14">
        <v>17752.5</v>
      </c>
      <c r="AQ3462" s="12">
        <v>3.0000000000000001E-3</v>
      </c>
    </row>
    <row r="3463" spans="1:45" x14ac:dyDescent="0.2">
      <c r="A3463" s="121">
        <f t="shared" si="470"/>
        <v>2943</v>
      </c>
      <c r="B3463" s="13">
        <v>3</v>
      </c>
      <c r="C3463" s="17" t="s">
        <v>52</v>
      </c>
      <c r="D3463" s="17">
        <v>37275</v>
      </c>
      <c r="E3463" s="17">
        <v>158</v>
      </c>
      <c r="F3463" s="17">
        <v>7289</v>
      </c>
      <c r="G3463" s="13">
        <v>2</v>
      </c>
      <c r="H3463" s="17">
        <v>0</v>
      </c>
      <c r="I3463" s="17">
        <v>0</v>
      </c>
      <c r="J3463" s="17">
        <v>71.03</v>
      </c>
      <c r="N3463" s="18">
        <v>71.03</v>
      </c>
      <c r="P3463" s="17">
        <v>4</v>
      </c>
      <c r="Q3463" s="19">
        <v>71.03</v>
      </c>
      <c r="R3463" s="14">
        <v>250</v>
      </c>
      <c r="S3463" s="19">
        <v>17757.5</v>
      </c>
      <c r="AJ3463" s="19">
        <v>0</v>
      </c>
      <c r="AK3463" s="23">
        <v>0</v>
      </c>
      <c r="AM3463" s="19">
        <v>0</v>
      </c>
      <c r="AN3463" s="19">
        <v>17757.5</v>
      </c>
      <c r="AP3463" s="14">
        <v>17757.5</v>
      </c>
      <c r="AQ3463" s="12">
        <v>3.0000000000000001E-3</v>
      </c>
    </row>
    <row r="3464" spans="1:45" ht="42" x14ac:dyDescent="0.2">
      <c r="A3464" s="121">
        <f t="shared" si="470"/>
        <v>2944</v>
      </c>
      <c r="B3464" s="13">
        <v>1</v>
      </c>
      <c r="C3464" s="17" t="s">
        <v>52</v>
      </c>
      <c r="D3464" s="17">
        <v>3005</v>
      </c>
      <c r="E3464" s="17">
        <v>23</v>
      </c>
      <c r="F3464" s="17">
        <v>2073</v>
      </c>
      <c r="G3464" s="13">
        <v>2</v>
      </c>
      <c r="H3464" s="17">
        <v>3</v>
      </c>
      <c r="I3464" s="17">
        <v>1</v>
      </c>
      <c r="J3464" s="17">
        <v>82.06</v>
      </c>
      <c r="K3464" s="10">
        <v>1382.06</v>
      </c>
      <c r="P3464" s="17">
        <v>1</v>
      </c>
      <c r="Q3464" s="19">
        <v>1382.06</v>
      </c>
      <c r="R3464" s="14">
        <v>160</v>
      </c>
      <c r="S3464" s="19">
        <v>221129.59999999998</v>
      </c>
      <c r="AJ3464" s="19">
        <v>0</v>
      </c>
      <c r="AK3464" s="23">
        <v>0</v>
      </c>
      <c r="AM3464" s="19">
        <v>0</v>
      </c>
      <c r="AN3464" s="19">
        <v>221129.59999999998</v>
      </c>
      <c r="AP3464" s="14">
        <v>221129.59999999998</v>
      </c>
      <c r="AS3464" s="26" t="s">
        <v>98</v>
      </c>
    </row>
    <row r="3465" spans="1:45" ht="63" x14ac:dyDescent="0.2">
      <c r="A3465" s="121">
        <f t="shared" si="470"/>
        <v>2945</v>
      </c>
      <c r="B3465" s="13">
        <v>2</v>
      </c>
      <c r="C3465" s="17" t="s">
        <v>52</v>
      </c>
      <c r="D3465" s="17">
        <v>37272</v>
      </c>
      <c r="E3465" s="17">
        <v>155</v>
      </c>
      <c r="F3465" s="17">
        <v>7286</v>
      </c>
      <c r="G3465" s="13">
        <v>2</v>
      </c>
      <c r="H3465" s="17">
        <v>0</v>
      </c>
      <c r="I3465" s="17">
        <v>0</v>
      </c>
      <c r="J3465" s="17">
        <v>69.08</v>
      </c>
      <c r="L3465" s="17">
        <v>69.08</v>
      </c>
      <c r="P3465" s="17">
        <v>2</v>
      </c>
      <c r="Q3465" s="19">
        <v>69.08</v>
      </c>
      <c r="R3465" s="14">
        <v>250</v>
      </c>
      <c r="S3465" s="19">
        <v>17270</v>
      </c>
      <c r="T3465" s="17">
        <v>1</v>
      </c>
      <c r="U3465" s="17" t="s">
        <v>57</v>
      </c>
      <c r="V3465" s="17" t="s">
        <v>56</v>
      </c>
      <c r="W3465" s="4">
        <v>66</v>
      </c>
      <c r="Y3465" s="4">
        <v>66</v>
      </c>
      <c r="AB3465" s="17">
        <v>15</v>
      </c>
      <c r="AJ3465" s="19">
        <v>0</v>
      </c>
      <c r="AK3465" s="23">
        <v>15</v>
      </c>
      <c r="AM3465" s="19">
        <v>0</v>
      </c>
      <c r="AN3465" s="19">
        <v>17270</v>
      </c>
      <c r="AP3465" s="14">
        <v>17270</v>
      </c>
    </row>
    <row r="3466" spans="1:45" x14ac:dyDescent="0.2">
      <c r="A3466" s="121">
        <f>+A3465+1</f>
        <v>2946</v>
      </c>
      <c r="B3466" s="13">
        <v>1</v>
      </c>
      <c r="C3466" s="17" t="s">
        <v>52</v>
      </c>
      <c r="D3466" s="17">
        <v>3600</v>
      </c>
      <c r="E3466" s="17">
        <v>58</v>
      </c>
      <c r="F3466" s="17">
        <v>2231</v>
      </c>
      <c r="G3466" s="13">
        <v>2</v>
      </c>
      <c r="H3466" s="17">
        <v>4</v>
      </c>
      <c r="I3466" s="17">
        <v>0</v>
      </c>
      <c r="J3466" s="17">
        <v>2</v>
      </c>
      <c r="K3466" s="10">
        <v>1602</v>
      </c>
      <c r="P3466" s="17">
        <v>1</v>
      </c>
      <c r="Q3466" s="19">
        <v>1602</v>
      </c>
      <c r="R3466" s="14">
        <v>200</v>
      </c>
      <c r="S3466" s="19">
        <v>320400</v>
      </c>
      <c r="AE3466" s="17" t="s">
        <v>299</v>
      </c>
      <c r="AG3466" s="54">
        <v>0</v>
      </c>
      <c r="AJ3466" s="19">
        <v>0</v>
      </c>
      <c r="AM3466" s="19">
        <v>0</v>
      </c>
      <c r="AN3466" s="19">
        <v>320400</v>
      </c>
      <c r="AP3466" s="14">
        <v>320400</v>
      </c>
      <c r="AS3466" s="26">
        <v>54</v>
      </c>
    </row>
    <row r="3467" spans="1:45" x14ac:dyDescent="0.2">
      <c r="A3467" s="121">
        <f t="shared" si="470"/>
        <v>2947</v>
      </c>
      <c r="B3467" s="13">
        <v>2</v>
      </c>
      <c r="C3467" s="17" t="s">
        <v>52</v>
      </c>
      <c r="D3467" s="17">
        <v>3601</v>
      </c>
      <c r="E3467" s="17">
        <v>59</v>
      </c>
      <c r="F3467" s="17">
        <v>2232</v>
      </c>
      <c r="G3467" s="13">
        <v>2</v>
      </c>
      <c r="H3467" s="17">
        <v>3</v>
      </c>
      <c r="I3467" s="17">
        <v>2</v>
      </c>
      <c r="J3467" s="17">
        <v>28</v>
      </c>
      <c r="K3467" s="10">
        <v>1428</v>
      </c>
      <c r="P3467" s="17">
        <v>1</v>
      </c>
      <c r="Q3467" s="19">
        <v>1428</v>
      </c>
      <c r="R3467" s="14">
        <v>250</v>
      </c>
      <c r="S3467" s="19">
        <v>357000</v>
      </c>
      <c r="AJ3467" s="19">
        <v>0</v>
      </c>
      <c r="AK3467" s="23">
        <v>0</v>
      </c>
      <c r="AM3467" s="19">
        <v>0</v>
      </c>
      <c r="AN3467" s="19">
        <v>357000</v>
      </c>
      <c r="AP3467" s="14">
        <v>357000</v>
      </c>
    </row>
    <row r="3468" spans="1:45" x14ac:dyDescent="0.2">
      <c r="A3468" s="121">
        <f t="shared" si="470"/>
        <v>2948</v>
      </c>
      <c r="B3468" s="13">
        <v>3</v>
      </c>
      <c r="C3468" s="17" t="s">
        <v>52</v>
      </c>
      <c r="D3468" s="17">
        <v>3602</v>
      </c>
      <c r="E3468" s="17">
        <v>85</v>
      </c>
      <c r="F3468" s="17">
        <v>2233</v>
      </c>
      <c r="G3468" s="13">
        <v>2</v>
      </c>
      <c r="H3468" s="17">
        <v>2</v>
      </c>
      <c r="I3468" s="17">
        <v>1</v>
      </c>
      <c r="J3468" s="17">
        <v>57</v>
      </c>
      <c r="K3468" s="10">
        <v>957</v>
      </c>
      <c r="P3468" s="17">
        <v>1</v>
      </c>
      <c r="Q3468" s="19">
        <v>957</v>
      </c>
      <c r="R3468" s="14">
        <v>250</v>
      </c>
      <c r="S3468" s="19">
        <v>239250</v>
      </c>
      <c r="AJ3468" s="19">
        <v>0</v>
      </c>
      <c r="AK3468" s="23">
        <v>0</v>
      </c>
      <c r="AM3468" s="19">
        <v>0</v>
      </c>
      <c r="AN3468" s="19">
        <v>239250</v>
      </c>
      <c r="AP3468" s="14">
        <v>239250</v>
      </c>
    </row>
    <row r="3469" spans="1:45" x14ac:dyDescent="0.2">
      <c r="A3469" s="121">
        <f t="shared" si="470"/>
        <v>2949</v>
      </c>
      <c r="B3469" s="13">
        <v>4</v>
      </c>
      <c r="C3469" s="17" t="s">
        <v>52</v>
      </c>
      <c r="D3469" s="17">
        <v>37206</v>
      </c>
      <c r="E3469" s="17">
        <v>202</v>
      </c>
      <c r="F3469" s="17">
        <v>7292</v>
      </c>
      <c r="G3469" s="13">
        <v>2</v>
      </c>
      <c r="H3469" s="17">
        <v>3</v>
      </c>
      <c r="I3469" s="17">
        <v>2</v>
      </c>
      <c r="J3469" s="17">
        <v>52.05</v>
      </c>
      <c r="K3469" s="10">
        <v>1452.05</v>
      </c>
      <c r="P3469" s="17">
        <v>1</v>
      </c>
      <c r="Q3469" s="19">
        <v>1452.05</v>
      </c>
      <c r="R3469" s="14">
        <v>160</v>
      </c>
      <c r="S3469" s="19">
        <v>232328</v>
      </c>
      <c r="AJ3469" s="19">
        <v>0</v>
      </c>
      <c r="AK3469" s="23">
        <v>0</v>
      </c>
      <c r="AM3469" s="19">
        <v>0</v>
      </c>
      <c r="AN3469" s="19">
        <v>232328</v>
      </c>
      <c r="AP3469" s="14">
        <v>232328</v>
      </c>
    </row>
    <row r="3470" spans="1:45" x14ac:dyDescent="0.2">
      <c r="A3470" s="121">
        <f t="shared" si="470"/>
        <v>2950</v>
      </c>
      <c r="B3470" s="13">
        <v>5</v>
      </c>
      <c r="C3470" s="17" t="s">
        <v>52</v>
      </c>
      <c r="D3470" s="17">
        <v>37273</v>
      </c>
      <c r="E3470" s="17">
        <v>156</v>
      </c>
      <c r="F3470" s="17">
        <v>7287</v>
      </c>
      <c r="G3470" s="13">
        <v>2</v>
      </c>
      <c r="H3470" s="17">
        <v>0</v>
      </c>
      <c r="I3470" s="17">
        <v>0</v>
      </c>
      <c r="J3470" s="17">
        <v>70.02</v>
      </c>
      <c r="N3470" s="18">
        <v>70.02</v>
      </c>
      <c r="P3470" s="17">
        <v>4</v>
      </c>
      <c r="Q3470" s="19">
        <v>70.02</v>
      </c>
      <c r="R3470" s="14">
        <v>250</v>
      </c>
      <c r="S3470" s="19">
        <v>17505</v>
      </c>
      <c r="AJ3470" s="19">
        <v>0</v>
      </c>
      <c r="AK3470" s="23">
        <v>0</v>
      </c>
      <c r="AM3470" s="19">
        <v>0</v>
      </c>
      <c r="AN3470" s="19">
        <v>17505</v>
      </c>
      <c r="AP3470" s="14">
        <v>17505</v>
      </c>
      <c r="AQ3470" s="12">
        <v>3.0000000000000001E-3</v>
      </c>
    </row>
    <row r="3471" spans="1:45" x14ac:dyDescent="0.2">
      <c r="A3471" s="121">
        <f t="shared" si="470"/>
        <v>2951</v>
      </c>
      <c r="B3471" s="13">
        <v>1</v>
      </c>
      <c r="C3471" s="17" t="s">
        <v>52</v>
      </c>
      <c r="D3471" s="17">
        <v>3001</v>
      </c>
      <c r="E3471" s="17">
        <v>19</v>
      </c>
      <c r="F3471" s="17">
        <v>2069</v>
      </c>
      <c r="G3471" s="13">
        <v>2</v>
      </c>
      <c r="H3471" s="17">
        <v>8</v>
      </c>
      <c r="I3471" s="17">
        <v>1</v>
      </c>
      <c r="J3471" s="17">
        <v>28.08</v>
      </c>
      <c r="K3471" s="10">
        <v>3328.08</v>
      </c>
      <c r="P3471" s="17">
        <v>1</v>
      </c>
      <c r="Q3471" s="19">
        <v>3328.08</v>
      </c>
      <c r="R3471" s="14">
        <v>160</v>
      </c>
      <c r="S3471" s="19">
        <v>532492.80000000005</v>
      </c>
      <c r="AJ3471" s="19">
        <v>0</v>
      </c>
      <c r="AK3471" s="23">
        <v>0</v>
      </c>
      <c r="AM3471" s="19">
        <v>0</v>
      </c>
      <c r="AN3471" s="19">
        <v>532492.80000000005</v>
      </c>
      <c r="AP3471" s="14">
        <v>532492.80000000005</v>
      </c>
      <c r="AS3471" s="26">
        <v>63</v>
      </c>
    </row>
    <row r="3472" spans="1:45" ht="63" x14ac:dyDescent="0.2">
      <c r="A3472" s="121">
        <f t="shared" si="470"/>
        <v>2952</v>
      </c>
      <c r="B3472" s="13">
        <v>1</v>
      </c>
      <c r="C3472" s="17" t="s">
        <v>52</v>
      </c>
      <c r="D3472" s="17">
        <v>1477</v>
      </c>
      <c r="E3472" s="17">
        <v>25</v>
      </c>
      <c r="F3472" s="17">
        <v>1476</v>
      </c>
      <c r="G3472" s="13">
        <v>2</v>
      </c>
      <c r="H3472" s="17">
        <v>0</v>
      </c>
      <c r="I3472" s="17">
        <v>1</v>
      </c>
      <c r="J3472" s="17">
        <v>86</v>
      </c>
      <c r="L3472" s="17">
        <v>186</v>
      </c>
      <c r="P3472" s="17">
        <v>2</v>
      </c>
      <c r="Q3472" s="19">
        <v>186</v>
      </c>
      <c r="R3472" s="14">
        <v>3000</v>
      </c>
      <c r="S3472" s="19">
        <v>558000</v>
      </c>
      <c r="T3472" s="17">
        <v>1</v>
      </c>
      <c r="U3472" s="17" t="s">
        <v>57</v>
      </c>
      <c r="V3472" s="17" t="s">
        <v>56</v>
      </c>
      <c r="W3472" s="4">
        <v>165.75</v>
      </c>
      <c r="Y3472" s="4">
        <v>165.75</v>
      </c>
      <c r="AB3472" s="17">
        <v>31</v>
      </c>
      <c r="AJ3472" s="19">
        <v>0</v>
      </c>
      <c r="AK3472" s="23">
        <v>31</v>
      </c>
      <c r="AM3472" s="19">
        <v>0</v>
      </c>
      <c r="AN3472" s="19">
        <v>558000</v>
      </c>
      <c r="AP3472" s="14">
        <v>558000</v>
      </c>
    </row>
    <row r="3473" spans="1:45" ht="63" x14ac:dyDescent="0.2">
      <c r="A3473" s="121">
        <f t="shared" si="470"/>
        <v>2953</v>
      </c>
      <c r="B3473" s="13">
        <v>2</v>
      </c>
      <c r="C3473" s="17" t="s">
        <v>52</v>
      </c>
      <c r="D3473" s="17">
        <v>1478</v>
      </c>
      <c r="E3473" s="17">
        <v>24</v>
      </c>
      <c r="F3473" s="17">
        <v>1477</v>
      </c>
      <c r="G3473" s="13">
        <v>2</v>
      </c>
      <c r="H3473" s="17">
        <v>0</v>
      </c>
      <c r="I3473" s="17">
        <v>0</v>
      </c>
      <c r="J3473" s="17">
        <v>73</v>
      </c>
      <c r="L3473" s="17">
        <v>73</v>
      </c>
      <c r="P3473" s="17">
        <v>2</v>
      </c>
      <c r="Q3473" s="19">
        <v>73</v>
      </c>
      <c r="R3473" s="14">
        <v>3000</v>
      </c>
      <c r="S3473" s="19">
        <v>219000</v>
      </c>
      <c r="T3473" s="17">
        <v>1</v>
      </c>
      <c r="U3473" s="17" t="s">
        <v>57</v>
      </c>
      <c r="V3473" s="17" t="s">
        <v>56</v>
      </c>
      <c r="W3473" s="4">
        <v>229.5</v>
      </c>
      <c r="Y3473" s="4">
        <v>229.5</v>
      </c>
      <c r="AB3473" s="17">
        <v>29</v>
      </c>
      <c r="AJ3473" s="19">
        <v>0</v>
      </c>
      <c r="AK3473" s="23">
        <v>29</v>
      </c>
      <c r="AM3473" s="19">
        <v>0</v>
      </c>
      <c r="AN3473" s="19">
        <v>219000</v>
      </c>
      <c r="AP3473" s="14">
        <v>219000</v>
      </c>
    </row>
    <row r="3474" spans="1:45" ht="63" x14ac:dyDescent="0.2">
      <c r="A3474" s="121">
        <f t="shared" si="470"/>
        <v>2954</v>
      </c>
      <c r="B3474" s="13">
        <v>3</v>
      </c>
      <c r="C3474" s="17" t="s">
        <v>52</v>
      </c>
      <c r="D3474" s="17">
        <v>2471</v>
      </c>
      <c r="E3474" s="17">
        <v>64</v>
      </c>
      <c r="F3474" s="17">
        <v>1470</v>
      </c>
      <c r="G3474" s="13">
        <v>2</v>
      </c>
      <c r="H3474" s="17">
        <v>1</v>
      </c>
      <c r="I3474" s="17">
        <v>1</v>
      </c>
      <c r="J3474" s="17">
        <v>16</v>
      </c>
      <c r="L3474" s="17">
        <v>486</v>
      </c>
      <c r="P3474" s="17">
        <v>2</v>
      </c>
      <c r="Q3474" s="19">
        <v>516</v>
      </c>
      <c r="R3474" s="14">
        <v>200</v>
      </c>
      <c r="S3474" s="19">
        <v>103200</v>
      </c>
      <c r="T3474" s="17">
        <v>1</v>
      </c>
      <c r="U3474" s="17" t="s">
        <v>57</v>
      </c>
      <c r="V3474" s="17" t="s">
        <v>56</v>
      </c>
      <c r="W3474" s="4">
        <v>104</v>
      </c>
      <c r="Y3474" s="4">
        <v>104</v>
      </c>
      <c r="AB3474" s="17">
        <v>14</v>
      </c>
      <c r="AJ3474" s="19">
        <v>0</v>
      </c>
      <c r="AK3474" s="23">
        <v>14</v>
      </c>
      <c r="AM3474" s="19">
        <v>0</v>
      </c>
      <c r="AN3474" s="19">
        <v>103200</v>
      </c>
      <c r="AP3474" s="14">
        <v>103200</v>
      </c>
    </row>
    <row r="3475" spans="1:45" ht="63" x14ac:dyDescent="0.2">
      <c r="L3475" s="17">
        <v>30</v>
      </c>
      <c r="P3475" s="17">
        <v>2</v>
      </c>
      <c r="T3475" s="17">
        <v>2</v>
      </c>
      <c r="U3475" s="17" t="s">
        <v>57</v>
      </c>
      <c r="V3475" s="17" t="s">
        <v>56</v>
      </c>
      <c r="W3475" s="4">
        <v>120</v>
      </c>
      <c r="Y3475" s="4">
        <v>120</v>
      </c>
      <c r="AB3475" s="17">
        <v>5</v>
      </c>
      <c r="AJ3475" s="19">
        <v>0</v>
      </c>
      <c r="AK3475" s="23">
        <v>5</v>
      </c>
      <c r="AM3475" s="19">
        <v>0</v>
      </c>
      <c r="AN3475" s="19">
        <v>0</v>
      </c>
      <c r="AP3475" s="14">
        <v>0</v>
      </c>
    </row>
    <row r="3476" spans="1:45" ht="63" x14ac:dyDescent="0.2">
      <c r="A3476" s="2">
        <v>2955</v>
      </c>
      <c r="B3476" s="13">
        <v>4</v>
      </c>
      <c r="C3476" s="17" t="s">
        <v>52</v>
      </c>
      <c r="D3476" s="17">
        <v>2475</v>
      </c>
      <c r="E3476" s="17">
        <v>26</v>
      </c>
      <c r="F3476" s="17">
        <v>1474</v>
      </c>
      <c r="G3476" s="13">
        <v>2</v>
      </c>
      <c r="H3476" s="17">
        <v>3</v>
      </c>
      <c r="I3476" s="17">
        <v>1</v>
      </c>
      <c r="J3476" s="17">
        <v>44</v>
      </c>
      <c r="K3476" s="10">
        <v>1274</v>
      </c>
      <c r="L3476" s="17">
        <v>70</v>
      </c>
      <c r="P3476" s="17">
        <v>5</v>
      </c>
      <c r="Q3476" s="19">
        <v>1344</v>
      </c>
      <c r="R3476" s="14">
        <v>980</v>
      </c>
      <c r="S3476" s="19">
        <v>1317120</v>
      </c>
      <c r="T3476" s="17">
        <v>1</v>
      </c>
      <c r="U3476" s="17" t="s">
        <v>57</v>
      </c>
      <c r="V3476" s="17" t="s">
        <v>56</v>
      </c>
      <c r="W3476" s="4">
        <v>280</v>
      </c>
      <c r="Y3476" s="4">
        <v>280</v>
      </c>
      <c r="AB3476" s="17">
        <v>6</v>
      </c>
      <c r="AJ3476" s="19">
        <v>0</v>
      </c>
      <c r="AK3476" s="23">
        <v>6</v>
      </c>
      <c r="AM3476" s="19">
        <v>0</v>
      </c>
      <c r="AN3476" s="19">
        <v>1317120</v>
      </c>
      <c r="AP3476" s="14">
        <v>1317120</v>
      </c>
    </row>
    <row r="3477" spans="1:45" x14ac:dyDescent="0.2">
      <c r="A3477" s="2">
        <f>+A3476+1</f>
        <v>2956</v>
      </c>
      <c r="B3477" s="13">
        <v>5</v>
      </c>
      <c r="C3477" s="17" t="s">
        <v>52</v>
      </c>
      <c r="D3477" s="17">
        <v>8329</v>
      </c>
      <c r="E3477" s="17">
        <v>149</v>
      </c>
      <c r="F3477" s="17">
        <v>3111</v>
      </c>
      <c r="G3477" s="13">
        <v>2</v>
      </c>
      <c r="H3477" s="17">
        <v>0</v>
      </c>
      <c r="I3477" s="17">
        <v>0</v>
      </c>
      <c r="J3477" s="17">
        <v>78.08</v>
      </c>
      <c r="L3477" s="17">
        <v>78.08</v>
      </c>
      <c r="P3477" s="17">
        <v>2</v>
      </c>
      <c r="Q3477" s="19">
        <v>78.08</v>
      </c>
      <c r="R3477" s="14">
        <v>160</v>
      </c>
      <c r="S3477" s="19">
        <v>12492.8</v>
      </c>
      <c r="AJ3477" s="19">
        <v>0</v>
      </c>
      <c r="AK3477" s="23">
        <v>0</v>
      </c>
      <c r="AM3477" s="19">
        <v>0</v>
      </c>
      <c r="AN3477" s="19">
        <v>12492.8</v>
      </c>
      <c r="AP3477" s="14">
        <v>12492.8</v>
      </c>
    </row>
    <row r="3478" spans="1:45" ht="63" x14ac:dyDescent="0.2">
      <c r="A3478" s="121">
        <f>+A3477+1</f>
        <v>2957</v>
      </c>
      <c r="B3478" s="13">
        <v>1</v>
      </c>
      <c r="C3478" s="17" t="s">
        <v>52</v>
      </c>
      <c r="D3478" s="17">
        <v>2476</v>
      </c>
      <c r="E3478" s="17">
        <v>19</v>
      </c>
      <c r="F3478" s="17">
        <v>1475</v>
      </c>
      <c r="G3478" s="13">
        <v>2</v>
      </c>
      <c r="H3478" s="17">
        <v>2</v>
      </c>
      <c r="I3478" s="17">
        <v>3</v>
      </c>
      <c r="J3478" s="17">
        <v>62.08</v>
      </c>
      <c r="K3478" s="10">
        <v>1116.08</v>
      </c>
      <c r="L3478" s="17">
        <v>38</v>
      </c>
      <c r="P3478" s="17">
        <v>5</v>
      </c>
      <c r="Q3478" s="19">
        <v>1162.08</v>
      </c>
      <c r="R3478" s="14">
        <v>160</v>
      </c>
      <c r="S3478" s="19">
        <v>185932.79999999999</v>
      </c>
      <c r="T3478" s="17">
        <v>1</v>
      </c>
      <c r="U3478" s="17" t="s">
        <v>57</v>
      </c>
      <c r="V3478" s="17" t="s">
        <v>56</v>
      </c>
      <c r="W3478" s="4">
        <v>152</v>
      </c>
      <c r="Y3478" s="4">
        <v>152</v>
      </c>
      <c r="AB3478" s="17">
        <v>25</v>
      </c>
      <c r="AJ3478" s="19">
        <v>0</v>
      </c>
      <c r="AK3478" s="23">
        <v>25</v>
      </c>
      <c r="AM3478" s="19">
        <v>0</v>
      </c>
      <c r="AN3478" s="19">
        <v>185932.79999999999</v>
      </c>
      <c r="AP3478" s="14">
        <v>185932.79999999999</v>
      </c>
    </row>
    <row r="3479" spans="1:45" ht="63" x14ac:dyDescent="0.2">
      <c r="L3479" s="17">
        <v>8</v>
      </c>
      <c r="Q3479" s="19">
        <v>0</v>
      </c>
      <c r="R3479" s="14" t="e">
        <v>#N/A</v>
      </c>
      <c r="S3479" s="19" t="e">
        <v>#N/A</v>
      </c>
      <c r="T3479" s="17">
        <v>2</v>
      </c>
      <c r="U3479" s="17" t="s">
        <v>57</v>
      </c>
      <c r="V3479" s="17" t="s">
        <v>88</v>
      </c>
      <c r="W3479" s="4">
        <v>32</v>
      </c>
      <c r="Y3479" s="4">
        <v>32</v>
      </c>
      <c r="AB3479" s="17">
        <v>16</v>
      </c>
      <c r="AJ3479" s="19">
        <v>0</v>
      </c>
      <c r="AK3479" s="23">
        <v>16</v>
      </c>
      <c r="AM3479" s="19">
        <v>0</v>
      </c>
      <c r="AN3479" s="19" t="e">
        <v>#N/A</v>
      </c>
      <c r="AP3479" s="14" t="e">
        <v>#N/A</v>
      </c>
    </row>
    <row r="3480" spans="1:45" x14ac:dyDescent="0.2">
      <c r="A3480" s="2">
        <v>2958</v>
      </c>
      <c r="B3480" s="13">
        <v>1</v>
      </c>
      <c r="C3480" s="17" t="s">
        <v>52</v>
      </c>
      <c r="D3480" s="17">
        <v>8328</v>
      </c>
      <c r="E3480" s="17">
        <v>88</v>
      </c>
      <c r="F3480" s="17">
        <v>3110</v>
      </c>
      <c r="G3480" s="13">
        <v>2</v>
      </c>
      <c r="H3480" s="17">
        <v>0</v>
      </c>
      <c r="I3480" s="17">
        <v>3</v>
      </c>
      <c r="J3480" s="17">
        <v>87.05</v>
      </c>
      <c r="N3480" s="18">
        <v>387.05</v>
      </c>
      <c r="P3480" s="17">
        <v>4</v>
      </c>
      <c r="Q3480" s="19">
        <v>387.05</v>
      </c>
      <c r="R3480" s="14">
        <v>200</v>
      </c>
      <c r="S3480" s="19">
        <v>77410</v>
      </c>
      <c r="AJ3480" s="19">
        <v>0</v>
      </c>
      <c r="AK3480" s="23">
        <v>0</v>
      </c>
      <c r="AM3480" s="19">
        <v>0</v>
      </c>
      <c r="AN3480" s="19">
        <v>77410</v>
      </c>
      <c r="AP3480" s="14">
        <v>77410</v>
      </c>
      <c r="AQ3480" s="12">
        <v>3.0000000000000001E-3</v>
      </c>
    </row>
    <row r="3481" spans="1:45" x14ac:dyDescent="0.2">
      <c r="A3481" s="2">
        <f>+A3480+1</f>
        <v>2959</v>
      </c>
      <c r="B3481" s="13">
        <v>2</v>
      </c>
      <c r="C3481" s="17" t="s">
        <v>52</v>
      </c>
      <c r="D3481" s="17">
        <v>14537</v>
      </c>
      <c r="E3481" s="17">
        <v>102</v>
      </c>
      <c r="F3481" s="17">
        <v>3394</v>
      </c>
      <c r="G3481" s="13">
        <v>2</v>
      </c>
      <c r="H3481" s="17">
        <v>0</v>
      </c>
      <c r="I3481" s="17">
        <v>1</v>
      </c>
      <c r="J3481" s="17">
        <v>34</v>
      </c>
      <c r="N3481" s="18">
        <v>134</v>
      </c>
      <c r="P3481" s="17">
        <v>4</v>
      </c>
      <c r="Q3481" s="19">
        <v>134</v>
      </c>
      <c r="R3481" s="14">
        <v>250</v>
      </c>
      <c r="S3481" s="19">
        <v>33500</v>
      </c>
      <c r="AJ3481" s="19">
        <v>0</v>
      </c>
      <c r="AK3481" s="23">
        <v>0</v>
      </c>
      <c r="AM3481" s="19">
        <v>0</v>
      </c>
      <c r="AN3481" s="19">
        <v>33500</v>
      </c>
      <c r="AP3481" s="14">
        <v>33500</v>
      </c>
      <c r="AQ3481" s="12">
        <v>3.0000000000000001E-3</v>
      </c>
    </row>
    <row r="3482" spans="1:45" x14ac:dyDescent="0.2">
      <c r="A3482" s="121">
        <f t="shared" ref="A3482:A3486" si="471">+A3481+1</f>
        <v>2960</v>
      </c>
      <c r="B3482" s="13">
        <v>1</v>
      </c>
      <c r="C3482" s="17" t="s">
        <v>52</v>
      </c>
      <c r="D3482" s="17">
        <v>1814</v>
      </c>
      <c r="E3482" s="17">
        <v>115</v>
      </c>
      <c r="F3482" s="17">
        <v>1198</v>
      </c>
      <c r="G3482" s="13">
        <v>2</v>
      </c>
      <c r="H3482" s="17">
        <v>1</v>
      </c>
      <c r="I3482" s="17">
        <v>2</v>
      </c>
      <c r="J3482" s="17">
        <v>26</v>
      </c>
      <c r="K3482" s="10">
        <v>626</v>
      </c>
      <c r="P3482" s="17">
        <v>1</v>
      </c>
      <c r="Q3482" s="19">
        <v>626</v>
      </c>
      <c r="R3482" s="14">
        <v>160</v>
      </c>
      <c r="S3482" s="19">
        <v>100160</v>
      </c>
      <c r="AJ3482" s="19">
        <v>0</v>
      </c>
      <c r="AK3482" s="23">
        <v>0</v>
      </c>
      <c r="AM3482" s="19">
        <v>0</v>
      </c>
      <c r="AN3482" s="19">
        <v>100160</v>
      </c>
      <c r="AP3482" s="14">
        <v>100160</v>
      </c>
    </row>
    <row r="3483" spans="1:45" ht="63" x14ac:dyDescent="0.2">
      <c r="A3483" s="121">
        <f t="shared" si="471"/>
        <v>2961</v>
      </c>
      <c r="B3483" s="13">
        <v>2</v>
      </c>
      <c r="C3483" s="17" t="s">
        <v>52</v>
      </c>
      <c r="D3483" s="17">
        <v>2430</v>
      </c>
      <c r="E3483" s="17">
        <v>109</v>
      </c>
      <c r="F3483" s="17">
        <v>432</v>
      </c>
      <c r="G3483" s="13">
        <v>2</v>
      </c>
      <c r="H3483" s="17">
        <v>0</v>
      </c>
      <c r="I3483" s="17">
        <v>3</v>
      </c>
      <c r="J3483" s="17">
        <v>35</v>
      </c>
      <c r="L3483" s="17">
        <v>335</v>
      </c>
      <c r="P3483" s="17">
        <v>2</v>
      </c>
      <c r="Q3483" s="19">
        <v>335</v>
      </c>
      <c r="R3483" s="14">
        <v>200</v>
      </c>
      <c r="S3483" s="19">
        <v>67000</v>
      </c>
      <c r="T3483" s="17">
        <v>1</v>
      </c>
      <c r="U3483" s="17" t="s">
        <v>57</v>
      </c>
      <c r="V3483" s="17" t="s">
        <v>56</v>
      </c>
      <c r="W3483" s="4">
        <v>160</v>
      </c>
      <c r="Y3483" s="4">
        <v>160</v>
      </c>
      <c r="AB3483" s="17">
        <v>32</v>
      </c>
      <c r="AJ3483" s="19">
        <v>0</v>
      </c>
      <c r="AK3483" s="23">
        <v>32</v>
      </c>
      <c r="AM3483" s="19">
        <v>0</v>
      </c>
      <c r="AN3483" s="19">
        <v>67000</v>
      </c>
      <c r="AP3483" s="14">
        <v>67000</v>
      </c>
    </row>
    <row r="3484" spans="1:45" x14ac:dyDescent="0.2">
      <c r="A3484" s="121">
        <f t="shared" si="471"/>
        <v>2962</v>
      </c>
      <c r="B3484" s="13">
        <v>3</v>
      </c>
      <c r="C3484" s="17" t="s">
        <v>52</v>
      </c>
      <c r="D3484" s="17">
        <v>2498</v>
      </c>
      <c r="E3484" s="17">
        <v>52</v>
      </c>
      <c r="F3484" s="17">
        <v>1502</v>
      </c>
      <c r="G3484" s="13">
        <v>2</v>
      </c>
      <c r="H3484" s="17">
        <v>2</v>
      </c>
      <c r="I3484" s="17">
        <v>0</v>
      </c>
      <c r="J3484" s="17">
        <v>60</v>
      </c>
      <c r="K3484" s="10">
        <v>860</v>
      </c>
      <c r="P3484" s="17">
        <v>1</v>
      </c>
      <c r="Q3484" s="19">
        <v>860</v>
      </c>
      <c r="R3484" s="14">
        <v>160</v>
      </c>
      <c r="S3484" s="19">
        <v>137600</v>
      </c>
      <c r="AJ3484" s="19">
        <v>0</v>
      </c>
      <c r="AK3484" s="23">
        <v>0</v>
      </c>
      <c r="AM3484" s="19">
        <v>0</v>
      </c>
      <c r="AN3484" s="19">
        <v>137600</v>
      </c>
      <c r="AP3484" s="14">
        <v>137600</v>
      </c>
    </row>
    <row r="3485" spans="1:45" x14ac:dyDescent="0.2">
      <c r="A3485" s="121">
        <f t="shared" si="471"/>
        <v>2963</v>
      </c>
      <c r="B3485" s="13">
        <v>4</v>
      </c>
      <c r="C3485" s="17" t="s">
        <v>52</v>
      </c>
      <c r="D3485" s="17">
        <v>11783</v>
      </c>
      <c r="E3485" s="17">
        <v>112</v>
      </c>
      <c r="F3485" s="17">
        <v>3214</v>
      </c>
      <c r="G3485" s="13">
        <v>2</v>
      </c>
      <c r="H3485" s="17">
        <v>1</v>
      </c>
      <c r="I3485" s="17">
        <v>0</v>
      </c>
      <c r="J3485" s="17">
        <v>92.09</v>
      </c>
      <c r="Q3485" s="19">
        <v>492.09000000000003</v>
      </c>
      <c r="R3485" s="14">
        <v>200</v>
      </c>
      <c r="S3485" s="19">
        <v>98418</v>
      </c>
      <c r="AJ3485" s="19">
        <v>0</v>
      </c>
      <c r="AK3485" s="23">
        <v>0</v>
      </c>
      <c r="AM3485" s="19">
        <v>0</v>
      </c>
      <c r="AN3485" s="19">
        <v>98418</v>
      </c>
      <c r="AP3485" s="14">
        <v>98418</v>
      </c>
    </row>
    <row r="3486" spans="1:45" ht="63" x14ac:dyDescent="0.2">
      <c r="A3486" s="121">
        <f t="shared" si="471"/>
        <v>2964</v>
      </c>
      <c r="B3486" s="13">
        <v>1</v>
      </c>
      <c r="C3486" s="17" t="s">
        <v>52</v>
      </c>
      <c r="D3486" s="17">
        <v>2363</v>
      </c>
      <c r="E3486" s="17">
        <v>53</v>
      </c>
      <c r="F3486" s="17">
        <v>1756</v>
      </c>
      <c r="G3486" s="13">
        <v>4</v>
      </c>
      <c r="H3486" s="17">
        <v>0</v>
      </c>
      <c r="I3486" s="17">
        <v>0</v>
      </c>
      <c r="J3486" s="17">
        <v>72</v>
      </c>
      <c r="L3486" s="17">
        <v>62</v>
      </c>
      <c r="P3486" s="17">
        <v>2</v>
      </c>
      <c r="Q3486" s="19">
        <v>72</v>
      </c>
      <c r="R3486" s="14">
        <v>250</v>
      </c>
      <c r="S3486" s="19">
        <v>18000</v>
      </c>
      <c r="T3486" s="17">
        <v>1</v>
      </c>
      <c r="U3486" s="17" t="s">
        <v>57</v>
      </c>
      <c r="V3486" s="17" t="s">
        <v>56</v>
      </c>
      <c r="W3486" s="4">
        <v>60</v>
      </c>
      <c r="Y3486" s="4">
        <v>60</v>
      </c>
      <c r="AB3486" s="17">
        <v>40</v>
      </c>
      <c r="AJ3486" s="19">
        <v>0</v>
      </c>
      <c r="AK3486" s="23">
        <v>40</v>
      </c>
      <c r="AM3486" s="19">
        <v>0</v>
      </c>
      <c r="AN3486" s="19">
        <v>18000</v>
      </c>
      <c r="AP3486" s="14">
        <v>18000</v>
      </c>
    </row>
    <row r="3487" spans="1:45" ht="63" x14ac:dyDescent="0.2">
      <c r="L3487" s="17">
        <v>10</v>
      </c>
      <c r="Q3487" s="19">
        <v>0</v>
      </c>
      <c r="R3487" s="14" t="e">
        <v>#N/A</v>
      </c>
      <c r="S3487" s="19" t="e">
        <v>#N/A</v>
      </c>
      <c r="T3487" s="17">
        <v>2</v>
      </c>
      <c r="U3487" s="17" t="s">
        <v>57</v>
      </c>
      <c r="V3487" s="17" t="s">
        <v>56</v>
      </c>
      <c r="W3487" s="4">
        <v>60</v>
      </c>
      <c r="Y3487" s="4">
        <v>60</v>
      </c>
      <c r="AB3487" s="17">
        <v>40</v>
      </c>
      <c r="AJ3487" s="19">
        <v>0</v>
      </c>
      <c r="AK3487" s="23">
        <v>40</v>
      </c>
      <c r="AM3487" s="19">
        <v>0</v>
      </c>
      <c r="AN3487" s="19" t="e">
        <v>#N/A</v>
      </c>
      <c r="AP3487" s="14" t="e">
        <v>#N/A</v>
      </c>
    </row>
    <row r="3488" spans="1:45" ht="63" x14ac:dyDescent="0.2">
      <c r="A3488" s="2">
        <v>2965</v>
      </c>
      <c r="B3488" s="13">
        <v>1</v>
      </c>
      <c r="C3488" s="17" t="s">
        <v>52</v>
      </c>
      <c r="D3488" s="17">
        <v>1541</v>
      </c>
      <c r="E3488" s="17">
        <v>31</v>
      </c>
      <c r="F3488" s="17">
        <v>457</v>
      </c>
      <c r="G3488" s="13">
        <v>2</v>
      </c>
      <c r="H3488" s="17">
        <v>3</v>
      </c>
      <c r="I3488" s="17">
        <v>0</v>
      </c>
      <c r="J3488" s="17">
        <v>62</v>
      </c>
      <c r="K3488" s="10">
        <v>1141.25</v>
      </c>
      <c r="L3488" s="17">
        <v>78.75</v>
      </c>
      <c r="P3488" s="17">
        <v>5</v>
      </c>
      <c r="Q3488" s="19">
        <v>1262</v>
      </c>
      <c r="R3488" s="14">
        <v>1500</v>
      </c>
      <c r="S3488" s="19">
        <v>1893000</v>
      </c>
      <c r="T3488" s="17">
        <v>1</v>
      </c>
      <c r="U3488" s="17" t="s">
        <v>57</v>
      </c>
      <c r="V3488" s="17" t="s">
        <v>56</v>
      </c>
      <c r="W3488" s="4">
        <v>157.5</v>
      </c>
      <c r="Y3488" s="4">
        <v>157.5</v>
      </c>
      <c r="AB3488" s="17">
        <v>11</v>
      </c>
      <c r="AJ3488" s="19">
        <v>0</v>
      </c>
      <c r="AK3488" s="23">
        <v>11</v>
      </c>
      <c r="AM3488" s="19">
        <v>0</v>
      </c>
      <c r="AN3488" s="19">
        <v>1893000</v>
      </c>
      <c r="AP3488" s="14">
        <v>1893000</v>
      </c>
      <c r="AS3488" s="26">
        <v>164</v>
      </c>
    </row>
    <row r="3489" spans="1:45" ht="63" x14ac:dyDescent="0.2">
      <c r="L3489" s="17">
        <v>42</v>
      </c>
      <c r="Q3489" s="19">
        <v>0</v>
      </c>
      <c r="R3489" s="14" t="e">
        <v>#N/A</v>
      </c>
      <c r="S3489" s="19" t="e">
        <v>#N/A</v>
      </c>
      <c r="T3489" s="17">
        <v>2</v>
      </c>
      <c r="U3489" s="17" t="s">
        <v>57</v>
      </c>
      <c r="V3489" s="17" t="s">
        <v>56</v>
      </c>
      <c r="W3489" s="4">
        <v>168</v>
      </c>
      <c r="Y3489" s="4">
        <v>168</v>
      </c>
      <c r="AB3489" s="17">
        <v>5</v>
      </c>
      <c r="AJ3489" s="19">
        <v>0</v>
      </c>
      <c r="AK3489" s="23">
        <v>5</v>
      </c>
      <c r="AM3489" s="19">
        <v>0</v>
      </c>
      <c r="AN3489" s="19" t="e">
        <v>#N/A</v>
      </c>
      <c r="AP3489" s="14" t="e">
        <v>#N/A</v>
      </c>
    </row>
    <row r="3490" spans="1:45" x14ac:dyDescent="0.2">
      <c r="A3490" s="2">
        <v>2966</v>
      </c>
      <c r="B3490" s="13">
        <v>2</v>
      </c>
      <c r="C3490" s="17" t="s">
        <v>52</v>
      </c>
      <c r="D3490" s="17">
        <v>2470</v>
      </c>
      <c r="E3490" s="17">
        <v>36</v>
      </c>
      <c r="F3490" s="17">
        <v>1466</v>
      </c>
      <c r="G3490" s="13">
        <v>2</v>
      </c>
      <c r="H3490" s="17">
        <v>2</v>
      </c>
      <c r="I3490" s="17">
        <v>3</v>
      </c>
      <c r="J3490" s="17">
        <v>93</v>
      </c>
      <c r="K3490" s="10">
        <v>1193</v>
      </c>
      <c r="P3490" s="17">
        <v>1</v>
      </c>
      <c r="Q3490" s="19">
        <v>1193</v>
      </c>
      <c r="R3490" s="14">
        <v>200</v>
      </c>
      <c r="S3490" s="19">
        <v>238600</v>
      </c>
      <c r="AJ3490" s="19">
        <v>0</v>
      </c>
      <c r="AK3490" s="23">
        <v>0</v>
      </c>
      <c r="AM3490" s="19">
        <v>0</v>
      </c>
      <c r="AN3490" s="19">
        <v>238600</v>
      </c>
      <c r="AP3490" s="14">
        <v>238600</v>
      </c>
    </row>
    <row r="3491" spans="1:45" x14ac:dyDescent="0.2">
      <c r="A3491" s="2">
        <f>+A3490+1</f>
        <v>2967</v>
      </c>
      <c r="B3491" s="13">
        <v>3</v>
      </c>
      <c r="C3491" s="17" t="s">
        <v>65</v>
      </c>
      <c r="D3491" s="17">
        <v>991</v>
      </c>
      <c r="E3491" s="17">
        <v>116</v>
      </c>
      <c r="H3491" s="17">
        <v>9</v>
      </c>
      <c r="I3491" s="17">
        <v>1</v>
      </c>
      <c r="J3491" s="17">
        <v>62</v>
      </c>
      <c r="K3491" s="10">
        <v>3762</v>
      </c>
      <c r="P3491" s="17">
        <v>1</v>
      </c>
      <c r="Q3491" s="19">
        <v>3762</v>
      </c>
      <c r="R3491" s="14">
        <v>1100</v>
      </c>
      <c r="S3491" s="19">
        <v>4138200</v>
      </c>
      <c r="AJ3491" s="19">
        <v>0</v>
      </c>
      <c r="AK3491" s="23">
        <v>0</v>
      </c>
      <c r="AM3491" s="19">
        <v>0</v>
      </c>
      <c r="AN3491" s="19">
        <v>4138200</v>
      </c>
      <c r="AP3491" s="14">
        <v>4138200</v>
      </c>
      <c r="AQ3491" s="12">
        <v>1E-4</v>
      </c>
    </row>
    <row r="3492" spans="1:45" ht="63" x14ac:dyDescent="0.2">
      <c r="A3492" s="121">
        <f t="shared" ref="A3492:A3497" si="472">+A3491+1</f>
        <v>2968</v>
      </c>
      <c r="B3492" s="13">
        <v>1</v>
      </c>
      <c r="C3492" s="17" t="s">
        <v>52</v>
      </c>
      <c r="D3492" s="17">
        <v>1470</v>
      </c>
      <c r="E3492" s="17">
        <v>13</v>
      </c>
      <c r="F3492" s="17">
        <v>1346</v>
      </c>
      <c r="G3492" s="13">
        <v>2</v>
      </c>
      <c r="H3492" s="17">
        <v>0</v>
      </c>
      <c r="I3492" s="17">
        <v>1</v>
      </c>
      <c r="J3492" s="17">
        <v>66</v>
      </c>
      <c r="L3492" s="17">
        <v>166</v>
      </c>
      <c r="P3492" s="17">
        <v>2</v>
      </c>
      <c r="Q3492" s="19">
        <v>166</v>
      </c>
      <c r="R3492" s="14">
        <v>3000</v>
      </c>
      <c r="S3492" s="19">
        <v>498000</v>
      </c>
      <c r="T3492" s="17">
        <v>1</v>
      </c>
      <c r="U3492" s="17" t="s">
        <v>57</v>
      </c>
      <c r="V3492" s="17" t="s">
        <v>56</v>
      </c>
      <c r="W3492" s="4">
        <v>65</v>
      </c>
      <c r="Y3492" s="4">
        <v>65</v>
      </c>
      <c r="AB3492" s="17">
        <v>11</v>
      </c>
      <c r="AJ3492" s="19">
        <v>0</v>
      </c>
      <c r="AK3492" s="23">
        <v>11</v>
      </c>
      <c r="AM3492" s="19">
        <v>0</v>
      </c>
      <c r="AN3492" s="19">
        <v>498000</v>
      </c>
      <c r="AP3492" s="14">
        <v>498000</v>
      </c>
    </row>
    <row r="3493" spans="1:45" ht="63" x14ac:dyDescent="0.2">
      <c r="A3493" s="121">
        <f t="shared" si="472"/>
        <v>2969</v>
      </c>
      <c r="B3493" s="13">
        <v>2</v>
      </c>
      <c r="C3493" s="17" t="s">
        <v>52</v>
      </c>
      <c r="D3493" s="17">
        <v>1482</v>
      </c>
      <c r="E3493" s="17">
        <v>12</v>
      </c>
      <c r="F3493" s="17">
        <v>1505</v>
      </c>
      <c r="G3493" s="13">
        <v>2</v>
      </c>
      <c r="H3493" s="17">
        <v>0</v>
      </c>
      <c r="I3493" s="17">
        <v>0</v>
      </c>
      <c r="J3493" s="17">
        <v>64</v>
      </c>
      <c r="L3493" s="17">
        <v>64</v>
      </c>
      <c r="P3493" s="17">
        <v>2</v>
      </c>
      <c r="Q3493" s="19">
        <v>64</v>
      </c>
      <c r="R3493" s="14">
        <v>3000</v>
      </c>
      <c r="S3493" s="19">
        <v>192000</v>
      </c>
      <c r="T3493" s="17">
        <v>1</v>
      </c>
      <c r="U3493" s="17" t="s">
        <v>57</v>
      </c>
      <c r="V3493" s="17" t="s">
        <v>56</v>
      </c>
      <c r="W3493" s="4">
        <v>117</v>
      </c>
      <c r="Y3493" s="4">
        <v>117</v>
      </c>
      <c r="AB3493" s="17">
        <v>24</v>
      </c>
      <c r="AJ3493" s="19">
        <v>0</v>
      </c>
      <c r="AK3493" s="23">
        <v>24</v>
      </c>
      <c r="AM3493" s="19">
        <v>0</v>
      </c>
      <c r="AN3493" s="19">
        <v>192000</v>
      </c>
      <c r="AP3493" s="14">
        <v>192000</v>
      </c>
    </row>
    <row r="3494" spans="1:45" x14ac:dyDescent="0.2">
      <c r="A3494" s="121">
        <f t="shared" si="472"/>
        <v>2970</v>
      </c>
      <c r="B3494" s="13">
        <v>1</v>
      </c>
      <c r="C3494" s="17" t="s">
        <v>52</v>
      </c>
      <c r="D3494" s="17">
        <v>2500</v>
      </c>
      <c r="E3494" s="17">
        <v>11</v>
      </c>
      <c r="F3494" s="17">
        <v>1504</v>
      </c>
      <c r="G3494" s="13">
        <v>2</v>
      </c>
      <c r="H3494" s="17">
        <v>0</v>
      </c>
      <c r="I3494" s="17">
        <v>0</v>
      </c>
      <c r="J3494" s="17">
        <v>64</v>
      </c>
      <c r="K3494" s="10" t="s">
        <v>300</v>
      </c>
      <c r="P3494" s="17">
        <v>1</v>
      </c>
      <c r="Q3494" s="19">
        <v>64</v>
      </c>
      <c r="R3494" s="14">
        <v>3000</v>
      </c>
      <c r="S3494" s="19">
        <v>192000</v>
      </c>
      <c r="AJ3494" s="19">
        <v>0</v>
      </c>
      <c r="AK3494" s="23">
        <v>0</v>
      </c>
      <c r="AM3494" s="19">
        <v>0</v>
      </c>
      <c r="AN3494" s="19">
        <v>192000</v>
      </c>
      <c r="AP3494" s="14">
        <v>192000</v>
      </c>
      <c r="AQ3494" s="12">
        <v>3.0000000000000001E-3</v>
      </c>
    </row>
    <row r="3495" spans="1:45" x14ac:dyDescent="0.2">
      <c r="A3495" s="121">
        <f t="shared" si="472"/>
        <v>2971</v>
      </c>
      <c r="B3495" s="13">
        <v>2</v>
      </c>
      <c r="C3495" s="17" t="s">
        <v>52</v>
      </c>
      <c r="D3495" s="17">
        <v>29443</v>
      </c>
      <c r="E3495" s="17">
        <v>121</v>
      </c>
      <c r="F3495" s="17">
        <v>5564</v>
      </c>
      <c r="G3495" s="13">
        <v>2</v>
      </c>
      <c r="H3495" s="17">
        <v>0</v>
      </c>
      <c r="I3495" s="17">
        <v>0</v>
      </c>
      <c r="J3495" s="17">
        <v>41</v>
      </c>
      <c r="K3495" s="10">
        <v>41</v>
      </c>
      <c r="P3495" s="17">
        <v>1</v>
      </c>
      <c r="Q3495" s="19">
        <v>41</v>
      </c>
      <c r="R3495" s="14">
        <v>160</v>
      </c>
      <c r="S3495" s="19">
        <v>6560</v>
      </c>
      <c r="AJ3495" s="19">
        <v>0</v>
      </c>
      <c r="AK3495" s="23">
        <v>0</v>
      </c>
      <c r="AM3495" s="19">
        <v>0</v>
      </c>
      <c r="AN3495" s="19">
        <v>6560</v>
      </c>
      <c r="AP3495" s="14">
        <v>6560</v>
      </c>
    </row>
    <row r="3496" spans="1:45" x14ac:dyDescent="0.2">
      <c r="A3496" s="121">
        <f t="shared" si="472"/>
        <v>2972</v>
      </c>
      <c r="B3496" s="13">
        <v>3</v>
      </c>
      <c r="C3496" s="17" t="s">
        <v>52</v>
      </c>
      <c r="D3496" s="17">
        <v>29444</v>
      </c>
      <c r="E3496" s="17">
        <v>122</v>
      </c>
      <c r="F3496" s="17">
        <v>5565</v>
      </c>
      <c r="G3496" s="13">
        <v>2</v>
      </c>
      <c r="H3496" s="17">
        <v>0</v>
      </c>
      <c r="I3496" s="17">
        <v>0</v>
      </c>
      <c r="J3496" s="17">
        <v>40</v>
      </c>
      <c r="K3496" s="10">
        <v>40</v>
      </c>
      <c r="P3496" s="17">
        <v>1</v>
      </c>
      <c r="Q3496" s="19">
        <v>40</v>
      </c>
      <c r="R3496" s="14">
        <v>160</v>
      </c>
      <c r="S3496" s="19">
        <v>6400</v>
      </c>
      <c r="AJ3496" s="19">
        <v>0</v>
      </c>
      <c r="AK3496" s="23">
        <v>0</v>
      </c>
      <c r="AM3496" s="19">
        <v>0</v>
      </c>
      <c r="AN3496" s="19">
        <v>6400</v>
      </c>
      <c r="AP3496" s="14">
        <v>6400</v>
      </c>
    </row>
    <row r="3497" spans="1:45" x14ac:dyDescent="0.2">
      <c r="A3497" s="121">
        <f t="shared" si="472"/>
        <v>2973</v>
      </c>
      <c r="B3497" s="13">
        <v>4</v>
      </c>
      <c r="C3497" s="17" t="s">
        <v>52</v>
      </c>
      <c r="D3497" s="17">
        <v>29445</v>
      </c>
      <c r="E3497" s="17">
        <v>123</v>
      </c>
      <c r="F3497" s="17">
        <v>5566</v>
      </c>
      <c r="G3497" s="13">
        <v>2</v>
      </c>
      <c r="H3497" s="17">
        <v>0</v>
      </c>
      <c r="I3497" s="17">
        <v>0</v>
      </c>
      <c r="J3497" s="17">
        <v>49</v>
      </c>
      <c r="K3497" s="10">
        <v>49</v>
      </c>
      <c r="P3497" s="17">
        <v>1</v>
      </c>
      <c r="Q3497" s="19">
        <v>49</v>
      </c>
      <c r="R3497" s="14">
        <v>160</v>
      </c>
      <c r="S3497" s="19">
        <v>7840</v>
      </c>
      <c r="AJ3497" s="19">
        <v>0</v>
      </c>
      <c r="AK3497" s="23">
        <v>0</v>
      </c>
      <c r="AM3497" s="19">
        <v>0</v>
      </c>
      <c r="AN3497" s="19">
        <v>7840</v>
      </c>
      <c r="AP3497" s="14">
        <v>7840</v>
      </c>
    </row>
    <row r="3498" spans="1:45" x14ac:dyDescent="0.2">
      <c r="B3498" s="13">
        <v>5</v>
      </c>
      <c r="C3498" s="17" t="s">
        <v>65</v>
      </c>
      <c r="D3498" s="17">
        <v>3522</v>
      </c>
      <c r="E3498" s="17">
        <v>416</v>
      </c>
      <c r="H3498" s="17">
        <v>0</v>
      </c>
      <c r="I3498" s="17">
        <v>1</v>
      </c>
      <c r="J3498" s="17">
        <v>33</v>
      </c>
      <c r="K3498" s="10">
        <v>133</v>
      </c>
      <c r="Q3498" s="19">
        <v>133</v>
      </c>
      <c r="R3498" s="14" t="e">
        <v>#N/A</v>
      </c>
      <c r="S3498" s="19" t="e">
        <v>#N/A</v>
      </c>
      <c r="AJ3498" s="19">
        <v>0</v>
      </c>
      <c r="AK3498" s="23">
        <v>0</v>
      </c>
      <c r="AM3498" s="19">
        <v>0</v>
      </c>
      <c r="AN3498" s="19" t="e">
        <v>#N/A</v>
      </c>
      <c r="AP3498" s="14" t="e">
        <v>#N/A</v>
      </c>
      <c r="AQ3498" s="12">
        <v>1E-4</v>
      </c>
    </row>
    <row r="3499" spans="1:45" ht="63" x14ac:dyDescent="0.2">
      <c r="A3499" s="2">
        <v>2974</v>
      </c>
      <c r="B3499" s="13">
        <v>1</v>
      </c>
      <c r="C3499" s="17" t="s">
        <v>52</v>
      </c>
      <c r="D3499" s="17">
        <v>1542</v>
      </c>
      <c r="E3499" s="17">
        <v>64</v>
      </c>
      <c r="F3499" s="17">
        <v>458</v>
      </c>
      <c r="G3499" s="13">
        <v>2</v>
      </c>
      <c r="H3499" s="17">
        <v>5</v>
      </c>
      <c r="I3499" s="17">
        <v>2</v>
      </c>
      <c r="J3499" s="17">
        <v>72</v>
      </c>
      <c r="K3499" s="10">
        <v>2229.25</v>
      </c>
      <c r="L3499" s="17">
        <v>18.75</v>
      </c>
      <c r="P3499" s="17">
        <v>5</v>
      </c>
      <c r="Q3499" s="19">
        <v>2272</v>
      </c>
      <c r="R3499" s="14">
        <v>160</v>
      </c>
      <c r="S3499" s="19">
        <v>363520</v>
      </c>
      <c r="T3499" s="17">
        <v>1</v>
      </c>
      <c r="U3499" s="17" t="s">
        <v>57</v>
      </c>
      <c r="V3499" s="17" t="s">
        <v>88</v>
      </c>
      <c r="W3499" s="4">
        <v>75</v>
      </c>
      <c r="Y3499" s="4">
        <v>75</v>
      </c>
      <c r="AB3499" s="17">
        <v>31</v>
      </c>
      <c r="AJ3499" s="19">
        <v>0</v>
      </c>
      <c r="AK3499" s="23">
        <v>31</v>
      </c>
      <c r="AM3499" s="19">
        <v>0</v>
      </c>
      <c r="AN3499" s="19">
        <v>363520</v>
      </c>
      <c r="AP3499" s="14">
        <v>363520</v>
      </c>
    </row>
    <row r="3500" spans="1:45" ht="63" x14ac:dyDescent="0.2">
      <c r="L3500" s="17">
        <v>24</v>
      </c>
      <c r="Q3500" s="19">
        <v>0</v>
      </c>
      <c r="R3500" s="14" t="e">
        <v>#N/A</v>
      </c>
      <c r="S3500" s="19" t="e">
        <v>#N/A</v>
      </c>
      <c r="T3500" s="17">
        <v>2</v>
      </c>
      <c r="U3500" s="17" t="s">
        <v>57</v>
      </c>
      <c r="V3500" s="17" t="s">
        <v>56</v>
      </c>
      <c r="W3500" s="4">
        <v>96</v>
      </c>
      <c r="Y3500" s="4">
        <v>96</v>
      </c>
      <c r="AB3500" s="17">
        <v>22</v>
      </c>
      <c r="AJ3500" s="19">
        <v>0</v>
      </c>
      <c r="AK3500" s="23">
        <v>22</v>
      </c>
      <c r="AM3500" s="19">
        <v>0</v>
      </c>
      <c r="AN3500" s="19" t="e">
        <v>#N/A</v>
      </c>
      <c r="AP3500" s="14" t="e">
        <v>#N/A</v>
      </c>
    </row>
    <row r="3501" spans="1:45" x14ac:dyDescent="0.2">
      <c r="A3501" s="2">
        <v>2975</v>
      </c>
      <c r="B3501" s="13">
        <v>2</v>
      </c>
      <c r="C3501" s="17" t="s">
        <v>52</v>
      </c>
      <c r="D3501" s="17">
        <v>1557</v>
      </c>
      <c r="E3501" s="17">
        <v>71</v>
      </c>
      <c r="F3501" s="17">
        <v>475</v>
      </c>
      <c r="G3501" s="13">
        <v>2</v>
      </c>
      <c r="H3501" s="17">
        <v>5</v>
      </c>
      <c r="I3501" s="17">
        <v>0</v>
      </c>
      <c r="J3501" s="17">
        <v>15</v>
      </c>
      <c r="K3501" s="10">
        <v>2015</v>
      </c>
      <c r="P3501" s="17">
        <v>1</v>
      </c>
      <c r="Q3501" s="19">
        <v>2015</v>
      </c>
      <c r="R3501" s="14">
        <v>160</v>
      </c>
      <c r="S3501" s="19">
        <v>322400</v>
      </c>
      <c r="AJ3501" s="19">
        <v>0</v>
      </c>
      <c r="AK3501" s="23">
        <v>0</v>
      </c>
      <c r="AM3501" s="19">
        <v>0</v>
      </c>
      <c r="AN3501" s="19">
        <v>322400</v>
      </c>
      <c r="AP3501" s="14">
        <v>322400</v>
      </c>
    </row>
    <row r="3502" spans="1:45" x14ac:dyDescent="0.2">
      <c r="A3502" s="2">
        <f>+A3501+1</f>
        <v>2976</v>
      </c>
      <c r="B3502" s="13">
        <v>3</v>
      </c>
      <c r="C3502" s="17" t="s">
        <v>52</v>
      </c>
      <c r="D3502" s="17">
        <v>15846</v>
      </c>
      <c r="E3502" s="17">
        <v>60</v>
      </c>
      <c r="F3502" s="17">
        <v>3436</v>
      </c>
      <c r="G3502" s="13">
        <v>3</v>
      </c>
      <c r="H3502" s="17">
        <v>6</v>
      </c>
      <c r="I3502" s="17">
        <v>0</v>
      </c>
      <c r="J3502" s="17">
        <v>91</v>
      </c>
      <c r="K3502" s="10">
        <v>2491</v>
      </c>
      <c r="P3502" s="17">
        <v>1</v>
      </c>
      <c r="Q3502" s="19">
        <v>2491</v>
      </c>
      <c r="R3502" s="14">
        <v>200</v>
      </c>
      <c r="S3502" s="19">
        <v>498200</v>
      </c>
      <c r="AJ3502" s="19">
        <v>0</v>
      </c>
      <c r="AK3502" s="23">
        <v>0</v>
      </c>
      <c r="AM3502" s="19">
        <v>0</v>
      </c>
      <c r="AN3502" s="19">
        <v>498200</v>
      </c>
      <c r="AP3502" s="14">
        <v>498200</v>
      </c>
    </row>
    <row r="3503" spans="1:45" x14ac:dyDescent="0.2">
      <c r="A3503" s="121">
        <f t="shared" ref="A3503:A3509" si="473">+A3502+1</f>
        <v>2977</v>
      </c>
      <c r="B3503" s="13">
        <v>1</v>
      </c>
      <c r="C3503" s="17" t="s">
        <v>52</v>
      </c>
      <c r="D3503" s="17">
        <v>1535</v>
      </c>
      <c r="E3503" s="17">
        <v>66</v>
      </c>
      <c r="F3503" s="17">
        <v>451</v>
      </c>
      <c r="G3503" s="13">
        <v>2</v>
      </c>
      <c r="H3503" s="17">
        <v>15</v>
      </c>
      <c r="I3503" s="17">
        <v>2</v>
      </c>
      <c r="J3503" s="17">
        <v>57</v>
      </c>
      <c r="K3503" s="10">
        <v>6257</v>
      </c>
      <c r="P3503" s="17">
        <v>1</v>
      </c>
      <c r="Q3503" s="19">
        <v>6257</v>
      </c>
      <c r="R3503" s="14">
        <v>160</v>
      </c>
      <c r="S3503" s="19">
        <v>1001120</v>
      </c>
      <c r="AJ3503" s="19">
        <v>0</v>
      </c>
      <c r="AK3503" s="23">
        <v>0</v>
      </c>
      <c r="AM3503" s="19">
        <v>0</v>
      </c>
      <c r="AN3503" s="19">
        <v>1001120</v>
      </c>
      <c r="AP3503" s="14">
        <v>1001120</v>
      </c>
    </row>
    <row r="3504" spans="1:45" x14ac:dyDescent="0.2">
      <c r="A3504" s="121">
        <f t="shared" si="473"/>
        <v>2978</v>
      </c>
      <c r="B3504" s="13">
        <v>1</v>
      </c>
      <c r="C3504" s="17" t="s">
        <v>52</v>
      </c>
      <c r="D3504" s="17">
        <v>32145</v>
      </c>
      <c r="E3504" s="17">
        <v>207</v>
      </c>
      <c r="F3504" s="17">
        <v>6376</v>
      </c>
      <c r="G3504" s="13">
        <v>1</v>
      </c>
      <c r="H3504" s="17">
        <v>0</v>
      </c>
      <c r="I3504" s="17">
        <v>0</v>
      </c>
      <c r="J3504" s="17">
        <v>94</v>
      </c>
      <c r="N3504" s="18">
        <v>94</v>
      </c>
      <c r="P3504" s="17">
        <v>4</v>
      </c>
      <c r="Q3504" s="19">
        <v>94</v>
      </c>
      <c r="R3504" s="14">
        <v>250</v>
      </c>
      <c r="S3504" s="19">
        <v>23500</v>
      </c>
      <c r="AJ3504" s="19">
        <v>0</v>
      </c>
      <c r="AK3504" s="23">
        <v>0</v>
      </c>
      <c r="AM3504" s="19">
        <v>0</v>
      </c>
      <c r="AN3504" s="19">
        <v>23500</v>
      </c>
      <c r="AP3504" s="14">
        <v>23500</v>
      </c>
      <c r="AQ3504" s="12">
        <v>3.0000000000000001E-3</v>
      </c>
      <c r="AS3504" s="26">
        <v>1</v>
      </c>
    </row>
    <row r="3505" spans="1:45" x14ac:dyDescent="0.2">
      <c r="A3505" s="121">
        <f t="shared" si="473"/>
        <v>2979</v>
      </c>
      <c r="B3505" s="13">
        <v>2</v>
      </c>
      <c r="C3505" s="17" t="s">
        <v>52</v>
      </c>
      <c r="D3505" s="17">
        <v>32966</v>
      </c>
      <c r="E3505" s="17">
        <v>295</v>
      </c>
      <c r="F3505" s="17">
        <v>6675</v>
      </c>
      <c r="G3505" s="13">
        <v>1</v>
      </c>
      <c r="H3505" s="17">
        <v>0</v>
      </c>
      <c r="I3505" s="17">
        <v>0</v>
      </c>
      <c r="J3505" s="17">
        <v>94</v>
      </c>
      <c r="N3505" s="18">
        <v>94</v>
      </c>
      <c r="P3505" s="17">
        <v>4</v>
      </c>
      <c r="Q3505" s="19">
        <v>94</v>
      </c>
      <c r="R3505" s="14">
        <v>160</v>
      </c>
      <c r="S3505" s="19">
        <v>15040</v>
      </c>
      <c r="AJ3505" s="19">
        <v>0</v>
      </c>
      <c r="AK3505" s="23">
        <v>0</v>
      </c>
      <c r="AM3505" s="19">
        <v>0</v>
      </c>
      <c r="AN3505" s="19">
        <v>15040</v>
      </c>
      <c r="AP3505" s="14">
        <v>15040</v>
      </c>
      <c r="AQ3505" s="12">
        <v>3.0000000000000001E-3</v>
      </c>
    </row>
    <row r="3506" spans="1:45" x14ac:dyDescent="0.2">
      <c r="A3506" s="121">
        <f t="shared" si="473"/>
        <v>2980</v>
      </c>
      <c r="B3506" s="13">
        <v>1</v>
      </c>
      <c r="C3506" s="17" t="s">
        <v>52</v>
      </c>
      <c r="D3506" s="17">
        <v>2917</v>
      </c>
      <c r="E3506" s="17">
        <v>16</v>
      </c>
      <c r="F3506" s="17">
        <v>2000</v>
      </c>
      <c r="G3506" s="13">
        <v>1</v>
      </c>
      <c r="H3506" s="17">
        <v>9</v>
      </c>
      <c r="I3506" s="17">
        <v>2</v>
      </c>
      <c r="J3506" s="17">
        <v>70</v>
      </c>
      <c r="K3506" s="10">
        <v>3870</v>
      </c>
      <c r="P3506" s="17">
        <v>1</v>
      </c>
      <c r="Q3506" s="19">
        <v>3870</v>
      </c>
      <c r="R3506" s="14">
        <v>160</v>
      </c>
      <c r="S3506" s="19">
        <v>619200</v>
      </c>
      <c r="AJ3506" s="19">
        <v>0</v>
      </c>
      <c r="AK3506" s="23">
        <v>0</v>
      </c>
      <c r="AM3506" s="19">
        <v>0</v>
      </c>
      <c r="AN3506" s="19">
        <v>619200</v>
      </c>
      <c r="AP3506" s="14">
        <v>619200</v>
      </c>
      <c r="AS3506" s="26">
        <v>29</v>
      </c>
    </row>
    <row r="3507" spans="1:45" x14ac:dyDescent="0.2">
      <c r="A3507" s="121">
        <f t="shared" si="473"/>
        <v>2981</v>
      </c>
      <c r="B3507" s="13">
        <v>1</v>
      </c>
      <c r="C3507" s="17" t="s">
        <v>52</v>
      </c>
      <c r="D3507" s="17">
        <v>2911</v>
      </c>
      <c r="E3507" s="17">
        <v>10</v>
      </c>
      <c r="F3507" s="17">
        <v>1994</v>
      </c>
      <c r="G3507" s="13">
        <v>1</v>
      </c>
      <c r="H3507" s="17">
        <v>10</v>
      </c>
      <c r="I3507" s="17">
        <v>1</v>
      </c>
      <c r="J3507" s="17">
        <v>59</v>
      </c>
      <c r="K3507" s="10">
        <v>4159</v>
      </c>
      <c r="P3507" s="17">
        <v>1</v>
      </c>
      <c r="Q3507" s="19">
        <v>4159</v>
      </c>
      <c r="R3507" s="14">
        <v>160</v>
      </c>
      <c r="S3507" s="19">
        <v>665440</v>
      </c>
      <c r="AJ3507" s="19">
        <v>0</v>
      </c>
      <c r="AK3507" s="23">
        <v>0</v>
      </c>
      <c r="AM3507" s="19">
        <v>0</v>
      </c>
      <c r="AN3507" s="19">
        <v>665440</v>
      </c>
      <c r="AP3507" s="14">
        <v>665440</v>
      </c>
    </row>
    <row r="3508" spans="1:45" x14ac:dyDescent="0.2">
      <c r="A3508" s="121">
        <f t="shared" si="473"/>
        <v>2982</v>
      </c>
      <c r="B3508" s="13">
        <v>1</v>
      </c>
      <c r="C3508" s="17" t="s">
        <v>52</v>
      </c>
      <c r="D3508" s="17">
        <v>2912</v>
      </c>
      <c r="E3508" s="17">
        <v>11</v>
      </c>
      <c r="F3508" s="17">
        <v>1995</v>
      </c>
      <c r="G3508" s="13">
        <v>1</v>
      </c>
      <c r="H3508" s="17">
        <v>10</v>
      </c>
      <c r="I3508" s="17">
        <v>1</v>
      </c>
      <c r="J3508" s="17">
        <v>36</v>
      </c>
      <c r="K3508" s="10">
        <v>4136</v>
      </c>
      <c r="P3508" s="17">
        <v>1</v>
      </c>
      <c r="Q3508" s="19">
        <v>4136</v>
      </c>
      <c r="R3508" s="14">
        <v>160</v>
      </c>
      <c r="S3508" s="19">
        <v>661760</v>
      </c>
      <c r="AJ3508" s="19">
        <v>0</v>
      </c>
      <c r="AK3508" s="23">
        <v>0</v>
      </c>
      <c r="AM3508" s="19">
        <v>0</v>
      </c>
      <c r="AN3508" s="19">
        <v>661760</v>
      </c>
      <c r="AP3508" s="14">
        <v>661760</v>
      </c>
    </row>
    <row r="3509" spans="1:45" ht="63" x14ac:dyDescent="0.2">
      <c r="A3509" s="121">
        <f t="shared" si="473"/>
        <v>2983</v>
      </c>
      <c r="B3509" s="13">
        <v>1</v>
      </c>
      <c r="C3509" s="17" t="s">
        <v>52</v>
      </c>
      <c r="D3509" s="17">
        <v>1947</v>
      </c>
      <c r="E3509" s="17">
        <v>62</v>
      </c>
      <c r="F3509" s="17">
        <v>1343</v>
      </c>
      <c r="G3509" s="13">
        <v>2</v>
      </c>
      <c r="H3509" s="17">
        <v>9</v>
      </c>
      <c r="I3509" s="17">
        <v>1</v>
      </c>
      <c r="J3509" s="17">
        <v>38</v>
      </c>
      <c r="K3509" s="10">
        <v>3693</v>
      </c>
      <c r="L3509" s="17">
        <v>27</v>
      </c>
      <c r="P3509" s="17">
        <v>5</v>
      </c>
      <c r="Q3509" s="19">
        <v>3738</v>
      </c>
      <c r="R3509" s="14">
        <v>160</v>
      </c>
      <c r="S3509" s="19">
        <v>598080</v>
      </c>
      <c r="T3509" s="17">
        <v>1</v>
      </c>
      <c r="U3509" s="17" t="s">
        <v>57</v>
      </c>
      <c r="V3509" s="17" t="s">
        <v>56</v>
      </c>
      <c r="W3509" s="4">
        <v>108</v>
      </c>
      <c r="Y3509" s="4">
        <v>108</v>
      </c>
      <c r="AA3509" s="17">
        <v>8</v>
      </c>
      <c r="AJ3509" s="19">
        <v>0</v>
      </c>
      <c r="AK3509" s="23">
        <v>0</v>
      </c>
      <c r="AM3509" s="19">
        <v>0</v>
      </c>
      <c r="AN3509" s="19">
        <v>598080</v>
      </c>
      <c r="AP3509" s="14">
        <v>598080</v>
      </c>
    </row>
    <row r="3510" spans="1:45" ht="63" x14ac:dyDescent="0.2">
      <c r="L3510" s="17">
        <v>18</v>
      </c>
      <c r="Q3510" s="19">
        <v>0</v>
      </c>
      <c r="R3510" s="14" t="e">
        <v>#N/A</v>
      </c>
      <c r="S3510" s="19" t="e">
        <v>#N/A</v>
      </c>
      <c r="T3510" s="17">
        <v>2</v>
      </c>
      <c r="U3510" s="17" t="s">
        <v>57</v>
      </c>
      <c r="V3510" s="17" t="s">
        <v>56</v>
      </c>
      <c r="W3510" s="4">
        <v>72</v>
      </c>
      <c r="Y3510" s="4">
        <v>72</v>
      </c>
      <c r="AA3510" s="17">
        <v>7</v>
      </c>
      <c r="AJ3510" s="19">
        <v>0</v>
      </c>
      <c r="AK3510" s="23">
        <v>0</v>
      </c>
      <c r="AM3510" s="19">
        <v>0</v>
      </c>
      <c r="AN3510" s="19" t="e">
        <v>#N/A</v>
      </c>
      <c r="AP3510" s="14" t="e">
        <v>#N/A</v>
      </c>
    </row>
    <row r="3511" spans="1:45" ht="63" x14ac:dyDescent="0.2">
      <c r="A3511" s="2">
        <v>2984</v>
      </c>
      <c r="B3511" s="13">
        <v>1</v>
      </c>
      <c r="C3511" s="17" t="s">
        <v>52</v>
      </c>
      <c r="D3511" s="17">
        <v>1472</v>
      </c>
      <c r="E3511" s="17">
        <v>15</v>
      </c>
      <c r="F3511" s="17">
        <v>1348</v>
      </c>
      <c r="G3511" s="13">
        <v>2</v>
      </c>
      <c r="H3511" s="17">
        <v>0</v>
      </c>
      <c r="I3511" s="17">
        <v>0</v>
      </c>
      <c r="J3511" s="17">
        <v>85</v>
      </c>
      <c r="L3511" s="17">
        <v>85</v>
      </c>
      <c r="P3511" s="17">
        <v>2</v>
      </c>
      <c r="Q3511" s="19">
        <v>85</v>
      </c>
      <c r="R3511" s="14">
        <v>2250</v>
      </c>
      <c r="S3511" s="19">
        <v>191250</v>
      </c>
      <c r="T3511" s="17">
        <v>1</v>
      </c>
      <c r="U3511" s="17" t="s">
        <v>57</v>
      </c>
      <c r="V3511" s="17" t="s">
        <v>88</v>
      </c>
      <c r="W3511" s="4">
        <v>62.5</v>
      </c>
      <c r="Y3511" s="4">
        <v>62.5</v>
      </c>
      <c r="AA3511" s="17">
        <v>50</v>
      </c>
      <c r="AJ3511" s="19">
        <v>0</v>
      </c>
      <c r="AK3511" s="23">
        <v>0</v>
      </c>
      <c r="AM3511" s="19">
        <v>0</v>
      </c>
      <c r="AN3511" s="19">
        <v>191250</v>
      </c>
      <c r="AP3511" s="14">
        <v>191250</v>
      </c>
    </row>
    <row r="3512" spans="1:45" ht="63" x14ac:dyDescent="0.2">
      <c r="A3512" s="2">
        <v>2985</v>
      </c>
      <c r="B3512" s="13">
        <v>1</v>
      </c>
      <c r="C3512" s="17" t="s">
        <v>52</v>
      </c>
      <c r="D3512" s="17">
        <v>1474</v>
      </c>
      <c r="E3512" s="17">
        <v>9</v>
      </c>
      <c r="F3512" s="17">
        <v>1468</v>
      </c>
      <c r="G3512" s="13">
        <v>2</v>
      </c>
      <c r="H3512" s="17">
        <v>0</v>
      </c>
      <c r="I3512" s="17">
        <v>2</v>
      </c>
      <c r="J3512" s="17">
        <v>27</v>
      </c>
      <c r="L3512" s="17">
        <v>227</v>
      </c>
      <c r="P3512" s="17">
        <v>2</v>
      </c>
      <c r="Q3512" s="19">
        <v>227</v>
      </c>
      <c r="R3512" s="14">
        <v>2250</v>
      </c>
      <c r="S3512" s="19">
        <v>510750</v>
      </c>
      <c r="T3512" s="17">
        <v>1</v>
      </c>
      <c r="U3512" s="17" t="s">
        <v>57</v>
      </c>
      <c r="V3512" s="17" t="s">
        <v>56</v>
      </c>
      <c r="W3512" s="4">
        <v>117</v>
      </c>
      <c r="Y3512" s="4">
        <v>117</v>
      </c>
      <c r="AA3512" s="17">
        <v>3</v>
      </c>
      <c r="AE3512" s="17" t="s">
        <v>301</v>
      </c>
      <c r="AJ3512" s="19">
        <v>0</v>
      </c>
      <c r="AK3512" s="23">
        <v>0</v>
      </c>
      <c r="AM3512" s="19">
        <v>0</v>
      </c>
      <c r="AN3512" s="19">
        <v>510750</v>
      </c>
      <c r="AP3512" s="14">
        <v>510750</v>
      </c>
      <c r="AS3512" s="26">
        <v>41</v>
      </c>
    </row>
    <row r="3513" spans="1:45" x14ac:dyDescent="0.2">
      <c r="A3513" s="2">
        <v>2986</v>
      </c>
      <c r="B3513" s="13">
        <v>2</v>
      </c>
      <c r="C3513" s="17" t="s">
        <v>52</v>
      </c>
      <c r="D3513" s="17">
        <v>3199</v>
      </c>
      <c r="E3513" s="17">
        <v>37</v>
      </c>
      <c r="F3513" s="17">
        <v>2131</v>
      </c>
      <c r="G3513" s="13">
        <v>2</v>
      </c>
      <c r="H3513" s="17">
        <v>5</v>
      </c>
      <c r="I3513" s="17">
        <v>0</v>
      </c>
      <c r="J3513" s="17">
        <v>9</v>
      </c>
      <c r="K3513" s="10">
        <v>2009</v>
      </c>
      <c r="P3513" s="17">
        <v>1</v>
      </c>
      <c r="Q3513" s="19">
        <v>2009</v>
      </c>
      <c r="R3513" s="14">
        <v>200</v>
      </c>
      <c r="S3513" s="19">
        <v>401800</v>
      </c>
      <c r="AJ3513" s="19">
        <v>0</v>
      </c>
      <c r="AK3513" s="23">
        <v>0</v>
      </c>
      <c r="AM3513" s="19">
        <v>0</v>
      </c>
      <c r="AN3513" s="19">
        <v>401800</v>
      </c>
      <c r="AP3513" s="14">
        <v>401800</v>
      </c>
    </row>
    <row r="3514" spans="1:45" x14ac:dyDescent="0.2">
      <c r="A3514" s="2">
        <v>2987</v>
      </c>
      <c r="B3514" s="13">
        <v>3</v>
      </c>
      <c r="C3514" s="17" t="s">
        <v>52</v>
      </c>
      <c r="D3514" s="17">
        <v>3603</v>
      </c>
      <c r="E3514" s="17">
        <v>86</v>
      </c>
      <c r="F3514" s="17">
        <v>2234</v>
      </c>
      <c r="G3514" s="13">
        <v>2</v>
      </c>
      <c r="H3514" s="17">
        <v>1</v>
      </c>
      <c r="I3514" s="17">
        <v>2</v>
      </c>
      <c r="J3514" s="17">
        <v>15</v>
      </c>
      <c r="K3514" s="10">
        <v>615</v>
      </c>
      <c r="P3514" s="17">
        <v>1</v>
      </c>
      <c r="Q3514" s="19">
        <v>615</v>
      </c>
      <c r="R3514" s="14">
        <v>200</v>
      </c>
      <c r="S3514" s="19">
        <v>123000</v>
      </c>
      <c r="AJ3514" s="19">
        <v>0</v>
      </c>
      <c r="AK3514" s="23">
        <v>0</v>
      </c>
      <c r="AM3514" s="19">
        <v>0</v>
      </c>
      <c r="AN3514" s="19">
        <v>123000</v>
      </c>
      <c r="AP3514" s="14">
        <v>123000</v>
      </c>
    </row>
    <row r="3515" spans="1:45" ht="63" x14ac:dyDescent="0.2">
      <c r="A3515" s="2">
        <v>2988</v>
      </c>
      <c r="B3515" s="13">
        <v>4</v>
      </c>
      <c r="C3515" s="17" t="s">
        <v>52</v>
      </c>
      <c r="D3515" s="17">
        <v>28212</v>
      </c>
      <c r="E3515" s="17">
        <v>104</v>
      </c>
      <c r="F3515" s="17">
        <v>5287</v>
      </c>
      <c r="G3515" s="13">
        <v>2</v>
      </c>
      <c r="H3515" s="17">
        <v>0</v>
      </c>
      <c r="I3515" s="17">
        <v>1</v>
      </c>
      <c r="J3515" s="17">
        <v>81</v>
      </c>
      <c r="L3515" s="17">
        <v>164.75</v>
      </c>
      <c r="P3515" s="17">
        <v>2</v>
      </c>
      <c r="Q3515" s="19">
        <v>181</v>
      </c>
      <c r="R3515" s="14">
        <v>2250</v>
      </c>
      <c r="S3515" s="19">
        <v>407250</v>
      </c>
      <c r="T3515" s="17">
        <v>1</v>
      </c>
      <c r="U3515" s="17" t="s">
        <v>57</v>
      </c>
      <c r="V3515" s="17" t="s">
        <v>56</v>
      </c>
      <c r="W3515" s="4">
        <v>115</v>
      </c>
      <c r="Y3515" s="4">
        <v>115</v>
      </c>
      <c r="AA3515" s="17">
        <v>34</v>
      </c>
      <c r="AJ3515" s="19">
        <v>0</v>
      </c>
      <c r="AK3515" s="23">
        <v>0</v>
      </c>
      <c r="AM3515" s="19">
        <v>0</v>
      </c>
      <c r="AN3515" s="19">
        <v>407250</v>
      </c>
      <c r="AP3515" s="14">
        <v>407250</v>
      </c>
    </row>
    <row r="3516" spans="1:45" ht="63" x14ac:dyDescent="0.2">
      <c r="L3516" s="17">
        <v>16.25</v>
      </c>
      <c r="Q3516" s="19">
        <v>0</v>
      </c>
      <c r="R3516" s="14" t="e">
        <v>#N/A</v>
      </c>
      <c r="S3516" s="19" t="e">
        <v>#N/A</v>
      </c>
      <c r="T3516" s="17">
        <v>2</v>
      </c>
      <c r="U3516" s="17" t="s">
        <v>57</v>
      </c>
      <c r="V3516" s="17" t="s">
        <v>56</v>
      </c>
      <c r="W3516" s="4">
        <v>65</v>
      </c>
      <c r="Y3516" s="4">
        <v>65</v>
      </c>
      <c r="AA3516" s="17">
        <v>5</v>
      </c>
      <c r="AJ3516" s="19">
        <v>0</v>
      </c>
      <c r="AK3516" s="23">
        <v>0</v>
      </c>
      <c r="AM3516" s="19">
        <v>0</v>
      </c>
      <c r="AN3516" s="19" t="e">
        <v>#N/A</v>
      </c>
      <c r="AP3516" s="14" t="e">
        <v>#N/A</v>
      </c>
    </row>
    <row r="3517" spans="1:45" x14ac:dyDescent="0.2">
      <c r="A3517" s="2">
        <v>2989</v>
      </c>
      <c r="B3517" s="13">
        <v>5</v>
      </c>
      <c r="C3517" s="17" t="s">
        <v>52</v>
      </c>
      <c r="D3517" s="17">
        <v>32834</v>
      </c>
      <c r="E3517" s="17">
        <v>183</v>
      </c>
      <c r="F3517" s="17">
        <v>6433</v>
      </c>
      <c r="G3517" s="13">
        <v>2</v>
      </c>
      <c r="H3517" s="17">
        <v>1</v>
      </c>
      <c r="I3517" s="17">
        <v>1</v>
      </c>
      <c r="J3517" s="17">
        <v>83</v>
      </c>
      <c r="K3517" s="10">
        <v>583</v>
      </c>
      <c r="P3517" s="17">
        <v>1</v>
      </c>
      <c r="Q3517" s="19">
        <v>583</v>
      </c>
      <c r="R3517" s="14">
        <v>160</v>
      </c>
      <c r="S3517" s="19">
        <v>93280</v>
      </c>
      <c r="AJ3517" s="19">
        <v>0</v>
      </c>
      <c r="AK3517" s="23">
        <v>0</v>
      </c>
      <c r="AM3517" s="19">
        <v>0</v>
      </c>
      <c r="AN3517" s="19">
        <v>93280</v>
      </c>
      <c r="AP3517" s="14">
        <v>93280</v>
      </c>
    </row>
    <row r="3518" spans="1:45" ht="63" x14ac:dyDescent="0.2">
      <c r="A3518" s="2">
        <f>+A3517+1</f>
        <v>2990</v>
      </c>
      <c r="B3518" s="13">
        <v>1</v>
      </c>
      <c r="C3518" s="17" t="s">
        <v>52</v>
      </c>
      <c r="D3518" s="17">
        <v>1545</v>
      </c>
      <c r="E3518" s="17">
        <v>33</v>
      </c>
      <c r="F3518" s="17">
        <v>461</v>
      </c>
      <c r="G3518" s="13">
        <v>2</v>
      </c>
      <c r="H3518" s="17">
        <v>1</v>
      </c>
      <c r="I3518" s="17">
        <v>2</v>
      </c>
      <c r="J3518" s="17">
        <v>45</v>
      </c>
      <c r="K3518" s="10">
        <v>628.54999999999995</v>
      </c>
      <c r="L3518" s="17">
        <v>16.25</v>
      </c>
      <c r="P3518" s="17">
        <v>5</v>
      </c>
      <c r="Q3518" s="19">
        <v>645</v>
      </c>
      <c r="R3518" s="14">
        <v>2250</v>
      </c>
      <c r="S3518" s="19">
        <v>1451250</v>
      </c>
      <c r="T3518" s="17">
        <v>1</v>
      </c>
      <c r="U3518" s="17" t="s">
        <v>57</v>
      </c>
      <c r="V3518" s="17" t="s">
        <v>56</v>
      </c>
      <c r="W3518" s="4">
        <v>65</v>
      </c>
      <c r="Y3518" s="4">
        <v>65</v>
      </c>
      <c r="AA3518" s="17">
        <v>21</v>
      </c>
      <c r="AJ3518" s="19">
        <v>0</v>
      </c>
      <c r="AK3518" s="23">
        <v>0</v>
      </c>
      <c r="AM3518" s="19">
        <v>0</v>
      </c>
      <c r="AN3518" s="19">
        <v>1451250</v>
      </c>
      <c r="AP3518" s="14">
        <v>1451250</v>
      </c>
    </row>
    <row r="3519" spans="1:45" x14ac:dyDescent="0.2">
      <c r="A3519" s="121">
        <f t="shared" ref="A3519:A3581" si="474">+A3518+1</f>
        <v>2991</v>
      </c>
      <c r="B3519" s="13">
        <v>2</v>
      </c>
      <c r="C3519" s="17" t="s">
        <v>52</v>
      </c>
      <c r="D3519" s="17">
        <v>1599</v>
      </c>
      <c r="E3519" s="17">
        <v>31</v>
      </c>
      <c r="F3519" s="17">
        <v>536</v>
      </c>
      <c r="G3519" s="13">
        <v>2</v>
      </c>
      <c r="H3519" s="17">
        <v>3</v>
      </c>
      <c r="I3519" s="17">
        <v>1</v>
      </c>
      <c r="J3519" s="17">
        <v>54</v>
      </c>
      <c r="K3519" s="10">
        <v>1354</v>
      </c>
      <c r="P3519" s="17">
        <v>1</v>
      </c>
      <c r="Q3519" s="19">
        <v>1354</v>
      </c>
      <c r="R3519" s="14">
        <v>200</v>
      </c>
      <c r="S3519" s="19">
        <v>270800</v>
      </c>
      <c r="AJ3519" s="19">
        <v>0</v>
      </c>
      <c r="AK3519" s="23">
        <v>0</v>
      </c>
      <c r="AM3519" s="19">
        <v>0</v>
      </c>
      <c r="AN3519" s="19">
        <v>270800</v>
      </c>
      <c r="AP3519" s="14">
        <v>270800</v>
      </c>
    </row>
    <row r="3520" spans="1:45" x14ac:dyDescent="0.2">
      <c r="A3520" s="121">
        <f t="shared" si="474"/>
        <v>2992</v>
      </c>
      <c r="B3520" s="13">
        <v>1</v>
      </c>
      <c r="C3520" s="17" t="s">
        <v>52</v>
      </c>
      <c r="D3520" s="17">
        <v>28209</v>
      </c>
      <c r="E3520" s="17">
        <v>81</v>
      </c>
      <c r="F3520" s="17">
        <v>5295</v>
      </c>
      <c r="G3520" s="13">
        <v>2</v>
      </c>
      <c r="H3520" s="17">
        <v>0</v>
      </c>
      <c r="I3520" s="17">
        <v>3</v>
      </c>
      <c r="J3520" s="17">
        <v>47</v>
      </c>
      <c r="K3520" s="10">
        <v>347</v>
      </c>
      <c r="P3520" s="17">
        <v>1</v>
      </c>
      <c r="Q3520" s="19">
        <v>347</v>
      </c>
      <c r="R3520" s="14">
        <v>200</v>
      </c>
      <c r="S3520" s="19">
        <v>69400</v>
      </c>
      <c r="AJ3520" s="19">
        <v>0</v>
      </c>
      <c r="AK3520" s="23">
        <v>0</v>
      </c>
      <c r="AM3520" s="19">
        <v>0</v>
      </c>
      <c r="AN3520" s="19">
        <v>69400</v>
      </c>
      <c r="AP3520" s="14">
        <v>69400</v>
      </c>
    </row>
    <row r="3521" spans="1:45" s="19" customFormat="1" x14ac:dyDescent="0.2">
      <c r="A3521" s="121">
        <f t="shared" si="474"/>
        <v>2993</v>
      </c>
      <c r="B3521" s="13">
        <v>2</v>
      </c>
      <c r="C3521" s="17" t="s">
        <v>52</v>
      </c>
      <c r="D3521" s="17">
        <v>34310</v>
      </c>
      <c r="E3521" s="17">
        <v>229</v>
      </c>
      <c r="F3521" s="17">
        <v>6837</v>
      </c>
      <c r="G3521" s="13">
        <v>2</v>
      </c>
      <c r="H3521" s="17">
        <v>3</v>
      </c>
      <c r="I3521" s="17">
        <v>1</v>
      </c>
      <c r="J3521" s="17">
        <v>17.010000000000002</v>
      </c>
      <c r="K3521" s="10">
        <v>1317.01</v>
      </c>
      <c r="L3521" s="17"/>
      <c r="M3521" s="15"/>
      <c r="N3521" s="18"/>
      <c r="O3521" s="14"/>
      <c r="P3521" s="17">
        <v>1</v>
      </c>
      <c r="Q3521" s="19">
        <v>1317.01</v>
      </c>
      <c r="R3521" s="14">
        <v>200</v>
      </c>
      <c r="S3521" s="19">
        <v>263402</v>
      </c>
      <c r="T3521" s="17"/>
      <c r="U3521" s="17"/>
      <c r="V3521" s="17"/>
      <c r="W3521" s="4"/>
      <c r="X3521" s="17"/>
      <c r="Y3521" s="4"/>
      <c r="Z3521" s="17"/>
      <c r="AA3521" s="17"/>
      <c r="AB3521" s="17"/>
      <c r="AC3521" s="14"/>
      <c r="AD3521" s="14"/>
      <c r="AE3521" s="17"/>
      <c r="AF3521" s="14"/>
      <c r="AG3521" s="54"/>
      <c r="AH3521" s="11"/>
      <c r="AI3521" s="14"/>
      <c r="AJ3521" s="19">
        <v>0</v>
      </c>
      <c r="AK3521" s="23">
        <v>0</v>
      </c>
      <c r="AL3521" s="11"/>
      <c r="AM3521" s="19">
        <v>0</v>
      </c>
      <c r="AN3521" s="19">
        <v>263402</v>
      </c>
      <c r="AO3521" s="14"/>
      <c r="AP3521" s="14">
        <v>263402</v>
      </c>
      <c r="AQ3521" s="12"/>
      <c r="AS3521" s="26"/>
    </row>
    <row r="3522" spans="1:45" s="19" customFormat="1" x14ac:dyDescent="0.2">
      <c r="A3522" s="121">
        <f t="shared" si="474"/>
        <v>2994</v>
      </c>
      <c r="B3522" s="13">
        <v>3</v>
      </c>
      <c r="C3522" s="17" t="s">
        <v>52</v>
      </c>
      <c r="D3522" s="17">
        <v>34311</v>
      </c>
      <c r="E3522" s="17">
        <v>230</v>
      </c>
      <c r="F3522" s="17">
        <v>6838</v>
      </c>
      <c r="G3522" s="13">
        <v>2</v>
      </c>
      <c r="H3522" s="17">
        <v>1</v>
      </c>
      <c r="I3522" s="17">
        <v>2</v>
      </c>
      <c r="J3522" s="17">
        <v>35.07</v>
      </c>
      <c r="K3522" s="10">
        <v>635.07000000000005</v>
      </c>
      <c r="L3522" s="17"/>
      <c r="M3522" s="15"/>
      <c r="N3522" s="18"/>
      <c r="O3522" s="14"/>
      <c r="P3522" s="17">
        <v>1</v>
      </c>
      <c r="Q3522" s="19">
        <v>635.07000000000005</v>
      </c>
      <c r="R3522" s="14">
        <v>200</v>
      </c>
      <c r="S3522" s="19">
        <v>127014.00000000001</v>
      </c>
      <c r="T3522" s="17"/>
      <c r="U3522" s="17"/>
      <c r="V3522" s="17"/>
      <c r="W3522" s="4"/>
      <c r="X3522" s="17"/>
      <c r="Y3522" s="4"/>
      <c r="Z3522" s="17"/>
      <c r="AA3522" s="17"/>
      <c r="AB3522" s="17"/>
      <c r="AC3522" s="14"/>
      <c r="AD3522" s="14"/>
      <c r="AE3522" s="17"/>
      <c r="AF3522" s="14"/>
      <c r="AG3522" s="54"/>
      <c r="AH3522" s="11"/>
      <c r="AI3522" s="14"/>
      <c r="AJ3522" s="19">
        <v>0</v>
      </c>
      <c r="AK3522" s="23">
        <v>0</v>
      </c>
      <c r="AL3522" s="11"/>
      <c r="AM3522" s="19">
        <v>0</v>
      </c>
      <c r="AN3522" s="19">
        <v>127014.00000000001</v>
      </c>
      <c r="AO3522" s="14"/>
      <c r="AP3522" s="14">
        <v>127014.00000000001</v>
      </c>
      <c r="AQ3522" s="12"/>
      <c r="AS3522" s="26"/>
    </row>
    <row r="3523" spans="1:45" s="19" customFormat="1" x14ac:dyDescent="0.2">
      <c r="A3523" s="121">
        <f t="shared" si="474"/>
        <v>2995</v>
      </c>
      <c r="B3523" s="13">
        <v>1</v>
      </c>
      <c r="C3523" s="17" t="s">
        <v>52</v>
      </c>
      <c r="D3523" s="17">
        <v>1544</v>
      </c>
      <c r="E3523" s="17">
        <v>35</v>
      </c>
      <c r="F3523" s="17">
        <v>460</v>
      </c>
      <c r="G3523" s="13">
        <v>2</v>
      </c>
      <c r="H3523" s="17">
        <v>7</v>
      </c>
      <c r="I3523" s="17">
        <v>1</v>
      </c>
      <c r="J3523" s="17">
        <v>38.04</v>
      </c>
      <c r="K3523" s="10">
        <v>2938.04</v>
      </c>
      <c r="L3523" s="17"/>
      <c r="M3523" s="15"/>
      <c r="N3523" s="18"/>
      <c r="O3523" s="14"/>
      <c r="P3523" s="17">
        <v>1</v>
      </c>
      <c r="Q3523" s="19">
        <v>2938.04</v>
      </c>
      <c r="R3523" s="14">
        <v>200</v>
      </c>
      <c r="S3523" s="19">
        <v>587608</v>
      </c>
      <c r="T3523" s="17"/>
      <c r="U3523" s="17"/>
      <c r="V3523" s="17"/>
      <c r="W3523" s="4"/>
      <c r="X3523" s="17"/>
      <c r="Y3523" s="4"/>
      <c r="Z3523" s="17"/>
      <c r="AA3523" s="17"/>
      <c r="AB3523" s="17"/>
      <c r="AC3523" s="14"/>
      <c r="AD3523" s="14"/>
      <c r="AE3523" s="17"/>
      <c r="AF3523" s="14"/>
      <c r="AG3523" s="54"/>
      <c r="AH3523" s="11"/>
      <c r="AI3523" s="14"/>
      <c r="AJ3523" s="19">
        <v>0</v>
      </c>
      <c r="AK3523" s="23">
        <v>0</v>
      </c>
      <c r="AL3523" s="11"/>
      <c r="AM3523" s="19">
        <v>0</v>
      </c>
      <c r="AN3523" s="19">
        <v>587608</v>
      </c>
      <c r="AO3523" s="14"/>
      <c r="AP3523" s="14">
        <v>587608</v>
      </c>
      <c r="AQ3523" s="12"/>
      <c r="AS3523" s="26"/>
    </row>
    <row r="3524" spans="1:45" s="19" customFormat="1" x14ac:dyDescent="0.2">
      <c r="A3524" s="121">
        <f t="shared" si="474"/>
        <v>2996</v>
      </c>
      <c r="B3524" s="13">
        <v>2</v>
      </c>
      <c r="C3524" s="17" t="s">
        <v>52</v>
      </c>
      <c r="D3524" s="17">
        <v>1593</v>
      </c>
      <c r="E3524" s="17">
        <v>33</v>
      </c>
      <c r="F3524" s="17">
        <v>530</v>
      </c>
      <c r="G3524" s="13">
        <v>2</v>
      </c>
      <c r="H3524" s="17">
        <v>2</v>
      </c>
      <c r="I3524" s="17">
        <v>3</v>
      </c>
      <c r="J3524" s="17">
        <v>77</v>
      </c>
      <c r="K3524" s="10">
        <v>1177</v>
      </c>
      <c r="L3524" s="17"/>
      <c r="M3524" s="15"/>
      <c r="N3524" s="18"/>
      <c r="O3524" s="14"/>
      <c r="P3524" s="17">
        <v>1</v>
      </c>
      <c r="Q3524" s="19">
        <v>1177</v>
      </c>
      <c r="R3524" s="14">
        <v>160</v>
      </c>
      <c r="S3524" s="19">
        <v>188320</v>
      </c>
      <c r="T3524" s="17"/>
      <c r="U3524" s="17"/>
      <c r="V3524" s="17"/>
      <c r="W3524" s="4"/>
      <c r="X3524" s="17"/>
      <c r="Y3524" s="4"/>
      <c r="Z3524" s="17"/>
      <c r="AA3524" s="17"/>
      <c r="AB3524" s="17"/>
      <c r="AC3524" s="14"/>
      <c r="AD3524" s="14"/>
      <c r="AE3524" s="17"/>
      <c r="AF3524" s="14"/>
      <c r="AG3524" s="54"/>
      <c r="AH3524" s="11"/>
      <c r="AI3524" s="14"/>
      <c r="AJ3524" s="19">
        <v>0</v>
      </c>
      <c r="AK3524" s="23">
        <v>0</v>
      </c>
      <c r="AL3524" s="11"/>
      <c r="AM3524" s="19">
        <v>0</v>
      </c>
      <c r="AN3524" s="19">
        <v>188320</v>
      </c>
      <c r="AO3524" s="14"/>
      <c r="AP3524" s="14">
        <v>188320</v>
      </c>
      <c r="AQ3524" s="12"/>
      <c r="AS3524" s="26"/>
    </row>
    <row r="3525" spans="1:45" s="19" customFormat="1" x14ac:dyDescent="0.2">
      <c r="A3525" s="121">
        <f t="shared" si="474"/>
        <v>2997</v>
      </c>
      <c r="B3525" s="13">
        <v>3</v>
      </c>
      <c r="C3525" s="17" t="s">
        <v>52</v>
      </c>
      <c r="D3525" s="17">
        <v>1594</v>
      </c>
      <c r="E3525" s="17">
        <v>32</v>
      </c>
      <c r="F3525" s="17">
        <v>531</v>
      </c>
      <c r="G3525" s="13">
        <v>2</v>
      </c>
      <c r="H3525" s="17">
        <v>1</v>
      </c>
      <c r="I3525" s="17">
        <v>3</v>
      </c>
      <c r="J3525" s="17">
        <v>16</v>
      </c>
      <c r="K3525" s="10">
        <v>716</v>
      </c>
      <c r="L3525" s="17"/>
      <c r="M3525" s="15"/>
      <c r="N3525" s="18"/>
      <c r="O3525" s="14"/>
      <c r="P3525" s="17">
        <v>1</v>
      </c>
      <c r="Q3525" s="19">
        <v>716</v>
      </c>
      <c r="R3525" s="14">
        <v>160</v>
      </c>
      <c r="S3525" s="19">
        <v>114560</v>
      </c>
      <c r="T3525" s="17"/>
      <c r="U3525" s="17"/>
      <c r="V3525" s="17"/>
      <c r="W3525" s="4"/>
      <c r="X3525" s="17"/>
      <c r="Y3525" s="4"/>
      <c r="Z3525" s="17"/>
      <c r="AA3525" s="17"/>
      <c r="AB3525" s="17"/>
      <c r="AC3525" s="14"/>
      <c r="AD3525" s="14"/>
      <c r="AE3525" s="17"/>
      <c r="AF3525" s="14"/>
      <c r="AG3525" s="54"/>
      <c r="AH3525" s="11"/>
      <c r="AI3525" s="14"/>
      <c r="AJ3525" s="19">
        <v>0</v>
      </c>
      <c r="AK3525" s="23">
        <v>0</v>
      </c>
      <c r="AL3525" s="11"/>
      <c r="AM3525" s="19">
        <v>0</v>
      </c>
      <c r="AN3525" s="19">
        <v>114560</v>
      </c>
      <c r="AO3525" s="14"/>
      <c r="AP3525" s="14">
        <v>114560</v>
      </c>
      <c r="AQ3525" s="12"/>
      <c r="AS3525" s="26"/>
    </row>
    <row r="3526" spans="1:45" s="19" customFormat="1" x14ac:dyDescent="0.2">
      <c r="A3526" s="121">
        <f t="shared" si="474"/>
        <v>2998</v>
      </c>
      <c r="B3526" s="13">
        <v>1</v>
      </c>
      <c r="C3526" s="17" t="s">
        <v>52</v>
      </c>
      <c r="D3526" s="17">
        <v>1543</v>
      </c>
      <c r="E3526" s="17">
        <v>63</v>
      </c>
      <c r="F3526" s="17">
        <v>459</v>
      </c>
      <c r="G3526" s="13">
        <v>2</v>
      </c>
      <c r="H3526" s="17">
        <v>2</v>
      </c>
      <c r="I3526" s="17">
        <v>2</v>
      </c>
      <c r="J3526" s="17">
        <v>88</v>
      </c>
      <c r="K3526" s="10">
        <v>1088</v>
      </c>
      <c r="L3526" s="17"/>
      <c r="M3526" s="15"/>
      <c r="N3526" s="18"/>
      <c r="O3526" s="14"/>
      <c r="P3526" s="17">
        <v>1</v>
      </c>
      <c r="Q3526" s="19">
        <v>1088</v>
      </c>
      <c r="R3526" s="14">
        <v>160</v>
      </c>
      <c r="S3526" s="19">
        <v>174080</v>
      </c>
      <c r="T3526" s="17"/>
      <c r="U3526" s="17"/>
      <c r="V3526" s="17"/>
      <c r="W3526" s="4"/>
      <c r="X3526" s="17"/>
      <c r="Y3526" s="4"/>
      <c r="Z3526" s="17"/>
      <c r="AA3526" s="17"/>
      <c r="AB3526" s="17"/>
      <c r="AC3526" s="14"/>
      <c r="AD3526" s="14"/>
      <c r="AE3526" s="17"/>
      <c r="AF3526" s="14"/>
      <c r="AG3526" s="54"/>
      <c r="AH3526" s="11"/>
      <c r="AI3526" s="14"/>
      <c r="AJ3526" s="19">
        <v>0</v>
      </c>
      <c r="AK3526" s="23">
        <v>0</v>
      </c>
      <c r="AL3526" s="11"/>
      <c r="AM3526" s="19">
        <v>0</v>
      </c>
      <c r="AN3526" s="19">
        <v>174080</v>
      </c>
      <c r="AO3526" s="14"/>
      <c r="AP3526" s="14">
        <v>174080</v>
      </c>
      <c r="AQ3526" s="12"/>
      <c r="AS3526" s="26"/>
    </row>
    <row r="3527" spans="1:45" s="19" customFormat="1" x14ac:dyDescent="0.2">
      <c r="A3527" s="121">
        <f t="shared" si="474"/>
        <v>2999</v>
      </c>
      <c r="B3527" s="13">
        <v>1</v>
      </c>
      <c r="C3527" s="17" t="s">
        <v>52</v>
      </c>
      <c r="D3527" s="17">
        <v>28210</v>
      </c>
      <c r="E3527" s="17">
        <v>82</v>
      </c>
      <c r="F3527" s="17">
        <v>5296</v>
      </c>
      <c r="G3527" s="13">
        <v>2</v>
      </c>
      <c r="H3527" s="17">
        <v>0</v>
      </c>
      <c r="I3527" s="17">
        <v>3</v>
      </c>
      <c r="J3527" s="17">
        <v>82</v>
      </c>
      <c r="K3527" s="10">
        <v>382</v>
      </c>
      <c r="L3527" s="17"/>
      <c r="M3527" s="15"/>
      <c r="N3527" s="18"/>
      <c r="O3527" s="14"/>
      <c r="P3527" s="17">
        <v>1</v>
      </c>
      <c r="Q3527" s="19">
        <v>382</v>
      </c>
      <c r="R3527" s="14">
        <v>200</v>
      </c>
      <c r="S3527" s="19">
        <v>76400</v>
      </c>
      <c r="T3527" s="17"/>
      <c r="U3527" s="17"/>
      <c r="V3527" s="17"/>
      <c r="W3527" s="4"/>
      <c r="X3527" s="17"/>
      <c r="Y3527" s="4"/>
      <c r="Z3527" s="17"/>
      <c r="AA3527" s="17"/>
      <c r="AB3527" s="17"/>
      <c r="AC3527" s="14"/>
      <c r="AD3527" s="14"/>
      <c r="AE3527" s="17"/>
      <c r="AF3527" s="14"/>
      <c r="AG3527" s="54"/>
      <c r="AH3527" s="11"/>
      <c r="AI3527" s="14"/>
      <c r="AJ3527" s="19">
        <v>0</v>
      </c>
      <c r="AK3527" s="23">
        <v>0</v>
      </c>
      <c r="AL3527" s="11"/>
      <c r="AM3527" s="19">
        <v>0</v>
      </c>
      <c r="AN3527" s="19">
        <v>76400</v>
      </c>
      <c r="AO3527" s="14"/>
      <c r="AP3527" s="14">
        <v>76400</v>
      </c>
      <c r="AQ3527" s="12"/>
      <c r="AS3527" s="26"/>
    </row>
    <row r="3528" spans="1:45" s="19" customFormat="1" x14ac:dyDescent="0.2">
      <c r="A3528" s="121">
        <f t="shared" si="474"/>
        <v>3000</v>
      </c>
      <c r="B3528" s="13">
        <v>2</v>
      </c>
      <c r="C3528" s="17" t="s">
        <v>69</v>
      </c>
      <c r="D3528" s="17"/>
      <c r="E3528" s="17">
        <v>2329</v>
      </c>
      <c r="F3528" s="17">
        <v>23</v>
      </c>
      <c r="G3528" s="13">
        <v>1</v>
      </c>
      <c r="H3528" s="17">
        <v>3</v>
      </c>
      <c r="I3528" s="17">
        <v>2</v>
      </c>
      <c r="J3528" s="17">
        <v>90</v>
      </c>
      <c r="K3528" s="10">
        <v>1490</v>
      </c>
      <c r="L3528" s="17"/>
      <c r="M3528" s="15"/>
      <c r="N3528" s="18"/>
      <c r="O3528" s="14"/>
      <c r="P3528" s="17">
        <v>1</v>
      </c>
      <c r="Q3528" s="19">
        <v>1490</v>
      </c>
      <c r="R3528" s="14">
        <v>200</v>
      </c>
      <c r="S3528" s="19">
        <v>298000</v>
      </c>
      <c r="T3528" s="17"/>
      <c r="U3528" s="17"/>
      <c r="V3528" s="17"/>
      <c r="W3528" s="4"/>
      <c r="X3528" s="17"/>
      <c r="Y3528" s="4"/>
      <c r="Z3528" s="17"/>
      <c r="AA3528" s="17"/>
      <c r="AB3528" s="17"/>
      <c r="AC3528" s="14"/>
      <c r="AD3528" s="14"/>
      <c r="AE3528" s="17"/>
      <c r="AF3528" s="14"/>
      <c r="AG3528" s="54"/>
      <c r="AH3528" s="11"/>
      <c r="AI3528" s="14"/>
      <c r="AJ3528" s="19">
        <v>0</v>
      </c>
      <c r="AK3528" s="23">
        <v>0</v>
      </c>
      <c r="AL3528" s="11"/>
      <c r="AM3528" s="19">
        <v>0</v>
      </c>
      <c r="AN3528" s="19">
        <v>298000</v>
      </c>
      <c r="AO3528" s="14"/>
      <c r="AP3528" s="14">
        <v>298000</v>
      </c>
      <c r="AQ3528" s="12"/>
      <c r="AS3528" s="26"/>
    </row>
    <row r="3529" spans="1:45" s="19" customFormat="1" x14ac:dyDescent="0.2">
      <c r="A3529" s="121">
        <f t="shared" si="474"/>
        <v>3001</v>
      </c>
      <c r="B3529" s="13">
        <v>1</v>
      </c>
      <c r="C3529" s="17" t="s">
        <v>52</v>
      </c>
      <c r="D3529" s="17">
        <v>28207</v>
      </c>
      <c r="E3529" s="17">
        <v>79</v>
      </c>
      <c r="F3529" s="17">
        <v>5293</v>
      </c>
      <c r="G3529" s="13">
        <v>2</v>
      </c>
      <c r="H3529" s="17">
        <v>0</v>
      </c>
      <c r="I3529" s="17">
        <v>3</v>
      </c>
      <c r="J3529" s="17">
        <v>73</v>
      </c>
      <c r="K3529" s="10">
        <v>373</v>
      </c>
      <c r="L3529" s="17"/>
      <c r="M3529" s="15"/>
      <c r="N3529" s="18"/>
      <c r="O3529" s="14"/>
      <c r="P3529" s="17">
        <v>1</v>
      </c>
      <c r="Q3529" s="19">
        <v>373</v>
      </c>
      <c r="R3529" s="14">
        <v>200</v>
      </c>
      <c r="S3529" s="19">
        <v>74600</v>
      </c>
      <c r="T3529" s="17"/>
      <c r="U3529" s="17"/>
      <c r="V3529" s="17"/>
      <c r="W3529" s="4"/>
      <c r="X3529" s="17"/>
      <c r="Y3529" s="4"/>
      <c r="Z3529" s="17"/>
      <c r="AA3529" s="17"/>
      <c r="AB3529" s="17"/>
      <c r="AC3529" s="14"/>
      <c r="AD3529" s="14"/>
      <c r="AE3529" s="17"/>
      <c r="AF3529" s="14"/>
      <c r="AG3529" s="54"/>
      <c r="AH3529" s="11"/>
      <c r="AI3529" s="14"/>
      <c r="AJ3529" s="19">
        <v>0</v>
      </c>
      <c r="AK3529" s="23">
        <v>0</v>
      </c>
      <c r="AL3529" s="11"/>
      <c r="AM3529" s="19">
        <v>0</v>
      </c>
      <c r="AN3529" s="19">
        <v>74600</v>
      </c>
      <c r="AO3529" s="14"/>
      <c r="AP3529" s="14">
        <v>74600</v>
      </c>
      <c r="AQ3529" s="12"/>
      <c r="AS3529" s="26"/>
    </row>
    <row r="3530" spans="1:45" s="19" customFormat="1" x14ac:dyDescent="0.2">
      <c r="A3530" s="121">
        <f t="shared" si="474"/>
        <v>3002</v>
      </c>
      <c r="B3530" s="13">
        <v>2</v>
      </c>
      <c r="C3530" s="17" t="s">
        <v>52</v>
      </c>
      <c r="D3530" s="17">
        <v>28208</v>
      </c>
      <c r="E3530" s="17">
        <v>80</v>
      </c>
      <c r="F3530" s="17">
        <v>5294</v>
      </c>
      <c r="G3530" s="13">
        <v>2</v>
      </c>
      <c r="H3530" s="17">
        <v>0</v>
      </c>
      <c r="I3530" s="17">
        <v>3</v>
      </c>
      <c r="J3530" s="17">
        <v>66</v>
      </c>
      <c r="K3530" s="10">
        <v>366</v>
      </c>
      <c r="L3530" s="17"/>
      <c r="M3530" s="15"/>
      <c r="N3530" s="18"/>
      <c r="O3530" s="14"/>
      <c r="P3530" s="17">
        <v>1</v>
      </c>
      <c r="Q3530" s="19">
        <v>366</v>
      </c>
      <c r="R3530" s="14">
        <v>200</v>
      </c>
      <c r="S3530" s="19">
        <v>73200</v>
      </c>
      <c r="T3530" s="17"/>
      <c r="U3530" s="17"/>
      <c r="V3530" s="17"/>
      <c r="W3530" s="4"/>
      <c r="X3530" s="17"/>
      <c r="Y3530" s="4"/>
      <c r="Z3530" s="17"/>
      <c r="AA3530" s="17"/>
      <c r="AB3530" s="17"/>
      <c r="AC3530" s="14"/>
      <c r="AD3530" s="14"/>
      <c r="AE3530" s="17"/>
      <c r="AF3530" s="14"/>
      <c r="AG3530" s="54"/>
      <c r="AH3530" s="11"/>
      <c r="AI3530" s="14"/>
      <c r="AJ3530" s="19">
        <v>0</v>
      </c>
      <c r="AK3530" s="23">
        <v>0</v>
      </c>
      <c r="AL3530" s="11"/>
      <c r="AM3530" s="19">
        <v>0</v>
      </c>
      <c r="AN3530" s="19">
        <v>73200</v>
      </c>
      <c r="AO3530" s="14"/>
      <c r="AP3530" s="14">
        <v>73200</v>
      </c>
      <c r="AQ3530" s="12"/>
      <c r="AS3530" s="26"/>
    </row>
    <row r="3531" spans="1:45" s="19" customFormat="1" x14ac:dyDescent="0.2">
      <c r="A3531" s="121">
        <f t="shared" si="474"/>
        <v>3003</v>
      </c>
      <c r="B3531" s="13">
        <v>1</v>
      </c>
      <c r="C3531" s="17" t="s">
        <v>52</v>
      </c>
      <c r="D3531" s="17">
        <v>1585</v>
      </c>
      <c r="E3531" s="17">
        <v>22</v>
      </c>
      <c r="F3531" s="17">
        <v>522</v>
      </c>
      <c r="G3531" s="13">
        <v>2</v>
      </c>
      <c r="H3531" s="17">
        <v>9</v>
      </c>
      <c r="I3531" s="17">
        <v>1</v>
      </c>
      <c r="J3531" s="17">
        <v>59</v>
      </c>
      <c r="K3531" s="10">
        <v>3759</v>
      </c>
      <c r="L3531" s="17"/>
      <c r="M3531" s="15"/>
      <c r="N3531" s="18"/>
      <c r="O3531" s="14"/>
      <c r="P3531" s="17">
        <v>1</v>
      </c>
      <c r="Q3531" s="19">
        <v>3759</v>
      </c>
      <c r="R3531" s="14">
        <v>160</v>
      </c>
      <c r="S3531" s="19">
        <v>601440</v>
      </c>
      <c r="T3531" s="17"/>
      <c r="U3531" s="17"/>
      <c r="V3531" s="17"/>
      <c r="W3531" s="4"/>
      <c r="X3531" s="17"/>
      <c r="Y3531" s="4"/>
      <c r="Z3531" s="17"/>
      <c r="AA3531" s="17"/>
      <c r="AB3531" s="17"/>
      <c r="AC3531" s="14"/>
      <c r="AD3531" s="14"/>
      <c r="AE3531" s="17"/>
      <c r="AF3531" s="14"/>
      <c r="AG3531" s="54"/>
      <c r="AH3531" s="11"/>
      <c r="AI3531" s="14"/>
      <c r="AJ3531" s="19">
        <v>0</v>
      </c>
      <c r="AK3531" s="23">
        <v>0</v>
      </c>
      <c r="AL3531" s="11"/>
      <c r="AM3531" s="19">
        <v>0</v>
      </c>
      <c r="AN3531" s="19">
        <v>601440</v>
      </c>
      <c r="AO3531" s="14"/>
      <c r="AP3531" s="14">
        <v>601440</v>
      </c>
      <c r="AQ3531" s="12"/>
      <c r="AS3531" s="26"/>
    </row>
    <row r="3532" spans="1:45" s="19" customFormat="1" ht="63" x14ac:dyDescent="0.2">
      <c r="A3532" s="121">
        <f t="shared" si="474"/>
        <v>3004</v>
      </c>
      <c r="B3532" s="13">
        <v>2</v>
      </c>
      <c r="C3532" s="17" t="s">
        <v>52</v>
      </c>
      <c r="D3532" s="17">
        <v>28211</v>
      </c>
      <c r="E3532" s="17">
        <v>103</v>
      </c>
      <c r="F3532" s="17">
        <v>5286</v>
      </c>
      <c r="G3532" s="13">
        <v>2</v>
      </c>
      <c r="H3532" s="17">
        <v>0</v>
      </c>
      <c r="I3532" s="17">
        <v>1</v>
      </c>
      <c r="J3532" s="17">
        <v>83</v>
      </c>
      <c r="K3532" s="10"/>
      <c r="L3532" s="17">
        <v>183</v>
      </c>
      <c r="M3532" s="15"/>
      <c r="N3532" s="18"/>
      <c r="O3532" s="14"/>
      <c r="P3532" s="17">
        <v>2</v>
      </c>
      <c r="Q3532" s="19">
        <v>183</v>
      </c>
      <c r="R3532" s="14">
        <v>2250</v>
      </c>
      <c r="S3532" s="19">
        <v>411750</v>
      </c>
      <c r="T3532" s="17">
        <v>1</v>
      </c>
      <c r="U3532" s="17" t="s">
        <v>57</v>
      </c>
      <c r="V3532" s="17" t="s">
        <v>56</v>
      </c>
      <c r="W3532" s="4">
        <v>184</v>
      </c>
      <c r="X3532" s="17"/>
      <c r="Y3532" s="4">
        <v>184</v>
      </c>
      <c r="Z3532" s="17"/>
      <c r="AA3532" s="17"/>
      <c r="AB3532" s="17">
        <v>10</v>
      </c>
      <c r="AC3532" s="14"/>
      <c r="AD3532" s="14"/>
      <c r="AE3532" s="17"/>
      <c r="AF3532" s="14"/>
      <c r="AG3532" s="54"/>
      <c r="AH3532" s="11"/>
      <c r="AI3532" s="14"/>
      <c r="AJ3532" s="19">
        <v>0</v>
      </c>
      <c r="AK3532" s="23">
        <v>10</v>
      </c>
      <c r="AL3532" s="11"/>
      <c r="AM3532" s="19">
        <v>0</v>
      </c>
      <c r="AN3532" s="19">
        <v>411750</v>
      </c>
      <c r="AO3532" s="14"/>
      <c r="AP3532" s="14">
        <v>411750</v>
      </c>
      <c r="AQ3532" s="12"/>
      <c r="AS3532" s="26"/>
    </row>
    <row r="3533" spans="1:45" s="19" customFormat="1" x14ac:dyDescent="0.2">
      <c r="A3533" s="121">
        <f t="shared" si="474"/>
        <v>3005</v>
      </c>
      <c r="B3533" s="13">
        <v>1</v>
      </c>
      <c r="C3533" s="17" t="s">
        <v>52</v>
      </c>
      <c r="D3533" s="17">
        <v>28202</v>
      </c>
      <c r="E3533" s="17">
        <v>74</v>
      </c>
      <c r="F3533" s="17">
        <v>5288</v>
      </c>
      <c r="G3533" s="13">
        <v>2</v>
      </c>
      <c r="H3533" s="17">
        <v>1</v>
      </c>
      <c r="I3533" s="17">
        <v>2</v>
      </c>
      <c r="J3533" s="17">
        <v>69</v>
      </c>
      <c r="K3533" s="10">
        <v>669</v>
      </c>
      <c r="L3533" s="17"/>
      <c r="M3533" s="15"/>
      <c r="N3533" s="18"/>
      <c r="O3533" s="14"/>
      <c r="P3533" s="17">
        <v>1</v>
      </c>
      <c r="Q3533" s="19">
        <v>669</v>
      </c>
      <c r="R3533" s="14">
        <v>200</v>
      </c>
      <c r="S3533" s="19">
        <v>133800</v>
      </c>
      <c r="T3533" s="17"/>
      <c r="U3533" s="17"/>
      <c r="V3533" s="17"/>
      <c r="W3533" s="4"/>
      <c r="X3533" s="17"/>
      <c r="Y3533" s="4"/>
      <c r="Z3533" s="17"/>
      <c r="AA3533" s="17"/>
      <c r="AB3533" s="17"/>
      <c r="AC3533" s="14"/>
      <c r="AD3533" s="14"/>
      <c r="AE3533" s="17"/>
      <c r="AF3533" s="14"/>
      <c r="AG3533" s="54"/>
      <c r="AH3533" s="11"/>
      <c r="AI3533" s="14"/>
      <c r="AJ3533" s="19">
        <v>0</v>
      </c>
      <c r="AK3533" s="23">
        <v>0</v>
      </c>
      <c r="AL3533" s="11"/>
      <c r="AM3533" s="19">
        <v>0</v>
      </c>
      <c r="AN3533" s="19">
        <v>133800</v>
      </c>
      <c r="AO3533" s="14"/>
      <c r="AP3533" s="14">
        <v>133800</v>
      </c>
      <c r="AQ3533" s="12"/>
      <c r="AS3533" s="26"/>
    </row>
    <row r="3534" spans="1:45" s="19" customFormat="1" ht="63" x14ac:dyDescent="0.2">
      <c r="A3534" s="121">
        <f t="shared" si="474"/>
        <v>3006</v>
      </c>
      <c r="B3534" s="13">
        <v>2</v>
      </c>
      <c r="C3534" s="17" t="s">
        <v>52</v>
      </c>
      <c r="D3534" s="17">
        <v>34567</v>
      </c>
      <c r="E3534" s="17">
        <v>231</v>
      </c>
      <c r="F3534" s="17">
        <v>6909</v>
      </c>
      <c r="G3534" s="13">
        <v>2</v>
      </c>
      <c r="H3534" s="17">
        <v>0</v>
      </c>
      <c r="I3534" s="17">
        <v>1</v>
      </c>
      <c r="J3534" s="17">
        <v>10.09</v>
      </c>
      <c r="K3534" s="10"/>
      <c r="L3534" s="17">
        <v>110.09</v>
      </c>
      <c r="M3534" s="15"/>
      <c r="N3534" s="18"/>
      <c r="O3534" s="14"/>
      <c r="P3534" s="17">
        <v>2</v>
      </c>
      <c r="Q3534" s="19">
        <v>110.09</v>
      </c>
      <c r="R3534" s="14">
        <v>2250</v>
      </c>
      <c r="S3534" s="19">
        <v>247702.5</v>
      </c>
      <c r="T3534" s="17">
        <v>1</v>
      </c>
      <c r="U3534" s="17" t="s">
        <v>57</v>
      </c>
      <c r="V3534" s="17" t="s">
        <v>56</v>
      </c>
      <c r="W3534" s="4">
        <v>67.5</v>
      </c>
      <c r="X3534" s="17"/>
      <c r="Y3534" s="4">
        <v>67.5</v>
      </c>
      <c r="Z3534" s="17"/>
      <c r="AA3534" s="17"/>
      <c r="AB3534" s="17">
        <v>13</v>
      </c>
      <c r="AC3534" s="14"/>
      <c r="AD3534" s="14"/>
      <c r="AE3534" s="17"/>
      <c r="AF3534" s="14"/>
      <c r="AG3534" s="54"/>
      <c r="AH3534" s="11"/>
      <c r="AI3534" s="14"/>
      <c r="AJ3534" s="19">
        <v>0</v>
      </c>
      <c r="AK3534" s="23">
        <v>13</v>
      </c>
      <c r="AL3534" s="11"/>
      <c r="AM3534" s="19">
        <v>0</v>
      </c>
      <c r="AN3534" s="19">
        <v>247702.5</v>
      </c>
      <c r="AO3534" s="14"/>
      <c r="AP3534" s="14">
        <v>247702.5</v>
      </c>
      <c r="AQ3534" s="12"/>
      <c r="AS3534" s="26"/>
    </row>
    <row r="3535" spans="1:45" s="19" customFormat="1" x14ac:dyDescent="0.2">
      <c r="A3535" s="121">
        <f t="shared" si="474"/>
        <v>3007</v>
      </c>
      <c r="B3535" s="13">
        <v>1</v>
      </c>
      <c r="C3535" s="17" t="s">
        <v>52</v>
      </c>
      <c r="D3535" s="17">
        <v>28206</v>
      </c>
      <c r="E3535" s="17">
        <v>78</v>
      </c>
      <c r="F3535" s="17">
        <v>5292</v>
      </c>
      <c r="G3535" s="13">
        <v>2</v>
      </c>
      <c r="H3535" s="17">
        <v>0</v>
      </c>
      <c r="I3535" s="17">
        <v>3</v>
      </c>
      <c r="J3535" s="17">
        <v>72</v>
      </c>
      <c r="K3535" s="10">
        <v>372</v>
      </c>
      <c r="L3535" s="17"/>
      <c r="M3535" s="15"/>
      <c r="N3535" s="18"/>
      <c r="O3535" s="14"/>
      <c r="P3535" s="17">
        <v>1</v>
      </c>
      <c r="Q3535" s="19">
        <v>372</v>
      </c>
      <c r="R3535" s="14">
        <v>200</v>
      </c>
      <c r="S3535" s="19">
        <v>74400</v>
      </c>
      <c r="T3535" s="17"/>
      <c r="U3535" s="17"/>
      <c r="V3535" s="17"/>
      <c r="W3535" s="4"/>
      <c r="X3535" s="17"/>
      <c r="Y3535" s="4"/>
      <c r="Z3535" s="17"/>
      <c r="AA3535" s="17"/>
      <c r="AB3535" s="17"/>
      <c r="AC3535" s="14"/>
      <c r="AD3535" s="14"/>
      <c r="AE3535" s="17"/>
      <c r="AF3535" s="14"/>
      <c r="AG3535" s="54"/>
      <c r="AH3535" s="11"/>
      <c r="AI3535" s="14"/>
      <c r="AJ3535" s="19">
        <v>0</v>
      </c>
      <c r="AK3535" s="23">
        <v>0</v>
      </c>
      <c r="AL3535" s="11"/>
      <c r="AM3535" s="19">
        <v>0</v>
      </c>
      <c r="AN3535" s="19">
        <v>74400</v>
      </c>
      <c r="AO3535" s="14"/>
      <c r="AP3535" s="14">
        <v>74400</v>
      </c>
      <c r="AQ3535" s="12"/>
      <c r="AS3535" s="26"/>
    </row>
    <row r="3536" spans="1:45" s="19" customFormat="1" x14ac:dyDescent="0.2">
      <c r="A3536" s="121">
        <f t="shared" si="474"/>
        <v>3008</v>
      </c>
      <c r="B3536" s="13">
        <v>1</v>
      </c>
      <c r="C3536" s="17" t="s">
        <v>52</v>
      </c>
      <c r="D3536" s="17">
        <v>31966</v>
      </c>
      <c r="E3536" s="17">
        <v>137</v>
      </c>
      <c r="F3536" s="17">
        <v>6285</v>
      </c>
      <c r="G3536" s="13">
        <v>1</v>
      </c>
      <c r="H3536" s="17">
        <v>0</v>
      </c>
      <c r="I3536" s="17">
        <v>3</v>
      </c>
      <c r="J3536" s="17">
        <v>42.02</v>
      </c>
      <c r="K3536" s="10">
        <v>342.02</v>
      </c>
      <c r="L3536" s="17"/>
      <c r="M3536" s="15"/>
      <c r="N3536" s="18"/>
      <c r="O3536" s="14"/>
      <c r="P3536" s="17">
        <v>1</v>
      </c>
      <c r="Q3536" s="19">
        <v>342.02</v>
      </c>
      <c r="R3536" s="14">
        <v>200</v>
      </c>
      <c r="S3536" s="19">
        <v>68404</v>
      </c>
      <c r="T3536" s="17"/>
      <c r="U3536" s="17"/>
      <c r="V3536" s="17"/>
      <c r="W3536" s="4"/>
      <c r="X3536" s="17"/>
      <c r="Y3536" s="4"/>
      <c r="Z3536" s="17"/>
      <c r="AA3536" s="17"/>
      <c r="AB3536" s="17"/>
      <c r="AC3536" s="14"/>
      <c r="AD3536" s="14"/>
      <c r="AE3536" s="17"/>
      <c r="AF3536" s="14"/>
      <c r="AG3536" s="54"/>
      <c r="AH3536" s="11"/>
      <c r="AI3536" s="14"/>
      <c r="AJ3536" s="19">
        <v>0</v>
      </c>
      <c r="AK3536" s="23">
        <v>0</v>
      </c>
      <c r="AL3536" s="11"/>
      <c r="AM3536" s="19">
        <v>0</v>
      </c>
      <c r="AN3536" s="19">
        <v>68404</v>
      </c>
      <c r="AO3536" s="14"/>
      <c r="AP3536" s="14">
        <v>68404</v>
      </c>
      <c r="AQ3536" s="12"/>
      <c r="AS3536" s="26"/>
    </row>
    <row r="3537" spans="1:45" x14ac:dyDescent="0.2">
      <c r="A3537" s="121">
        <f t="shared" si="474"/>
        <v>3009</v>
      </c>
      <c r="B3537" s="13">
        <v>2</v>
      </c>
      <c r="C3537" s="17" t="s">
        <v>52</v>
      </c>
      <c r="D3537" s="17">
        <v>31968</v>
      </c>
      <c r="E3537" s="17">
        <v>139</v>
      </c>
      <c r="F3537" s="17">
        <v>6287</v>
      </c>
      <c r="G3537" s="13">
        <v>1</v>
      </c>
      <c r="H3537" s="17">
        <v>0</v>
      </c>
      <c r="I3537" s="17">
        <v>3</v>
      </c>
      <c r="J3537" s="17">
        <v>19.09</v>
      </c>
      <c r="K3537" s="10">
        <v>319.08999999999997</v>
      </c>
      <c r="P3537" s="17">
        <v>1</v>
      </c>
      <c r="Q3537" s="19">
        <v>319.08999999999997</v>
      </c>
      <c r="R3537" s="14">
        <v>200</v>
      </c>
      <c r="S3537" s="19">
        <v>63817.999999999993</v>
      </c>
      <c r="AJ3537" s="19">
        <v>0</v>
      </c>
      <c r="AK3537" s="23">
        <v>0</v>
      </c>
      <c r="AM3537" s="19">
        <v>0</v>
      </c>
      <c r="AN3537" s="19">
        <v>63817.999999999993</v>
      </c>
      <c r="AP3537" s="14">
        <v>63817.999999999993</v>
      </c>
    </row>
    <row r="3538" spans="1:45" ht="63" x14ac:dyDescent="0.2">
      <c r="A3538" s="121">
        <f t="shared" si="474"/>
        <v>3010</v>
      </c>
      <c r="B3538" s="13">
        <v>3</v>
      </c>
      <c r="C3538" s="17" t="s">
        <v>52</v>
      </c>
      <c r="D3538" s="17">
        <v>32369</v>
      </c>
      <c r="E3538" s="17">
        <v>144</v>
      </c>
      <c r="F3538" s="17">
        <v>5808</v>
      </c>
      <c r="G3538" s="13">
        <v>2</v>
      </c>
      <c r="H3538" s="17">
        <v>0</v>
      </c>
      <c r="I3538" s="17">
        <v>1</v>
      </c>
      <c r="J3538" s="17">
        <v>0</v>
      </c>
      <c r="L3538" s="17">
        <v>100</v>
      </c>
      <c r="P3538" s="17">
        <v>2</v>
      </c>
      <c r="Q3538" s="19">
        <v>100</v>
      </c>
      <c r="R3538" s="14">
        <v>2250</v>
      </c>
      <c r="S3538" s="19">
        <v>225000</v>
      </c>
      <c r="T3538" s="17">
        <v>1</v>
      </c>
      <c r="U3538" s="17" t="s">
        <v>57</v>
      </c>
      <c r="V3538" s="17" t="s">
        <v>56</v>
      </c>
      <c r="W3538" s="4">
        <v>90</v>
      </c>
      <c r="Y3538" s="4">
        <v>90</v>
      </c>
      <c r="AB3538" s="17">
        <v>17</v>
      </c>
      <c r="AJ3538" s="19">
        <v>0</v>
      </c>
      <c r="AK3538" s="23">
        <v>17</v>
      </c>
      <c r="AM3538" s="19">
        <v>0</v>
      </c>
      <c r="AN3538" s="19">
        <v>225000</v>
      </c>
      <c r="AP3538" s="14">
        <v>225000</v>
      </c>
    </row>
    <row r="3539" spans="1:45" x14ac:dyDescent="0.2">
      <c r="A3539" s="121">
        <f t="shared" si="474"/>
        <v>3011</v>
      </c>
      <c r="B3539" s="13">
        <v>1</v>
      </c>
      <c r="C3539" s="17" t="s">
        <v>52</v>
      </c>
      <c r="D3539" s="17">
        <v>31961</v>
      </c>
      <c r="E3539" s="17">
        <v>252</v>
      </c>
      <c r="F3539" s="17">
        <v>6280</v>
      </c>
      <c r="G3539" s="13">
        <v>2</v>
      </c>
      <c r="H3539" s="17">
        <v>0</v>
      </c>
      <c r="I3539" s="17">
        <v>2</v>
      </c>
      <c r="J3539" s="17">
        <v>35.07</v>
      </c>
      <c r="K3539" s="10">
        <v>235.07</v>
      </c>
      <c r="P3539" s="17">
        <v>1</v>
      </c>
      <c r="Q3539" s="19">
        <v>235.07</v>
      </c>
      <c r="R3539" s="14">
        <v>200</v>
      </c>
      <c r="S3539" s="19">
        <v>47014</v>
      </c>
      <c r="AJ3539" s="19">
        <v>0</v>
      </c>
      <c r="AK3539" s="23">
        <v>0</v>
      </c>
      <c r="AM3539" s="19">
        <v>0</v>
      </c>
      <c r="AN3539" s="19">
        <v>47014</v>
      </c>
      <c r="AP3539" s="14">
        <v>47014</v>
      </c>
    </row>
    <row r="3540" spans="1:45" x14ac:dyDescent="0.2">
      <c r="A3540" s="121">
        <f t="shared" si="474"/>
        <v>3012</v>
      </c>
      <c r="B3540" s="13">
        <v>2</v>
      </c>
      <c r="C3540" s="17" t="s">
        <v>52</v>
      </c>
      <c r="D3540" s="17">
        <v>31962</v>
      </c>
      <c r="E3540" s="17">
        <v>253</v>
      </c>
      <c r="F3540" s="17">
        <v>6281</v>
      </c>
      <c r="G3540" s="13">
        <v>2</v>
      </c>
      <c r="H3540" s="17">
        <v>0</v>
      </c>
      <c r="I3540" s="17">
        <v>1</v>
      </c>
      <c r="J3540" s="17">
        <v>70.08</v>
      </c>
      <c r="K3540" s="10">
        <v>170.08</v>
      </c>
      <c r="P3540" s="17">
        <v>1</v>
      </c>
      <c r="Q3540" s="19">
        <v>170.07999999999998</v>
      </c>
      <c r="R3540" s="14">
        <v>200</v>
      </c>
      <c r="S3540" s="19">
        <v>34016</v>
      </c>
      <c r="AJ3540" s="19">
        <v>0</v>
      </c>
      <c r="AK3540" s="23">
        <v>0</v>
      </c>
      <c r="AM3540" s="19">
        <v>0</v>
      </c>
      <c r="AN3540" s="19">
        <v>34016</v>
      </c>
      <c r="AP3540" s="14">
        <v>34016</v>
      </c>
    </row>
    <row r="3541" spans="1:45" x14ac:dyDescent="0.2">
      <c r="A3541" s="121">
        <f t="shared" si="474"/>
        <v>3013</v>
      </c>
      <c r="B3541" s="13">
        <v>3</v>
      </c>
      <c r="C3541" s="17" t="s">
        <v>52</v>
      </c>
      <c r="D3541" s="17">
        <v>31963</v>
      </c>
      <c r="E3541" s="17">
        <v>254</v>
      </c>
      <c r="F3541" s="17">
        <v>6282</v>
      </c>
      <c r="G3541" s="13">
        <v>2</v>
      </c>
      <c r="H3541" s="17">
        <v>0</v>
      </c>
      <c r="I3541" s="17">
        <v>1</v>
      </c>
      <c r="J3541" s="17">
        <v>77.08</v>
      </c>
      <c r="K3541" s="10">
        <v>177.08</v>
      </c>
      <c r="P3541" s="17">
        <v>1</v>
      </c>
      <c r="Q3541" s="19">
        <v>177.07999999999998</v>
      </c>
      <c r="R3541" s="14">
        <v>200</v>
      </c>
      <c r="S3541" s="19">
        <v>35416</v>
      </c>
      <c r="AJ3541" s="19">
        <v>0</v>
      </c>
      <c r="AK3541" s="23">
        <v>0</v>
      </c>
      <c r="AM3541" s="19">
        <v>0</v>
      </c>
      <c r="AN3541" s="19">
        <v>35416</v>
      </c>
      <c r="AP3541" s="14">
        <v>35416</v>
      </c>
    </row>
    <row r="3542" spans="1:45" x14ac:dyDescent="0.2">
      <c r="A3542" s="121">
        <f t="shared" si="474"/>
        <v>3014</v>
      </c>
      <c r="B3542" s="13">
        <v>4</v>
      </c>
      <c r="C3542" s="17" t="s">
        <v>52</v>
      </c>
      <c r="D3542" s="17">
        <v>31964</v>
      </c>
      <c r="E3542" s="17">
        <v>255</v>
      </c>
      <c r="F3542" s="17">
        <v>6283</v>
      </c>
      <c r="G3542" s="13">
        <v>2</v>
      </c>
      <c r="H3542" s="17">
        <v>0</v>
      </c>
      <c r="I3542" s="17">
        <v>2</v>
      </c>
      <c r="J3542" s="17">
        <v>24.06</v>
      </c>
      <c r="K3542" s="10">
        <v>224.06</v>
      </c>
      <c r="P3542" s="17">
        <v>1</v>
      </c>
      <c r="Q3542" s="19">
        <v>224.06</v>
      </c>
      <c r="R3542" s="14">
        <v>200</v>
      </c>
      <c r="S3542" s="19">
        <v>44812</v>
      </c>
      <c r="AJ3542" s="19">
        <v>0</v>
      </c>
      <c r="AK3542" s="23">
        <v>0</v>
      </c>
      <c r="AM3542" s="19">
        <v>0</v>
      </c>
      <c r="AN3542" s="19">
        <v>44812</v>
      </c>
      <c r="AP3542" s="14">
        <v>44812</v>
      </c>
    </row>
    <row r="3543" spans="1:45" x14ac:dyDescent="0.2">
      <c r="A3543" s="121">
        <f t="shared" si="474"/>
        <v>3015</v>
      </c>
      <c r="B3543" s="13">
        <v>5</v>
      </c>
      <c r="C3543" s="17" t="s">
        <v>52</v>
      </c>
      <c r="D3543" s="17">
        <v>31965</v>
      </c>
      <c r="E3543" s="17">
        <v>256</v>
      </c>
      <c r="F3543" s="17">
        <v>6284</v>
      </c>
      <c r="G3543" s="13">
        <v>2</v>
      </c>
      <c r="H3543" s="17">
        <v>0</v>
      </c>
      <c r="I3543" s="17">
        <v>3</v>
      </c>
      <c r="J3543" s="17">
        <v>75.09</v>
      </c>
      <c r="K3543" s="10">
        <v>375.09</v>
      </c>
      <c r="P3543" s="17">
        <v>1</v>
      </c>
      <c r="Q3543" s="19">
        <v>375.09000000000003</v>
      </c>
      <c r="R3543" s="14">
        <v>200</v>
      </c>
      <c r="S3543" s="19">
        <v>75018</v>
      </c>
      <c r="AJ3543" s="19">
        <v>0</v>
      </c>
      <c r="AK3543" s="23">
        <v>0</v>
      </c>
      <c r="AM3543" s="19">
        <v>0</v>
      </c>
      <c r="AN3543" s="19">
        <v>75018</v>
      </c>
      <c r="AP3543" s="14">
        <v>75018</v>
      </c>
    </row>
    <row r="3544" spans="1:45" x14ac:dyDescent="0.2">
      <c r="A3544" s="121">
        <f t="shared" si="474"/>
        <v>3016</v>
      </c>
      <c r="B3544" s="13">
        <v>6</v>
      </c>
      <c r="C3544" s="17" t="s">
        <v>52</v>
      </c>
      <c r="D3544" s="17">
        <v>32368</v>
      </c>
      <c r="E3544" s="17">
        <v>143</v>
      </c>
      <c r="F3544" s="17">
        <v>5807</v>
      </c>
      <c r="G3544" s="13">
        <v>2</v>
      </c>
      <c r="H3544" s="17">
        <v>0</v>
      </c>
      <c r="I3544" s="17">
        <v>1</v>
      </c>
      <c r="J3544" s="17">
        <v>4</v>
      </c>
      <c r="N3544" s="18">
        <v>104</v>
      </c>
      <c r="P3544" s="17">
        <v>4</v>
      </c>
      <c r="Q3544" s="19">
        <v>104</v>
      </c>
      <c r="R3544" s="14">
        <v>200</v>
      </c>
      <c r="S3544" s="19">
        <v>20800</v>
      </c>
      <c r="AJ3544" s="19">
        <v>0</v>
      </c>
      <c r="AK3544" s="23">
        <v>0</v>
      </c>
      <c r="AM3544" s="19">
        <v>0</v>
      </c>
      <c r="AN3544" s="19">
        <v>20800</v>
      </c>
      <c r="AP3544" s="14">
        <v>20800</v>
      </c>
      <c r="AQ3544" s="12">
        <v>3.0000000000000001E-3</v>
      </c>
    </row>
    <row r="3545" spans="1:45" x14ac:dyDescent="0.2">
      <c r="A3545" s="121">
        <f t="shared" si="474"/>
        <v>3017</v>
      </c>
      <c r="B3545" s="13">
        <v>1</v>
      </c>
      <c r="C3545" s="17" t="s">
        <v>65</v>
      </c>
      <c r="D3545" s="17">
        <v>960</v>
      </c>
      <c r="E3545" s="17">
        <v>264</v>
      </c>
      <c r="H3545" s="17">
        <v>4</v>
      </c>
      <c r="I3545" s="17">
        <v>1</v>
      </c>
      <c r="J3545" s="17">
        <v>60</v>
      </c>
      <c r="K3545" s="10">
        <v>1760</v>
      </c>
      <c r="Q3545" s="19">
        <v>1760</v>
      </c>
      <c r="R3545" s="14">
        <v>200</v>
      </c>
      <c r="S3545" s="19">
        <v>352000</v>
      </c>
      <c r="AE3545" s="17" t="s">
        <v>94</v>
      </c>
      <c r="AJ3545" s="19">
        <v>0</v>
      </c>
      <c r="AK3545" s="23">
        <v>0</v>
      </c>
      <c r="AM3545" s="19">
        <v>0</v>
      </c>
      <c r="AN3545" s="19">
        <v>352000</v>
      </c>
      <c r="AP3545" s="14">
        <v>352000</v>
      </c>
      <c r="AQ3545" s="12">
        <v>1E-4</v>
      </c>
    </row>
    <row r="3546" spans="1:45" x14ac:dyDescent="0.2">
      <c r="A3546" s="121">
        <f t="shared" si="474"/>
        <v>3018</v>
      </c>
      <c r="B3546" s="13">
        <v>1</v>
      </c>
      <c r="C3546" s="17" t="s">
        <v>52</v>
      </c>
      <c r="D3546" s="17">
        <v>32070</v>
      </c>
      <c r="E3546" s="17">
        <v>154</v>
      </c>
      <c r="F3546" s="17">
        <v>6252</v>
      </c>
      <c r="G3546" s="13">
        <v>2</v>
      </c>
      <c r="H3546" s="17">
        <v>0</v>
      </c>
      <c r="I3546" s="17">
        <v>0</v>
      </c>
      <c r="J3546" s="17">
        <v>71</v>
      </c>
      <c r="N3546" s="18">
        <v>71</v>
      </c>
      <c r="P3546" s="17">
        <v>4</v>
      </c>
      <c r="Q3546" s="19">
        <v>71</v>
      </c>
      <c r="R3546" s="14">
        <v>3000</v>
      </c>
      <c r="S3546" s="19">
        <v>213000</v>
      </c>
      <c r="AJ3546" s="19">
        <v>0</v>
      </c>
      <c r="AK3546" s="23">
        <v>0</v>
      </c>
      <c r="AM3546" s="19">
        <v>0</v>
      </c>
      <c r="AN3546" s="19">
        <v>213000</v>
      </c>
      <c r="AP3546" s="14">
        <v>213000</v>
      </c>
      <c r="AQ3546" s="12">
        <v>3.0000000000000001E-3</v>
      </c>
    </row>
    <row r="3547" spans="1:45" ht="42" x14ac:dyDescent="0.2">
      <c r="A3547" s="121">
        <f t="shared" si="474"/>
        <v>3019</v>
      </c>
      <c r="B3547" s="13">
        <v>1</v>
      </c>
      <c r="C3547" s="17" t="s">
        <v>52</v>
      </c>
      <c r="D3547" s="17">
        <v>1546</v>
      </c>
      <c r="E3547" s="17">
        <v>34</v>
      </c>
      <c r="F3547" s="17">
        <v>462</v>
      </c>
      <c r="G3547" s="13">
        <v>2</v>
      </c>
      <c r="H3547" s="17">
        <v>0</v>
      </c>
      <c r="I3547" s="17">
        <v>0</v>
      </c>
      <c r="J3547" s="17">
        <v>92</v>
      </c>
      <c r="N3547" s="18">
        <v>92</v>
      </c>
      <c r="P3547" s="17">
        <v>4</v>
      </c>
      <c r="Q3547" s="19">
        <v>92</v>
      </c>
      <c r="R3547" s="14">
        <v>2250</v>
      </c>
      <c r="S3547" s="19">
        <v>207000</v>
      </c>
      <c r="AJ3547" s="19">
        <v>0</v>
      </c>
      <c r="AK3547" s="23">
        <v>0</v>
      </c>
      <c r="AM3547" s="19">
        <v>0</v>
      </c>
      <c r="AN3547" s="19">
        <v>207000</v>
      </c>
      <c r="AP3547" s="14">
        <v>207000</v>
      </c>
      <c r="AQ3547" s="12">
        <v>3.0000000000000001E-3</v>
      </c>
      <c r="AS3547" s="26" t="s">
        <v>302</v>
      </c>
    </row>
    <row r="3548" spans="1:45" x14ac:dyDescent="0.2">
      <c r="A3548" s="121">
        <f t="shared" si="474"/>
        <v>3020</v>
      </c>
      <c r="B3548" s="13">
        <v>1</v>
      </c>
      <c r="C3548" s="17" t="s">
        <v>52</v>
      </c>
      <c r="D3548" s="17">
        <v>1468</v>
      </c>
      <c r="E3548" s="17">
        <v>10</v>
      </c>
      <c r="F3548" s="17">
        <v>547</v>
      </c>
      <c r="G3548" s="13">
        <v>2</v>
      </c>
      <c r="H3548" s="17">
        <v>0</v>
      </c>
      <c r="I3548" s="17">
        <v>0</v>
      </c>
      <c r="J3548" s="17">
        <v>71</v>
      </c>
      <c r="N3548" s="18">
        <v>71</v>
      </c>
      <c r="P3548" s="17">
        <v>4</v>
      </c>
      <c r="Q3548" s="19">
        <v>71</v>
      </c>
      <c r="R3548" s="14">
        <v>3000</v>
      </c>
      <c r="S3548" s="19">
        <v>213000</v>
      </c>
      <c r="AJ3548" s="19">
        <v>0</v>
      </c>
      <c r="AK3548" s="23">
        <v>0</v>
      </c>
      <c r="AM3548" s="19">
        <v>0</v>
      </c>
      <c r="AN3548" s="19">
        <v>213000</v>
      </c>
      <c r="AP3548" s="14">
        <v>213000</v>
      </c>
      <c r="AQ3548" s="12">
        <v>3.0000000000000001E-3</v>
      </c>
      <c r="AS3548" s="26">
        <v>41</v>
      </c>
    </row>
    <row r="3549" spans="1:45" x14ac:dyDescent="0.2">
      <c r="A3549" s="121">
        <f t="shared" si="474"/>
        <v>3021</v>
      </c>
      <c r="B3549" s="13">
        <v>2</v>
      </c>
      <c r="C3549" s="17" t="s">
        <v>52</v>
      </c>
      <c r="D3549" s="17">
        <v>1489</v>
      </c>
      <c r="E3549" s="17">
        <v>48</v>
      </c>
      <c r="F3549" s="17">
        <v>553</v>
      </c>
      <c r="G3549" s="13">
        <v>2</v>
      </c>
      <c r="H3549" s="17">
        <v>2</v>
      </c>
      <c r="I3549" s="17">
        <v>1</v>
      </c>
      <c r="J3549" s="17">
        <v>75</v>
      </c>
      <c r="K3549" s="10">
        <v>975</v>
      </c>
      <c r="P3549" s="17">
        <v>1</v>
      </c>
      <c r="Q3549" s="19">
        <v>975</v>
      </c>
      <c r="R3549" s="14">
        <v>200</v>
      </c>
      <c r="S3549" s="19">
        <v>195000</v>
      </c>
      <c r="AJ3549" s="19">
        <v>0</v>
      </c>
      <c r="AK3549" s="23">
        <v>0</v>
      </c>
      <c r="AM3549" s="19">
        <v>0</v>
      </c>
      <c r="AN3549" s="19">
        <v>195000</v>
      </c>
      <c r="AP3549" s="14">
        <v>195000</v>
      </c>
    </row>
    <row r="3550" spans="1:45" x14ac:dyDescent="0.2">
      <c r="A3550" s="121">
        <f t="shared" si="474"/>
        <v>3022</v>
      </c>
      <c r="B3550" s="13">
        <v>3</v>
      </c>
      <c r="C3550" s="17" t="s">
        <v>52</v>
      </c>
      <c r="D3550" s="17">
        <v>1800</v>
      </c>
      <c r="E3550" s="17">
        <v>10</v>
      </c>
      <c r="F3550" s="17">
        <v>1184</v>
      </c>
      <c r="G3550" s="13">
        <v>2</v>
      </c>
      <c r="H3550" s="17">
        <v>2</v>
      </c>
      <c r="I3550" s="17">
        <v>3</v>
      </c>
      <c r="J3550" s="17">
        <v>55</v>
      </c>
      <c r="K3550" s="10">
        <v>1155</v>
      </c>
      <c r="P3550" s="17">
        <v>1</v>
      </c>
      <c r="Q3550" s="19">
        <v>1155</v>
      </c>
      <c r="R3550" s="14">
        <v>160</v>
      </c>
      <c r="S3550" s="19">
        <v>184800</v>
      </c>
      <c r="AJ3550" s="19">
        <v>0</v>
      </c>
      <c r="AK3550" s="23">
        <v>0</v>
      </c>
      <c r="AM3550" s="19">
        <v>0</v>
      </c>
      <c r="AN3550" s="19">
        <v>184800</v>
      </c>
      <c r="AP3550" s="14">
        <v>184800</v>
      </c>
    </row>
    <row r="3551" spans="1:45" x14ac:dyDescent="0.2">
      <c r="A3551" s="121">
        <f t="shared" si="474"/>
        <v>3023</v>
      </c>
      <c r="B3551" s="13">
        <v>4</v>
      </c>
      <c r="C3551" s="17" t="s">
        <v>52</v>
      </c>
      <c r="D3551" s="17">
        <v>30225</v>
      </c>
      <c r="E3551" s="17">
        <v>48</v>
      </c>
      <c r="F3551" s="17">
        <v>5481</v>
      </c>
      <c r="G3551" s="13">
        <v>2</v>
      </c>
      <c r="H3551" s="17">
        <v>2</v>
      </c>
      <c r="I3551" s="17">
        <v>2</v>
      </c>
      <c r="J3551" s="17">
        <v>76</v>
      </c>
      <c r="K3551" s="10">
        <v>1076</v>
      </c>
      <c r="P3551" s="17">
        <v>1</v>
      </c>
      <c r="Q3551" s="19">
        <v>1076</v>
      </c>
      <c r="R3551" s="14">
        <v>160</v>
      </c>
      <c r="S3551" s="19">
        <v>172160</v>
      </c>
      <c r="AJ3551" s="19">
        <v>0</v>
      </c>
      <c r="AK3551" s="23">
        <v>0</v>
      </c>
      <c r="AM3551" s="19">
        <v>0</v>
      </c>
      <c r="AN3551" s="19">
        <v>172160</v>
      </c>
      <c r="AP3551" s="14">
        <v>172160</v>
      </c>
    </row>
    <row r="3552" spans="1:45" x14ac:dyDescent="0.2">
      <c r="A3552" s="121">
        <f t="shared" si="474"/>
        <v>3024</v>
      </c>
      <c r="B3552" s="13">
        <v>5</v>
      </c>
      <c r="C3552" s="17" t="s">
        <v>52</v>
      </c>
      <c r="D3552" s="17">
        <v>30226</v>
      </c>
      <c r="E3552" s="17">
        <v>49</v>
      </c>
      <c r="F3552" s="17">
        <v>5482</v>
      </c>
      <c r="G3552" s="13">
        <v>2</v>
      </c>
      <c r="H3552" s="17">
        <v>2</v>
      </c>
      <c r="I3552" s="17">
        <v>3</v>
      </c>
      <c r="J3552" s="17">
        <v>2</v>
      </c>
      <c r="K3552" s="10">
        <v>1102</v>
      </c>
      <c r="P3552" s="17">
        <v>1</v>
      </c>
      <c r="Q3552" s="19">
        <v>1102</v>
      </c>
      <c r="R3552" s="14">
        <v>160</v>
      </c>
      <c r="S3552" s="19">
        <v>176320</v>
      </c>
      <c r="AJ3552" s="19">
        <v>0</v>
      </c>
      <c r="AK3552" s="23">
        <v>0</v>
      </c>
      <c r="AM3552" s="19">
        <v>0</v>
      </c>
      <c r="AN3552" s="19">
        <v>176320</v>
      </c>
      <c r="AP3552" s="14">
        <v>176320</v>
      </c>
    </row>
    <row r="3553" spans="1:45" x14ac:dyDescent="0.2">
      <c r="A3553" s="121">
        <f t="shared" si="474"/>
        <v>3025</v>
      </c>
      <c r="B3553" s="13">
        <v>6</v>
      </c>
      <c r="C3553" s="17" t="s">
        <v>52</v>
      </c>
      <c r="D3553" s="17">
        <v>30227</v>
      </c>
      <c r="E3553" s="17">
        <v>50</v>
      </c>
      <c r="F3553" s="17">
        <v>5483</v>
      </c>
      <c r="G3553" s="13">
        <v>2</v>
      </c>
      <c r="H3553" s="17">
        <v>2</v>
      </c>
      <c r="I3553" s="17">
        <v>3</v>
      </c>
      <c r="J3553" s="17">
        <v>29</v>
      </c>
      <c r="K3553" s="10">
        <v>1129</v>
      </c>
      <c r="P3553" s="17">
        <v>1</v>
      </c>
      <c r="Q3553" s="19">
        <v>1129</v>
      </c>
      <c r="R3553" s="14">
        <v>160</v>
      </c>
      <c r="S3553" s="19">
        <v>180640</v>
      </c>
      <c r="AJ3553" s="19">
        <v>0</v>
      </c>
      <c r="AK3553" s="23">
        <v>0</v>
      </c>
      <c r="AM3553" s="19">
        <v>0</v>
      </c>
      <c r="AN3553" s="19">
        <v>180640</v>
      </c>
      <c r="AP3553" s="14">
        <v>180640</v>
      </c>
    </row>
    <row r="3554" spans="1:45" x14ac:dyDescent="0.2">
      <c r="A3554" s="121">
        <f t="shared" si="474"/>
        <v>3026</v>
      </c>
      <c r="B3554" s="13">
        <v>1</v>
      </c>
      <c r="C3554" s="17" t="s">
        <v>52</v>
      </c>
      <c r="D3554" s="17">
        <v>32367</v>
      </c>
      <c r="E3554" s="17">
        <v>142</v>
      </c>
      <c r="F3554" s="17">
        <v>5806</v>
      </c>
      <c r="G3554" s="13">
        <v>2</v>
      </c>
      <c r="H3554" s="17">
        <v>0</v>
      </c>
      <c r="I3554" s="17">
        <v>0</v>
      </c>
      <c r="J3554" s="17">
        <v>80</v>
      </c>
      <c r="N3554" s="18">
        <v>80</v>
      </c>
      <c r="P3554" s="17">
        <v>4</v>
      </c>
      <c r="Q3554" s="19">
        <v>80</v>
      </c>
      <c r="R3554" s="14">
        <v>200</v>
      </c>
      <c r="S3554" s="19">
        <v>16000</v>
      </c>
      <c r="AJ3554" s="19">
        <v>0</v>
      </c>
      <c r="AK3554" s="23">
        <v>0</v>
      </c>
      <c r="AM3554" s="19">
        <v>0</v>
      </c>
      <c r="AN3554" s="19">
        <v>16000</v>
      </c>
      <c r="AP3554" s="14">
        <v>16000</v>
      </c>
      <c r="AQ3554" s="12">
        <v>3.0000000000000001E-3</v>
      </c>
    </row>
    <row r="3555" spans="1:45" x14ac:dyDescent="0.2">
      <c r="A3555" s="121">
        <f t="shared" si="474"/>
        <v>3027</v>
      </c>
      <c r="B3555" s="13">
        <v>1</v>
      </c>
      <c r="C3555" s="17" t="s">
        <v>52</v>
      </c>
      <c r="D3555" s="17">
        <v>32370</v>
      </c>
      <c r="E3555" s="17">
        <v>145</v>
      </c>
      <c r="F3555" s="17">
        <v>5809</v>
      </c>
      <c r="G3555" s="13">
        <v>2</v>
      </c>
      <c r="H3555" s="17">
        <v>0</v>
      </c>
      <c r="I3555" s="17">
        <v>0</v>
      </c>
      <c r="J3555" s="17">
        <v>88</v>
      </c>
      <c r="N3555" s="18">
        <v>88</v>
      </c>
      <c r="P3555" s="17">
        <v>4</v>
      </c>
      <c r="Q3555" s="19">
        <v>88</v>
      </c>
      <c r="R3555" s="14">
        <v>200</v>
      </c>
      <c r="S3555" s="19">
        <v>17600</v>
      </c>
      <c r="AJ3555" s="19">
        <v>0</v>
      </c>
      <c r="AK3555" s="23">
        <v>0</v>
      </c>
      <c r="AM3555" s="19">
        <v>0</v>
      </c>
      <c r="AN3555" s="19">
        <v>17600</v>
      </c>
      <c r="AP3555" s="14">
        <v>17600</v>
      </c>
      <c r="AQ3555" s="12">
        <v>3.0000000000000001E-3</v>
      </c>
    </row>
    <row r="3556" spans="1:45" x14ac:dyDescent="0.2">
      <c r="A3556" s="121">
        <f t="shared" si="474"/>
        <v>3028</v>
      </c>
      <c r="B3556" s="13">
        <v>1</v>
      </c>
      <c r="C3556" s="17" t="s">
        <v>52</v>
      </c>
      <c r="D3556" s="17">
        <v>32074</v>
      </c>
      <c r="E3556" s="17">
        <v>151</v>
      </c>
      <c r="F3556" s="17">
        <v>6249</v>
      </c>
      <c r="G3556" s="13">
        <v>2</v>
      </c>
      <c r="H3556" s="17">
        <v>2</v>
      </c>
      <c r="I3556" s="17">
        <v>1</v>
      </c>
      <c r="J3556" s="17">
        <v>76</v>
      </c>
      <c r="K3556" s="10">
        <v>976</v>
      </c>
      <c r="P3556" s="17">
        <v>1</v>
      </c>
      <c r="Q3556" s="19">
        <v>976</v>
      </c>
      <c r="R3556" s="14">
        <v>160</v>
      </c>
      <c r="S3556" s="19">
        <v>156160</v>
      </c>
      <c r="AJ3556" s="19">
        <v>0</v>
      </c>
      <c r="AK3556" s="23">
        <v>0</v>
      </c>
      <c r="AM3556" s="19">
        <v>0</v>
      </c>
      <c r="AN3556" s="19">
        <v>156160</v>
      </c>
      <c r="AP3556" s="14">
        <v>156160</v>
      </c>
    </row>
    <row r="3557" spans="1:45" x14ac:dyDescent="0.2">
      <c r="A3557" s="121">
        <f t="shared" si="474"/>
        <v>3029</v>
      </c>
      <c r="B3557" s="13">
        <v>1</v>
      </c>
      <c r="C3557" s="17" t="s">
        <v>52</v>
      </c>
      <c r="D3557" s="17">
        <v>32075</v>
      </c>
      <c r="E3557" s="17">
        <v>152</v>
      </c>
      <c r="F3557" s="17">
        <v>6250</v>
      </c>
      <c r="G3557" s="13">
        <v>2</v>
      </c>
      <c r="H3557" s="17">
        <v>2</v>
      </c>
      <c r="I3557" s="17">
        <v>1</v>
      </c>
      <c r="J3557" s="17">
        <v>75</v>
      </c>
      <c r="K3557" s="10">
        <v>975</v>
      </c>
      <c r="P3557" s="17">
        <v>1</v>
      </c>
      <c r="Q3557" s="19">
        <v>975</v>
      </c>
      <c r="R3557" s="14">
        <v>160</v>
      </c>
      <c r="S3557" s="19">
        <v>156000</v>
      </c>
      <c r="AJ3557" s="19">
        <v>0</v>
      </c>
      <c r="AK3557" s="23">
        <v>0</v>
      </c>
      <c r="AM3557" s="19">
        <v>0</v>
      </c>
      <c r="AN3557" s="19">
        <v>156000</v>
      </c>
      <c r="AP3557" s="14">
        <v>156000</v>
      </c>
      <c r="AS3557" s="26">
        <v>7</v>
      </c>
    </row>
    <row r="3558" spans="1:45" ht="63" x14ac:dyDescent="0.2">
      <c r="A3558" s="121">
        <f t="shared" si="474"/>
        <v>3030</v>
      </c>
      <c r="B3558" s="13">
        <v>2</v>
      </c>
      <c r="C3558" s="17" t="s">
        <v>52</v>
      </c>
      <c r="D3558" s="17">
        <v>32366</v>
      </c>
      <c r="E3558" s="17">
        <v>141</v>
      </c>
      <c r="F3558" s="17">
        <v>5805</v>
      </c>
      <c r="G3558" s="13">
        <v>2</v>
      </c>
      <c r="H3558" s="17">
        <v>0</v>
      </c>
      <c r="I3558" s="17">
        <v>2</v>
      </c>
      <c r="J3558" s="17">
        <v>10</v>
      </c>
      <c r="L3558" s="17">
        <v>210</v>
      </c>
      <c r="P3558" s="17">
        <v>2</v>
      </c>
      <c r="Q3558" s="19">
        <v>210</v>
      </c>
      <c r="R3558" s="14">
        <v>3000</v>
      </c>
      <c r="S3558" s="19">
        <v>630000</v>
      </c>
      <c r="T3558" s="17">
        <v>1</v>
      </c>
      <c r="U3558" s="17" t="s">
        <v>57</v>
      </c>
      <c r="V3558" s="17" t="s">
        <v>56</v>
      </c>
      <c r="W3558" s="4">
        <v>80.5</v>
      </c>
      <c r="Y3558" s="4">
        <v>80.5</v>
      </c>
      <c r="AA3558" s="17">
        <v>14</v>
      </c>
      <c r="AJ3558" s="19">
        <v>0</v>
      </c>
      <c r="AK3558" s="23">
        <v>0</v>
      </c>
      <c r="AM3558" s="19">
        <v>0</v>
      </c>
      <c r="AN3558" s="19">
        <v>630000</v>
      </c>
      <c r="AP3558" s="14">
        <v>630000</v>
      </c>
    </row>
    <row r="3559" spans="1:45" x14ac:dyDescent="0.2">
      <c r="A3559" s="121">
        <f t="shared" si="474"/>
        <v>3031</v>
      </c>
      <c r="B3559" s="13">
        <v>1</v>
      </c>
      <c r="C3559" s="17" t="s">
        <v>52</v>
      </c>
      <c r="D3559" s="17">
        <v>31967</v>
      </c>
      <c r="E3559" s="17">
        <v>138</v>
      </c>
      <c r="F3559" s="17">
        <v>6286</v>
      </c>
      <c r="G3559" s="13">
        <v>1</v>
      </c>
      <c r="H3559" s="17">
        <v>0</v>
      </c>
      <c r="I3559" s="17">
        <v>2</v>
      </c>
      <c r="J3559" s="17">
        <v>2.06</v>
      </c>
      <c r="K3559" s="10">
        <v>202.06</v>
      </c>
      <c r="P3559" s="17">
        <v>1</v>
      </c>
      <c r="Q3559" s="19">
        <v>202.06</v>
      </c>
      <c r="R3559" s="14">
        <v>200</v>
      </c>
      <c r="S3559" s="19">
        <v>40412</v>
      </c>
      <c r="AJ3559" s="19">
        <v>0</v>
      </c>
      <c r="AK3559" s="23">
        <v>0</v>
      </c>
      <c r="AM3559" s="19">
        <v>0</v>
      </c>
      <c r="AN3559" s="19">
        <v>40412</v>
      </c>
      <c r="AP3559" s="14">
        <v>40412</v>
      </c>
    </row>
    <row r="3560" spans="1:45" x14ac:dyDescent="0.2">
      <c r="A3560" s="121">
        <f t="shared" si="474"/>
        <v>3032</v>
      </c>
      <c r="B3560" s="13">
        <v>2</v>
      </c>
      <c r="C3560" s="17" t="s">
        <v>52</v>
      </c>
      <c r="D3560" s="17">
        <v>28203</v>
      </c>
      <c r="E3560" s="17">
        <v>75</v>
      </c>
      <c r="F3560" s="17">
        <v>5289</v>
      </c>
      <c r="G3560" s="13">
        <v>2</v>
      </c>
      <c r="H3560" s="17">
        <v>0</v>
      </c>
      <c r="I3560" s="17">
        <v>3</v>
      </c>
      <c r="J3560" s="17">
        <v>25</v>
      </c>
      <c r="K3560" s="10">
        <v>325</v>
      </c>
      <c r="P3560" s="17">
        <v>1</v>
      </c>
      <c r="Q3560" s="19">
        <v>325</v>
      </c>
      <c r="R3560" s="14">
        <v>200</v>
      </c>
      <c r="S3560" s="19">
        <v>65000</v>
      </c>
      <c r="AJ3560" s="19">
        <v>0</v>
      </c>
      <c r="AK3560" s="23">
        <v>0</v>
      </c>
      <c r="AM3560" s="19">
        <v>0</v>
      </c>
      <c r="AN3560" s="19">
        <v>65000</v>
      </c>
      <c r="AP3560" s="14">
        <v>65000</v>
      </c>
    </row>
    <row r="3561" spans="1:45" ht="63" x14ac:dyDescent="0.2">
      <c r="A3561" s="121">
        <f>+A3560+1</f>
        <v>3033</v>
      </c>
      <c r="B3561" s="13">
        <v>3</v>
      </c>
      <c r="C3561" s="17" t="s">
        <v>52</v>
      </c>
      <c r="D3561" s="17">
        <v>32069</v>
      </c>
      <c r="E3561" s="17">
        <v>153</v>
      </c>
      <c r="F3561" s="17">
        <v>6251</v>
      </c>
      <c r="G3561" s="13">
        <v>2</v>
      </c>
      <c r="H3561" s="17">
        <v>0</v>
      </c>
      <c r="I3561" s="17">
        <v>0</v>
      </c>
      <c r="J3561" s="17">
        <v>93</v>
      </c>
      <c r="L3561" s="17">
        <v>93</v>
      </c>
      <c r="P3561" s="17">
        <v>2</v>
      </c>
      <c r="Q3561" s="19">
        <v>93</v>
      </c>
      <c r="R3561" s="14">
        <v>200</v>
      </c>
      <c r="S3561" s="19">
        <v>18600</v>
      </c>
      <c r="T3561" s="17">
        <v>1</v>
      </c>
      <c r="U3561" s="17" t="s">
        <v>57</v>
      </c>
      <c r="V3561" s="17" t="s">
        <v>56</v>
      </c>
      <c r="W3561" s="4">
        <v>96</v>
      </c>
      <c r="Y3561" s="4">
        <v>96</v>
      </c>
      <c r="AB3561" s="17">
        <v>21</v>
      </c>
      <c r="AJ3561" s="19">
        <v>0</v>
      </c>
      <c r="AK3561" s="23">
        <v>21</v>
      </c>
      <c r="AM3561" s="19">
        <v>0</v>
      </c>
      <c r="AN3561" s="19">
        <v>18600</v>
      </c>
      <c r="AP3561" s="14">
        <v>18600</v>
      </c>
    </row>
    <row r="3562" spans="1:45" x14ac:dyDescent="0.2">
      <c r="A3562" s="121">
        <f t="shared" si="474"/>
        <v>3034</v>
      </c>
      <c r="B3562" s="13">
        <v>4</v>
      </c>
      <c r="C3562" s="17" t="s">
        <v>52</v>
      </c>
      <c r="D3562" s="17">
        <v>32073</v>
      </c>
      <c r="E3562" s="17">
        <v>150</v>
      </c>
      <c r="F3562" s="17">
        <v>6248</v>
      </c>
      <c r="G3562" s="13">
        <v>2</v>
      </c>
      <c r="H3562" s="17">
        <v>2</v>
      </c>
      <c r="I3562" s="17">
        <v>1</v>
      </c>
      <c r="J3562" s="17">
        <v>74</v>
      </c>
      <c r="K3562" s="10">
        <v>974</v>
      </c>
      <c r="P3562" s="17">
        <v>1</v>
      </c>
      <c r="Q3562" s="19">
        <v>974</v>
      </c>
      <c r="R3562" s="14">
        <v>160</v>
      </c>
      <c r="S3562" s="19">
        <v>155840</v>
      </c>
      <c r="AJ3562" s="19">
        <v>0</v>
      </c>
      <c r="AK3562" s="23">
        <v>0</v>
      </c>
      <c r="AM3562" s="19">
        <v>0</v>
      </c>
      <c r="AN3562" s="19">
        <v>155840</v>
      </c>
      <c r="AP3562" s="14">
        <v>155840</v>
      </c>
    </row>
    <row r="3563" spans="1:45" x14ac:dyDescent="0.2">
      <c r="A3563" s="121">
        <f t="shared" si="474"/>
        <v>3035</v>
      </c>
      <c r="B3563" s="13">
        <v>1</v>
      </c>
      <c r="C3563" s="17" t="s">
        <v>52</v>
      </c>
      <c r="D3563" s="17">
        <v>1547</v>
      </c>
      <c r="E3563" s="17">
        <v>59</v>
      </c>
      <c r="F3563" s="17">
        <v>465</v>
      </c>
      <c r="G3563" s="13">
        <v>2</v>
      </c>
      <c r="H3563" s="17">
        <v>8</v>
      </c>
      <c r="I3563" s="17">
        <v>1</v>
      </c>
      <c r="J3563" s="17">
        <v>5</v>
      </c>
      <c r="K3563" s="10">
        <v>3305</v>
      </c>
      <c r="P3563" s="17">
        <v>1</v>
      </c>
      <c r="Q3563" s="19">
        <v>3305</v>
      </c>
      <c r="R3563" s="14">
        <v>160</v>
      </c>
      <c r="S3563" s="19">
        <v>528800</v>
      </c>
      <c r="AJ3563" s="19">
        <v>0</v>
      </c>
      <c r="AK3563" s="23">
        <v>0</v>
      </c>
      <c r="AM3563" s="19">
        <v>0</v>
      </c>
      <c r="AN3563" s="19">
        <v>528800</v>
      </c>
      <c r="AP3563" s="14">
        <v>528800</v>
      </c>
    </row>
    <row r="3564" spans="1:45" x14ac:dyDescent="0.2">
      <c r="A3564" s="121">
        <f t="shared" si="474"/>
        <v>3036</v>
      </c>
      <c r="B3564" s="13">
        <v>2</v>
      </c>
      <c r="C3564" s="17" t="s">
        <v>52</v>
      </c>
      <c r="D3564" s="17">
        <v>1548</v>
      </c>
      <c r="E3564" s="17">
        <v>61</v>
      </c>
      <c r="F3564" s="17">
        <v>466</v>
      </c>
      <c r="G3564" s="13">
        <v>2</v>
      </c>
      <c r="H3564" s="17">
        <v>6</v>
      </c>
      <c r="I3564" s="17">
        <v>2</v>
      </c>
      <c r="J3564" s="17">
        <v>69</v>
      </c>
      <c r="K3564" s="10">
        <v>2669</v>
      </c>
      <c r="P3564" s="17">
        <v>1</v>
      </c>
      <c r="Q3564" s="19">
        <v>2669</v>
      </c>
      <c r="R3564" s="14">
        <v>200</v>
      </c>
      <c r="S3564" s="19">
        <v>533800</v>
      </c>
      <c r="AJ3564" s="19">
        <v>0</v>
      </c>
      <c r="AK3564" s="23">
        <v>0</v>
      </c>
      <c r="AM3564" s="19">
        <v>0</v>
      </c>
      <c r="AN3564" s="19">
        <v>533800</v>
      </c>
      <c r="AP3564" s="14">
        <v>533800</v>
      </c>
    </row>
    <row r="3565" spans="1:45" ht="63" x14ac:dyDescent="0.2">
      <c r="A3565" s="121">
        <f t="shared" si="474"/>
        <v>3037</v>
      </c>
      <c r="B3565" s="13">
        <v>3</v>
      </c>
      <c r="C3565" s="17" t="s">
        <v>52</v>
      </c>
      <c r="D3565" s="17">
        <v>1943</v>
      </c>
      <c r="E3565" s="17">
        <v>59</v>
      </c>
      <c r="F3565" s="17">
        <v>1339</v>
      </c>
      <c r="G3565" s="13">
        <v>2</v>
      </c>
      <c r="H3565" s="17">
        <v>1</v>
      </c>
      <c r="I3565" s="17">
        <v>1</v>
      </c>
      <c r="J3565" s="17">
        <v>2</v>
      </c>
      <c r="K3565" s="10">
        <v>465.87</v>
      </c>
      <c r="L3565" s="17">
        <v>36.130000000000003</v>
      </c>
      <c r="P3565" s="17">
        <v>5</v>
      </c>
      <c r="Q3565" s="19">
        <v>502</v>
      </c>
      <c r="R3565" s="14">
        <v>2250</v>
      </c>
      <c r="S3565" s="19">
        <v>1129500</v>
      </c>
      <c r="T3565" s="17">
        <v>1</v>
      </c>
      <c r="U3565" s="17" t="s">
        <v>57</v>
      </c>
      <c r="V3565" s="17" t="s">
        <v>56</v>
      </c>
      <c r="W3565" s="4">
        <v>144.5</v>
      </c>
      <c r="Y3565" s="4">
        <v>144.5</v>
      </c>
      <c r="AB3565" s="17">
        <v>29</v>
      </c>
      <c r="AJ3565" s="19">
        <v>0</v>
      </c>
      <c r="AK3565" s="23">
        <v>29</v>
      </c>
      <c r="AM3565" s="19">
        <v>0</v>
      </c>
      <c r="AN3565" s="19">
        <v>1129500</v>
      </c>
      <c r="AP3565" s="14">
        <v>1129500</v>
      </c>
    </row>
    <row r="3566" spans="1:45" x14ac:dyDescent="0.2">
      <c r="A3566" s="121">
        <f t="shared" si="474"/>
        <v>3038</v>
      </c>
      <c r="B3566" s="13">
        <v>4</v>
      </c>
      <c r="C3566" s="17" t="s">
        <v>65</v>
      </c>
      <c r="D3566" s="17">
        <v>827</v>
      </c>
      <c r="E3566" s="17">
        <v>92</v>
      </c>
      <c r="H3566" s="17">
        <v>6</v>
      </c>
      <c r="I3566" s="17">
        <v>1</v>
      </c>
      <c r="J3566" s="17">
        <v>0</v>
      </c>
      <c r="K3566" s="10">
        <v>2500</v>
      </c>
      <c r="Q3566" s="19">
        <v>2500</v>
      </c>
      <c r="R3566" s="14">
        <v>160</v>
      </c>
      <c r="S3566" s="19">
        <v>400000</v>
      </c>
      <c r="AE3566" s="17" t="s">
        <v>94</v>
      </c>
      <c r="AJ3566" s="19">
        <v>0</v>
      </c>
      <c r="AK3566" s="23">
        <v>0</v>
      </c>
      <c r="AM3566" s="19">
        <v>0</v>
      </c>
      <c r="AN3566" s="19">
        <v>400000</v>
      </c>
      <c r="AP3566" s="14">
        <v>400000</v>
      </c>
      <c r="AQ3566" s="12">
        <v>1E-4</v>
      </c>
    </row>
    <row r="3567" spans="1:45" x14ac:dyDescent="0.2">
      <c r="A3567" s="121">
        <f t="shared" si="474"/>
        <v>3039</v>
      </c>
      <c r="B3567" s="13">
        <v>1</v>
      </c>
      <c r="C3567" s="17" t="s">
        <v>52</v>
      </c>
      <c r="D3567" s="17">
        <v>1458</v>
      </c>
      <c r="E3567" s="17">
        <v>62</v>
      </c>
      <c r="F3567" s="17">
        <v>463</v>
      </c>
      <c r="G3567" s="13">
        <v>2</v>
      </c>
      <c r="H3567" s="17">
        <v>12</v>
      </c>
      <c r="I3567" s="17">
        <v>2</v>
      </c>
      <c r="J3567" s="17">
        <v>73</v>
      </c>
      <c r="K3567" s="10">
        <v>5073</v>
      </c>
      <c r="P3567" s="17">
        <v>1</v>
      </c>
      <c r="Q3567" s="19">
        <v>5073</v>
      </c>
      <c r="R3567" s="14">
        <v>200</v>
      </c>
      <c r="S3567" s="19">
        <v>1014600</v>
      </c>
      <c r="AJ3567" s="19">
        <v>0</v>
      </c>
      <c r="AK3567" s="23">
        <v>0</v>
      </c>
      <c r="AM3567" s="19">
        <v>0</v>
      </c>
      <c r="AN3567" s="19">
        <v>1014600</v>
      </c>
      <c r="AP3567" s="14">
        <v>1014600</v>
      </c>
      <c r="AS3567" s="26">
        <v>76</v>
      </c>
    </row>
    <row r="3568" spans="1:45" ht="63" x14ac:dyDescent="0.2">
      <c r="A3568" s="121">
        <f t="shared" si="474"/>
        <v>3040</v>
      </c>
      <c r="B3568" s="13">
        <v>2</v>
      </c>
      <c r="C3568" s="17" t="s">
        <v>52</v>
      </c>
      <c r="D3568" s="17">
        <v>1942</v>
      </c>
      <c r="E3568" s="17">
        <v>58</v>
      </c>
      <c r="F3568" s="17">
        <v>1338</v>
      </c>
      <c r="G3568" s="13">
        <v>2</v>
      </c>
      <c r="H3568" s="17">
        <v>0</v>
      </c>
      <c r="I3568" s="17">
        <v>3</v>
      </c>
      <c r="J3568" s="17">
        <v>40</v>
      </c>
      <c r="L3568" s="17">
        <v>340</v>
      </c>
      <c r="P3568" s="17">
        <v>2</v>
      </c>
      <c r="Q3568" s="19">
        <v>340</v>
      </c>
      <c r="R3568" s="14">
        <v>2250</v>
      </c>
      <c r="S3568" s="19">
        <v>765000</v>
      </c>
      <c r="T3568" s="17">
        <v>1</v>
      </c>
      <c r="U3568" s="17" t="s">
        <v>57</v>
      </c>
      <c r="V3568" s="17" t="s">
        <v>56</v>
      </c>
      <c r="W3568" s="4">
        <v>90</v>
      </c>
      <c r="Y3568" s="4">
        <v>90</v>
      </c>
      <c r="AB3568" s="17">
        <v>30</v>
      </c>
      <c r="AJ3568" s="19">
        <v>0</v>
      </c>
      <c r="AK3568" s="23">
        <v>30</v>
      </c>
      <c r="AM3568" s="19">
        <v>0</v>
      </c>
      <c r="AN3568" s="19">
        <v>765000</v>
      </c>
      <c r="AP3568" s="14">
        <v>765000</v>
      </c>
    </row>
    <row r="3569" spans="1:49" ht="63" x14ac:dyDescent="0.2">
      <c r="A3569" s="121">
        <f t="shared" si="474"/>
        <v>3041</v>
      </c>
      <c r="B3569" s="13">
        <v>1</v>
      </c>
      <c r="C3569" s="17" t="s">
        <v>52</v>
      </c>
      <c r="D3569" s="17">
        <v>28306</v>
      </c>
      <c r="E3569" s="17">
        <v>130</v>
      </c>
      <c r="F3569" s="17">
        <v>5329</v>
      </c>
      <c r="G3569" s="13">
        <v>2</v>
      </c>
      <c r="H3569" s="17">
        <v>0</v>
      </c>
      <c r="I3569" s="17">
        <v>1</v>
      </c>
      <c r="J3569" s="17">
        <v>75</v>
      </c>
      <c r="L3569" s="17">
        <v>175</v>
      </c>
      <c r="P3569" s="17">
        <v>2</v>
      </c>
      <c r="Q3569" s="19">
        <v>175</v>
      </c>
      <c r="R3569" s="14">
        <v>2250</v>
      </c>
      <c r="S3569" s="19">
        <v>393750</v>
      </c>
      <c r="T3569" s="17">
        <v>1</v>
      </c>
      <c r="U3569" s="17" t="s">
        <v>57</v>
      </c>
      <c r="V3569" s="17" t="s">
        <v>56</v>
      </c>
      <c r="W3569" s="4">
        <v>72</v>
      </c>
      <c r="Y3569" s="4">
        <v>72</v>
      </c>
      <c r="AB3569" s="17">
        <v>26</v>
      </c>
      <c r="AJ3569" s="19">
        <v>0</v>
      </c>
      <c r="AK3569" s="23">
        <v>26</v>
      </c>
      <c r="AM3569" s="19">
        <v>0</v>
      </c>
      <c r="AN3569" s="19">
        <v>393750</v>
      </c>
      <c r="AP3569" s="14">
        <v>393750</v>
      </c>
    </row>
    <row r="3570" spans="1:49" x14ac:dyDescent="0.2">
      <c r="A3570" s="121">
        <f t="shared" si="474"/>
        <v>3042</v>
      </c>
      <c r="B3570" s="13">
        <v>1</v>
      </c>
      <c r="C3570" s="17" t="s">
        <v>52</v>
      </c>
      <c r="D3570" s="17">
        <v>2375</v>
      </c>
      <c r="E3570" s="17">
        <v>44</v>
      </c>
      <c r="F3570" s="17">
        <v>1703</v>
      </c>
      <c r="G3570" s="13">
        <v>4</v>
      </c>
      <c r="H3570" s="17">
        <v>0</v>
      </c>
      <c r="I3570" s="17">
        <v>0</v>
      </c>
      <c r="J3570" s="17">
        <v>36</v>
      </c>
      <c r="N3570" s="18">
        <v>36</v>
      </c>
      <c r="P3570" s="17">
        <v>4</v>
      </c>
      <c r="Q3570" s="19">
        <v>36</v>
      </c>
      <c r="R3570" s="14">
        <v>250</v>
      </c>
      <c r="S3570" s="19">
        <v>9000</v>
      </c>
      <c r="AJ3570" s="19">
        <v>0</v>
      </c>
      <c r="AK3570" s="23">
        <v>0</v>
      </c>
      <c r="AM3570" s="19">
        <v>0</v>
      </c>
      <c r="AN3570" s="19">
        <v>9000</v>
      </c>
      <c r="AP3570" s="14">
        <v>9000</v>
      </c>
      <c r="AQ3570" s="12">
        <v>3.0000000000000001E-3</v>
      </c>
    </row>
    <row r="3571" spans="1:49" ht="63" x14ac:dyDescent="0.2">
      <c r="A3571" s="121">
        <f t="shared" si="474"/>
        <v>3043</v>
      </c>
      <c r="B3571" s="13">
        <v>1</v>
      </c>
      <c r="C3571" s="17" t="s">
        <v>52</v>
      </c>
      <c r="D3571" s="17">
        <v>1052</v>
      </c>
      <c r="E3571" s="17">
        <v>47</v>
      </c>
      <c r="F3571" s="17">
        <v>411</v>
      </c>
      <c r="G3571" s="13">
        <v>1</v>
      </c>
      <c r="H3571" s="17">
        <v>1</v>
      </c>
      <c r="I3571" s="17">
        <v>2</v>
      </c>
      <c r="J3571" s="17">
        <v>6</v>
      </c>
      <c r="K3571" s="10">
        <v>504.5</v>
      </c>
      <c r="L3571" s="17">
        <v>101.5</v>
      </c>
      <c r="P3571" s="17">
        <v>5</v>
      </c>
      <c r="Q3571" s="19">
        <v>606</v>
      </c>
      <c r="R3571" s="14">
        <v>2250</v>
      </c>
      <c r="S3571" s="19">
        <v>1363500</v>
      </c>
      <c r="T3571" s="17">
        <v>1</v>
      </c>
      <c r="U3571" s="17" t="s">
        <v>57</v>
      </c>
      <c r="V3571" s="17" t="s">
        <v>56</v>
      </c>
      <c r="W3571" s="4">
        <v>406</v>
      </c>
      <c r="Y3571" s="4">
        <v>406</v>
      </c>
      <c r="AB3571" s="17">
        <v>26</v>
      </c>
      <c r="AJ3571" s="19">
        <v>0</v>
      </c>
      <c r="AK3571" s="23">
        <v>26</v>
      </c>
      <c r="AM3571" s="19">
        <v>0</v>
      </c>
      <c r="AN3571" s="19">
        <v>1363500</v>
      </c>
      <c r="AP3571" s="14">
        <v>1363500</v>
      </c>
      <c r="AS3571" s="26">
        <v>114</v>
      </c>
    </row>
    <row r="3572" spans="1:49" x14ac:dyDescent="0.2">
      <c r="A3572" s="121">
        <f t="shared" si="474"/>
        <v>3044</v>
      </c>
      <c r="B3572" s="13">
        <v>2</v>
      </c>
      <c r="C3572" s="17" t="s">
        <v>52</v>
      </c>
      <c r="D3572" s="17">
        <v>31883</v>
      </c>
      <c r="E3572" s="17">
        <v>240</v>
      </c>
      <c r="F3572" s="17">
        <v>6110</v>
      </c>
      <c r="G3572" s="13">
        <v>2</v>
      </c>
      <c r="H3572" s="17">
        <v>0</v>
      </c>
      <c r="I3572" s="17">
        <v>3</v>
      </c>
      <c r="J3572" s="17">
        <v>53.07</v>
      </c>
      <c r="K3572" s="10">
        <v>353.07</v>
      </c>
      <c r="P3572" s="17">
        <v>1</v>
      </c>
      <c r="Q3572" s="19">
        <v>353.07</v>
      </c>
      <c r="R3572" s="14">
        <v>250</v>
      </c>
      <c r="S3572" s="19">
        <v>88267.5</v>
      </c>
      <c r="AE3572" s="17" t="s">
        <v>303</v>
      </c>
      <c r="AJ3572" s="19">
        <v>0</v>
      </c>
      <c r="AK3572" s="23">
        <v>0</v>
      </c>
      <c r="AM3572" s="19">
        <v>0</v>
      </c>
      <c r="AN3572" s="19">
        <v>88267.5</v>
      </c>
      <c r="AP3572" s="14">
        <v>88267.5</v>
      </c>
    </row>
    <row r="3573" spans="1:49" x14ac:dyDescent="0.2">
      <c r="A3573" s="121">
        <f t="shared" si="474"/>
        <v>3045</v>
      </c>
      <c r="B3573" s="13">
        <v>3</v>
      </c>
      <c r="C3573" s="17" t="s">
        <v>52</v>
      </c>
      <c r="D3573" s="17">
        <v>31884</v>
      </c>
      <c r="E3573" s="17">
        <v>241</v>
      </c>
      <c r="F3573" s="17">
        <v>6111</v>
      </c>
      <c r="G3573" s="13">
        <v>2</v>
      </c>
      <c r="H3573" s="17">
        <v>0</v>
      </c>
      <c r="I3573" s="17">
        <v>3</v>
      </c>
      <c r="J3573" s="17">
        <v>85.06</v>
      </c>
      <c r="K3573" s="10">
        <v>385.06</v>
      </c>
      <c r="P3573" s="17">
        <v>1</v>
      </c>
      <c r="Q3573" s="19">
        <v>385.06</v>
      </c>
      <c r="R3573" s="14">
        <v>200</v>
      </c>
      <c r="S3573" s="19">
        <v>77012</v>
      </c>
      <c r="AJ3573" s="19">
        <v>0</v>
      </c>
      <c r="AK3573" s="23">
        <v>0</v>
      </c>
      <c r="AM3573" s="19">
        <v>0</v>
      </c>
      <c r="AN3573" s="19">
        <v>77012</v>
      </c>
      <c r="AP3573" s="14">
        <v>77012</v>
      </c>
    </row>
    <row r="3574" spans="1:49" x14ac:dyDescent="0.2">
      <c r="A3574" s="121">
        <f t="shared" si="474"/>
        <v>3046</v>
      </c>
      <c r="B3574" s="13">
        <v>4</v>
      </c>
      <c r="C3574" s="17" t="s">
        <v>52</v>
      </c>
      <c r="D3574" s="17">
        <v>803</v>
      </c>
      <c r="E3574" s="17">
        <v>23</v>
      </c>
      <c r="F3574" s="17">
        <v>274</v>
      </c>
      <c r="G3574" s="13">
        <v>6</v>
      </c>
      <c r="H3574" s="17">
        <v>9</v>
      </c>
      <c r="I3574" s="17">
        <v>2</v>
      </c>
      <c r="J3574" s="17">
        <v>86</v>
      </c>
      <c r="K3574" s="10">
        <v>3886</v>
      </c>
      <c r="P3574" s="17">
        <v>1</v>
      </c>
      <c r="Q3574" s="19">
        <v>3886</v>
      </c>
      <c r="R3574" s="14">
        <v>160</v>
      </c>
      <c r="S3574" s="19">
        <v>621760</v>
      </c>
      <c r="AJ3574" s="19">
        <v>0</v>
      </c>
      <c r="AK3574" s="23">
        <v>0</v>
      </c>
      <c r="AM3574" s="19">
        <v>0</v>
      </c>
      <c r="AN3574" s="19">
        <v>621760</v>
      </c>
      <c r="AP3574" s="14">
        <v>621760</v>
      </c>
    </row>
    <row r="3575" spans="1:49" x14ac:dyDescent="0.2">
      <c r="A3575" s="121">
        <f t="shared" si="474"/>
        <v>3047</v>
      </c>
      <c r="B3575" s="13">
        <v>5</v>
      </c>
      <c r="C3575" s="17" t="s">
        <v>52</v>
      </c>
      <c r="D3575" s="17">
        <v>804</v>
      </c>
      <c r="E3575" s="17">
        <v>11</v>
      </c>
      <c r="F3575" s="17">
        <v>275</v>
      </c>
      <c r="G3575" s="13">
        <v>6</v>
      </c>
      <c r="H3575" s="17">
        <v>3</v>
      </c>
      <c r="I3575" s="17">
        <v>2</v>
      </c>
      <c r="J3575" s="17">
        <v>82</v>
      </c>
      <c r="K3575" s="10">
        <v>1482</v>
      </c>
      <c r="P3575" s="17">
        <v>1</v>
      </c>
      <c r="Q3575" s="19">
        <v>1482</v>
      </c>
      <c r="R3575" s="14">
        <v>160</v>
      </c>
      <c r="S3575" s="19">
        <v>237120</v>
      </c>
      <c r="AJ3575" s="19">
        <v>0</v>
      </c>
      <c r="AK3575" s="23">
        <v>0</v>
      </c>
      <c r="AM3575" s="19">
        <v>0</v>
      </c>
      <c r="AN3575" s="19">
        <v>237120</v>
      </c>
      <c r="AP3575" s="14">
        <v>237120</v>
      </c>
    </row>
    <row r="3576" spans="1:49" x14ac:dyDescent="0.2">
      <c r="A3576" s="121">
        <f t="shared" si="474"/>
        <v>3048</v>
      </c>
      <c r="B3576" s="13">
        <v>6</v>
      </c>
      <c r="C3576" s="17" t="s">
        <v>52</v>
      </c>
      <c r="D3576" s="17">
        <v>808</v>
      </c>
      <c r="E3576" s="17">
        <v>37</v>
      </c>
      <c r="F3576" s="17">
        <v>280</v>
      </c>
      <c r="G3576" s="13">
        <v>6</v>
      </c>
      <c r="H3576" s="17">
        <v>3</v>
      </c>
      <c r="I3576" s="17">
        <v>1</v>
      </c>
      <c r="J3576" s="17">
        <v>79</v>
      </c>
      <c r="K3576" s="10">
        <v>1379</v>
      </c>
      <c r="P3576" s="17">
        <v>1</v>
      </c>
      <c r="Q3576" s="19">
        <v>1379</v>
      </c>
      <c r="R3576" s="14">
        <v>160</v>
      </c>
      <c r="S3576" s="19">
        <v>220640</v>
      </c>
      <c r="AJ3576" s="19">
        <v>0</v>
      </c>
      <c r="AK3576" s="23">
        <v>0</v>
      </c>
      <c r="AM3576" s="19">
        <v>0</v>
      </c>
      <c r="AN3576" s="19">
        <v>220640</v>
      </c>
      <c r="AP3576" s="14">
        <v>220640</v>
      </c>
    </row>
    <row r="3577" spans="1:49" x14ac:dyDescent="0.2">
      <c r="A3577" s="121">
        <f t="shared" si="474"/>
        <v>3049</v>
      </c>
      <c r="B3577" s="13">
        <v>7</v>
      </c>
      <c r="C3577" s="17" t="s">
        <v>52</v>
      </c>
      <c r="D3577" s="17">
        <v>809</v>
      </c>
      <c r="E3577" s="17">
        <v>38</v>
      </c>
      <c r="F3577" s="17">
        <v>281</v>
      </c>
      <c r="G3577" s="13">
        <v>6</v>
      </c>
      <c r="H3577" s="17">
        <v>1</v>
      </c>
      <c r="I3577" s="17">
        <v>0</v>
      </c>
      <c r="J3577" s="17">
        <v>2</v>
      </c>
      <c r="K3577" s="10">
        <v>402</v>
      </c>
      <c r="P3577" s="17">
        <v>1</v>
      </c>
      <c r="Q3577" s="19">
        <v>402</v>
      </c>
      <c r="R3577" s="14">
        <v>160</v>
      </c>
      <c r="S3577" s="19">
        <v>64320</v>
      </c>
      <c r="AJ3577" s="19">
        <v>0</v>
      </c>
      <c r="AK3577" s="23">
        <v>0</v>
      </c>
      <c r="AM3577" s="19">
        <v>0</v>
      </c>
      <c r="AN3577" s="19">
        <v>64320</v>
      </c>
      <c r="AP3577" s="14">
        <v>64320</v>
      </c>
    </row>
    <row r="3578" spans="1:49" x14ac:dyDescent="0.2">
      <c r="A3578" s="121">
        <f t="shared" si="474"/>
        <v>3050</v>
      </c>
      <c r="B3578" s="13">
        <v>8</v>
      </c>
      <c r="C3578" s="17" t="s">
        <v>52</v>
      </c>
      <c r="D3578" s="17">
        <v>810</v>
      </c>
      <c r="E3578" s="17">
        <v>12</v>
      </c>
      <c r="F3578" s="17">
        <v>282</v>
      </c>
      <c r="G3578" s="13">
        <v>6</v>
      </c>
      <c r="H3578" s="17">
        <v>1</v>
      </c>
      <c r="I3578" s="17">
        <v>3</v>
      </c>
      <c r="J3578" s="17">
        <v>83</v>
      </c>
      <c r="K3578" s="10">
        <v>783</v>
      </c>
      <c r="P3578" s="17">
        <v>1</v>
      </c>
      <c r="Q3578" s="19">
        <v>783</v>
      </c>
      <c r="R3578" s="14">
        <v>160</v>
      </c>
      <c r="S3578" s="19">
        <v>125280</v>
      </c>
      <c r="AJ3578" s="19">
        <v>0</v>
      </c>
      <c r="AK3578" s="23">
        <v>0</v>
      </c>
      <c r="AM3578" s="19">
        <v>0</v>
      </c>
      <c r="AN3578" s="19">
        <v>125280</v>
      </c>
      <c r="AP3578" s="14">
        <v>125280</v>
      </c>
    </row>
    <row r="3579" spans="1:49" x14ac:dyDescent="0.2">
      <c r="A3579" s="121">
        <f t="shared" si="474"/>
        <v>3051</v>
      </c>
      <c r="B3579" s="13">
        <v>9</v>
      </c>
      <c r="C3579" s="17" t="s">
        <v>52</v>
      </c>
      <c r="D3579" s="17">
        <v>1245</v>
      </c>
      <c r="E3579" s="17">
        <v>10</v>
      </c>
      <c r="F3579" s="17">
        <v>283</v>
      </c>
      <c r="G3579" s="13">
        <v>6</v>
      </c>
      <c r="H3579" s="17">
        <v>5</v>
      </c>
      <c r="I3579" s="17">
        <v>3</v>
      </c>
      <c r="J3579" s="17">
        <v>48</v>
      </c>
      <c r="K3579" s="10">
        <v>2348</v>
      </c>
      <c r="P3579" s="17">
        <v>1</v>
      </c>
      <c r="Q3579" s="19">
        <v>2348</v>
      </c>
      <c r="R3579" s="14">
        <v>160</v>
      </c>
      <c r="S3579" s="19">
        <v>375680</v>
      </c>
      <c r="AJ3579" s="19">
        <v>0</v>
      </c>
      <c r="AK3579" s="23">
        <v>0</v>
      </c>
      <c r="AM3579" s="19">
        <v>0</v>
      </c>
      <c r="AN3579" s="19">
        <v>375680</v>
      </c>
      <c r="AP3579" s="14">
        <v>375680</v>
      </c>
    </row>
    <row r="3580" spans="1:49" x14ac:dyDescent="0.2">
      <c r="A3580" s="121">
        <f t="shared" si="474"/>
        <v>3052</v>
      </c>
      <c r="B3580" s="13">
        <v>10</v>
      </c>
      <c r="C3580" s="17" t="s">
        <v>52</v>
      </c>
      <c r="D3580" s="17">
        <v>10430</v>
      </c>
      <c r="E3580" s="17">
        <v>19</v>
      </c>
      <c r="F3580" s="17">
        <v>3102</v>
      </c>
      <c r="G3580" s="13">
        <v>6</v>
      </c>
      <c r="H3580" s="17">
        <v>3</v>
      </c>
      <c r="I3580" s="17">
        <v>3</v>
      </c>
      <c r="J3580" s="17">
        <v>59.07</v>
      </c>
      <c r="K3580" s="10">
        <v>1559.07</v>
      </c>
      <c r="P3580" s="17">
        <v>1</v>
      </c>
      <c r="Q3580" s="19">
        <v>1559.07</v>
      </c>
      <c r="R3580" s="14">
        <v>160</v>
      </c>
      <c r="S3580" s="19">
        <v>249451.19999999998</v>
      </c>
      <c r="AJ3580" s="19">
        <v>0</v>
      </c>
      <c r="AK3580" s="23">
        <v>0</v>
      </c>
      <c r="AM3580" s="19">
        <v>0</v>
      </c>
      <c r="AN3580" s="19">
        <v>249451.19999999998</v>
      </c>
      <c r="AP3580" s="14">
        <v>249451.19999999998</v>
      </c>
    </row>
    <row r="3581" spans="1:49" x14ac:dyDescent="0.2">
      <c r="A3581" s="121">
        <f t="shared" si="474"/>
        <v>3053</v>
      </c>
      <c r="B3581" s="13">
        <v>11</v>
      </c>
      <c r="C3581" s="17" t="s">
        <v>52</v>
      </c>
      <c r="D3581" s="17">
        <v>22592</v>
      </c>
      <c r="E3581" s="17">
        <v>29</v>
      </c>
      <c r="F3581" s="17">
        <v>4809</v>
      </c>
      <c r="G3581" s="13">
        <v>6</v>
      </c>
      <c r="H3581" s="17">
        <v>4</v>
      </c>
      <c r="I3581" s="17">
        <v>2</v>
      </c>
      <c r="J3581" s="17">
        <v>39</v>
      </c>
      <c r="K3581" s="10">
        <v>1839</v>
      </c>
      <c r="P3581" s="17">
        <v>1</v>
      </c>
      <c r="Q3581" s="19">
        <v>1839</v>
      </c>
      <c r="R3581" s="14">
        <v>160</v>
      </c>
      <c r="S3581" s="19">
        <v>294240</v>
      </c>
      <c r="AJ3581" s="19">
        <v>0</v>
      </c>
      <c r="AK3581" s="23">
        <v>0</v>
      </c>
      <c r="AM3581" s="19">
        <v>0</v>
      </c>
      <c r="AN3581" s="19">
        <v>294240</v>
      </c>
      <c r="AP3581" s="14">
        <v>294240</v>
      </c>
      <c r="AW3581" s="14" t="s">
        <v>102</v>
      </c>
    </row>
    <row r="3582" spans="1:49" x14ac:dyDescent="0.2">
      <c r="B3582" s="13">
        <v>12</v>
      </c>
      <c r="C3582" s="17" t="s">
        <v>65</v>
      </c>
      <c r="D3582" s="17">
        <v>3577</v>
      </c>
      <c r="E3582" s="17">
        <v>432</v>
      </c>
      <c r="H3582" s="17">
        <v>1</v>
      </c>
      <c r="I3582" s="17">
        <v>3</v>
      </c>
      <c r="J3582" s="17">
        <v>57</v>
      </c>
      <c r="K3582" s="10">
        <v>757</v>
      </c>
      <c r="Q3582" s="19">
        <v>757</v>
      </c>
      <c r="R3582" s="14" t="e">
        <v>#N/A</v>
      </c>
      <c r="S3582" s="19" t="e">
        <v>#N/A</v>
      </c>
      <c r="AE3582" s="17" t="s">
        <v>94</v>
      </c>
      <c r="AJ3582" s="19">
        <v>0</v>
      </c>
      <c r="AK3582" s="23">
        <v>0</v>
      </c>
      <c r="AM3582" s="19">
        <v>0</v>
      </c>
      <c r="AN3582" s="19" t="e">
        <v>#N/A</v>
      </c>
      <c r="AP3582" s="14" t="e">
        <v>#N/A</v>
      </c>
      <c r="AQ3582" s="12">
        <v>1E-4</v>
      </c>
    </row>
    <row r="3583" spans="1:49" x14ac:dyDescent="0.2">
      <c r="A3583" s="2">
        <v>3054</v>
      </c>
      <c r="B3583" s="13">
        <v>1</v>
      </c>
      <c r="C3583" s="17" t="s">
        <v>52</v>
      </c>
      <c r="D3583" s="17">
        <v>31158</v>
      </c>
      <c r="E3583" s="17">
        <v>229</v>
      </c>
      <c r="F3583" s="17">
        <v>6103</v>
      </c>
      <c r="G3583" s="13">
        <v>2</v>
      </c>
      <c r="H3583" s="17">
        <v>0</v>
      </c>
      <c r="I3583" s="17">
        <v>1</v>
      </c>
      <c r="J3583" s="17">
        <v>42.01</v>
      </c>
      <c r="K3583" s="10">
        <v>142.01</v>
      </c>
      <c r="P3583" s="17">
        <v>1</v>
      </c>
      <c r="Q3583" s="19">
        <v>142.01</v>
      </c>
      <c r="R3583" s="14">
        <v>250</v>
      </c>
      <c r="S3583" s="19">
        <v>35502.5</v>
      </c>
      <c r="AJ3583" s="19">
        <v>0</v>
      </c>
      <c r="AK3583" s="23">
        <v>0</v>
      </c>
      <c r="AM3583" s="19">
        <v>0</v>
      </c>
      <c r="AN3583" s="19">
        <v>35502.5</v>
      </c>
      <c r="AP3583" s="14">
        <v>35502.5</v>
      </c>
    </row>
    <row r="3584" spans="1:49" x14ac:dyDescent="0.2">
      <c r="A3584" s="2">
        <f>+A3583+1</f>
        <v>3055</v>
      </c>
      <c r="B3584" s="13">
        <v>2</v>
      </c>
      <c r="C3584" s="17" t="s">
        <v>52</v>
      </c>
      <c r="D3584" s="17">
        <v>31159</v>
      </c>
      <c r="E3584" s="17">
        <v>230</v>
      </c>
      <c r="F3584" s="17">
        <v>6104</v>
      </c>
      <c r="G3584" s="13">
        <v>2</v>
      </c>
      <c r="H3584" s="17">
        <v>0</v>
      </c>
      <c r="I3584" s="17">
        <v>1</v>
      </c>
      <c r="J3584" s="17">
        <v>10.01</v>
      </c>
      <c r="K3584" s="10">
        <v>110.01</v>
      </c>
      <c r="P3584" s="17">
        <v>1</v>
      </c>
      <c r="Q3584" s="19">
        <v>110.01</v>
      </c>
      <c r="R3584" s="14">
        <v>250</v>
      </c>
      <c r="S3584" s="19">
        <v>27502.5</v>
      </c>
      <c r="AJ3584" s="19">
        <v>0</v>
      </c>
      <c r="AK3584" s="23">
        <v>0</v>
      </c>
      <c r="AM3584" s="19">
        <v>0</v>
      </c>
      <c r="AN3584" s="19">
        <v>27502.5</v>
      </c>
      <c r="AP3584" s="14">
        <v>27502.5</v>
      </c>
    </row>
    <row r="3585" spans="1:45" ht="63" x14ac:dyDescent="0.2">
      <c r="A3585" s="121">
        <f t="shared" ref="A3585:A3588" si="475">+A3584+1</f>
        <v>3056</v>
      </c>
      <c r="B3585" s="13">
        <v>3</v>
      </c>
      <c r="C3585" s="17" t="s">
        <v>52</v>
      </c>
      <c r="D3585" s="17">
        <v>31878</v>
      </c>
      <c r="E3585" s="17">
        <v>231</v>
      </c>
      <c r="F3585" s="17">
        <v>6105</v>
      </c>
      <c r="G3585" s="13">
        <v>2</v>
      </c>
      <c r="H3585" s="17">
        <v>0</v>
      </c>
      <c r="I3585" s="17">
        <v>1</v>
      </c>
      <c r="J3585" s="17">
        <v>38.01</v>
      </c>
      <c r="L3585" s="17">
        <v>138.01</v>
      </c>
      <c r="P3585" s="17">
        <v>2</v>
      </c>
      <c r="Q3585" s="19">
        <v>138.01</v>
      </c>
      <c r="R3585" s="14">
        <v>250</v>
      </c>
      <c r="S3585" s="19">
        <v>34502.5</v>
      </c>
      <c r="T3585" s="17">
        <v>1</v>
      </c>
      <c r="U3585" s="17" t="s">
        <v>57</v>
      </c>
      <c r="V3585" s="17" t="s">
        <v>56</v>
      </c>
      <c r="W3585" s="4">
        <v>119</v>
      </c>
      <c r="Y3585" s="4">
        <v>119</v>
      </c>
      <c r="AB3585" s="17">
        <v>21</v>
      </c>
      <c r="AJ3585" s="19">
        <v>0</v>
      </c>
      <c r="AK3585" s="23">
        <v>21</v>
      </c>
      <c r="AM3585" s="19">
        <v>0</v>
      </c>
      <c r="AN3585" s="19">
        <v>34502.5</v>
      </c>
      <c r="AP3585" s="14">
        <v>34502.5</v>
      </c>
    </row>
    <row r="3586" spans="1:45" x14ac:dyDescent="0.2">
      <c r="A3586" s="121">
        <f t="shared" si="475"/>
        <v>3057</v>
      </c>
      <c r="B3586" s="13">
        <v>4</v>
      </c>
      <c r="C3586" s="17" t="s">
        <v>52</v>
      </c>
      <c r="D3586" s="17">
        <v>31879</v>
      </c>
      <c r="E3586" s="17">
        <v>232</v>
      </c>
      <c r="F3586" s="17">
        <v>6106</v>
      </c>
      <c r="G3586" s="13">
        <v>2</v>
      </c>
      <c r="H3586" s="17">
        <v>0</v>
      </c>
      <c r="I3586" s="17">
        <v>0</v>
      </c>
      <c r="J3586" s="17">
        <v>19</v>
      </c>
      <c r="N3586" s="18">
        <v>19</v>
      </c>
      <c r="P3586" s="17">
        <v>4</v>
      </c>
      <c r="Q3586" s="19">
        <v>19</v>
      </c>
      <c r="R3586" s="14">
        <v>250</v>
      </c>
      <c r="S3586" s="19">
        <v>4750</v>
      </c>
      <c r="AJ3586" s="19">
        <v>0</v>
      </c>
      <c r="AK3586" s="23">
        <v>0</v>
      </c>
      <c r="AM3586" s="19">
        <v>0</v>
      </c>
      <c r="AN3586" s="19">
        <v>4750</v>
      </c>
      <c r="AP3586" s="14">
        <v>4750</v>
      </c>
      <c r="AQ3586" s="12">
        <v>3.0000000000000001E-3</v>
      </c>
    </row>
    <row r="3587" spans="1:45" x14ac:dyDescent="0.2">
      <c r="A3587" s="121">
        <f t="shared" si="475"/>
        <v>3058</v>
      </c>
      <c r="B3587" s="13">
        <v>5</v>
      </c>
      <c r="C3587" s="17" t="s">
        <v>52</v>
      </c>
      <c r="D3587" s="17">
        <v>31880</v>
      </c>
      <c r="E3587" s="17">
        <v>233</v>
      </c>
      <c r="F3587" s="17">
        <v>6107</v>
      </c>
      <c r="G3587" s="13">
        <v>2</v>
      </c>
      <c r="H3587" s="17">
        <v>0</v>
      </c>
      <c r="I3587" s="17">
        <v>0</v>
      </c>
      <c r="J3587" s="17">
        <v>91.08</v>
      </c>
      <c r="N3587" s="18">
        <v>91.08</v>
      </c>
      <c r="P3587" s="17">
        <v>4</v>
      </c>
      <c r="Q3587" s="19">
        <v>91.08</v>
      </c>
      <c r="R3587" s="14">
        <v>160</v>
      </c>
      <c r="S3587" s="19">
        <v>14572.8</v>
      </c>
      <c r="AJ3587" s="19">
        <v>0</v>
      </c>
      <c r="AK3587" s="23">
        <v>0</v>
      </c>
      <c r="AM3587" s="19">
        <v>0</v>
      </c>
      <c r="AN3587" s="19">
        <v>14572.8</v>
      </c>
      <c r="AP3587" s="14">
        <v>14572.8</v>
      </c>
      <c r="AQ3587" s="12">
        <v>3.0000000000000001E-3</v>
      </c>
    </row>
    <row r="3588" spans="1:45" x14ac:dyDescent="0.2">
      <c r="A3588" s="121">
        <f t="shared" si="475"/>
        <v>3059</v>
      </c>
      <c r="B3588" s="13">
        <v>6</v>
      </c>
      <c r="C3588" s="17" t="s">
        <v>52</v>
      </c>
      <c r="D3588" s="17">
        <v>31881</v>
      </c>
      <c r="E3588" s="17">
        <v>234</v>
      </c>
      <c r="F3588" s="17">
        <v>6108</v>
      </c>
      <c r="G3588" s="13">
        <v>2</v>
      </c>
      <c r="H3588" s="17">
        <v>0</v>
      </c>
      <c r="I3588" s="17">
        <v>2</v>
      </c>
      <c r="J3588" s="17">
        <v>2.04</v>
      </c>
      <c r="K3588" s="10">
        <v>202.04</v>
      </c>
      <c r="P3588" s="17">
        <v>1</v>
      </c>
      <c r="Q3588" s="19">
        <v>202.04</v>
      </c>
      <c r="R3588" s="14">
        <v>250</v>
      </c>
      <c r="S3588" s="19">
        <v>50510</v>
      </c>
      <c r="AJ3588" s="19">
        <v>0</v>
      </c>
      <c r="AK3588" s="23">
        <v>0</v>
      </c>
      <c r="AM3588" s="19">
        <v>0</v>
      </c>
      <c r="AN3588" s="19">
        <v>50510</v>
      </c>
      <c r="AP3588" s="14">
        <v>50510</v>
      </c>
    </row>
    <row r="3589" spans="1:45" x14ac:dyDescent="0.2">
      <c r="B3589" s="13">
        <v>7</v>
      </c>
      <c r="C3589" s="17" t="s">
        <v>65</v>
      </c>
      <c r="D3589" s="17">
        <v>3574</v>
      </c>
      <c r="E3589" s="17">
        <v>429</v>
      </c>
      <c r="H3589" s="17">
        <v>2</v>
      </c>
      <c r="I3589" s="17">
        <v>0</v>
      </c>
      <c r="J3589" s="17">
        <v>0</v>
      </c>
      <c r="K3589" s="10">
        <v>800</v>
      </c>
      <c r="Q3589" s="19">
        <v>800</v>
      </c>
      <c r="R3589" s="14" t="e">
        <v>#N/A</v>
      </c>
      <c r="S3589" s="19" t="e">
        <v>#N/A</v>
      </c>
      <c r="AE3589" s="17" t="s">
        <v>94</v>
      </c>
      <c r="AJ3589" s="19">
        <v>0</v>
      </c>
      <c r="AK3589" s="23">
        <v>0</v>
      </c>
      <c r="AM3589" s="19">
        <v>0</v>
      </c>
      <c r="AN3589" s="19" t="e">
        <v>#N/A</v>
      </c>
      <c r="AP3589" s="14" t="e">
        <v>#N/A</v>
      </c>
      <c r="AQ3589" s="12">
        <v>1E-4</v>
      </c>
    </row>
    <row r="3590" spans="1:45" x14ac:dyDescent="0.2">
      <c r="A3590" s="2">
        <v>3060</v>
      </c>
      <c r="B3590" s="13">
        <v>1</v>
      </c>
      <c r="C3590" s="17" t="s">
        <v>52</v>
      </c>
      <c r="D3590" s="17">
        <v>2468</v>
      </c>
      <c r="E3590" s="17">
        <v>63</v>
      </c>
      <c r="F3590" s="17">
        <v>1344</v>
      </c>
      <c r="G3590" s="13">
        <v>2</v>
      </c>
      <c r="H3590" s="17">
        <v>2</v>
      </c>
      <c r="I3590" s="17">
        <v>2</v>
      </c>
      <c r="J3590" s="17">
        <v>64</v>
      </c>
      <c r="K3590" s="10">
        <v>1064</v>
      </c>
      <c r="P3590" s="17">
        <v>1</v>
      </c>
      <c r="Q3590" s="19">
        <v>1064</v>
      </c>
      <c r="R3590" s="14">
        <v>160</v>
      </c>
      <c r="S3590" s="19">
        <v>170240</v>
      </c>
      <c r="AJ3590" s="19">
        <v>0</v>
      </c>
      <c r="AK3590" s="23">
        <v>0</v>
      </c>
      <c r="AM3590" s="19">
        <v>0</v>
      </c>
      <c r="AN3590" s="19">
        <v>170240</v>
      </c>
      <c r="AP3590" s="14">
        <v>170240</v>
      </c>
    </row>
    <row r="3591" spans="1:45" x14ac:dyDescent="0.2">
      <c r="A3591" s="2">
        <f>+A3590+1</f>
        <v>3061</v>
      </c>
      <c r="B3591" s="13">
        <v>2</v>
      </c>
      <c r="C3591" s="17" t="s">
        <v>52</v>
      </c>
      <c r="D3591" s="17">
        <v>2469</v>
      </c>
      <c r="E3591" s="17">
        <v>4</v>
      </c>
      <c r="F3591" s="17">
        <v>1345</v>
      </c>
      <c r="G3591" s="13">
        <v>2</v>
      </c>
      <c r="H3591" s="17">
        <v>7</v>
      </c>
      <c r="I3591" s="17">
        <v>1</v>
      </c>
      <c r="J3591" s="17">
        <v>80</v>
      </c>
      <c r="K3591" s="10">
        <v>2980</v>
      </c>
      <c r="P3591" s="17">
        <v>1</v>
      </c>
      <c r="Q3591" s="19">
        <v>2980</v>
      </c>
      <c r="R3591" s="14">
        <v>160</v>
      </c>
      <c r="S3591" s="19">
        <v>476800</v>
      </c>
      <c r="AJ3591" s="19">
        <v>0</v>
      </c>
      <c r="AK3591" s="23">
        <v>0</v>
      </c>
      <c r="AM3591" s="19">
        <v>0</v>
      </c>
      <c r="AN3591" s="19">
        <v>476800</v>
      </c>
      <c r="AP3591" s="14">
        <v>476800</v>
      </c>
    </row>
    <row r="3592" spans="1:45" ht="63" x14ac:dyDescent="0.2">
      <c r="A3592" s="121">
        <f t="shared" ref="A3592:A3593" si="476">+A3591+1</f>
        <v>3062</v>
      </c>
      <c r="B3592" s="13">
        <v>2</v>
      </c>
      <c r="C3592" s="17" t="s">
        <v>52</v>
      </c>
      <c r="D3592" s="17">
        <v>14872</v>
      </c>
      <c r="E3592" s="17">
        <v>507</v>
      </c>
      <c r="F3592" s="17">
        <v>3362</v>
      </c>
      <c r="G3592" s="13">
        <v>2</v>
      </c>
      <c r="H3592" s="17">
        <v>1</v>
      </c>
      <c r="I3592" s="17">
        <v>3</v>
      </c>
      <c r="J3592" s="17">
        <v>71.040000000000006</v>
      </c>
      <c r="K3592" s="10">
        <v>678.04</v>
      </c>
      <c r="L3592" s="17">
        <v>93</v>
      </c>
      <c r="P3592" s="17">
        <v>1</v>
      </c>
      <c r="Q3592" s="19">
        <v>771.04</v>
      </c>
      <c r="R3592" s="14">
        <v>2250</v>
      </c>
      <c r="S3592" s="19">
        <v>1734840</v>
      </c>
      <c r="T3592" s="17">
        <v>1</v>
      </c>
      <c r="U3592" s="17" t="s">
        <v>57</v>
      </c>
      <c r="V3592" s="17" t="s">
        <v>56</v>
      </c>
      <c r="W3592" s="4">
        <v>372</v>
      </c>
      <c r="Y3592" s="4">
        <v>372</v>
      </c>
      <c r="AB3592" s="17">
        <v>15</v>
      </c>
      <c r="AJ3592" s="19">
        <v>0</v>
      </c>
      <c r="AK3592" s="23">
        <v>15</v>
      </c>
      <c r="AM3592" s="19">
        <v>0</v>
      </c>
      <c r="AN3592" s="19">
        <v>1734840</v>
      </c>
      <c r="AP3592" s="14">
        <v>1734840</v>
      </c>
    </row>
    <row r="3593" spans="1:45" x14ac:dyDescent="0.2">
      <c r="A3593" s="121">
        <f t="shared" si="476"/>
        <v>3063</v>
      </c>
      <c r="B3593" s="13">
        <v>3</v>
      </c>
      <c r="C3593" s="17" t="s">
        <v>52</v>
      </c>
      <c r="D3593" s="17">
        <v>31061</v>
      </c>
      <c r="E3593" s="17">
        <v>121</v>
      </c>
      <c r="F3593" s="17">
        <v>6011</v>
      </c>
      <c r="G3593" s="13">
        <v>2</v>
      </c>
      <c r="H3593" s="17">
        <v>2</v>
      </c>
      <c r="I3593" s="17">
        <v>2</v>
      </c>
      <c r="J3593" s="17">
        <v>63.08</v>
      </c>
      <c r="K3593" s="10">
        <v>1063.08</v>
      </c>
      <c r="P3593" s="17">
        <v>1</v>
      </c>
      <c r="Q3593" s="19">
        <v>1063.08</v>
      </c>
      <c r="R3593" s="14">
        <v>160</v>
      </c>
      <c r="S3593" s="19">
        <v>170092.79999999999</v>
      </c>
      <c r="AJ3593" s="19">
        <v>0</v>
      </c>
      <c r="AK3593" s="23">
        <v>0</v>
      </c>
      <c r="AM3593" s="19">
        <v>0</v>
      </c>
      <c r="AN3593" s="19">
        <v>170092.79999999999</v>
      </c>
      <c r="AP3593" s="14">
        <v>170092.79999999999</v>
      </c>
    </row>
    <row r="3594" spans="1:45" x14ac:dyDescent="0.2">
      <c r="B3594" s="13">
        <v>4</v>
      </c>
      <c r="C3594" s="17" t="s">
        <v>65</v>
      </c>
      <c r="D3594" s="17">
        <v>800</v>
      </c>
      <c r="E3594" s="17">
        <v>246</v>
      </c>
      <c r="H3594" s="17">
        <v>2</v>
      </c>
      <c r="I3594" s="17">
        <v>3</v>
      </c>
      <c r="J3594" s="17">
        <v>0</v>
      </c>
      <c r="K3594" s="10">
        <v>1100</v>
      </c>
      <c r="Q3594" s="19">
        <v>1100</v>
      </c>
      <c r="R3594" s="14" t="e">
        <v>#N/A</v>
      </c>
      <c r="S3594" s="19" t="e">
        <v>#N/A</v>
      </c>
      <c r="AE3594" s="17" t="s">
        <v>94</v>
      </c>
      <c r="AJ3594" s="19">
        <v>0</v>
      </c>
      <c r="AK3594" s="23">
        <v>0</v>
      </c>
      <c r="AM3594" s="19">
        <v>0</v>
      </c>
      <c r="AN3594" s="19" t="e">
        <v>#N/A</v>
      </c>
      <c r="AP3594" s="14" t="e">
        <v>#N/A</v>
      </c>
      <c r="AQ3594" s="12">
        <v>1E-4</v>
      </c>
    </row>
    <row r="3595" spans="1:45" ht="42" x14ac:dyDescent="0.2">
      <c r="A3595" s="2">
        <v>3064</v>
      </c>
      <c r="B3595" s="13">
        <v>1</v>
      </c>
      <c r="C3595" s="17" t="s">
        <v>52</v>
      </c>
      <c r="D3595" s="17">
        <v>483</v>
      </c>
      <c r="E3595" s="17">
        <v>505</v>
      </c>
      <c r="F3595" s="17">
        <v>68</v>
      </c>
      <c r="G3595" s="13">
        <v>2</v>
      </c>
      <c r="H3595" s="17">
        <v>1</v>
      </c>
      <c r="I3595" s="17">
        <v>3</v>
      </c>
      <c r="J3595" s="17">
        <v>71</v>
      </c>
      <c r="K3595" s="10">
        <v>771</v>
      </c>
      <c r="P3595" s="17">
        <v>1</v>
      </c>
      <c r="Q3595" s="19">
        <v>771</v>
      </c>
      <c r="R3595" s="14">
        <v>2250</v>
      </c>
      <c r="S3595" s="19">
        <v>1734750</v>
      </c>
      <c r="AS3595" s="26" t="s">
        <v>98</v>
      </c>
    </row>
    <row r="3596" spans="1:45" ht="63" x14ac:dyDescent="0.2">
      <c r="T3596" s="17">
        <v>1</v>
      </c>
      <c r="U3596" s="17" t="s">
        <v>57</v>
      </c>
      <c r="V3596" s="17" t="s">
        <v>56</v>
      </c>
      <c r="W3596" s="4">
        <v>119</v>
      </c>
      <c r="Y3596" s="4" t="s">
        <v>304</v>
      </c>
      <c r="AB3596" s="17">
        <v>15</v>
      </c>
      <c r="AF3596" s="14">
        <v>2</v>
      </c>
      <c r="AG3596" s="54">
        <v>119</v>
      </c>
      <c r="AH3596" s="11">
        <v>0.89</v>
      </c>
      <c r="AI3596" s="14">
        <v>7250</v>
      </c>
      <c r="AJ3596" s="19">
        <v>767847.5</v>
      </c>
      <c r="AK3596" s="23">
        <v>15</v>
      </c>
      <c r="AL3596" s="11">
        <v>0.2</v>
      </c>
      <c r="AM3596" s="19">
        <v>614278</v>
      </c>
      <c r="AN3596" s="19">
        <v>614278</v>
      </c>
      <c r="AP3596" s="14">
        <v>614278</v>
      </c>
    </row>
    <row r="3597" spans="1:45" x14ac:dyDescent="0.2">
      <c r="Z3597" s="17">
        <v>10.5</v>
      </c>
      <c r="AB3597" s="17">
        <v>15</v>
      </c>
      <c r="AF3597" s="14">
        <v>3</v>
      </c>
      <c r="AG3597" s="54">
        <v>119</v>
      </c>
      <c r="AH3597" s="11">
        <v>0.105</v>
      </c>
      <c r="AI3597" s="14">
        <v>7250</v>
      </c>
      <c r="AJ3597" s="19">
        <v>90588.75</v>
      </c>
      <c r="AK3597" s="23">
        <v>15</v>
      </c>
      <c r="AL3597" s="11">
        <v>0.2</v>
      </c>
      <c r="AM3597" s="19">
        <v>72471</v>
      </c>
      <c r="AN3597" s="19">
        <v>254619.75</v>
      </c>
      <c r="AP3597" s="14">
        <v>254619.75</v>
      </c>
      <c r="AQ3597" s="12">
        <v>3.0000000000000001E-3</v>
      </c>
    </row>
    <row r="3598" spans="1:45" x14ac:dyDescent="0.2">
      <c r="A3598" s="2">
        <v>3065</v>
      </c>
      <c r="B3598" s="13">
        <v>2</v>
      </c>
      <c r="C3598" s="17" t="s">
        <v>52</v>
      </c>
      <c r="D3598" s="17">
        <v>31882</v>
      </c>
      <c r="E3598" s="17">
        <v>235</v>
      </c>
      <c r="F3598" s="17">
        <v>6109</v>
      </c>
      <c r="G3598" s="13">
        <v>2</v>
      </c>
      <c r="H3598" s="17">
        <v>0</v>
      </c>
      <c r="I3598" s="17">
        <v>0</v>
      </c>
      <c r="J3598" s="17">
        <v>92.07</v>
      </c>
      <c r="N3598" s="18">
        <v>92.07</v>
      </c>
      <c r="P3598" s="17">
        <v>4</v>
      </c>
      <c r="Q3598" s="19">
        <v>92.07</v>
      </c>
      <c r="R3598" s="14">
        <v>250</v>
      </c>
      <c r="S3598" s="19">
        <v>23017.5</v>
      </c>
      <c r="AJ3598" s="19">
        <v>0</v>
      </c>
      <c r="AK3598" s="23">
        <v>0</v>
      </c>
      <c r="AM3598" s="19">
        <v>0</v>
      </c>
      <c r="AN3598" s="19">
        <v>23017.5</v>
      </c>
      <c r="AP3598" s="14">
        <v>23017.5</v>
      </c>
      <c r="AQ3598" s="12">
        <v>3.0000000000000001E-3</v>
      </c>
    </row>
    <row r="3599" spans="1:45" ht="63" x14ac:dyDescent="0.2">
      <c r="A3599" s="2">
        <f>+A3598+1</f>
        <v>3066</v>
      </c>
      <c r="B3599" s="13">
        <v>1</v>
      </c>
      <c r="C3599" s="17" t="s">
        <v>52</v>
      </c>
      <c r="D3599" s="17">
        <v>479</v>
      </c>
      <c r="E3599" s="17">
        <v>501</v>
      </c>
      <c r="F3599" s="17">
        <v>56</v>
      </c>
      <c r="G3599" s="13">
        <v>2</v>
      </c>
      <c r="H3599" s="17">
        <v>7</v>
      </c>
      <c r="I3599" s="17">
        <v>1</v>
      </c>
      <c r="J3599" s="17">
        <v>27.05</v>
      </c>
      <c r="K3599" s="10">
        <v>2888.8</v>
      </c>
      <c r="L3599" s="17">
        <v>38.25</v>
      </c>
      <c r="P3599" s="17">
        <v>5</v>
      </c>
      <c r="Q3599" s="19">
        <v>2927.05</v>
      </c>
      <c r="R3599" s="14">
        <v>750</v>
      </c>
      <c r="S3599" s="19">
        <v>2195287.5</v>
      </c>
      <c r="T3599" s="17">
        <v>1</v>
      </c>
      <c r="U3599" s="17" t="s">
        <v>57</v>
      </c>
      <c r="V3599" s="17" t="s">
        <v>56</v>
      </c>
      <c r="W3599" s="4">
        <v>153</v>
      </c>
      <c r="Y3599" s="4">
        <v>153</v>
      </c>
      <c r="AB3599" s="17">
        <v>26</v>
      </c>
      <c r="AJ3599" s="19">
        <v>0</v>
      </c>
      <c r="AK3599" s="23">
        <v>26</v>
      </c>
      <c r="AM3599" s="19">
        <v>0</v>
      </c>
      <c r="AN3599" s="19">
        <v>2195287.5</v>
      </c>
      <c r="AP3599" s="14">
        <v>2195287.5</v>
      </c>
      <c r="AS3599" s="26" t="s">
        <v>305</v>
      </c>
    </row>
    <row r="3600" spans="1:45" x14ac:dyDescent="0.2">
      <c r="A3600" s="121">
        <f t="shared" ref="A3600:A3608" si="477">+A3599+1</f>
        <v>3067</v>
      </c>
      <c r="B3600" s="13">
        <v>2</v>
      </c>
      <c r="C3600" s="17" t="s">
        <v>52</v>
      </c>
      <c r="D3600" s="17">
        <v>1471</v>
      </c>
      <c r="E3600" s="17">
        <v>14</v>
      </c>
      <c r="F3600" s="17">
        <v>1347</v>
      </c>
      <c r="G3600" s="13">
        <v>2</v>
      </c>
      <c r="H3600" s="17">
        <v>0</v>
      </c>
      <c r="I3600" s="17">
        <v>1</v>
      </c>
      <c r="J3600" s="17">
        <v>76</v>
      </c>
      <c r="K3600" s="10" t="s">
        <v>306</v>
      </c>
      <c r="P3600" s="17">
        <v>1</v>
      </c>
      <c r="Q3600" s="19">
        <v>176</v>
      </c>
      <c r="R3600" s="14">
        <v>2250</v>
      </c>
      <c r="S3600" s="19">
        <v>396000</v>
      </c>
      <c r="AJ3600" s="19">
        <v>0</v>
      </c>
      <c r="AK3600" s="23">
        <v>0</v>
      </c>
      <c r="AM3600" s="19">
        <v>0</v>
      </c>
      <c r="AN3600" s="19">
        <v>396000</v>
      </c>
      <c r="AP3600" s="14">
        <v>396000</v>
      </c>
    </row>
    <row r="3601" spans="1:49" x14ac:dyDescent="0.2">
      <c r="A3601" s="121">
        <f t="shared" si="477"/>
        <v>3068</v>
      </c>
      <c r="B3601" s="13">
        <v>3</v>
      </c>
      <c r="C3601" s="17" t="s">
        <v>52</v>
      </c>
      <c r="D3601" s="17">
        <v>31887</v>
      </c>
      <c r="E3601" s="17">
        <v>244</v>
      </c>
      <c r="F3601" s="17">
        <v>6114</v>
      </c>
      <c r="G3601" s="13">
        <v>2</v>
      </c>
      <c r="H3601" s="17">
        <v>1</v>
      </c>
      <c r="I3601" s="17">
        <v>0</v>
      </c>
      <c r="J3601" s="17">
        <v>43.06</v>
      </c>
      <c r="K3601" s="10">
        <v>443.06</v>
      </c>
      <c r="P3601" s="17">
        <v>1</v>
      </c>
      <c r="Q3601" s="19">
        <v>443.06</v>
      </c>
      <c r="R3601" s="14">
        <v>200</v>
      </c>
      <c r="S3601" s="19">
        <v>88612</v>
      </c>
      <c r="AJ3601" s="19">
        <v>0</v>
      </c>
      <c r="AK3601" s="23">
        <v>0</v>
      </c>
      <c r="AM3601" s="19">
        <v>0</v>
      </c>
      <c r="AN3601" s="19">
        <v>88612</v>
      </c>
      <c r="AP3601" s="14">
        <v>88612</v>
      </c>
    </row>
    <row r="3602" spans="1:49" x14ac:dyDescent="0.2">
      <c r="A3602" s="121">
        <f t="shared" si="477"/>
        <v>3069</v>
      </c>
      <c r="B3602" s="13">
        <v>4</v>
      </c>
      <c r="C3602" s="17" t="s">
        <v>52</v>
      </c>
      <c r="D3602" s="17">
        <v>31888</v>
      </c>
      <c r="E3602" s="17">
        <v>245</v>
      </c>
      <c r="F3602" s="17">
        <v>6115</v>
      </c>
      <c r="G3602" s="13">
        <v>2</v>
      </c>
      <c r="H3602" s="17">
        <v>0</v>
      </c>
      <c r="I3602" s="17">
        <v>3</v>
      </c>
      <c r="J3602" s="17">
        <v>36.04</v>
      </c>
      <c r="K3602" s="10">
        <v>336.04</v>
      </c>
      <c r="P3602" s="17">
        <v>1</v>
      </c>
      <c r="Q3602" s="19">
        <v>336.04</v>
      </c>
      <c r="R3602" s="14">
        <v>250</v>
      </c>
      <c r="S3602" s="19">
        <v>84010</v>
      </c>
      <c r="AJ3602" s="19">
        <v>0</v>
      </c>
      <c r="AK3602" s="23">
        <v>0</v>
      </c>
      <c r="AM3602" s="19">
        <v>0</v>
      </c>
      <c r="AN3602" s="19">
        <v>84010</v>
      </c>
      <c r="AP3602" s="14">
        <v>84010</v>
      </c>
    </row>
    <row r="3603" spans="1:49" x14ac:dyDescent="0.2">
      <c r="A3603" s="121">
        <f t="shared" si="477"/>
        <v>3070</v>
      </c>
      <c r="B3603" s="13">
        <v>5</v>
      </c>
      <c r="C3603" s="17" t="s">
        <v>52</v>
      </c>
      <c r="D3603" s="17">
        <v>31889</v>
      </c>
      <c r="E3603" s="17">
        <v>246</v>
      </c>
      <c r="F3603" s="17">
        <v>6116</v>
      </c>
      <c r="G3603" s="13">
        <v>2</v>
      </c>
      <c r="H3603" s="17">
        <v>0</v>
      </c>
      <c r="I3603" s="17">
        <v>3</v>
      </c>
      <c r="J3603" s="17">
        <v>80.05</v>
      </c>
      <c r="K3603" s="10">
        <v>380.05</v>
      </c>
      <c r="P3603" s="17">
        <v>1</v>
      </c>
      <c r="Q3603" s="19">
        <v>380.05</v>
      </c>
      <c r="R3603" s="14">
        <v>250</v>
      </c>
      <c r="S3603" s="19">
        <v>95012.5</v>
      </c>
      <c r="AJ3603" s="19">
        <v>0</v>
      </c>
      <c r="AK3603" s="23">
        <v>0</v>
      </c>
      <c r="AM3603" s="19">
        <v>0</v>
      </c>
      <c r="AN3603" s="19">
        <v>95012.5</v>
      </c>
      <c r="AP3603" s="14">
        <v>95012.5</v>
      </c>
    </row>
    <row r="3604" spans="1:49" x14ac:dyDescent="0.2">
      <c r="A3604" s="121">
        <f t="shared" si="477"/>
        <v>3071</v>
      </c>
      <c r="B3604" s="13">
        <v>6</v>
      </c>
      <c r="C3604" s="17" t="s">
        <v>52</v>
      </c>
      <c r="D3604" s="17">
        <v>31890</v>
      </c>
      <c r="E3604" s="17">
        <v>247</v>
      </c>
      <c r="F3604" s="17">
        <v>6117</v>
      </c>
      <c r="G3604" s="13">
        <v>2</v>
      </c>
      <c r="H3604" s="17">
        <v>4</v>
      </c>
      <c r="I3604" s="17">
        <v>1</v>
      </c>
      <c r="J3604" s="17">
        <v>60.06</v>
      </c>
      <c r="K3604" s="10">
        <v>1760.06</v>
      </c>
      <c r="P3604" s="17">
        <v>1</v>
      </c>
      <c r="Q3604" s="19">
        <v>1760.06</v>
      </c>
      <c r="R3604" s="14">
        <v>200</v>
      </c>
      <c r="S3604" s="19">
        <v>352012</v>
      </c>
      <c r="AJ3604" s="19">
        <v>0</v>
      </c>
      <c r="AK3604" s="23">
        <v>0</v>
      </c>
      <c r="AM3604" s="19">
        <v>0</v>
      </c>
      <c r="AN3604" s="19">
        <v>352012</v>
      </c>
      <c r="AP3604" s="14">
        <v>352012</v>
      </c>
    </row>
    <row r="3605" spans="1:49" x14ac:dyDescent="0.2">
      <c r="A3605" s="121">
        <f t="shared" si="477"/>
        <v>3072</v>
      </c>
      <c r="B3605" s="13">
        <v>7</v>
      </c>
      <c r="C3605" s="17" t="s">
        <v>52</v>
      </c>
      <c r="D3605" s="17">
        <v>31891</v>
      </c>
      <c r="E3605" s="17">
        <v>248</v>
      </c>
      <c r="F3605" s="17">
        <v>6118</v>
      </c>
      <c r="G3605" s="13">
        <v>2</v>
      </c>
      <c r="H3605" s="17">
        <v>3</v>
      </c>
      <c r="I3605" s="17">
        <v>0</v>
      </c>
      <c r="J3605" s="17">
        <v>84.06</v>
      </c>
      <c r="K3605" s="10">
        <v>1284.06</v>
      </c>
      <c r="P3605" s="17">
        <v>1</v>
      </c>
      <c r="Q3605" s="19">
        <v>1284.06</v>
      </c>
      <c r="R3605" s="14">
        <v>200</v>
      </c>
      <c r="S3605" s="19">
        <v>256812</v>
      </c>
      <c r="AJ3605" s="19">
        <v>0</v>
      </c>
      <c r="AK3605" s="23">
        <v>0</v>
      </c>
      <c r="AM3605" s="19">
        <v>0</v>
      </c>
      <c r="AN3605" s="19">
        <v>256812</v>
      </c>
      <c r="AP3605" s="14">
        <v>256812</v>
      </c>
    </row>
    <row r="3606" spans="1:49" x14ac:dyDescent="0.2">
      <c r="A3606" s="121">
        <f t="shared" si="477"/>
        <v>3073</v>
      </c>
      <c r="B3606" s="13">
        <v>8</v>
      </c>
      <c r="C3606" s="17" t="s">
        <v>65</v>
      </c>
      <c r="D3606" s="17">
        <v>955</v>
      </c>
      <c r="E3606" s="17">
        <v>243</v>
      </c>
      <c r="H3606" s="17">
        <v>6</v>
      </c>
      <c r="I3606" s="17">
        <v>2</v>
      </c>
      <c r="J3606" s="17">
        <v>13</v>
      </c>
      <c r="K3606" s="10">
        <v>2613</v>
      </c>
      <c r="Q3606" s="19">
        <v>2613</v>
      </c>
      <c r="R3606" s="14">
        <v>200</v>
      </c>
      <c r="S3606" s="19">
        <v>522600</v>
      </c>
      <c r="AE3606" s="17" t="s">
        <v>307</v>
      </c>
      <c r="AJ3606" s="19">
        <v>0</v>
      </c>
      <c r="AK3606" s="23">
        <v>0</v>
      </c>
      <c r="AM3606" s="19">
        <v>0</v>
      </c>
      <c r="AN3606" s="19">
        <v>522600</v>
      </c>
      <c r="AP3606" s="14">
        <v>522600</v>
      </c>
      <c r="AQ3606" s="12">
        <v>1E-4</v>
      </c>
    </row>
    <row r="3607" spans="1:49" x14ac:dyDescent="0.2">
      <c r="A3607" s="121">
        <f t="shared" si="477"/>
        <v>3074</v>
      </c>
      <c r="B3607" s="13">
        <v>9</v>
      </c>
      <c r="C3607" s="17" t="s">
        <v>65</v>
      </c>
      <c r="D3607" s="17">
        <v>952</v>
      </c>
      <c r="E3607" s="17">
        <v>240</v>
      </c>
      <c r="H3607" s="17">
        <v>1</v>
      </c>
      <c r="I3607" s="17">
        <v>3</v>
      </c>
      <c r="J3607" s="17">
        <v>37</v>
      </c>
      <c r="K3607" s="10">
        <v>737</v>
      </c>
      <c r="Q3607" s="19">
        <v>737</v>
      </c>
      <c r="R3607" s="14">
        <v>160</v>
      </c>
      <c r="S3607" s="19">
        <v>117920</v>
      </c>
      <c r="AE3607" s="17" t="s">
        <v>94</v>
      </c>
      <c r="AJ3607" s="19">
        <v>0</v>
      </c>
      <c r="AK3607" s="23">
        <v>0</v>
      </c>
      <c r="AM3607" s="19">
        <v>0</v>
      </c>
      <c r="AN3607" s="19">
        <v>117920</v>
      </c>
      <c r="AP3607" s="14">
        <v>117920</v>
      </c>
      <c r="AQ3607" s="12">
        <v>1E-4</v>
      </c>
    </row>
    <row r="3608" spans="1:49" x14ac:dyDescent="0.2">
      <c r="A3608" s="121">
        <f t="shared" si="477"/>
        <v>3075</v>
      </c>
      <c r="B3608" s="13">
        <v>1</v>
      </c>
      <c r="C3608" s="17" t="s">
        <v>52</v>
      </c>
      <c r="D3608" s="17">
        <v>698</v>
      </c>
      <c r="E3608" s="17">
        <v>504</v>
      </c>
      <c r="F3608" s="17">
        <v>98</v>
      </c>
      <c r="G3608" s="13">
        <v>2</v>
      </c>
      <c r="H3608" s="17">
        <v>2</v>
      </c>
      <c r="I3608" s="17">
        <v>0</v>
      </c>
      <c r="J3608" s="17">
        <v>59.08</v>
      </c>
      <c r="O3608" s="14">
        <v>859.08</v>
      </c>
      <c r="P3608" s="17">
        <v>5</v>
      </c>
      <c r="Q3608" s="19">
        <v>859.08</v>
      </c>
      <c r="R3608" s="14">
        <v>1500</v>
      </c>
      <c r="S3608" s="19">
        <v>1288620</v>
      </c>
      <c r="AS3608" s="26">
        <v>64</v>
      </c>
      <c r="AW3608" s="14" t="s">
        <v>102</v>
      </c>
    </row>
    <row r="3609" spans="1:49" x14ac:dyDescent="0.2">
      <c r="P3609" s="17">
        <v>1</v>
      </c>
      <c r="Q3609" s="19">
        <v>509.08</v>
      </c>
      <c r="R3609" s="14">
        <v>1500</v>
      </c>
      <c r="S3609" s="19">
        <v>763620</v>
      </c>
    </row>
    <row r="3610" spans="1:49" x14ac:dyDescent="0.2">
      <c r="P3610" s="17">
        <v>5</v>
      </c>
      <c r="Q3610" s="19">
        <v>350</v>
      </c>
      <c r="R3610" s="14">
        <v>1500</v>
      </c>
      <c r="S3610" s="19">
        <v>525000</v>
      </c>
      <c r="AE3610" s="17">
        <v>288</v>
      </c>
    </row>
    <row r="3611" spans="1:49" ht="105" x14ac:dyDescent="0.2">
      <c r="T3611" s="17">
        <v>1</v>
      </c>
      <c r="U3611" s="17" t="s">
        <v>174</v>
      </c>
      <c r="V3611" s="17" t="s">
        <v>56</v>
      </c>
      <c r="W3611" s="4">
        <v>69</v>
      </c>
      <c r="Z3611" s="17">
        <v>69</v>
      </c>
      <c r="AA3611" s="17">
        <v>69</v>
      </c>
      <c r="AB3611" s="17">
        <v>4</v>
      </c>
      <c r="AE3611" s="17">
        <v>0.33823529411764708</v>
      </c>
      <c r="AF3611" s="14">
        <v>3</v>
      </c>
      <c r="AG3611" s="54">
        <v>69</v>
      </c>
      <c r="AH3611" s="11">
        <v>1</v>
      </c>
      <c r="AI3611" s="14">
        <v>5800</v>
      </c>
      <c r="AJ3611" s="19">
        <v>400200</v>
      </c>
      <c r="AK3611" s="23">
        <v>4</v>
      </c>
      <c r="AL3611" s="11">
        <v>0.04</v>
      </c>
      <c r="AM3611" s="19">
        <v>384192</v>
      </c>
      <c r="AN3611" s="19">
        <v>562692</v>
      </c>
      <c r="AP3611" s="14">
        <v>562692</v>
      </c>
      <c r="AQ3611" s="12">
        <v>3.0000000000000001E-3</v>
      </c>
    </row>
    <row r="3612" spans="1:49" ht="63" x14ac:dyDescent="0.2">
      <c r="T3612" s="17">
        <v>2</v>
      </c>
      <c r="U3612" s="17" t="s">
        <v>57</v>
      </c>
      <c r="V3612" s="17" t="s">
        <v>56</v>
      </c>
      <c r="W3612" s="4">
        <v>135</v>
      </c>
      <c r="Y3612" s="4">
        <v>135</v>
      </c>
      <c r="AB3612" s="17">
        <v>26</v>
      </c>
      <c r="AE3612" s="17">
        <v>0.66176470588235292</v>
      </c>
      <c r="AJ3612" s="19">
        <v>0</v>
      </c>
      <c r="AK3612" s="23">
        <v>26</v>
      </c>
      <c r="AM3612" s="19">
        <v>0</v>
      </c>
      <c r="AN3612" s="19">
        <v>0</v>
      </c>
      <c r="AP3612" s="14">
        <v>0</v>
      </c>
    </row>
    <row r="3613" spans="1:49" x14ac:dyDescent="0.2">
      <c r="A3613" s="2">
        <v>3076</v>
      </c>
      <c r="B3613" s="13">
        <v>2</v>
      </c>
      <c r="C3613" s="17" t="s">
        <v>52</v>
      </c>
      <c r="D3613" s="17">
        <v>31063</v>
      </c>
      <c r="E3613" s="17">
        <v>123</v>
      </c>
      <c r="F3613" s="17">
        <v>6013</v>
      </c>
      <c r="G3613" s="13">
        <v>2</v>
      </c>
      <c r="H3613" s="17">
        <v>1</v>
      </c>
      <c r="I3613" s="17">
        <v>1</v>
      </c>
      <c r="J3613" s="17">
        <v>43.07</v>
      </c>
      <c r="K3613" s="10">
        <v>543.07000000000005</v>
      </c>
      <c r="P3613" s="17">
        <v>1</v>
      </c>
      <c r="Q3613" s="19">
        <v>543.07000000000005</v>
      </c>
      <c r="R3613" s="14">
        <v>250</v>
      </c>
      <c r="S3613" s="19">
        <v>135767.5</v>
      </c>
      <c r="AJ3613" s="19">
        <v>0</v>
      </c>
      <c r="AK3613" s="23">
        <v>0</v>
      </c>
      <c r="AM3613" s="19">
        <v>0</v>
      </c>
      <c r="AN3613" s="19">
        <v>135767.5</v>
      </c>
      <c r="AP3613" s="14">
        <v>135767.5</v>
      </c>
    </row>
    <row r="3614" spans="1:49" ht="63" x14ac:dyDescent="0.2">
      <c r="A3614" s="2">
        <v>3077</v>
      </c>
      <c r="B3614" s="13">
        <v>3</v>
      </c>
      <c r="C3614" s="17" t="s">
        <v>52</v>
      </c>
      <c r="D3614" s="17">
        <v>31157</v>
      </c>
      <c r="E3614" s="17">
        <v>228</v>
      </c>
      <c r="F3614" s="17">
        <v>6102</v>
      </c>
      <c r="G3614" s="13">
        <v>2</v>
      </c>
      <c r="H3614" s="17">
        <v>1</v>
      </c>
      <c r="I3614" s="17">
        <v>0</v>
      </c>
      <c r="J3614" s="17">
        <v>88.06</v>
      </c>
      <c r="K3614" s="10">
        <v>467.06</v>
      </c>
      <c r="L3614" s="17">
        <v>21</v>
      </c>
      <c r="P3614" s="17">
        <v>5</v>
      </c>
      <c r="Q3614" s="19">
        <v>488.06</v>
      </c>
      <c r="R3614" s="14">
        <v>200</v>
      </c>
      <c r="S3614" s="19">
        <v>97612</v>
      </c>
      <c r="T3614" s="17">
        <v>1</v>
      </c>
      <c r="U3614" s="17" t="s">
        <v>57</v>
      </c>
      <c r="V3614" s="17" t="s">
        <v>88</v>
      </c>
      <c r="W3614" s="4">
        <v>84</v>
      </c>
      <c r="Y3614" s="4">
        <v>84</v>
      </c>
      <c r="AE3614" s="17">
        <v>0.29166666666666669</v>
      </c>
      <c r="AJ3614" s="19">
        <v>0</v>
      </c>
      <c r="AK3614" s="23">
        <v>0</v>
      </c>
      <c r="AM3614" s="19">
        <v>0</v>
      </c>
      <c r="AN3614" s="19">
        <v>97612</v>
      </c>
      <c r="AP3614" s="14">
        <v>97612</v>
      </c>
    </row>
    <row r="3615" spans="1:49" x14ac:dyDescent="0.2">
      <c r="B3615" s="13">
        <v>4</v>
      </c>
      <c r="C3615" s="17" t="s">
        <v>65</v>
      </c>
      <c r="D3615" s="17">
        <v>3570</v>
      </c>
      <c r="E3615" s="17">
        <v>425</v>
      </c>
      <c r="H3615" s="17">
        <v>1</v>
      </c>
      <c r="I3615" s="17">
        <v>2</v>
      </c>
      <c r="J3615" s="17">
        <v>32</v>
      </c>
      <c r="K3615" s="10">
        <v>632</v>
      </c>
      <c r="Q3615" s="19">
        <v>632</v>
      </c>
      <c r="R3615" s="14" t="e">
        <v>#N/A</v>
      </c>
      <c r="S3615" s="19" t="e">
        <v>#N/A</v>
      </c>
      <c r="AE3615" s="17" t="s">
        <v>94</v>
      </c>
      <c r="AJ3615" s="19">
        <v>0</v>
      </c>
      <c r="AK3615" s="23">
        <v>0</v>
      </c>
      <c r="AM3615" s="19">
        <v>0</v>
      </c>
      <c r="AN3615" s="19" t="e">
        <v>#N/A</v>
      </c>
      <c r="AP3615" s="14" t="e">
        <v>#N/A</v>
      </c>
      <c r="AQ3615" s="12">
        <v>1E-4</v>
      </c>
    </row>
    <row r="3616" spans="1:49" x14ac:dyDescent="0.2">
      <c r="B3616" s="13">
        <v>5</v>
      </c>
      <c r="C3616" s="17" t="s">
        <v>65</v>
      </c>
      <c r="D3616" s="17">
        <v>3573</v>
      </c>
      <c r="E3616" s="17">
        <v>428</v>
      </c>
      <c r="H3616" s="17">
        <v>1</v>
      </c>
      <c r="I3616" s="17">
        <v>1</v>
      </c>
      <c r="J3616" s="17">
        <v>1</v>
      </c>
      <c r="K3616" s="10">
        <v>501</v>
      </c>
      <c r="Q3616" s="19">
        <v>501</v>
      </c>
      <c r="R3616" s="14" t="e">
        <v>#N/A</v>
      </c>
      <c r="S3616" s="19" t="e">
        <v>#N/A</v>
      </c>
      <c r="AE3616" s="17" t="s">
        <v>94</v>
      </c>
      <c r="AJ3616" s="19">
        <v>0</v>
      </c>
      <c r="AK3616" s="23">
        <v>0</v>
      </c>
      <c r="AM3616" s="19">
        <v>0</v>
      </c>
      <c r="AN3616" s="19" t="e">
        <v>#N/A</v>
      </c>
      <c r="AP3616" s="14" t="e">
        <v>#N/A</v>
      </c>
      <c r="AQ3616" s="12">
        <v>1E-4</v>
      </c>
    </row>
    <row r="3617" spans="1:49" ht="63" x14ac:dyDescent="0.2">
      <c r="A3617" s="2">
        <v>3078</v>
      </c>
      <c r="B3617" s="13">
        <v>1</v>
      </c>
      <c r="C3617" s="17" t="s">
        <v>52</v>
      </c>
      <c r="D3617" s="17">
        <v>699</v>
      </c>
      <c r="E3617" s="17">
        <v>503</v>
      </c>
      <c r="F3617" s="17">
        <v>99</v>
      </c>
      <c r="G3617" s="13">
        <v>2</v>
      </c>
      <c r="H3617" s="17">
        <v>2</v>
      </c>
      <c r="I3617" s="17">
        <v>2</v>
      </c>
      <c r="J3617" s="17">
        <v>43.06</v>
      </c>
      <c r="K3617" s="10">
        <v>979.81</v>
      </c>
      <c r="L3617" s="17">
        <v>63.25</v>
      </c>
      <c r="P3617" s="17">
        <v>5</v>
      </c>
      <c r="Q3617" s="19">
        <v>1043.06</v>
      </c>
      <c r="R3617" s="14">
        <v>750</v>
      </c>
      <c r="S3617" s="19">
        <v>782295</v>
      </c>
      <c r="T3617" s="17">
        <v>1</v>
      </c>
      <c r="U3617" s="17" t="s">
        <v>57</v>
      </c>
      <c r="V3617" s="17" t="s">
        <v>84</v>
      </c>
      <c r="W3617" s="4">
        <v>253</v>
      </c>
      <c r="Y3617" s="4">
        <v>253</v>
      </c>
      <c r="AJ3617" s="19">
        <v>0</v>
      </c>
      <c r="AK3617" s="23">
        <v>0</v>
      </c>
      <c r="AM3617" s="19">
        <v>0</v>
      </c>
      <c r="AN3617" s="19">
        <v>782295</v>
      </c>
      <c r="AP3617" s="14">
        <v>782295</v>
      </c>
      <c r="AS3617" s="26">
        <v>306</v>
      </c>
    </row>
    <row r="3618" spans="1:49" ht="63" x14ac:dyDescent="0.2">
      <c r="A3618" s="2">
        <v>3079</v>
      </c>
      <c r="B3618" s="13">
        <v>2</v>
      </c>
      <c r="C3618" s="17" t="s">
        <v>52</v>
      </c>
      <c r="D3618" s="17">
        <v>1028</v>
      </c>
      <c r="E3618" s="17">
        <v>41</v>
      </c>
      <c r="F3618" s="17">
        <v>383</v>
      </c>
      <c r="G3618" s="13">
        <v>1</v>
      </c>
      <c r="H3618" s="17">
        <v>5</v>
      </c>
      <c r="I3618" s="17">
        <v>0</v>
      </c>
      <c r="J3618" s="17">
        <v>35</v>
      </c>
      <c r="K3618" s="10">
        <v>2009</v>
      </c>
      <c r="L3618" s="17">
        <v>26</v>
      </c>
      <c r="P3618" s="17">
        <v>5</v>
      </c>
      <c r="Q3618" s="19">
        <v>2035</v>
      </c>
      <c r="R3618" s="14">
        <v>1500</v>
      </c>
      <c r="S3618" s="19">
        <v>3052500</v>
      </c>
      <c r="T3618" s="17">
        <v>1</v>
      </c>
      <c r="U3618" s="17" t="s">
        <v>57</v>
      </c>
      <c r="V3618" s="17" t="s">
        <v>84</v>
      </c>
      <c r="W3618" s="4">
        <v>104</v>
      </c>
      <c r="Y3618" s="4">
        <v>104</v>
      </c>
      <c r="AB3618" s="17">
        <v>16</v>
      </c>
      <c r="AJ3618" s="19">
        <v>0</v>
      </c>
      <c r="AK3618" s="23">
        <v>16</v>
      </c>
      <c r="AM3618" s="19">
        <v>0</v>
      </c>
      <c r="AN3618" s="19">
        <v>3052500</v>
      </c>
      <c r="AP3618" s="14">
        <v>3052500</v>
      </c>
    </row>
    <row r="3619" spans="1:49" x14ac:dyDescent="0.2">
      <c r="C3619" s="17" t="s">
        <v>52</v>
      </c>
      <c r="D3619" s="17">
        <v>37377</v>
      </c>
      <c r="E3619" s="17">
        <v>163</v>
      </c>
      <c r="F3619" s="17">
        <v>7530</v>
      </c>
      <c r="H3619" s="17">
        <v>27</v>
      </c>
      <c r="I3619" s="17">
        <v>1</v>
      </c>
      <c r="J3619" s="17">
        <v>93.3</v>
      </c>
      <c r="K3619" s="10">
        <v>10993.3</v>
      </c>
      <c r="P3619" s="17">
        <v>1</v>
      </c>
      <c r="Q3619" s="19">
        <v>10993.3</v>
      </c>
      <c r="R3619" s="14" t="e">
        <v>#N/A</v>
      </c>
      <c r="S3619" s="19" t="e">
        <v>#N/A</v>
      </c>
    </row>
    <row r="3620" spans="1:49" x14ac:dyDescent="0.2">
      <c r="A3620" s="2">
        <v>3080</v>
      </c>
      <c r="B3620" s="13">
        <v>5</v>
      </c>
      <c r="C3620" s="17" t="s">
        <v>52</v>
      </c>
      <c r="D3620" s="17">
        <v>4168</v>
      </c>
      <c r="E3620" s="17">
        <v>79</v>
      </c>
      <c r="F3620" s="17">
        <v>2511</v>
      </c>
      <c r="G3620" s="13">
        <v>1</v>
      </c>
      <c r="H3620" s="17">
        <v>7</v>
      </c>
      <c r="I3620" s="17">
        <v>3</v>
      </c>
      <c r="J3620" s="17">
        <v>12</v>
      </c>
      <c r="K3620" s="10">
        <v>3112</v>
      </c>
      <c r="P3620" s="17">
        <v>1</v>
      </c>
      <c r="Q3620" s="19">
        <v>3112</v>
      </c>
      <c r="R3620" s="14">
        <v>160</v>
      </c>
      <c r="S3620" s="19">
        <v>497920</v>
      </c>
      <c r="AJ3620" s="19">
        <v>0</v>
      </c>
      <c r="AK3620" s="23">
        <v>0</v>
      </c>
      <c r="AM3620" s="19">
        <v>0</v>
      </c>
      <c r="AN3620" s="19">
        <v>497920</v>
      </c>
      <c r="AP3620" s="14">
        <v>497920</v>
      </c>
    </row>
    <row r="3621" spans="1:49" x14ac:dyDescent="0.2">
      <c r="A3621" s="2">
        <f>+A3620+1</f>
        <v>3081</v>
      </c>
      <c r="B3621" s="13">
        <v>6</v>
      </c>
      <c r="C3621" s="17" t="s">
        <v>52</v>
      </c>
      <c r="D3621" s="17">
        <v>4607</v>
      </c>
      <c r="E3621" s="17">
        <v>80</v>
      </c>
      <c r="F3621" s="17">
        <v>2426</v>
      </c>
      <c r="G3621" s="13">
        <v>1</v>
      </c>
      <c r="H3621" s="17">
        <v>14</v>
      </c>
      <c r="I3621" s="17">
        <v>1</v>
      </c>
      <c r="J3621" s="17">
        <v>72</v>
      </c>
      <c r="K3621" s="10">
        <v>5772</v>
      </c>
      <c r="P3621" s="17">
        <v>1</v>
      </c>
      <c r="Q3621" s="19">
        <v>5772</v>
      </c>
      <c r="R3621" s="14">
        <v>160</v>
      </c>
      <c r="S3621" s="19">
        <v>923520</v>
      </c>
      <c r="AJ3621" s="19">
        <v>0</v>
      </c>
      <c r="AK3621" s="23">
        <v>0</v>
      </c>
      <c r="AM3621" s="19">
        <v>0</v>
      </c>
      <c r="AN3621" s="19">
        <v>923520</v>
      </c>
      <c r="AP3621" s="14">
        <v>923520</v>
      </c>
    </row>
    <row r="3622" spans="1:49" x14ac:dyDescent="0.2">
      <c r="A3622" s="121">
        <f t="shared" ref="A3622:A3625" si="478">+A3621+1</f>
        <v>3082</v>
      </c>
      <c r="B3622" s="13">
        <v>7</v>
      </c>
      <c r="C3622" s="17" t="s">
        <v>52</v>
      </c>
      <c r="D3622" s="17">
        <v>4608</v>
      </c>
      <c r="E3622" s="17">
        <v>67</v>
      </c>
      <c r="F3622" s="17">
        <v>2427</v>
      </c>
      <c r="G3622" s="13">
        <v>1</v>
      </c>
      <c r="H3622" s="17">
        <v>7</v>
      </c>
      <c r="I3622" s="17">
        <v>0</v>
      </c>
      <c r="J3622" s="17">
        <v>3</v>
      </c>
      <c r="K3622" s="10">
        <v>2803</v>
      </c>
      <c r="P3622" s="17">
        <v>1</v>
      </c>
      <c r="Q3622" s="19">
        <v>2803</v>
      </c>
      <c r="R3622" s="14">
        <v>200</v>
      </c>
      <c r="S3622" s="19">
        <v>560600</v>
      </c>
      <c r="AJ3622" s="19">
        <v>0</v>
      </c>
      <c r="AK3622" s="23">
        <v>0</v>
      </c>
      <c r="AM3622" s="19">
        <v>0</v>
      </c>
      <c r="AN3622" s="19">
        <v>560600</v>
      </c>
      <c r="AP3622" s="14">
        <v>560600</v>
      </c>
    </row>
    <row r="3623" spans="1:49" x14ac:dyDescent="0.2">
      <c r="A3623" s="121">
        <f t="shared" si="478"/>
        <v>3083</v>
      </c>
      <c r="B3623" s="13">
        <v>8</v>
      </c>
      <c r="C3623" s="17" t="s">
        <v>52</v>
      </c>
      <c r="D3623" s="17">
        <v>31062</v>
      </c>
      <c r="E3623" s="17">
        <v>122</v>
      </c>
      <c r="F3623" s="17">
        <v>6012</v>
      </c>
      <c r="G3623" s="13">
        <v>2</v>
      </c>
      <c r="H3623" s="17">
        <v>1</v>
      </c>
      <c r="I3623" s="17">
        <v>2</v>
      </c>
      <c r="J3623" s="17">
        <v>15.02</v>
      </c>
      <c r="Q3623" s="19">
        <v>615.02</v>
      </c>
      <c r="R3623" s="14">
        <v>160</v>
      </c>
      <c r="S3623" s="19">
        <v>98403.199999999997</v>
      </c>
      <c r="AJ3623" s="19">
        <v>0</v>
      </c>
      <c r="AK3623" s="23">
        <v>0</v>
      </c>
      <c r="AM3623" s="19">
        <v>0</v>
      </c>
      <c r="AN3623" s="19">
        <v>98403.199999999997</v>
      </c>
      <c r="AP3623" s="14">
        <v>98403.199999999997</v>
      </c>
    </row>
    <row r="3624" spans="1:49" x14ac:dyDescent="0.2">
      <c r="A3624" s="121">
        <f t="shared" si="478"/>
        <v>3084</v>
      </c>
      <c r="B3624" s="13">
        <v>9</v>
      </c>
      <c r="C3624" s="17" t="s">
        <v>52</v>
      </c>
      <c r="D3624" s="17">
        <v>31156</v>
      </c>
      <c r="E3624" s="17">
        <v>227</v>
      </c>
      <c r="F3624" s="17">
        <v>6101</v>
      </c>
      <c r="G3624" s="13">
        <v>2</v>
      </c>
      <c r="H3624" s="17">
        <v>0</v>
      </c>
      <c r="I3624" s="17">
        <v>1</v>
      </c>
      <c r="J3624" s="17">
        <v>83.01</v>
      </c>
      <c r="K3624" s="10">
        <v>183.01</v>
      </c>
      <c r="P3624" s="17">
        <v>1</v>
      </c>
      <c r="Q3624" s="19">
        <v>183.01</v>
      </c>
      <c r="R3624" s="14">
        <v>200</v>
      </c>
      <c r="S3624" s="19">
        <v>36602</v>
      </c>
      <c r="AJ3624" s="19">
        <v>0</v>
      </c>
      <c r="AK3624" s="23">
        <v>0</v>
      </c>
      <c r="AM3624" s="19">
        <v>0</v>
      </c>
      <c r="AN3624" s="19">
        <v>36602</v>
      </c>
      <c r="AP3624" s="14">
        <v>36602</v>
      </c>
    </row>
    <row r="3625" spans="1:49" x14ac:dyDescent="0.2">
      <c r="A3625" s="121">
        <f t="shared" si="478"/>
        <v>3085</v>
      </c>
      <c r="B3625" s="13">
        <v>10</v>
      </c>
      <c r="C3625" s="17" t="s">
        <v>65</v>
      </c>
      <c r="D3625" s="17">
        <v>1693</v>
      </c>
      <c r="E3625" s="17">
        <v>13</v>
      </c>
      <c r="H3625" s="17">
        <v>5</v>
      </c>
      <c r="I3625" s="17">
        <v>1</v>
      </c>
      <c r="J3625" s="17">
        <v>73</v>
      </c>
      <c r="K3625" s="10">
        <v>2173</v>
      </c>
      <c r="P3625" s="17">
        <v>1</v>
      </c>
      <c r="Q3625" s="19">
        <v>2173</v>
      </c>
      <c r="R3625" s="14">
        <v>160</v>
      </c>
      <c r="S3625" s="19">
        <v>347680</v>
      </c>
      <c r="AJ3625" s="19">
        <v>0</v>
      </c>
      <c r="AK3625" s="23">
        <v>0</v>
      </c>
      <c r="AM3625" s="19">
        <v>0</v>
      </c>
      <c r="AN3625" s="19">
        <v>347680</v>
      </c>
      <c r="AP3625" s="14">
        <v>347680</v>
      </c>
      <c r="AQ3625" s="12">
        <v>1E-4</v>
      </c>
    </row>
    <row r="3626" spans="1:49" x14ac:dyDescent="0.2">
      <c r="B3626" s="13">
        <v>11</v>
      </c>
      <c r="C3626" s="17" t="s">
        <v>65</v>
      </c>
      <c r="D3626" s="17">
        <v>3571</v>
      </c>
      <c r="E3626" s="17">
        <v>426</v>
      </c>
      <c r="H3626" s="17">
        <v>1</v>
      </c>
      <c r="I3626" s="17">
        <v>2</v>
      </c>
      <c r="J3626" s="17">
        <v>33</v>
      </c>
      <c r="K3626" s="10">
        <v>633</v>
      </c>
      <c r="Q3626" s="19">
        <v>633</v>
      </c>
      <c r="R3626" s="14" t="e">
        <v>#N/A</v>
      </c>
      <c r="S3626" s="19" t="e">
        <v>#N/A</v>
      </c>
      <c r="AE3626" s="17" t="s">
        <v>94</v>
      </c>
      <c r="AJ3626" s="19">
        <v>0</v>
      </c>
      <c r="AK3626" s="23">
        <v>0</v>
      </c>
      <c r="AM3626" s="19">
        <v>0</v>
      </c>
      <c r="AN3626" s="19" t="e">
        <v>#N/A</v>
      </c>
      <c r="AP3626" s="14" t="e">
        <v>#N/A</v>
      </c>
      <c r="AQ3626" s="12">
        <v>1E-4</v>
      </c>
    </row>
    <row r="3627" spans="1:49" x14ac:dyDescent="0.2">
      <c r="B3627" s="13">
        <v>12</v>
      </c>
      <c r="C3627" s="17" t="s">
        <v>65</v>
      </c>
      <c r="D3627" s="17">
        <v>3572</v>
      </c>
      <c r="E3627" s="17">
        <v>427</v>
      </c>
      <c r="H3627" s="17">
        <v>0</v>
      </c>
      <c r="I3627" s="17">
        <v>2</v>
      </c>
      <c r="J3627" s="17">
        <v>5</v>
      </c>
      <c r="K3627" s="10">
        <v>205</v>
      </c>
      <c r="Q3627" s="19">
        <v>205</v>
      </c>
      <c r="R3627" s="14" t="e">
        <v>#N/A</v>
      </c>
      <c r="S3627" s="19" t="e">
        <v>#N/A</v>
      </c>
      <c r="AE3627" s="17" t="s">
        <v>94</v>
      </c>
      <c r="AJ3627" s="19">
        <v>0</v>
      </c>
      <c r="AK3627" s="23">
        <v>0</v>
      </c>
      <c r="AM3627" s="19">
        <v>0</v>
      </c>
      <c r="AN3627" s="19" t="e">
        <v>#N/A</v>
      </c>
      <c r="AP3627" s="14" t="e">
        <v>#N/A</v>
      </c>
      <c r="AQ3627" s="12">
        <v>1E-4</v>
      </c>
      <c r="AW3627" s="14" t="s">
        <v>102</v>
      </c>
    </row>
    <row r="3628" spans="1:49" x14ac:dyDescent="0.2">
      <c r="A3628" s="2">
        <v>3086</v>
      </c>
      <c r="B3628" s="13">
        <v>1</v>
      </c>
      <c r="C3628" s="17" t="s">
        <v>52</v>
      </c>
      <c r="D3628" s="17">
        <v>3862</v>
      </c>
      <c r="E3628" s="17">
        <v>34</v>
      </c>
      <c r="F3628" s="17">
        <v>2416</v>
      </c>
      <c r="G3628" s="13">
        <v>2</v>
      </c>
      <c r="H3628" s="17">
        <v>6</v>
      </c>
      <c r="I3628" s="17">
        <v>1</v>
      </c>
      <c r="J3628" s="17">
        <v>25</v>
      </c>
      <c r="K3628" s="10">
        <v>2525</v>
      </c>
      <c r="P3628" s="17">
        <v>1</v>
      </c>
      <c r="Q3628" s="19">
        <v>2525</v>
      </c>
      <c r="R3628" s="14">
        <v>200</v>
      </c>
      <c r="S3628" s="19">
        <v>505000</v>
      </c>
      <c r="AJ3628" s="19">
        <v>0</v>
      </c>
      <c r="AK3628" s="23">
        <v>0</v>
      </c>
      <c r="AM3628" s="19">
        <v>0</v>
      </c>
      <c r="AN3628" s="19">
        <v>505000</v>
      </c>
      <c r="AP3628" s="14">
        <v>505000</v>
      </c>
      <c r="AS3628" s="26">
        <v>35</v>
      </c>
    </row>
    <row r="3629" spans="1:49" x14ac:dyDescent="0.2">
      <c r="A3629" s="2">
        <f>+A3628+1</f>
        <v>3087</v>
      </c>
      <c r="B3629" s="13">
        <v>1</v>
      </c>
      <c r="C3629" s="17" t="s">
        <v>52</v>
      </c>
      <c r="D3629" s="17">
        <v>4901</v>
      </c>
      <c r="E3629" s="17">
        <v>77</v>
      </c>
      <c r="F3629" s="17">
        <v>2775</v>
      </c>
      <c r="G3629" s="13">
        <v>7</v>
      </c>
      <c r="H3629" s="17">
        <v>12</v>
      </c>
      <c r="I3629" s="17">
        <v>2</v>
      </c>
      <c r="J3629" s="17">
        <v>37</v>
      </c>
      <c r="K3629" s="10">
        <v>5037</v>
      </c>
      <c r="P3629" s="17">
        <v>1</v>
      </c>
      <c r="Q3629" s="19">
        <v>5037</v>
      </c>
      <c r="R3629" s="14">
        <v>160</v>
      </c>
      <c r="S3629" s="19">
        <v>805920</v>
      </c>
      <c r="AJ3629" s="19">
        <v>0</v>
      </c>
      <c r="AK3629" s="23">
        <v>0</v>
      </c>
      <c r="AM3629" s="19">
        <v>0</v>
      </c>
      <c r="AN3629" s="19">
        <v>805920</v>
      </c>
      <c r="AP3629" s="14">
        <v>805920</v>
      </c>
    </row>
    <row r="3630" spans="1:49" x14ac:dyDescent="0.2">
      <c r="A3630" s="121">
        <f t="shared" ref="A3630:A3671" si="479">+A3629+1</f>
        <v>3088</v>
      </c>
      <c r="B3630" s="13">
        <v>1</v>
      </c>
      <c r="C3630" s="17" t="s">
        <v>52</v>
      </c>
      <c r="D3630" s="17">
        <v>31126</v>
      </c>
      <c r="E3630" s="17">
        <v>220</v>
      </c>
      <c r="F3630" s="17">
        <v>6071</v>
      </c>
      <c r="G3630" s="13">
        <v>2</v>
      </c>
      <c r="H3630" s="17">
        <v>0</v>
      </c>
      <c r="I3630" s="17">
        <v>0</v>
      </c>
      <c r="J3630" s="17">
        <v>33.03</v>
      </c>
      <c r="N3630" s="18">
        <v>33.03</v>
      </c>
      <c r="P3630" s="17">
        <v>4</v>
      </c>
      <c r="Q3630" s="19">
        <v>33.03</v>
      </c>
      <c r="R3630" s="14">
        <v>4500</v>
      </c>
      <c r="S3630" s="19">
        <v>148635</v>
      </c>
      <c r="AJ3630" s="19">
        <v>0</v>
      </c>
      <c r="AK3630" s="23">
        <v>0</v>
      </c>
      <c r="AM3630" s="19">
        <v>0</v>
      </c>
      <c r="AN3630" s="19">
        <v>148635</v>
      </c>
      <c r="AP3630" s="14">
        <v>148635</v>
      </c>
      <c r="AQ3630" s="12">
        <v>3.0000000000000001E-3</v>
      </c>
    </row>
    <row r="3631" spans="1:49" x14ac:dyDescent="0.2">
      <c r="A3631" s="121">
        <f t="shared" si="479"/>
        <v>3089</v>
      </c>
      <c r="B3631" s="13">
        <v>2</v>
      </c>
      <c r="C3631" s="17" t="s">
        <v>65</v>
      </c>
      <c r="D3631" s="17">
        <v>3063</v>
      </c>
      <c r="E3631" s="17">
        <v>246</v>
      </c>
      <c r="H3631" s="17">
        <v>0</v>
      </c>
      <c r="I3631" s="17">
        <v>0</v>
      </c>
      <c r="J3631" s="17">
        <v>46</v>
      </c>
      <c r="N3631" s="18">
        <v>46</v>
      </c>
      <c r="P3631" s="17">
        <v>4</v>
      </c>
      <c r="Q3631" s="19">
        <v>46</v>
      </c>
      <c r="R3631" s="14">
        <v>250</v>
      </c>
      <c r="S3631" s="19">
        <v>11500</v>
      </c>
      <c r="AJ3631" s="19">
        <v>0</v>
      </c>
      <c r="AK3631" s="23">
        <v>0</v>
      </c>
      <c r="AM3631" s="19">
        <v>0</v>
      </c>
      <c r="AN3631" s="19">
        <v>11500</v>
      </c>
      <c r="AP3631" s="14">
        <v>11500</v>
      </c>
      <c r="AQ3631" s="12">
        <v>3.0000000000000001E-3</v>
      </c>
    </row>
    <row r="3632" spans="1:49" x14ac:dyDescent="0.2">
      <c r="A3632" s="121">
        <f t="shared" si="479"/>
        <v>3090</v>
      </c>
      <c r="B3632" s="13">
        <v>3</v>
      </c>
      <c r="C3632" s="17" t="s">
        <v>65</v>
      </c>
      <c r="D3632" s="17">
        <v>3605</v>
      </c>
      <c r="E3632" s="17">
        <v>648</v>
      </c>
      <c r="H3632" s="17">
        <v>0</v>
      </c>
      <c r="I3632" s="17">
        <v>0</v>
      </c>
      <c r="J3632" s="17">
        <v>32</v>
      </c>
      <c r="N3632" s="18">
        <v>32</v>
      </c>
      <c r="Q3632" s="19">
        <v>32</v>
      </c>
      <c r="R3632" s="14">
        <v>200</v>
      </c>
      <c r="S3632" s="19">
        <v>6400</v>
      </c>
      <c r="AE3632" s="17" t="s">
        <v>95</v>
      </c>
      <c r="AJ3632" s="19">
        <v>0</v>
      </c>
      <c r="AK3632" s="23">
        <v>0</v>
      </c>
      <c r="AM3632" s="19">
        <v>0</v>
      </c>
      <c r="AN3632" s="19">
        <v>6400</v>
      </c>
      <c r="AP3632" s="14">
        <v>6400</v>
      </c>
      <c r="AQ3632" s="12">
        <v>3.0000000000000001E-3</v>
      </c>
    </row>
    <row r="3633" spans="1:45" ht="42" x14ac:dyDescent="0.2">
      <c r="A3633" s="121">
        <f t="shared" si="479"/>
        <v>3091</v>
      </c>
      <c r="B3633" s="13">
        <v>1</v>
      </c>
      <c r="C3633" s="17" t="s">
        <v>52</v>
      </c>
      <c r="D3633" s="17">
        <v>1666</v>
      </c>
      <c r="E3633" s="17">
        <v>3</v>
      </c>
      <c r="F3633" s="17">
        <v>785</v>
      </c>
      <c r="G3633" s="13">
        <v>6</v>
      </c>
      <c r="H3633" s="17">
        <v>8</v>
      </c>
      <c r="I3633" s="17">
        <v>0</v>
      </c>
      <c r="J3633" s="17">
        <v>45</v>
      </c>
      <c r="K3633" s="10">
        <v>3245</v>
      </c>
      <c r="P3633" s="17">
        <v>1</v>
      </c>
      <c r="Q3633" s="19">
        <v>3245</v>
      </c>
      <c r="R3633" s="14">
        <v>3350</v>
      </c>
      <c r="S3633" s="19">
        <v>10870750</v>
      </c>
      <c r="AJ3633" s="19">
        <v>0</v>
      </c>
      <c r="AK3633" s="23">
        <v>0</v>
      </c>
      <c r="AM3633" s="19">
        <v>0</v>
      </c>
      <c r="AN3633" s="19">
        <v>10870750</v>
      </c>
      <c r="AP3633" s="14">
        <v>10870750</v>
      </c>
      <c r="AS3633" s="26">
        <v>57</v>
      </c>
    </row>
    <row r="3634" spans="1:45" x14ac:dyDescent="0.2">
      <c r="A3634" s="121">
        <f t="shared" si="479"/>
        <v>3092</v>
      </c>
      <c r="B3634" s="13">
        <v>1</v>
      </c>
      <c r="C3634" s="17" t="s">
        <v>69</v>
      </c>
      <c r="E3634" s="17">
        <v>1497</v>
      </c>
      <c r="F3634" s="17">
        <v>5</v>
      </c>
      <c r="G3634" s="13">
        <v>6</v>
      </c>
      <c r="H3634" s="17">
        <v>38</v>
      </c>
      <c r="I3634" s="17">
        <v>1</v>
      </c>
      <c r="J3634" s="17">
        <v>36</v>
      </c>
      <c r="K3634" s="10">
        <v>15336</v>
      </c>
      <c r="P3634" s="17">
        <v>1</v>
      </c>
      <c r="Q3634" s="19">
        <v>15336</v>
      </c>
      <c r="R3634" s="14">
        <v>200</v>
      </c>
      <c r="S3634" s="19">
        <v>3067200</v>
      </c>
      <c r="AJ3634" s="19">
        <v>0</v>
      </c>
      <c r="AK3634" s="23">
        <v>0</v>
      </c>
      <c r="AM3634" s="19">
        <v>0</v>
      </c>
      <c r="AN3634" s="19">
        <v>3067200</v>
      </c>
      <c r="AP3634" s="14">
        <v>3067200</v>
      </c>
      <c r="AQ3634" s="12">
        <v>1E-4</v>
      </c>
    </row>
    <row r="3635" spans="1:45" x14ac:dyDescent="0.2">
      <c r="A3635" s="121">
        <f t="shared" si="479"/>
        <v>3093</v>
      </c>
      <c r="B3635" s="13">
        <v>1</v>
      </c>
      <c r="C3635" s="17" t="s">
        <v>52</v>
      </c>
      <c r="D3635" s="17">
        <v>1125</v>
      </c>
      <c r="E3635" s="17">
        <v>48</v>
      </c>
      <c r="F3635" s="17">
        <v>705</v>
      </c>
      <c r="G3635" s="13">
        <v>1</v>
      </c>
      <c r="H3635" s="17">
        <v>0</v>
      </c>
      <c r="I3635" s="17">
        <v>0</v>
      </c>
      <c r="J3635" s="17">
        <v>41</v>
      </c>
      <c r="N3635" s="18">
        <v>41</v>
      </c>
      <c r="P3635" s="17">
        <v>4</v>
      </c>
      <c r="Q3635" s="19">
        <v>41</v>
      </c>
      <c r="R3635" s="14">
        <v>250</v>
      </c>
      <c r="S3635" s="19">
        <v>10250</v>
      </c>
      <c r="AJ3635" s="19">
        <v>0</v>
      </c>
      <c r="AK3635" s="23">
        <v>0</v>
      </c>
      <c r="AM3635" s="19">
        <v>0</v>
      </c>
      <c r="AN3635" s="19">
        <v>10250</v>
      </c>
      <c r="AP3635" s="14">
        <v>10250</v>
      </c>
      <c r="AQ3635" s="12">
        <v>3.0000000000000001E-3</v>
      </c>
    </row>
    <row r="3636" spans="1:45" x14ac:dyDescent="0.2">
      <c r="A3636" s="121">
        <f t="shared" si="479"/>
        <v>3094</v>
      </c>
      <c r="B3636" s="13">
        <v>1</v>
      </c>
      <c r="C3636" s="17" t="s">
        <v>69</v>
      </c>
      <c r="E3636" s="17">
        <v>2329</v>
      </c>
      <c r="F3636" s="17">
        <v>16</v>
      </c>
      <c r="G3636" s="13">
        <v>1</v>
      </c>
      <c r="H3636" s="17">
        <v>21</v>
      </c>
      <c r="I3636" s="17">
        <v>0</v>
      </c>
      <c r="J3636" s="17">
        <v>22</v>
      </c>
      <c r="K3636" s="10">
        <v>8422</v>
      </c>
      <c r="P3636" s="17">
        <v>1</v>
      </c>
      <c r="Q3636" s="19">
        <v>8422</v>
      </c>
      <c r="R3636" s="14">
        <v>160</v>
      </c>
      <c r="S3636" s="19">
        <v>1347520</v>
      </c>
      <c r="AJ3636" s="19">
        <v>0</v>
      </c>
      <c r="AK3636" s="23">
        <v>0</v>
      </c>
      <c r="AM3636" s="19">
        <v>0</v>
      </c>
      <c r="AN3636" s="19">
        <v>1347520</v>
      </c>
      <c r="AP3636" s="14">
        <v>1347520</v>
      </c>
      <c r="AQ3636" s="12">
        <v>1E-4</v>
      </c>
    </row>
    <row r="3637" spans="1:45" x14ac:dyDescent="0.2">
      <c r="A3637" s="121">
        <f t="shared" si="479"/>
        <v>3095</v>
      </c>
      <c r="B3637" s="13">
        <v>1</v>
      </c>
      <c r="C3637" s="17" t="s">
        <v>52</v>
      </c>
      <c r="D3637" s="17">
        <v>10471</v>
      </c>
      <c r="E3637" s="17">
        <v>23</v>
      </c>
      <c r="F3637" s="17">
        <v>3022</v>
      </c>
      <c r="G3637" s="13">
        <v>3</v>
      </c>
      <c r="H3637" s="17">
        <v>0</v>
      </c>
      <c r="I3637" s="17">
        <v>2</v>
      </c>
      <c r="J3637" s="17">
        <v>89</v>
      </c>
      <c r="L3637" s="17">
        <v>289</v>
      </c>
      <c r="P3637" s="17">
        <v>2</v>
      </c>
      <c r="Q3637" s="19">
        <v>289</v>
      </c>
      <c r="R3637" s="14">
        <v>2000</v>
      </c>
      <c r="S3637" s="19">
        <v>578000</v>
      </c>
      <c r="AJ3637" s="19">
        <v>0</v>
      </c>
      <c r="AK3637" s="23">
        <v>0</v>
      </c>
      <c r="AM3637" s="19">
        <v>0</v>
      </c>
      <c r="AN3637" s="19">
        <v>578000</v>
      </c>
      <c r="AP3637" s="14">
        <v>578000</v>
      </c>
    </row>
    <row r="3638" spans="1:45" x14ac:dyDescent="0.2">
      <c r="A3638" s="121">
        <f t="shared" si="479"/>
        <v>3096</v>
      </c>
      <c r="B3638" s="13">
        <v>1</v>
      </c>
      <c r="C3638" s="17" t="s">
        <v>52</v>
      </c>
      <c r="D3638" s="17">
        <v>2895</v>
      </c>
      <c r="E3638" s="17">
        <v>3</v>
      </c>
      <c r="F3638" s="17">
        <v>1894</v>
      </c>
      <c r="G3638" s="13">
        <v>1</v>
      </c>
      <c r="H3638" s="17">
        <v>5</v>
      </c>
      <c r="I3638" s="17">
        <v>3</v>
      </c>
      <c r="J3638" s="17">
        <v>67</v>
      </c>
      <c r="K3638" s="10">
        <v>2367</v>
      </c>
      <c r="P3638" s="17">
        <v>1</v>
      </c>
      <c r="Q3638" s="19">
        <v>2367</v>
      </c>
      <c r="R3638" s="14">
        <v>160</v>
      </c>
      <c r="S3638" s="19">
        <v>378720</v>
      </c>
      <c r="AJ3638" s="19">
        <v>0</v>
      </c>
      <c r="AK3638" s="23">
        <v>0</v>
      </c>
      <c r="AM3638" s="19">
        <v>0</v>
      </c>
      <c r="AN3638" s="19">
        <v>378720</v>
      </c>
      <c r="AP3638" s="14">
        <v>378720</v>
      </c>
      <c r="AS3638" s="26">
        <v>39</v>
      </c>
    </row>
    <row r="3639" spans="1:45" x14ac:dyDescent="0.2">
      <c r="A3639" s="121">
        <f t="shared" si="479"/>
        <v>3097</v>
      </c>
      <c r="B3639" s="13">
        <v>2</v>
      </c>
      <c r="C3639" s="17" t="s">
        <v>52</v>
      </c>
      <c r="D3639" s="17">
        <v>2896</v>
      </c>
      <c r="E3639" s="17">
        <v>2</v>
      </c>
      <c r="F3639" s="17">
        <v>1896</v>
      </c>
      <c r="G3639" s="13">
        <v>1</v>
      </c>
      <c r="H3639" s="17">
        <v>7</v>
      </c>
      <c r="I3639" s="17">
        <v>0</v>
      </c>
      <c r="J3639" s="17">
        <v>55</v>
      </c>
      <c r="K3639" s="10">
        <v>2855</v>
      </c>
      <c r="P3639" s="17">
        <v>1</v>
      </c>
      <c r="Q3639" s="19">
        <v>2855</v>
      </c>
      <c r="R3639" s="14">
        <v>160</v>
      </c>
      <c r="S3639" s="19">
        <v>456800</v>
      </c>
      <c r="AJ3639" s="19">
        <v>0</v>
      </c>
      <c r="AK3639" s="23">
        <v>0</v>
      </c>
      <c r="AM3639" s="19">
        <v>0</v>
      </c>
      <c r="AN3639" s="19">
        <v>456800</v>
      </c>
      <c r="AP3639" s="14">
        <v>456800</v>
      </c>
    </row>
    <row r="3640" spans="1:45" x14ac:dyDescent="0.2">
      <c r="A3640" s="121">
        <f t="shared" si="479"/>
        <v>3098</v>
      </c>
      <c r="B3640" s="13">
        <v>1</v>
      </c>
      <c r="C3640" s="17" t="s">
        <v>52</v>
      </c>
      <c r="D3640" s="17">
        <v>2899</v>
      </c>
      <c r="E3640" s="17">
        <v>14</v>
      </c>
      <c r="F3640" s="17">
        <v>1921</v>
      </c>
      <c r="H3640" s="17">
        <v>8</v>
      </c>
      <c r="I3640" s="17">
        <v>0</v>
      </c>
      <c r="J3640" s="17">
        <v>96</v>
      </c>
      <c r="K3640" s="10">
        <v>3296</v>
      </c>
      <c r="P3640" s="17">
        <v>1</v>
      </c>
      <c r="Q3640" s="19">
        <v>3296</v>
      </c>
      <c r="R3640" s="14">
        <v>160</v>
      </c>
      <c r="S3640" s="19">
        <v>527360</v>
      </c>
      <c r="AJ3640" s="19">
        <v>0</v>
      </c>
      <c r="AK3640" s="23">
        <v>0</v>
      </c>
      <c r="AM3640" s="19">
        <v>0</v>
      </c>
      <c r="AN3640" s="19">
        <v>527360</v>
      </c>
      <c r="AP3640" s="14">
        <v>527360</v>
      </c>
    </row>
    <row r="3641" spans="1:45" x14ac:dyDescent="0.2">
      <c r="A3641" s="121">
        <f t="shared" si="479"/>
        <v>3099</v>
      </c>
      <c r="B3641" s="13">
        <v>2</v>
      </c>
      <c r="C3641" s="17" t="s">
        <v>52</v>
      </c>
      <c r="D3641" s="17">
        <v>2900</v>
      </c>
      <c r="E3641" s="17">
        <v>15</v>
      </c>
      <c r="F3641" s="17">
        <v>1922</v>
      </c>
      <c r="H3641" s="17">
        <v>6</v>
      </c>
      <c r="I3641" s="17">
        <v>3</v>
      </c>
      <c r="J3641" s="17">
        <v>96</v>
      </c>
      <c r="K3641" s="10">
        <v>2796</v>
      </c>
      <c r="P3641" s="17">
        <v>1</v>
      </c>
      <c r="Q3641" s="19">
        <v>2796</v>
      </c>
      <c r="R3641" s="14">
        <v>160</v>
      </c>
      <c r="S3641" s="19">
        <v>447360</v>
      </c>
      <c r="AJ3641" s="19">
        <v>0</v>
      </c>
      <c r="AK3641" s="23">
        <v>0</v>
      </c>
      <c r="AM3641" s="19">
        <v>0</v>
      </c>
      <c r="AN3641" s="19">
        <v>447360</v>
      </c>
      <c r="AP3641" s="14">
        <v>447360</v>
      </c>
    </row>
    <row r="3642" spans="1:45" ht="42" x14ac:dyDescent="0.2">
      <c r="A3642" s="121">
        <f t="shared" si="479"/>
        <v>3100</v>
      </c>
      <c r="B3642" s="13">
        <v>1</v>
      </c>
      <c r="C3642" s="17" t="s">
        <v>52</v>
      </c>
      <c r="D3642" s="17">
        <v>1121</v>
      </c>
      <c r="E3642" s="17">
        <v>44</v>
      </c>
      <c r="F3642" s="17">
        <v>701</v>
      </c>
      <c r="G3642" s="13">
        <v>1</v>
      </c>
      <c r="H3642" s="17">
        <v>0</v>
      </c>
      <c r="I3642" s="17">
        <v>0</v>
      </c>
      <c r="J3642" s="17">
        <v>40</v>
      </c>
      <c r="N3642" s="18">
        <v>40</v>
      </c>
      <c r="P3642" s="17">
        <v>4</v>
      </c>
      <c r="Q3642" s="19">
        <v>40</v>
      </c>
      <c r="R3642" s="14">
        <v>250</v>
      </c>
      <c r="S3642" s="19">
        <v>10000</v>
      </c>
      <c r="AE3642" s="17" t="s">
        <v>309</v>
      </c>
      <c r="AJ3642" s="19">
        <v>0</v>
      </c>
      <c r="AK3642" s="23">
        <v>0</v>
      </c>
      <c r="AM3642" s="19">
        <v>0</v>
      </c>
      <c r="AN3642" s="19">
        <v>10000</v>
      </c>
      <c r="AP3642" s="14">
        <v>10000</v>
      </c>
      <c r="AQ3642" s="12">
        <v>3.0000000000000001E-3</v>
      </c>
      <c r="AS3642" s="26" t="s">
        <v>310</v>
      </c>
    </row>
    <row r="3643" spans="1:45" ht="42" x14ac:dyDescent="0.2">
      <c r="A3643" s="121">
        <f t="shared" si="479"/>
        <v>3101</v>
      </c>
      <c r="B3643" s="13">
        <v>2</v>
      </c>
      <c r="C3643" s="17" t="s">
        <v>52</v>
      </c>
      <c r="D3643" s="17">
        <v>1122</v>
      </c>
      <c r="E3643" s="17">
        <v>45</v>
      </c>
      <c r="F3643" s="17">
        <v>702</v>
      </c>
      <c r="G3643" s="13">
        <v>1</v>
      </c>
      <c r="H3643" s="17">
        <v>0</v>
      </c>
      <c r="I3643" s="17">
        <v>0</v>
      </c>
      <c r="J3643" s="17">
        <v>88</v>
      </c>
      <c r="N3643" s="18">
        <v>88</v>
      </c>
      <c r="P3643" s="17">
        <v>4</v>
      </c>
      <c r="Q3643" s="19">
        <v>88</v>
      </c>
      <c r="R3643" s="14">
        <v>250</v>
      </c>
      <c r="S3643" s="19">
        <v>22000</v>
      </c>
      <c r="AE3643" s="17" t="s">
        <v>311</v>
      </c>
      <c r="AJ3643" s="19">
        <v>0</v>
      </c>
      <c r="AK3643" s="23">
        <v>0</v>
      </c>
      <c r="AM3643" s="19">
        <v>0</v>
      </c>
      <c r="AN3643" s="19">
        <v>22000</v>
      </c>
      <c r="AP3643" s="14">
        <v>22000</v>
      </c>
      <c r="AQ3643" s="12">
        <v>3.0000000000000001E-3</v>
      </c>
      <c r="AS3643" s="26" t="s">
        <v>66</v>
      </c>
    </row>
    <row r="3644" spans="1:45" x14ac:dyDescent="0.2">
      <c r="A3644" s="121">
        <f t="shared" si="479"/>
        <v>3102</v>
      </c>
      <c r="B3644" s="13">
        <v>1</v>
      </c>
      <c r="C3644" s="17" t="s">
        <v>65</v>
      </c>
      <c r="D3644" s="17">
        <v>987</v>
      </c>
      <c r="E3644" s="17">
        <v>42</v>
      </c>
      <c r="H3644" s="17">
        <v>3</v>
      </c>
      <c r="I3644" s="17">
        <v>3</v>
      </c>
      <c r="J3644" s="17">
        <v>66</v>
      </c>
      <c r="K3644" s="10">
        <v>1566</v>
      </c>
      <c r="P3644" s="17">
        <v>1</v>
      </c>
      <c r="Q3644" s="19">
        <v>1566</v>
      </c>
      <c r="R3644" s="14">
        <v>500</v>
      </c>
      <c r="S3644" s="19">
        <v>783000</v>
      </c>
      <c r="AJ3644" s="19">
        <v>0</v>
      </c>
      <c r="AK3644" s="23">
        <v>0</v>
      </c>
      <c r="AM3644" s="19">
        <v>0</v>
      </c>
      <c r="AN3644" s="19">
        <v>783000</v>
      </c>
      <c r="AP3644" s="14">
        <v>783000</v>
      </c>
      <c r="AQ3644" s="12">
        <v>1E-4</v>
      </c>
      <c r="AS3644" s="26">
        <v>228</v>
      </c>
    </row>
    <row r="3645" spans="1:45" x14ac:dyDescent="0.2">
      <c r="A3645" s="121">
        <f t="shared" si="479"/>
        <v>3103</v>
      </c>
      <c r="B3645" s="13">
        <v>2</v>
      </c>
      <c r="C3645" s="17" t="s">
        <v>65</v>
      </c>
      <c r="D3645" s="17">
        <v>988</v>
      </c>
      <c r="E3645" s="17">
        <v>43</v>
      </c>
      <c r="H3645" s="17">
        <v>4</v>
      </c>
      <c r="I3645" s="17">
        <v>0</v>
      </c>
      <c r="J3645" s="17">
        <v>0</v>
      </c>
      <c r="K3645" s="10">
        <v>1600</v>
      </c>
      <c r="P3645" s="17">
        <v>1</v>
      </c>
      <c r="Q3645" s="19">
        <v>1600</v>
      </c>
      <c r="R3645" s="14">
        <v>160</v>
      </c>
      <c r="S3645" s="19">
        <v>256000</v>
      </c>
      <c r="AJ3645" s="19">
        <v>0</v>
      </c>
      <c r="AK3645" s="23">
        <v>0</v>
      </c>
      <c r="AM3645" s="19">
        <v>0</v>
      </c>
      <c r="AN3645" s="19">
        <v>256000</v>
      </c>
      <c r="AP3645" s="14">
        <v>256000</v>
      </c>
      <c r="AQ3645" s="12">
        <v>1E-4</v>
      </c>
    </row>
    <row r="3646" spans="1:45" x14ac:dyDescent="0.2">
      <c r="A3646" s="121">
        <f t="shared" si="479"/>
        <v>3104</v>
      </c>
      <c r="B3646" s="13">
        <v>3</v>
      </c>
      <c r="C3646" s="17" t="s">
        <v>65</v>
      </c>
      <c r="D3646" s="17">
        <v>989</v>
      </c>
      <c r="E3646" s="17">
        <v>44</v>
      </c>
      <c r="H3646" s="17">
        <v>10</v>
      </c>
      <c r="I3646" s="17">
        <v>1</v>
      </c>
      <c r="J3646" s="17">
        <v>83</v>
      </c>
      <c r="K3646" s="10">
        <v>4183</v>
      </c>
      <c r="P3646" s="17">
        <v>1</v>
      </c>
      <c r="Q3646" s="19">
        <v>4183</v>
      </c>
      <c r="R3646" s="14">
        <v>160</v>
      </c>
      <c r="S3646" s="19">
        <v>669280</v>
      </c>
      <c r="AJ3646" s="19">
        <v>0</v>
      </c>
      <c r="AK3646" s="23">
        <v>0</v>
      </c>
      <c r="AM3646" s="19">
        <v>0</v>
      </c>
      <c r="AN3646" s="19">
        <v>669280</v>
      </c>
      <c r="AP3646" s="14">
        <v>669280</v>
      </c>
      <c r="AQ3646" s="12">
        <v>1E-4</v>
      </c>
    </row>
    <row r="3647" spans="1:45" x14ac:dyDescent="0.2">
      <c r="A3647" s="121">
        <f t="shared" si="479"/>
        <v>3105</v>
      </c>
      <c r="B3647" s="13">
        <v>4</v>
      </c>
      <c r="C3647" s="17" t="s">
        <v>65</v>
      </c>
      <c r="D3647" s="17">
        <v>1816</v>
      </c>
      <c r="E3647" s="17">
        <v>15</v>
      </c>
      <c r="H3647" s="17">
        <v>17</v>
      </c>
      <c r="I3647" s="17">
        <v>2</v>
      </c>
      <c r="J3647" s="17">
        <v>66</v>
      </c>
      <c r="K3647" s="10">
        <v>7066</v>
      </c>
      <c r="P3647" s="17">
        <v>1</v>
      </c>
      <c r="Q3647" s="19">
        <v>7066</v>
      </c>
      <c r="R3647" s="14">
        <v>500</v>
      </c>
      <c r="S3647" s="19">
        <v>3533000</v>
      </c>
      <c r="AJ3647" s="19">
        <v>0</v>
      </c>
      <c r="AK3647" s="23">
        <v>0</v>
      </c>
      <c r="AM3647" s="19">
        <v>0</v>
      </c>
      <c r="AN3647" s="19">
        <v>3533000</v>
      </c>
      <c r="AP3647" s="14">
        <v>3533000</v>
      </c>
      <c r="AQ3647" s="12">
        <v>1E-4</v>
      </c>
    </row>
    <row r="3648" spans="1:45" x14ac:dyDescent="0.2">
      <c r="A3648" s="121">
        <f t="shared" si="479"/>
        <v>3106</v>
      </c>
      <c r="B3648" s="13">
        <v>5</v>
      </c>
      <c r="C3648" s="17" t="s">
        <v>65</v>
      </c>
      <c r="D3648" s="17">
        <v>2587</v>
      </c>
      <c r="E3648" s="17">
        <v>46</v>
      </c>
      <c r="H3648" s="17">
        <v>3</v>
      </c>
      <c r="I3648" s="17">
        <v>2</v>
      </c>
      <c r="J3648" s="17">
        <v>72</v>
      </c>
      <c r="K3648" s="10">
        <v>1472</v>
      </c>
      <c r="P3648" s="17">
        <v>1</v>
      </c>
      <c r="Q3648" s="19">
        <v>1472</v>
      </c>
      <c r="R3648" s="14">
        <v>160</v>
      </c>
      <c r="S3648" s="19">
        <v>235520</v>
      </c>
      <c r="AJ3648" s="19">
        <v>0</v>
      </c>
      <c r="AK3648" s="23">
        <v>0</v>
      </c>
      <c r="AM3648" s="19">
        <v>0</v>
      </c>
      <c r="AN3648" s="19">
        <v>235520</v>
      </c>
      <c r="AP3648" s="14">
        <v>235520</v>
      </c>
      <c r="AQ3648" s="12">
        <v>1E-4</v>
      </c>
    </row>
    <row r="3649" spans="1:45" x14ac:dyDescent="0.2">
      <c r="A3649" s="121">
        <f t="shared" si="479"/>
        <v>3107</v>
      </c>
      <c r="B3649" s="13">
        <v>6</v>
      </c>
      <c r="C3649" s="17" t="s">
        <v>65</v>
      </c>
      <c r="D3649" s="17">
        <v>3069</v>
      </c>
      <c r="E3649" s="17">
        <v>56</v>
      </c>
      <c r="H3649" s="17">
        <v>3</v>
      </c>
      <c r="I3649" s="17">
        <v>1</v>
      </c>
      <c r="J3649" s="17">
        <v>39</v>
      </c>
      <c r="K3649" s="10">
        <v>1339</v>
      </c>
      <c r="P3649" s="17">
        <v>1</v>
      </c>
      <c r="Q3649" s="19">
        <v>1339</v>
      </c>
      <c r="R3649" s="14">
        <v>1000</v>
      </c>
      <c r="S3649" s="19">
        <v>1339000</v>
      </c>
      <c r="AJ3649" s="19">
        <v>0</v>
      </c>
      <c r="AK3649" s="23">
        <v>0</v>
      </c>
      <c r="AM3649" s="19">
        <v>0</v>
      </c>
      <c r="AN3649" s="19">
        <v>1339000</v>
      </c>
      <c r="AP3649" s="14">
        <v>1339000</v>
      </c>
      <c r="AQ3649" s="12">
        <v>1E-4</v>
      </c>
    </row>
    <row r="3650" spans="1:45" x14ac:dyDescent="0.2">
      <c r="A3650" s="121">
        <f t="shared" si="479"/>
        <v>3108</v>
      </c>
      <c r="B3650" s="13">
        <v>1</v>
      </c>
      <c r="C3650" s="17" t="s">
        <v>52</v>
      </c>
      <c r="D3650" s="17">
        <v>4781</v>
      </c>
      <c r="E3650" s="17">
        <v>91</v>
      </c>
      <c r="F3650" s="17">
        <v>2651</v>
      </c>
      <c r="G3650" s="13">
        <v>7</v>
      </c>
      <c r="H3650" s="17">
        <v>24</v>
      </c>
      <c r="I3650" s="17">
        <v>2</v>
      </c>
      <c r="J3650" s="17">
        <v>11</v>
      </c>
      <c r="K3650" s="10">
        <v>9811</v>
      </c>
      <c r="P3650" s="17">
        <v>1</v>
      </c>
      <c r="Q3650" s="19">
        <v>9811</v>
      </c>
      <c r="R3650" s="14">
        <v>160</v>
      </c>
      <c r="S3650" s="19">
        <v>1569760</v>
      </c>
      <c r="AJ3650" s="19">
        <v>0</v>
      </c>
      <c r="AK3650" s="23">
        <v>0</v>
      </c>
      <c r="AM3650" s="19">
        <v>0</v>
      </c>
      <c r="AN3650" s="19">
        <v>1569760</v>
      </c>
      <c r="AP3650" s="14">
        <v>1569760</v>
      </c>
    </row>
    <row r="3651" spans="1:45" x14ac:dyDescent="0.2">
      <c r="A3651" s="121">
        <f t="shared" si="479"/>
        <v>3109</v>
      </c>
      <c r="B3651" s="13">
        <v>1</v>
      </c>
      <c r="C3651" s="17" t="s">
        <v>52</v>
      </c>
      <c r="D3651" s="17">
        <v>4885</v>
      </c>
      <c r="E3651" s="17">
        <v>31</v>
      </c>
      <c r="F3651" s="17">
        <v>2700</v>
      </c>
      <c r="G3651" s="13">
        <v>7</v>
      </c>
      <c r="H3651" s="17">
        <v>4</v>
      </c>
      <c r="I3651" s="17">
        <v>1</v>
      </c>
      <c r="J3651" s="17">
        <v>80</v>
      </c>
      <c r="K3651" s="10">
        <v>1780</v>
      </c>
      <c r="P3651" s="17">
        <v>1</v>
      </c>
      <c r="Q3651" s="19">
        <v>1780</v>
      </c>
      <c r="R3651" s="14">
        <v>630</v>
      </c>
      <c r="S3651" s="19">
        <v>1121400</v>
      </c>
      <c r="AE3651" s="17" t="s">
        <v>312</v>
      </c>
      <c r="AG3651" s="54">
        <v>0</v>
      </c>
      <c r="AJ3651" s="19">
        <v>0</v>
      </c>
      <c r="AM3651" s="19">
        <v>0</v>
      </c>
      <c r="AN3651" s="19">
        <v>1121400</v>
      </c>
      <c r="AP3651" s="14">
        <v>1121400</v>
      </c>
      <c r="AS3651" s="26">
        <v>24</v>
      </c>
    </row>
    <row r="3652" spans="1:45" x14ac:dyDescent="0.2">
      <c r="A3652" s="121">
        <f t="shared" si="479"/>
        <v>3110</v>
      </c>
      <c r="B3652" s="13">
        <v>2</v>
      </c>
      <c r="C3652" s="17" t="s">
        <v>52</v>
      </c>
      <c r="D3652" s="17">
        <v>5020</v>
      </c>
      <c r="E3652" s="17">
        <v>18</v>
      </c>
      <c r="F3652" s="17">
        <v>2761</v>
      </c>
      <c r="G3652" s="13">
        <v>7</v>
      </c>
      <c r="H3652" s="17">
        <v>25</v>
      </c>
      <c r="I3652" s="17">
        <v>3</v>
      </c>
      <c r="J3652" s="17">
        <v>47</v>
      </c>
      <c r="K3652" s="10">
        <v>10347</v>
      </c>
      <c r="P3652" s="17">
        <v>1</v>
      </c>
      <c r="Q3652" s="19">
        <v>10347</v>
      </c>
      <c r="R3652" s="14">
        <v>160</v>
      </c>
      <c r="S3652" s="19">
        <v>1655520</v>
      </c>
      <c r="AJ3652" s="19">
        <v>0</v>
      </c>
      <c r="AK3652" s="23">
        <v>0</v>
      </c>
      <c r="AM3652" s="19">
        <v>0</v>
      </c>
      <c r="AN3652" s="19">
        <v>1655520</v>
      </c>
      <c r="AP3652" s="14">
        <v>1655520</v>
      </c>
      <c r="AS3652" s="26">
        <v>273</v>
      </c>
    </row>
    <row r="3653" spans="1:45" x14ac:dyDescent="0.2">
      <c r="A3653" s="121">
        <f t="shared" si="479"/>
        <v>3111</v>
      </c>
      <c r="B3653" s="13">
        <v>3</v>
      </c>
      <c r="C3653" s="17" t="s">
        <v>52</v>
      </c>
      <c r="D3653" s="17">
        <v>5021</v>
      </c>
      <c r="E3653" s="17">
        <v>19</v>
      </c>
      <c r="F3653" s="17">
        <v>2762</v>
      </c>
      <c r="G3653" s="13">
        <v>7</v>
      </c>
      <c r="H3653" s="17">
        <v>21</v>
      </c>
      <c r="I3653" s="17">
        <v>3</v>
      </c>
      <c r="J3653" s="17">
        <v>81</v>
      </c>
      <c r="K3653" s="10">
        <v>8781</v>
      </c>
      <c r="P3653" s="17">
        <v>1</v>
      </c>
      <c r="Q3653" s="19">
        <v>8781</v>
      </c>
      <c r="R3653" s="14">
        <v>160</v>
      </c>
      <c r="S3653" s="19">
        <v>1404960</v>
      </c>
      <c r="AJ3653" s="19">
        <v>0</v>
      </c>
      <c r="AK3653" s="23">
        <v>0</v>
      </c>
      <c r="AM3653" s="19">
        <v>0</v>
      </c>
      <c r="AN3653" s="19">
        <v>1404960</v>
      </c>
      <c r="AP3653" s="14">
        <v>1404960</v>
      </c>
    </row>
    <row r="3654" spans="1:45" x14ac:dyDescent="0.2">
      <c r="A3654" s="121">
        <f t="shared" si="479"/>
        <v>3112</v>
      </c>
      <c r="B3654" s="13">
        <v>4</v>
      </c>
      <c r="C3654" s="17" t="s">
        <v>52</v>
      </c>
      <c r="D3654" s="17">
        <v>23639</v>
      </c>
      <c r="E3654" s="17">
        <v>105</v>
      </c>
      <c r="F3654" s="17">
        <v>4870</v>
      </c>
      <c r="G3654" s="13">
        <v>7</v>
      </c>
      <c r="H3654" s="17">
        <v>13</v>
      </c>
      <c r="I3654" s="17">
        <v>0</v>
      </c>
      <c r="J3654" s="17">
        <v>86</v>
      </c>
      <c r="K3654" s="10">
        <v>5286</v>
      </c>
      <c r="P3654" s="17">
        <v>1</v>
      </c>
      <c r="Q3654" s="19">
        <v>5286</v>
      </c>
      <c r="R3654" s="14">
        <v>160</v>
      </c>
      <c r="S3654" s="19">
        <v>845760</v>
      </c>
      <c r="AJ3654" s="19">
        <v>0</v>
      </c>
      <c r="AK3654" s="23">
        <v>0</v>
      </c>
      <c r="AM3654" s="19">
        <v>0</v>
      </c>
      <c r="AN3654" s="19">
        <v>845760</v>
      </c>
      <c r="AP3654" s="14">
        <v>845760</v>
      </c>
    </row>
    <row r="3655" spans="1:45" x14ac:dyDescent="0.2">
      <c r="A3655" s="121">
        <f t="shared" si="479"/>
        <v>3113</v>
      </c>
      <c r="B3655" s="13">
        <v>5</v>
      </c>
      <c r="C3655" s="17" t="s">
        <v>69</v>
      </c>
      <c r="E3655" s="17">
        <v>1514</v>
      </c>
      <c r="F3655" s="17">
        <v>2</v>
      </c>
      <c r="G3655" s="13">
        <v>6</v>
      </c>
      <c r="H3655" s="17">
        <v>18</v>
      </c>
      <c r="I3655" s="17">
        <v>3</v>
      </c>
      <c r="J3655" s="17">
        <v>80</v>
      </c>
      <c r="K3655" s="10">
        <v>7580</v>
      </c>
      <c r="P3655" s="17">
        <v>1</v>
      </c>
      <c r="Q3655" s="19">
        <v>7580</v>
      </c>
      <c r="R3655" s="14">
        <v>160</v>
      </c>
      <c r="S3655" s="19">
        <v>1212800</v>
      </c>
      <c r="AJ3655" s="19">
        <v>0</v>
      </c>
      <c r="AK3655" s="23">
        <v>0</v>
      </c>
      <c r="AM3655" s="19">
        <v>0</v>
      </c>
      <c r="AN3655" s="19">
        <v>1212800</v>
      </c>
      <c r="AP3655" s="14">
        <v>1212800</v>
      </c>
      <c r="AQ3655" s="12">
        <v>1E-4</v>
      </c>
    </row>
    <row r="3656" spans="1:45" x14ac:dyDescent="0.2">
      <c r="A3656" s="121">
        <f t="shared" si="479"/>
        <v>3114</v>
      </c>
      <c r="B3656" s="13">
        <v>1</v>
      </c>
      <c r="C3656" s="17" t="s">
        <v>69</v>
      </c>
      <c r="E3656" s="17">
        <v>155</v>
      </c>
      <c r="F3656" s="17">
        <v>1</v>
      </c>
      <c r="G3656" s="13">
        <v>2</v>
      </c>
      <c r="H3656" s="17">
        <v>6</v>
      </c>
      <c r="I3656" s="17">
        <v>3</v>
      </c>
      <c r="J3656" s="17">
        <v>48</v>
      </c>
      <c r="K3656" s="10">
        <v>2748</v>
      </c>
      <c r="Q3656" s="19">
        <v>2748</v>
      </c>
      <c r="R3656" s="14">
        <v>200</v>
      </c>
      <c r="S3656" s="19">
        <v>549600</v>
      </c>
      <c r="AJ3656" s="19">
        <v>0</v>
      </c>
      <c r="AK3656" s="23">
        <v>0</v>
      </c>
      <c r="AM3656" s="19">
        <v>0</v>
      </c>
      <c r="AN3656" s="19">
        <v>549600</v>
      </c>
      <c r="AP3656" s="14">
        <v>549600</v>
      </c>
      <c r="AQ3656" s="12">
        <v>1E-4</v>
      </c>
      <c r="AS3656" s="26">
        <v>38</v>
      </c>
    </row>
    <row r="3657" spans="1:45" ht="63" x14ac:dyDescent="0.2">
      <c r="A3657" s="121">
        <f t="shared" si="479"/>
        <v>3115</v>
      </c>
      <c r="B3657" s="13">
        <v>1</v>
      </c>
      <c r="C3657" s="17" t="s">
        <v>52</v>
      </c>
      <c r="D3657" s="17">
        <v>3012</v>
      </c>
      <c r="E3657" s="17">
        <v>59</v>
      </c>
      <c r="F3657" s="17">
        <v>2080</v>
      </c>
      <c r="G3657" s="13">
        <v>2</v>
      </c>
      <c r="H3657" s="17">
        <v>0</v>
      </c>
      <c r="I3657" s="17">
        <v>0</v>
      </c>
      <c r="J3657" s="17">
        <v>41</v>
      </c>
      <c r="L3657" s="17">
        <v>41</v>
      </c>
      <c r="P3657" s="17">
        <v>2</v>
      </c>
      <c r="Q3657" s="19">
        <v>41</v>
      </c>
      <c r="R3657" s="14">
        <v>250</v>
      </c>
      <c r="S3657" s="19">
        <v>10250</v>
      </c>
      <c r="T3657" s="17">
        <v>1</v>
      </c>
      <c r="U3657" s="17" t="s">
        <v>57</v>
      </c>
      <c r="V3657" s="17" t="s">
        <v>56</v>
      </c>
      <c r="W3657" s="4">
        <v>63</v>
      </c>
      <c r="Y3657" s="4">
        <v>63</v>
      </c>
      <c r="AB3657" s="17">
        <v>11</v>
      </c>
      <c r="AJ3657" s="19">
        <v>0</v>
      </c>
      <c r="AK3657" s="23">
        <v>11</v>
      </c>
      <c r="AM3657" s="19">
        <v>0</v>
      </c>
      <c r="AN3657" s="19">
        <v>10250</v>
      </c>
      <c r="AP3657" s="14">
        <v>10250</v>
      </c>
    </row>
    <row r="3658" spans="1:45" x14ac:dyDescent="0.2">
      <c r="A3658" s="121">
        <f t="shared" si="479"/>
        <v>3116</v>
      </c>
      <c r="B3658" s="13">
        <v>1</v>
      </c>
      <c r="C3658" s="17" t="s">
        <v>52</v>
      </c>
      <c r="D3658" s="17">
        <v>20614</v>
      </c>
      <c r="E3658" s="17">
        <v>199</v>
      </c>
      <c r="F3658" s="17">
        <v>4596</v>
      </c>
      <c r="G3658" s="13">
        <v>2</v>
      </c>
      <c r="H3658" s="17">
        <v>0</v>
      </c>
      <c r="I3658" s="17">
        <v>0</v>
      </c>
      <c r="J3658" s="17">
        <v>37</v>
      </c>
      <c r="N3658" s="18">
        <v>37</v>
      </c>
      <c r="P3658" s="17">
        <v>4</v>
      </c>
      <c r="Q3658" s="19">
        <v>37</v>
      </c>
      <c r="R3658" s="14">
        <v>250</v>
      </c>
      <c r="S3658" s="19">
        <v>9250</v>
      </c>
      <c r="AJ3658" s="19">
        <v>0</v>
      </c>
      <c r="AK3658" s="23">
        <v>0</v>
      </c>
      <c r="AM3658" s="19">
        <v>0</v>
      </c>
      <c r="AN3658" s="19">
        <v>9250</v>
      </c>
      <c r="AP3658" s="14">
        <v>9250</v>
      </c>
      <c r="AQ3658" s="12">
        <v>3.0000000000000001E-3</v>
      </c>
    </row>
    <row r="3659" spans="1:45" x14ac:dyDescent="0.2">
      <c r="A3659" s="121">
        <f t="shared" si="479"/>
        <v>3117</v>
      </c>
      <c r="B3659" s="13">
        <v>1</v>
      </c>
      <c r="C3659" s="17" t="s">
        <v>52</v>
      </c>
      <c r="D3659" s="17">
        <v>28235</v>
      </c>
      <c r="E3659" s="17">
        <v>107</v>
      </c>
      <c r="F3659" s="17">
        <v>5323</v>
      </c>
      <c r="G3659" s="13">
        <v>2</v>
      </c>
      <c r="H3659" s="17">
        <v>3</v>
      </c>
      <c r="I3659" s="17">
        <v>0</v>
      </c>
      <c r="J3659" s="17">
        <v>47</v>
      </c>
      <c r="K3659" s="10">
        <v>1247</v>
      </c>
      <c r="P3659" s="17">
        <v>1</v>
      </c>
      <c r="Q3659" s="19">
        <v>1247</v>
      </c>
      <c r="R3659" s="14">
        <v>200</v>
      </c>
      <c r="S3659" s="19">
        <v>249400</v>
      </c>
      <c r="AJ3659" s="19">
        <v>0</v>
      </c>
      <c r="AK3659" s="23">
        <v>0</v>
      </c>
      <c r="AM3659" s="19">
        <v>0</v>
      </c>
      <c r="AN3659" s="19">
        <v>249400</v>
      </c>
      <c r="AP3659" s="14">
        <v>249400</v>
      </c>
    </row>
    <row r="3660" spans="1:45" x14ac:dyDescent="0.2">
      <c r="A3660" s="121">
        <f t="shared" si="479"/>
        <v>3118</v>
      </c>
      <c r="B3660" s="13">
        <v>1</v>
      </c>
      <c r="C3660" s="17" t="s">
        <v>52</v>
      </c>
      <c r="D3660" s="17">
        <v>29225</v>
      </c>
      <c r="E3660" s="17">
        <v>142</v>
      </c>
      <c r="F3660" s="17">
        <v>5420</v>
      </c>
      <c r="G3660" s="13">
        <v>1</v>
      </c>
      <c r="H3660" s="17">
        <v>6</v>
      </c>
      <c r="I3660" s="17">
        <v>0</v>
      </c>
      <c r="J3660" s="17">
        <v>75</v>
      </c>
      <c r="K3660" s="10">
        <v>2475</v>
      </c>
      <c r="P3660" s="17">
        <v>1</v>
      </c>
      <c r="Q3660" s="19">
        <v>2475</v>
      </c>
      <c r="R3660" s="14">
        <v>750</v>
      </c>
      <c r="S3660" s="19">
        <v>1856250</v>
      </c>
      <c r="AJ3660" s="19">
        <v>0</v>
      </c>
      <c r="AK3660" s="23">
        <v>0</v>
      </c>
      <c r="AM3660" s="19">
        <v>0</v>
      </c>
      <c r="AN3660" s="19">
        <v>1856250</v>
      </c>
      <c r="AP3660" s="14">
        <v>1856250</v>
      </c>
    </row>
    <row r="3661" spans="1:45" x14ac:dyDescent="0.2">
      <c r="A3661" s="121">
        <f t="shared" si="479"/>
        <v>3119</v>
      </c>
      <c r="B3661" s="13">
        <v>2</v>
      </c>
      <c r="C3661" s="17" t="s">
        <v>52</v>
      </c>
      <c r="D3661" s="17">
        <v>29226</v>
      </c>
      <c r="E3661" s="17">
        <v>143</v>
      </c>
      <c r="F3661" s="17">
        <v>5421</v>
      </c>
      <c r="G3661" s="13">
        <v>1</v>
      </c>
      <c r="H3661" s="17">
        <v>0</v>
      </c>
      <c r="I3661" s="17">
        <v>0</v>
      </c>
      <c r="J3661" s="17">
        <v>39</v>
      </c>
      <c r="K3661" s="10">
        <v>39</v>
      </c>
      <c r="P3661" s="17">
        <v>1</v>
      </c>
      <c r="Q3661" s="19">
        <v>39</v>
      </c>
      <c r="R3661" s="14">
        <v>3000</v>
      </c>
      <c r="S3661" s="19">
        <v>117000</v>
      </c>
      <c r="AJ3661" s="19">
        <v>0</v>
      </c>
      <c r="AK3661" s="23">
        <v>0</v>
      </c>
      <c r="AM3661" s="19">
        <v>0</v>
      </c>
      <c r="AN3661" s="19">
        <v>117000</v>
      </c>
      <c r="AP3661" s="14">
        <v>117000</v>
      </c>
    </row>
    <row r="3662" spans="1:45" x14ac:dyDescent="0.2">
      <c r="A3662" s="121">
        <f t="shared" si="479"/>
        <v>3120</v>
      </c>
      <c r="B3662" s="13">
        <v>3</v>
      </c>
      <c r="C3662" s="17" t="s">
        <v>52</v>
      </c>
      <c r="D3662" s="17">
        <v>29227</v>
      </c>
      <c r="E3662" s="17">
        <v>144</v>
      </c>
      <c r="F3662" s="17">
        <v>5422</v>
      </c>
      <c r="G3662" s="13">
        <v>1</v>
      </c>
      <c r="H3662" s="17">
        <v>0</v>
      </c>
      <c r="I3662" s="17">
        <v>0</v>
      </c>
      <c r="J3662" s="17">
        <v>38</v>
      </c>
      <c r="K3662" s="10">
        <v>38</v>
      </c>
      <c r="P3662" s="17">
        <v>1</v>
      </c>
      <c r="Q3662" s="19">
        <v>38</v>
      </c>
      <c r="R3662" s="14">
        <v>3000</v>
      </c>
      <c r="S3662" s="19">
        <v>114000</v>
      </c>
      <c r="AJ3662" s="19">
        <v>0</v>
      </c>
      <c r="AK3662" s="23">
        <v>0</v>
      </c>
      <c r="AM3662" s="19">
        <v>0</v>
      </c>
      <c r="AN3662" s="19">
        <v>114000</v>
      </c>
      <c r="AP3662" s="14">
        <v>114000</v>
      </c>
    </row>
    <row r="3663" spans="1:45" x14ac:dyDescent="0.2">
      <c r="A3663" s="121">
        <f t="shared" si="479"/>
        <v>3121</v>
      </c>
      <c r="B3663" s="13">
        <v>4</v>
      </c>
      <c r="C3663" s="17" t="s">
        <v>52</v>
      </c>
      <c r="D3663" s="17">
        <v>29228</v>
      </c>
      <c r="E3663" s="17">
        <v>145</v>
      </c>
      <c r="F3663" s="17">
        <v>5423</v>
      </c>
      <c r="G3663" s="13">
        <v>1</v>
      </c>
      <c r="H3663" s="17">
        <v>0</v>
      </c>
      <c r="I3663" s="17">
        <v>0</v>
      </c>
      <c r="J3663" s="17">
        <v>37</v>
      </c>
      <c r="K3663" s="10">
        <v>37</v>
      </c>
      <c r="P3663" s="17">
        <v>1</v>
      </c>
      <c r="Q3663" s="19">
        <v>37</v>
      </c>
      <c r="R3663" s="14">
        <v>3000</v>
      </c>
      <c r="S3663" s="19">
        <v>111000</v>
      </c>
      <c r="AJ3663" s="19">
        <v>0</v>
      </c>
      <c r="AK3663" s="23">
        <v>0</v>
      </c>
      <c r="AM3663" s="19">
        <v>0</v>
      </c>
      <c r="AN3663" s="19">
        <v>111000</v>
      </c>
      <c r="AP3663" s="14">
        <v>111000</v>
      </c>
    </row>
    <row r="3664" spans="1:45" x14ac:dyDescent="0.2">
      <c r="A3664" s="121">
        <f t="shared" si="479"/>
        <v>3122</v>
      </c>
      <c r="B3664" s="13">
        <v>5</v>
      </c>
      <c r="C3664" s="17" t="s">
        <v>52</v>
      </c>
      <c r="D3664" s="17">
        <v>29229</v>
      </c>
      <c r="E3664" s="17">
        <v>146</v>
      </c>
      <c r="F3664" s="17">
        <v>5424</v>
      </c>
      <c r="G3664" s="13">
        <v>1</v>
      </c>
      <c r="H3664" s="17">
        <v>0</v>
      </c>
      <c r="I3664" s="17">
        <v>0</v>
      </c>
      <c r="J3664" s="17">
        <v>36</v>
      </c>
      <c r="K3664" s="10">
        <v>36</v>
      </c>
      <c r="P3664" s="17">
        <v>1</v>
      </c>
      <c r="Q3664" s="19">
        <v>36</v>
      </c>
      <c r="R3664" s="14">
        <v>3000</v>
      </c>
      <c r="S3664" s="19">
        <v>108000</v>
      </c>
      <c r="AJ3664" s="19">
        <v>0</v>
      </c>
      <c r="AK3664" s="23">
        <v>0</v>
      </c>
      <c r="AM3664" s="19">
        <v>0</v>
      </c>
      <c r="AN3664" s="19">
        <v>108000</v>
      </c>
      <c r="AP3664" s="14">
        <v>108000</v>
      </c>
    </row>
    <row r="3665" spans="1:45" x14ac:dyDescent="0.2">
      <c r="A3665" s="121">
        <f t="shared" si="479"/>
        <v>3123</v>
      </c>
      <c r="B3665" s="13">
        <v>6</v>
      </c>
      <c r="C3665" s="17" t="s">
        <v>52</v>
      </c>
      <c r="D3665" s="17">
        <v>37770</v>
      </c>
      <c r="E3665" s="17">
        <v>394</v>
      </c>
      <c r="F3665" s="17">
        <v>7653</v>
      </c>
      <c r="G3665" s="13">
        <v>1</v>
      </c>
      <c r="H3665" s="17">
        <v>1</v>
      </c>
      <c r="I3665" s="17">
        <v>1</v>
      </c>
      <c r="J3665" s="17">
        <v>97</v>
      </c>
      <c r="K3665" s="10">
        <v>597</v>
      </c>
      <c r="P3665" s="17">
        <v>1</v>
      </c>
      <c r="Q3665" s="19">
        <v>597</v>
      </c>
      <c r="R3665" s="14">
        <v>1500</v>
      </c>
      <c r="S3665" s="19">
        <v>895500</v>
      </c>
      <c r="AJ3665" s="19">
        <v>0</v>
      </c>
      <c r="AK3665" s="23">
        <v>0</v>
      </c>
      <c r="AM3665" s="19">
        <v>0</v>
      </c>
      <c r="AN3665" s="19">
        <v>895500</v>
      </c>
      <c r="AP3665" s="14">
        <v>895500</v>
      </c>
    </row>
    <row r="3666" spans="1:45" x14ac:dyDescent="0.2">
      <c r="A3666" s="121">
        <f t="shared" si="479"/>
        <v>3124</v>
      </c>
      <c r="B3666" s="13">
        <v>1</v>
      </c>
      <c r="C3666" s="17" t="s">
        <v>52</v>
      </c>
      <c r="D3666" s="17">
        <v>968</v>
      </c>
      <c r="E3666" s="17">
        <v>2</v>
      </c>
      <c r="F3666" s="17">
        <v>155</v>
      </c>
      <c r="G3666" s="13">
        <v>1</v>
      </c>
      <c r="H3666" s="17">
        <v>0</v>
      </c>
      <c r="I3666" s="17">
        <v>2</v>
      </c>
      <c r="J3666" s="17">
        <v>98</v>
      </c>
      <c r="K3666" s="10" t="s">
        <v>313</v>
      </c>
      <c r="P3666" s="17">
        <v>1</v>
      </c>
      <c r="Q3666" s="19">
        <v>298</v>
      </c>
      <c r="R3666" s="14">
        <v>1500</v>
      </c>
      <c r="S3666" s="19">
        <v>447000</v>
      </c>
      <c r="AJ3666" s="19">
        <v>0</v>
      </c>
      <c r="AK3666" s="23">
        <v>0</v>
      </c>
      <c r="AM3666" s="19">
        <v>0</v>
      </c>
      <c r="AN3666" s="19">
        <v>447000</v>
      </c>
      <c r="AP3666" s="14">
        <v>447000</v>
      </c>
    </row>
    <row r="3667" spans="1:45" x14ac:dyDescent="0.2">
      <c r="A3667" s="121">
        <f t="shared" si="479"/>
        <v>3125</v>
      </c>
      <c r="B3667" s="13">
        <v>1</v>
      </c>
      <c r="C3667" s="17" t="s">
        <v>52</v>
      </c>
      <c r="D3667" s="17">
        <v>11688</v>
      </c>
      <c r="E3667" s="17">
        <v>107</v>
      </c>
      <c r="F3667" s="17">
        <v>3190</v>
      </c>
      <c r="G3667" s="13">
        <v>3</v>
      </c>
      <c r="H3667" s="17">
        <v>0</v>
      </c>
      <c r="I3667" s="17">
        <v>0</v>
      </c>
      <c r="J3667" s="17">
        <v>89.07</v>
      </c>
      <c r="N3667" s="18">
        <v>89.07</v>
      </c>
      <c r="P3667" s="17">
        <v>4</v>
      </c>
      <c r="Q3667" s="19">
        <v>89.07</v>
      </c>
      <c r="R3667" s="14">
        <v>2000</v>
      </c>
      <c r="S3667" s="19">
        <v>178140</v>
      </c>
      <c r="AJ3667" s="19">
        <v>0</v>
      </c>
      <c r="AK3667" s="23">
        <v>0</v>
      </c>
      <c r="AM3667" s="19">
        <v>0</v>
      </c>
      <c r="AN3667" s="19">
        <v>178140</v>
      </c>
      <c r="AP3667" s="14">
        <v>178140</v>
      </c>
      <c r="AQ3667" s="12">
        <v>3.0000000000000001E-3</v>
      </c>
    </row>
    <row r="3668" spans="1:45" x14ac:dyDescent="0.2">
      <c r="A3668" s="121">
        <f t="shared" si="479"/>
        <v>3126</v>
      </c>
      <c r="B3668" s="13">
        <v>1</v>
      </c>
      <c r="C3668" s="17" t="s">
        <v>52</v>
      </c>
      <c r="D3668" s="17">
        <v>984</v>
      </c>
      <c r="E3668" s="17">
        <v>29</v>
      </c>
      <c r="F3668" s="17">
        <v>230</v>
      </c>
      <c r="G3668" s="13">
        <v>1</v>
      </c>
      <c r="H3668" s="17">
        <v>4</v>
      </c>
      <c r="I3668" s="17">
        <v>1</v>
      </c>
      <c r="J3668" s="17">
        <v>49</v>
      </c>
      <c r="K3668" s="10">
        <v>1749</v>
      </c>
      <c r="P3668" s="17">
        <v>1</v>
      </c>
      <c r="Q3668" s="19">
        <v>1749</v>
      </c>
      <c r="R3668" s="14">
        <v>160</v>
      </c>
      <c r="S3668" s="19">
        <v>279840</v>
      </c>
      <c r="AJ3668" s="19">
        <v>0</v>
      </c>
      <c r="AK3668" s="23">
        <v>0</v>
      </c>
      <c r="AM3668" s="19">
        <v>0</v>
      </c>
      <c r="AN3668" s="19">
        <v>279840</v>
      </c>
      <c r="AP3668" s="14">
        <v>279840</v>
      </c>
      <c r="AS3668" s="26">
        <v>27</v>
      </c>
    </row>
    <row r="3669" spans="1:45" x14ac:dyDescent="0.2">
      <c r="A3669" s="121">
        <f t="shared" si="479"/>
        <v>3127</v>
      </c>
      <c r="B3669" s="13">
        <v>2</v>
      </c>
      <c r="C3669" s="17" t="s">
        <v>52</v>
      </c>
      <c r="D3669" s="17">
        <v>985</v>
      </c>
      <c r="E3669" s="17">
        <v>28</v>
      </c>
      <c r="F3669" s="17">
        <v>231</v>
      </c>
      <c r="G3669" s="13">
        <v>1</v>
      </c>
      <c r="H3669" s="17">
        <v>4</v>
      </c>
      <c r="I3669" s="17">
        <v>2</v>
      </c>
      <c r="J3669" s="17">
        <v>41</v>
      </c>
      <c r="K3669" s="10">
        <v>1841</v>
      </c>
      <c r="P3669" s="17">
        <v>1</v>
      </c>
      <c r="Q3669" s="19">
        <v>1841</v>
      </c>
      <c r="R3669" s="14">
        <v>160</v>
      </c>
      <c r="S3669" s="19">
        <v>294560</v>
      </c>
      <c r="AJ3669" s="19">
        <v>0</v>
      </c>
      <c r="AK3669" s="23">
        <v>0</v>
      </c>
      <c r="AM3669" s="19">
        <v>0</v>
      </c>
      <c r="AN3669" s="19">
        <v>294560</v>
      </c>
      <c r="AP3669" s="14">
        <v>294560</v>
      </c>
    </row>
    <row r="3670" spans="1:45" x14ac:dyDescent="0.2">
      <c r="A3670" s="121">
        <f t="shared" si="479"/>
        <v>3128</v>
      </c>
      <c r="B3670" s="13">
        <v>1</v>
      </c>
      <c r="C3670" s="17" t="s">
        <v>52</v>
      </c>
      <c r="D3670" s="17">
        <v>1990</v>
      </c>
      <c r="E3670" s="17">
        <v>42</v>
      </c>
      <c r="F3670" s="17">
        <v>834</v>
      </c>
      <c r="G3670" s="13">
        <v>4</v>
      </c>
      <c r="H3670" s="17">
        <v>0</v>
      </c>
      <c r="I3670" s="17">
        <v>2</v>
      </c>
      <c r="J3670" s="17">
        <v>42</v>
      </c>
      <c r="K3670" s="10">
        <v>242</v>
      </c>
      <c r="P3670" s="17">
        <v>1</v>
      </c>
      <c r="Q3670" s="19">
        <v>242</v>
      </c>
      <c r="R3670" s="14">
        <v>2000</v>
      </c>
      <c r="S3670" s="19">
        <v>484000</v>
      </c>
      <c r="AJ3670" s="19">
        <v>0</v>
      </c>
      <c r="AK3670" s="23">
        <v>0</v>
      </c>
      <c r="AM3670" s="19">
        <v>0</v>
      </c>
      <c r="AN3670" s="19">
        <v>484000</v>
      </c>
      <c r="AP3670" s="14">
        <v>484000</v>
      </c>
      <c r="AS3670" s="26">
        <v>960</v>
      </c>
    </row>
    <row r="3671" spans="1:45" ht="63" x14ac:dyDescent="0.2">
      <c r="A3671" s="121">
        <f t="shared" si="479"/>
        <v>3129</v>
      </c>
      <c r="B3671" s="13">
        <v>2</v>
      </c>
      <c r="C3671" s="17" t="s">
        <v>52</v>
      </c>
      <c r="D3671" s="17">
        <v>2216</v>
      </c>
      <c r="E3671" s="17">
        <v>1</v>
      </c>
      <c r="F3671" s="17">
        <v>1709</v>
      </c>
      <c r="G3671" s="13">
        <v>4</v>
      </c>
      <c r="H3671" s="17">
        <v>0</v>
      </c>
      <c r="I3671" s="17">
        <v>0</v>
      </c>
      <c r="J3671" s="17">
        <v>53</v>
      </c>
      <c r="L3671" s="17">
        <v>23.75</v>
      </c>
      <c r="P3671" s="17">
        <v>2</v>
      </c>
      <c r="Q3671" s="19">
        <v>53</v>
      </c>
      <c r="R3671" s="14">
        <v>2000</v>
      </c>
      <c r="S3671" s="19">
        <v>106000</v>
      </c>
      <c r="T3671" s="17">
        <v>1</v>
      </c>
      <c r="U3671" s="17" t="s">
        <v>63</v>
      </c>
      <c r="V3671" s="17" t="s">
        <v>56</v>
      </c>
      <c r="W3671" s="4">
        <v>65</v>
      </c>
      <c r="Y3671" s="4">
        <v>65</v>
      </c>
      <c r="AB3671" s="17">
        <v>20</v>
      </c>
      <c r="AJ3671" s="19">
        <v>0</v>
      </c>
      <c r="AK3671" s="23">
        <v>20</v>
      </c>
      <c r="AM3671" s="19">
        <v>0</v>
      </c>
      <c r="AN3671" s="19">
        <v>106000</v>
      </c>
      <c r="AP3671" s="14">
        <v>106000</v>
      </c>
      <c r="AR3671" s="19">
        <v>960</v>
      </c>
    </row>
    <row r="3672" spans="1:45" ht="63" x14ac:dyDescent="0.2">
      <c r="L3672" s="17">
        <v>29.25</v>
      </c>
      <c r="P3672" s="17">
        <v>2</v>
      </c>
      <c r="Q3672" s="19">
        <v>0</v>
      </c>
      <c r="R3672" s="14" t="e">
        <v>#N/A</v>
      </c>
      <c r="S3672" s="19" t="e">
        <v>#N/A</v>
      </c>
      <c r="T3672" s="17">
        <v>2</v>
      </c>
      <c r="U3672" s="17" t="s">
        <v>63</v>
      </c>
      <c r="V3672" s="17" t="s">
        <v>56</v>
      </c>
      <c r="W3672" s="4">
        <v>117</v>
      </c>
      <c r="Y3672" s="4">
        <v>117</v>
      </c>
      <c r="AB3672" s="17">
        <v>20</v>
      </c>
      <c r="AJ3672" s="19">
        <v>0</v>
      </c>
      <c r="AK3672" s="23">
        <v>20</v>
      </c>
      <c r="AM3672" s="19">
        <v>0</v>
      </c>
      <c r="AN3672" s="19" t="e">
        <v>#N/A</v>
      </c>
      <c r="AP3672" s="14" t="e">
        <v>#N/A</v>
      </c>
    </row>
    <row r="3673" spans="1:45" x14ac:dyDescent="0.2">
      <c r="A3673" s="2">
        <v>3130</v>
      </c>
      <c r="B3673" s="13">
        <v>3</v>
      </c>
      <c r="C3673" s="17" t="s">
        <v>52</v>
      </c>
      <c r="D3673" s="17">
        <v>2314</v>
      </c>
      <c r="E3673" s="17">
        <v>4</v>
      </c>
      <c r="F3673" s="17">
        <v>1147</v>
      </c>
      <c r="G3673" s="13">
        <v>4</v>
      </c>
      <c r="H3673" s="17">
        <v>3</v>
      </c>
      <c r="I3673" s="17">
        <v>0</v>
      </c>
      <c r="J3673" s="17">
        <v>30</v>
      </c>
      <c r="K3673" s="10">
        <v>1230</v>
      </c>
      <c r="P3673" s="17">
        <v>1</v>
      </c>
      <c r="Q3673" s="19">
        <v>1230</v>
      </c>
      <c r="R3673" s="14">
        <v>160</v>
      </c>
      <c r="S3673" s="19">
        <v>196800</v>
      </c>
      <c r="AJ3673" s="19">
        <v>0</v>
      </c>
      <c r="AK3673" s="23">
        <v>0</v>
      </c>
      <c r="AM3673" s="19">
        <v>0</v>
      </c>
      <c r="AN3673" s="19">
        <v>196800</v>
      </c>
      <c r="AP3673" s="14">
        <v>196800</v>
      </c>
    </row>
    <row r="3674" spans="1:45" ht="63" x14ac:dyDescent="0.2">
      <c r="A3674" s="2">
        <v>3131</v>
      </c>
      <c r="B3674" s="13">
        <v>4</v>
      </c>
      <c r="C3674" s="17" t="s">
        <v>52</v>
      </c>
      <c r="D3674" s="17">
        <v>2378</v>
      </c>
      <c r="E3674" s="17">
        <v>4</v>
      </c>
      <c r="F3674" s="17">
        <v>1710</v>
      </c>
      <c r="G3674" s="13">
        <v>4</v>
      </c>
      <c r="H3674" s="17">
        <v>0</v>
      </c>
      <c r="I3674" s="17">
        <v>0</v>
      </c>
      <c r="J3674" s="17">
        <v>45</v>
      </c>
      <c r="M3674" s="15">
        <v>45</v>
      </c>
      <c r="P3674" s="17">
        <v>3</v>
      </c>
      <c r="Q3674" s="19">
        <v>45</v>
      </c>
      <c r="R3674" s="14">
        <v>250</v>
      </c>
      <c r="S3674" s="19">
        <v>11250</v>
      </c>
      <c r="T3674" s="17">
        <v>1</v>
      </c>
      <c r="U3674" s="17" t="s">
        <v>57</v>
      </c>
      <c r="V3674" s="17" t="s">
        <v>56</v>
      </c>
      <c r="W3674" s="4">
        <v>108</v>
      </c>
      <c r="Y3674" s="4" t="s">
        <v>314</v>
      </c>
      <c r="AB3674" s="17">
        <v>22</v>
      </c>
      <c r="AF3674" s="14">
        <v>2</v>
      </c>
      <c r="AG3674" s="54">
        <v>108</v>
      </c>
      <c r="AH3674" s="11">
        <v>0.7</v>
      </c>
      <c r="AI3674" s="14">
        <v>8100</v>
      </c>
      <c r="AJ3674" s="19">
        <v>612360</v>
      </c>
      <c r="AK3674" s="23">
        <v>22</v>
      </c>
      <c r="AL3674" s="11">
        <v>0.34</v>
      </c>
      <c r="AM3674" s="19">
        <v>404157.6</v>
      </c>
      <c r="AN3674" s="19">
        <v>415407.6</v>
      </c>
      <c r="AP3674" s="14">
        <v>415407.6</v>
      </c>
    </row>
    <row r="3675" spans="1:45" x14ac:dyDescent="0.2">
      <c r="R3675" s="14" t="e">
        <v>#N/A</v>
      </c>
      <c r="Z3675" s="17">
        <v>32</v>
      </c>
      <c r="AB3675" s="17">
        <v>22</v>
      </c>
      <c r="AF3675" s="14">
        <v>3</v>
      </c>
      <c r="AG3675" s="54">
        <v>108</v>
      </c>
      <c r="AH3675" s="11">
        <v>0.3</v>
      </c>
      <c r="AI3675" s="14">
        <v>8100</v>
      </c>
      <c r="AJ3675" s="19">
        <v>262440</v>
      </c>
      <c r="AK3675" s="23">
        <v>22</v>
      </c>
      <c r="AL3675" s="11">
        <v>0.34</v>
      </c>
      <c r="AM3675" s="19">
        <v>173210.4</v>
      </c>
      <c r="AN3675" s="19">
        <v>173210.4</v>
      </c>
      <c r="AP3675" s="14">
        <v>173210.4</v>
      </c>
      <c r="AQ3675" s="12">
        <v>3.0000000000000001E-3</v>
      </c>
    </row>
    <row r="3676" spans="1:45" x14ac:dyDescent="0.2">
      <c r="A3676" s="2">
        <v>3132</v>
      </c>
      <c r="B3676" s="13">
        <v>5</v>
      </c>
      <c r="C3676" s="17" t="s">
        <v>52</v>
      </c>
      <c r="D3676" s="17">
        <v>2379</v>
      </c>
      <c r="E3676" s="17">
        <v>5</v>
      </c>
      <c r="F3676" s="17">
        <v>1711</v>
      </c>
      <c r="G3676" s="13">
        <v>4</v>
      </c>
      <c r="H3676" s="17">
        <v>0</v>
      </c>
      <c r="I3676" s="17">
        <v>0</v>
      </c>
      <c r="J3676" s="17">
        <v>45</v>
      </c>
      <c r="N3676" s="18">
        <v>45</v>
      </c>
      <c r="P3676" s="17">
        <v>4</v>
      </c>
      <c r="Q3676" s="19">
        <v>45</v>
      </c>
      <c r="R3676" s="14">
        <v>250</v>
      </c>
      <c r="S3676" s="19">
        <v>11250</v>
      </c>
      <c r="AJ3676" s="19">
        <v>0</v>
      </c>
      <c r="AK3676" s="23">
        <v>0</v>
      </c>
      <c r="AM3676" s="19">
        <v>0</v>
      </c>
      <c r="AN3676" s="19">
        <v>11250</v>
      </c>
      <c r="AP3676" s="14">
        <v>11250</v>
      </c>
      <c r="AQ3676" s="12">
        <v>3.0000000000000001E-3</v>
      </c>
    </row>
    <row r="3677" spans="1:45" x14ac:dyDescent="0.2">
      <c r="A3677" s="2">
        <f>+A3676+1</f>
        <v>3133</v>
      </c>
      <c r="B3677" s="13">
        <v>6</v>
      </c>
      <c r="C3677" s="17" t="s">
        <v>52</v>
      </c>
      <c r="D3677" s="17">
        <v>2401</v>
      </c>
      <c r="E3677" s="17">
        <v>11</v>
      </c>
      <c r="F3677" s="17">
        <v>860</v>
      </c>
      <c r="G3677" s="13">
        <v>4</v>
      </c>
      <c r="H3677" s="17">
        <v>6</v>
      </c>
      <c r="I3677" s="17">
        <v>2</v>
      </c>
      <c r="J3677" s="17">
        <v>77</v>
      </c>
      <c r="K3677" s="10">
        <v>2677</v>
      </c>
      <c r="P3677" s="17">
        <v>1</v>
      </c>
      <c r="Q3677" s="19">
        <v>2677</v>
      </c>
      <c r="R3677" s="14">
        <v>160</v>
      </c>
      <c r="S3677" s="19">
        <v>428320</v>
      </c>
      <c r="AJ3677" s="19">
        <v>0</v>
      </c>
      <c r="AK3677" s="23">
        <v>0</v>
      </c>
      <c r="AM3677" s="19">
        <v>0</v>
      </c>
      <c r="AN3677" s="19">
        <v>428320</v>
      </c>
      <c r="AP3677" s="14">
        <v>428320</v>
      </c>
    </row>
    <row r="3678" spans="1:45" x14ac:dyDescent="0.2">
      <c r="A3678" s="121">
        <f t="shared" ref="A3678:A3692" si="480">+A3677+1</f>
        <v>3134</v>
      </c>
      <c r="B3678" s="13">
        <v>7</v>
      </c>
      <c r="C3678" s="17" t="s">
        <v>65</v>
      </c>
      <c r="D3678" s="17">
        <v>1414</v>
      </c>
      <c r="E3678" s="17">
        <v>106</v>
      </c>
      <c r="H3678" s="17">
        <v>7</v>
      </c>
      <c r="I3678" s="17">
        <v>1</v>
      </c>
      <c r="J3678" s="17">
        <v>70</v>
      </c>
      <c r="K3678" s="10">
        <v>2970</v>
      </c>
      <c r="P3678" s="17">
        <v>1</v>
      </c>
      <c r="Q3678" s="19">
        <v>2970</v>
      </c>
      <c r="R3678" s="14">
        <v>440</v>
      </c>
      <c r="S3678" s="19">
        <v>1306800</v>
      </c>
      <c r="AJ3678" s="19">
        <v>0</v>
      </c>
      <c r="AK3678" s="23">
        <v>0</v>
      </c>
      <c r="AM3678" s="19">
        <v>0</v>
      </c>
      <c r="AN3678" s="19">
        <v>1306800</v>
      </c>
      <c r="AP3678" s="14">
        <v>1306800</v>
      </c>
      <c r="AQ3678" s="12">
        <v>1E-4</v>
      </c>
    </row>
    <row r="3679" spans="1:45" x14ac:dyDescent="0.2">
      <c r="A3679" s="121">
        <f t="shared" si="480"/>
        <v>3135</v>
      </c>
      <c r="B3679" s="13">
        <v>8</v>
      </c>
      <c r="C3679" s="17" t="s">
        <v>65</v>
      </c>
      <c r="D3679" s="17">
        <v>2776</v>
      </c>
      <c r="E3679" s="17">
        <v>177</v>
      </c>
      <c r="H3679" s="17">
        <v>5</v>
      </c>
      <c r="I3679" s="17">
        <v>2</v>
      </c>
      <c r="J3679" s="17">
        <v>46</v>
      </c>
      <c r="K3679" s="10">
        <v>2246</v>
      </c>
      <c r="P3679" s="17">
        <v>1</v>
      </c>
      <c r="Q3679" s="19">
        <v>2246</v>
      </c>
      <c r="R3679" s="14">
        <v>160</v>
      </c>
      <c r="S3679" s="19">
        <v>359360</v>
      </c>
      <c r="AJ3679" s="19">
        <v>0</v>
      </c>
      <c r="AK3679" s="23">
        <v>0</v>
      </c>
      <c r="AM3679" s="19">
        <v>0</v>
      </c>
      <c r="AN3679" s="19">
        <v>359360</v>
      </c>
      <c r="AP3679" s="14">
        <v>359360</v>
      </c>
      <c r="AQ3679" s="12">
        <v>1E-4</v>
      </c>
    </row>
    <row r="3680" spans="1:45" x14ac:dyDescent="0.2">
      <c r="A3680" s="121">
        <f t="shared" si="480"/>
        <v>3136</v>
      </c>
      <c r="B3680" s="13">
        <v>1</v>
      </c>
      <c r="C3680" s="17" t="s">
        <v>52</v>
      </c>
      <c r="D3680" s="17">
        <v>36896</v>
      </c>
      <c r="E3680" s="17">
        <v>111</v>
      </c>
      <c r="F3680" s="17">
        <v>7354</v>
      </c>
      <c r="G3680" s="13">
        <v>4</v>
      </c>
      <c r="H3680" s="17">
        <v>1</v>
      </c>
      <c r="I3680" s="17">
        <v>3</v>
      </c>
      <c r="J3680" s="17">
        <v>97.05</v>
      </c>
      <c r="K3680" s="10">
        <v>797.05</v>
      </c>
      <c r="P3680" s="17">
        <v>1</v>
      </c>
      <c r="Q3680" s="19">
        <v>797.05</v>
      </c>
      <c r="R3680" s="14">
        <v>160</v>
      </c>
      <c r="S3680" s="19">
        <v>127528</v>
      </c>
      <c r="AJ3680" s="19">
        <v>0</v>
      </c>
      <c r="AK3680" s="23">
        <v>0</v>
      </c>
      <c r="AM3680" s="19">
        <v>0</v>
      </c>
      <c r="AN3680" s="19">
        <v>127528</v>
      </c>
      <c r="AP3680" s="14">
        <v>127528</v>
      </c>
    </row>
    <row r="3681" spans="1:45" x14ac:dyDescent="0.2">
      <c r="A3681" s="121">
        <f t="shared" si="480"/>
        <v>3137</v>
      </c>
      <c r="B3681" s="13">
        <v>1</v>
      </c>
      <c r="C3681" s="17" t="s">
        <v>69</v>
      </c>
      <c r="E3681" s="17">
        <v>154</v>
      </c>
      <c r="F3681" s="17">
        <v>10</v>
      </c>
      <c r="G3681" s="13">
        <v>1</v>
      </c>
      <c r="H3681" s="17">
        <v>1</v>
      </c>
      <c r="I3681" s="17">
        <v>0</v>
      </c>
      <c r="J3681" s="17">
        <v>74</v>
      </c>
      <c r="K3681" s="10">
        <v>474</v>
      </c>
      <c r="P3681" s="17">
        <v>1</v>
      </c>
      <c r="Q3681" s="19">
        <v>474</v>
      </c>
      <c r="R3681" s="14">
        <v>160</v>
      </c>
      <c r="S3681" s="19">
        <v>75840</v>
      </c>
      <c r="AJ3681" s="19">
        <v>0</v>
      </c>
      <c r="AK3681" s="23">
        <v>0</v>
      </c>
      <c r="AM3681" s="19">
        <v>0</v>
      </c>
      <c r="AN3681" s="19">
        <v>75840</v>
      </c>
      <c r="AP3681" s="14">
        <v>75840</v>
      </c>
    </row>
    <row r="3682" spans="1:45" ht="63" x14ac:dyDescent="0.2">
      <c r="A3682" s="121">
        <f t="shared" si="480"/>
        <v>3138</v>
      </c>
      <c r="B3682" s="13">
        <v>1</v>
      </c>
      <c r="C3682" s="17" t="s">
        <v>52</v>
      </c>
      <c r="D3682" s="17">
        <v>1155</v>
      </c>
      <c r="E3682" s="17">
        <v>12</v>
      </c>
      <c r="F3682" s="17">
        <v>972</v>
      </c>
      <c r="G3682" s="13">
        <v>1</v>
      </c>
      <c r="H3682" s="17">
        <v>9</v>
      </c>
      <c r="I3682" s="17">
        <v>2</v>
      </c>
      <c r="J3682" s="17">
        <v>14.03</v>
      </c>
      <c r="K3682" s="10">
        <v>3787.03</v>
      </c>
      <c r="L3682" s="17">
        <v>27</v>
      </c>
      <c r="P3682" s="17">
        <v>5</v>
      </c>
      <c r="Q3682" s="19">
        <v>3814.03</v>
      </c>
      <c r="R3682" s="14">
        <v>160</v>
      </c>
      <c r="S3682" s="19">
        <v>610244.80000000005</v>
      </c>
      <c r="T3682" s="17">
        <v>1</v>
      </c>
      <c r="U3682" s="17" t="s">
        <v>57</v>
      </c>
      <c r="V3682" s="17" t="s">
        <v>88</v>
      </c>
      <c r="W3682" s="4">
        <v>108</v>
      </c>
      <c r="Y3682" s="4">
        <v>108</v>
      </c>
      <c r="AB3682" s="17">
        <v>55</v>
      </c>
      <c r="AJ3682" s="19">
        <v>0</v>
      </c>
      <c r="AK3682" s="23">
        <v>55</v>
      </c>
      <c r="AM3682" s="19">
        <v>0</v>
      </c>
      <c r="AN3682" s="19">
        <v>610244.80000000005</v>
      </c>
      <c r="AP3682" s="14">
        <v>610244.80000000005</v>
      </c>
      <c r="AS3682" s="26">
        <v>49</v>
      </c>
    </row>
    <row r="3683" spans="1:45" x14ac:dyDescent="0.2">
      <c r="A3683" s="121">
        <f t="shared" si="480"/>
        <v>3139</v>
      </c>
      <c r="B3683" s="13">
        <v>1</v>
      </c>
      <c r="C3683" s="17" t="s">
        <v>52</v>
      </c>
      <c r="D3683" s="17">
        <v>2614</v>
      </c>
      <c r="E3683" s="17">
        <v>25</v>
      </c>
      <c r="F3683" s="17">
        <v>1872</v>
      </c>
      <c r="G3683" s="13">
        <v>1</v>
      </c>
      <c r="H3683" s="17">
        <v>4</v>
      </c>
      <c r="I3683" s="17">
        <v>1</v>
      </c>
      <c r="J3683" s="17">
        <v>89</v>
      </c>
      <c r="K3683" s="10">
        <v>1789</v>
      </c>
      <c r="P3683" s="17">
        <v>1</v>
      </c>
      <c r="Q3683" s="19">
        <v>1789</v>
      </c>
      <c r="R3683" s="14">
        <v>160</v>
      </c>
      <c r="S3683" s="19">
        <v>286240</v>
      </c>
      <c r="AJ3683" s="19">
        <v>0</v>
      </c>
      <c r="AK3683" s="23">
        <v>0</v>
      </c>
      <c r="AM3683" s="19">
        <v>0</v>
      </c>
      <c r="AN3683" s="19">
        <v>286240</v>
      </c>
      <c r="AP3683" s="14">
        <v>286240</v>
      </c>
      <c r="AS3683" s="26">
        <v>142</v>
      </c>
    </row>
    <row r="3684" spans="1:45" x14ac:dyDescent="0.2">
      <c r="A3684" s="121">
        <f t="shared" si="480"/>
        <v>3140</v>
      </c>
      <c r="B3684" s="13">
        <v>2</v>
      </c>
      <c r="C3684" s="17" t="s">
        <v>52</v>
      </c>
      <c r="D3684" s="17">
        <v>4182</v>
      </c>
      <c r="E3684" s="17">
        <v>42</v>
      </c>
      <c r="F3684" s="17">
        <v>2523</v>
      </c>
      <c r="G3684" s="13">
        <v>1</v>
      </c>
      <c r="H3684" s="17">
        <v>5</v>
      </c>
      <c r="I3684" s="17">
        <v>0</v>
      </c>
      <c r="J3684" s="17">
        <v>9</v>
      </c>
      <c r="K3684" s="10">
        <v>2009</v>
      </c>
      <c r="P3684" s="17">
        <v>1</v>
      </c>
      <c r="Q3684" s="19">
        <v>2009</v>
      </c>
      <c r="R3684" s="14">
        <v>250</v>
      </c>
      <c r="S3684" s="19">
        <v>502250</v>
      </c>
      <c r="AJ3684" s="19">
        <v>0</v>
      </c>
      <c r="AK3684" s="23">
        <v>0</v>
      </c>
      <c r="AM3684" s="19">
        <v>0</v>
      </c>
      <c r="AN3684" s="19">
        <v>502250</v>
      </c>
      <c r="AP3684" s="14">
        <v>502250</v>
      </c>
    </row>
    <row r="3685" spans="1:45" x14ac:dyDescent="0.2">
      <c r="A3685" s="121">
        <f t="shared" si="480"/>
        <v>3141</v>
      </c>
      <c r="B3685" s="13">
        <v>3</v>
      </c>
      <c r="C3685" s="17" t="s">
        <v>52</v>
      </c>
      <c r="D3685" s="17">
        <v>4644</v>
      </c>
      <c r="E3685" s="17">
        <v>62</v>
      </c>
      <c r="F3685" s="17">
        <v>2469</v>
      </c>
      <c r="G3685" s="13">
        <v>1</v>
      </c>
      <c r="H3685" s="17">
        <v>12</v>
      </c>
      <c r="I3685" s="17">
        <v>3</v>
      </c>
      <c r="J3685" s="17">
        <v>89</v>
      </c>
      <c r="K3685" s="10">
        <v>5189</v>
      </c>
      <c r="P3685" s="17">
        <v>1</v>
      </c>
      <c r="Q3685" s="19">
        <v>5189</v>
      </c>
      <c r="R3685" s="14">
        <v>200</v>
      </c>
      <c r="S3685" s="19">
        <v>1037800</v>
      </c>
      <c r="AJ3685" s="19">
        <v>0</v>
      </c>
      <c r="AK3685" s="23">
        <v>0</v>
      </c>
      <c r="AM3685" s="19">
        <v>0</v>
      </c>
      <c r="AN3685" s="19">
        <v>1037800</v>
      </c>
      <c r="AP3685" s="14">
        <v>1037800</v>
      </c>
    </row>
    <row r="3686" spans="1:45" ht="63" x14ac:dyDescent="0.2">
      <c r="A3686" s="121">
        <f t="shared" si="480"/>
        <v>3142</v>
      </c>
      <c r="B3686" s="13">
        <v>4</v>
      </c>
      <c r="C3686" s="17" t="s">
        <v>52</v>
      </c>
      <c r="D3686" s="17">
        <v>5545</v>
      </c>
      <c r="E3686" s="17">
        <v>82</v>
      </c>
      <c r="F3686" s="17">
        <v>2911</v>
      </c>
      <c r="G3686" s="13">
        <v>1</v>
      </c>
      <c r="H3686" s="17">
        <v>0</v>
      </c>
      <c r="I3686" s="17">
        <v>0</v>
      </c>
      <c r="J3686" s="17">
        <v>37.03</v>
      </c>
      <c r="L3686" s="17">
        <v>37.03</v>
      </c>
      <c r="P3686" s="17">
        <v>2</v>
      </c>
      <c r="Q3686" s="19">
        <v>37.03</v>
      </c>
      <c r="R3686" s="14">
        <v>250</v>
      </c>
      <c r="S3686" s="19">
        <v>9257.5</v>
      </c>
      <c r="T3686" s="17">
        <v>1</v>
      </c>
      <c r="U3686" s="17" t="s">
        <v>57</v>
      </c>
      <c r="V3686" s="17" t="s">
        <v>88</v>
      </c>
      <c r="W3686" s="4">
        <v>40</v>
      </c>
      <c r="Y3686" s="4">
        <v>40</v>
      </c>
      <c r="AB3686" s="17">
        <v>20</v>
      </c>
      <c r="AJ3686" s="19">
        <v>0</v>
      </c>
      <c r="AK3686" s="23">
        <v>20</v>
      </c>
      <c r="AM3686" s="19">
        <v>0</v>
      </c>
      <c r="AN3686" s="19">
        <v>9257.5</v>
      </c>
      <c r="AP3686" s="14">
        <v>9257.5</v>
      </c>
    </row>
    <row r="3687" spans="1:45" x14ac:dyDescent="0.2">
      <c r="A3687" s="121">
        <f t="shared" si="480"/>
        <v>3143</v>
      </c>
      <c r="B3687" s="13">
        <v>5</v>
      </c>
      <c r="C3687" s="17" t="s">
        <v>52</v>
      </c>
      <c r="D3687" s="17">
        <v>5546</v>
      </c>
      <c r="E3687" s="17">
        <v>83</v>
      </c>
      <c r="F3687" s="17">
        <v>2912</v>
      </c>
      <c r="G3687" s="13">
        <v>1</v>
      </c>
      <c r="H3687" s="17">
        <v>0</v>
      </c>
      <c r="I3687" s="17">
        <v>0</v>
      </c>
      <c r="J3687" s="17">
        <v>49.07</v>
      </c>
      <c r="N3687" s="18">
        <v>49.07</v>
      </c>
      <c r="P3687" s="17">
        <v>4</v>
      </c>
      <c r="Q3687" s="19">
        <v>49.07</v>
      </c>
      <c r="R3687" s="14">
        <v>250</v>
      </c>
      <c r="S3687" s="19">
        <v>12267.5</v>
      </c>
      <c r="AJ3687" s="19">
        <v>0</v>
      </c>
      <c r="AK3687" s="23">
        <v>0</v>
      </c>
      <c r="AM3687" s="19">
        <v>0</v>
      </c>
      <c r="AN3687" s="19">
        <v>12267.5</v>
      </c>
      <c r="AP3687" s="14">
        <v>12267.5</v>
      </c>
      <c r="AQ3687" s="12">
        <v>3.0000000000000001E-3</v>
      </c>
    </row>
    <row r="3688" spans="1:45" ht="63" x14ac:dyDescent="0.2">
      <c r="A3688" s="121">
        <f t="shared" si="480"/>
        <v>3144</v>
      </c>
      <c r="B3688" s="13">
        <v>6</v>
      </c>
      <c r="C3688" s="17" t="s">
        <v>52</v>
      </c>
      <c r="D3688" s="17">
        <v>11681</v>
      </c>
      <c r="E3688" s="17">
        <v>66</v>
      </c>
      <c r="F3688" s="17">
        <v>3158</v>
      </c>
      <c r="G3688" s="13">
        <v>1</v>
      </c>
      <c r="H3688" s="17">
        <v>5</v>
      </c>
      <c r="I3688" s="17">
        <v>3</v>
      </c>
      <c r="J3688" s="17">
        <v>3.03</v>
      </c>
      <c r="K3688" s="10">
        <v>2245.2800000000002</v>
      </c>
      <c r="L3688" s="17">
        <v>57.75</v>
      </c>
      <c r="P3688" s="17">
        <v>5</v>
      </c>
      <c r="Q3688" s="19">
        <v>2303.0300000000002</v>
      </c>
      <c r="R3688" s="14">
        <v>200</v>
      </c>
      <c r="S3688" s="19">
        <v>460606.00000000006</v>
      </c>
      <c r="T3688" s="17">
        <v>1</v>
      </c>
      <c r="U3688" s="17" t="s">
        <v>57</v>
      </c>
      <c r="V3688" s="17" t="s">
        <v>88</v>
      </c>
      <c r="W3688" s="4">
        <v>231</v>
      </c>
      <c r="Y3688" s="4">
        <v>231</v>
      </c>
      <c r="AB3688" s="17">
        <v>29</v>
      </c>
      <c r="AJ3688" s="19">
        <v>0</v>
      </c>
      <c r="AK3688" s="23">
        <v>29</v>
      </c>
      <c r="AM3688" s="19">
        <v>0</v>
      </c>
      <c r="AN3688" s="19">
        <v>460606.00000000006</v>
      </c>
      <c r="AP3688" s="14">
        <v>460606.00000000006</v>
      </c>
    </row>
    <row r="3689" spans="1:45" x14ac:dyDescent="0.2">
      <c r="A3689" s="121">
        <f t="shared" si="480"/>
        <v>3145</v>
      </c>
      <c r="B3689" s="13">
        <v>1</v>
      </c>
      <c r="C3689" s="17" t="s">
        <v>52</v>
      </c>
      <c r="D3689" s="17">
        <v>4185</v>
      </c>
      <c r="E3689" s="17">
        <v>61</v>
      </c>
      <c r="F3689" s="17">
        <v>2526</v>
      </c>
      <c r="G3689" s="13">
        <v>1</v>
      </c>
      <c r="H3689" s="17">
        <v>6</v>
      </c>
      <c r="I3689" s="17">
        <v>2</v>
      </c>
      <c r="J3689" s="17">
        <v>50</v>
      </c>
      <c r="K3689" s="10">
        <v>2650</v>
      </c>
      <c r="P3689" s="17">
        <v>1</v>
      </c>
      <c r="Q3689" s="19">
        <v>2650</v>
      </c>
      <c r="R3689" s="14">
        <v>200</v>
      </c>
      <c r="S3689" s="19">
        <v>530000</v>
      </c>
      <c r="AJ3689" s="19">
        <v>0</v>
      </c>
      <c r="AK3689" s="23">
        <v>0</v>
      </c>
      <c r="AM3689" s="19">
        <v>0</v>
      </c>
      <c r="AN3689" s="19">
        <v>530000</v>
      </c>
      <c r="AP3689" s="14">
        <v>530000</v>
      </c>
      <c r="AS3689" s="26">
        <v>31</v>
      </c>
    </row>
    <row r="3690" spans="1:45" x14ac:dyDescent="0.2">
      <c r="A3690" s="121">
        <f t="shared" si="480"/>
        <v>3146</v>
      </c>
      <c r="B3690" s="13">
        <v>1</v>
      </c>
      <c r="C3690" s="17" t="s">
        <v>52</v>
      </c>
      <c r="D3690" s="17">
        <v>4186</v>
      </c>
      <c r="E3690" s="17">
        <v>60</v>
      </c>
      <c r="F3690" s="17">
        <v>2527</v>
      </c>
      <c r="G3690" s="13">
        <v>1</v>
      </c>
      <c r="H3690" s="17">
        <v>8</v>
      </c>
      <c r="I3690" s="17">
        <v>3</v>
      </c>
      <c r="J3690" s="17">
        <v>85</v>
      </c>
      <c r="K3690" s="10">
        <v>3585</v>
      </c>
      <c r="P3690" s="17">
        <v>1</v>
      </c>
      <c r="Q3690" s="19">
        <v>3585</v>
      </c>
      <c r="R3690" s="14">
        <v>200</v>
      </c>
      <c r="S3690" s="19">
        <v>717000</v>
      </c>
      <c r="AJ3690" s="19">
        <v>0</v>
      </c>
      <c r="AK3690" s="23">
        <v>0</v>
      </c>
      <c r="AM3690" s="19">
        <v>0</v>
      </c>
      <c r="AN3690" s="19">
        <v>717000</v>
      </c>
      <c r="AP3690" s="14">
        <v>717000</v>
      </c>
      <c r="AS3690" s="26">
        <v>50</v>
      </c>
    </row>
    <row r="3691" spans="1:45" x14ac:dyDescent="0.2">
      <c r="A3691" s="121">
        <f t="shared" si="480"/>
        <v>3147</v>
      </c>
      <c r="B3691" s="13">
        <v>1</v>
      </c>
      <c r="C3691" s="17" t="s">
        <v>69</v>
      </c>
      <c r="E3691" s="17">
        <v>157</v>
      </c>
      <c r="F3691" s="17">
        <v>11</v>
      </c>
      <c r="G3691" s="13">
        <v>1</v>
      </c>
      <c r="H3691" s="17">
        <v>9</v>
      </c>
      <c r="I3691" s="17">
        <v>1</v>
      </c>
      <c r="J3691" s="17">
        <v>78</v>
      </c>
      <c r="K3691" s="10">
        <v>3778</v>
      </c>
      <c r="P3691" s="17">
        <v>1</v>
      </c>
      <c r="Q3691" s="19">
        <v>3778</v>
      </c>
      <c r="R3691" s="14">
        <v>200</v>
      </c>
      <c r="S3691" s="19">
        <v>755600</v>
      </c>
      <c r="AJ3691" s="19">
        <v>0</v>
      </c>
      <c r="AK3691" s="23">
        <v>0</v>
      </c>
      <c r="AM3691" s="19">
        <v>0</v>
      </c>
      <c r="AN3691" s="19">
        <v>755600</v>
      </c>
      <c r="AP3691" s="14">
        <v>755600</v>
      </c>
      <c r="AQ3691" s="12">
        <v>1E-4</v>
      </c>
    </row>
    <row r="3692" spans="1:45" ht="63" x14ac:dyDescent="0.2">
      <c r="A3692" s="121">
        <f t="shared" si="480"/>
        <v>3148</v>
      </c>
      <c r="B3692" s="13">
        <v>1</v>
      </c>
      <c r="C3692" s="17" t="s">
        <v>52</v>
      </c>
      <c r="D3692" s="17">
        <v>1168</v>
      </c>
      <c r="E3692" s="17">
        <v>13</v>
      </c>
      <c r="F3692" s="17">
        <v>1007</v>
      </c>
      <c r="G3692" s="13">
        <v>1</v>
      </c>
      <c r="H3692" s="17">
        <v>2</v>
      </c>
      <c r="I3692" s="17">
        <v>2</v>
      </c>
      <c r="J3692" s="17">
        <v>5</v>
      </c>
      <c r="K3692" s="10">
        <v>862</v>
      </c>
      <c r="L3692" s="17">
        <v>116</v>
      </c>
      <c r="P3692" s="17">
        <v>5</v>
      </c>
      <c r="Q3692" s="19">
        <v>1005</v>
      </c>
      <c r="R3692" s="14">
        <v>200</v>
      </c>
      <c r="S3692" s="19">
        <v>201000</v>
      </c>
      <c r="T3692" s="17">
        <v>1</v>
      </c>
      <c r="U3692" s="17" t="s">
        <v>57</v>
      </c>
      <c r="V3692" s="17" t="s">
        <v>56</v>
      </c>
      <c r="W3692" s="4">
        <v>464</v>
      </c>
      <c r="Y3692" s="4">
        <v>464</v>
      </c>
      <c r="AB3692" s="17">
        <v>31</v>
      </c>
      <c r="AJ3692" s="19">
        <v>0</v>
      </c>
      <c r="AK3692" s="23">
        <v>31</v>
      </c>
      <c r="AM3692" s="19">
        <v>0</v>
      </c>
      <c r="AN3692" s="19">
        <v>201000</v>
      </c>
      <c r="AP3692" s="14">
        <v>201000</v>
      </c>
    </row>
    <row r="3693" spans="1:45" ht="63" x14ac:dyDescent="0.2">
      <c r="L3693" s="17">
        <v>27</v>
      </c>
      <c r="Q3693" s="19">
        <v>0</v>
      </c>
      <c r="R3693" s="14" t="e">
        <v>#N/A</v>
      </c>
      <c r="S3693" s="19" t="e">
        <v>#N/A</v>
      </c>
      <c r="T3693" s="17">
        <v>2</v>
      </c>
      <c r="U3693" s="17" t="s">
        <v>57</v>
      </c>
      <c r="V3693" s="17" t="s">
        <v>56</v>
      </c>
      <c r="W3693" s="4">
        <v>108</v>
      </c>
      <c r="Y3693" s="4">
        <v>108</v>
      </c>
      <c r="AB3693" s="17">
        <v>19</v>
      </c>
      <c r="AJ3693" s="19">
        <v>0</v>
      </c>
      <c r="AK3693" s="23">
        <v>19</v>
      </c>
      <c r="AM3693" s="19">
        <v>0</v>
      </c>
      <c r="AN3693" s="19" t="e">
        <v>#N/A</v>
      </c>
      <c r="AP3693" s="14" t="e">
        <v>#N/A</v>
      </c>
    </row>
    <row r="3694" spans="1:45" x14ac:dyDescent="0.2">
      <c r="A3694" s="2">
        <v>3149</v>
      </c>
      <c r="B3694" s="13">
        <v>1</v>
      </c>
      <c r="C3694" s="17" t="s">
        <v>69</v>
      </c>
      <c r="E3694" s="17">
        <v>153</v>
      </c>
      <c r="F3694" s="17">
        <v>1</v>
      </c>
      <c r="G3694" s="13">
        <v>1</v>
      </c>
      <c r="H3694" s="17">
        <v>3</v>
      </c>
      <c r="I3694" s="17">
        <v>2</v>
      </c>
      <c r="J3694" s="17">
        <v>89</v>
      </c>
      <c r="K3694" s="10">
        <v>1489</v>
      </c>
      <c r="P3694" s="17">
        <v>1</v>
      </c>
      <c r="Q3694" s="19">
        <v>1489</v>
      </c>
      <c r="R3694" s="14">
        <v>160</v>
      </c>
      <c r="S3694" s="19">
        <v>238240</v>
      </c>
      <c r="AJ3694" s="19">
        <v>0</v>
      </c>
      <c r="AK3694" s="23">
        <v>0</v>
      </c>
      <c r="AM3694" s="19">
        <v>0</v>
      </c>
      <c r="AN3694" s="19">
        <v>238240</v>
      </c>
      <c r="AP3694" s="14">
        <v>238240</v>
      </c>
      <c r="AQ3694" s="12">
        <v>1E-4</v>
      </c>
    </row>
    <row r="3695" spans="1:45" x14ac:dyDescent="0.2">
      <c r="A3695" s="2">
        <f>+A3694+1</f>
        <v>3150</v>
      </c>
      <c r="B3695" s="13">
        <v>1</v>
      </c>
      <c r="C3695" s="17" t="s">
        <v>52</v>
      </c>
      <c r="D3695" s="17">
        <v>2586</v>
      </c>
      <c r="E3695" s="17">
        <v>34</v>
      </c>
      <c r="F3695" s="17">
        <v>1842</v>
      </c>
      <c r="G3695" s="13">
        <v>1</v>
      </c>
      <c r="H3695" s="17">
        <v>0</v>
      </c>
      <c r="I3695" s="17">
        <v>2</v>
      </c>
      <c r="J3695" s="17">
        <v>58</v>
      </c>
      <c r="L3695" s="17">
        <v>258</v>
      </c>
      <c r="P3695" s="17">
        <v>2</v>
      </c>
      <c r="Q3695" s="19">
        <v>258</v>
      </c>
      <c r="R3695" s="14">
        <v>200</v>
      </c>
      <c r="S3695" s="19">
        <v>51600</v>
      </c>
      <c r="AJ3695" s="19">
        <v>0</v>
      </c>
      <c r="AK3695" s="23">
        <v>0</v>
      </c>
      <c r="AM3695" s="19">
        <v>0</v>
      </c>
      <c r="AN3695" s="19">
        <v>51600</v>
      </c>
      <c r="AP3695" s="14">
        <v>51600</v>
      </c>
    </row>
    <row r="3696" spans="1:45" x14ac:dyDescent="0.2">
      <c r="A3696" s="121">
        <f t="shared" ref="A3696:A3710" si="481">+A3695+1</f>
        <v>3151</v>
      </c>
      <c r="B3696" s="13">
        <v>2</v>
      </c>
      <c r="C3696" s="17" t="s">
        <v>52</v>
      </c>
      <c r="D3696" s="17">
        <v>2587</v>
      </c>
      <c r="E3696" s="17">
        <v>35</v>
      </c>
      <c r="F3696" s="17">
        <v>1843</v>
      </c>
      <c r="G3696" s="13">
        <v>1</v>
      </c>
      <c r="H3696" s="17">
        <v>0</v>
      </c>
      <c r="I3696" s="17">
        <v>1</v>
      </c>
      <c r="J3696" s="17">
        <v>97</v>
      </c>
      <c r="K3696" s="10">
        <v>197</v>
      </c>
      <c r="P3696" s="17">
        <v>1</v>
      </c>
      <c r="Q3696" s="19">
        <v>197</v>
      </c>
      <c r="R3696" s="14">
        <v>200</v>
      </c>
      <c r="S3696" s="19">
        <v>39400</v>
      </c>
      <c r="AJ3696" s="19">
        <v>0</v>
      </c>
      <c r="AK3696" s="23">
        <v>0</v>
      </c>
      <c r="AM3696" s="19">
        <v>0</v>
      </c>
      <c r="AN3696" s="19">
        <v>39400</v>
      </c>
      <c r="AP3696" s="14">
        <v>39400</v>
      </c>
    </row>
    <row r="3697" spans="1:49" x14ac:dyDescent="0.2">
      <c r="A3697" s="121">
        <f t="shared" si="481"/>
        <v>3152</v>
      </c>
      <c r="B3697" s="13">
        <v>3</v>
      </c>
      <c r="C3697" s="17" t="s">
        <v>52</v>
      </c>
      <c r="D3697" s="17">
        <v>2737</v>
      </c>
      <c r="E3697" s="17">
        <v>74</v>
      </c>
      <c r="F3697" s="17">
        <v>1909</v>
      </c>
      <c r="G3697" s="13">
        <v>1</v>
      </c>
      <c r="H3697" s="17">
        <v>28</v>
      </c>
      <c r="I3697" s="17">
        <v>3</v>
      </c>
      <c r="J3697" s="17">
        <v>95</v>
      </c>
      <c r="K3697" s="10">
        <v>11595</v>
      </c>
      <c r="P3697" s="17">
        <v>1</v>
      </c>
      <c r="Q3697" s="19">
        <v>11595</v>
      </c>
      <c r="R3697" s="14">
        <v>200</v>
      </c>
      <c r="S3697" s="19">
        <v>2319000</v>
      </c>
      <c r="AJ3697" s="19">
        <v>0</v>
      </c>
      <c r="AK3697" s="23">
        <v>0</v>
      </c>
      <c r="AM3697" s="19">
        <v>0</v>
      </c>
      <c r="AN3697" s="19">
        <v>2319000</v>
      </c>
      <c r="AP3697" s="14">
        <v>2319000</v>
      </c>
    </row>
    <row r="3698" spans="1:49" ht="63" x14ac:dyDescent="0.2">
      <c r="A3698" s="121">
        <f t="shared" si="481"/>
        <v>3153</v>
      </c>
      <c r="B3698" s="13">
        <v>1</v>
      </c>
      <c r="C3698" s="17" t="s">
        <v>52</v>
      </c>
      <c r="D3698" s="17">
        <v>1407</v>
      </c>
      <c r="E3698" s="17">
        <v>19</v>
      </c>
      <c r="F3698" s="17">
        <v>602</v>
      </c>
      <c r="G3698" s="13">
        <v>1</v>
      </c>
      <c r="H3698" s="17">
        <v>2</v>
      </c>
      <c r="I3698" s="17">
        <v>3</v>
      </c>
      <c r="J3698" s="17">
        <v>3</v>
      </c>
      <c r="K3698" s="10">
        <v>1022</v>
      </c>
      <c r="L3698" s="17">
        <v>81</v>
      </c>
      <c r="P3698" s="17">
        <v>5</v>
      </c>
      <c r="Q3698" s="19">
        <v>1103</v>
      </c>
      <c r="R3698" s="14">
        <v>160</v>
      </c>
      <c r="S3698" s="19">
        <v>176480</v>
      </c>
      <c r="T3698" s="17">
        <v>1</v>
      </c>
      <c r="U3698" s="17" t="s">
        <v>63</v>
      </c>
      <c r="V3698" s="17" t="s">
        <v>56</v>
      </c>
      <c r="W3698" s="4">
        <v>324</v>
      </c>
      <c r="Y3698" s="4">
        <v>324</v>
      </c>
      <c r="AB3698" s="17">
        <v>23</v>
      </c>
      <c r="AJ3698" s="19">
        <v>0</v>
      </c>
      <c r="AK3698" s="23">
        <v>23</v>
      </c>
      <c r="AM3698" s="19">
        <v>0</v>
      </c>
      <c r="AN3698" s="19">
        <v>176480</v>
      </c>
      <c r="AP3698" s="14">
        <v>176480</v>
      </c>
      <c r="AS3698" s="26">
        <v>141</v>
      </c>
    </row>
    <row r="3699" spans="1:49" x14ac:dyDescent="0.2">
      <c r="A3699" s="121">
        <f t="shared" si="481"/>
        <v>3154</v>
      </c>
      <c r="B3699" s="13">
        <v>2</v>
      </c>
      <c r="C3699" s="17" t="s">
        <v>52</v>
      </c>
      <c r="D3699" s="17">
        <v>1586</v>
      </c>
      <c r="E3699" s="17">
        <v>24</v>
      </c>
      <c r="F3699" s="17">
        <v>523</v>
      </c>
      <c r="G3699" s="13">
        <v>2</v>
      </c>
      <c r="H3699" s="17">
        <v>5</v>
      </c>
      <c r="I3699" s="17">
        <v>1</v>
      </c>
      <c r="J3699" s="17">
        <v>78</v>
      </c>
      <c r="K3699" s="10">
        <v>2178</v>
      </c>
      <c r="P3699" s="17">
        <v>1</v>
      </c>
      <c r="Q3699" s="19">
        <v>2178</v>
      </c>
      <c r="R3699" s="14">
        <v>200</v>
      </c>
      <c r="S3699" s="19">
        <v>435600</v>
      </c>
      <c r="AJ3699" s="19">
        <v>0</v>
      </c>
      <c r="AK3699" s="23">
        <v>0</v>
      </c>
      <c r="AM3699" s="19">
        <v>0</v>
      </c>
      <c r="AN3699" s="19">
        <v>435600</v>
      </c>
      <c r="AP3699" s="14">
        <v>435600</v>
      </c>
    </row>
    <row r="3700" spans="1:49" x14ac:dyDescent="0.2">
      <c r="A3700" s="121">
        <f t="shared" si="481"/>
        <v>3155</v>
      </c>
      <c r="B3700" s="13">
        <v>3</v>
      </c>
      <c r="C3700" s="17" t="s">
        <v>52</v>
      </c>
      <c r="D3700" s="17">
        <v>4626</v>
      </c>
      <c r="E3700" s="17">
        <v>48</v>
      </c>
      <c r="F3700" s="17">
        <v>2447</v>
      </c>
      <c r="G3700" s="13">
        <v>1</v>
      </c>
      <c r="H3700" s="17">
        <v>5</v>
      </c>
      <c r="I3700" s="17">
        <v>0</v>
      </c>
      <c r="J3700" s="17">
        <v>21</v>
      </c>
      <c r="K3700" s="10">
        <v>2021</v>
      </c>
      <c r="P3700" s="17">
        <v>1</v>
      </c>
      <c r="Q3700" s="19">
        <v>2021</v>
      </c>
      <c r="R3700" s="14">
        <v>160</v>
      </c>
      <c r="S3700" s="19">
        <v>323360</v>
      </c>
      <c r="AJ3700" s="19">
        <v>0</v>
      </c>
      <c r="AK3700" s="23">
        <v>0</v>
      </c>
      <c r="AM3700" s="19">
        <v>0</v>
      </c>
      <c r="AN3700" s="19">
        <v>323360</v>
      </c>
      <c r="AP3700" s="14">
        <v>323360</v>
      </c>
    </row>
    <row r="3701" spans="1:49" x14ac:dyDescent="0.2">
      <c r="A3701" s="121">
        <f t="shared" si="481"/>
        <v>3156</v>
      </c>
      <c r="B3701" s="13">
        <v>4</v>
      </c>
      <c r="C3701" s="17" t="s">
        <v>52</v>
      </c>
      <c r="D3701" s="17">
        <v>4637</v>
      </c>
      <c r="E3701" s="17">
        <v>52</v>
      </c>
      <c r="F3701" s="17">
        <v>2459</v>
      </c>
      <c r="G3701" s="13">
        <v>1</v>
      </c>
      <c r="H3701" s="17">
        <v>10</v>
      </c>
      <c r="I3701" s="17">
        <v>3</v>
      </c>
      <c r="J3701" s="17">
        <v>9</v>
      </c>
      <c r="K3701" s="10">
        <v>4309</v>
      </c>
      <c r="P3701" s="17">
        <v>1</v>
      </c>
      <c r="Q3701" s="19">
        <v>4309</v>
      </c>
      <c r="R3701" s="14">
        <v>200</v>
      </c>
      <c r="S3701" s="19">
        <v>861800</v>
      </c>
      <c r="AJ3701" s="19">
        <v>0</v>
      </c>
      <c r="AK3701" s="23">
        <v>0</v>
      </c>
      <c r="AM3701" s="19">
        <v>0</v>
      </c>
      <c r="AN3701" s="19">
        <v>861800</v>
      </c>
      <c r="AP3701" s="14">
        <v>861800</v>
      </c>
    </row>
    <row r="3702" spans="1:49" x14ac:dyDescent="0.2">
      <c r="A3702" s="121">
        <f t="shared" si="481"/>
        <v>3157</v>
      </c>
      <c r="B3702" s="13">
        <v>5</v>
      </c>
      <c r="C3702" s="17" t="s">
        <v>69</v>
      </c>
      <c r="E3702" s="17">
        <v>168</v>
      </c>
      <c r="F3702" s="17">
        <v>2</v>
      </c>
      <c r="G3702" s="13">
        <v>1</v>
      </c>
      <c r="H3702" s="17">
        <v>10</v>
      </c>
      <c r="I3702" s="17">
        <v>1</v>
      </c>
      <c r="J3702" s="17">
        <v>35</v>
      </c>
      <c r="K3702" s="10">
        <v>4135</v>
      </c>
      <c r="P3702" s="17">
        <v>1</v>
      </c>
      <c r="Q3702" s="19">
        <v>4135</v>
      </c>
      <c r="R3702" s="14">
        <v>160</v>
      </c>
      <c r="S3702" s="19">
        <v>661600</v>
      </c>
      <c r="AJ3702" s="19">
        <v>0</v>
      </c>
      <c r="AK3702" s="23">
        <v>0</v>
      </c>
      <c r="AM3702" s="19">
        <v>0</v>
      </c>
      <c r="AN3702" s="19">
        <v>661600</v>
      </c>
      <c r="AP3702" s="14">
        <v>661600</v>
      </c>
      <c r="AQ3702" s="12">
        <v>1E-4</v>
      </c>
      <c r="AW3702" s="14" t="s">
        <v>102</v>
      </c>
    </row>
    <row r="3703" spans="1:49" ht="63" x14ac:dyDescent="0.2">
      <c r="A3703" s="121">
        <f t="shared" si="481"/>
        <v>3158</v>
      </c>
      <c r="B3703" s="13">
        <v>1</v>
      </c>
      <c r="C3703" s="17" t="s">
        <v>52</v>
      </c>
      <c r="D3703" s="17">
        <v>897</v>
      </c>
      <c r="E3703" s="17">
        <v>70</v>
      </c>
      <c r="F3703" s="17">
        <v>192</v>
      </c>
      <c r="G3703" s="13">
        <v>1</v>
      </c>
      <c r="H3703" s="17">
        <v>0</v>
      </c>
      <c r="I3703" s="17">
        <v>1</v>
      </c>
      <c r="J3703" s="17">
        <v>94</v>
      </c>
      <c r="L3703" s="17">
        <v>194</v>
      </c>
      <c r="P3703" s="17">
        <v>2</v>
      </c>
      <c r="Q3703" s="19">
        <v>194</v>
      </c>
      <c r="R3703" s="14">
        <v>250</v>
      </c>
      <c r="S3703" s="19">
        <v>48500</v>
      </c>
      <c r="T3703" s="17">
        <v>1</v>
      </c>
      <c r="U3703" s="17" t="s">
        <v>63</v>
      </c>
      <c r="V3703" s="17" t="s">
        <v>56</v>
      </c>
      <c r="W3703" s="4">
        <v>123.5</v>
      </c>
      <c r="Y3703" s="4">
        <v>123.5</v>
      </c>
      <c r="AB3703" s="17">
        <v>30</v>
      </c>
      <c r="AJ3703" s="19">
        <v>0</v>
      </c>
      <c r="AK3703" s="23">
        <v>30</v>
      </c>
      <c r="AM3703" s="19">
        <v>0</v>
      </c>
      <c r="AN3703" s="19">
        <v>48500</v>
      </c>
      <c r="AP3703" s="14">
        <v>48500</v>
      </c>
      <c r="AS3703" s="26">
        <v>113</v>
      </c>
      <c r="AW3703" s="14" t="s">
        <v>102</v>
      </c>
    </row>
    <row r="3704" spans="1:49" x14ac:dyDescent="0.2">
      <c r="A3704" s="121">
        <f t="shared" si="481"/>
        <v>3159</v>
      </c>
      <c r="B3704" s="13">
        <v>2</v>
      </c>
      <c r="C3704" s="17" t="s">
        <v>52</v>
      </c>
      <c r="D3704" s="17">
        <v>4625</v>
      </c>
      <c r="E3704" s="17">
        <v>65</v>
      </c>
      <c r="F3704" s="17">
        <v>2446</v>
      </c>
      <c r="G3704" s="13">
        <v>1</v>
      </c>
      <c r="H3704" s="17">
        <v>7</v>
      </c>
      <c r="I3704" s="17">
        <v>0</v>
      </c>
      <c r="J3704" s="17">
        <v>93</v>
      </c>
      <c r="K3704" s="10">
        <v>2893</v>
      </c>
      <c r="P3704" s="17">
        <v>1</v>
      </c>
      <c r="Q3704" s="19">
        <v>2893</v>
      </c>
      <c r="R3704" s="14">
        <v>160</v>
      </c>
      <c r="S3704" s="19">
        <v>462880</v>
      </c>
      <c r="AJ3704" s="19">
        <v>0</v>
      </c>
      <c r="AK3704" s="23">
        <v>0</v>
      </c>
      <c r="AM3704" s="19">
        <v>0</v>
      </c>
      <c r="AN3704" s="19">
        <v>462880</v>
      </c>
      <c r="AP3704" s="14">
        <v>462880</v>
      </c>
    </row>
    <row r="3705" spans="1:49" x14ac:dyDescent="0.2">
      <c r="A3705" s="121">
        <f t="shared" si="481"/>
        <v>3160</v>
      </c>
      <c r="B3705" s="13">
        <v>3</v>
      </c>
      <c r="C3705" s="17" t="s">
        <v>52</v>
      </c>
      <c r="D3705" s="17">
        <v>1588</v>
      </c>
      <c r="E3705" s="17">
        <v>26</v>
      </c>
      <c r="F3705" s="17">
        <v>525</v>
      </c>
      <c r="G3705" s="13">
        <v>2</v>
      </c>
      <c r="H3705" s="17">
        <v>3</v>
      </c>
      <c r="I3705" s="17">
        <v>0</v>
      </c>
      <c r="J3705" s="17">
        <v>78</v>
      </c>
      <c r="K3705" s="10">
        <v>1278</v>
      </c>
      <c r="P3705" s="17">
        <v>1</v>
      </c>
      <c r="Q3705" s="19">
        <v>1278</v>
      </c>
      <c r="R3705" s="14">
        <v>200</v>
      </c>
      <c r="S3705" s="19">
        <v>255600</v>
      </c>
      <c r="AJ3705" s="19">
        <v>0</v>
      </c>
      <c r="AK3705" s="23">
        <v>0</v>
      </c>
      <c r="AM3705" s="19">
        <v>0</v>
      </c>
      <c r="AN3705" s="19">
        <v>255600</v>
      </c>
      <c r="AP3705" s="14">
        <v>255600</v>
      </c>
    </row>
    <row r="3706" spans="1:49" x14ac:dyDescent="0.2">
      <c r="A3706" s="121">
        <f t="shared" si="481"/>
        <v>3161</v>
      </c>
      <c r="B3706" s="13">
        <v>4</v>
      </c>
      <c r="C3706" s="17" t="s">
        <v>65</v>
      </c>
      <c r="D3706" s="17">
        <v>1492</v>
      </c>
      <c r="E3706" s="17">
        <v>72</v>
      </c>
      <c r="H3706" s="17">
        <v>2</v>
      </c>
      <c r="I3706" s="17">
        <v>1</v>
      </c>
      <c r="J3706" s="17">
        <v>33</v>
      </c>
      <c r="K3706" s="10">
        <v>933</v>
      </c>
      <c r="P3706" s="17">
        <v>1</v>
      </c>
      <c r="Q3706" s="19">
        <v>933</v>
      </c>
      <c r="R3706" s="14">
        <v>160</v>
      </c>
      <c r="S3706" s="19">
        <v>149280</v>
      </c>
      <c r="AJ3706" s="19">
        <v>0</v>
      </c>
      <c r="AK3706" s="23">
        <v>0</v>
      </c>
      <c r="AM3706" s="19">
        <v>0</v>
      </c>
      <c r="AN3706" s="19">
        <v>149280</v>
      </c>
      <c r="AP3706" s="14">
        <v>149280</v>
      </c>
      <c r="AQ3706" s="12">
        <v>1E-4</v>
      </c>
    </row>
    <row r="3707" spans="1:49" x14ac:dyDescent="0.2">
      <c r="A3707" s="121">
        <f t="shared" si="481"/>
        <v>3162</v>
      </c>
      <c r="B3707" s="13">
        <v>5</v>
      </c>
      <c r="C3707" s="17" t="s">
        <v>69</v>
      </c>
      <c r="E3707" s="17">
        <v>153</v>
      </c>
      <c r="F3707" s="17">
        <v>9</v>
      </c>
      <c r="G3707" s="13">
        <v>1</v>
      </c>
      <c r="H3707" s="17">
        <v>16</v>
      </c>
      <c r="I3707" s="17">
        <v>1</v>
      </c>
      <c r="J3707" s="17">
        <v>40</v>
      </c>
      <c r="K3707" s="10">
        <v>6540</v>
      </c>
      <c r="P3707" s="17">
        <v>1</v>
      </c>
      <c r="Q3707" s="19">
        <v>6540</v>
      </c>
      <c r="R3707" s="14">
        <v>160</v>
      </c>
      <c r="S3707" s="19">
        <v>1046400</v>
      </c>
      <c r="AJ3707" s="19">
        <v>0</v>
      </c>
      <c r="AK3707" s="23">
        <v>0</v>
      </c>
      <c r="AM3707" s="19">
        <v>0</v>
      </c>
      <c r="AN3707" s="19">
        <v>1046400</v>
      </c>
      <c r="AP3707" s="14">
        <v>1046400</v>
      </c>
      <c r="AQ3707" s="12">
        <v>1E-4</v>
      </c>
    </row>
    <row r="3708" spans="1:49" x14ac:dyDescent="0.2">
      <c r="A3708" s="121">
        <f t="shared" si="481"/>
        <v>3163</v>
      </c>
      <c r="B3708" s="13">
        <v>1</v>
      </c>
      <c r="C3708" s="17" t="s">
        <v>52</v>
      </c>
      <c r="D3708" s="17">
        <v>32811</v>
      </c>
      <c r="E3708" s="17">
        <v>288</v>
      </c>
      <c r="F3708" s="17">
        <v>6438</v>
      </c>
      <c r="G3708" s="13">
        <v>1</v>
      </c>
      <c r="H3708" s="17">
        <v>0</v>
      </c>
      <c r="I3708" s="17">
        <v>0</v>
      </c>
      <c r="J3708" s="17">
        <v>42</v>
      </c>
      <c r="K3708" s="10">
        <v>42</v>
      </c>
      <c r="P3708" s="17">
        <v>1</v>
      </c>
      <c r="Q3708" s="19">
        <v>42</v>
      </c>
      <c r="R3708" s="14">
        <v>160</v>
      </c>
      <c r="S3708" s="19">
        <v>6720</v>
      </c>
      <c r="AJ3708" s="19">
        <v>0</v>
      </c>
      <c r="AK3708" s="23">
        <v>0</v>
      </c>
      <c r="AM3708" s="19">
        <v>0</v>
      </c>
      <c r="AN3708" s="19">
        <v>6720</v>
      </c>
      <c r="AP3708" s="14">
        <v>6720</v>
      </c>
    </row>
    <row r="3709" spans="1:49" x14ac:dyDescent="0.2">
      <c r="A3709" s="121">
        <f t="shared" si="481"/>
        <v>3164</v>
      </c>
      <c r="B3709" s="13">
        <v>2</v>
      </c>
      <c r="C3709" s="17" t="s">
        <v>52</v>
      </c>
      <c r="D3709" s="17">
        <v>32815</v>
      </c>
      <c r="E3709" s="17">
        <v>292</v>
      </c>
      <c r="F3709" s="17">
        <v>6442</v>
      </c>
      <c r="G3709" s="13">
        <v>1</v>
      </c>
      <c r="H3709" s="17">
        <v>0</v>
      </c>
      <c r="I3709" s="17">
        <v>1</v>
      </c>
      <c r="J3709" s="17">
        <v>25</v>
      </c>
      <c r="K3709" s="10">
        <v>125</v>
      </c>
      <c r="P3709" s="17">
        <v>1</v>
      </c>
      <c r="Q3709" s="19">
        <v>125</v>
      </c>
      <c r="R3709" s="14">
        <v>160</v>
      </c>
      <c r="S3709" s="19">
        <v>20000</v>
      </c>
      <c r="AJ3709" s="19">
        <v>0</v>
      </c>
      <c r="AK3709" s="23">
        <v>0</v>
      </c>
      <c r="AM3709" s="19">
        <v>0</v>
      </c>
      <c r="AN3709" s="19">
        <v>20000</v>
      </c>
      <c r="AP3709" s="14">
        <v>20000</v>
      </c>
    </row>
    <row r="3710" spans="1:49" ht="63" x14ac:dyDescent="0.2">
      <c r="A3710" s="121">
        <f t="shared" si="481"/>
        <v>3165</v>
      </c>
      <c r="B3710" s="13">
        <v>1</v>
      </c>
      <c r="C3710" s="17" t="s">
        <v>52</v>
      </c>
      <c r="D3710" s="17">
        <v>14254</v>
      </c>
      <c r="E3710" s="17">
        <v>86</v>
      </c>
      <c r="F3710" s="17">
        <v>3383</v>
      </c>
      <c r="G3710" s="13">
        <v>1</v>
      </c>
      <c r="H3710" s="17">
        <v>0</v>
      </c>
      <c r="I3710" s="17">
        <v>2</v>
      </c>
      <c r="J3710" s="17">
        <v>0</v>
      </c>
      <c r="L3710" s="17">
        <v>200</v>
      </c>
      <c r="P3710" s="17">
        <v>2</v>
      </c>
      <c r="Q3710" s="19">
        <v>200</v>
      </c>
      <c r="R3710" s="14">
        <v>200</v>
      </c>
      <c r="S3710" s="19">
        <v>40000</v>
      </c>
      <c r="T3710" s="17">
        <v>1</v>
      </c>
      <c r="U3710" s="17" t="s">
        <v>57</v>
      </c>
      <c r="V3710" s="17" t="s">
        <v>56</v>
      </c>
      <c r="W3710" s="4">
        <v>60</v>
      </c>
      <c r="Y3710" s="4">
        <v>60</v>
      </c>
      <c r="AB3710" s="17">
        <v>60</v>
      </c>
      <c r="AJ3710" s="19">
        <v>0</v>
      </c>
      <c r="AK3710" s="23">
        <v>60</v>
      </c>
      <c r="AM3710" s="19">
        <v>0</v>
      </c>
      <c r="AN3710" s="19">
        <v>40000</v>
      </c>
      <c r="AP3710" s="14">
        <v>40000</v>
      </c>
    </row>
    <row r="3711" spans="1:49" x14ac:dyDescent="0.2">
      <c r="B3711" s="13">
        <v>2</v>
      </c>
      <c r="C3711" s="17" t="s">
        <v>65</v>
      </c>
      <c r="D3711" s="17">
        <v>294</v>
      </c>
      <c r="E3711" s="17">
        <v>123</v>
      </c>
      <c r="H3711" s="17">
        <v>2</v>
      </c>
      <c r="I3711" s="17">
        <v>2</v>
      </c>
      <c r="J3711" s="17">
        <v>90</v>
      </c>
      <c r="K3711" s="10">
        <v>1090</v>
      </c>
      <c r="Q3711" s="19">
        <v>1090</v>
      </c>
      <c r="R3711" s="14" t="e">
        <v>#N/A</v>
      </c>
      <c r="S3711" s="19" t="e">
        <v>#N/A</v>
      </c>
      <c r="AE3711" s="17" t="s">
        <v>94</v>
      </c>
      <c r="AJ3711" s="19">
        <v>0</v>
      </c>
      <c r="AK3711" s="23">
        <v>0</v>
      </c>
      <c r="AM3711" s="19">
        <v>0</v>
      </c>
      <c r="AN3711" s="19" t="e">
        <v>#N/A</v>
      </c>
      <c r="AP3711" s="14" t="e">
        <v>#N/A</v>
      </c>
      <c r="AQ3711" s="12">
        <v>1E-4</v>
      </c>
    </row>
    <row r="3712" spans="1:49" x14ac:dyDescent="0.2">
      <c r="A3712" s="2">
        <v>3166</v>
      </c>
      <c r="B3712" s="13">
        <v>1</v>
      </c>
      <c r="C3712" s="17" t="s">
        <v>52</v>
      </c>
      <c r="D3712" s="17">
        <v>25020</v>
      </c>
      <c r="E3712" s="17">
        <v>71</v>
      </c>
      <c r="F3712" s="17">
        <v>4974</v>
      </c>
      <c r="G3712" s="13">
        <v>1</v>
      </c>
      <c r="H3712" s="17">
        <v>0</v>
      </c>
      <c r="I3712" s="17">
        <v>3</v>
      </c>
      <c r="J3712" s="17">
        <v>4</v>
      </c>
      <c r="K3712" s="10">
        <v>304</v>
      </c>
      <c r="P3712" s="17">
        <v>1</v>
      </c>
      <c r="Q3712" s="19">
        <v>304</v>
      </c>
      <c r="R3712" s="14">
        <v>200</v>
      </c>
      <c r="S3712" s="19">
        <v>60800</v>
      </c>
      <c r="AJ3712" s="19">
        <v>0</v>
      </c>
      <c r="AK3712" s="23">
        <v>0</v>
      </c>
      <c r="AM3712" s="19">
        <v>0</v>
      </c>
      <c r="AN3712" s="19">
        <v>60800</v>
      </c>
      <c r="AP3712" s="14">
        <v>60800</v>
      </c>
    </row>
    <row r="3713" spans="1:45" x14ac:dyDescent="0.2">
      <c r="A3713" s="2">
        <f>+A3712+1</f>
        <v>3167</v>
      </c>
      <c r="B3713" s="13">
        <v>2</v>
      </c>
      <c r="C3713" s="17" t="s">
        <v>52</v>
      </c>
      <c r="D3713" s="17">
        <v>30208</v>
      </c>
      <c r="E3713" s="17">
        <v>89</v>
      </c>
      <c r="F3713" s="17">
        <v>5333</v>
      </c>
      <c r="G3713" s="13">
        <v>1</v>
      </c>
      <c r="H3713" s="17">
        <v>0</v>
      </c>
      <c r="I3713" s="17">
        <v>1</v>
      </c>
      <c r="J3713" s="17">
        <v>37</v>
      </c>
      <c r="K3713" s="10">
        <v>137</v>
      </c>
      <c r="P3713" s="17">
        <v>1</v>
      </c>
      <c r="Q3713" s="19">
        <v>137</v>
      </c>
      <c r="R3713" s="14">
        <v>200</v>
      </c>
      <c r="S3713" s="19">
        <v>27400</v>
      </c>
      <c r="AJ3713" s="19">
        <v>0</v>
      </c>
      <c r="AK3713" s="23">
        <v>0</v>
      </c>
      <c r="AM3713" s="19">
        <v>0</v>
      </c>
      <c r="AN3713" s="19">
        <v>27400</v>
      </c>
      <c r="AP3713" s="14">
        <v>27400</v>
      </c>
    </row>
    <row r="3714" spans="1:45" x14ac:dyDescent="0.2">
      <c r="A3714" s="121">
        <f t="shared" ref="A3714:A3716" si="482">+A3713+1</f>
        <v>3168</v>
      </c>
      <c r="B3714" s="13">
        <v>1</v>
      </c>
      <c r="C3714" s="17" t="s">
        <v>52</v>
      </c>
      <c r="D3714" s="17">
        <v>2796</v>
      </c>
      <c r="E3714" s="17">
        <v>24</v>
      </c>
      <c r="F3714" s="17">
        <v>1911</v>
      </c>
      <c r="G3714" s="13">
        <v>1</v>
      </c>
      <c r="H3714" s="17">
        <v>1</v>
      </c>
      <c r="I3714" s="17">
        <v>2</v>
      </c>
      <c r="J3714" s="17">
        <v>2</v>
      </c>
      <c r="K3714" s="10">
        <v>602</v>
      </c>
      <c r="P3714" s="17">
        <v>1</v>
      </c>
      <c r="Q3714" s="19">
        <v>602</v>
      </c>
      <c r="R3714" s="14">
        <v>200</v>
      </c>
      <c r="S3714" s="19">
        <v>120400</v>
      </c>
      <c r="AJ3714" s="19">
        <v>0</v>
      </c>
      <c r="AK3714" s="23">
        <v>0</v>
      </c>
      <c r="AM3714" s="19">
        <v>0</v>
      </c>
      <c r="AN3714" s="19">
        <v>120400</v>
      </c>
      <c r="AP3714" s="14">
        <v>120400</v>
      </c>
    </row>
    <row r="3715" spans="1:45" x14ac:dyDescent="0.2">
      <c r="A3715" s="121">
        <f t="shared" si="482"/>
        <v>3169</v>
      </c>
      <c r="B3715" s="13">
        <v>1</v>
      </c>
      <c r="C3715" s="17" t="s">
        <v>52</v>
      </c>
      <c r="D3715" s="17">
        <v>2798</v>
      </c>
      <c r="E3715" s="17">
        <v>22</v>
      </c>
      <c r="F3715" s="17">
        <v>1913</v>
      </c>
      <c r="G3715" s="13">
        <v>1</v>
      </c>
      <c r="H3715" s="17">
        <v>1</v>
      </c>
      <c r="I3715" s="17">
        <v>3</v>
      </c>
      <c r="J3715" s="17">
        <v>17</v>
      </c>
      <c r="K3715" s="10">
        <v>717</v>
      </c>
      <c r="P3715" s="17">
        <v>1</v>
      </c>
      <c r="Q3715" s="19">
        <v>717</v>
      </c>
      <c r="R3715" s="14">
        <v>200</v>
      </c>
      <c r="S3715" s="19">
        <v>143400</v>
      </c>
      <c r="AJ3715" s="19">
        <v>0</v>
      </c>
      <c r="AK3715" s="23">
        <v>0</v>
      </c>
      <c r="AM3715" s="19">
        <v>0</v>
      </c>
      <c r="AN3715" s="19">
        <v>143400</v>
      </c>
      <c r="AP3715" s="14">
        <v>143400</v>
      </c>
    </row>
    <row r="3716" spans="1:45" ht="63" x14ac:dyDescent="0.2">
      <c r="A3716" s="121">
        <f t="shared" si="482"/>
        <v>3170</v>
      </c>
      <c r="B3716" s="13">
        <v>1</v>
      </c>
      <c r="C3716" s="17" t="s">
        <v>52</v>
      </c>
      <c r="D3716" s="17">
        <v>14253</v>
      </c>
      <c r="E3716" s="17">
        <v>85</v>
      </c>
      <c r="F3716" s="17">
        <v>3382</v>
      </c>
      <c r="G3716" s="13">
        <v>1</v>
      </c>
      <c r="H3716" s="17">
        <v>1</v>
      </c>
      <c r="I3716" s="17">
        <v>2</v>
      </c>
      <c r="J3716" s="17">
        <v>65</v>
      </c>
      <c r="K3716" s="10">
        <v>557.25</v>
      </c>
      <c r="L3716" s="17">
        <v>80.75</v>
      </c>
      <c r="P3716" s="17">
        <v>5</v>
      </c>
      <c r="Q3716" s="19">
        <v>665</v>
      </c>
      <c r="R3716" s="14">
        <v>200</v>
      </c>
      <c r="S3716" s="19">
        <v>133000</v>
      </c>
      <c r="T3716" s="17">
        <v>1</v>
      </c>
      <c r="U3716" s="17" t="s">
        <v>57</v>
      </c>
      <c r="V3716" s="17" t="s">
        <v>56</v>
      </c>
      <c r="W3716" s="4">
        <v>323</v>
      </c>
      <c r="Y3716" s="4">
        <v>323</v>
      </c>
      <c r="AB3716" s="17">
        <v>15</v>
      </c>
      <c r="AJ3716" s="19">
        <v>0</v>
      </c>
      <c r="AK3716" s="23">
        <v>15</v>
      </c>
      <c r="AM3716" s="19">
        <v>0</v>
      </c>
      <c r="AN3716" s="19">
        <v>133000</v>
      </c>
      <c r="AP3716" s="14">
        <v>133000</v>
      </c>
    </row>
    <row r="3717" spans="1:45" ht="63" x14ac:dyDescent="0.2">
      <c r="L3717" s="17">
        <v>27</v>
      </c>
      <c r="Q3717" s="19">
        <v>0</v>
      </c>
      <c r="R3717" s="14" t="e">
        <v>#N/A</v>
      </c>
      <c r="S3717" s="19" t="e">
        <v>#N/A</v>
      </c>
      <c r="T3717" s="17">
        <v>2</v>
      </c>
      <c r="U3717" s="17" t="s">
        <v>57</v>
      </c>
      <c r="V3717" s="17" t="s">
        <v>56</v>
      </c>
      <c r="W3717" s="4">
        <v>108</v>
      </c>
      <c r="Y3717" s="4">
        <v>108</v>
      </c>
      <c r="AB3717" s="17">
        <v>1</v>
      </c>
      <c r="AJ3717" s="19">
        <v>0</v>
      </c>
      <c r="AK3717" s="23">
        <v>1</v>
      </c>
      <c r="AM3717" s="19">
        <v>0</v>
      </c>
      <c r="AN3717" s="19" t="e">
        <v>#N/A</v>
      </c>
      <c r="AP3717" s="14" t="e">
        <v>#N/A</v>
      </c>
    </row>
    <row r="3718" spans="1:45" x14ac:dyDescent="0.2">
      <c r="A3718" s="2">
        <v>3171</v>
      </c>
      <c r="B3718" s="13">
        <v>1</v>
      </c>
      <c r="C3718" s="17" t="s">
        <v>52</v>
      </c>
      <c r="D3718" s="17">
        <v>14255</v>
      </c>
      <c r="E3718" s="17">
        <v>87</v>
      </c>
      <c r="F3718" s="17">
        <v>3384</v>
      </c>
      <c r="G3718" s="13">
        <v>1</v>
      </c>
      <c r="H3718" s="17">
        <v>0</v>
      </c>
      <c r="I3718" s="17">
        <v>1</v>
      </c>
      <c r="J3718" s="17">
        <v>96</v>
      </c>
      <c r="N3718" s="18">
        <v>196</v>
      </c>
      <c r="P3718" s="17">
        <v>4</v>
      </c>
      <c r="Q3718" s="19">
        <v>196</v>
      </c>
      <c r="R3718" s="14">
        <v>200</v>
      </c>
      <c r="S3718" s="19">
        <v>39200</v>
      </c>
      <c r="AJ3718" s="19">
        <v>0</v>
      </c>
      <c r="AK3718" s="23">
        <v>0</v>
      </c>
      <c r="AM3718" s="19">
        <v>0</v>
      </c>
      <c r="AN3718" s="19">
        <v>39200</v>
      </c>
      <c r="AP3718" s="14">
        <v>39200</v>
      </c>
      <c r="AQ3718" s="12">
        <v>3.0000000000000001E-3</v>
      </c>
    </row>
    <row r="3719" spans="1:45" ht="42" x14ac:dyDescent="0.2">
      <c r="A3719" s="2">
        <v>3172</v>
      </c>
      <c r="B3719" s="13">
        <v>1</v>
      </c>
      <c r="C3719" s="17" t="s">
        <v>52</v>
      </c>
      <c r="D3719" s="17">
        <v>5068</v>
      </c>
      <c r="E3719" s="17">
        <v>66</v>
      </c>
      <c r="F3719" s="17">
        <v>2465</v>
      </c>
      <c r="G3719" s="13">
        <v>1</v>
      </c>
      <c r="H3719" s="17">
        <v>7</v>
      </c>
      <c r="I3719" s="17">
        <v>0</v>
      </c>
      <c r="J3719" s="17">
        <v>53</v>
      </c>
      <c r="K3719" s="10">
        <v>2853</v>
      </c>
      <c r="P3719" s="17">
        <v>1</v>
      </c>
      <c r="Q3719" s="19">
        <v>2853</v>
      </c>
      <c r="R3719" s="14">
        <v>200</v>
      </c>
      <c r="S3719" s="19">
        <v>570600</v>
      </c>
      <c r="AJ3719" s="19">
        <v>0</v>
      </c>
      <c r="AK3719" s="23">
        <v>0</v>
      </c>
      <c r="AM3719" s="19">
        <v>0</v>
      </c>
      <c r="AN3719" s="19">
        <v>570600</v>
      </c>
      <c r="AP3719" s="14">
        <v>570600</v>
      </c>
      <c r="AS3719" s="26" t="s">
        <v>315</v>
      </c>
    </row>
    <row r="3720" spans="1:45" x14ac:dyDescent="0.2">
      <c r="R3720" s="14" t="e">
        <v>#N/A</v>
      </c>
    </row>
    <row r="3721" spans="1:45" x14ac:dyDescent="0.2">
      <c r="A3721" s="2">
        <v>3173</v>
      </c>
      <c r="B3721" s="13">
        <v>1</v>
      </c>
      <c r="C3721" s="17" t="s">
        <v>65</v>
      </c>
      <c r="D3721" s="17">
        <v>1423</v>
      </c>
      <c r="E3721" s="17">
        <v>116</v>
      </c>
      <c r="H3721" s="17">
        <v>2</v>
      </c>
      <c r="I3721" s="17">
        <v>2</v>
      </c>
      <c r="J3721" s="17">
        <v>0</v>
      </c>
      <c r="K3721" s="10">
        <v>1000</v>
      </c>
      <c r="P3721" s="17">
        <v>1</v>
      </c>
      <c r="Q3721" s="19">
        <v>1000</v>
      </c>
      <c r="R3721" s="14">
        <v>1500</v>
      </c>
      <c r="S3721" s="19">
        <v>1500000</v>
      </c>
      <c r="AJ3721" s="19">
        <v>0</v>
      </c>
      <c r="AK3721" s="23">
        <v>0</v>
      </c>
      <c r="AM3721" s="19">
        <v>0</v>
      </c>
      <c r="AN3721" s="19">
        <v>1500000</v>
      </c>
      <c r="AP3721" s="14">
        <v>1500000</v>
      </c>
      <c r="AQ3721" s="12">
        <v>1E-4</v>
      </c>
    </row>
    <row r="3722" spans="1:45" x14ac:dyDescent="0.2">
      <c r="A3722" s="2">
        <v>3174</v>
      </c>
      <c r="B3722" s="13">
        <v>1</v>
      </c>
      <c r="C3722" s="17" t="s">
        <v>52</v>
      </c>
      <c r="D3722" s="17">
        <v>29251</v>
      </c>
      <c r="E3722" s="17">
        <v>101</v>
      </c>
      <c r="F3722" s="17">
        <v>5446</v>
      </c>
      <c r="G3722" s="13">
        <v>1</v>
      </c>
      <c r="H3722" s="17">
        <v>8</v>
      </c>
      <c r="I3722" s="17">
        <v>1</v>
      </c>
      <c r="J3722" s="17">
        <v>37</v>
      </c>
      <c r="K3722" s="10">
        <v>3337</v>
      </c>
      <c r="P3722" s="17">
        <v>1</v>
      </c>
      <c r="Q3722" s="19">
        <v>3337</v>
      </c>
      <c r="R3722" s="14">
        <v>160</v>
      </c>
      <c r="S3722" s="19">
        <v>533920</v>
      </c>
      <c r="AJ3722" s="19">
        <v>0</v>
      </c>
      <c r="AK3722" s="23">
        <v>0</v>
      </c>
      <c r="AM3722" s="19">
        <v>0</v>
      </c>
      <c r="AN3722" s="19">
        <v>533920</v>
      </c>
      <c r="AP3722" s="14">
        <v>533920</v>
      </c>
    </row>
    <row r="3723" spans="1:45" ht="63" x14ac:dyDescent="0.2">
      <c r="A3723" s="2">
        <v>3175</v>
      </c>
      <c r="B3723" s="13">
        <v>1</v>
      </c>
      <c r="C3723" s="17" t="s">
        <v>52</v>
      </c>
      <c r="D3723" s="17">
        <v>1049</v>
      </c>
      <c r="E3723" s="17">
        <v>30</v>
      </c>
      <c r="F3723" s="17">
        <v>407</v>
      </c>
      <c r="G3723" s="13">
        <v>1</v>
      </c>
      <c r="H3723" s="17">
        <v>7</v>
      </c>
      <c r="I3723" s="17">
        <v>1</v>
      </c>
      <c r="J3723" s="17">
        <v>55</v>
      </c>
      <c r="K3723" s="10">
        <v>2857.75</v>
      </c>
      <c r="L3723" s="17">
        <v>55.25</v>
      </c>
      <c r="P3723" s="17">
        <v>5</v>
      </c>
      <c r="Q3723" s="19">
        <v>2955</v>
      </c>
      <c r="R3723" s="14">
        <v>200</v>
      </c>
      <c r="S3723" s="19">
        <v>591000</v>
      </c>
      <c r="T3723" s="17">
        <v>1</v>
      </c>
      <c r="U3723" s="17" t="s">
        <v>57</v>
      </c>
      <c r="V3723" s="17" t="s">
        <v>56</v>
      </c>
      <c r="W3723" s="4">
        <v>221</v>
      </c>
      <c r="Y3723" s="4">
        <v>221</v>
      </c>
      <c r="AB3723" s="17">
        <v>21</v>
      </c>
      <c r="AJ3723" s="19">
        <v>0</v>
      </c>
      <c r="AK3723" s="23">
        <v>21</v>
      </c>
      <c r="AM3723" s="19">
        <v>0</v>
      </c>
      <c r="AN3723" s="19">
        <v>591000</v>
      </c>
      <c r="AP3723" s="14">
        <v>591000</v>
      </c>
    </row>
    <row r="3724" spans="1:45" ht="63" x14ac:dyDescent="0.2">
      <c r="L3724" s="17">
        <v>22.5</v>
      </c>
      <c r="Q3724" s="19">
        <v>0</v>
      </c>
      <c r="R3724" s="14" t="e">
        <v>#N/A</v>
      </c>
      <c r="S3724" s="19" t="e">
        <v>#N/A</v>
      </c>
      <c r="T3724" s="17">
        <v>2</v>
      </c>
      <c r="U3724" s="17" t="s">
        <v>57</v>
      </c>
      <c r="V3724" s="17" t="s">
        <v>56</v>
      </c>
      <c r="W3724" s="4">
        <v>90</v>
      </c>
      <c r="Y3724" s="4">
        <v>90</v>
      </c>
      <c r="AB3724" s="17">
        <v>9</v>
      </c>
      <c r="AJ3724" s="19">
        <v>0</v>
      </c>
      <c r="AK3724" s="23">
        <v>9</v>
      </c>
      <c r="AM3724" s="19">
        <v>0</v>
      </c>
      <c r="AN3724" s="19" t="e">
        <v>#N/A</v>
      </c>
      <c r="AP3724" s="14" t="e">
        <v>#N/A</v>
      </c>
    </row>
    <row r="3725" spans="1:45" ht="63" x14ac:dyDescent="0.2">
      <c r="L3725" s="17">
        <v>19.5</v>
      </c>
      <c r="Q3725" s="19">
        <v>0</v>
      </c>
      <c r="R3725" s="14" t="e">
        <v>#N/A</v>
      </c>
      <c r="S3725" s="19" t="e">
        <v>#N/A</v>
      </c>
      <c r="T3725" s="17">
        <v>3</v>
      </c>
      <c r="U3725" s="17" t="s">
        <v>57</v>
      </c>
      <c r="V3725" s="17" t="s">
        <v>56</v>
      </c>
      <c r="W3725" s="4">
        <v>78</v>
      </c>
      <c r="Y3725" s="4">
        <v>78</v>
      </c>
      <c r="AB3725" s="17">
        <v>15</v>
      </c>
      <c r="AJ3725" s="19">
        <v>0</v>
      </c>
      <c r="AK3725" s="23">
        <v>15</v>
      </c>
      <c r="AM3725" s="19">
        <v>0</v>
      </c>
      <c r="AN3725" s="19" t="e">
        <v>#N/A</v>
      </c>
      <c r="AP3725" s="14" t="e">
        <v>#N/A</v>
      </c>
    </row>
    <row r="3726" spans="1:45" x14ac:dyDescent="0.2">
      <c r="A3726" s="2">
        <v>3176</v>
      </c>
      <c r="B3726" s="13">
        <v>1</v>
      </c>
      <c r="C3726" s="17" t="s">
        <v>52</v>
      </c>
      <c r="D3726" s="17">
        <v>966</v>
      </c>
      <c r="E3726" s="17">
        <v>8</v>
      </c>
      <c r="F3726" s="17">
        <v>376</v>
      </c>
      <c r="G3726" s="13">
        <v>1</v>
      </c>
      <c r="H3726" s="17">
        <v>4</v>
      </c>
      <c r="I3726" s="17">
        <v>0</v>
      </c>
      <c r="J3726" s="17">
        <v>59</v>
      </c>
      <c r="M3726" s="15">
        <v>1629</v>
      </c>
      <c r="P3726" s="17">
        <v>3</v>
      </c>
      <c r="Q3726" s="19">
        <v>1659</v>
      </c>
      <c r="R3726" s="14">
        <v>1500</v>
      </c>
      <c r="S3726" s="19">
        <v>2488500</v>
      </c>
      <c r="T3726" s="17">
        <v>1</v>
      </c>
      <c r="AE3726" s="17" t="s">
        <v>120</v>
      </c>
      <c r="AM3726" s="19">
        <v>0</v>
      </c>
      <c r="AN3726" s="19">
        <v>2488500</v>
      </c>
      <c r="AP3726" s="14">
        <v>2488500</v>
      </c>
      <c r="AQ3726" s="12">
        <v>3.0000000000000001E-3</v>
      </c>
      <c r="AS3726" s="26">
        <v>112</v>
      </c>
    </row>
    <row r="3727" spans="1:45" ht="63" x14ac:dyDescent="0.2">
      <c r="R3727" s="14" t="e">
        <v>#N/A</v>
      </c>
      <c r="U3727" s="17" t="s">
        <v>57</v>
      </c>
      <c r="V3727" s="17" t="s">
        <v>56</v>
      </c>
      <c r="W3727" s="4">
        <v>32</v>
      </c>
      <c r="Z3727" s="17">
        <v>32</v>
      </c>
      <c r="AB3727" s="17">
        <v>28</v>
      </c>
      <c r="AF3727" s="14">
        <v>3</v>
      </c>
      <c r="AG3727" s="54">
        <v>32</v>
      </c>
      <c r="AH3727" s="11">
        <v>1</v>
      </c>
      <c r="AI3727" s="14">
        <v>7250</v>
      </c>
      <c r="AJ3727" s="19">
        <v>232000</v>
      </c>
      <c r="AK3727" s="23">
        <v>28</v>
      </c>
      <c r="AL3727" s="11">
        <v>0.46</v>
      </c>
      <c r="AM3727" s="19">
        <v>125280</v>
      </c>
      <c r="AN3727" s="19">
        <v>125280</v>
      </c>
      <c r="AP3727" s="14">
        <v>125280</v>
      </c>
      <c r="AQ3727" s="12">
        <v>3.0000000000000001E-3</v>
      </c>
    </row>
    <row r="3728" spans="1:45" x14ac:dyDescent="0.2">
      <c r="A3728" s="2">
        <v>3177</v>
      </c>
      <c r="B3728" s="13">
        <v>2</v>
      </c>
      <c r="C3728" s="17" t="s">
        <v>52</v>
      </c>
      <c r="D3728" s="17">
        <v>2892</v>
      </c>
      <c r="E3728" s="17">
        <v>27</v>
      </c>
      <c r="F3728" s="17">
        <v>1887</v>
      </c>
      <c r="G3728" s="13">
        <v>1</v>
      </c>
      <c r="H3728" s="17">
        <v>7</v>
      </c>
      <c r="I3728" s="17">
        <v>0</v>
      </c>
      <c r="J3728" s="17">
        <v>34</v>
      </c>
      <c r="K3728" s="10">
        <v>2834</v>
      </c>
      <c r="P3728" s="17">
        <v>1</v>
      </c>
      <c r="Q3728" s="19">
        <v>2834</v>
      </c>
      <c r="R3728" s="14">
        <v>160</v>
      </c>
      <c r="S3728" s="19">
        <v>453440</v>
      </c>
      <c r="AJ3728" s="19">
        <v>0</v>
      </c>
      <c r="AK3728" s="23">
        <v>0</v>
      </c>
      <c r="AM3728" s="19">
        <v>0</v>
      </c>
      <c r="AN3728" s="19">
        <v>453440</v>
      </c>
      <c r="AP3728" s="14">
        <v>453440</v>
      </c>
    </row>
    <row r="3729" spans="1:45" x14ac:dyDescent="0.2">
      <c r="A3729" s="2">
        <v>3178</v>
      </c>
      <c r="B3729" s="13">
        <v>3</v>
      </c>
      <c r="C3729" s="17" t="s">
        <v>52</v>
      </c>
      <c r="D3729" s="17">
        <v>4623</v>
      </c>
      <c r="E3729" s="17">
        <v>67</v>
      </c>
      <c r="F3729" s="17">
        <v>2444</v>
      </c>
      <c r="G3729" s="13">
        <v>1</v>
      </c>
      <c r="H3729" s="17">
        <v>16</v>
      </c>
      <c r="I3729" s="17">
        <v>1</v>
      </c>
      <c r="J3729" s="17">
        <v>67</v>
      </c>
      <c r="K3729" s="10">
        <v>6567</v>
      </c>
      <c r="P3729" s="17">
        <v>1</v>
      </c>
      <c r="Q3729" s="19">
        <v>6567</v>
      </c>
      <c r="R3729" s="14">
        <v>200</v>
      </c>
      <c r="S3729" s="19">
        <v>1313400</v>
      </c>
      <c r="AJ3729" s="19">
        <v>0</v>
      </c>
      <c r="AK3729" s="23">
        <v>0</v>
      </c>
      <c r="AM3729" s="19">
        <v>0</v>
      </c>
      <c r="AN3729" s="19">
        <v>1313400</v>
      </c>
      <c r="AP3729" s="14">
        <v>1313400</v>
      </c>
    </row>
    <row r="3730" spans="1:45" x14ac:dyDescent="0.2">
      <c r="A3730" s="2">
        <v>3179</v>
      </c>
      <c r="B3730" s="13">
        <v>4</v>
      </c>
      <c r="C3730" s="17" t="s">
        <v>69</v>
      </c>
      <c r="E3730" s="17">
        <v>153</v>
      </c>
      <c r="F3730" s="17">
        <v>14</v>
      </c>
      <c r="G3730" s="13">
        <v>1</v>
      </c>
      <c r="H3730" s="17">
        <v>0</v>
      </c>
      <c r="I3730" s="17">
        <v>0</v>
      </c>
      <c r="J3730" s="17">
        <v>56</v>
      </c>
      <c r="K3730" s="10">
        <v>56</v>
      </c>
      <c r="P3730" s="17">
        <v>1</v>
      </c>
      <c r="Q3730" s="19">
        <v>56</v>
      </c>
      <c r="R3730" s="14">
        <v>160</v>
      </c>
      <c r="S3730" s="19">
        <v>8960</v>
      </c>
      <c r="AJ3730" s="19">
        <v>0</v>
      </c>
      <c r="AK3730" s="23">
        <v>0</v>
      </c>
      <c r="AM3730" s="19">
        <v>0</v>
      </c>
      <c r="AN3730" s="19">
        <v>8960</v>
      </c>
      <c r="AP3730" s="14">
        <v>8960</v>
      </c>
      <c r="AQ3730" s="12">
        <v>1E-4</v>
      </c>
    </row>
    <row r="3731" spans="1:45" ht="63" x14ac:dyDescent="0.2">
      <c r="A3731" s="2">
        <v>3180</v>
      </c>
      <c r="B3731" s="13">
        <v>1</v>
      </c>
      <c r="C3731" s="17" t="s">
        <v>52</v>
      </c>
      <c r="D3731" s="17">
        <v>1411</v>
      </c>
      <c r="E3731" s="17">
        <v>17</v>
      </c>
      <c r="F3731" s="17">
        <v>606</v>
      </c>
      <c r="G3731" s="13">
        <v>1</v>
      </c>
      <c r="H3731" s="17">
        <v>2</v>
      </c>
      <c r="I3731" s="17">
        <v>2</v>
      </c>
      <c r="J3731" s="17">
        <v>31</v>
      </c>
      <c r="K3731" s="10">
        <v>935</v>
      </c>
      <c r="L3731" s="17">
        <v>15</v>
      </c>
      <c r="P3731" s="17">
        <v>5</v>
      </c>
      <c r="Q3731" s="19">
        <v>1031</v>
      </c>
      <c r="R3731" s="14">
        <v>200</v>
      </c>
      <c r="S3731" s="19">
        <v>206200</v>
      </c>
      <c r="T3731" s="17">
        <v>1</v>
      </c>
      <c r="U3731" s="17" t="s">
        <v>57</v>
      </c>
      <c r="V3731" s="17" t="s">
        <v>56</v>
      </c>
      <c r="W3731" s="4">
        <v>60</v>
      </c>
      <c r="Y3731" s="4">
        <v>60</v>
      </c>
      <c r="AB3731" s="17">
        <v>31</v>
      </c>
      <c r="AJ3731" s="19">
        <v>0</v>
      </c>
      <c r="AK3731" s="23">
        <v>31</v>
      </c>
      <c r="AM3731" s="19">
        <v>0</v>
      </c>
      <c r="AN3731" s="19">
        <v>206200</v>
      </c>
      <c r="AP3731" s="14">
        <v>206200</v>
      </c>
      <c r="AS3731" s="26">
        <v>209</v>
      </c>
    </row>
    <row r="3732" spans="1:45" ht="63" x14ac:dyDescent="0.2">
      <c r="L3732" s="17">
        <v>45</v>
      </c>
      <c r="T3732" s="17">
        <v>2</v>
      </c>
      <c r="U3732" s="17" t="s">
        <v>57</v>
      </c>
      <c r="V3732" s="17" t="s">
        <v>56</v>
      </c>
      <c r="W3732" s="4">
        <v>180</v>
      </c>
      <c r="Y3732" s="4">
        <v>180</v>
      </c>
      <c r="AB3732" s="17">
        <v>17</v>
      </c>
      <c r="AJ3732" s="19">
        <v>0</v>
      </c>
      <c r="AK3732" s="23">
        <v>17</v>
      </c>
      <c r="AM3732" s="19">
        <v>0</v>
      </c>
      <c r="AN3732" s="19">
        <v>0</v>
      </c>
      <c r="AP3732" s="14">
        <v>0</v>
      </c>
    </row>
    <row r="3733" spans="1:45" ht="63" x14ac:dyDescent="0.2">
      <c r="L3733" s="17">
        <v>36</v>
      </c>
      <c r="T3733" s="17">
        <v>3</v>
      </c>
      <c r="U3733" s="17" t="s">
        <v>57</v>
      </c>
      <c r="V3733" s="17" t="s">
        <v>56</v>
      </c>
      <c r="W3733" s="4">
        <v>144</v>
      </c>
      <c r="Y3733" s="4">
        <v>144</v>
      </c>
      <c r="AB3733" s="17">
        <v>1</v>
      </c>
      <c r="AJ3733" s="19">
        <v>0</v>
      </c>
      <c r="AK3733" s="23">
        <v>1</v>
      </c>
      <c r="AM3733" s="19">
        <v>0</v>
      </c>
      <c r="AN3733" s="19">
        <v>0</v>
      </c>
      <c r="AP3733" s="14">
        <v>0</v>
      </c>
    </row>
    <row r="3734" spans="1:45" x14ac:dyDescent="0.2">
      <c r="A3734" s="2">
        <v>3181</v>
      </c>
      <c r="B3734" s="13">
        <v>2</v>
      </c>
      <c r="C3734" s="17" t="s">
        <v>52</v>
      </c>
      <c r="D3734" s="17">
        <v>2891</v>
      </c>
      <c r="E3734" s="17">
        <v>19</v>
      </c>
      <c r="F3734" s="17">
        <v>1886</v>
      </c>
      <c r="G3734" s="13">
        <v>1</v>
      </c>
      <c r="H3734" s="17">
        <v>23</v>
      </c>
      <c r="I3734" s="17">
        <v>2</v>
      </c>
      <c r="J3734" s="17">
        <v>20</v>
      </c>
      <c r="K3734" s="10">
        <v>9420</v>
      </c>
      <c r="P3734" s="17">
        <v>1</v>
      </c>
      <c r="Q3734" s="19">
        <v>9420</v>
      </c>
      <c r="R3734" s="14">
        <v>160</v>
      </c>
      <c r="S3734" s="19">
        <v>1507200</v>
      </c>
      <c r="AB3734" s="17">
        <v>31</v>
      </c>
      <c r="AJ3734" s="19">
        <v>0</v>
      </c>
      <c r="AK3734" s="23">
        <v>31</v>
      </c>
      <c r="AM3734" s="19">
        <v>0</v>
      </c>
      <c r="AN3734" s="19">
        <v>1507200</v>
      </c>
      <c r="AP3734" s="14">
        <v>1507200</v>
      </c>
    </row>
    <row r="3735" spans="1:45" x14ac:dyDescent="0.2">
      <c r="A3735" s="2">
        <f>+A3734+1</f>
        <v>3182</v>
      </c>
      <c r="B3735" s="13">
        <v>3</v>
      </c>
      <c r="C3735" s="17" t="s">
        <v>52</v>
      </c>
      <c r="D3735" s="17">
        <v>25530</v>
      </c>
      <c r="E3735" s="17">
        <v>104</v>
      </c>
      <c r="F3735" s="17">
        <v>4984</v>
      </c>
      <c r="G3735" s="13">
        <v>1</v>
      </c>
      <c r="H3735" s="17">
        <v>0</v>
      </c>
      <c r="I3735" s="17">
        <v>0</v>
      </c>
      <c r="J3735" s="17">
        <v>81</v>
      </c>
      <c r="N3735" s="18">
        <v>81</v>
      </c>
      <c r="P3735" s="17">
        <v>4</v>
      </c>
      <c r="Q3735" s="19">
        <v>81</v>
      </c>
      <c r="R3735" s="14">
        <v>250</v>
      </c>
      <c r="S3735" s="19">
        <v>20250</v>
      </c>
      <c r="AJ3735" s="19">
        <v>0</v>
      </c>
      <c r="AK3735" s="23">
        <v>0</v>
      </c>
      <c r="AM3735" s="19">
        <v>0</v>
      </c>
      <c r="AN3735" s="19">
        <v>20250</v>
      </c>
      <c r="AP3735" s="14">
        <v>20250</v>
      </c>
      <c r="AQ3735" s="12">
        <v>3.0000000000000001E-3</v>
      </c>
    </row>
    <row r="3736" spans="1:45" x14ac:dyDescent="0.2">
      <c r="A3736" s="121">
        <f t="shared" ref="A3736:A3740" si="483">+A3735+1</f>
        <v>3183</v>
      </c>
      <c r="B3736" s="13">
        <v>4</v>
      </c>
      <c r="C3736" s="17" t="s">
        <v>52</v>
      </c>
      <c r="D3736" s="17">
        <v>31256</v>
      </c>
      <c r="E3736" s="17">
        <v>205</v>
      </c>
      <c r="F3736" s="17">
        <v>5828</v>
      </c>
      <c r="G3736" s="13">
        <v>1</v>
      </c>
      <c r="H3736" s="17">
        <v>0</v>
      </c>
      <c r="I3736" s="17">
        <v>2</v>
      </c>
      <c r="J3736" s="17">
        <v>1</v>
      </c>
      <c r="K3736" s="10">
        <v>201</v>
      </c>
      <c r="P3736" s="17">
        <v>1</v>
      </c>
      <c r="Q3736" s="19">
        <v>201</v>
      </c>
      <c r="R3736" s="14">
        <v>200</v>
      </c>
      <c r="S3736" s="19">
        <v>40200</v>
      </c>
      <c r="AJ3736" s="19">
        <v>0</v>
      </c>
      <c r="AK3736" s="23">
        <v>0</v>
      </c>
      <c r="AM3736" s="19">
        <v>0</v>
      </c>
      <c r="AN3736" s="19">
        <v>40200</v>
      </c>
      <c r="AP3736" s="14">
        <v>40200</v>
      </c>
    </row>
    <row r="3737" spans="1:45" x14ac:dyDescent="0.2">
      <c r="A3737" s="121">
        <f t="shared" si="483"/>
        <v>3184</v>
      </c>
      <c r="B3737" s="13">
        <v>5</v>
      </c>
      <c r="C3737" s="17" t="s">
        <v>52</v>
      </c>
      <c r="D3737" s="17">
        <v>34134</v>
      </c>
      <c r="E3737" s="17">
        <v>309</v>
      </c>
      <c r="F3737" s="17">
        <v>6779</v>
      </c>
      <c r="G3737" s="13">
        <v>1</v>
      </c>
      <c r="H3737" s="17">
        <v>0</v>
      </c>
      <c r="I3737" s="17">
        <v>0</v>
      </c>
      <c r="J3737" s="17">
        <v>30</v>
      </c>
      <c r="K3737" s="10">
        <v>30</v>
      </c>
      <c r="P3737" s="17">
        <v>1</v>
      </c>
      <c r="Q3737" s="19">
        <v>30</v>
      </c>
      <c r="R3737" s="14">
        <v>160</v>
      </c>
      <c r="S3737" s="19">
        <v>4800</v>
      </c>
      <c r="AJ3737" s="19">
        <v>0</v>
      </c>
      <c r="AK3737" s="23">
        <v>0</v>
      </c>
      <c r="AM3737" s="19">
        <v>0</v>
      </c>
      <c r="AN3737" s="19">
        <v>4800</v>
      </c>
      <c r="AP3737" s="14">
        <v>4800</v>
      </c>
    </row>
    <row r="3738" spans="1:45" x14ac:dyDescent="0.2">
      <c r="A3738" s="121">
        <f t="shared" si="483"/>
        <v>3185</v>
      </c>
      <c r="B3738" s="13">
        <v>6</v>
      </c>
      <c r="C3738" s="17" t="s">
        <v>52</v>
      </c>
      <c r="D3738" s="17">
        <v>4624</v>
      </c>
      <c r="E3738" s="17">
        <v>66</v>
      </c>
      <c r="F3738" s="17">
        <v>2445</v>
      </c>
      <c r="G3738" s="13">
        <v>1</v>
      </c>
      <c r="H3738" s="17">
        <v>22</v>
      </c>
      <c r="I3738" s="17">
        <v>1</v>
      </c>
      <c r="J3738" s="17">
        <v>99</v>
      </c>
      <c r="K3738" s="10">
        <v>8999</v>
      </c>
      <c r="P3738" s="17">
        <v>1</v>
      </c>
      <c r="Q3738" s="19">
        <v>8999</v>
      </c>
      <c r="R3738" s="14">
        <v>200</v>
      </c>
      <c r="S3738" s="19">
        <v>1799800</v>
      </c>
      <c r="AJ3738" s="19">
        <v>0</v>
      </c>
      <c r="AK3738" s="23">
        <v>0</v>
      </c>
      <c r="AM3738" s="19">
        <v>0</v>
      </c>
      <c r="AN3738" s="19">
        <v>1799800</v>
      </c>
      <c r="AP3738" s="14">
        <v>1799800</v>
      </c>
    </row>
    <row r="3739" spans="1:45" x14ac:dyDescent="0.2">
      <c r="A3739" s="121">
        <f t="shared" si="483"/>
        <v>3186</v>
      </c>
      <c r="B3739" s="13">
        <v>2582</v>
      </c>
      <c r="C3739" s="17" t="s">
        <v>52</v>
      </c>
      <c r="D3739" s="17">
        <v>4176</v>
      </c>
      <c r="E3739" s="17">
        <v>79</v>
      </c>
      <c r="F3739" s="17">
        <v>2517</v>
      </c>
      <c r="G3739" s="13">
        <v>1</v>
      </c>
      <c r="H3739" s="17">
        <v>7</v>
      </c>
      <c r="I3739" s="17">
        <v>0</v>
      </c>
      <c r="J3739" s="17">
        <v>29</v>
      </c>
      <c r="K3739" s="10">
        <v>2829</v>
      </c>
      <c r="P3739" s="17">
        <v>1</v>
      </c>
      <c r="Q3739" s="19">
        <v>2829</v>
      </c>
      <c r="R3739" s="14">
        <v>160</v>
      </c>
      <c r="S3739" s="19">
        <v>452640</v>
      </c>
      <c r="AJ3739" s="19">
        <v>0</v>
      </c>
      <c r="AK3739" s="23">
        <v>0</v>
      </c>
      <c r="AM3739" s="19">
        <v>0</v>
      </c>
      <c r="AN3739" s="19">
        <v>452640</v>
      </c>
      <c r="AP3739" s="14">
        <v>452640</v>
      </c>
      <c r="AS3739" s="26">
        <v>21</v>
      </c>
    </row>
    <row r="3740" spans="1:45" ht="63" x14ac:dyDescent="0.2">
      <c r="A3740" s="121">
        <f t="shared" si="483"/>
        <v>3187</v>
      </c>
      <c r="B3740" s="13">
        <v>2583</v>
      </c>
      <c r="C3740" s="17" t="s">
        <v>52</v>
      </c>
      <c r="D3740" s="17">
        <v>973</v>
      </c>
      <c r="E3740" s="17">
        <v>9</v>
      </c>
      <c r="F3740" s="17">
        <v>377</v>
      </c>
      <c r="G3740" s="13">
        <v>1</v>
      </c>
      <c r="H3740" s="17">
        <v>5</v>
      </c>
      <c r="I3740" s="17">
        <v>0</v>
      </c>
      <c r="J3740" s="17">
        <v>66</v>
      </c>
      <c r="M3740" s="15">
        <v>2066</v>
      </c>
      <c r="P3740" s="17">
        <v>3</v>
      </c>
      <c r="Q3740" s="19">
        <v>2066</v>
      </c>
      <c r="R3740" s="14">
        <v>550</v>
      </c>
      <c r="S3740" s="19">
        <v>1136300</v>
      </c>
      <c r="AJ3740" s="19">
        <v>0</v>
      </c>
      <c r="AK3740" s="23">
        <v>0</v>
      </c>
      <c r="AM3740" s="19">
        <v>0</v>
      </c>
      <c r="AN3740" s="19">
        <v>1136300</v>
      </c>
      <c r="AP3740" s="14">
        <v>1136300</v>
      </c>
      <c r="AR3740" s="19">
        <v>36</v>
      </c>
      <c r="AS3740" s="26">
        <v>11214</v>
      </c>
    </row>
    <row r="3741" spans="1:45" ht="105" x14ac:dyDescent="0.2">
      <c r="P3741" s="17">
        <v>3</v>
      </c>
      <c r="Q3741" s="19">
        <v>600</v>
      </c>
      <c r="R3741" s="14">
        <v>550</v>
      </c>
      <c r="S3741" s="19">
        <v>330000</v>
      </c>
      <c r="T3741" s="17">
        <v>1</v>
      </c>
      <c r="U3741" s="17" t="s">
        <v>123</v>
      </c>
      <c r="V3741" s="17" t="s">
        <v>56</v>
      </c>
      <c r="W3741" s="4">
        <v>366</v>
      </c>
      <c r="Z3741" s="17">
        <v>366</v>
      </c>
      <c r="AB3741" s="17">
        <v>4</v>
      </c>
      <c r="AE3741" s="17" t="s">
        <v>316</v>
      </c>
      <c r="AF3741" s="14">
        <v>3</v>
      </c>
      <c r="AG3741" s="54">
        <v>366</v>
      </c>
      <c r="AH3741" s="11">
        <v>1</v>
      </c>
      <c r="AI3741" s="14">
        <v>3600</v>
      </c>
      <c r="AJ3741" s="19">
        <v>1317600</v>
      </c>
      <c r="AK3741" s="23">
        <v>4</v>
      </c>
      <c r="AL3741" s="11">
        <v>0.04</v>
      </c>
      <c r="AM3741" s="19">
        <v>1264896</v>
      </c>
      <c r="AN3741" s="19">
        <v>1594896</v>
      </c>
      <c r="AP3741" s="14">
        <v>1594896</v>
      </c>
      <c r="AQ3741" s="12">
        <v>3.0000000000000001E-3</v>
      </c>
    </row>
    <row r="3742" spans="1:45" ht="84" x14ac:dyDescent="0.2">
      <c r="P3742" s="17">
        <v>1</v>
      </c>
      <c r="Q3742" s="19">
        <v>1466</v>
      </c>
      <c r="R3742" s="14">
        <v>550</v>
      </c>
      <c r="S3742" s="19">
        <v>806300</v>
      </c>
      <c r="AE3742" s="17" t="s">
        <v>317</v>
      </c>
      <c r="AM3742" s="19">
        <v>0</v>
      </c>
      <c r="AN3742" s="19">
        <v>806300</v>
      </c>
      <c r="AP3742" s="14">
        <v>806300</v>
      </c>
      <c r="AR3742" s="19">
        <v>11178</v>
      </c>
    </row>
    <row r="3743" spans="1:45" x14ac:dyDescent="0.2">
      <c r="A3743" s="2">
        <v>3188</v>
      </c>
      <c r="B3743" s="13">
        <v>1</v>
      </c>
      <c r="C3743" s="17" t="s">
        <v>52</v>
      </c>
      <c r="D3743" s="17">
        <v>29673</v>
      </c>
      <c r="E3743" s="17">
        <v>86</v>
      </c>
      <c r="F3743" s="17">
        <v>5274</v>
      </c>
      <c r="G3743" s="13">
        <v>1</v>
      </c>
      <c r="H3743" s="17">
        <v>0</v>
      </c>
      <c r="I3743" s="17">
        <v>1</v>
      </c>
      <c r="J3743" s="17">
        <v>77</v>
      </c>
      <c r="Q3743" s="19">
        <v>177</v>
      </c>
      <c r="R3743" s="14">
        <v>160</v>
      </c>
      <c r="S3743" s="19">
        <v>28320</v>
      </c>
      <c r="AJ3743" s="19">
        <v>0</v>
      </c>
      <c r="AK3743" s="23">
        <v>0</v>
      </c>
      <c r="AM3743" s="19">
        <v>0</v>
      </c>
      <c r="AN3743" s="19">
        <v>28320</v>
      </c>
      <c r="AP3743" s="14">
        <v>28320</v>
      </c>
    </row>
    <row r="3744" spans="1:45" x14ac:dyDescent="0.2">
      <c r="A3744" s="2">
        <f>+A3743+1</f>
        <v>3189</v>
      </c>
      <c r="B3744" s="13">
        <v>2</v>
      </c>
      <c r="C3744" s="17" t="s">
        <v>69</v>
      </c>
      <c r="E3744" s="17">
        <v>2329</v>
      </c>
      <c r="F3744" s="17">
        <v>19</v>
      </c>
      <c r="G3744" s="13">
        <v>1</v>
      </c>
      <c r="H3744" s="17">
        <v>10</v>
      </c>
      <c r="I3744" s="17">
        <v>3</v>
      </c>
      <c r="J3744" s="17">
        <v>56</v>
      </c>
      <c r="K3744" s="10">
        <v>4356</v>
      </c>
      <c r="P3744" s="17">
        <v>1</v>
      </c>
      <c r="Q3744" s="19">
        <v>4356</v>
      </c>
      <c r="R3744" s="14">
        <v>160</v>
      </c>
      <c r="S3744" s="19">
        <v>696960</v>
      </c>
      <c r="AJ3744" s="19">
        <v>0</v>
      </c>
      <c r="AK3744" s="23">
        <v>0</v>
      </c>
      <c r="AM3744" s="19">
        <v>0</v>
      </c>
      <c r="AN3744" s="19">
        <v>696960</v>
      </c>
      <c r="AP3744" s="14">
        <v>696960</v>
      </c>
      <c r="AQ3744" s="12">
        <v>1E-4</v>
      </c>
    </row>
    <row r="3745" spans="1:45" x14ac:dyDescent="0.2">
      <c r="A3745" s="121">
        <f t="shared" ref="A3745:A3751" si="484">+A3744+1</f>
        <v>3190</v>
      </c>
      <c r="B3745" s="13">
        <v>1</v>
      </c>
      <c r="C3745" s="17" t="s">
        <v>52</v>
      </c>
      <c r="D3745" s="17">
        <v>4187</v>
      </c>
      <c r="E3745" s="17">
        <v>58</v>
      </c>
      <c r="F3745" s="17">
        <v>2528</v>
      </c>
      <c r="G3745" s="13">
        <v>1</v>
      </c>
      <c r="H3745" s="17">
        <v>2</v>
      </c>
      <c r="I3745" s="17">
        <v>3</v>
      </c>
      <c r="J3745" s="17">
        <v>52</v>
      </c>
      <c r="K3745" s="10">
        <v>1152</v>
      </c>
      <c r="P3745" s="17">
        <v>1</v>
      </c>
      <c r="Q3745" s="19">
        <v>1152</v>
      </c>
      <c r="R3745" s="14">
        <v>160</v>
      </c>
      <c r="S3745" s="19">
        <v>184320</v>
      </c>
      <c r="AJ3745" s="19">
        <v>0</v>
      </c>
      <c r="AK3745" s="23">
        <v>0</v>
      </c>
      <c r="AM3745" s="19">
        <v>0</v>
      </c>
      <c r="AN3745" s="19">
        <v>184320</v>
      </c>
      <c r="AP3745" s="14">
        <v>184320</v>
      </c>
    </row>
    <row r="3746" spans="1:45" x14ac:dyDescent="0.2">
      <c r="A3746" s="121">
        <f t="shared" si="484"/>
        <v>3191</v>
      </c>
      <c r="B3746" s="13">
        <v>2</v>
      </c>
      <c r="C3746" s="17" t="s">
        <v>52</v>
      </c>
      <c r="D3746" s="17">
        <v>29672</v>
      </c>
      <c r="E3746" s="17">
        <v>85</v>
      </c>
      <c r="F3746" s="17">
        <v>5273</v>
      </c>
      <c r="G3746" s="13">
        <v>1</v>
      </c>
      <c r="H3746" s="17">
        <v>0</v>
      </c>
      <c r="I3746" s="17">
        <v>1</v>
      </c>
      <c r="J3746" s="17">
        <v>94</v>
      </c>
      <c r="Q3746" s="19">
        <v>194</v>
      </c>
      <c r="R3746" s="14">
        <v>160</v>
      </c>
      <c r="S3746" s="19">
        <v>31040</v>
      </c>
      <c r="AJ3746" s="19">
        <v>0</v>
      </c>
      <c r="AK3746" s="23">
        <v>0</v>
      </c>
      <c r="AM3746" s="19">
        <v>0</v>
      </c>
      <c r="AN3746" s="19">
        <v>31040</v>
      </c>
      <c r="AP3746" s="14">
        <v>31040</v>
      </c>
    </row>
    <row r="3747" spans="1:45" x14ac:dyDescent="0.2">
      <c r="A3747" s="121">
        <f t="shared" si="484"/>
        <v>3192</v>
      </c>
      <c r="B3747" s="13">
        <v>3</v>
      </c>
      <c r="C3747" s="17" t="s">
        <v>69</v>
      </c>
      <c r="E3747" s="17">
        <v>2329</v>
      </c>
      <c r="F3747" s="17">
        <v>17</v>
      </c>
      <c r="G3747" s="13">
        <v>1</v>
      </c>
      <c r="H3747" s="17">
        <v>8</v>
      </c>
      <c r="I3747" s="17">
        <v>3</v>
      </c>
      <c r="J3747" s="17">
        <v>43</v>
      </c>
      <c r="K3747" s="10">
        <v>3543</v>
      </c>
      <c r="P3747" s="17">
        <v>1</v>
      </c>
      <c r="Q3747" s="19">
        <v>3543</v>
      </c>
      <c r="R3747" s="14">
        <v>160</v>
      </c>
      <c r="S3747" s="19">
        <v>566880</v>
      </c>
      <c r="AJ3747" s="19">
        <v>0</v>
      </c>
      <c r="AK3747" s="23">
        <v>0</v>
      </c>
      <c r="AM3747" s="19">
        <v>0</v>
      </c>
      <c r="AN3747" s="19">
        <v>566880</v>
      </c>
      <c r="AP3747" s="14">
        <v>566880</v>
      </c>
      <c r="AQ3747" s="12">
        <v>1E-4</v>
      </c>
    </row>
    <row r="3748" spans="1:45" x14ac:dyDescent="0.2">
      <c r="A3748" s="121">
        <f t="shared" si="484"/>
        <v>3193</v>
      </c>
      <c r="B3748" s="13">
        <v>1</v>
      </c>
      <c r="C3748" s="17" t="s">
        <v>52</v>
      </c>
      <c r="D3748" s="17">
        <v>1419</v>
      </c>
      <c r="E3748" s="17">
        <v>10</v>
      </c>
      <c r="F3748" s="17">
        <v>614</v>
      </c>
      <c r="G3748" s="13">
        <v>1</v>
      </c>
      <c r="H3748" s="17">
        <v>0</v>
      </c>
      <c r="I3748" s="17">
        <v>0</v>
      </c>
      <c r="J3748" s="17">
        <v>38</v>
      </c>
      <c r="L3748" s="17">
        <v>38</v>
      </c>
      <c r="P3748" s="17">
        <v>2</v>
      </c>
      <c r="Q3748" s="19">
        <v>38</v>
      </c>
      <c r="R3748" s="14">
        <v>250</v>
      </c>
      <c r="S3748" s="19">
        <v>9500</v>
      </c>
      <c r="AJ3748" s="19">
        <v>0</v>
      </c>
      <c r="AK3748" s="23">
        <v>0</v>
      </c>
      <c r="AM3748" s="19">
        <v>0</v>
      </c>
      <c r="AN3748" s="19">
        <v>9500</v>
      </c>
      <c r="AP3748" s="14">
        <v>9500</v>
      </c>
    </row>
    <row r="3749" spans="1:45" x14ac:dyDescent="0.2">
      <c r="A3749" s="121">
        <f t="shared" si="484"/>
        <v>3194</v>
      </c>
      <c r="B3749" s="13">
        <v>2</v>
      </c>
      <c r="C3749" s="17" t="s">
        <v>52</v>
      </c>
      <c r="D3749" s="17">
        <v>29671</v>
      </c>
      <c r="E3749" s="17">
        <v>84</v>
      </c>
      <c r="F3749" s="17">
        <v>5272</v>
      </c>
      <c r="G3749" s="13">
        <v>1</v>
      </c>
      <c r="H3749" s="17">
        <v>0</v>
      </c>
      <c r="I3749" s="17">
        <v>1</v>
      </c>
      <c r="J3749" s="17">
        <v>39</v>
      </c>
      <c r="Q3749" s="19">
        <v>139</v>
      </c>
      <c r="R3749" s="14">
        <v>160</v>
      </c>
      <c r="S3749" s="19">
        <v>22240</v>
      </c>
      <c r="AJ3749" s="19">
        <v>0</v>
      </c>
      <c r="AK3749" s="23">
        <v>0</v>
      </c>
      <c r="AM3749" s="19">
        <v>0</v>
      </c>
      <c r="AN3749" s="19">
        <v>22240</v>
      </c>
      <c r="AP3749" s="14">
        <v>22240</v>
      </c>
    </row>
    <row r="3750" spans="1:45" x14ac:dyDescent="0.2">
      <c r="A3750" s="121">
        <f t="shared" si="484"/>
        <v>3195</v>
      </c>
      <c r="B3750" s="13">
        <v>3</v>
      </c>
      <c r="C3750" s="17" t="s">
        <v>52</v>
      </c>
      <c r="D3750" s="17">
        <v>29674</v>
      </c>
      <c r="E3750" s="17">
        <v>87</v>
      </c>
      <c r="F3750" s="17">
        <v>5275</v>
      </c>
      <c r="G3750" s="13">
        <v>1</v>
      </c>
      <c r="H3750" s="17">
        <v>4</v>
      </c>
      <c r="I3750" s="17">
        <v>0</v>
      </c>
      <c r="J3750" s="17">
        <v>91</v>
      </c>
      <c r="K3750" s="10">
        <v>1691</v>
      </c>
      <c r="P3750" s="17">
        <v>1</v>
      </c>
      <c r="Q3750" s="19">
        <v>1691</v>
      </c>
      <c r="R3750" s="14">
        <v>160</v>
      </c>
      <c r="S3750" s="19">
        <v>270560</v>
      </c>
      <c r="AJ3750" s="19">
        <v>0</v>
      </c>
      <c r="AK3750" s="23">
        <v>0</v>
      </c>
      <c r="AM3750" s="19">
        <v>0</v>
      </c>
      <c r="AN3750" s="19">
        <v>270560</v>
      </c>
      <c r="AP3750" s="14">
        <v>270560</v>
      </c>
    </row>
    <row r="3751" spans="1:45" x14ac:dyDescent="0.2">
      <c r="A3751" s="121">
        <f t="shared" si="484"/>
        <v>3196</v>
      </c>
      <c r="B3751" s="13">
        <v>1</v>
      </c>
      <c r="C3751" s="17" t="s">
        <v>52</v>
      </c>
      <c r="D3751" s="17">
        <v>29670</v>
      </c>
      <c r="E3751" s="17">
        <v>83</v>
      </c>
      <c r="F3751" s="17">
        <v>5271</v>
      </c>
      <c r="G3751" s="13">
        <v>1</v>
      </c>
      <c r="H3751" s="17">
        <v>0</v>
      </c>
      <c r="I3751" s="17">
        <v>1</v>
      </c>
      <c r="J3751" s="17">
        <v>36</v>
      </c>
      <c r="Q3751" s="19">
        <v>136</v>
      </c>
      <c r="R3751" s="14">
        <v>160</v>
      </c>
      <c r="S3751" s="19">
        <v>21760</v>
      </c>
      <c r="AJ3751" s="19">
        <v>0</v>
      </c>
      <c r="AK3751" s="23">
        <v>0</v>
      </c>
      <c r="AM3751" s="19">
        <v>0</v>
      </c>
      <c r="AN3751" s="19">
        <v>21760</v>
      </c>
      <c r="AP3751" s="14">
        <v>21760</v>
      </c>
    </row>
    <row r="3752" spans="1:45" x14ac:dyDescent="0.2">
      <c r="B3752" s="13">
        <v>2</v>
      </c>
      <c r="C3752" s="17" t="s">
        <v>69</v>
      </c>
      <c r="E3752" s="17">
        <v>3573</v>
      </c>
      <c r="F3752" s="17">
        <v>2</v>
      </c>
      <c r="G3752" s="13">
        <v>1</v>
      </c>
      <c r="H3752" s="17">
        <v>5</v>
      </c>
      <c r="I3752" s="17">
        <v>0</v>
      </c>
      <c r="J3752" s="17">
        <v>77</v>
      </c>
      <c r="K3752" s="10" t="s">
        <v>318</v>
      </c>
      <c r="P3752" s="17">
        <v>1</v>
      </c>
      <c r="Q3752" s="19">
        <v>2077</v>
      </c>
      <c r="R3752" s="14" t="e">
        <v>#N/A</v>
      </c>
      <c r="S3752" s="19" t="e">
        <v>#N/A</v>
      </c>
      <c r="AE3752" s="17" t="s">
        <v>319</v>
      </c>
      <c r="AJ3752" s="19">
        <v>0</v>
      </c>
      <c r="AK3752" s="23">
        <v>0</v>
      </c>
      <c r="AM3752" s="19">
        <v>0</v>
      </c>
      <c r="AN3752" s="19" t="e">
        <v>#N/A</v>
      </c>
      <c r="AP3752" s="14" t="e">
        <v>#N/A</v>
      </c>
      <c r="AQ3752" s="12">
        <v>1E-4</v>
      </c>
    </row>
    <row r="3753" spans="1:45" x14ac:dyDescent="0.2">
      <c r="B3753" s="13">
        <v>3</v>
      </c>
      <c r="C3753" s="17" t="s">
        <v>69</v>
      </c>
      <c r="E3753" s="17">
        <v>3576</v>
      </c>
      <c r="F3753" s="17">
        <v>5</v>
      </c>
      <c r="G3753" s="13">
        <v>1</v>
      </c>
      <c r="H3753" s="17">
        <v>2</v>
      </c>
      <c r="I3753" s="17">
        <v>2</v>
      </c>
      <c r="J3753" s="17">
        <v>32</v>
      </c>
      <c r="K3753" s="10" t="s">
        <v>320</v>
      </c>
      <c r="P3753" s="17">
        <v>1</v>
      </c>
      <c r="Q3753" s="19">
        <v>1032</v>
      </c>
      <c r="R3753" s="14" t="e">
        <v>#N/A</v>
      </c>
      <c r="S3753" s="19" t="e">
        <v>#N/A</v>
      </c>
      <c r="AE3753" s="17" t="s">
        <v>319</v>
      </c>
      <c r="AJ3753" s="19">
        <v>0</v>
      </c>
      <c r="AK3753" s="23">
        <v>0</v>
      </c>
      <c r="AM3753" s="19">
        <v>0</v>
      </c>
      <c r="AN3753" s="19" t="e">
        <v>#N/A</v>
      </c>
      <c r="AP3753" s="14" t="e">
        <v>#N/A</v>
      </c>
      <c r="AQ3753" s="12">
        <v>1E-4</v>
      </c>
    </row>
    <row r="3754" spans="1:45" x14ac:dyDescent="0.2">
      <c r="A3754" s="2">
        <v>3197</v>
      </c>
      <c r="B3754" s="13">
        <v>1</v>
      </c>
      <c r="C3754" s="17" t="s">
        <v>52</v>
      </c>
      <c r="D3754" s="17">
        <v>1418</v>
      </c>
      <c r="E3754" s="17">
        <v>11</v>
      </c>
      <c r="F3754" s="17">
        <v>613</v>
      </c>
      <c r="G3754" s="13">
        <v>1</v>
      </c>
      <c r="H3754" s="17">
        <v>0</v>
      </c>
      <c r="I3754" s="17">
        <v>0</v>
      </c>
      <c r="J3754" s="17">
        <v>68</v>
      </c>
      <c r="L3754" s="17">
        <v>68</v>
      </c>
      <c r="P3754" s="17">
        <v>2</v>
      </c>
      <c r="Q3754" s="19">
        <v>68</v>
      </c>
      <c r="R3754" s="14">
        <v>250</v>
      </c>
      <c r="S3754" s="19">
        <v>17000</v>
      </c>
      <c r="AJ3754" s="19">
        <v>0</v>
      </c>
      <c r="AK3754" s="23">
        <v>0</v>
      </c>
      <c r="AM3754" s="19">
        <v>0</v>
      </c>
      <c r="AN3754" s="19">
        <v>17000</v>
      </c>
      <c r="AP3754" s="14">
        <v>17000</v>
      </c>
    </row>
    <row r="3755" spans="1:45" x14ac:dyDescent="0.2">
      <c r="A3755" s="2">
        <v>3198</v>
      </c>
      <c r="B3755" s="13">
        <v>2</v>
      </c>
      <c r="C3755" s="17" t="s">
        <v>52</v>
      </c>
      <c r="D3755" s="17">
        <v>29669</v>
      </c>
      <c r="E3755" s="17">
        <v>82</v>
      </c>
      <c r="F3755" s="17">
        <v>5270</v>
      </c>
      <c r="G3755" s="13">
        <v>1</v>
      </c>
      <c r="H3755" s="17">
        <v>0</v>
      </c>
      <c r="I3755" s="17">
        <v>3</v>
      </c>
      <c r="J3755" s="17">
        <v>57</v>
      </c>
      <c r="K3755" s="10">
        <v>357</v>
      </c>
      <c r="P3755" s="17">
        <v>1</v>
      </c>
      <c r="Q3755" s="19">
        <v>357</v>
      </c>
      <c r="R3755" s="14">
        <v>160</v>
      </c>
      <c r="S3755" s="19">
        <v>57120</v>
      </c>
      <c r="AJ3755" s="19">
        <v>0</v>
      </c>
      <c r="AK3755" s="23">
        <v>0</v>
      </c>
      <c r="AM3755" s="19">
        <v>0</v>
      </c>
      <c r="AN3755" s="19">
        <v>57120</v>
      </c>
      <c r="AP3755" s="14">
        <v>57120</v>
      </c>
    </row>
    <row r="3756" spans="1:45" x14ac:dyDescent="0.2">
      <c r="A3756" s="2">
        <v>3199</v>
      </c>
      <c r="B3756" s="13">
        <v>1</v>
      </c>
      <c r="C3756" s="17" t="s">
        <v>65</v>
      </c>
      <c r="D3756" s="17">
        <v>242</v>
      </c>
      <c r="E3756" s="17">
        <v>69</v>
      </c>
      <c r="H3756" s="17">
        <v>0</v>
      </c>
      <c r="I3756" s="17">
        <v>1</v>
      </c>
      <c r="J3756" s="17">
        <v>26</v>
      </c>
      <c r="K3756" s="10">
        <v>126</v>
      </c>
      <c r="P3756" s="17">
        <v>1</v>
      </c>
      <c r="Q3756" s="19">
        <v>126</v>
      </c>
      <c r="R3756" s="14">
        <v>250</v>
      </c>
      <c r="S3756" s="19">
        <v>31500</v>
      </c>
      <c r="AJ3756" s="19">
        <v>0</v>
      </c>
      <c r="AK3756" s="23">
        <v>0</v>
      </c>
      <c r="AM3756" s="19">
        <v>0</v>
      </c>
      <c r="AN3756" s="19">
        <v>31500</v>
      </c>
      <c r="AP3756" s="14">
        <v>31500</v>
      </c>
      <c r="AQ3756" s="12">
        <v>1E-4</v>
      </c>
      <c r="AS3756" s="26">
        <v>2</v>
      </c>
    </row>
    <row r="3757" spans="1:45" x14ac:dyDescent="0.2">
      <c r="A3757" s="2">
        <v>3200</v>
      </c>
      <c r="B3757" s="13">
        <v>1</v>
      </c>
      <c r="C3757" s="17" t="s">
        <v>65</v>
      </c>
      <c r="D3757" s="17">
        <v>1446</v>
      </c>
      <c r="E3757" s="17">
        <v>21</v>
      </c>
      <c r="H3757" s="17">
        <v>9</v>
      </c>
      <c r="I3757" s="17">
        <v>3</v>
      </c>
      <c r="J3757" s="17">
        <v>66</v>
      </c>
      <c r="K3757" s="10">
        <v>3966</v>
      </c>
      <c r="P3757" s="17">
        <v>1</v>
      </c>
      <c r="Q3757" s="19">
        <v>3966</v>
      </c>
      <c r="R3757" s="14">
        <v>200</v>
      </c>
      <c r="S3757" s="19">
        <v>793200</v>
      </c>
      <c r="AJ3757" s="19">
        <v>0</v>
      </c>
      <c r="AK3757" s="23">
        <v>0</v>
      </c>
      <c r="AM3757" s="19">
        <v>0</v>
      </c>
      <c r="AN3757" s="19">
        <v>793200</v>
      </c>
      <c r="AP3757" s="14">
        <v>793200</v>
      </c>
      <c r="AQ3757" s="12">
        <v>1E-4</v>
      </c>
    </row>
    <row r="3758" spans="1:45" x14ac:dyDescent="0.2">
      <c r="B3758" s="13">
        <v>1</v>
      </c>
      <c r="C3758" s="17" t="s">
        <v>65</v>
      </c>
      <c r="D3758" s="17">
        <v>588</v>
      </c>
      <c r="E3758" s="17">
        <v>199</v>
      </c>
      <c r="H3758" s="17">
        <v>5</v>
      </c>
      <c r="I3758" s="17">
        <v>0</v>
      </c>
      <c r="J3758" s="17">
        <v>40</v>
      </c>
      <c r="K3758" s="10">
        <v>2040</v>
      </c>
      <c r="Q3758" s="19">
        <v>2040</v>
      </c>
      <c r="R3758" s="14" t="e">
        <v>#N/A</v>
      </c>
      <c r="S3758" s="19" t="e">
        <v>#N/A</v>
      </c>
      <c r="AE3758" s="17" t="s">
        <v>94</v>
      </c>
      <c r="AJ3758" s="19">
        <v>0</v>
      </c>
      <c r="AK3758" s="23">
        <v>0</v>
      </c>
      <c r="AM3758" s="19">
        <v>0</v>
      </c>
      <c r="AN3758" s="19" t="e">
        <v>#N/A</v>
      </c>
      <c r="AP3758" s="14" t="e">
        <v>#N/A</v>
      </c>
      <c r="AQ3758" s="12">
        <v>1E-4</v>
      </c>
    </row>
    <row r="3759" spans="1:45" x14ac:dyDescent="0.2">
      <c r="A3759" s="2">
        <v>3201</v>
      </c>
      <c r="B3759" s="13">
        <v>2</v>
      </c>
      <c r="C3759" s="17" t="s">
        <v>65</v>
      </c>
      <c r="D3759" s="17">
        <v>798</v>
      </c>
      <c r="E3759" s="17">
        <v>238</v>
      </c>
      <c r="H3759" s="17">
        <v>0</v>
      </c>
      <c r="I3759" s="17">
        <v>3</v>
      </c>
      <c r="J3759" s="17">
        <v>20</v>
      </c>
      <c r="K3759" s="10">
        <v>320</v>
      </c>
      <c r="Q3759" s="19">
        <v>320</v>
      </c>
      <c r="R3759" s="14">
        <v>250</v>
      </c>
      <c r="S3759" s="19">
        <v>80000</v>
      </c>
      <c r="AE3759" s="17" t="s">
        <v>94</v>
      </c>
      <c r="AJ3759" s="19">
        <v>0</v>
      </c>
      <c r="AK3759" s="23">
        <v>0</v>
      </c>
      <c r="AM3759" s="19">
        <v>0</v>
      </c>
      <c r="AN3759" s="19">
        <v>80000</v>
      </c>
      <c r="AP3759" s="14">
        <v>80000</v>
      </c>
      <c r="AQ3759" s="12">
        <v>1E-4</v>
      </c>
    </row>
    <row r="3760" spans="1:45" ht="63" x14ac:dyDescent="0.2">
      <c r="A3760" s="2">
        <f>+A3759+1</f>
        <v>3202</v>
      </c>
      <c r="B3760" s="13">
        <v>1</v>
      </c>
      <c r="C3760" s="17" t="s">
        <v>52</v>
      </c>
      <c r="D3760" s="17">
        <v>1414</v>
      </c>
      <c r="E3760" s="17">
        <v>15</v>
      </c>
      <c r="F3760" s="17">
        <v>609</v>
      </c>
      <c r="G3760" s="13">
        <v>1</v>
      </c>
      <c r="H3760" s="17">
        <v>2</v>
      </c>
      <c r="I3760" s="17">
        <v>2</v>
      </c>
      <c r="J3760" s="17">
        <v>90.04</v>
      </c>
      <c r="K3760" s="10">
        <v>1074.29</v>
      </c>
      <c r="L3760" s="17">
        <v>15.75</v>
      </c>
      <c r="P3760" s="17">
        <v>5</v>
      </c>
      <c r="Q3760" s="19">
        <v>1090.04</v>
      </c>
      <c r="R3760" s="14">
        <v>200</v>
      </c>
      <c r="S3760" s="19">
        <v>218008</v>
      </c>
      <c r="T3760" s="17">
        <v>1</v>
      </c>
      <c r="U3760" s="17" t="s">
        <v>57</v>
      </c>
      <c r="V3760" s="17" t="s">
        <v>56</v>
      </c>
      <c r="W3760" s="4">
        <v>63</v>
      </c>
      <c r="Y3760" s="4">
        <v>63</v>
      </c>
      <c r="AB3760" s="17">
        <v>2</v>
      </c>
      <c r="AJ3760" s="19">
        <v>0</v>
      </c>
      <c r="AK3760" s="23">
        <v>2</v>
      </c>
      <c r="AM3760" s="19">
        <v>0</v>
      </c>
      <c r="AN3760" s="19">
        <v>218008</v>
      </c>
      <c r="AP3760" s="14">
        <v>218008</v>
      </c>
    </row>
    <row r="3761" spans="1:45" x14ac:dyDescent="0.2">
      <c r="A3761" s="121">
        <f t="shared" ref="A3761:A3766" si="485">+A3760+1</f>
        <v>3203</v>
      </c>
      <c r="B3761" s="13">
        <v>2</v>
      </c>
      <c r="C3761" s="17" t="s">
        <v>52</v>
      </c>
      <c r="D3761" s="17">
        <v>29271</v>
      </c>
      <c r="E3761" s="17">
        <v>135</v>
      </c>
      <c r="F3761" s="17">
        <v>5553</v>
      </c>
      <c r="G3761" s="13">
        <v>1</v>
      </c>
      <c r="H3761" s="17">
        <v>4</v>
      </c>
      <c r="I3761" s="17">
        <v>1</v>
      </c>
      <c r="J3761" s="17">
        <v>29</v>
      </c>
      <c r="K3761" s="10">
        <v>1729</v>
      </c>
      <c r="P3761" s="17">
        <v>1</v>
      </c>
      <c r="Q3761" s="19">
        <v>1729</v>
      </c>
      <c r="R3761" s="14">
        <v>160</v>
      </c>
      <c r="S3761" s="19">
        <v>276640</v>
      </c>
      <c r="AJ3761" s="19">
        <v>0</v>
      </c>
      <c r="AK3761" s="23">
        <v>0</v>
      </c>
      <c r="AM3761" s="19">
        <v>0</v>
      </c>
      <c r="AN3761" s="19">
        <v>276640</v>
      </c>
      <c r="AP3761" s="14">
        <v>276640</v>
      </c>
      <c r="AS3761" s="26">
        <v>44</v>
      </c>
    </row>
    <row r="3762" spans="1:45" x14ac:dyDescent="0.2">
      <c r="A3762" s="121">
        <f t="shared" si="485"/>
        <v>3204</v>
      </c>
      <c r="B3762" s="13">
        <v>3</v>
      </c>
      <c r="C3762" s="17" t="s">
        <v>52</v>
      </c>
      <c r="D3762" s="17">
        <v>29272</v>
      </c>
      <c r="E3762" s="17">
        <v>136</v>
      </c>
      <c r="F3762" s="17">
        <v>5554</v>
      </c>
      <c r="G3762" s="13">
        <v>1</v>
      </c>
      <c r="H3762" s="17">
        <v>7</v>
      </c>
      <c r="I3762" s="17">
        <v>1</v>
      </c>
      <c r="J3762" s="17">
        <v>7</v>
      </c>
      <c r="Q3762" s="19">
        <v>2907</v>
      </c>
      <c r="R3762" s="14">
        <v>160</v>
      </c>
      <c r="S3762" s="19">
        <v>465120</v>
      </c>
      <c r="AJ3762" s="19">
        <v>0</v>
      </c>
      <c r="AK3762" s="23">
        <v>0</v>
      </c>
      <c r="AM3762" s="19">
        <v>0</v>
      </c>
      <c r="AN3762" s="19">
        <v>465120</v>
      </c>
      <c r="AP3762" s="14">
        <v>465120</v>
      </c>
    </row>
    <row r="3763" spans="1:45" x14ac:dyDescent="0.2">
      <c r="A3763" s="121">
        <f t="shared" si="485"/>
        <v>3205</v>
      </c>
      <c r="B3763" s="13">
        <v>1</v>
      </c>
      <c r="C3763" s="17" t="s">
        <v>52</v>
      </c>
      <c r="D3763" s="17">
        <v>4236</v>
      </c>
      <c r="E3763" s="17">
        <v>328</v>
      </c>
      <c r="F3763" s="17">
        <v>2752</v>
      </c>
      <c r="G3763" s="13">
        <v>1</v>
      </c>
      <c r="H3763" s="17">
        <v>1</v>
      </c>
      <c r="I3763" s="17">
        <v>0</v>
      </c>
      <c r="J3763" s="17">
        <v>68.03</v>
      </c>
      <c r="K3763" s="10">
        <v>468.03</v>
      </c>
      <c r="P3763" s="17">
        <v>1</v>
      </c>
      <c r="Q3763" s="19">
        <v>468.03</v>
      </c>
      <c r="R3763" s="14">
        <v>200</v>
      </c>
      <c r="S3763" s="19">
        <v>93606</v>
      </c>
      <c r="AJ3763" s="19">
        <v>0</v>
      </c>
      <c r="AK3763" s="23">
        <v>0</v>
      </c>
      <c r="AM3763" s="19">
        <v>0</v>
      </c>
      <c r="AN3763" s="19">
        <v>93606</v>
      </c>
      <c r="AP3763" s="14">
        <v>93606</v>
      </c>
      <c r="AS3763" s="26">
        <v>31</v>
      </c>
    </row>
    <row r="3764" spans="1:45" x14ac:dyDescent="0.2">
      <c r="A3764" s="121">
        <f t="shared" si="485"/>
        <v>3206</v>
      </c>
      <c r="B3764" s="13">
        <v>2</v>
      </c>
      <c r="C3764" s="17" t="s">
        <v>52</v>
      </c>
      <c r="D3764" s="17">
        <v>29256</v>
      </c>
      <c r="E3764" s="17">
        <v>109</v>
      </c>
      <c r="F3764" s="17">
        <v>5538</v>
      </c>
      <c r="G3764" s="13">
        <v>1</v>
      </c>
      <c r="H3764" s="17">
        <v>4</v>
      </c>
      <c r="I3764" s="17">
        <v>2</v>
      </c>
      <c r="J3764" s="17">
        <v>85</v>
      </c>
      <c r="K3764" s="10">
        <v>1885</v>
      </c>
      <c r="P3764" s="17">
        <v>1</v>
      </c>
      <c r="Q3764" s="19">
        <v>1885</v>
      </c>
      <c r="R3764" s="14">
        <v>160</v>
      </c>
      <c r="S3764" s="19">
        <v>301600</v>
      </c>
      <c r="AJ3764" s="19">
        <v>0</v>
      </c>
      <c r="AK3764" s="23">
        <v>0</v>
      </c>
      <c r="AM3764" s="19">
        <v>0</v>
      </c>
      <c r="AN3764" s="19">
        <v>301600</v>
      </c>
      <c r="AP3764" s="14">
        <v>301600</v>
      </c>
    </row>
    <row r="3765" spans="1:45" x14ac:dyDescent="0.2">
      <c r="A3765" s="121">
        <f t="shared" si="485"/>
        <v>3207</v>
      </c>
      <c r="B3765" s="13">
        <v>3</v>
      </c>
      <c r="C3765" s="17" t="s">
        <v>52</v>
      </c>
      <c r="D3765" s="17">
        <v>29257</v>
      </c>
      <c r="E3765" s="17">
        <v>110</v>
      </c>
      <c r="F3765" s="17">
        <v>5539</v>
      </c>
      <c r="G3765" s="13">
        <v>1</v>
      </c>
      <c r="H3765" s="17">
        <v>5</v>
      </c>
      <c r="I3765" s="17">
        <v>2</v>
      </c>
      <c r="J3765" s="17">
        <v>68</v>
      </c>
      <c r="K3765" s="10">
        <v>2268</v>
      </c>
      <c r="P3765" s="17">
        <v>1</v>
      </c>
      <c r="Q3765" s="19">
        <v>2268</v>
      </c>
      <c r="R3765" s="14">
        <v>160</v>
      </c>
      <c r="S3765" s="19">
        <v>362880</v>
      </c>
      <c r="AJ3765" s="19">
        <v>0</v>
      </c>
      <c r="AK3765" s="23">
        <v>0</v>
      </c>
      <c r="AM3765" s="19">
        <v>0</v>
      </c>
      <c r="AN3765" s="19">
        <v>362880</v>
      </c>
      <c r="AP3765" s="14">
        <v>362880</v>
      </c>
    </row>
    <row r="3766" spans="1:45" x14ac:dyDescent="0.2">
      <c r="A3766" s="121">
        <f t="shared" si="485"/>
        <v>3208</v>
      </c>
      <c r="B3766" s="13">
        <v>1</v>
      </c>
      <c r="C3766" s="17" t="s">
        <v>52</v>
      </c>
      <c r="D3766" s="17">
        <v>1006</v>
      </c>
      <c r="E3766" s="17">
        <v>44</v>
      </c>
      <c r="F3766" s="17">
        <v>345</v>
      </c>
      <c r="G3766" s="13">
        <v>1</v>
      </c>
      <c r="H3766" s="17">
        <v>2</v>
      </c>
      <c r="I3766" s="17">
        <v>3</v>
      </c>
      <c r="J3766" s="17">
        <v>33</v>
      </c>
      <c r="K3766" s="10">
        <v>1133</v>
      </c>
      <c r="P3766" s="17">
        <v>1</v>
      </c>
      <c r="Q3766" s="19">
        <v>1133</v>
      </c>
      <c r="R3766" s="14">
        <v>160</v>
      </c>
      <c r="S3766" s="19">
        <v>181280</v>
      </c>
      <c r="AJ3766" s="19">
        <v>0</v>
      </c>
      <c r="AK3766" s="23">
        <v>0</v>
      </c>
      <c r="AM3766" s="19">
        <v>0</v>
      </c>
      <c r="AN3766" s="19">
        <v>181280</v>
      </c>
      <c r="AP3766" s="14">
        <v>181280</v>
      </c>
      <c r="AS3766" s="26">
        <v>121</v>
      </c>
    </row>
    <row r="3767" spans="1:45" ht="63" x14ac:dyDescent="0.2">
      <c r="A3767" s="121">
        <f>+A3766+1</f>
        <v>3209</v>
      </c>
      <c r="B3767" s="13">
        <v>2</v>
      </c>
      <c r="C3767" s="17" t="s">
        <v>52</v>
      </c>
      <c r="D3767" s="17">
        <v>1381</v>
      </c>
      <c r="E3767" s="17">
        <v>13</v>
      </c>
      <c r="F3767" s="17">
        <v>950</v>
      </c>
      <c r="G3767" s="13">
        <v>1</v>
      </c>
      <c r="H3767" s="17">
        <v>5</v>
      </c>
      <c r="I3767" s="17">
        <v>3</v>
      </c>
      <c r="J3767" s="17">
        <v>43</v>
      </c>
      <c r="K3767" s="10">
        <v>2283</v>
      </c>
      <c r="L3767" s="17">
        <v>36</v>
      </c>
      <c r="P3767" s="17">
        <v>5</v>
      </c>
      <c r="Q3767" s="19">
        <v>2343</v>
      </c>
      <c r="R3767" s="14">
        <v>200</v>
      </c>
      <c r="S3767" s="19">
        <v>468600</v>
      </c>
      <c r="T3767" s="17">
        <v>1</v>
      </c>
      <c r="U3767" s="17" t="s">
        <v>57</v>
      </c>
      <c r="V3767" s="17" t="s">
        <v>56</v>
      </c>
      <c r="W3767" s="4">
        <v>144</v>
      </c>
      <c r="Y3767" s="4">
        <v>144</v>
      </c>
      <c r="AB3767" s="17">
        <v>31</v>
      </c>
      <c r="AJ3767" s="19">
        <v>0</v>
      </c>
      <c r="AK3767" s="23">
        <v>31</v>
      </c>
      <c r="AM3767" s="19">
        <v>0</v>
      </c>
      <c r="AN3767" s="19">
        <v>468600</v>
      </c>
      <c r="AP3767" s="14">
        <v>468600</v>
      </c>
    </row>
    <row r="3768" spans="1:45" ht="63" x14ac:dyDescent="0.2">
      <c r="L3768" s="17">
        <v>24</v>
      </c>
      <c r="Q3768" s="19">
        <v>0</v>
      </c>
      <c r="R3768" s="14" t="e">
        <v>#N/A</v>
      </c>
      <c r="S3768" s="19" t="e">
        <v>#N/A</v>
      </c>
      <c r="T3768" s="17">
        <v>2</v>
      </c>
      <c r="U3768" s="17" t="s">
        <v>57</v>
      </c>
      <c r="V3768" s="17" t="s">
        <v>56</v>
      </c>
      <c r="W3768" s="4">
        <v>96</v>
      </c>
      <c r="Y3768" s="4">
        <v>96</v>
      </c>
      <c r="AB3768" s="17">
        <v>14</v>
      </c>
      <c r="AJ3768" s="19">
        <v>0</v>
      </c>
      <c r="AK3768" s="23">
        <v>14</v>
      </c>
      <c r="AM3768" s="19">
        <v>0</v>
      </c>
      <c r="AN3768" s="19" t="e">
        <v>#N/A</v>
      </c>
      <c r="AP3768" s="14" t="e">
        <v>#N/A</v>
      </c>
    </row>
    <row r="3769" spans="1:45" x14ac:dyDescent="0.2">
      <c r="A3769" s="2">
        <v>3210</v>
      </c>
      <c r="B3769" s="13">
        <v>3</v>
      </c>
      <c r="C3769" s="17" t="s">
        <v>52</v>
      </c>
      <c r="D3769" s="17">
        <v>2913</v>
      </c>
      <c r="E3769" s="17">
        <v>20</v>
      </c>
      <c r="F3769" s="17">
        <v>1996</v>
      </c>
      <c r="G3769" s="13">
        <v>1</v>
      </c>
      <c r="H3769" s="17">
        <v>26</v>
      </c>
      <c r="I3769" s="17">
        <v>1</v>
      </c>
      <c r="J3769" s="17">
        <v>22</v>
      </c>
      <c r="K3769" s="10">
        <v>10522</v>
      </c>
      <c r="P3769" s="17">
        <v>1</v>
      </c>
      <c r="Q3769" s="19">
        <v>10522</v>
      </c>
      <c r="R3769" s="14">
        <v>160</v>
      </c>
      <c r="S3769" s="19">
        <v>1683520</v>
      </c>
      <c r="AJ3769" s="19">
        <v>0</v>
      </c>
      <c r="AK3769" s="23">
        <v>0</v>
      </c>
      <c r="AM3769" s="19">
        <v>0</v>
      </c>
      <c r="AN3769" s="19">
        <v>1683520</v>
      </c>
      <c r="AP3769" s="14">
        <v>1683520</v>
      </c>
    </row>
    <row r="3770" spans="1:45" x14ac:dyDescent="0.2">
      <c r="A3770" s="2">
        <v>3211</v>
      </c>
      <c r="B3770" s="13">
        <v>4</v>
      </c>
      <c r="C3770" s="17" t="s">
        <v>52</v>
      </c>
      <c r="D3770" s="17">
        <v>31086</v>
      </c>
      <c r="E3770" s="17">
        <v>101</v>
      </c>
      <c r="F3770" s="17">
        <v>6036</v>
      </c>
      <c r="H3770" s="17">
        <v>0</v>
      </c>
      <c r="I3770" s="17">
        <v>0</v>
      </c>
      <c r="J3770" s="17">
        <v>72.03</v>
      </c>
      <c r="Q3770" s="19">
        <v>72.03</v>
      </c>
      <c r="R3770" s="14">
        <v>250</v>
      </c>
      <c r="S3770" s="19">
        <v>18007.5</v>
      </c>
      <c r="AJ3770" s="19">
        <v>0</v>
      </c>
      <c r="AK3770" s="23">
        <v>0</v>
      </c>
      <c r="AM3770" s="19">
        <v>0</v>
      </c>
      <c r="AN3770" s="19">
        <v>18007.5</v>
      </c>
      <c r="AP3770" s="14">
        <v>18007.5</v>
      </c>
    </row>
    <row r="3771" spans="1:45" x14ac:dyDescent="0.2">
      <c r="B3771" s="13">
        <v>5</v>
      </c>
      <c r="C3771" s="17" t="s">
        <v>65</v>
      </c>
      <c r="D3771" s="17">
        <v>3437</v>
      </c>
      <c r="E3771" s="17">
        <v>621</v>
      </c>
      <c r="H3771" s="17">
        <v>0</v>
      </c>
      <c r="I3771" s="17">
        <v>1</v>
      </c>
      <c r="J3771" s="17">
        <v>49</v>
      </c>
      <c r="K3771" s="10">
        <v>149</v>
      </c>
      <c r="Q3771" s="19">
        <v>149</v>
      </c>
      <c r="R3771" s="14" t="e">
        <v>#N/A</v>
      </c>
      <c r="S3771" s="19" t="e">
        <v>#N/A</v>
      </c>
      <c r="AE3771" s="17" t="s">
        <v>94</v>
      </c>
      <c r="AJ3771" s="19">
        <v>0</v>
      </c>
      <c r="AK3771" s="23">
        <v>0</v>
      </c>
      <c r="AM3771" s="19">
        <v>0</v>
      </c>
      <c r="AN3771" s="19" t="e">
        <v>#N/A</v>
      </c>
      <c r="AP3771" s="14" t="e">
        <v>#N/A</v>
      </c>
      <c r="AQ3771" s="12">
        <v>1E-4</v>
      </c>
    </row>
    <row r="3772" spans="1:45" x14ac:dyDescent="0.2">
      <c r="A3772" s="2">
        <v>3212</v>
      </c>
      <c r="B3772" s="13">
        <v>1</v>
      </c>
      <c r="C3772" s="17" t="s">
        <v>52</v>
      </c>
      <c r="D3772" s="17">
        <v>2916</v>
      </c>
      <c r="E3772" s="17">
        <v>21</v>
      </c>
      <c r="F3772" s="17">
        <v>1999</v>
      </c>
      <c r="G3772" s="13">
        <v>1</v>
      </c>
      <c r="H3772" s="17">
        <v>12</v>
      </c>
      <c r="I3772" s="17">
        <v>1</v>
      </c>
      <c r="J3772" s="17">
        <v>32</v>
      </c>
      <c r="K3772" s="10">
        <v>4932</v>
      </c>
      <c r="P3772" s="17">
        <v>1</v>
      </c>
      <c r="Q3772" s="19">
        <v>4932</v>
      </c>
      <c r="R3772" s="14">
        <v>160</v>
      </c>
      <c r="S3772" s="19">
        <v>789120</v>
      </c>
      <c r="AJ3772" s="19">
        <v>0</v>
      </c>
      <c r="AK3772" s="23">
        <v>0</v>
      </c>
      <c r="AM3772" s="19">
        <v>0</v>
      </c>
      <c r="AN3772" s="19">
        <v>789120</v>
      </c>
      <c r="AP3772" s="14">
        <v>789120</v>
      </c>
    </row>
    <row r="3773" spans="1:45" x14ac:dyDescent="0.2">
      <c r="A3773" s="2">
        <f>+A3772+1</f>
        <v>3213</v>
      </c>
      <c r="B3773" s="13">
        <v>2</v>
      </c>
      <c r="C3773" s="17" t="s">
        <v>69</v>
      </c>
      <c r="E3773" s="17">
        <v>156</v>
      </c>
      <c r="F3773" s="17">
        <v>1</v>
      </c>
      <c r="G3773" s="13">
        <v>1</v>
      </c>
      <c r="H3773" s="17">
        <v>13</v>
      </c>
      <c r="I3773" s="17">
        <v>1</v>
      </c>
      <c r="J3773" s="17">
        <v>10</v>
      </c>
      <c r="K3773" s="10">
        <v>5310</v>
      </c>
      <c r="P3773" s="17">
        <v>1</v>
      </c>
      <c r="Q3773" s="19">
        <v>5310</v>
      </c>
      <c r="R3773" s="14">
        <v>160</v>
      </c>
      <c r="S3773" s="19">
        <v>849600</v>
      </c>
      <c r="AJ3773" s="19">
        <v>0</v>
      </c>
      <c r="AK3773" s="23">
        <v>0</v>
      </c>
      <c r="AM3773" s="19">
        <v>0</v>
      </c>
      <c r="AN3773" s="19">
        <v>849600</v>
      </c>
      <c r="AP3773" s="14">
        <v>849600</v>
      </c>
      <c r="AQ3773" s="12">
        <v>1E-4</v>
      </c>
    </row>
    <row r="3774" spans="1:45" x14ac:dyDescent="0.2">
      <c r="A3774" s="121">
        <f t="shared" ref="A3774:A3786" si="486">+A3773+1</f>
        <v>3214</v>
      </c>
      <c r="B3774" s="13">
        <v>1</v>
      </c>
      <c r="C3774" s="17" t="s">
        <v>52</v>
      </c>
      <c r="D3774" s="17">
        <v>2914</v>
      </c>
      <c r="E3774" s="17">
        <v>19</v>
      </c>
      <c r="F3774" s="17">
        <v>1997</v>
      </c>
      <c r="G3774" s="13">
        <v>1</v>
      </c>
      <c r="H3774" s="17">
        <v>6</v>
      </c>
      <c r="I3774" s="17">
        <v>1</v>
      </c>
      <c r="J3774" s="17">
        <v>58</v>
      </c>
      <c r="K3774" s="10">
        <v>2558</v>
      </c>
      <c r="P3774" s="17">
        <v>1</v>
      </c>
      <c r="Q3774" s="19">
        <v>2558</v>
      </c>
      <c r="R3774" s="14">
        <v>160</v>
      </c>
      <c r="S3774" s="19">
        <v>409280</v>
      </c>
      <c r="AJ3774" s="19">
        <v>0</v>
      </c>
      <c r="AK3774" s="23">
        <v>0</v>
      </c>
      <c r="AM3774" s="19">
        <v>0</v>
      </c>
      <c r="AN3774" s="19">
        <v>409280</v>
      </c>
      <c r="AP3774" s="14">
        <v>409280</v>
      </c>
    </row>
    <row r="3775" spans="1:45" ht="63" x14ac:dyDescent="0.2">
      <c r="A3775" s="121">
        <f t="shared" si="486"/>
        <v>3215</v>
      </c>
      <c r="B3775" s="13">
        <v>1</v>
      </c>
      <c r="C3775" s="17" t="s">
        <v>52</v>
      </c>
      <c r="D3775" s="17">
        <v>1412</v>
      </c>
      <c r="E3775" s="17">
        <v>16</v>
      </c>
      <c r="F3775" s="17">
        <v>607</v>
      </c>
      <c r="G3775" s="13">
        <v>1</v>
      </c>
      <c r="H3775" s="17">
        <v>0</v>
      </c>
      <c r="I3775" s="17">
        <v>2</v>
      </c>
      <c r="J3775" s="17">
        <v>99</v>
      </c>
      <c r="L3775" s="17">
        <v>299</v>
      </c>
      <c r="P3775" s="17">
        <v>2</v>
      </c>
      <c r="Q3775" s="19">
        <v>299</v>
      </c>
      <c r="R3775" s="14">
        <v>200</v>
      </c>
      <c r="S3775" s="19">
        <v>59800</v>
      </c>
      <c r="T3775" s="17">
        <v>1</v>
      </c>
      <c r="U3775" s="17" t="s">
        <v>57</v>
      </c>
      <c r="V3775" s="17" t="s">
        <v>56</v>
      </c>
      <c r="W3775" s="4">
        <v>165</v>
      </c>
      <c r="Y3775" s="4">
        <v>165</v>
      </c>
      <c r="AB3775" s="17">
        <v>42</v>
      </c>
      <c r="AJ3775" s="19">
        <v>0</v>
      </c>
      <c r="AK3775" s="23">
        <v>42</v>
      </c>
      <c r="AM3775" s="19">
        <v>0</v>
      </c>
      <c r="AN3775" s="19">
        <v>59800</v>
      </c>
      <c r="AP3775" s="14">
        <v>59800</v>
      </c>
    </row>
    <row r="3776" spans="1:45" x14ac:dyDescent="0.2">
      <c r="A3776" s="121">
        <f t="shared" si="486"/>
        <v>3216</v>
      </c>
      <c r="B3776" s="13">
        <v>1</v>
      </c>
      <c r="C3776" s="17" t="s">
        <v>52</v>
      </c>
      <c r="D3776" s="17">
        <v>2897</v>
      </c>
      <c r="E3776" s="17">
        <v>20</v>
      </c>
      <c r="F3776" s="17">
        <v>1915</v>
      </c>
      <c r="G3776" s="13">
        <v>1</v>
      </c>
      <c r="H3776" s="17">
        <v>3</v>
      </c>
      <c r="I3776" s="17">
        <v>1</v>
      </c>
      <c r="J3776" s="17">
        <v>40</v>
      </c>
      <c r="K3776" s="10">
        <v>1340</v>
      </c>
      <c r="P3776" s="17">
        <v>1</v>
      </c>
      <c r="Q3776" s="19">
        <v>1340</v>
      </c>
      <c r="R3776" s="14">
        <v>200</v>
      </c>
      <c r="S3776" s="19">
        <v>268000</v>
      </c>
      <c r="AJ3776" s="19">
        <v>0</v>
      </c>
      <c r="AK3776" s="23">
        <v>0</v>
      </c>
      <c r="AM3776" s="19">
        <v>0</v>
      </c>
      <c r="AN3776" s="19">
        <v>268000</v>
      </c>
      <c r="AP3776" s="14">
        <v>268000</v>
      </c>
      <c r="AS3776" s="26">
        <v>20</v>
      </c>
    </row>
    <row r="3777" spans="1:45" x14ac:dyDescent="0.2">
      <c r="A3777" s="121">
        <f t="shared" si="486"/>
        <v>3217</v>
      </c>
      <c r="B3777" s="13">
        <v>2</v>
      </c>
      <c r="C3777" s="17" t="s">
        <v>52</v>
      </c>
      <c r="D3777" s="17">
        <v>20655</v>
      </c>
      <c r="E3777" s="17">
        <v>93</v>
      </c>
      <c r="F3777" s="17">
        <v>4648</v>
      </c>
      <c r="G3777" s="13">
        <v>1</v>
      </c>
      <c r="H3777" s="17">
        <v>0</v>
      </c>
      <c r="I3777" s="17">
        <v>2</v>
      </c>
      <c r="J3777" s="17">
        <v>66</v>
      </c>
      <c r="K3777" s="10">
        <v>266</v>
      </c>
      <c r="P3777" s="17">
        <v>1</v>
      </c>
      <c r="Q3777" s="19">
        <v>266</v>
      </c>
      <c r="R3777" s="14">
        <v>250</v>
      </c>
      <c r="S3777" s="19">
        <v>66500</v>
      </c>
      <c r="AJ3777" s="19">
        <v>0</v>
      </c>
      <c r="AK3777" s="23">
        <v>0</v>
      </c>
      <c r="AM3777" s="19">
        <v>0</v>
      </c>
      <c r="AN3777" s="19">
        <v>66500</v>
      </c>
      <c r="AP3777" s="14">
        <v>66500</v>
      </c>
    </row>
    <row r="3778" spans="1:45" x14ac:dyDescent="0.2">
      <c r="A3778" s="121">
        <f t="shared" si="486"/>
        <v>3218</v>
      </c>
      <c r="B3778" s="13">
        <v>3</v>
      </c>
      <c r="C3778" s="17" t="s">
        <v>52</v>
      </c>
      <c r="D3778" s="17">
        <v>20658</v>
      </c>
      <c r="E3778" s="17">
        <v>96</v>
      </c>
      <c r="F3778" s="17">
        <v>4651</v>
      </c>
      <c r="G3778" s="13">
        <v>1</v>
      </c>
      <c r="H3778" s="17">
        <v>0</v>
      </c>
      <c r="I3778" s="17">
        <v>2</v>
      </c>
      <c r="J3778" s="17">
        <v>61</v>
      </c>
      <c r="K3778" s="10">
        <v>261</v>
      </c>
      <c r="P3778" s="17">
        <v>1</v>
      </c>
      <c r="Q3778" s="19">
        <v>261</v>
      </c>
      <c r="R3778" s="14">
        <v>200</v>
      </c>
      <c r="S3778" s="19">
        <v>52200</v>
      </c>
      <c r="AJ3778" s="19">
        <v>0</v>
      </c>
      <c r="AK3778" s="23">
        <v>0</v>
      </c>
      <c r="AM3778" s="19">
        <v>0</v>
      </c>
      <c r="AN3778" s="19">
        <v>52200</v>
      </c>
      <c r="AP3778" s="14">
        <v>52200</v>
      </c>
    </row>
    <row r="3779" spans="1:45" x14ac:dyDescent="0.2">
      <c r="A3779" s="121">
        <f t="shared" si="486"/>
        <v>3219</v>
      </c>
      <c r="B3779" s="13">
        <v>4</v>
      </c>
      <c r="C3779" s="17" t="s">
        <v>52</v>
      </c>
      <c r="D3779" s="17">
        <v>33590</v>
      </c>
      <c r="E3779" s="17">
        <v>298</v>
      </c>
      <c r="F3779" s="17">
        <v>6724</v>
      </c>
      <c r="G3779" s="13">
        <v>1</v>
      </c>
      <c r="H3779" s="17">
        <v>1</v>
      </c>
      <c r="I3779" s="17">
        <v>1</v>
      </c>
      <c r="J3779" s="17">
        <v>61</v>
      </c>
      <c r="K3779" s="10">
        <v>561</v>
      </c>
      <c r="P3779" s="17">
        <v>1</v>
      </c>
      <c r="Q3779" s="19">
        <v>561</v>
      </c>
      <c r="R3779" s="14">
        <v>160</v>
      </c>
      <c r="S3779" s="19">
        <v>89760</v>
      </c>
      <c r="AJ3779" s="19">
        <v>0</v>
      </c>
      <c r="AK3779" s="23">
        <v>0</v>
      </c>
      <c r="AM3779" s="19">
        <v>0</v>
      </c>
      <c r="AN3779" s="19">
        <v>89760</v>
      </c>
      <c r="AP3779" s="14">
        <v>89760</v>
      </c>
    </row>
    <row r="3780" spans="1:45" x14ac:dyDescent="0.2">
      <c r="A3780" s="121">
        <f t="shared" si="486"/>
        <v>3220</v>
      </c>
      <c r="B3780" s="13">
        <v>1</v>
      </c>
      <c r="C3780" s="17" t="s">
        <v>52</v>
      </c>
      <c r="D3780" s="17">
        <v>1404</v>
      </c>
      <c r="E3780" s="17">
        <v>20</v>
      </c>
      <c r="F3780" s="17">
        <v>599</v>
      </c>
      <c r="G3780" s="13">
        <v>1</v>
      </c>
      <c r="H3780" s="17">
        <v>1</v>
      </c>
      <c r="I3780" s="17">
        <v>3</v>
      </c>
      <c r="J3780" s="17">
        <v>59</v>
      </c>
      <c r="K3780" s="10" t="s">
        <v>321</v>
      </c>
      <c r="P3780" s="17">
        <v>1</v>
      </c>
      <c r="Q3780" s="19">
        <v>759</v>
      </c>
      <c r="R3780" s="14">
        <v>200</v>
      </c>
      <c r="S3780" s="19">
        <v>151800</v>
      </c>
      <c r="AE3780" s="17" t="s">
        <v>322</v>
      </c>
      <c r="AJ3780" s="19">
        <v>0</v>
      </c>
      <c r="AK3780" s="23">
        <v>0</v>
      </c>
      <c r="AM3780" s="19">
        <v>0</v>
      </c>
      <c r="AN3780" s="19">
        <v>151800</v>
      </c>
      <c r="AP3780" s="14">
        <v>151800</v>
      </c>
    </row>
    <row r="3781" spans="1:45" x14ac:dyDescent="0.2">
      <c r="A3781" s="121">
        <f t="shared" si="486"/>
        <v>3221</v>
      </c>
      <c r="B3781" s="13">
        <v>1</v>
      </c>
      <c r="C3781" s="17" t="s">
        <v>52</v>
      </c>
      <c r="D3781" s="17">
        <v>16404</v>
      </c>
      <c r="E3781" s="17">
        <v>103</v>
      </c>
      <c r="F3781" s="17">
        <v>3403</v>
      </c>
      <c r="G3781" s="13">
        <v>1</v>
      </c>
      <c r="H3781" s="17">
        <v>3</v>
      </c>
      <c r="I3781" s="17">
        <v>3</v>
      </c>
      <c r="J3781" s="17">
        <v>34</v>
      </c>
      <c r="K3781" s="10">
        <v>1534</v>
      </c>
      <c r="P3781" s="17">
        <v>1</v>
      </c>
      <c r="Q3781" s="19">
        <v>1534</v>
      </c>
      <c r="R3781" s="14">
        <v>160</v>
      </c>
      <c r="S3781" s="19">
        <v>245440</v>
      </c>
      <c r="AJ3781" s="19">
        <v>0</v>
      </c>
      <c r="AK3781" s="23">
        <v>0</v>
      </c>
      <c r="AM3781" s="19">
        <v>0</v>
      </c>
      <c r="AN3781" s="19">
        <v>245440</v>
      </c>
      <c r="AP3781" s="14">
        <v>245440</v>
      </c>
    </row>
    <row r="3782" spans="1:45" x14ac:dyDescent="0.2">
      <c r="A3782" s="121">
        <f t="shared" si="486"/>
        <v>3222</v>
      </c>
      <c r="B3782" s="13">
        <v>2</v>
      </c>
      <c r="C3782" s="17" t="s">
        <v>52</v>
      </c>
      <c r="D3782" s="17">
        <v>20656</v>
      </c>
      <c r="E3782" s="17">
        <v>94</v>
      </c>
      <c r="F3782" s="17">
        <v>4649</v>
      </c>
      <c r="G3782" s="13">
        <v>1</v>
      </c>
      <c r="H3782" s="17">
        <v>1</v>
      </c>
      <c r="I3782" s="17">
        <v>1</v>
      </c>
      <c r="J3782" s="17">
        <v>4</v>
      </c>
      <c r="K3782" s="10">
        <v>504</v>
      </c>
      <c r="P3782" s="17">
        <v>1</v>
      </c>
      <c r="Q3782" s="19">
        <v>504</v>
      </c>
      <c r="R3782" s="14">
        <v>200</v>
      </c>
      <c r="S3782" s="19">
        <v>100800</v>
      </c>
      <c r="AJ3782" s="19">
        <v>0</v>
      </c>
      <c r="AK3782" s="23">
        <v>0</v>
      </c>
      <c r="AM3782" s="19">
        <v>0</v>
      </c>
      <c r="AN3782" s="19">
        <v>100800</v>
      </c>
      <c r="AP3782" s="14">
        <v>100800</v>
      </c>
    </row>
    <row r="3783" spans="1:45" x14ac:dyDescent="0.2">
      <c r="A3783" s="121">
        <f t="shared" si="486"/>
        <v>3223</v>
      </c>
      <c r="B3783" s="13">
        <v>3</v>
      </c>
      <c r="C3783" s="17" t="s">
        <v>52</v>
      </c>
      <c r="D3783" s="17">
        <v>20657</v>
      </c>
      <c r="E3783" s="17">
        <v>95</v>
      </c>
      <c r="F3783" s="17">
        <v>4650</v>
      </c>
      <c r="G3783" s="13">
        <v>1</v>
      </c>
      <c r="H3783" s="17">
        <v>0</v>
      </c>
      <c r="I3783" s="17">
        <v>3</v>
      </c>
      <c r="J3783" s="17">
        <v>84</v>
      </c>
      <c r="K3783" s="10">
        <v>384</v>
      </c>
      <c r="P3783" s="17">
        <v>1</v>
      </c>
      <c r="Q3783" s="19">
        <v>384</v>
      </c>
      <c r="R3783" s="14">
        <v>200</v>
      </c>
      <c r="S3783" s="19">
        <v>76800</v>
      </c>
      <c r="AJ3783" s="19">
        <v>0</v>
      </c>
      <c r="AK3783" s="23">
        <v>0</v>
      </c>
      <c r="AM3783" s="19">
        <v>0</v>
      </c>
      <c r="AN3783" s="19">
        <v>76800</v>
      </c>
      <c r="AP3783" s="14">
        <v>76800</v>
      </c>
    </row>
    <row r="3784" spans="1:45" x14ac:dyDescent="0.2">
      <c r="A3784" s="121">
        <f t="shared" si="486"/>
        <v>3224</v>
      </c>
      <c r="B3784" s="13">
        <v>4</v>
      </c>
      <c r="C3784" s="17" t="s">
        <v>52</v>
      </c>
      <c r="D3784" s="17">
        <v>33588</v>
      </c>
      <c r="E3784" s="17">
        <v>296</v>
      </c>
      <c r="F3784" s="17">
        <v>6722</v>
      </c>
      <c r="G3784" s="13">
        <v>1</v>
      </c>
      <c r="H3784" s="17">
        <v>0</v>
      </c>
      <c r="I3784" s="17">
        <v>0</v>
      </c>
      <c r="J3784" s="17">
        <v>63</v>
      </c>
      <c r="N3784" s="18">
        <v>63</v>
      </c>
      <c r="P3784" s="17">
        <v>4</v>
      </c>
      <c r="Q3784" s="19">
        <v>63</v>
      </c>
      <c r="R3784" s="14">
        <v>250</v>
      </c>
      <c r="S3784" s="19">
        <v>15750</v>
      </c>
      <c r="AJ3784" s="19">
        <v>0</v>
      </c>
      <c r="AK3784" s="23">
        <v>0</v>
      </c>
      <c r="AM3784" s="19">
        <v>0</v>
      </c>
      <c r="AN3784" s="19">
        <v>15750</v>
      </c>
      <c r="AP3784" s="14">
        <v>15750</v>
      </c>
      <c r="AQ3784" s="12">
        <v>3.0000000000000001E-3</v>
      </c>
    </row>
    <row r="3785" spans="1:45" x14ac:dyDescent="0.2">
      <c r="A3785" s="121">
        <f t="shared" si="486"/>
        <v>3225</v>
      </c>
      <c r="B3785" s="13">
        <v>5</v>
      </c>
      <c r="C3785" s="17" t="s">
        <v>52</v>
      </c>
      <c r="D3785" s="17">
        <v>33591</v>
      </c>
      <c r="E3785" s="17">
        <v>305</v>
      </c>
      <c r="F3785" s="17">
        <v>6725</v>
      </c>
      <c r="G3785" s="13">
        <v>1</v>
      </c>
      <c r="H3785" s="17">
        <v>0</v>
      </c>
      <c r="I3785" s="17">
        <v>2</v>
      </c>
      <c r="J3785" s="17">
        <v>67</v>
      </c>
      <c r="Q3785" s="19">
        <v>267</v>
      </c>
      <c r="R3785" s="14">
        <v>250</v>
      </c>
      <c r="S3785" s="19">
        <v>66750</v>
      </c>
      <c r="AJ3785" s="19">
        <v>0</v>
      </c>
      <c r="AK3785" s="23">
        <v>0</v>
      </c>
      <c r="AM3785" s="19">
        <v>0</v>
      </c>
      <c r="AN3785" s="19">
        <v>66750</v>
      </c>
      <c r="AP3785" s="14">
        <v>66750</v>
      </c>
    </row>
    <row r="3786" spans="1:45" x14ac:dyDescent="0.2">
      <c r="A3786" s="121">
        <f t="shared" si="486"/>
        <v>3226</v>
      </c>
      <c r="B3786" s="13">
        <v>6</v>
      </c>
      <c r="C3786" s="17" t="s">
        <v>52</v>
      </c>
      <c r="D3786" s="17">
        <v>2799</v>
      </c>
      <c r="E3786" s="17">
        <v>21</v>
      </c>
      <c r="F3786" s="17">
        <v>1914</v>
      </c>
      <c r="G3786" s="13">
        <v>1</v>
      </c>
      <c r="H3786" s="17">
        <v>3</v>
      </c>
      <c r="I3786" s="17">
        <v>2</v>
      </c>
      <c r="J3786" s="17">
        <v>14</v>
      </c>
      <c r="K3786" s="10">
        <v>1414</v>
      </c>
      <c r="P3786" s="17">
        <v>1</v>
      </c>
      <c r="Q3786" s="19">
        <v>1414</v>
      </c>
      <c r="R3786" s="14">
        <v>200</v>
      </c>
      <c r="S3786" s="19">
        <v>282800</v>
      </c>
      <c r="AG3786" s="54">
        <v>0</v>
      </c>
      <c r="AJ3786" s="19">
        <v>0</v>
      </c>
      <c r="AM3786" s="19">
        <v>0</v>
      </c>
      <c r="AN3786" s="19">
        <v>282800</v>
      </c>
      <c r="AP3786" s="14">
        <v>282800</v>
      </c>
    </row>
    <row r="3787" spans="1:45" x14ac:dyDescent="0.2">
      <c r="B3787" s="13">
        <v>7</v>
      </c>
      <c r="C3787" s="17" t="s">
        <v>52</v>
      </c>
      <c r="D3787" s="17">
        <v>39957</v>
      </c>
      <c r="E3787" s="17">
        <v>93</v>
      </c>
      <c r="F3787" s="17">
        <v>7897</v>
      </c>
      <c r="H3787" s="17">
        <v>2</v>
      </c>
      <c r="I3787" s="17">
        <v>3</v>
      </c>
      <c r="J3787" s="17">
        <v>80</v>
      </c>
      <c r="K3787" s="10">
        <v>1180</v>
      </c>
      <c r="P3787" s="17">
        <v>1</v>
      </c>
      <c r="Q3787" s="19">
        <v>1180</v>
      </c>
      <c r="R3787" s="14" t="e">
        <v>#N/A</v>
      </c>
    </row>
    <row r="3788" spans="1:45" x14ac:dyDescent="0.2">
      <c r="A3788" s="2">
        <v>3227</v>
      </c>
      <c r="B3788" s="13">
        <v>1</v>
      </c>
      <c r="C3788" s="17" t="s">
        <v>52</v>
      </c>
      <c r="D3788" s="17">
        <v>33592</v>
      </c>
      <c r="E3788" s="17">
        <v>141</v>
      </c>
      <c r="F3788" s="17">
        <v>6726</v>
      </c>
      <c r="G3788" s="13">
        <v>1</v>
      </c>
      <c r="H3788" s="17">
        <v>0</v>
      </c>
      <c r="I3788" s="17">
        <v>2</v>
      </c>
      <c r="J3788" s="17">
        <v>67</v>
      </c>
      <c r="Q3788" s="19">
        <v>267</v>
      </c>
      <c r="R3788" s="14">
        <v>250</v>
      </c>
      <c r="S3788" s="19">
        <v>66750</v>
      </c>
      <c r="AJ3788" s="19">
        <v>0</v>
      </c>
      <c r="AK3788" s="23">
        <v>0</v>
      </c>
      <c r="AM3788" s="19">
        <v>0</v>
      </c>
      <c r="AN3788" s="19">
        <v>66750</v>
      </c>
      <c r="AP3788" s="14">
        <v>66750</v>
      </c>
    </row>
    <row r="3789" spans="1:45" x14ac:dyDescent="0.2">
      <c r="A3789" s="2">
        <f>+A3788+1</f>
        <v>3228</v>
      </c>
      <c r="B3789" s="13">
        <v>2</v>
      </c>
      <c r="C3789" s="17" t="s">
        <v>52</v>
      </c>
      <c r="D3789" s="17">
        <v>33594</v>
      </c>
      <c r="E3789" s="17">
        <v>143</v>
      </c>
      <c r="F3789" s="17">
        <v>6728</v>
      </c>
      <c r="G3789" s="13">
        <v>1</v>
      </c>
      <c r="H3789" s="17">
        <v>1</v>
      </c>
      <c r="I3789" s="17">
        <v>1</v>
      </c>
      <c r="J3789" s="17">
        <v>69</v>
      </c>
      <c r="K3789" s="10">
        <v>569</v>
      </c>
      <c r="P3789" s="17">
        <v>1</v>
      </c>
      <c r="Q3789" s="19">
        <v>569</v>
      </c>
      <c r="R3789" s="14">
        <v>160</v>
      </c>
      <c r="S3789" s="19">
        <v>91040</v>
      </c>
      <c r="AJ3789" s="19">
        <v>0</v>
      </c>
      <c r="AK3789" s="23">
        <v>0</v>
      </c>
      <c r="AM3789" s="19">
        <v>0</v>
      </c>
      <c r="AN3789" s="19">
        <v>91040</v>
      </c>
      <c r="AP3789" s="14">
        <v>91040</v>
      </c>
    </row>
    <row r="3790" spans="1:45" x14ac:dyDescent="0.2">
      <c r="A3790" s="121">
        <f t="shared" ref="A3790:A3805" si="487">+A3789+1</f>
        <v>3229</v>
      </c>
      <c r="B3790" s="13">
        <v>3</v>
      </c>
      <c r="C3790" s="17" t="s">
        <v>52</v>
      </c>
      <c r="D3790" s="17">
        <v>30925</v>
      </c>
      <c r="E3790" s="17">
        <v>184</v>
      </c>
      <c r="F3790" s="17">
        <v>5877</v>
      </c>
      <c r="G3790" s="13">
        <v>2</v>
      </c>
      <c r="H3790" s="17">
        <v>3</v>
      </c>
      <c r="I3790" s="17">
        <v>0</v>
      </c>
      <c r="J3790" s="17">
        <v>91.03</v>
      </c>
      <c r="K3790" s="10">
        <v>1291.03</v>
      </c>
      <c r="P3790" s="17">
        <v>1</v>
      </c>
      <c r="Q3790" s="19">
        <v>1291.03</v>
      </c>
      <c r="R3790" s="14">
        <v>160</v>
      </c>
      <c r="S3790" s="19">
        <v>206564.8</v>
      </c>
      <c r="AJ3790" s="19">
        <v>0</v>
      </c>
      <c r="AK3790" s="23">
        <v>0</v>
      </c>
      <c r="AM3790" s="19">
        <v>0</v>
      </c>
      <c r="AN3790" s="19">
        <v>206564.8</v>
      </c>
      <c r="AP3790" s="14">
        <v>206564.8</v>
      </c>
    </row>
    <row r="3791" spans="1:45" ht="63" x14ac:dyDescent="0.2">
      <c r="A3791" s="121">
        <f t="shared" si="487"/>
        <v>3230</v>
      </c>
      <c r="B3791" s="13">
        <v>1</v>
      </c>
      <c r="C3791" s="17" t="s">
        <v>52</v>
      </c>
      <c r="D3791" s="17">
        <v>33593</v>
      </c>
      <c r="E3791" s="17">
        <v>142</v>
      </c>
      <c r="F3791" s="17">
        <v>6727</v>
      </c>
      <c r="G3791" s="13">
        <v>1</v>
      </c>
      <c r="H3791" s="17">
        <v>2</v>
      </c>
      <c r="I3791" s="17">
        <v>0</v>
      </c>
      <c r="J3791" s="17">
        <v>54</v>
      </c>
      <c r="K3791" s="10">
        <v>854</v>
      </c>
      <c r="L3791" s="17">
        <v>56</v>
      </c>
      <c r="P3791" s="17">
        <v>5</v>
      </c>
      <c r="Q3791" s="19">
        <v>854</v>
      </c>
      <c r="R3791" s="14">
        <v>250</v>
      </c>
      <c r="S3791" s="19">
        <v>213500</v>
      </c>
      <c r="T3791" s="17">
        <v>1</v>
      </c>
      <c r="U3791" s="17" t="s">
        <v>57</v>
      </c>
      <c r="V3791" s="17" t="s">
        <v>56</v>
      </c>
      <c r="W3791" s="4">
        <v>224</v>
      </c>
      <c r="Y3791" s="4">
        <v>224</v>
      </c>
      <c r="AB3791" s="17">
        <v>18</v>
      </c>
      <c r="AJ3791" s="19">
        <v>0</v>
      </c>
      <c r="AK3791" s="23">
        <v>18</v>
      </c>
      <c r="AM3791" s="19">
        <v>0</v>
      </c>
      <c r="AN3791" s="19">
        <v>213500</v>
      </c>
      <c r="AP3791" s="14">
        <v>213500</v>
      </c>
      <c r="AS3791" s="26">
        <v>12</v>
      </c>
    </row>
    <row r="3792" spans="1:45" x14ac:dyDescent="0.2">
      <c r="A3792" s="121">
        <f t="shared" si="487"/>
        <v>3231</v>
      </c>
      <c r="B3792" s="13">
        <v>1</v>
      </c>
      <c r="C3792" s="17" t="s">
        <v>52</v>
      </c>
      <c r="D3792" s="17">
        <v>33589</v>
      </c>
      <c r="E3792" s="17">
        <v>297</v>
      </c>
      <c r="F3792" s="17">
        <v>6723</v>
      </c>
      <c r="G3792" s="13">
        <v>1</v>
      </c>
      <c r="H3792" s="17">
        <v>1</v>
      </c>
      <c r="I3792" s="17">
        <v>0</v>
      </c>
      <c r="J3792" s="17">
        <v>21</v>
      </c>
      <c r="Q3792" s="19">
        <v>421</v>
      </c>
      <c r="R3792" s="14">
        <v>250</v>
      </c>
      <c r="S3792" s="19">
        <v>105250</v>
      </c>
      <c r="AJ3792" s="19">
        <v>0</v>
      </c>
      <c r="AK3792" s="23">
        <v>0</v>
      </c>
      <c r="AM3792" s="19">
        <v>0</v>
      </c>
      <c r="AN3792" s="19">
        <v>105250</v>
      </c>
      <c r="AP3792" s="14">
        <v>105250</v>
      </c>
      <c r="AS3792" s="26">
        <v>115</v>
      </c>
    </row>
    <row r="3793" spans="1:45" x14ac:dyDescent="0.2">
      <c r="A3793" s="121">
        <f t="shared" si="487"/>
        <v>3232</v>
      </c>
      <c r="B3793" s="13">
        <v>2</v>
      </c>
      <c r="C3793" s="17" t="s">
        <v>69</v>
      </c>
      <c r="E3793" s="17">
        <v>154</v>
      </c>
      <c r="F3793" s="17">
        <v>4</v>
      </c>
      <c r="G3793" s="13">
        <v>1</v>
      </c>
      <c r="H3793" s="17">
        <v>11</v>
      </c>
      <c r="I3793" s="17">
        <v>0</v>
      </c>
      <c r="J3793" s="17">
        <v>49</v>
      </c>
      <c r="K3793" s="10">
        <v>4449</v>
      </c>
      <c r="P3793" s="17">
        <v>1</v>
      </c>
      <c r="Q3793" s="19">
        <v>4449</v>
      </c>
      <c r="R3793" s="14">
        <v>200</v>
      </c>
      <c r="S3793" s="19">
        <v>889800</v>
      </c>
      <c r="AJ3793" s="19">
        <v>0</v>
      </c>
      <c r="AK3793" s="23">
        <v>0</v>
      </c>
      <c r="AM3793" s="19">
        <v>0</v>
      </c>
      <c r="AN3793" s="19">
        <v>889800</v>
      </c>
      <c r="AP3793" s="14">
        <v>889800</v>
      </c>
      <c r="AQ3793" s="12">
        <v>1E-4</v>
      </c>
    </row>
    <row r="3794" spans="1:45" x14ac:dyDescent="0.2">
      <c r="A3794" s="121">
        <f t="shared" si="487"/>
        <v>3233</v>
      </c>
      <c r="B3794" s="13">
        <v>3</v>
      </c>
      <c r="C3794" s="17" t="s">
        <v>69</v>
      </c>
      <c r="E3794" s="17">
        <v>154</v>
      </c>
      <c r="F3794" s="17">
        <v>6</v>
      </c>
      <c r="G3794" s="13">
        <v>1</v>
      </c>
      <c r="H3794" s="17">
        <v>9</v>
      </c>
      <c r="I3794" s="17">
        <v>2</v>
      </c>
      <c r="J3794" s="17">
        <v>88</v>
      </c>
      <c r="K3794" s="10">
        <v>3888</v>
      </c>
      <c r="P3794" s="17">
        <v>1</v>
      </c>
      <c r="Q3794" s="19">
        <v>3888</v>
      </c>
      <c r="R3794" s="14">
        <v>200</v>
      </c>
      <c r="S3794" s="19">
        <v>777600</v>
      </c>
      <c r="AJ3794" s="19">
        <v>0</v>
      </c>
      <c r="AK3794" s="23">
        <v>0</v>
      </c>
      <c r="AM3794" s="19">
        <v>0</v>
      </c>
      <c r="AN3794" s="19">
        <v>777600</v>
      </c>
      <c r="AP3794" s="14">
        <v>777600</v>
      </c>
      <c r="AQ3794" s="12">
        <v>1E-4</v>
      </c>
    </row>
    <row r="3795" spans="1:45" x14ac:dyDescent="0.2">
      <c r="A3795" s="121">
        <f t="shared" si="487"/>
        <v>3234</v>
      </c>
      <c r="B3795" s="13">
        <v>1</v>
      </c>
      <c r="C3795" s="17" t="s">
        <v>52</v>
      </c>
      <c r="D3795" s="17">
        <v>20651</v>
      </c>
      <c r="E3795" s="17">
        <v>89</v>
      </c>
      <c r="F3795" s="17">
        <v>4644</v>
      </c>
      <c r="G3795" s="13">
        <v>1</v>
      </c>
      <c r="H3795" s="17">
        <v>0</v>
      </c>
      <c r="I3795" s="17">
        <v>0</v>
      </c>
      <c r="J3795" s="17">
        <v>88</v>
      </c>
      <c r="N3795" s="18">
        <v>88</v>
      </c>
      <c r="P3795" s="17">
        <v>4</v>
      </c>
      <c r="Q3795" s="19">
        <v>88</v>
      </c>
      <c r="R3795" s="14">
        <v>250</v>
      </c>
      <c r="S3795" s="19">
        <v>22000</v>
      </c>
      <c r="AJ3795" s="19">
        <v>0</v>
      </c>
      <c r="AK3795" s="23">
        <v>0</v>
      </c>
      <c r="AM3795" s="19">
        <v>0</v>
      </c>
      <c r="AN3795" s="19">
        <v>22000</v>
      </c>
      <c r="AP3795" s="14">
        <v>22000</v>
      </c>
      <c r="AQ3795" s="12">
        <v>3.0000000000000001E-3</v>
      </c>
    </row>
    <row r="3796" spans="1:45" x14ac:dyDescent="0.2">
      <c r="A3796" s="121">
        <f t="shared" si="487"/>
        <v>3235</v>
      </c>
      <c r="B3796" s="13">
        <v>2</v>
      </c>
      <c r="C3796" s="17" t="s">
        <v>52</v>
      </c>
      <c r="D3796" s="17">
        <v>31254</v>
      </c>
      <c r="E3796" s="17">
        <v>203</v>
      </c>
      <c r="F3796" s="17">
        <v>5826</v>
      </c>
      <c r="G3796" s="13">
        <v>1</v>
      </c>
      <c r="H3796" s="17">
        <v>0</v>
      </c>
      <c r="I3796" s="17">
        <v>2</v>
      </c>
      <c r="J3796" s="17">
        <v>62</v>
      </c>
      <c r="K3796" s="10">
        <v>262</v>
      </c>
      <c r="P3796" s="17">
        <v>1</v>
      </c>
      <c r="Q3796" s="19">
        <v>262</v>
      </c>
      <c r="R3796" s="14">
        <v>200</v>
      </c>
      <c r="S3796" s="19">
        <v>52400</v>
      </c>
      <c r="AJ3796" s="19">
        <v>0</v>
      </c>
      <c r="AK3796" s="23">
        <v>0</v>
      </c>
      <c r="AM3796" s="19">
        <v>0</v>
      </c>
      <c r="AN3796" s="19">
        <v>52400</v>
      </c>
      <c r="AP3796" s="14">
        <v>52400</v>
      </c>
    </row>
    <row r="3797" spans="1:45" x14ac:dyDescent="0.2">
      <c r="A3797" s="121">
        <f t="shared" si="487"/>
        <v>3236</v>
      </c>
      <c r="B3797" s="13">
        <v>3</v>
      </c>
      <c r="C3797" s="17" t="s">
        <v>52</v>
      </c>
      <c r="D3797" s="17">
        <v>33595</v>
      </c>
      <c r="E3797" s="17">
        <v>144</v>
      </c>
      <c r="F3797" s="17">
        <v>6729</v>
      </c>
      <c r="G3797" s="13">
        <v>1</v>
      </c>
      <c r="H3797" s="17">
        <v>1</v>
      </c>
      <c r="I3797" s="17">
        <v>1</v>
      </c>
      <c r="J3797" s="17">
        <v>40</v>
      </c>
      <c r="K3797" s="10">
        <v>540</v>
      </c>
      <c r="P3797" s="17">
        <v>1</v>
      </c>
      <c r="Q3797" s="19">
        <v>540</v>
      </c>
      <c r="R3797" s="14">
        <v>160</v>
      </c>
      <c r="S3797" s="19">
        <v>86400</v>
      </c>
      <c r="AJ3797" s="19">
        <v>0</v>
      </c>
      <c r="AK3797" s="23">
        <v>0</v>
      </c>
      <c r="AM3797" s="19">
        <v>0</v>
      </c>
      <c r="AN3797" s="19">
        <v>86400</v>
      </c>
      <c r="AP3797" s="14">
        <v>86400</v>
      </c>
    </row>
    <row r="3798" spans="1:45" x14ac:dyDescent="0.2">
      <c r="A3798" s="121">
        <f t="shared" si="487"/>
        <v>3237</v>
      </c>
      <c r="B3798" s="13">
        <v>4</v>
      </c>
      <c r="C3798" s="17" t="s">
        <v>52</v>
      </c>
      <c r="D3798" s="17">
        <v>30959</v>
      </c>
      <c r="E3798" s="17">
        <v>83</v>
      </c>
      <c r="F3798" s="17">
        <v>5911</v>
      </c>
      <c r="G3798" s="13">
        <v>2</v>
      </c>
      <c r="H3798" s="17">
        <v>3</v>
      </c>
      <c r="I3798" s="17">
        <v>3</v>
      </c>
      <c r="J3798" s="17">
        <v>47.07</v>
      </c>
      <c r="K3798" s="10">
        <v>1547.07</v>
      </c>
      <c r="P3798" s="17">
        <v>1</v>
      </c>
      <c r="Q3798" s="19">
        <v>1547.07</v>
      </c>
      <c r="R3798" s="14">
        <v>160</v>
      </c>
      <c r="S3798" s="19">
        <v>247531.19999999998</v>
      </c>
      <c r="AJ3798" s="19">
        <v>0</v>
      </c>
      <c r="AK3798" s="23">
        <v>0</v>
      </c>
      <c r="AM3798" s="19">
        <v>0</v>
      </c>
      <c r="AN3798" s="19">
        <v>247531.19999999998</v>
      </c>
      <c r="AP3798" s="14">
        <v>247531.19999999998</v>
      </c>
    </row>
    <row r="3799" spans="1:45" x14ac:dyDescent="0.2">
      <c r="A3799" s="121">
        <f t="shared" si="487"/>
        <v>3238</v>
      </c>
      <c r="B3799" s="13">
        <v>1</v>
      </c>
      <c r="C3799" s="17" t="s">
        <v>52</v>
      </c>
      <c r="D3799" s="17">
        <v>34412</v>
      </c>
      <c r="E3799" s="17">
        <v>13</v>
      </c>
      <c r="F3799" s="17">
        <v>6457</v>
      </c>
      <c r="G3799" s="13">
        <v>1</v>
      </c>
      <c r="H3799" s="17">
        <v>7</v>
      </c>
      <c r="I3799" s="17">
        <v>2</v>
      </c>
      <c r="J3799" s="17">
        <v>98</v>
      </c>
      <c r="K3799" s="10">
        <v>3098</v>
      </c>
      <c r="P3799" s="17">
        <v>1</v>
      </c>
      <c r="Q3799" s="19">
        <v>3098</v>
      </c>
      <c r="R3799" s="14">
        <v>160</v>
      </c>
      <c r="S3799" s="19">
        <v>495680</v>
      </c>
      <c r="AJ3799" s="19">
        <v>0</v>
      </c>
      <c r="AK3799" s="23">
        <v>0</v>
      </c>
      <c r="AM3799" s="19">
        <v>0</v>
      </c>
      <c r="AN3799" s="19">
        <v>495680</v>
      </c>
      <c r="AP3799" s="14">
        <v>495680</v>
      </c>
      <c r="AS3799" s="26">
        <v>80</v>
      </c>
    </row>
    <row r="3800" spans="1:45" x14ac:dyDescent="0.2">
      <c r="A3800" s="121">
        <f t="shared" si="487"/>
        <v>3239</v>
      </c>
      <c r="B3800" s="13">
        <v>2</v>
      </c>
      <c r="C3800" s="17" t="s">
        <v>69</v>
      </c>
      <c r="E3800" s="17">
        <v>168</v>
      </c>
      <c r="F3800" s="17">
        <v>1</v>
      </c>
      <c r="G3800" s="13">
        <v>1</v>
      </c>
      <c r="H3800" s="17">
        <v>26</v>
      </c>
      <c r="I3800" s="17">
        <v>2</v>
      </c>
      <c r="J3800" s="17">
        <v>9</v>
      </c>
      <c r="K3800" s="10">
        <v>10609</v>
      </c>
      <c r="P3800" s="17">
        <v>1</v>
      </c>
      <c r="Q3800" s="19">
        <v>10609</v>
      </c>
      <c r="R3800" s="14">
        <v>160</v>
      </c>
      <c r="S3800" s="19">
        <v>1697440</v>
      </c>
      <c r="AJ3800" s="19">
        <v>0</v>
      </c>
      <c r="AK3800" s="23">
        <v>0</v>
      </c>
      <c r="AM3800" s="19">
        <v>0</v>
      </c>
      <c r="AN3800" s="19">
        <v>1697440</v>
      </c>
      <c r="AP3800" s="14">
        <v>1697440</v>
      </c>
      <c r="AQ3800" s="12">
        <v>1E-4</v>
      </c>
    </row>
    <row r="3801" spans="1:45" x14ac:dyDescent="0.2">
      <c r="A3801" s="121">
        <f t="shared" si="487"/>
        <v>3240</v>
      </c>
      <c r="B3801" s="13">
        <v>1</v>
      </c>
      <c r="C3801" s="17" t="s">
        <v>52</v>
      </c>
      <c r="D3801" s="17">
        <v>1344</v>
      </c>
      <c r="E3801" s="17">
        <v>117</v>
      </c>
      <c r="F3801" s="17">
        <v>633</v>
      </c>
      <c r="G3801" s="13">
        <v>1</v>
      </c>
      <c r="H3801" s="17">
        <v>0</v>
      </c>
      <c r="I3801" s="17">
        <v>1</v>
      </c>
      <c r="J3801" s="17">
        <v>29</v>
      </c>
      <c r="K3801" s="10" t="s">
        <v>323</v>
      </c>
      <c r="P3801" s="17">
        <v>1</v>
      </c>
      <c r="Q3801" s="19">
        <v>129</v>
      </c>
      <c r="R3801" s="14">
        <v>1000</v>
      </c>
      <c r="S3801" s="19">
        <v>129000</v>
      </c>
      <c r="AJ3801" s="19">
        <v>0</v>
      </c>
      <c r="AK3801" s="23">
        <v>0</v>
      </c>
      <c r="AM3801" s="19">
        <v>0</v>
      </c>
      <c r="AN3801" s="19">
        <v>129000</v>
      </c>
      <c r="AP3801" s="14">
        <v>129000</v>
      </c>
      <c r="AS3801" s="26">
        <v>4</v>
      </c>
    </row>
    <row r="3802" spans="1:45" x14ac:dyDescent="0.2">
      <c r="A3802" s="121">
        <f t="shared" si="487"/>
        <v>3241</v>
      </c>
      <c r="B3802" s="13">
        <v>2</v>
      </c>
      <c r="C3802" s="17" t="s">
        <v>52</v>
      </c>
      <c r="D3802" s="17">
        <v>1345</v>
      </c>
      <c r="E3802" s="17">
        <v>116</v>
      </c>
      <c r="F3802" s="17">
        <v>634</v>
      </c>
      <c r="G3802" s="13">
        <v>1</v>
      </c>
      <c r="H3802" s="17">
        <v>0</v>
      </c>
      <c r="I3802" s="17">
        <v>1</v>
      </c>
      <c r="J3802" s="17">
        <v>17</v>
      </c>
      <c r="K3802" s="10" t="s">
        <v>324</v>
      </c>
      <c r="P3802" s="17">
        <v>1</v>
      </c>
      <c r="Q3802" s="19">
        <v>117</v>
      </c>
      <c r="R3802" s="14">
        <v>1450</v>
      </c>
      <c r="S3802" s="19">
        <v>169650</v>
      </c>
      <c r="AJ3802" s="19">
        <v>0</v>
      </c>
      <c r="AK3802" s="23">
        <v>0</v>
      </c>
      <c r="AM3802" s="19">
        <v>0</v>
      </c>
      <c r="AN3802" s="19">
        <v>169650</v>
      </c>
      <c r="AP3802" s="14">
        <v>169650</v>
      </c>
    </row>
    <row r="3803" spans="1:45" x14ac:dyDescent="0.2">
      <c r="A3803" s="121">
        <f t="shared" si="487"/>
        <v>3242</v>
      </c>
      <c r="B3803" s="13">
        <v>3</v>
      </c>
      <c r="C3803" s="17" t="s">
        <v>52</v>
      </c>
      <c r="D3803" s="17">
        <v>21271</v>
      </c>
      <c r="E3803" s="17">
        <v>181</v>
      </c>
      <c r="F3803" s="17">
        <v>4608</v>
      </c>
      <c r="G3803" s="13">
        <v>1</v>
      </c>
      <c r="H3803" s="17">
        <v>0</v>
      </c>
      <c r="I3803" s="17">
        <v>0</v>
      </c>
      <c r="J3803" s="17">
        <v>75</v>
      </c>
      <c r="N3803" s="18">
        <v>75</v>
      </c>
      <c r="P3803" s="17">
        <v>4</v>
      </c>
      <c r="Q3803" s="19">
        <v>75</v>
      </c>
      <c r="R3803" s="14">
        <v>2250</v>
      </c>
      <c r="S3803" s="19">
        <v>168750</v>
      </c>
      <c r="AJ3803" s="19">
        <v>0</v>
      </c>
      <c r="AK3803" s="23">
        <v>0</v>
      </c>
      <c r="AM3803" s="19">
        <v>0</v>
      </c>
      <c r="AN3803" s="19">
        <v>168750</v>
      </c>
      <c r="AP3803" s="14">
        <v>168750</v>
      </c>
      <c r="AQ3803" s="12">
        <v>3.0000000000000001E-3</v>
      </c>
    </row>
    <row r="3804" spans="1:45" x14ac:dyDescent="0.2">
      <c r="A3804" s="121">
        <f t="shared" si="487"/>
        <v>3243</v>
      </c>
      <c r="B3804" s="13">
        <v>1</v>
      </c>
      <c r="C3804" s="17" t="s">
        <v>52</v>
      </c>
      <c r="D3804" s="17">
        <v>34411</v>
      </c>
      <c r="E3804" s="17">
        <v>12</v>
      </c>
      <c r="F3804" s="17">
        <v>6456</v>
      </c>
      <c r="G3804" s="13">
        <v>1</v>
      </c>
      <c r="H3804" s="17">
        <v>15</v>
      </c>
      <c r="I3804" s="17">
        <v>3</v>
      </c>
      <c r="J3804" s="17">
        <v>38</v>
      </c>
      <c r="K3804" s="10">
        <v>6338</v>
      </c>
      <c r="P3804" s="17">
        <v>1</v>
      </c>
      <c r="Q3804" s="19">
        <v>6338</v>
      </c>
      <c r="R3804" s="14">
        <v>160</v>
      </c>
      <c r="S3804" s="19">
        <v>1014080</v>
      </c>
      <c r="AJ3804" s="19">
        <v>0</v>
      </c>
      <c r="AK3804" s="23">
        <v>0</v>
      </c>
      <c r="AM3804" s="19">
        <v>0</v>
      </c>
      <c r="AN3804" s="19">
        <v>1014080</v>
      </c>
      <c r="AP3804" s="14">
        <v>1014080</v>
      </c>
    </row>
    <row r="3805" spans="1:45" ht="63" x14ac:dyDescent="0.2">
      <c r="A3805" s="121">
        <f t="shared" si="487"/>
        <v>3244</v>
      </c>
      <c r="B3805" s="13">
        <v>1</v>
      </c>
      <c r="C3805" s="17" t="s">
        <v>52</v>
      </c>
      <c r="D3805" s="17">
        <v>1397</v>
      </c>
      <c r="E3805" s="17">
        <v>46</v>
      </c>
      <c r="F3805" s="17">
        <v>587</v>
      </c>
      <c r="G3805" s="13">
        <v>1</v>
      </c>
      <c r="H3805" s="17">
        <v>10</v>
      </c>
      <c r="I3805" s="17">
        <v>1</v>
      </c>
      <c r="J3805" s="17">
        <v>77</v>
      </c>
      <c r="K3805" s="10">
        <v>4019.5</v>
      </c>
      <c r="L3805" s="17">
        <v>84</v>
      </c>
      <c r="P3805" s="17">
        <v>5</v>
      </c>
      <c r="Q3805" s="19">
        <v>4177</v>
      </c>
      <c r="R3805" s="14">
        <v>200</v>
      </c>
      <c r="S3805" s="19">
        <v>835400</v>
      </c>
      <c r="T3805" s="17">
        <v>1</v>
      </c>
      <c r="U3805" s="17" t="s">
        <v>57</v>
      </c>
      <c r="V3805" s="17" t="s">
        <v>56</v>
      </c>
      <c r="W3805" s="4">
        <v>336</v>
      </c>
      <c r="Y3805" s="4">
        <v>336</v>
      </c>
      <c r="AB3805" s="17">
        <v>20</v>
      </c>
      <c r="AJ3805" s="19">
        <v>0</v>
      </c>
      <c r="AK3805" s="23">
        <v>20</v>
      </c>
      <c r="AM3805" s="19">
        <v>0</v>
      </c>
      <c r="AN3805" s="19">
        <v>835400</v>
      </c>
      <c r="AP3805" s="14">
        <v>835400</v>
      </c>
    </row>
    <row r="3806" spans="1:45" ht="63" x14ac:dyDescent="0.2">
      <c r="L3806" s="17">
        <v>31.5</v>
      </c>
      <c r="Q3806" s="19">
        <v>0</v>
      </c>
      <c r="R3806" s="14" t="e">
        <v>#N/A</v>
      </c>
      <c r="S3806" s="19" t="e">
        <v>#N/A</v>
      </c>
      <c r="T3806" s="17">
        <v>2</v>
      </c>
      <c r="U3806" s="17" t="s">
        <v>57</v>
      </c>
      <c r="V3806" s="17" t="s">
        <v>56</v>
      </c>
      <c r="W3806" s="4">
        <v>126</v>
      </c>
      <c r="Y3806" s="4">
        <v>126</v>
      </c>
      <c r="AB3806" s="17">
        <v>7</v>
      </c>
      <c r="AJ3806" s="19">
        <v>0</v>
      </c>
      <c r="AK3806" s="23">
        <v>7</v>
      </c>
      <c r="AM3806" s="19">
        <v>0</v>
      </c>
      <c r="AN3806" s="19" t="e">
        <v>#N/A</v>
      </c>
      <c r="AP3806" s="14" t="e">
        <v>#N/A</v>
      </c>
    </row>
    <row r="3807" spans="1:45" ht="63" x14ac:dyDescent="0.2">
      <c r="L3807" s="17">
        <v>42</v>
      </c>
      <c r="Q3807" s="19">
        <v>0</v>
      </c>
      <c r="R3807" s="14" t="e">
        <v>#N/A</v>
      </c>
      <c r="S3807" s="19" t="e">
        <v>#N/A</v>
      </c>
      <c r="T3807" s="17">
        <v>3</v>
      </c>
      <c r="U3807" s="17" t="s">
        <v>57</v>
      </c>
      <c r="V3807" s="17" t="s">
        <v>84</v>
      </c>
      <c r="W3807" s="4">
        <v>168</v>
      </c>
      <c r="Y3807" s="4">
        <v>168</v>
      </c>
      <c r="AB3807" s="17">
        <v>19</v>
      </c>
      <c r="AJ3807" s="19">
        <v>0</v>
      </c>
      <c r="AK3807" s="23">
        <v>19</v>
      </c>
      <c r="AM3807" s="19">
        <v>0</v>
      </c>
      <c r="AN3807" s="19" t="e">
        <v>#N/A</v>
      </c>
      <c r="AP3807" s="14" t="e">
        <v>#N/A</v>
      </c>
    </row>
    <row r="3808" spans="1:45" x14ac:dyDescent="0.2">
      <c r="A3808" s="2">
        <v>3245</v>
      </c>
      <c r="B3808" s="13">
        <v>2</v>
      </c>
      <c r="C3808" s="17" t="s">
        <v>52</v>
      </c>
      <c r="D3808" s="17">
        <v>29211</v>
      </c>
      <c r="E3808" s="17">
        <v>235</v>
      </c>
      <c r="F3808" s="17">
        <v>5406</v>
      </c>
      <c r="G3808" s="13">
        <v>1</v>
      </c>
      <c r="H3808" s="17">
        <v>0</v>
      </c>
      <c r="I3808" s="17">
        <v>0</v>
      </c>
      <c r="J3808" s="17">
        <v>79</v>
      </c>
      <c r="K3808" s="10" t="s">
        <v>325</v>
      </c>
      <c r="P3808" s="17">
        <v>1</v>
      </c>
      <c r="Q3808" s="19">
        <v>79</v>
      </c>
      <c r="R3808" s="14">
        <v>3000</v>
      </c>
      <c r="S3808" s="19">
        <v>237000</v>
      </c>
      <c r="AJ3808" s="19">
        <v>0</v>
      </c>
      <c r="AK3808" s="23">
        <v>0</v>
      </c>
      <c r="AM3808" s="19">
        <v>0</v>
      </c>
      <c r="AN3808" s="19">
        <v>237000</v>
      </c>
      <c r="AP3808" s="14">
        <v>237000</v>
      </c>
    </row>
    <row r="3809" spans="1:45" x14ac:dyDescent="0.2">
      <c r="A3809" s="2">
        <f>+A3808+1</f>
        <v>3246</v>
      </c>
      <c r="B3809" s="13">
        <v>3</v>
      </c>
      <c r="C3809" s="17" t="s">
        <v>65</v>
      </c>
      <c r="D3809" s="17">
        <v>250</v>
      </c>
      <c r="E3809" s="17">
        <v>77</v>
      </c>
      <c r="H3809" s="17">
        <v>19</v>
      </c>
      <c r="I3809" s="17">
        <v>0</v>
      </c>
      <c r="J3809" s="17">
        <v>43</v>
      </c>
      <c r="K3809" s="10">
        <v>7643</v>
      </c>
      <c r="P3809" s="17">
        <v>1</v>
      </c>
      <c r="Q3809" s="19">
        <v>7643</v>
      </c>
      <c r="R3809" s="14">
        <v>250</v>
      </c>
      <c r="S3809" s="19">
        <v>1910750</v>
      </c>
      <c r="AJ3809" s="19">
        <v>0</v>
      </c>
      <c r="AK3809" s="23">
        <v>0</v>
      </c>
      <c r="AM3809" s="19">
        <v>0</v>
      </c>
      <c r="AN3809" s="19">
        <v>1910750</v>
      </c>
      <c r="AP3809" s="14">
        <v>1910750</v>
      </c>
      <c r="AQ3809" s="12">
        <v>1E-4</v>
      </c>
    </row>
    <row r="3810" spans="1:45" x14ac:dyDescent="0.2">
      <c r="A3810" s="121">
        <f t="shared" ref="A3810:A3817" si="488">+A3809+1</f>
        <v>3247</v>
      </c>
      <c r="B3810" s="13">
        <v>4</v>
      </c>
      <c r="C3810" s="17" t="s">
        <v>69</v>
      </c>
      <c r="E3810" s="17">
        <v>153</v>
      </c>
      <c r="F3810" s="17">
        <v>10</v>
      </c>
      <c r="G3810" s="13">
        <v>1</v>
      </c>
      <c r="H3810" s="17">
        <v>3</v>
      </c>
      <c r="I3810" s="17">
        <v>0</v>
      </c>
      <c r="J3810" s="17">
        <v>55</v>
      </c>
      <c r="K3810" s="10">
        <v>1255</v>
      </c>
      <c r="P3810" s="17">
        <v>1</v>
      </c>
      <c r="Q3810" s="19">
        <v>1255</v>
      </c>
      <c r="R3810" s="14">
        <v>160</v>
      </c>
      <c r="S3810" s="19">
        <v>200800</v>
      </c>
      <c r="AJ3810" s="19">
        <v>0</v>
      </c>
      <c r="AK3810" s="23">
        <v>0</v>
      </c>
      <c r="AM3810" s="19">
        <v>0</v>
      </c>
      <c r="AN3810" s="19">
        <v>200800</v>
      </c>
      <c r="AP3810" s="14">
        <v>200800</v>
      </c>
      <c r="AQ3810" s="12">
        <v>1E-4</v>
      </c>
    </row>
    <row r="3811" spans="1:45" x14ac:dyDescent="0.2">
      <c r="A3811" s="121">
        <f t="shared" si="488"/>
        <v>3248</v>
      </c>
      <c r="B3811" s="13">
        <v>5</v>
      </c>
      <c r="C3811" s="17" t="s">
        <v>69</v>
      </c>
      <c r="E3811" s="17">
        <v>157</v>
      </c>
      <c r="F3811" s="17">
        <v>14</v>
      </c>
      <c r="G3811" s="13">
        <v>1</v>
      </c>
      <c r="H3811" s="17">
        <v>4</v>
      </c>
      <c r="I3811" s="17">
        <v>0</v>
      </c>
      <c r="J3811" s="17">
        <v>49</v>
      </c>
      <c r="K3811" s="10">
        <v>1649</v>
      </c>
      <c r="P3811" s="17">
        <v>1</v>
      </c>
      <c r="Q3811" s="19">
        <v>1649</v>
      </c>
      <c r="R3811" s="14">
        <v>200</v>
      </c>
      <c r="S3811" s="19">
        <v>329800</v>
      </c>
      <c r="AJ3811" s="19">
        <v>0</v>
      </c>
      <c r="AK3811" s="23">
        <v>0</v>
      </c>
      <c r="AM3811" s="19">
        <v>0</v>
      </c>
      <c r="AN3811" s="19">
        <v>329800</v>
      </c>
      <c r="AP3811" s="14">
        <v>329800</v>
      </c>
      <c r="AQ3811" s="12">
        <v>1E-4</v>
      </c>
    </row>
    <row r="3812" spans="1:45" x14ac:dyDescent="0.2">
      <c r="A3812" s="121">
        <f t="shared" si="488"/>
        <v>3249</v>
      </c>
      <c r="B3812" s="13">
        <v>6</v>
      </c>
      <c r="C3812" s="17" t="s">
        <v>69</v>
      </c>
      <c r="E3812" s="17">
        <v>157</v>
      </c>
      <c r="F3812" s="17">
        <v>15</v>
      </c>
      <c r="G3812" s="13">
        <v>1</v>
      </c>
      <c r="H3812" s="17">
        <v>3</v>
      </c>
      <c r="I3812" s="17">
        <v>0</v>
      </c>
      <c r="J3812" s="17">
        <v>80</v>
      </c>
      <c r="K3812" s="10">
        <v>1280</v>
      </c>
      <c r="P3812" s="17">
        <v>1</v>
      </c>
      <c r="Q3812" s="19">
        <v>1280</v>
      </c>
      <c r="R3812" s="14">
        <v>160</v>
      </c>
      <c r="S3812" s="19">
        <v>204800</v>
      </c>
      <c r="AJ3812" s="19">
        <v>0</v>
      </c>
      <c r="AK3812" s="23">
        <v>0</v>
      </c>
      <c r="AM3812" s="19">
        <v>0</v>
      </c>
      <c r="AN3812" s="19">
        <v>204800</v>
      </c>
      <c r="AP3812" s="14">
        <v>204800</v>
      </c>
      <c r="AQ3812" s="12">
        <v>1E-4</v>
      </c>
    </row>
    <row r="3813" spans="1:45" ht="63" x14ac:dyDescent="0.2">
      <c r="A3813" s="121">
        <f t="shared" si="488"/>
        <v>3250</v>
      </c>
      <c r="B3813" s="13">
        <v>1</v>
      </c>
      <c r="C3813" s="17" t="s">
        <v>52</v>
      </c>
      <c r="D3813" s="17">
        <v>37771</v>
      </c>
      <c r="E3813" s="17">
        <v>395</v>
      </c>
      <c r="F3813" s="17">
        <v>7654</v>
      </c>
      <c r="G3813" s="13">
        <v>1</v>
      </c>
      <c r="H3813" s="17">
        <v>0</v>
      </c>
      <c r="I3813" s="17">
        <v>2</v>
      </c>
      <c r="J3813" s="17">
        <v>34</v>
      </c>
      <c r="L3813" s="17">
        <v>234</v>
      </c>
      <c r="P3813" s="17">
        <v>2</v>
      </c>
      <c r="Q3813" s="19">
        <v>234</v>
      </c>
      <c r="R3813" s="14">
        <v>1500</v>
      </c>
      <c r="S3813" s="19">
        <v>351000</v>
      </c>
      <c r="T3813" s="17">
        <v>1</v>
      </c>
      <c r="U3813" s="17" t="s">
        <v>57</v>
      </c>
      <c r="V3813" s="17" t="s">
        <v>56</v>
      </c>
      <c r="W3813" s="4">
        <v>80</v>
      </c>
      <c r="Y3813" s="4">
        <v>80</v>
      </c>
      <c r="AB3813" s="17">
        <v>15</v>
      </c>
      <c r="AJ3813" s="19">
        <v>0</v>
      </c>
      <c r="AK3813" s="23">
        <v>15</v>
      </c>
      <c r="AM3813" s="19">
        <v>0</v>
      </c>
      <c r="AN3813" s="19">
        <v>351000</v>
      </c>
      <c r="AP3813" s="14">
        <v>351000</v>
      </c>
    </row>
    <row r="3814" spans="1:45" x14ac:dyDescent="0.2">
      <c r="A3814" s="121">
        <f t="shared" si="488"/>
        <v>3251</v>
      </c>
      <c r="B3814" s="13">
        <v>1</v>
      </c>
      <c r="C3814" s="17" t="s">
        <v>52</v>
      </c>
      <c r="D3814" s="17">
        <v>29216</v>
      </c>
      <c r="E3814" s="17">
        <v>240</v>
      </c>
      <c r="F3814" s="17">
        <v>5411</v>
      </c>
      <c r="G3814" s="13">
        <v>1</v>
      </c>
      <c r="H3814" s="17">
        <v>0</v>
      </c>
      <c r="I3814" s="17">
        <v>2</v>
      </c>
      <c r="J3814" s="17">
        <v>53</v>
      </c>
      <c r="K3814" s="10">
        <v>253</v>
      </c>
      <c r="P3814" s="17">
        <v>1</v>
      </c>
      <c r="Q3814" s="19">
        <v>253</v>
      </c>
      <c r="R3814" s="14">
        <v>1500</v>
      </c>
      <c r="S3814" s="19">
        <v>379500</v>
      </c>
      <c r="AJ3814" s="19">
        <v>0</v>
      </c>
      <c r="AK3814" s="23">
        <v>0</v>
      </c>
      <c r="AM3814" s="19">
        <v>0</v>
      </c>
      <c r="AN3814" s="19">
        <v>379500</v>
      </c>
      <c r="AP3814" s="14">
        <v>379500</v>
      </c>
    </row>
    <row r="3815" spans="1:45" x14ac:dyDescent="0.2">
      <c r="A3815" s="121">
        <f t="shared" si="488"/>
        <v>3252</v>
      </c>
      <c r="B3815" s="13">
        <v>2</v>
      </c>
      <c r="C3815" s="17" t="s">
        <v>52</v>
      </c>
      <c r="D3815" s="17">
        <v>29217</v>
      </c>
      <c r="E3815" s="17">
        <v>241</v>
      </c>
      <c r="F3815" s="17">
        <v>5412</v>
      </c>
      <c r="G3815" s="13">
        <v>1</v>
      </c>
      <c r="H3815" s="17">
        <v>0</v>
      </c>
      <c r="I3815" s="17">
        <v>2</v>
      </c>
      <c r="J3815" s="17">
        <v>43</v>
      </c>
      <c r="K3815" s="10">
        <v>243</v>
      </c>
      <c r="P3815" s="17">
        <v>1</v>
      </c>
      <c r="Q3815" s="19">
        <v>243</v>
      </c>
      <c r="R3815" s="14">
        <v>1500</v>
      </c>
      <c r="S3815" s="19">
        <v>364500</v>
      </c>
      <c r="AJ3815" s="19">
        <v>0</v>
      </c>
      <c r="AK3815" s="23">
        <v>0</v>
      </c>
      <c r="AM3815" s="19">
        <v>0</v>
      </c>
      <c r="AN3815" s="19">
        <v>364500</v>
      </c>
      <c r="AP3815" s="14">
        <v>364500</v>
      </c>
    </row>
    <row r="3816" spans="1:45" x14ac:dyDescent="0.2">
      <c r="A3816" s="121">
        <f t="shared" si="488"/>
        <v>3253</v>
      </c>
      <c r="B3816" s="13">
        <v>3</v>
      </c>
      <c r="C3816" s="17" t="s">
        <v>69</v>
      </c>
      <c r="E3816" s="17">
        <v>157</v>
      </c>
      <c r="F3816" s="17">
        <v>2</v>
      </c>
      <c r="G3816" s="13">
        <v>1</v>
      </c>
      <c r="H3816" s="17">
        <v>24</v>
      </c>
      <c r="I3816" s="17">
        <v>3</v>
      </c>
      <c r="J3816" s="17">
        <v>85</v>
      </c>
      <c r="K3816" s="10">
        <v>9985</v>
      </c>
      <c r="P3816" s="17">
        <v>1</v>
      </c>
      <c r="Q3816" s="19">
        <v>9985</v>
      </c>
      <c r="R3816" s="14">
        <v>200</v>
      </c>
      <c r="S3816" s="19">
        <v>1997000</v>
      </c>
      <c r="AJ3816" s="19">
        <v>0</v>
      </c>
      <c r="AK3816" s="23">
        <v>0</v>
      </c>
      <c r="AM3816" s="19">
        <v>0</v>
      </c>
      <c r="AN3816" s="19">
        <v>1997000</v>
      </c>
      <c r="AP3816" s="14">
        <v>1997000</v>
      </c>
      <c r="AQ3816" s="12">
        <v>1E-4</v>
      </c>
    </row>
    <row r="3817" spans="1:45" ht="63" x14ac:dyDescent="0.2">
      <c r="A3817" s="121">
        <f t="shared" si="488"/>
        <v>3254</v>
      </c>
      <c r="B3817" s="13">
        <v>1</v>
      </c>
      <c r="C3817" s="17" t="s">
        <v>52</v>
      </c>
      <c r="D3817" s="17">
        <v>29212</v>
      </c>
      <c r="E3817" s="17">
        <v>236</v>
      </c>
      <c r="F3817" s="17">
        <v>5407</v>
      </c>
      <c r="G3817" s="13">
        <v>1</v>
      </c>
      <c r="H3817" s="17">
        <v>1</v>
      </c>
      <c r="I3817" s="17">
        <v>0</v>
      </c>
      <c r="J3817" s="17">
        <v>6</v>
      </c>
      <c r="K3817" s="10">
        <v>311</v>
      </c>
      <c r="L3817" s="17">
        <v>65</v>
      </c>
      <c r="P3817" s="17">
        <v>5</v>
      </c>
      <c r="Q3817" s="19">
        <v>406</v>
      </c>
      <c r="R3817" s="14">
        <v>3000</v>
      </c>
      <c r="S3817" s="19">
        <v>1218000</v>
      </c>
      <c r="T3817" s="17">
        <v>1</v>
      </c>
      <c r="U3817" s="17" t="s">
        <v>57</v>
      </c>
      <c r="V3817" s="17" t="s">
        <v>56</v>
      </c>
      <c r="W3817" s="4">
        <v>260</v>
      </c>
      <c r="Y3817" s="4">
        <v>260</v>
      </c>
      <c r="AB3817" s="17">
        <v>26</v>
      </c>
      <c r="AJ3817" s="19">
        <v>0</v>
      </c>
      <c r="AK3817" s="23">
        <v>26</v>
      </c>
      <c r="AM3817" s="19">
        <v>0</v>
      </c>
      <c r="AN3817" s="19">
        <v>1218000</v>
      </c>
      <c r="AP3817" s="14">
        <v>1218000</v>
      </c>
    </row>
    <row r="3818" spans="1:45" ht="63" x14ac:dyDescent="0.2">
      <c r="L3818" s="17">
        <v>30</v>
      </c>
      <c r="Q3818" s="19">
        <v>0</v>
      </c>
      <c r="R3818" s="14" t="e">
        <v>#N/A</v>
      </c>
      <c r="S3818" s="19" t="e">
        <v>#N/A</v>
      </c>
      <c r="T3818" s="17">
        <v>2</v>
      </c>
      <c r="U3818" s="17" t="s">
        <v>57</v>
      </c>
      <c r="V3818" s="17" t="s">
        <v>56</v>
      </c>
      <c r="W3818" s="4">
        <v>120</v>
      </c>
      <c r="Y3818" s="4">
        <v>120</v>
      </c>
      <c r="AJ3818" s="19">
        <v>0</v>
      </c>
      <c r="AK3818" s="23">
        <v>0</v>
      </c>
      <c r="AM3818" s="19">
        <v>0</v>
      </c>
      <c r="AN3818" s="19" t="e">
        <v>#N/A</v>
      </c>
      <c r="AP3818" s="14" t="e">
        <v>#N/A</v>
      </c>
    </row>
    <row r="3819" spans="1:45" x14ac:dyDescent="0.2">
      <c r="A3819" s="2">
        <v>3255</v>
      </c>
      <c r="B3819" s="13">
        <v>2</v>
      </c>
      <c r="C3819" s="17" t="s">
        <v>52</v>
      </c>
      <c r="D3819" s="17">
        <v>29222</v>
      </c>
      <c r="E3819" s="17">
        <v>232</v>
      </c>
      <c r="F3819" s="17">
        <v>5417</v>
      </c>
      <c r="G3819" s="13">
        <v>1</v>
      </c>
      <c r="H3819" s="17">
        <v>5</v>
      </c>
      <c r="I3819" s="17">
        <v>1</v>
      </c>
      <c r="J3819" s="17">
        <v>77</v>
      </c>
      <c r="K3819" s="10">
        <v>2177</v>
      </c>
      <c r="P3819" s="17">
        <v>1</v>
      </c>
      <c r="Q3819" s="19">
        <v>2177</v>
      </c>
      <c r="R3819" s="14">
        <v>250</v>
      </c>
      <c r="S3819" s="19">
        <v>544250</v>
      </c>
      <c r="AJ3819" s="19">
        <v>0</v>
      </c>
      <c r="AK3819" s="23">
        <v>0</v>
      </c>
      <c r="AM3819" s="19">
        <v>0</v>
      </c>
      <c r="AN3819" s="19">
        <v>544250</v>
      </c>
      <c r="AP3819" s="14">
        <v>544250</v>
      </c>
    </row>
    <row r="3820" spans="1:45" x14ac:dyDescent="0.2">
      <c r="A3820" s="2">
        <f>+A3819+1</f>
        <v>3256</v>
      </c>
      <c r="B3820" s="13">
        <v>1</v>
      </c>
      <c r="C3820" s="17" t="s">
        <v>52</v>
      </c>
      <c r="D3820" s="17">
        <v>29210</v>
      </c>
      <c r="E3820" s="17">
        <v>234</v>
      </c>
      <c r="F3820" s="17">
        <v>5405</v>
      </c>
      <c r="G3820" s="13">
        <v>1</v>
      </c>
      <c r="H3820" s="17">
        <v>0</v>
      </c>
      <c r="I3820" s="17">
        <v>0</v>
      </c>
      <c r="J3820" s="17">
        <v>84</v>
      </c>
      <c r="K3820" s="10" t="s">
        <v>326</v>
      </c>
      <c r="P3820" s="17">
        <v>1</v>
      </c>
      <c r="Q3820" s="19">
        <v>84</v>
      </c>
      <c r="R3820" s="14">
        <v>3000</v>
      </c>
      <c r="S3820" s="19">
        <v>252000</v>
      </c>
      <c r="AJ3820" s="19">
        <v>0</v>
      </c>
      <c r="AK3820" s="23">
        <v>0</v>
      </c>
      <c r="AM3820" s="19">
        <v>0</v>
      </c>
      <c r="AN3820" s="19">
        <v>252000</v>
      </c>
      <c r="AP3820" s="14">
        <v>252000</v>
      </c>
    </row>
    <row r="3821" spans="1:45" x14ac:dyDescent="0.2">
      <c r="A3821" s="121">
        <f t="shared" ref="A3821:A3830" si="489">+A3820+1</f>
        <v>3257</v>
      </c>
      <c r="B3821" s="13">
        <v>1</v>
      </c>
      <c r="C3821" s="17" t="s">
        <v>52</v>
      </c>
      <c r="D3821" s="17">
        <v>4634</v>
      </c>
      <c r="E3821" s="17">
        <v>55</v>
      </c>
      <c r="F3821" s="17">
        <v>2455</v>
      </c>
      <c r="G3821" s="13">
        <v>1</v>
      </c>
      <c r="H3821" s="17">
        <v>1</v>
      </c>
      <c r="I3821" s="17">
        <v>1</v>
      </c>
      <c r="J3821" s="17">
        <v>12</v>
      </c>
      <c r="K3821" s="10">
        <v>512</v>
      </c>
      <c r="P3821" s="17">
        <v>1</v>
      </c>
      <c r="Q3821" s="19">
        <v>512</v>
      </c>
      <c r="R3821" s="14">
        <v>250</v>
      </c>
      <c r="S3821" s="19">
        <v>128000</v>
      </c>
      <c r="AJ3821" s="19">
        <v>0</v>
      </c>
      <c r="AK3821" s="23">
        <v>0</v>
      </c>
      <c r="AM3821" s="19">
        <v>0</v>
      </c>
      <c r="AN3821" s="19">
        <v>128000</v>
      </c>
      <c r="AP3821" s="14">
        <v>128000</v>
      </c>
    </row>
    <row r="3822" spans="1:45" ht="63" x14ac:dyDescent="0.2">
      <c r="A3822" s="121">
        <f t="shared" si="489"/>
        <v>3258</v>
      </c>
      <c r="B3822" s="13">
        <v>1</v>
      </c>
      <c r="C3822" s="17" t="s">
        <v>52</v>
      </c>
      <c r="D3822" s="17">
        <v>924</v>
      </c>
      <c r="E3822" s="17">
        <v>47</v>
      </c>
      <c r="F3822" s="17">
        <v>252</v>
      </c>
      <c r="G3822" s="13">
        <v>1</v>
      </c>
      <c r="H3822" s="17">
        <v>0</v>
      </c>
      <c r="I3822" s="17">
        <v>0</v>
      </c>
      <c r="J3822" s="17">
        <v>42</v>
      </c>
      <c r="L3822" s="17">
        <v>42</v>
      </c>
      <c r="P3822" s="17">
        <v>2</v>
      </c>
      <c r="Q3822" s="19">
        <v>42</v>
      </c>
      <c r="R3822" s="14">
        <v>3000</v>
      </c>
      <c r="S3822" s="19">
        <v>126000</v>
      </c>
      <c r="U3822" s="17" t="s">
        <v>63</v>
      </c>
      <c r="V3822" s="17" t="s">
        <v>56</v>
      </c>
      <c r="W3822" s="4">
        <v>300</v>
      </c>
      <c r="Y3822" s="4" t="s">
        <v>327</v>
      </c>
      <c r="AF3822" s="14">
        <v>2</v>
      </c>
      <c r="AG3822" s="54">
        <v>300</v>
      </c>
      <c r="AH3822" s="11">
        <v>1</v>
      </c>
      <c r="AI3822" s="14">
        <v>8100</v>
      </c>
      <c r="AJ3822" s="19">
        <v>2430000</v>
      </c>
      <c r="AK3822" s="23">
        <v>0</v>
      </c>
      <c r="AM3822" s="19">
        <v>2430000</v>
      </c>
      <c r="AN3822" s="19">
        <v>2556000</v>
      </c>
      <c r="AP3822" s="14">
        <v>2556000</v>
      </c>
      <c r="AS3822" s="26">
        <v>6000</v>
      </c>
    </row>
    <row r="3823" spans="1:45" ht="63" x14ac:dyDescent="0.2">
      <c r="A3823" s="121">
        <f t="shared" si="489"/>
        <v>3259</v>
      </c>
      <c r="B3823" s="13">
        <v>2</v>
      </c>
      <c r="C3823" s="17" t="s">
        <v>52</v>
      </c>
      <c r="D3823" s="17">
        <v>20366</v>
      </c>
      <c r="E3823" s="17">
        <v>73</v>
      </c>
      <c r="F3823" s="17">
        <v>4601</v>
      </c>
      <c r="G3823" s="13">
        <v>1</v>
      </c>
      <c r="H3823" s="17">
        <v>0</v>
      </c>
      <c r="I3823" s="17">
        <v>1</v>
      </c>
      <c r="J3823" s="17">
        <v>9</v>
      </c>
      <c r="N3823" s="18">
        <v>109</v>
      </c>
      <c r="P3823" s="17">
        <v>4</v>
      </c>
      <c r="Q3823" s="19">
        <v>109</v>
      </c>
      <c r="R3823" s="14">
        <v>3000</v>
      </c>
      <c r="S3823" s="19">
        <v>327000</v>
      </c>
      <c r="AJ3823" s="19">
        <v>0</v>
      </c>
      <c r="AK3823" s="23">
        <v>0</v>
      </c>
      <c r="AM3823" s="19">
        <v>0</v>
      </c>
      <c r="AN3823" s="19">
        <v>327000</v>
      </c>
      <c r="AP3823" s="14">
        <v>327000</v>
      </c>
      <c r="AQ3823" s="12">
        <v>3.0000000000000001E-3</v>
      </c>
      <c r="AR3823" s="19">
        <v>6000</v>
      </c>
    </row>
    <row r="3824" spans="1:45" x14ac:dyDescent="0.2">
      <c r="A3824" s="121">
        <f t="shared" si="489"/>
        <v>3260</v>
      </c>
      <c r="B3824" s="13">
        <v>1</v>
      </c>
      <c r="C3824" s="17" t="s">
        <v>69</v>
      </c>
      <c r="E3824" s="17">
        <v>153</v>
      </c>
      <c r="F3824" s="17">
        <v>11</v>
      </c>
      <c r="G3824" s="13">
        <v>1</v>
      </c>
      <c r="H3824" s="17">
        <v>2</v>
      </c>
      <c r="I3824" s="17">
        <v>1</v>
      </c>
      <c r="J3824" s="17">
        <v>10</v>
      </c>
      <c r="K3824" s="10">
        <v>910</v>
      </c>
      <c r="P3824" s="17">
        <v>1</v>
      </c>
      <c r="Q3824" s="19">
        <v>910</v>
      </c>
      <c r="R3824" s="14">
        <v>160</v>
      </c>
      <c r="S3824" s="19">
        <v>145600</v>
      </c>
      <c r="AJ3824" s="19">
        <v>0</v>
      </c>
      <c r="AK3824" s="23">
        <v>0</v>
      </c>
      <c r="AM3824" s="19">
        <v>0</v>
      </c>
      <c r="AN3824" s="19">
        <v>145600</v>
      </c>
      <c r="AP3824" s="14">
        <v>145600</v>
      </c>
      <c r="AQ3824" s="12">
        <v>1E-4</v>
      </c>
    </row>
    <row r="3825" spans="1:45" x14ac:dyDescent="0.2">
      <c r="A3825" s="121">
        <f t="shared" si="489"/>
        <v>3261</v>
      </c>
      <c r="B3825" s="13">
        <v>1</v>
      </c>
      <c r="C3825" s="17" t="s">
        <v>52</v>
      </c>
      <c r="D3825" s="17">
        <v>4177</v>
      </c>
      <c r="E3825" s="17">
        <v>44</v>
      </c>
      <c r="F3825" s="17">
        <v>2518</v>
      </c>
      <c r="G3825" s="13">
        <v>1</v>
      </c>
      <c r="H3825" s="17">
        <v>13</v>
      </c>
      <c r="I3825" s="17">
        <v>2</v>
      </c>
      <c r="J3825" s="17">
        <v>17</v>
      </c>
      <c r="K3825" s="10">
        <v>5417</v>
      </c>
      <c r="P3825" s="17">
        <v>1</v>
      </c>
      <c r="Q3825" s="19">
        <v>5417</v>
      </c>
      <c r="R3825" s="14">
        <v>200</v>
      </c>
      <c r="S3825" s="19">
        <v>1083400</v>
      </c>
      <c r="AJ3825" s="19">
        <v>0</v>
      </c>
      <c r="AK3825" s="23">
        <v>0</v>
      </c>
      <c r="AM3825" s="19">
        <v>0</v>
      </c>
      <c r="AN3825" s="19">
        <v>1083400</v>
      </c>
      <c r="AP3825" s="14">
        <v>1083400</v>
      </c>
    </row>
    <row r="3826" spans="1:45" x14ac:dyDescent="0.2">
      <c r="A3826" s="121">
        <f t="shared" si="489"/>
        <v>3262</v>
      </c>
      <c r="B3826" s="13">
        <v>2</v>
      </c>
      <c r="C3826" s="17" t="s">
        <v>52</v>
      </c>
      <c r="D3826" s="17">
        <v>5539</v>
      </c>
      <c r="E3826" s="17">
        <v>76</v>
      </c>
      <c r="F3826" s="17">
        <v>2905</v>
      </c>
      <c r="G3826" s="13">
        <v>1</v>
      </c>
      <c r="H3826" s="17">
        <v>0</v>
      </c>
      <c r="I3826" s="17">
        <v>1</v>
      </c>
      <c r="J3826" s="17">
        <v>66</v>
      </c>
      <c r="N3826" s="18">
        <v>166</v>
      </c>
      <c r="P3826" s="17">
        <v>2</v>
      </c>
      <c r="Q3826" s="19">
        <v>166</v>
      </c>
      <c r="R3826" s="14">
        <v>250</v>
      </c>
      <c r="S3826" s="19">
        <v>41500</v>
      </c>
      <c r="AJ3826" s="19">
        <v>0</v>
      </c>
      <c r="AK3826" s="23">
        <v>0</v>
      </c>
      <c r="AM3826" s="19">
        <v>0</v>
      </c>
      <c r="AN3826" s="19">
        <v>41500</v>
      </c>
      <c r="AP3826" s="14">
        <v>41500</v>
      </c>
    </row>
    <row r="3827" spans="1:45" x14ac:dyDescent="0.2">
      <c r="A3827" s="121">
        <f t="shared" si="489"/>
        <v>3263</v>
      </c>
      <c r="B3827" s="13">
        <v>3</v>
      </c>
      <c r="C3827" s="17" t="s">
        <v>69</v>
      </c>
      <c r="E3827" s="17">
        <v>153</v>
      </c>
      <c r="F3827" s="17">
        <v>12</v>
      </c>
      <c r="G3827" s="13">
        <v>1</v>
      </c>
      <c r="H3827" s="17">
        <v>0</v>
      </c>
      <c r="I3827" s="17">
        <v>3</v>
      </c>
      <c r="J3827" s="17">
        <v>79</v>
      </c>
      <c r="K3827" s="10">
        <v>379</v>
      </c>
      <c r="P3827" s="17">
        <v>1</v>
      </c>
      <c r="Q3827" s="19">
        <v>379</v>
      </c>
      <c r="R3827" s="14">
        <v>200</v>
      </c>
      <c r="S3827" s="19">
        <v>75800</v>
      </c>
      <c r="AJ3827" s="19">
        <v>0</v>
      </c>
      <c r="AK3827" s="23">
        <v>0</v>
      </c>
      <c r="AM3827" s="19">
        <v>0</v>
      </c>
      <c r="AN3827" s="19">
        <v>75800</v>
      </c>
      <c r="AP3827" s="14">
        <v>75800</v>
      </c>
      <c r="AQ3827" s="12">
        <v>1E-4</v>
      </c>
    </row>
    <row r="3828" spans="1:45" x14ac:dyDescent="0.2">
      <c r="A3828" s="121">
        <f t="shared" si="489"/>
        <v>3264</v>
      </c>
      <c r="B3828" s="13">
        <v>1</v>
      </c>
      <c r="C3828" s="17" t="s">
        <v>52</v>
      </c>
      <c r="D3828" s="17">
        <v>4631</v>
      </c>
      <c r="E3828" s="17">
        <v>46</v>
      </c>
      <c r="F3828" s="17">
        <v>2452</v>
      </c>
      <c r="G3828" s="13">
        <v>1</v>
      </c>
      <c r="H3828" s="17">
        <v>9</v>
      </c>
      <c r="I3828" s="17">
        <v>2</v>
      </c>
      <c r="J3828" s="17">
        <v>28</v>
      </c>
      <c r="K3828" s="10">
        <v>3828</v>
      </c>
      <c r="P3828" s="17">
        <v>1</v>
      </c>
      <c r="Q3828" s="19">
        <v>3828</v>
      </c>
      <c r="R3828" s="14">
        <v>160</v>
      </c>
      <c r="S3828" s="19">
        <v>612480</v>
      </c>
      <c r="AJ3828" s="19">
        <v>0</v>
      </c>
      <c r="AK3828" s="23">
        <v>0</v>
      </c>
      <c r="AM3828" s="19">
        <v>0</v>
      </c>
      <c r="AN3828" s="19">
        <v>612480</v>
      </c>
      <c r="AP3828" s="14">
        <v>612480</v>
      </c>
    </row>
    <row r="3829" spans="1:45" x14ac:dyDescent="0.2">
      <c r="A3829" s="121">
        <f t="shared" si="489"/>
        <v>3265</v>
      </c>
      <c r="B3829" s="13">
        <v>2</v>
      </c>
      <c r="C3829" s="17" t="s">
        <v>52</v>
      </c>
      <c r="D3829" s="17">
        <v>5543</v>
      </c>
      <c r="E3829" s="17">
        <v>80</v>
      </c>
      <c r="F3829" s="17">
        <v>2909</v>
      </c>
      <c r="G3829" s="13">
        <v>1</v>
      </c>
      <c r="H3829" s="17">
        <v>0</v>
      </c>
      <c r="I3829" s="17">
        <v>1</v>
      </c>
      <c r="J3829" s="17">
        <v>92.09</v>
      </c>
      <c r="N3829" s="18">
        <v>192.09</v>
      </c>
      <c r="P3829" s="17">
        <v>4</v>
      </c>
      <c r="Q3829" s="19">
        <v>192.09</v>
      </c>
      <c r="R3829" s="14">
        <v>250</v>
      </c>
      <c r="S3829" s="19">
        <v>48022.5</v>
      </c>
      <c r="AJ3829" s="19">
        <v>0</v>
      </c>
      <c r="AK3829" s="23">
        <v>0</v>
      </c>
      <c r="AM3829" s="19">
        <v>0</v>
      </c>
      <c r="AN3829" s="19">
        <v>48022.5</v>
      </c>
      <c r="AP3829" s="14">
        <v>48022.5</v>
      </c>
      <c r="AQ3829" s="12">
        <v>3.0000000000000001E-3</v>
      </c>
    </row>
    <row r="3830" spans="1:45" ht="63" x14ac:dyDescent="0.2">
      <c r="A3830" s="121">
        <f t="shared" si="489"/>
        <v>3266</v>
      </c>
      <c r="B3830" s="13">
        <v>1</v>
      </c>
      <c r="C3830" s="17" t="s">
        <v>52</v>
      </c>
      <c r="D3830" s="17">
        <v>2585</v>
      </c>
      <c r="E3830" s="17">
        <v>33</v>
      </c>
      <c r="F3830" s="17">
        <v>1841</v>
      </c>
      <c r="G3830" s="13">
        <v>1</v>
      </c>
      <c r="H3830" s="17">
        <v>1</v>
      </c>
      <c r="I3830" s="17">
        <v>2</v>
      </c>
      <c r="J3830" s="17">
        <v>5</v>
      </c>
      <c r="K3830" s="10">
        <v>501</v>
      </c>
      <c r="L3830" s="17">
        <v>45.5</v>
      </c>
      <c r="P3830" s="17">
        <v>5</v>
      </c>
      <c r="Q3830" s="19">
        <v>605</v>
      </c>
      <c r="R3830" s="14">
        <v>200</v>
      </c>
      <c r="S3830" s="19">
        <v>121000</v>
      </c>
      <c r="T3830" s="17">
        <v>1</v>
      </c>
      <c r="U3830" s="17" t="s">
        <v>63</v>
      </c>
      <c r="V3830" s="17" t="s">
        <v>56</v>
      </c>
      <c r="W3830" s="4">
        <v>182</v>
      </c>
      <c r="Y3830" s="4">
        <v>182</v>
      </c>
      <c r="AB3830" s="17">
        <v>33</v>
      </c>
      <c r="AJ3830" s="19">
        <v>0</v>
      </c>
      <c r="AK3830" s="23">
        <v>33</v>
      </c>
      <c r="AM3830" s="19">
        <v>0</v>
      </c>
      <c r="AN3830" s="19">
        <v>121000</v>
      </c>
      <c r="AP3830" s="14">
        <v>121000</v>
      </c>
      <c r="AS3830" s="26">
        <v>67</v>
      </c>
    </row>
    <row r="3831" spans="1:45" ht="63" x14ac:dyDescent="0.2">
      <c r="L3831" s="17">
        <v>58.5</v>
      </c>
      <c r="T3831" s="17">
        <v>2</v>
      </c>
      <c r="U3831" s="17" t="s">
        <v>63</v>
      </c>
      <c r="V3831" s="17" t="s">
        <v>56</v>
      </c>
      <c r="W3831" s="4">
        <v>234</v>
      </c>
      <c r="Y3831" s="4">
        <v>234</v>
      </c>
      <c r="AB3831" s="17">
        <v>21</v>
      </c>
      <c r="AJ3831" s="19">
        <v>0</v>
      </c>
      <c r="AK3831" s="23">
        <v>21</v>
      </c>
      <c r="AM3831" s="19">
        <v>0</v>
      </c>
      <c r="AN3831" s="19">
        <v>0</v>
      </c>
      <c r="AP3831" s="14">
        <v>0</v>
      </c>
    </row>
    <row r="3832" spans="1:45" x14ac:dyDescent="0.2">
      <c r="A3832" s="2">
        <v>3267</v>
      </c>
      <c r="B3832" s="13">
        <v>2</v>
      </c>
      <c r="C3832" s="17" t="s">
        <v>52</v>
      </c>
      <c r="D3832" s="17">
        <v>1589</v>
      </c>
      <c r="E3832" s="17">
        <v>27</v>
      </c>
      <c r="F3832" s="17">
        <v>526</v>
      </c>
      <c r="G3832" s="13">
        <v>2</v>
      </c>
      <c r="H3832" s="17">
        <v>1</v>
      </c>
      <c r="I3832" s="17">
        <v>3</v>
      </c>
      <c r="J3832" s="17">
        <v>24</v>
      </c>
      <c r="K3832" s="10">
        <v>724</v>
      </c>
      <c r="P3832" s="17">
        <v>1</v>
      </c>
      <c r="Q3832" s="19">
        <v>724</v>
      </c>
      <c r="R3832" s="14">
        <v>200</v>
      </c>
      <c r="S3832" s="19">
        <v>144800</v>
      </c>
      <c r="AJ3832" s="19">
        <v>0</v>
      </c>
      <c r="AK3832" s="23">
        <v>0</v>
      </c>
      <c r="AM3832" s="19">
        <v>0</v>
      </c>
      <c r="AN3832" s="19">
        <v>144800</v>
      </c>
      <c r="AP3832" s="14">
        <v>144800</v>
      </c>
    </row>
    <row r="3833" spans="1:45" x14ac:dyDescent="0.2">
      <c r="A3833" s="2">
        <f>+A3832+1</f>
        <v>3268</v>
      </c>
      <c r="B3833" s="13">
        <v>3</v>
      </c>
      <c r="C3833" s="17" t="s">
        <v>69</v>
      </c>
      <c r="E3833" s="17">
        <v>156</v>
      </c>
      <c r="F3833" s="17">
        <v>5</v>
      </c>
      <c r="G3833" s="13">
        <v>1</v>
      </c>
      <c r="H3833" s="17">
        <v>5</v>
      </c>
      <c r="I3833" s="17">
        <v>0</v>
      </c>
      <c r="J3833" s="17">
        <v>45</v>
      </c>
      <c r="K3833" s="10">
        <v>2045</v>
      </c>
      <c r="P3833" s="17">
        <v>1</v>
      </c>
      <c r="Q3833" s="19">
        <v>2045</v>
      </c>
      <c r="R3833" s="14">
        <v>160</v>
      </c>
      <c r="S3833" s="19">
        <v>327200</v>
      </c>
      <c r="AJ3833" s="19">
        <v>0</v>
      </c>
      <c r="AK3833" s="23">
        <v>0</v>
      </c>
      <c r="AM3833" s="19">
        <v>0</v>
      </c>
      <c r="AN3833" s="19">
        <v>327200</v>
      </c>
      <c r="AP3833" s="14">
        <v>327200</v>
      </c>
      <c r="AQ3833" s="12">
        <v>1E-4</v>
      </c>
    </row>
    <row r="3834" spans="1:45" x14ac:dyDescent="0.2">
      <c r="A3834" s="121">
        <f t="shared" ref="A3834:A3836" si="490">+A3833+1</f>
        <v>3269</v>
      </c>
      <c r="B3834" s="13">
        <v>4</v>
      </c>
      <c r="C3834" s="17" t="s">
        <v>69</v>
      </c>
      <c r="E3834" s="17">
        <v>2329</v>
      </c>
      <c r="F3834" s="17">
        <v>7</v>
      </c>
      <c r="G3834" s="13">
        <v>2</v>
      </c>
      <c r="H3834" s="17">
        <v>6</v>
      </c>
      <c r="I3834" s="17">
        <v>3</v>
      </c>
      <c r="J3834" s="17">
        <v>46</v>
      </c>
      <c r="K3834" s="10">
        <v>2746</v>
      </c>
      <c r="P3834" s="17">
        <v>1</v>
      </c>
      <c r="Q3834" s="19">
        <v>2746</v>
      </c>
      <c r="R3834" s="14">
        <v>160</v>
      </c>
      <c r="S3834" s="19">
        <v>439360</v>
      </c>
      <c r="AJ3834" s="19">
        <v>0</v>
      </c>
      <c r="AK3834" s="23">
        <v>0</v>
      </c>
      <c r="AM3834" s="19">
        <v>0</v>
      </c>
      <c r="AN3834" s="19">
        <v>439360</v>
      </c>
      <c r="AP3834" s="14">
        <v>439360</v>
      </c>
      <c r="AQ3834" s="12">
        <v>1E-4</v>
      </c>
    </row>
    <row r="3835" spans="1:45" ht="63" x14ac:dyDescent="0.2">
      <c r="A3835" s="121">
        <f t="shared" si="490"/>
        <v>3270</v>
      </c>
      <c r="B3835" s="13">
        <v>1</v>
      </c>
      <c r="C3835" s="17" t="s">
        <v>52</v>
      </c>
      <c r="D3835" s="17">
        <v>32586</v>
      </c>
      <c r="E3835" s="17">
        <v>294</v>
      </c>
      <c r="F3835" s="17">
        <v>6444</v>
      </c>
      <c r="G3835" s="13">
        <v>1</v>
      </c>
      <c r="H3835" s="17">
        <v>0</v>
      </c>
      <c r="I3835" s="17">
        <v>0</v>
      </c>
      <c r="J3835" s="17">
        <v>83</v>
      </c>
      <c r="L3835" s="17">
        <v>83</v>
      </c>
      <c r="P3835" s="17">
        <v>2</v>
      </c>
      <c r="Q3835" s="19">
        <v>83</v>
      </c>
      <c r="R3835" s="14">
        <v>250</v>
      </c>
      <c r="S3835" s="19">
        <v>20750</v>
      </c>
      <c r="T3835" s="17">
        <v>1</v>
      </c>
      <c r="U3835" s="17" t="s">
        <v>63</v>
      </c>
      <c r="V3835" s="17" t="s">
        <v>56</v>
      </c>
      <c r="W3835" s="4">
        <v>140</v>
      </c>
      <c r="Y3835" s="4">
        <v>140</v>
      </c>
      <c r="AB3835" s="17">
        <v>17</v>
      </c>
      <c r="AJ3835" s="19">
        <v>0</v>
      </c>
      <c r="AK3835" s="23">
        <v>17</v>
      </c>
      <c r="AM3835" s="19">
        <v>0</v>
      </c>
      <c r="AN3835" s="19">
        <v>20750</v>
      </c>
      <c r="AP3835" s="14">
        <v>20750</v>
      </c>
    </row>
    <row r="3836" spans="1:45" x14ac:dyDescent="0.2">
      <c r="A3836" s="121">
        <f t="shared" si="490"/>
        <v>3271</v>
      </c>
      <c r="B3836" s="13">
        <v>2</v>
      </c>
      <c r="C3836" s="17" t="s">
        <v>52</v>
      </c>
      <c r="D3836" s="17">
        <v>32813</v>
      </c>
      <c r="E3836" s="17">
        <v>290</v>
      </c>
      <c r="F3836" s="17">
        <v>6440</v>
      </c>
      <c r="G3836" s="13">
        <v>1</v>
      </c>
      <c r="H3836" s="17">
        <v>0</v>
      </c>
      <c r="I3836" s="17">
        <v>0</v>
      </c>
      <c r="J3836" s="17">
        <v>93</v>
      </c>
      <c r="L3836" s="17">
        <v>93</v>
      </c>
      <c r="P3836" s="17">
        <v>2</v>
      </c>
      <c r="Q3836" s="19">
        <v>93</v>
      </c>
      <c r="R3836" s="14">
        <v>160</v>
      </c>
      <c r="S3836" s="19">
        <v>14880</v>
      </c>
      <c r="AE3836" s="17" t="s">
        <v>255</v>
      </c>
      <c r="AJ3836" s="19">
        <v>0</v>
      </c>
      <c r="AK3836" s="23">
        <v>0</v>
      </c>
      <c r="AM3836" s="19">
        <v>0</v>
      </c>
      <c r="AN3836" s="19">
        <v>14880</v>
      </c>
      <c r="AP3836" s="14">
        <v>14880</v>
      </c>
      <c r="AQ3836" s="12">
        <v>3.0000000000000001E-3</v>
      </c>
    </row>
    <row r="3837" spans="1:45" x14ac:dyDescent="0.2">
      <c r="C3837" s="17" t="s">
        <v>52</v>
      </c>
      <c r="D3837" s="17">
        <v>38988</v>
      </c>
      <c r="E3837" s="17">
        <v>161</v>
      </c>
      <c r="F3837" s="17">
        <v>7777</v>
      </c>
      <c r="H3837" s="17">
        <v>2</v>
      </c>
      <c r="I3837" s="17">
        <v>3</v>
      </c>
      <c r="J3837" s="17">
        <v>14</v>
      </c>
      <c r="K3837" s="10" t="s">
        <v>328</v>
      </c>
      <c r="P3837" s="17">
        <v>1</v>
      </c>
      <c r="Q3837" s="19">
        <v>1114</v>
      </c>
      <c r="R3837" s="14" t="e">
        <v>#N/A</v>
      </c>
    </row>
    <row r="3838" spans="1:45" x14ac:dyDescent="0.2">
      <c r="A3838" s="2">
        <v>3272</v>
      </c>
      <c r="B3838" s="13">
        <v>3</v>
      </c>
      <c r="C3838" s="17" t="s">
        <v>69</v>
      </c>
      <c r="E3838" s="17">
        <v>2329</v>
      </c>
      <c r="F3838" s="17">
        <v>8</v>
      </c>
      <c r="G3838" s="13">
        <v>2</v>
      </c>
      <c r="H3838" s="17">
        <v>9</v>
      </c>
      <c r="I3838" s="17">
        <v>1</v>
      </c>
      <c r="J3838" s="17">
        <v>29</v>
      </c>
      <c r="K3838" s="10">
        <v>3729</v>
      </c>
      <c r="P3838" s="17">
        <v>1</v>
      </c>
      <c r="Q3838" s="19">
        <v>3729</v>
      </c>
      <c r="R3838" s="14">
        <v>160</v>
      </c>
      <c r="S3838" s="19">
        <v>596640</v>
      </c>
      <c r="AE3838" s="17" t="s">
        <v>329</v>
      </c>
      <c r="AJ3838" s="19">
        <v>0</v>
      </c>
      <c r="AK3838" s="23">
        <v>0</v>
      </c>
      <c r="AM3838" s="19">
        <v>0</v>
      </c>
      <c r="AN3838" s="19">
        <v>596640</v>
      </c>
      <c r="AP3838" s="14">
        <v>596640</v>
      </c>
      <c r="AQ3838" s="12">
        <v>1E-4</v>
      </c>
    </row>
    <row r="3839" spans="1:45" ht="63" x14ac:dyDescent="0.2">
      <c r="A3839" s="2">
        <v>3273</v>
      </c>
      <c r="B3839" s="13">
        <v>1</v>
      </c>
      <c r="C3839" s="17" t="s">
        <v>52</v>
      </c>
      <c r="D3839" s="17">
        <v>1409</v>
      </c>
      <c r="E3839" s="17">
        <v>20</v>
      </c>
      <c r="F3839" s="17">
        <v>604</v>
      </c>
      <c r="G3839" s="13">
        <v>1</v>
      </c>
      <c r="H3839" s="17">
        <v>0</v>
      </c>
      <c r="I3839" s="17">
        <v>0</v>
      </c>
      <c r="J3839" s="17">
        <v>58</v>
      </c>
      <c r="L3839" s="17">
        <v>58</v>
      </c>
      <c r="P3839" s="17">
        <v>2</v>
      </c>
      <c r="Q3839" s="19">
        <v>58</v>
      </c>
      <c r="R3839" s="14">
        <v>250</v>
      </c>
      <c r="S3839" s="19">
        <v>14500</v>
      </c>
      <c r="U3839" s="17" t="s">
        <v>57</v>
      </c>
      <c r="V3839" s="17" t="s">
        <v>56</v>
      </c>
      <c r="W3839" s="4">
        <v>154</v>
      </c>
      <c r="Y3839" s="4" t="s">
        <v>330</v>
      </c>
      <c r="AB3839" s="17">
        <v>10</v>
      </c>
      <c r="AJ3839" s="19">
        <v>0</v>
      </c>
      <c r="AK3839" s="23">
        <v>10</v>
      </c>
      <c r="AM3839" s="19">
        <v>0</v>
      </c>
      <c r="AN3839" s="19">
        <v>14500</v>
      </c>
      <c r="AP3839" s="14">
        <v>14500</v>
      </c>
      <c r="AQ3839" s="12">
        <v>3.0000000000000001E-3</v>
      </c>
      <c r="AS3839" s="26">
        <v>22</v>
      </c>
    </row>
    <row r="3840" spans="1:45" x14ac:dyDescent="0.2">
      <c r="A3840" s="2">
        <v>3274</v>
      </c>
      <c r="B3840" s="13">
        <v>2</v>
      </c>
      <c r="C3840" s="17" t="s">
        <v>52</v>
      </c>
      <c r="D3840" s="17">
        <v>2618</v>
      </c>
      <c r="E3840" s="17">
        <v>27</v>
      </c>
      <c r="F3840" s="17">
        <v>1877</v>
      </c>
      <c r="G3840" s="13">
        <v>1</v>
      </c>
      <c r="H3840" s="17">
        <v>2</v>
      </c>
      <c r="I3840" s="17">
        <v>3</v>
      </c>
      <c r="J3840" s="17">
        <v>13</v>
      </c>
      <c r="K3840" s="10">
        <v>1113</v>
      </c>
      <c r="P3840" s="17">
        <v>1</v>
      </c>
      <c r="Q3840" s="19">
        <v>1113</v>
      </c>
      <c r="R3840" s="14">
        <v>160</v>
      </c>
      <c r="S3840" s="19">
        <v>178080</v>
      </c>
      <c r="AJ3840" s="19">
        <v>0</v>
      </c>
      <c r="AK3840" s="23">
        <v>0</v>
      </c>
      <c r="AM3840" s="19">
        <v>0</v>
      </c>
      <c r="AN3840" s="19">
        <v>178080</v>
      </c>
      <c r="AP3840" s="14">
        <v>178080</v>
      </c>
    </row>
    <row r="3841" spans="1:45" s="19" customFormat="1" x14ac:dyDescent="0.2">
      <c r="A3841" s="2">
        <v>3275</v>
      </c>
      <c r="B3841" s="13">
        <v>3</v>
      </c>
      <c r="C3841" s="17" t="s">
        <v>52</v>
      </c>
      <c r="D3841" s="17">
        <v>32422</v>
      </c>
      <c r="E3841" s="17">
        <v>209</v>
      </c>
      <c r="F3841" s="17">
        <v>6402</v>
      </c>
      <c r="G3841" s="13">
        <v>1</v>
      </c>
      <c r="H3841" s="17">
        <v>0</v>
      </c>
      <c r="I3841" s="17">
        <v>1</v>
      </c>
      <c r="J3841" s="17">
        <v>36</v>
      </c>
      <c r="K3841" s="10" t="s">
        <v>289</v>
      </c>
      <c r="L3841" s="17"/>
      <c r="M3841" s="15"/>
      <c r="N3841" s="18"/>
      <c r="O3841" s="14"/>
      <c r="P3841" s="17">
        <v>1</v>
      </c>
      <c r="Q3841" s="19">
        <v>136</v>
      </c>
      <c r="R3841" s="14">
        <v>200</v>
      </c>
      <c r="S3841" s="19">
        <v>27200</v>
      </c>
      <c r="T3841" s="17"/>
      <c r="U3841" s="17"/>
      <c r="V3841" s="17"/>
      <c r="W3841" s="4"/>
      <c r="X3841" s="17"/>
      <c r="Y3841" s="4"/>
      <c r="Z3841" s="17"/>
      <c r="AA3841" s="17"/>
      <c r="AB3841" s="17"/>
      <c r="AC3841" s="14"/>
      <c r="AD3841" s="14"/>
      <c r="AE3841" s="17" t="s">
        <v>331</v>
      </c>
      <c r="AF3841" s="14"/>
      <c r="AG3841" s="54"/>
      <c r="AH3841" s="11"/>
      <c r="AI3841" s="14"/>
      <c r="AJ3841" s="19">
        <v>0</v>
      </c>
      <c r="AK3841" s="23">
        <v>0</v>
      </c>
      <c r="AL3841" s="11"/>
      <c r="AM3841" s="19">
        <v>0</v>
      </c>
      <c r="AN3841" s="19">
        <v>27200</v>
      </c>
      <c r="AO3841" s="14"/>
      <c r="AP3841" s="14">
        <v>27200</v>
      </c>
      <c r="AQ3841" s="12"/>
      <c r="AS3841" s="26"/>
    </row>
    <row r="3842" spans="1:45" s="19" customFormat="1" x14ac:dyDescent="0.2">
      <c r="A3842" s="2">
        <v>3276</v>
      </c>
      <c r="B3842" s="13">
        <v>4</v>
      </c>
      <c r="C3842" s="17" t="s">
        <v>52</v>
      </c>
      <c r="D3842" s="17">
        <v>32814</v>
      </c>
      <c r="E3842" s="17">
        <v>291</v>
      </c>
      <c r="F3842" s="17">
        <v>6441</v>
      </c>
      <c r="G3842" s="13">
        <v>1</v>
      </c>
      <c r="H3842" s="17">
        <v>0</v>
      </c>
      <c r="I3842" s="17">
        <v>2</v>
      </c>
      <c r="J3842" s="17">
        <v>58</v>
      </c>
      <c r="K3842" s="10">
        <v>258</v>
      </c>
      <c r="L3842" s="17"/>
      <c r="M3842" s="15"/>
      <c r="N3842" s="18"/>
      <c r="O3842" s="14"/>
      <c r="P3842" s="17">
        <v>1</v>
      </c>
      <c r="Q3842" s="19">
        <v>258</v>
      </c>
      <c r="R3842" s="14">
        <v>160</v>
      </c>
      <c r="S3842" s="19">
        <v>41280</v>
      </c>
      <c r="T3842" s="17"/>
      <c r="U3842" s="17"/>
      <c r="V3842" s="17"/>
      <c r="W3842" s="4"/>
      <c r="X3842" s="17"/>
      <c r="Y3842" s="4"/>
      <c r="Z3842" s="17"/>
      <c r="AA3842" s="17"/>
      <c r="AB3842" s="17"/>
      <c r="AC3842" s="14"/>
      <c r="AD3842" s="14"/>
      <c r="AE3842" s="17"/>
      <c r="AF3842" s="14"/>
      <c r="AG3842" s="54"/>
      <c r="AH3842" s="11"/>
      <c r="AI3842" s="14"/>
      <c r="AJ3842" s="19">
        <v>0</v>
      </c>
      <c r="AK3842" s="23">
        <v>0</v>
      </c>
      <c r="AL3842" s="11"/>
      <c r="AM3842" s="19">
        <v>0</v>
      </c>
      <c r="AN3842" s="19">
        <v>41280</v>
      </c>
      <c r="AO3842" s="14"/>
      <c r="AP3842" s="14">
        <v>41280</v>
      </c>
      <c r="AQ3842" s="12"/>
      <c r="AS3842" s="26"/>
    </row>
    <row r="3843" spans="1:45" s="19" customFormat="1" x14ac:dyDescent="0.2">
      <c r="A3843" s="2"/>
      <c r="B3843" s="13"/>
      <c r="C3843" s="17" t="s">
        <v>52</v>
      </c>
      <c r="D3843" s="17">
        <v>28991</v>
      </c>
      <c r="E3843" s="17">
        <v>259</v>
      </c>
      <c r="F3843" s="17">
        <v>7775</v>
      </c>
      <c r="G3843" s="13">
        <v>1</v>
      </c>
      <c r="H3843" s="17">
        <v>0</v>
      </c>
      <c r="I3843" s="17">
        <v>1</v>
      </c>
      <c r="J3843" s="17">
        <v>7</v>
      </c>
      <c r="K3843" s="10" t="s">
        <v>332</v>
      </c>
      <c r="L3843" s="17"/>
      <c r="M3843" s="15"/>
      <c r="N3843" s="18"/>
      <c r="O3843" s="14"/>
      <c r="P3843" s="17">
        <v>1</v>
      </c>
      <c r="Q3843" s="19">
        <v>107</v>
      </c>
      <c r="R3843" s="14" t="e">
        <v>#N/A</v>
      </c>
      <c r="T3843" s="17"/>
      <c r="U3843" s="17"/>
      <c r="V3843" s="17"/>
      <c r="W3843" s="4"/>
      <c r="X3843" s="17"/>
      <c r="Y3843" s="4"/>
      <c r="Z3843" s="17"/>
      <c r="AA3843" s="17"/>
      <c r="AB3843" s="17"/>
      <c r="AC3843" s="14"/>
      <c r="AD3843" s="14"/>
      <c r="AE3843" s="17"/>
      <c r="AF3843" s="14"/>
      <c r="AG3843" s="54"/>
      <c r="AH3843" s="11"/>
      <c r="AI3843" s="14"/>
      <c r="AK3843" s="23"/>
      <c r="AL3843" s="11"/>
      <c r="AO3843" s="14"/>
      <c r="AP3843" s="14"/>
      <c r="AQ3843" s="12"/>
      <c r="AS3843" s="26"/>
    </row>
    <row r="3844" spans="1:45" s="19" customFormat="1" ht="63" x14ac:dyDescent="0.2">
      <c r="A3844" s="2">
        <v>3277</v>
      </c>
      <c r="B3844" s="13">
        <v>1</v>
      </c>
      <c r="C3844" s="17" t="s">
        <v>52</v>
      </c>
      <c r="D3844" s="17">
        <v>2623</v>
      </c>
      <c r="E3844" s="17">
        <v>23</v>
      </c>
      <c r="F3844" s="17">
        <v>1879</v>
      </c>
      <c r="G3844" s="13">
        <v>1</v>
      </c>
      <c r="H3844" s="17">
        <v>0</v>
      </c>
      <c r="I3844" s="17">
        <v>2</v>
      </c>
      <c r="J3844" s="17">
        <v>99</v>
      </c>
      <c r="K3844" s="10"/>
      <c r="L3844" s="17">
        <v>299</v>
      </c>
      <c r="M3844" s="15"/>
      <c r="N3844" s="18"/>
      <c r="O3844" s="14"/>
      <c r="P3844" s="17">
        <v>2</v>
      </c>
      <c r="Q3844" s="19">
        <v>299</v>
      </c>
      <c r="R3844" s="14">
        <v>160</v>
      </c>
      <c r="S3844" s="19">
        <v>47840</v>
      </c>
      <c r="T3844" s="17">
        <v>1</v>
      </c>
      <c r="U3844" s="17" t="s">
        <v>57</v>
      </c>
      <c r="V3844" s="17" t="s">
        <v>56</v>
      </c>
      <c r="W3844" s="4">
        <v>136.5</v>
      </c>
      <c r="X3844" s="17"/>
      <c r="Y3844" s="4">
        <v>136.5</v>
      </c>
      <c r="Z3844" s="17"/>
      <c r="AA3844" s="17"/>
      <c r="AB3844" s="17">
        <v>8</v>
      </c>
      <c r="AC3844" s="14"/>
      <c r="AD3844" s="14"/>
      <c r="AE3844" s="17"/>
      <c r="AF3844" s="14"/>
      <c r="AG3844" s="54"/>
      <c r="AH3844" s="11"/>
      <c r="AI3844" s="14"/>
      <c r="AJ3844" s="19">
        <v>0</v>
      </c>
      <c r="AK3844" s="23">
        <v>8</v>
      </c>
      <c r="AL3844" s="11"/>
      <c r="AM3844" s="19">
        <v>0</v>
      </c>
      <c r="AN3844" s="19">
        <v>47840</v>
      </c>
      <c r="AO3844" s="14"/>
      <c r="AP3844" s="14">
        <v>47840</v>
      </c>
      <c r="AQ3844" s="12"/>
      <c r="AS3844" s="26"/>
    </row>
    <row r="3845" spans="1:45" s="19" customFormat="1" x14ac:dyDescent="0.2">
      <c r="A3845" s="2">
        <f>+A3844+1</f>
        <v>3278</v>
      </c>
      <c r="B3845" s="13">
        <v>2</v>
      </c>
      <c r="C3845" s="17" t="s">
        <v>69</v>
      </c>
      <c r="D3845" s="17"/>
      <c r="E3845" s="17">
        <v>2329</v>
      </c>
      <c r="F3845" s="17">
        <v>9</v>
      </c>
      <c r="G3845" s="13">
        <v>2</v>
      </c>
      <c r="H3845" s="17">
        <v>6</v>
      </c>
      <c r="I3845" s="17">
        <v>0</v>
      </c>
      <c r="J3845" s="17">
        <v>75</v>
      </c>
      <c r="K3845" s="10">
        <v>2475</v>
      </c>
      <c r="L3845" s="17"/>
      <c r="M3845" s="15"/>
      <c r="N3845" s="18"/>
      <c r="O3845" s="14"/>
      <c r="P3845" s="17">
        <v>1</v>
      </c>
      <c r="Q3845" s="19">
        <v>2475</v>
      </c>
      <c r="R3845" s="14">
        <v>160</v>
      </c>
      <c r="S3845" s="19">
        <v>396000</v>
      </c>
      <c r="T3845" s="17"/>
      <c r="U3845" s="17"/>
      <c r="V3845" s="17"/>
      <c r="W3845" s="4"/>
      <c r="X3845" s="17"/>
      <c r="Y3845" s="4"/>
      <c r="Z3845" s="17"/>
      <c r="AA3845" s="17"/>
      <c r="AB3845" s="17"/>
      <c r="AC3845" s="14"/>
      <c r="AD3845" s="14"/>
      <c r="AE3845" s="17"/>
      <c r="AF3845" s="14"/>
      <c r="AG3845" s="54"/>
      <c r="AH3845" s="11"/>
      <c r="AI3845" s="14"/>
      <c r="AJ3845" s="19">
        <v>0</v>
      </c>
      <c r="AK3845" s="23">
        <v>0</v>
      </c>
      <c r="AL3845" s="11"/>
      <c r="AM3845" s="19">
        <v>0</v>
      </c>
      <c r="AN3845" s="19">
        <v>396000</v>
      </c>
      <c r="AO3845" s="14"/>
      <c r="AP3845" s="14">
        <v>396000</v>
      </c>
      <c r="AQ3845" s="12">
        <v>1E-4</v>
      </c>
      <c r="AS3845" s="26"/>
    </row>
    <row r="3846" spans="1:45" s="19" customFormat="1" x14ac:dyDescent="0.2">
      <c r="A3846" s="121">
        <f t="shared" ref="A3846:A3862" si="491">+A3845+1</f>
        <v>3279</v>
      </c>
      <c r="B3846" s="13">
        <v>1</v>
      </c>
      <c r="C3846" s="17" t="s">
        <v>52</v>
      </c>
      <c r="D3846" s="17">
        <v>1050</v>
      </c>
      <c r="E3846" s="17">
        <v>27</v>
      </c>
      <c r="F3846" s="17">
        <v>408</v>
      </c>
      <c r="G3846" s="13">
        <v>1</v>
      </c>
      <c r="H3846" s="17">
        <v>6</v>
      </c>
      <c r="I3846" s="17">
        <v>2</v>
      </c>
      <c r="J3846" s="17">
        <v>24</v>
      </c>
      <c r="K3846" s="10">
        <v>2624</v>
      </c>
      <c r="L3846" s="17"/>
      <c r="M3846" s="15"/>
      <c r="N3846" s="18"/>
      <c r="O3846" s="14"/>
      <c r="P3846" s="17">
        <v>1</v>
      </c>
      <c r="Q3846" s="19">
        <v>2624</v>
      </c>
      <c r="R3846" s="14">
        <v>200</v>
      </c>
      <c r="S3846" s="19">
        <v>524800</v>
      </c>
      <c r="T3846" s="17"/>
      <c r="U3846" s="17"/>
      <c r="V3846" s="17"/>
      <c r="W3846" s="4"/>
      <c r="X3846" s="17"/>
      <c r="Y3846" s="4"/>
      <c r="Z3846" s="17"/>
      <c r="AA3846" s="17"/>
      <c r="AB3846" s="17"/>
      <c r="AC3846" s="14"/>
      <c r="AD3846" s="14"/>
      <c r="AE3846" s="17"/>
      <c r="AF3846" s="14"/>
      <c r="AG3846" s="54"/>
      <c r="AH3846" s="11"/>
      <c r="AI3846" s="14"/>
      <c r="AJ3846" s="19">
        <v>0</v>
      </c>
      <c r="AK3846" s="23">
        <v>0</v>
      </c>
      <c r="AL3846" s="11"/>
      <c r="AM3846" s="19">
        <v>0</v>
      </c>
      <c r="AN3846" s="19">
        <v>524800</v>
      </c>
      <c r="AO3846" s="14"/>
      <c r="AP3846" s="14">
        <v>524800</v>
      </c>
      <c r="AQ3846" s="12"/>
      <c r="AS3846" s="26"/>
    </row>
    <row r="3847" spans="1:45" s="19" customFormat="1" ht="63" x14ac:dyDescent="0.2">
      <c r="A3847" s="121">
        <f t="shared" si="491"/>
        <v>3280</v>
      </c>
      <c r="B3847" s="13">
        <v>2</v>
      </c>
      <c r="C3847" s="17" t="s">
        <v>52</v>
      </c>
      <c r="D3847" s="17">
        <v>5540</v>
      </c>
      <c r="E3847" s="17">
        <v>77</v>
      </c>
      <c r="F3847" s="17">
        <v>2906</v>
      </c>
      <c r="G3847" s="13">
        <v>1</v>
      </c>
      <c r="H3847" s="17">
        <v>6</v>
      </c>
      <c r="I3847" s="17">
        <v>1</v>
      </c>
      <c r="J3847" s="17">
        <v>27.09</v>
      </c>
      <c r="K3847" s="10">
        <v>2485.09</v>
      </c>
      <c r="L3847" s="17">
        <v>42</v>
      </c>
      <c r="M3847" s="15"/>
      <c r="N3847" s="18"/>
      <c r="O3847" s="14"/>
      <c r="P3847" s="17">
        <v>5</v>
      </c>
      <c r="Q3847" s="19">
        <v>2527.09</v>
      </c>
      <c r="R3847" s="14">
        <v>200</v>
      </c>
      <c r="S3847" s="19">
        <v>505418</v>
      </c>
      <c r="T3847" s="17">
        <v>1</v>
      </c>
      <c r="U3847" s="17" t="s">
        <v>57</v>
      </c>
      <c r="V3847" s="17" t="s">
        <v>56</v>
      </c>
      <c r="W3847" s="4">
        <v>168</v>
      </c>
      <c r="X3847" s="17"/>
      <c r="Y3847" s="4">
        <v>168</v>
      </c>
      <c r="Z3847" s="17"/>
      <c r="AA3847" s="17"/>
      <c r="AB3847" s="17">
        <v>17</v>
      </c>
      <c r="AC3847" s="14"/>
      <c r="AD3847" s="14"/>
      <c r="AE3847" s="17"/>
      <c r="AF3847" s="14"/>
      <c r="AG3847" s="54"/>
      <c r="AH3847" s="11"/>
      <c r="AI3847" s="14"/>
      <c r="AJ3847" s="19">
        <v>0</v>
      </c>
      <c r="AK3847" s="23">
        <v>17</v>
      </c>
      <c r="AL3847" s="11"/>
      <c r="AM3847" s="19">
        <v>0</v>
      </c>
      <c r="AN3847" s="19">
        <v>505418</v>
      </c>
      <c r="AO3847" s="14"/>
      <c r="AP3847" s="14">
        <v>505418</v>
      </c>
      <c r="AQ3847" s="12"/>
      <c r="AS3847" s="26"/>
    </row>
    <row r="3848" spans="1:45" s="19" customFormat="1" x14ac:dyDescent="0.2">
      <c r="A3848" s="121">
        <f t="shared" si="491"/>
        <v>3281</v>
      </c>
      <c r="B3848" s="13">
        <v>3</v>
      </c>
      <c r="C3848" s="17" t="s">
        <v>52</v>
      </c>
      <c r="D3848" s="17">
        <v>5544</v>
      </c>
      <c r="E3848" s="17">
        <v>81</v>
      </c>
      <c r="F3848" s="17">
        <v>2910</v>
      </c>
      <c r="G3848" s="13">
        <v>1</v>
      </c>
      <c r="H3848" s="17">
        <v>0</v>
      </c>
      <c r="I3848" s="17">
        <v>0</v>
      </c>
      <c r="J3848" s="17">
        <v>95.07</v>
      </c>
      <c r="K3848" s="10"/>
      <c r="L3848" s="17"/>
      <c r="M3848" s="15"/>
      <c r="N3848" s="18">
        <v>95.07</v>
      </c>
      <c r="O3848" s="14"/>
      <c r="P3848" s="17">
        <v>4</v>
      </c>
      <c r="Q3848" s="19">
        <v>95.07</v>
      </c>
      <c r="R3848" s="14">
        <v>250</v>
      </c>
      <c r="S3848" s="19">
        <v>23767.5</v>
      </c>
      <c r="T3848" s="17"/>
      <c r="U3848" s="17"/>
      <c r="V3848" s="17"/>
      <c r="W3848" s="4"/>
      <c r="X3848" s="17"/>
      <c r="Y3848" s="4"/>
      <c r="Z3848" s="17"/>
      <c r="AA3848" s="17"/>
      <c r="AB3848" s="17"/>
      <c r="AC3848" s="14"/>
      <c r="AD3848" s="14"/>
      <c r="AE3848" s="17"/>
      <c r="AF3848" s="14"/>
      <c r="AG3848" s="54"/>
      <c r="AH3848" s="11"/>
      <c r="AI3848" s="14"/>
      <c r="AJ3848" s="19">
        <v>0</v>
      </c>
      <c r="AK3848" s="23">
        <v>0</v>
      </c>
      <c r="AL3848" s="11"/>
      <c r="AM3848" s="19">
        <v>0</v>
      </c>
      <c r="AN3848" s="19">
        <v>23767.5</v>
      </c>
      <c r="AO3848" s="14"/>
      <c r="AP3848" s="14">
        <v>23767.5</v>
      </c>
      <c r="AQ3848" s="12">
        <v>3.0000000000000001E-3</v>
      </c>
      <c r="AS3848" s="26"/>
    </row>
    <row r="3849" spans="1:45" s="19" customFormat="1" x14ac:dyDescent="0.2">
      <c r="A3849" s="121">
        <f t="shared" si="491"/>
        <v>3282</v>
      </c>
      <c r="B3849" s="13">
        <v>4</v>
      </c>
      <c r="C3849" s="17" t="s">
        <v>69</v>
      </c>
      <c r="D3849" s="17"/>
      <c r="E3849" s="17">
        <v>157</v>
      </c>
      <c r="F3849" s="17">
        <v>5</v>
      </c>
      <c r="G3849" s="13">
        <v>1</v>
      </c>
      <c r="H3849" s="17">
        <v>11</v>
      </c>
      <c r="I3849" s="17">
        <v>2</v>
      </c>
      <c r="J3849" s="17">
        <v>29</v>
      </c>
      <c r="K3849" s="10">
        <v>4629</v>
      </c>
      <c r="L3849" s="17"/>
      <c r="M3849" s="15"/>
      <c r="N3849" s="18"/>
      <c r="O3849" s="14"/>
      <c r="P3849" s="17">
        <v>1</v>
      </c>
      <c r="Q3849" s="19">
        <v>4629</v>
      </c>
      <c r="R3849" s="14">
        <v>160</v>
      </c>
      <c r="S3849" s="19">
        <v>740640</v>
      </c>
      <c r="T3849" s="17"/>
      <c r="U3849" s="17"/>
      <c r="V3849" s="17"/>
      <c r="W3849" s="4"/>
      <c r="X3849" s="17"/>
      <c r="Y3849" s="4"/>
      <c r="Z3849" s="17"/>
      <c r="AA3849" s="17"/>
      <c r="AB3849" s="17"/>
      <c r="AC3849" s="14"/>
      <c r="AD3849" s="14"/>
      <c r="AE3849" s="17"/>
      <c r="AF3849" s="14"/>
      <c r="AG3849" s="54"/>
      <c r="AH3849" s="11"/>
      <c r="AI3849" s="14"/>
      <c r="AJ3849" s="19">
        <v>0</v>
      </c>
      <c r="AK3849" s="23">
        <v>0</v>
      </c>
      <c r="AL3849" s="11"/>
      <c r="AM3849" s="19">
        <v>0</v>
      </c>
      <c r="AN3849" s="19">
        <v>740640</v>
      </c>
      <c r="AO3849" s="14"/>
      <c r="AP3849" s="14">
        <v>740640</v>
      </c>
      <c r="AQ3849" s="12">
        <v>1E-4</v>
      </c>
      <c r="AS3849" s="26"/>
    </row>
    <row r="3850" spans="1:45" s="19" customFormat="1" x14ac:dyDescent="0.2">
      <c r="A3850" s="121">
        <f t="shared" si="491"/>
        <v>3283</v>
      </c>
      <c r="B3850" s="13">
        <v>1</v>
      </c>
      <c r="C3850" s="17" t="s">
        <v>52</v>
      </c>
      <c r="D3850" s="17">
        <v>4169</v>
      </c>
      <c r="E3850" s="17">
        <v>75</v>
      </c>
      <c r="F3850" s="17">
        <v>2509</v>
      </c>
      <c r="G3850" s="13">
        <v>1</v>
      </c>
      <c r="H3850" s="17">
        <v>4</v>
      </c>
      <c r="I3850" s="17">
        <v>1</v>
      </c>
      <c r="J3850" s="17">
        <v>26</v>
      </c>
      <c r="K3850" s="10">
        <v>1726</v>
      </c>
      <c r="L3850" s="17"/>
      <c r="M3850" s="15"/>
      <c r="N3850" s="18"/>
      <c r="O3850" s="14"/>
      <c r="P3850" s="17">
        <v>1</v>
      </c>
      <c r="Q3850" s="19">
        <v>1726</v>
      </c>
      <c r="R3850" s="14">
        <v>200</v>
      </c>
      <c r="S3850" s="19">
        <v>345200</v>
      </c>
      <c r="T3850" s="17"/>
      <c r="U3850" s="17"/>
      <c r="V3850" s="17"/>
      <c r="W3850" s="4"/>
      <c r="X3850" s="17"/>
      <c r="Y3850" s="4"/>
      <c r="Z3850" s="17"/>
      <c r="AA3850" s="17"/>
      <c r="AB3850" s="17"/>
      <c r="AC3850" s="14"/>
      <c r="AD3850" s="14"/>
      <c r="AE3850" s="17"/>
      <c r="AF3850" s="14"/>
      <c r="AG3850" s="54"/>
      <c r="AH3850" s="11"/>
      <c r="AI3850" s="14"/>
      <c r="AJ3850" s="19">
        <v>0</v>
      </c>
      <c r="AK3850" s="23">
        <v>0</v>
      </c>
      <c r="AL3850" s="11"/>
      <c r="AM3850" s="19">
        <v>0</v>
      </c>
      <c r="AN3850" s="19">
        <v>345200</v>
      </c>
      <c r="AO3850" s="14"/>
      <c r="AP3850" s="14">
        <v>345200</v>
      </c>
      <c r="AQ3850" s="12"/>
      <c r="AS3850" s="26"/>
    </row>
    <row r="3851" spans="1:45" s="19" customFormat="1" x14ac:dyDescent="0.2">
      <c r="A3851" s="121">
        <f t="shared" si="491"/>
        <v>3284</v>
      </c>
      <c r="B3851" s="13">
        <v>1</v>
      </c>
      <c r="C3851" s="17" t="s">
        <v>52</v>
      </c>
      <c r="D3851" s="17">
        <v>2915</v>
      </c>
      <c r="E3851" s="17">
        <v>18</v>
      </c>
      <c r="F3851" s="17">
        <v>1998</v>
      </c>
      <c r="G3851" s="13">
        <v>1</v>
      </c>
      <c r="H3851" s="17">
        <v>4</v>
      </c>
      <c r="I3851" s="17">
        <v>2</v>
      </c>
      <c r="J3851" s="17">
        <v>49</v>
      </c>
      <c r="K3851" s="10">
        <v>1849</v>
      </c>
      <c r="L3851" s="17"/>
      <c r="M3851" s="15"/>
      <c r="N3851" s="18"/>
      <c r="O3851" s="14"/>
      <c r="P3851" s="17">
        <v>1</v>
      </c>
      <c r="Q3851" s="19">
        <v>1849</v>
      </c>
      <c r="R3851" s="14">
        <v>160</v>
      </c>
      <c r="S3851" s="19">
        <v>295840</v>
      </c>
      <c r="T3851" s="17"/>
      <c r="U3851" s="17"/>
      <c r="V3851" s="17"/>
      <c r="W3851" s="4"/>
      <c r="X3851" s="17"/>
      <c r="Y3851" s="4"/>
      <c r="Z3851" s="17"/>
      <c r="AA3851" s="17"/>
      <c r="AB3851" s="17"/>
      <c r="AC3851" s="14"/>
      <c r="AD3851" s="14"/>
      <c r="AE3851" s="17"/>
      <c r="AF3851" s="14"/>
      <c r="AG3851" s="54"/>
      <c r="AH3851" s="11"/>
      <c r="AI3851" s="14"/>
      <c r="AJ3851" s="19">
        <v>0</v>
      </c>
      <c r="AK3851" s="23">
        <v>0</v>
      </c>
      <c r="AL3851" s="11"/>
      <c r="AM3851" s="19">
        <v>0</v>
      </c>
      <c r="AN3851" s="19">
        <v>295840</v>
      </c>
      <c r="AO3851" s="14"/>
      <c r="AP3851" s="14">
        <v>295840</v>
      </c>
      <c r="AQ3851" s="12"/>
      <c r="AS3851" s="26"/>
    </row>
    <row r="3852" spans="1:45" s="19" customFormat="1" ht="63" x14ac:dyDescent="0.2">
      <c r="A3852" s="121">
        <f t="shared" si="491"/>
        <v>3285</v>
      </c>
      <c r="B3852" s="13">
        <v>1</v>
      </c>
      <c r="C3852" s="17" t="s">
        <v>52</v>
      </c>
      <c r="D3852" s="17">
        <v>1046</v>
      </c>
      <c r="E3852" s="17">
        <v>137</v>
      </c>
      <c r="F3852" s="17">
        <v>404</v>
      </c>
      <c r="G3852" s="13">
        <v>1</v>
      </c>
      <c r="H3852" s="17">
        <v>0</v>
      </c>
      <c r="I3852" s="17">
        <v>0</v>
      </c>
      <c r="J3852" s="17">
        <v>88</v>
      </c>
      <c r="K3852" s="10"/>
      <c r="L3852" s="17"/>
      <c r="M3852" s="15">
        <v>88</v>
      </c>
      <c r="N3852" s="18"/>
      <c r="O3852" s="14"/>
      <c r="P3852" s="17">
        <v>3</v>
      </c>
      <c r="Q3852" s="19">
        <v>88</v>
      </c>
      <c r="R3852" s="14">
        <v>200</v>
      </c>
      <c r="S3852" s="19">
        <v>17600</v>
      </c>
      <c r="T3852" s="17">
        <v>1</v>
      </c>
      <c r="U3852" s="17" t="s">
        <v>57</v>
      </c>
      <c r="V3852" s="17" t="s">
        <v>56</v>
      </c>
      <c r="W3852" s="4">
        <v>13.5</v>
      </c>
      <c r="X3852" s="17"/>
      <c r="Y3852" s="4"/>
      <c r="Z3852" s="17">
        <v>13.5</v>
      </c>
      <c r="AA3852" s="17"/>
      <c r="AB3852" s="17">
        <v>14</v>
      </c>
      <c r="AC3852" s="14"/>
      <c r="AD3852" s="14"/>
      <c r="AE3852" s="17" t="s">
        <v>120</v>
      </c>
      <c r="AF3852" s="14">
        <v>3</v>
      </c>
      <c r="AG3852" s="54">
        <v>13.5</v>
      </c>
      <c r="AH3852" s="11">
        <v>1</v>
      </c>
      <c r="AI3852" s="14">
        <v>7250</v>
      </c>
      <c r="AJ3852" s="19">
        <v>97875</v>
      </c>
      <c r="AK3852" s="23">
        <v>14</v>
      </c>
      <c r="AL3852" s="11">
        <v>0.18</v>
      </c>
      <c r="AM3852" s="19">
        <v>80257.5</v>
      </c>
      <c r="AN3852" s="19">
        <v>97857.5</v>
      </c>
      <c r="AO3852" s="14"/>
      <c r="AP3852" s="14">
        <v>97857.5</v>
      </c>
      <c r="AQ3852" s="12">
        <v>3.0000000000000001E-3</v>
      </c>
      <c r="AS3852" s="26"/>
    </row>
    <row r="3853" spans="1:45" s="19" customFormat="1" x14ac:dyDescent="0.2">
      <c r="A3853" s="121">
        <f t="shared" si="491"/>
        <v>3286</v>
      </c>
      <c r="B3853" s="13">
        <v>2</v>
      </c>
      <c r="C3853" s="17" t="s">
        <v>52</v>
      </c>
      <c r="D3853" s="17">
        <v>1161</v>
      </c>
      <c r="E3853" s="17">
        <v>4</v>
      </c>
      <c r="F3853" s="17">
        <v>999</v>
      </c>
      <c r="G3853" s="13">
        <v>1</v>
      </c>
      <c r="H3853" s="17">
        <v>20</v>
      </c>
      <c r="I3853" s="17">
        <v>0</v>
      </c>
      <c r="J3853" s="17">
        <v>49</v>
      </c>
      <c r="K3853" s="10">
        <v>8049</v>
      </c>
      <c r="L3853" s="17"/>
      <c r="M3853" s="15"/>
      <c r="N3853" s="18"/>
      <c r="O3853" s="14"/>
      <c r="P3853" s="17">
        <v>1</v>
      </c>
      <c r="Q3853" s="19">
        <v>8049</v>
      </c>
      <c r="R3853" s="14">
        <v>200</v>
      </c>
      <c r="S3853" s="19">
        <v>1609800</v>
      </c>
      <c r="T3853" s="17"/>
      <c r="U3853" s="17"/>
      <c r="V3853" s="17"/>
      <c r="W3853" s="4"/>
      <c r="X3853" s="17"/>
      <c r="Y3853" s="4"/>
      <c r="Z3853" s="17"/>
      <c r="AA3853" s="17"/>
      <c r="AB3853" s="17"/>
      <c r="AC3853" s="14"/>
      <c r="AD3853" s="14"/>
      <c r="AE3853" s="17"/>
      <c r="AF3853" s="14"/>
      <c r="AG3853" s="54"/>
      <c r="AH3853" s="11"/>
      <c r="AI3853" s="14"/>
      <c r="AJ3853" s="19">
        <v>0</v>
      </c>
      <c r="AK3853" s="23">
        <v>0</v>
      </c>
      <c r="AL3853" s="11"/>
      <c r="AM3853" s="19">
        <v>0</v>
      </c>
      <c r="AN3853" s="19">
        <v>1609800</v>
      </c>
      <c r="AO3853" s="14"/>
      <c r="AP3853" s="14">
        <v>1609800</v>
      </c>
      <c r="AQ3853" s="12"/>
      <c r="AS3853" s="26"/>
    </row>
    <row r="3854" spans="1:45" s="19" customFormat="1" x14ac:dyDescent="0.2">
      <c r="A3854" s="121">
        <f t="shared" si="491"/>
        <v>3287</v>
      </c>
      <c r="B3854" s="13">
        <v>3</v>
      </c>
      <c r="C3854" s="17" t="s">
        <v>52</v>
      </c>
      <c r="D3854" s="17">
        <v>1181</v>
      </c>
      <c r="E3854" s="17">
        <v>14</v>
      </c>
      <c r="F3854" s="17">
        <v>1020</v>
      </c>
      <c r="G3854" s="13">
        <v>1</v>
      </c>
      <c r="H3854" s="17">
        <v>33</v>
      </c>
      <c r="I3854" s="17">
        <v>0</v>
      </c>
      <c r="J3854" s="17">
        <v>81</v>
      </c>
      <c r="K3854" s="10">
        <v>13281</v>
      </c>
      <c r="L3854" s="17"/>
      <c r="M3854" s="15"/>
      <c r="N3854" s="18"/>
      <c r="O3854" s="14"/>
      <c r="P3854" s="17">
        <v>1</v>
      </c>
      <c r="Q3854" s="19">
        <v>13281</v>
      </c>
      <c r="R3854" s="14">
        <v>200</v>
      </c>
      <c r="S3854" s="19">
        <v>2656200</v>
      </c>
      <c r="T3854" s="17"/>
      <c r="U3854" s="17"/>
      <c r="V3854" s="17"/>
      <c r="W3854" s="4"/>
      <c r="X3854" s="17"/>
      <c r="Y3854" s="4"/>
      <c r="Z3854" s="17"/>
      <c r="AA3854" s="17"/>
      <c r="AB3854" s="17"/>
      <c r="AC3854" s="14"/>
      <c r="AD3854" s="14"/>
      <c r="AE3854" s="17"/>
      <c r="AF3854" s="14"/>
      <c r="AG3854" s="54"/>
      <c r="AH3854" s="11"/>
      <c r="AI3854" s="14"/>
      <c r="AJ3854" s="19">
        <v>0</v>
      </c>
      <c r="AK3854" s="23">
        <v>0</v>
      </c>
      <c r="AL3854" s="11"/>
      <c r="AM3854" s="19">
        <v>0</v>
      </c>
      <c r="AN3854" s="19">
        <v>2656200</v>
      </c>
      <c r="AO3854" s="14"/>
      <c r="AP3854" s="14">
        <v>2656200</v>
      </c>
      <c r="AQ3854" s="12"/>
      <c r="AS3854" s="26"/>
    </row>
    <row r="3855" spans="1:45" s="19" customFormat="1" x14ac:dyDescent="0.2">
      <c r="A3855" s="121">
        <f t="shared" si="491"/>
        <v>3288</v>
      </c>
      <c r="B3855" s="13">
        <v>4</v>
      </c>
      <c r="C3855" s="17" t="s">
        <v>52</v>
      </c>
      <c r="D3855" s="17">
        <v>1183</v>
      </c>
      <c r="E3855" s="17">
        <v>5</v>
      </c>
      <c r="F3855" s="17">
        <v>1022</v>
      </c>
      <c r="G3855" s="13">
        <v>1</v>
      </c>
      <c r="H3855" s="17">
        <v>16</v>
      </c>
      <c r="I3855" s="17">
        <v>2</v>
      </c>
      <c r="J3855" s="17">
        <v>98</v>
      </c>
      <c r="K3855" s="10">
        <v>6698</v>
      </c>
      <c r="L3855" s="17"/>
      <c r="M3855" s="15"/>
      <c r="N3855" s="18"/>
      <c r="O3855" s="14"/>
      <c r="P3855" s="17">
        <v>1</v>
      </c>
      <c r="Q3855" s="19">
        <v>6698</v>
      </c>
      <c r="R3855" s="14">
        <v>200</v>
      </c>
      <c r="S3855" s="19">
        <v>1339600</v>
      </c>
      <c r="T3855" s="17"/>
      <c r="U3855" s="17"/>
      <c r="V3855" s="17"/>
      <c r="W3855" s="4"/>
      <c r="X3855" s="17"/>
      <c r="Y3855" s="4"/>
      <c r="Z3855" s="17"/>
      <c r="AA3855" s="17"/>
      <c r="AB3855" s="17"/>
      <c r="AC3855" s="14"/>
      <c r="AD3855" s="14"/>
      <c r="AE3855" s="17"/>
      <c r="AF3855" s="14"/>
      <c r="AG3855" s="54"/>
      <c r="AH3855" s="11"/>
      <c r="AI3855" s="14"/>
      <c r="AJ3855" s="19">
        <v>0</v>
      </c>
      <c r="AK3855" s="23">
        <v>0</v>
      </c>
      <c r="AL3855" s="11"/>
      <c r="AM3855" s="19">
        <v>0</v>
      </c>
      <c r="AN3855" s="19">
        <v>1339600</v>
      </c>
      <c r="AO3855" s="14"/>
      <c r="AP3855" s="14">
        <v>1339600</v>
      </c>
      <c r="AQ3855" s="12"/>
      <c r="AS3855" s="26"/>
    </row>
    <row r="3856" spans="1:45" s="19" customFormat="1" x14ac:dyDescent="0.2">
      <c r="A3856" s="121">
        <f t="shared" si="491"/>
        <v>3289</v>
      </c>
      <c r="B3856" s="13">
        <v>5</v>
      </c>
      <c r="C3856" s="17" t="s">
        <v>52</v>
      </c>
      <c r="D3856" s="17">
        <v>1315</v>
      </c>
      <c r="E3856" s="17">
        <v>16</v>
      </c>
      <c r="F3856" s="17">
        <v>570</v>
      </c>
      <c r="G3856" s="13">
        <v>1</v>
      </c>
      <c r="H3856" s="17">
        <v>17</v>
      </c>
      <c r="I3856" s="17">
        <v>1</v>
      </c>
      <c r="J3856" s="17">
        <v>97</v>
      </c>
      <c r="K3856" s="10">
        <v>6997</v>
      </c>
      <c r="L3856" s="17"/>
      <c r="M3856" s="15"/>
      <c r="N3856" s="18"/>
      <c r="O3856" s="14"/>
      <c r="P3856" s="17">
        <v>1</v>
      </c>
      <c r="Q3856" s="19">
        <v>6997</v>
      </c>
      <c r="R3856" s="14">
        <v>200</v>
      </c>
      <c r="S3856" s="19">
        <v>1399400</v>
      </c>
      <c r="T3856" s="17"/>
      <c r="U3856" s="17"/>
      <c r="V3856" s="17"/>
      <c r="W3856" s="4"/>
      <c r="X3856" s="17"/>
      <c r="Y3856" s="4"/>
      <c r="Z3856" s="17"/>
      <c r="AA3856" s="17"/>
      <c r="AB3856" s="17"/>
      <c r="AC3856" s="14"/>
      <c r="AD3856" s="14"/>
      <c r="AE3856" s="17"/>
      <c r="AF3856" s="14"/>
      <c r="AG3856" s="54"/>
      <c r="AH3856" s="11"/>
      <c r="AI3856" s="14"/>
      <c r="AJ3856" s="19">
        <v>0</v>
      </c>
      <c r="AK3856" s="23">
        <v>0</v>
      </c>
      <c r="AL3856" s="11"/>
      <c r="AM3856" s="19">
        <v>0</v>
      </c>
      <c r="AN3856" s="19">
        <v>1399400</v>
      </c>
      <c r="AO3856" s="14"/>
      <c r="AP3856" s="14">
        <v>1399400</v>
      </c>
      <c r="AQ3856" s="12"/>
      <c r="AS3856" s="26"/>
    </row>
    <row r="3857" spans="1:45" x14ac:dyDescent="0.2">
      <c r="A3857" s="121">
        <f t="shared" si="491"/>
        <v>3290</v>
      </c>
      <c r="B3857" s="13">
        <v>6</v>
      </c>
      <c r="C3857" s="17" t="s">
        <v>52</v>
      </c>
      <c r="D3857" s="17">
        <v>1324</v>
      </c>
      <c r="E3857" s="17">
        <v>136</v>
      </c>
      <c r="F3857" s="17">
        <v>589</v>
      </c>
      <c r="G3857" s="13">
        <v>1</v>
      </c>
      <c r="H3857" s="17">
        <v>0</v>
      </c>
      <c r="I3857" s="17">
        <v>0</v>
      </c>
      <c r="J3857" s="17">
        <v>98</v>
      </c>
      <c r="M3857" s="15" t="s">
        <v>333</v>
      </c>
      <c r="P3857" s="17">
        <v>3</v>
      </c>
      <c r="Q3857" s="19">
        <v>98</v>
      </c>
      <c r="R3857" s="14">
        <v>200</v>
      </c>
      <c r="S3857" s="19">
        <v>19600</v>
      </c>
      <c r="AE3857" s="17" t="s">
        <v>120</v>
      </c>
      <c r="AJ3857" s="19">
        <v>0</v>
      </c>
      <c r="AK3857" s="23">
        <v>0</v>
      </c>
      <c r="AM3857" s="19">
        <v>0</v>
      </c>
      <c r="AN3857" s="19">
        <v>19600</v>
      </c>
      <c r="AP3857" s="14">
        <v>19600</v>
      </c>
      <c r="AQ3857" s="12">
        <v>3.0000000000000001E-3</v>
      </c>
    </row>
    <row r="3858" spans="1:45" x14ac:dyDescent="0.2">
      <c r="A3858" s="121">
        <f t="shared" si="491"/>
        <v>3291</v>
      </c>
      <c r="B3858" s="13">
        <v>7</v>
      </c>
      <c r="C3858" s="17" t="s">
        <v>52</v>
      </c>
      <c r="D3858" s="17">
        <v>1329</v>
      </c>
      <c r="E3858" s="17">
        <v>135</v>
      </c>
      <c r="F3858" s="17">
        <v>617</v>
      </c>
      <c r="G3858" s="13">
        <v>1</v>
      </c>
      <c r="H3858" s="17">
        <v>0</v>
      </c>
      <c r="I3858" s="17">
        <v>1</v>
      </c>
      <c r="J3858" s="17">
        <v>27</v>
      </c>
      <c r="L3858" s="17">
        <v>127</v>
      </c>
      <c r="P3858" s="17">
        <v>2</v>
      </c>
      <c r="Q3858" s="19">
        <v>127</v>
      </c>
      <c r="R3858" s="14">
        <v>250</v>
      </c>
      <c r="S3858" s="19">
        <v>31750</v>
      </c>
      <c r="AJ3858" s="19">
        <v>0</v>
      </c>
      <c r="AK3858" s="23">
        <v>0</v>
      </c>
      <c r="AM3858" s="19">
        <v>0</v>
      </c>
      <c r="AN3858" s="19">
        <v>31750</v>
      </c>
      <c r="AP3858" s="14">
        <v>31750</v>
      </c>
    </row>
    <row r="3859" spans="1:45" x14ac:dyDescent="0.2">
      <c r="A3859" s="121">
        <f t="shared" si="491"/>
        <v>3292</v>
      </c>
      <c r="B3859" s="13">
        <v>1</v>
      </c>
      <c r="C3859" s="17" t="s">
        <v>52</v>
      </c>
      <c r="D3859" s="17">
        <v>1047</v>
      </c>
      <c r="E3859" s="17">
        <v>139</v>
      </c>
      <c r="F3859" s="17">
        <v>405</v>
      </c>
      <c r="G3859" s="13">
        <v>1</v>
      </c>
      <c r="H3859" s="17">
        <v>0</v>
      </c>
      <c r="I3859" s="17">
        <v>1</v>
      </c>
      <c r="J3859" s="17">
        <v>1</v>
      </c>
      <c r="Q3859" s="19">
        <v>101</v>
      </c>
      <c r="R3859" s="14">
        <v>250</v>
      </c>
      <c r="S3859" s="19">
        <v>25250</v>
      </c>
      <c r="AJ3859" s="19">
        <v>0</v>
      </c>
      <c r="AK3859" s="23">
        <v>0</v>
      </c>
      <c r="AM3859" s="19">
        <v>0</v>
      </c>
      <c r="AN3859" s="19">
        <v>25250</v>
      </c>
      <c r="AP3859" s="14">
        <v>25250</v>
      </c>
      <c r="AS3859" s="26">
        <v>3713</v>
      </c>
    </row>
    <row r="3860" spans="1:45" ht="63" x14ac:dyDescent="0.2">
      <c r="A3860" s="121">
        <f t="shared" si="491"/>
        <v>3293</v>
      </c>
      <c r="B3860" s="13">
        <v>2</v>
      </c>
      <c r="C3860" s="17" t="s">
        <v>52</v>
      </c>
      <c r="D3860" s="17">
        <v>1332</v>
      </c>
      <c r="E3860" s="17">
        <v>130</v>
      </c>
      <c r="F3860" s="17">
        <v>620</v>
      </c>
      <c r="G3860" s="13">
        <v>1</v>
      </c>
      <c r="H3860" s="17">
        <v>0</v>
      </c>
      <c r="I3860" s="17">
        <v>0</v>
      </c>
      <c r="J3860" s="17">
        <v>47</v>
      </c>
      <c r="L3860" s="17">
        <v>47</v>
      </c>
      <c r="P3860" s="17">
        <v>2</v>
      </c>
      <c r="Q3860" s="19">
        <v>47</v>
      </c>
      <c r="R3860" s="14">
        <v>3000</v>
      </c>
      <c r="S3860" s="19">
        <v>141000</v>
      </c>
      <c r="AJ3860" s="19">
        <v>0</v>
      </c>
      <c r="AK3860" s="23">
        <v>0</v>
      </c>
      <c r="AM3860" s="19">
        <v>0</v>
      </c>
      <c r="AN3860" s="19">
        <v>141000</v>
      </c>
      <c r="AP3860" s="14">
        <v>141000</v>
      </c>
      <c r="AR3860" s="19">
        <v>3713</v>
      </c>
    </row>
    <row r="3861" spans="1:45" ht="63" x14ac:dyDescent="0.2">
      <c r="A3861" s="121">
        <f t="shared" si="491"/>
        <v>3294</v>
      </c>
      <c r="B3861" s="13">
        <v>3</v>
      </c>
      <c r="C3861" s="17" t="s">
        <v>52</v>
      </c>
      <c r="D3861" s="17">
        <v>1372</v>
      </c>
      <c r="E3861" s="17">
        <v>129</v>
      </c>
      <c r="F3861" s="17">
        <v>662</v>
      </c>
      <c r="G3861" s="13">
        <v>1</v>
      </c>
      <c r="H3861" s="17">
        <v>0</v>
      </c>
      <c r="I3861" s="17">
        <v>0</v>
      </c>
      <c r="J3861" s="17">
        <v>86</v>
      </c>
      <c r="L3861" s="17">
        <v>86</v>
      </c>
      <c r="P3861" s="17">
        <v>2</v>
      </c>
      <c r="Q3861" s="19">
        <v>86</v>
      </c>
      <c r="R3861" s="14">
        <v>3000</v>
      </c>
      <c r="S3861" s="19">
        <v>258000</v>
      </c>
      <c r="T3861" s="17">
        <v>1</v>
      </c>
      <c r="U3861" s="17" t="s">
        <v>57</v>
      </c>
      <c r="V3861" s="17" t="s">
        <v>56</v>
      </c>
      <c r="W3861" s="4">
        <v>90</v>
      </c>
      <c r="Y3861" s="4">
        <v>90</v>
      </c>
      <c r="AB3861" s="17">
        <v>10</v>
      </c>
      <c r="AJ3861" s="19">
        <v>0</v>
      </c>
      <c r="AK3861" s="23">
        <v>10</v>
      </c>
      <c r="AM3861" s="19">
        <v>0</v>
      </c>
      <c r="AN3861" s="19">
        <v>258000</v>
      </c>
      <c r="AP3861" s="14">
        <v>258000</v>
      </c>
    </row>
    <row r="3862" spans="1:45" x14ac:dyDescent="0.2">
      <c r="A3862" s="121">
        <f t="shared" si="491"/>
        <v>3295</v>
      </c>
      <c r="B3862" s="13">
        <v>4</v>
      </c>
      <c r="C3862" s="17" t="s">
        <v>52</v>
      </c>
      <c r="D3862" s="17">
        <v>1398</v>
      </c>
      <c r="E3862" s="17">
        <v>141</v>
      </c>
      <c r="F3862" s="17">
        <v>588</v>
      </c>
      <c r="G3862" s="13">
        <v>1</v>
      </c>
      <c r="H3862" s="17">
        <v>4</v>
      </c>
      <c r="I3862" s="17">
        <v>2</v>
      </c>
      <c r="J3862" s="17">
        <v>52</v>
      </c>
      <c r="K3862" s="10">
        <v>1852</v>
      </c>
      <c r="P3862" s="17">
        <v>1</v>
      </c>
      <c r="Q3862" s="19">
        <v>1852</v>
      </c>
      <c r="R3862" s="14">
        <v>200</v>
      </c>
      <c r="S3862" s="19">
        <v>370400</v>
      </c>
      <c r="AE3862" s="17" t="s">
        <v>120</v>
      </c>
      <c r="AJ3862" s="19">
        <v>0</v>
      </c>
      <c r="AK3862" s="23">
        <v>0</v>
      </c>
      <c r="AM3862" s="19">
        <v>0</v>
      </c>
      <c r="AN3862" s="19">
        <v>370400</v>
      </c>
      <c r="AP3862" s="14">
        <v>370400</v>
      </c>
    </row>
    <row r="3863" spans="1:45" x14ac:dyDescent="0.2">
      <c r="P3863" s="17">
        <v>1</v>
      </c>
      <c r="R3863" s="14" t="e">
        <v>#N/A</v>
      </c>
      <c r="AJ3863" s="19">
        <v>0</v>
      </c>
      <c r="AK3863" s="23">
        <v>0</v>
      </c>
      <c r="AM3863" s="19">
        <v>0</v>
      </c>
      <c r="AN3863" s="19">
        <v>0</v>
      </c>
      <c r="AP3863" s="14">
        <v>0</v>
      </c>
    </row>
    <row r="3864" spans="1:45" x14ac:dyDescent="0.2">
      <c r="P3864" s="17">
        <v>3</v>
      </c>
      <c r="Q3864" s="19">
        <v>105</v>
      </c>
      <c r="R3864" s="14" t="e">
        <v>#N/A</v>
      </c>
      <c r="AK3864" s="23">
        <v>0</v>
      </c>
      <c r="AM3864" s="19">
        <v>0</v>
      </c>
      <c r="AN3864" s="19">
        <v>21000</v>
      </c>
      <c r="AP3864" s="14">
        <v>21000</v>
      </c>
      <c r="AQ3864" s="12">
        <v>3.0000000000000001E-3</v>
      </c>
    </row>
    <row r="3865" spans="1:45" x14ac:dyDescent="0.2">
      <c r="A3865" s="2">
        <v>3296</v>
      </c>
      <c r="B3865" s="13">
        <v>5</v>
      </c>
      <c r="C3865" s="17" t="s">
        <v>52</v>
      </c>
      <c r="D3865" s="17">
        <v>20645</v>
      </c>
      <c r="E3865" s="17">
        <v>186</v>
      </c>
      <c r="F3865" s="17">
        <v>4631</v>
      </c>
      <c r="G3865" s="13">
        <v>1</v>
      </c>
      <c r="H3865" s="17">
        <v>0</v>
      </c>
      <c r="I3865" s="17">
        <v>2</v>
      </c>
      <c r="J3865" s="17">
        <v>15</v>
      </c>
      <c r="K3865" s="10">
        <v>215</v>
      </c>
      <c r="P3865" s="17">
        <v>1</v>
      </c>
      <c r="Q3865" s="19">
        <v>215</v>
      </c>
      <c r="R3865" s="14">
        <v>200</v>
      </c>
      <c r="S3865" s="19">
        <v>43000</v>
      </c>
      <c r="AJ3865" s="19">
        <v>0</v>
      </c>
      <c r="AK3865" s="23">
        <v>0</v>
      </c>
      <c r="AM3865" s="19">
        <v>0</v>
      </c>
      <c r="AN3865" s="19">
        <v>43000</v>
      </c>
      <c r="AP3865" s="14">
        <v>43000</v>
      </c>
    </row>
    <row r="3866" spans="1:45" x14ac:dyDescent="0.2">
      <c r="A3866" s="2">
        <f>+A3865+1</f>
        <v>3297</v>
      </c>
      <c r="B3866" s="13">
        <v>6</v>
      </c>
      <c r="C3866" s="17" t="s">
        <v>52</v>
      </c>
      <c r="D3866" s="17">
        <v>20401</v>
      </c>
      <c r="E3866" s="17">
        <v>294</v>
      </c>
      <c r="F3866" s="17">
        <v>4319</v>
      </c>
      <c r="G3866" s="13">
        <v>2</v>
      </c>
      <c r="H3866" s="17">
        <v>1</v>
      </c>
      <c r="I3866" s="17">
        <v>0</v>
      </c>
      <c r="J3866" s="17">
        <v>82</v>
      </c>
      <c r="N3866" s="18">
        <v>482</v>
      </c>
      <c r="P3866" s="17">
        <v>4</v>
      </c>
      <c r="Q3866" s="19">
        <v>482</v>
      </c>
      <c r="R3866" s="14">
        <v>160</v>
      </c>
      <c r="S3866" s="19">
        <v>77120</v>
      </c>
      <c r="AJ3866" s="19">
        <v>0</v>
      </c>
      <c r="AK3866" s="23">
        <v>0</v>
      </c>
      <c r="AM3866" s="19">
        <v>0</v>
      </c>
      <c r="AN3866" s="19">
        <v>77120</v>
      </c>
      <c r="AP3866" s="14">
        <v>77120</v>
      </c>
      <c r="AQ3866" s="12">
        <v>3.0000000000000001E-3</v>
      </c>
    </row>
    <row r="3867" spans="1:45" x14ac:dyDescent="0.2">
      <c r="A3867" s="121">
        <f t="shared" ref="A3867:A3872" si="492">+A3866+1</f>
        <v>3298</v>
      </c>
      <c r="B3867" s="13">
        <v>7</v>
      </c>
      <c r="C3867" s="17" t="s">
        <v>69</v>
      </c>
      <c r="E3867" s="17">
        <v>1469</v>
      </c>
      <c r="F3867" s="17">
        <v>3</v>
      </c>
      <c r="G3867" s="13">
        <v>2</v>
      </c>
      <c r="H3867" s="17">
        <v>13</v>
      </c>
      <c r="I3867" s="17">
        <v>1</v>
      </c>
      <c r="J3867" s="17">
        <v>44</v>
      </c>
      <c r="K3867" s="10">
        <v>5344</v>
      </c>
      <c r="P3867" s="17">
        <v>1</v>
      </c>
      <c r="Q3867" s="19">
        <v>5344</v>
      </c>
      <c r="R3867" s="14">
        <v>200</v>
      </c>
      <c r="S3867" s="19">
        <v>1068800</v>
      </c>
      <c r="AJ3867" s="19">
        <v>0</v>
      </c>
      <c r="AK3867" s="23">
        <v>0</v>
      </c>
      <c r="AM3867" s="19">
        <v>0</v>
      </c>
      <c r="AN3867" s="19">
        <v>1068800</v>
      </c>
      <c r="AP3867" s="14">
        <v>1068800</v>
      </c>
      <c r="AQ3867" s="12">
        <v>1E-4</v>
      </c>
    </row>
    <row r="3868" spans="1:45" x14ac:dyDescent="0.2">
      <c r="A3868" s="121">
        <f t="shared" si="492"/>
        <v>3299</v>
      </c>
      <c r="B3868" s="13">
        <v>8</v>
      </c>
      <c r="C3868" s="17" t="s">
        <v>69</v>
      </c>
      <c r="E3868" s="17">
        <v>1469</v>
      </c>
      <c r="F3868" s="17">
        <v>17</v>
      </c>
      <c r="G3868" s="13">
        <v>2</v>
      </c>
      <c r="H3868" s="17">
        <v>14</v>
      </c>
      <c r="I3868" s="17">
        <v>0</v>
      </c>
      <c r="J3868" s="17">
        <v>31</v>
      </c>
      <c r="K3868" s="10">
        <v>5631</v>
      </c>
      <c r="P3868" s="17">
        <v>1</v>
      </c>
      <c r="Q3868" s="19">
        <v>5631</v>
      </c>
      <c r="R3868" s="14">
        <v>160</v>
      </c>
      <c r="S3868" s="19">
        <v>900960</v>
      </c>
      <c r="AJ3868" s="19">
        <v>0</v>
      </c>
      <c r="AK3868" s="23">
        <v>0</v>
      </c>
      <c r="AM3868" s="19">
        <v>0</v>
      </c>
      <c r="AN3868" s="19">
        <v>900960</v>
      </c>
      <c r="AP3868" s="14">
        <v>900960</v>
      </c>
      <c r="AQ3868" s="12">
        <v>1E-4</v>
      </c>
    </row>
    <row r="3869" spans="1:45" x14ac:dyDescent="0.2">
      <c r="A3869" s="121">
        <f t="shared" si="492"/>
        <v>3300</v>
      </c>
      <c r="B3869" s="13">
        <v>1</v>
      </c>
      <c r="C3869" s="17" t="s">
        <v>52</v>
      </c>
      <c r="D3869" s="17">
        <v>23454</v>
      </c>
      <c r="E3869" s="17">
        <v>211</v>
      </c>
      <c r="F3869" s="17">
        <v>4857</v>
      </c>
      <c r="G3869" s="13">
        <v>1</v>
      </c>
      <c r="H3869" s="17">
        <v>0</v>
      </c>
      <c r="I3869" s="17">
        <v>1</v>
      </c>
      <c r="J3869" s="17">
        <v>45</v>
      </c>
      <c r="K3869" s="10">
        <v>145</v>
      </c>
      <c r="P3869" s="17">
        <v>1</v>
      </c>
      <c r="Q3869" s="19">
        <v>145</v>
      </c>
      <c r="R3869" s="14">
        <v>200</v>
      </c>
      <c r="S3869" s="19">
        <v>29000</v>
      </c>
      <c r="AJ3869" s="19">
        <v>0</v>
      </c>
      <c r="AK3869" s="23">
        <v>0</v>
      </c>
      <c r="AM3869" s="19">
        <v>0</v>
      </c>
      <c r="AN3869" s="19">
        <v>29000</v>
      </c>
      <c r="AP3869" s="14">
        <v>29000</v>
      </c>
    </row>
    <row r="3870" spans="1:45" x14ac:dyDescent="0.2">
      <c r="A3870" s="121">
        <f t="shared" si="492"/>
        <v>3301</v>
      </c>
      <c r="B3870" s="13">
        <v>2</v>
      </c>
      <c r="C3870" s="17" t="s">
        <v>52</v>
      </c>
      <c r="D3870" s="17">
        <v>23455</v>
      </c>
      <c r="E3870" s="17">
        <v>212</v>
      </c>
      <c r="F3870" s="17">
        <v>4858</v>
      </c>
      <c r="G3870" s="13">
        <v>1</v>
      </c>
      <c r="H3870" s="17">
        <v>0</v>
      </c>
      <c r="I3870" s="17">
        <v>2</v>
      </c>
      <c r="J3870" s="17">
        <v>31</v>
      </c>
      <c r="K3870" s="10">
        <v>231</v>
      </c>
      <c r="P3870" s="17">
        <v>1</v>
      </c>
      <c r="Q3870" s="19">
        <v>231</v>
      </c>
      <c r="R3870" s="14">
        <v>200</v>
      </c>
      <c r="S3870" s="19">
        <v>46200</v>
      </c>
      <c r="AJ3870" s="19">
        <v>0</v>
      </c>
      <c r="AK3870" s="23">
        <v>0</v>
      </c>
      <c r="AM3870" s="19">
        <v>0</v>
      </c>
      <c r="AN3870" s="19">
        <v>46200</v>
      </c>
      <c r="AP3870" s="14">
        <v>46200</v>
      </c>
    </row>
    <row r="3871" spans="1:45" x14ac:dyDescent="0.2">
      <c r="A3871" s="121">
        <f t="shared" si="492"/>
        <v>3302</v>
      </c>
      <c r="B3871" s="13">
        <v>3</v>
      </c>
      <c r="C3871" s="17" t="s">
        <v>52</v>
      </c>
      <c r="D3871" s="17">
        <v>25442</v>
      </c>
      <c r="E3871" s="17">
        <v>220</v>
      </c>
      <c r="F3871" s="17">
        <v>4983</v>
      </c>
      <c r="G3871" s="13">
        <v>1</v>
      </c>
      <c r="H3871" s="17">
        <v>0</v>
      </c>
      <c r="I3871" s="17">
        <v>1</v>
      </c>
      <c r="J3871" s="17">
        <v>39</v>
      </c>
      <c r="K3871" s="10">
        <v>139</v>
      </c>
      <c r="P3871" s="17">
        <v>1</v>
      </c>
      <c r="Q3871" s="19">
        <v>139</v>
      </c>
      <c r="R3871" s="14">
        <v>200</v>
      </c>
      <c r="S3871" s="19">
        <v>27800</v>
      </c>
      <c r="AJ3871" s="19">
        <v>0</v>
      </c>
      <c r="AK3871" s="23">
        <v>0</v>
      </c>
      <c r="AM3871" s="19">
        <v>0</v>
      </c>
      <c r="AN3871" s="19">
        <v>27800</v>
      </c>
      <c r="AP3871" s="14">
        <v>27800</v>
      </c>
    </row>
    <row r="3872" spans="1:45" ht="105" x14ac:dyDescent="0.2">
      <c r="A3872" s="121">
        <f t="shared" si="492"/>
        <v>3303</v>
      </c>
      <c r="B3872" s="13">
        <v>4</v>
      </c>
      <c r="C3872" s="17" t="s">
        <v>52</v>
      </c>
      <c r="D3872" s="17">
        <v>32263</v>
      </c>
      <c r="E3872" s="17">
        <v>171</v>
      </c>
      <c r="F3872" s="17">
        <v>6397</v>
      </c>
      <c r="G3872" s="13">
        <v>1</v>
      </c>
      <c r="H3872" s="17">
        <v>10</v>
      </c>
      <c r="I3872" s="17">
        <v>0</v>
      </c>
      <c r="J3872" s="17">
        <v>0</v>
      </c>
      <c r="K3872" s="10" t="s">
        <v>334</v>
      </c>
      <c r="P3872" s="17">
        <v>5</v>
      </c>
      <c r="Q3872" s="19">
        <v>4000</v>
      </c>
      <c r="R3872" s="14">
        <v>160</v>
      </c>
      <c r="S3872" s="19">
        <v>640000</v>
      </c>
      <c r="U3872" s="17" t="s">
        <v>123</v>
      </c>
      <c r="W3872" s="4">
        <v>2000</v>
      </c>
      <c r="X3872" s="17">
        <v>2000</v>
      </c>
      <c r="AE3872" s="17" t="s">
        <v>335</v>
      </c>
      <c r="AF3872" s="14">
        <v>1</v>
      </c>
      <c r="AG3872" s="54">
        <v>2000</v>
      </c>
      <c r="AH3872" s="11">
        <v>1</v>
      </c>
      <c r="AI3872" s="14">
        <v>3600</v>
      </c>
      <c r="AJ3872" s="19">
        <v>7200000</v>
      </c>
      <c r="AK3872" s="23">
        <v>0</v>
      </c>
      <c r="AM3872" s="19">
        <v>7200000</v>
      </c>
      <c r="AN3872" s="19">
        <v>7520000</v>
      </c>
      <c r="AP3872" s="14">
        <v>7520000</v>
      </c>
    </row>
    <row r="3873" spans="1:45" s="19" customFormat="1" ht="105" x14ac:dyDescent="0.2">
      <c r="A3873" s="2"/>
      <c r="B3873" s="13"/>
      <c r="C3873" s="17"/>
      <c r="D3873" s="17"/>
      <c r="E3873" s="17"/>
      <c r="F3873" s="17"/>
      <c r="G3873" s="13"/>
      <c r="H3873" s="17"/>
      <c r="I3873" s="17"/>
      <c r="J3873" s="17"/>
      <c r="K3873" s="10"/>
      <c r="L3873" s="17"/>
      <c r="M3873" s="15"/>
      <c r="N3873" s="18"/>
      <c r="O3873" s="14"/>
      <c r="P3873" s="17"/>
      <c r="R3873" s="14" t="e">
        <v>#N/A</v>
      </c>
      <c r="T3873" s="17"/>
      <c r="U3873" s="17" t="s">
        <v>123</v>
      </c>
      <c r="V3873" s="17"/>
      <c r="W3873" s="4">
        <v>2000</v>
      </c>
      <c r="X3873" s="17">
        <v>2000</v>
      </c>
      <c r="Y3873" s="4"/>
      <c r="Z3873" s="17"/>
      <c r="AA3873" s="17"/>
      <c r="AB3873" s="17"/>
      <c r="AC3873" s="14"/>
      <c r="AD3873" s="14"/>
      <c r="AE3873" s="17"/>
      <c r="AF3873" s="14">
        <v>1</v>
      </c>
      <c r="AG3873" s="54">
        <v>2000</v>
      </c>
      <c r="AH3873" s="11">
        <v>1</v>
      </c>
      <c r="AI3873" s="14">
        <v>3600</v>
      </c>
      <c r="AJ3873" s="19">
        <v>7200000</v>
      </c>
      <c r="AK3873" s="23">
        <v>0</v>
      </c>
      <c r="AL3873" s="11"/>
      <c r="AM3873" s="19">
        <v>7200000</v>
      </c>
      <c r="AN3873" s="19">
        <v>7520000</v>
      </c>
      <c r="AO3873" s="14"/>
      <c r="AP3873" s="14">
        <v>7520000</v>
      </c>
      <c r="AQ3873" s="12"/>
      <c r="AS3873" s="26"/>
    </row>
    <row r="3874" spans="1:45" s="19" customFormat="1" x14ac:dyDescent="0.2">
      <c r="A3874" s="2">
        <v>3304</v>
      </c>
      <c r="B3874" s="13">
        <v>1</v>
      </c>
      <c r="C3874" s="17" t="s">
        <v>52</v>
      </c>
      <c r="D3874" s="17">
        <v>840</v>
      </c>
      <c r="E3874" s="17">
        <v>55</v>
      </c>
      <c r="F3874" s="17">
        <v>129</v>
      </c>
      <c r="G3874" s="13">
        <v>1</v>
      </c>
      <c r="H3874" s="17">
        <v>0</v>
      </c>
      <c r="I3874" s="17">
        <v>0</v>
      </c>
      <c r="J3874" s="17">
        <v>50</v>
      </c>
      <c r="K3874" s="10">
        <v>50</v>
      </c>
      <c r="L3874" s="17"/>
      <c r="M3874" s="15"/>
      <c r="N3874" s="18"/>
      <c r="O3874" s="14"/>
      <c r="P3874" s="17">
        <v>1</v>
      </c>
      <c r="Q3874" s="19">
        <v>50</v>
      </c>
      <c r="R3874" s="14">
        <v>3000</v>
      </c>
      <c r="S3874" s="19">
        <v>150000</v>
      </c>
      <c r="T3874" s="17"/>
      <c r="U3874" s="17"/>
      <c r="V3874" s="17"/>
      <c r="W3874" s="4"/>
      <c r="X3874" s="17"/>
      <c r="Y3874" s="4"/>
      <c r="Z3874" s="17"/>
      <c r="AA3874" s="17"/>
      <c r="AB3874" s="17"/>
      <c r="AC3874" s="14"/>
      <c r="AD3874" s="14"/>
      <c r="AE3874" s="17"/>
      <c r="AF3874" s="14"/>
      <c r="AG3874" s="54"/>
      <c r="AH3874" s="11"/>
      <c r="AI3874" s="14"/>
      <c r="AJ3874" s="19">
        <v>0</v>
      </c>
      <c r="AK3874" s="23">
        <v>0</v>
      </c>
      <c r="AL3874" s="11"/>
      <c r="AM3874" s="19">
        <v>0</v>
      </c>
      <c r="AN3874" s="19">
        <v>150000</v>
      </c>
      <c r="AO3874" s="14"/>
      <c r="AP3874" s="14">
        <v>150000</v>
      </c>
      <c r="AQ3874" s="12"/>
      <c r="AS3874" s="26"/>
    </row>
    <row r="3875" spans="1:45" s="19" customFormat="1" x14ac:dyDescent="0.2">
      <c r="A3875" s="2">
        <v>3305</v>
      </c>
      <c r="B3875" s="13">
        <v>2</v>
      </c>
      <c r="C3875" s="17" t="s">
        <v>52</v>
      </c>
      <c r="D3875" s="17">
        <v>1382</v>
      </c>
      <c r="E3875" s="17">
        <v>133</v>
      </c>
      <c r="F3875" s="17">
        <v>951</v>
      </c>
      <c r="G3875" s="13">
        <v>1</v>
      </c>
      <c r="H3875" s="17">
        <v>5</v>
      </c>
      <c r="I3875" s="17">
        <v>2</v>
      </c>
      <c r="J3875" s="17">
        <v>88</v>
      </c>
      <c r="K3875" s="10">
        <v>2288</v>
      </c>
      <c r="L3875" s="17"/>
      <c r="M3875" s="15"/>
      <c r="N3875" s="18"/>
      <c r="O3875" s="14"/>
      <c r="P3875" s="17">
        <v>1</v>
      </c>
      <c r="Q3875" s="19">
        <v>2288</v>
      </c>
      <c r="R3875" s="14">
        <v>160</v>
      </c>
      <c r="S3875" s="19">
        <v>366080</v>
      </c>
      <c r="T3875" s="17"/>
      <c r="U3875" s="17"/>
      <c r="V3875" s="17"/>
      <c r="W3875" s="4"/>
      <c r="X3875" s="17"/>
      <c r="Y3875" s="4"/>
      <c r="Z3875" s="17"/>
      <c r="AA3875" s="17"/>
      <c r="AB3875" s="17"/>
      <c r="AC3875" s="14"/>
      <c r="AD3875" s="14"/>
      <c r="AE3875" s="17"/>
      <c r="AF3875" s="14"/>
      <c r="AG3875" s="54"/>
      <c r="AH3875" s="11"/>
      <c r="AI3875" s="14"/>
      <c r="AJ3875" s="19">
        <v>0</v>
      </c>
      <c r="AK3875" s="23">
        <v>0</v>
      </c>
      <c r="AL3875" s="11"/>
      <c r="AM3875" s="19">
        <v>0</v>
      </c>
      <c r="AN3875" s="19">
        <v>366080</v>
      </c>
      <c r="AO3875" s="14"/>
      <c r="AP3875" s="14">
        <v>366080</v>
      </c>
      <c r="AQ3875" s="12"/>
      <c r="AS3875" s="26"/>
    </row>
    <row r="3876" spans="1:45" s="19" customFormat="1" ht="63" x14ac:dyDescent="0.2">
      <c r="A3876" s="2">
        <v>3306</v>
      </c>
      <c r="B3876" s="13">
        <v>3</v>
      </c>
      <c r="C3876" s="17" t="s">
        <v>52</v>
      </c>
      <c r="D3876" s="17">
        <v>1417</v>
      </c>
      <c r="E3876" s="17">
        <v>134</v>
      </c>
      <c r="F3876" s="17">
        <v>612</v>
      </c>
      <c r="G3876" s="13">
        <v>1</v>
      </c>
      <c r="H3876" s="17">
        <v>6</v>
      </c>
      <c r="I3876" s="17">
        <v>0</v>
      </c>
      <c r="J3876" s="17">
        <v>82</v>
      </c>
      <c r="K3876" s="10">
        <v>2336.75</v>
      </c>
      <c r="L3876" s="17">
        <v>45</v>
      </c>
      <c r="M3876" s="15"/>
      <c r="N3876" s="18"/>
      <c r="O3876" s="14"/>
      <c r="P3876" s="17">
        <v>5</v>
      </c>
      <c r="Q3876" s="19">
        <v>2482</v>
      </c>
      <c r="R3876" s="14">
        <v>200</v>
      </c>
      <c r="S3876" s="19">
        <v>496400</v>
      </c>
      <c r="T3876" s="17">
        <v>1</v>
      </c>
      <c r="U3876" s="17" t="s">
        <v>57</v>
      </c>
      <c r="V3876" s="17" t="s">
        <v>56</v>
      </c>
      <c r="W3876" s="4">
        <v>180</v>
      </c>
      <c r="X3876" s="17"/>
      <c r="Y3876" s="4">
        <v>180</v>
      </c>
      <c r="Z3876" s="17"/>
      <c r="AA3876" s="17"/>
      <c r="AB3876" s="17">
        <v>17</v>
      </c>
      <c r="AC3876" s="14"/>
      <c r="AD3876" s="14"/>
      <c r="AE3876" s="17"/>
      <c r="AF3876" s="14"/>
      <c r="AG3876" s="54"/>
      <c r="AH3876" s="11"/>
      <c r="AI3876" s="14"/>
      <c r="AJ3876" s="19">
        <v>0</v>
      </c>
      <c r="AK3876" s="23">
        <v>17</v>
      </c>
      <c r="AL3876" s="11"/>
      <c r="AM3876" s="19">
        <v>0</v>
      </c>
      <c r="AN3876" s="19">
        <v>496400</v>
      </c>
      <c r="AO3876" s="14"/>
      <c r="AP3876" s="14">
        <v>496400</v>
      </c>
      <c r="AQ3876" s="12"/>
      <c r="AS3876" s="26"/>
    </row>
    <row r="3877" spans="1:45" s="19" customFormat="1" ht="63" x14ac:dyDescent="0.2">
      <c r="A3877" s="2"/>
      <c r="B3877" s="13"/>
      <c r="C3877" s="17"/>
      <c r="D3877" s="17"/>
      <c r="E3877" s="17"/>
      <c r="F3877" s="17"/>
      <c r="G3877" s="13"/>
      <c r="H3877" s="17"/>
      <c r="I3877" s="17"/>
      <c r="J3877" s="17"/>
      <c r="K3877" s="10"/>
      <c r="L3877" s="17">
        <v>28</v>
      </c>
      <c r="M3877" s="15"/>
      <c r="N3877" s="18"/>
      <c r="O3877" s="14"/>
      <c r="P3877" s="17"/>
      <c r="Q3877" s="19">
        <v>0</v>
      </c>
      <c r="R3877" s="14" t="e">
        <v>#N/A</v>
      </c>
      <c r="S3877" s="19" t="e">
        <v>#N/A</v>
      </c>
      <c r="T3877" s="17">
        <v>2</v>
      </c>
      <c r="U3877" s="17" t="s">
        <v>57</v>
      </c>
      <c r="V3877" s="17" t="s">
        <v>56</v>
      </c>
      <c r="W3877" s="4">
        <v>112</v>
      </c>
      <c r="X3877" s="17"/>
      <c r="Y3877" s="4">
        <v>112</v>
      </c>
      <c r="Z3877" s="17"/>
      <c r="AA3877" s="17"/>
      <c r="AB3877" s="17">
        <v>27</v>
      </c>
      <c r="AC3877" s="14"/>
      <c r="AD3877" s="14"/>
      <c r="AE3877" s="17"/>
      <c r="AF3877" s="14"/>
      <c r="AG3877" s="54"/>
      <c r="AH3877" s="11"/>
      <c r="AI3877" s="14"/>
      <c r="AJ3877" s="19">
        <v>0</v>
      </c>
      <c r="AK3877" s="23">
        <v>27</v>
      </c>
      <c r="AL3877" s="11"/>
      <c r="AM3877" s="19">
        <v>0</v>
      </c>
      <c r="AN3877" s="19" t="e">
        <v>#N/A</v>
      </c>
      <c r="AO3877" s="14"/>
      <c r="AP3877" s="14" t="e">
        <v>#N/A</v>
      </c>
      <c r="AQ3877" s="12"/>
      <c r="AS3877" s="26"/>
    </row>
    <row r="3878" spans="1:45" s="19" customFormat="1" ht="63" x14ac:dyDescent="0.2">
      <c r="A3878" s="2"/>
      <c r="B3878" s="13"/>
      <c r="C3878" s="17"/>
      <c r="D3878" s="17"/>
      <c r="E3878" s="17"/>
      <c r="F3878" s="17"/>
      <c r="G3878" s="13"/>
      <c r="H3878" s="17"/>
      <c r="I3878" s="17"/>
      <c r="J3878" s="17"/>
      <c r="K3878" s="10"/>
      <c r="L3878" s="17">
        <v>12.5</v>
      </c>
      <c r="M3878" s="15"/>
      <c r="N3878" s="18"/>
      <c r="O3878" s="14"/>
      <c r="P3878" s="17"/>
      <c r="Q3878" s="19">
        <v>0</v>
      </c>
      <c r="R3878" s="14" t="e">
        <v>#N/A</v>
      </c>
      <c r="S3878" s="19" t="e">
        <v>#N/A</v>
      </c>
      <c r="T3878" s="17">
        <v>3</v>
      </c>
      <c r="U3878" s="17" t="s">
        <v>57</v>
      </c>
      <c r="V3878" s="17" t="s">
        <v>56</v>
      </c>
      <c r="W3878" s="4">
        <v>50</v>
      </c>
      <c r="X3878" s="17"/>
      <c r="Y3878" s="4">
        <v>50</v>
      </c>
      <c r="Z3878" s="17"/>
      <c r="AA3878" s="17"/>
      <c r="AB3878" s="17">
        <v>21</v>
      </c>
      <c r="AC3878" s="14"/>
      <c r="AD3878" s="14"/>
      <c r="AE3878" s="17"/>
      <c r="AF3878" s="14"/>
      <c r="AG3878" s="54"/>
      <c r="AH3878" s="11"/>
      <c r="AI3878" s="14"/>
      <c r="AJ3878" s="19">
        <v>0</v>
      </c>
      <c r="AK3878" s="23">
        <v>21</v>
      </c>
      <c r="AL3878" s="11"/>
      <c r="AM3878" s="19">
        <v>0</v>
      </c>
      <c r="AN3878" s="19" t="e">
        <v>#N/A</v>
      </c>
      <c r="AO3878" s="14"/>
      <c r="AP3878" s="14" t="e">
        <v>#N/A</v>
      </c>
      <c r="AQ3878" s="12"/>
      <c r="AS3878" s="26"/>
    </row>
    <row r="3879" spans="1:45" s="19" customFormat="1" ht="63" x14ac:dyDescent="0.2">
      <c r="A3879" s="2"/>
      <c r="B3879" s="13"/>
      <c r="C3879" s="17"/>
      <c r="D3879" s="17"/>
      <c r="E3879" s="17"/>
      <c r="F3879" s="17"/>
      <c r="G3879" s="13"/>
      <c r="H3879" s="17"/>
      <c r="I3879" s="17"/>
      <c r="J3879" s="17"/>
      <c r="K3879" s="10"/>
      <c r="L3879" s="17">
        <v>47.25</v>
      </c>
      <c r="M3879" s="15"/>
      <c r="N3879" s="18"/>
      <c r="O3879" s="14"/>
      <c r="P3879" s="17"/>
      <c r="Q3879" s="19">
        <v>0</v>
      </c>
      <c r="R3879" s="14" t="e">
        <v>#N/A</v>
      </c>
      <c r="S3879" s="19" t="e">
        <v>#N/A</v>
      </c>
      <c r="T3879" s="17">
        <v>4</v>
      </c>
      <c r="U3879" s="17" t="s">
        <v>57</v>
      </c>
      <c r="V3879" s="17" t="s">
        <v>56</v>
      </c>
      <c r="W3879" s="4">
        <v>189</v>
      </c>
      <c r="X3879" s="17"/>
      <c r="Y3879" s="4">
        <v>189</v>
      </c>
      <c r="Z3879" s="17"/>
      <c r="AA3879" s="17"/>
      <c r="AB3879" s="17"/>
      <c r="AC3879" s="14"/>
      <c r="AD3879" s="14"/>
      <c r="AE3879" s="17"/>
      <c r="AF3879" s="14"/>
      <c r="AG3879" s="54"/>
      <c r="AH3879" s="11"/>
      <c r="AI3879" s="14"/>
      <c r="AJ3879" s="19">
        <v>0</v>
      </c>
      <c r="AK3879" s="23">
        <v>0</v>
      </c>
      <c r="AL3879" s="11"/>
      <c r="AM3879" s="19">
        <v>0</v>
      </c>
      <c r="AN3879" s="19" t="e">
        <v>#N/A</v>
      </c>
      <c r="AO3879" s="14"/>
      <c r="AP3879" s="14" t="e">
        <v>#N/A</v>
      </c>
      <c r="AQ3879" s="12"/>
      <c r="AS3879" s="26"/>
    </row>
    <row r="3880" spans="1:45" s="19" customFormat="1" ht="42" x14ac:dyDescent="0.2">
      <c r="A3880" s="2"/>
      <c r="B3880" s="13"/>
      <c r="C3880" s="17"/>
      <c r="D3880" s="17"/>
      <c r="E3880" s="17"/>
      <c r="F3880" s="17"/>
      <c r="G3880" s="13"/>
      <c r="H3880" s="17"/>
      <c r="I3880" s="17"/>
      <c r="J3880" s="17"/>
      <c r="K3880" s="10"/>
      <c r="L3880" s="17">
        <v>12.5</v>
      </c>
      <c r="M3880" s="15"/>
      <c r="N3880" s="18"/>
      <c r="O3880" s="14"/>
      <c r="P3880" s="17"/>
      <c r="Q3880" s="19">
        <v>0</v>
      </c>
      <c r="R3880" s="14" t="e">
        <v>#N/A</v>
      </c>
      <c r="S3880" s="19" t="e">
        <v>#N/A</v>
      </c>
      <c r="T3880" s="17">
        <v>5</v>
      </c>
      <c r="U3880" s="17" t="s">
        <v>133</v>
      </c>
      <c r="V3880" s="17"/>
      <c r="W3880" s="4">
        <v>50</v>
      </c>
      <c r="X3880" s="17"/>
      <c r="Y3880" s="4">
        <v>50</v>
      </c>
      <c r="Z3880" s="17"/>
      <c r="AA3880" s="17"/>
      <c r="AB3880" s="17"/>
      <c r="AC3880" s="14"/>
      <c r="AD3880" s="14"/>
      <c r="AE3880" s="17"/>
      <c r="AF3880" s="14"/>
      <c r="AG3880" s="54"/>
      <c r="AH3880" s="11"/>
      <c r="AI3880" s="14"/>
      <c r="AJ3880" s="19">
        <v>0</v>
      </c>
      <c r="AK3880" s="23">
        <v>0</v>
      </c>
      <c r="AL3880" s="11"/>
      <c r="AM3880" s="19">
        <v>0</v>
      </c>
      <c r="AN3880" s="19" t="e">
        <v>#N/A</v>
      </c>
      <c r="AO3880" s="14"/>
      <c r="AP3880" s="14" t="e">
        <v>#N/A</v>
      </c>
      <c r="AQ3880" s="12"/>
      <c r="AS3880" s="26"/>
    </row>
    <row r="3881" spans="1:45" s="19" customFormat="1" x14ac:dyDescent="0.2">
      <c r="A3881" s="2">
        <v>3307</v>
      </c>
      <c r="B3881" s="13">
        <v>4</v>
      </c>
      <c r="C3881" s="17" t="s">
        <v>69</v>
      </c>
      <c r="D3881" s="17"/>
      <c r="E3881" s="17">
        <v>158</v>
      </c>
      <c r="F3881" s="17">
        <v>5</v>
      </c>
      <c r="G3881" s="13">
        <v>1</v>
      </c>
      <c r="H3881" s="17">
        <v>42</v>
      </c>
      <c r="I3881" s="17">
        <v>1</v>
      </c>
      <c r="J3881" s="17">
        <v>1</v>
      </c>
      <c r="K3881" s="10">
        <v>16901</v>
      </c>
      <c r="L3881" s="17"/>
      <c r="M3881" s="15"/>
      <c r="N3881" s="18"/>
      <c r="O3881" s="14"/>
      <c r="P3881" s="17">
        <v>1</v>
      </c>
      <c r="Q3881" s="19">
        <v>16901</v>
      </c>
      <c r="R3881" s="14">
        <v>200</v>
      </c>
      <c r="S3881" s="19">
        <v>3380200</v>
      </c>
      <c r="T3881" s="17"/>
      <c r="U3881" s="17"/>
      <c r="V3881" s="17"/>
      <c r="W3881" s="4"/>
      <c r="X3881" s="17"/>
      <c r="Y3881" s="4"/>
      <c r="Z3881" s="17"/>
      <c r="AA3881" s="17"/>
      <c r="AB3881" s="17"/>
      <c r="AC3881" s="14"/>
      <c r="AD3881" s="14"/>
      <c r="AE3881" s="17"/>
      <c r="AF3881" s="14"/>
      <c r="AG3881" s="54"/>
      <c r="AH3881" s="11"/>
      <c r="AI3881" s="14"/>
      <c r="AJ3881" s="19">
        <v>0</v>
      </c>
      <c r="AK3881" s="23">
        <v>0</v>
      </c>
      <c r="AL3881" s="11"/>
      <c r="AM3881" s="19">
        <v>0</v>
      </c>
      <c r="AN3881" s="19">
        <v>3380200</v>
      </c>
      <c r="AO3881" s="14"/>
      <c r="AP3881" s="14">
        <v>3380200</v>
      </c>
      <c r="AQ3881" s="12">
        <v>1E-4</v>
      </c>
      <c r="AS3881" s="26"/>
    </row>
    <row r="3882" spans="1:45" s="19" customFormat="1" x14ac:dyDescent="0.2">
      <c r="A3882" s="2">
        <f>+A3881+1</f>
        <v>3308</v>
      </c>
      <c r="B3882" s="13">
        <v>5</v>
      </c>
      <c r="C3882" s="17" t="s">
        <v>65</v>
      </c>
      <c r="D3882" s="17">
        <v>1993</v>
      </c>
      <c r="E3882" s="17">
        <v>27</v>
      </c>
      <c r="F3882" s="17"/>
      <c r="G3882" s="13"/>
      <c r="H3882" s="17">
        <v>14</v>
      </c>
      <c r="I3882" s="17">
        <v>3</v>
      </c>
      <c r="J3882" s="17">
        <v>66</v>
      </c>
      <c r="K3882" s="10">
        <v>5966</v>
      </c>
      <c r="L3882" s="17"/>
      <c r="M3882" s="15"/>
      <c r="N3882" s="18"/>
      <c r="O3882" s="14"/>
      <c r="P3882" s="17">
        <v>1</v>
      </c>
      <c r="Q3882" s="19">
        <v>5966</v>
      </c>
      <c r="R3882" s="14">
        <v>160</v>
      </c>
      <c r="S3882" s="19">
        <v>954560</v>
      </c>
      <c r="T3882" s="17"/>
      <c r="U3882" s="17"/>
      <c r="V3882" s="17"/>
      <c r="W3882" s="4"/>
      <c r="X3882" s="17"/>
      <c r="Y3882" s="4"/>
      <c r="Z3882" s="17"/>
      <c r="AA3882" s="17"/>
      <c r="AB3882" s="17"/>
      <c r="AC3882" s="14"/>
      <c r="AD3882" s="14"/>
      <c r="AE3882" s="17"/>
      <c r="AF3882" s="14"/>
      <c r="AG3882" s="54"/>
      <c r="AH3882" s="11"/>
      <c r="AI3882" s="14"/>
      <c r="AJ3882" s="19">
        <v>0</v>
      </c>
      <c r="AK3882" s="23">
        <v>0</v>
      </c>
      <c r="AL3882" s="11"/>
      <c r="AM3882" s="19">
        <v>0</v>
      </c>
      <c r="AN3882" s="19">
        <v>954560</v>
      </c>
      <c r="AO3882" s="14"/>
      <c r="AP3882" s="14">
        <v>954560</v>
      </c>
      <c r="AQ3882" s="12">
        <v>1E-4</v>
      </c>
      <c r="AS3882" s="26"/>
    </row>
    <row r="3883" spans="1:45" s="19" customFormat="1" x14ac:dyDescent="0.2">
      <c r="A3883" s="121">
        <f t="shared" ref="A3883:A3902" si="493">+A3882+1</f>
        <v>3309</v>
      </c>
      <c r="B3883" s="13">
        <v>1</v>
      </c>
      <c r="C3883" s="17" t="s">
        <v>52</v>
      </c>
      <c r="D3883" s="17">
        <v>1420</v>
      </c>
      <c r="E3883" s="17">
        <v>9</v>
      </c>
      <c r="F3883" s="17">
        <v>615</v>
      </c>
      <c r="G3883" s="13">
        <v>1</v>
      </c>
      <c r="H3883" s="17">
        <v>0</v>
      </c>
      <c r="I3883" s="17">
        <v>0</v>
      </c>
      <c r="J3883" s="17">
        <v>63</v>
      </c>
      <c r="K3883" s="10"/>
      <c r="L3883" s="17"/>
      <c r="M3883" s="15"/>
      <c r="N3883" s="18">
        <v>63</v>
      </c>
      <c r="O3883" s="14"/>
      <c r="P3883" s="17">
        <v>4</v>
      </c>
      <c r="Q3883" s="19">
        <v>63</v>
      </c>
      <c r="R3883" s="14">
        <v>250</v>
      </c>
      <c r="S3883" s="19">
        <v>15750</v>
      </c>
      <c r="T3883" s="17"/>
      <c r="U3883" s="17"/>
      <c r="V3883" s="17"/>
      <c r="W3883" s="4"/>
      <c r="X3883" s="17"/>
      <c r="Y3883" s="4"/>
      <c r="Z3883" s="17"/>
      <c r="AA3883" s="17"/>
      <c r="AB3883" s="17"/>
      <c r="AC3883" s="14"/>
      <c r="AD3883" s="14"/>
      <c r="AE3883" s="17"/>
      <c r="AF3883" s="14"/>
      <c r="AG3883" s="54"/>
      <c r="AH3883" s="11"/>
      <c r="AI3883" s="14"/>
      <c r="AJ3883" s="19">
        <v>0</v>
      </c>
      <c r="AK3883" s="23">
        <v>0</v>
      </c>
      <c r="AL3883" s="11"/>
      <c r="AM3883" s="19">
        <v>0</v>
      </c>
      <c r="AN3883" s="19">
        <v>15750</v>
      </c>
      <c r="AO3883" s="14"/>
      <c r="AP3883" s="14">
        <v>15750</v>
      </c>
      <c r="AQ3883" s="12">
        <v>3.0000000000000001E-3</v>
      </c>
      <c r="AS3883" s="26"/>
    </row>
    <row r="3884" spans="1:45" s="19" customFormat="1" x14ac:dyDescent="0.2">
      <c r="A3884" s="121">
        <f t="shared" si="493"/>
        <v>3310</v>
      </c>
      <c r="B3884" s="13">
        <v>2</v>
      </c>
      <c r="C3884" s="17" t="s">
        <v>52</v>
      </c>
      <c r="D3884" s="17">
        <v>1421</v>
      </c>
      <c r="E3884" s="17">
        <v>8</v>
      </c>
      <c r="F3884" s="17">
        <v>616</v>
      </c>
      <c r="G3884" s="13">
        <v>1</v>
      </c>
      <c r="H3884" s="17">
        <v>0</v>
      </c>
      <c r="I3884" s="17">
        <v>0</v>
      </c>
      <c r="J3884" s="17">
        <v>52</v>
      </c>
      <c r="K3884" s="10"/>
      <c r="L3884" s="17"/>
      <c r="M3884" s="15"/>
      <c r="N3884" s="18">
        <v>52</v>
      </c>
      <c r="O3884" s="14"/>
      <c r="P3884" s="17">
        <v>4</v>
      </c>
      <c r="Q3884" s="19">
        <v>52</v>
      </c>
      <c r="R3884" s="14">
        <v>250</v>
      </c>
      <c r="S3884" s="19">
        <v>13000</v>
      </c>
      <c r="T3884" s="17"/>
      <c r="U3884" s="17"/>
      <c r="V3884" s="17"/>
      <c r="W3884" s="4"/>
      <c r="X3884" s="17"/>
      <c r="Y3884" s="4"/>
      <c r="Z3884" s="17"/>
      <c r="AA3884" s="17"/>
      <c r="AB3884" s="17"/>
      <c r="AC3884" s="14"/>
      <c r="AD3884" s="14"/>
      <c r="AE3884" s="17"/>
      <c r="AF3884" s="14"/>
      <c r="AG3884" s="54"/>
      <c r="AH3884" s="11"/>
      <c r="AI3884" s="14"/>
      <c r="AJ3884" s="19">
        <v>0</v>
      </c>
      <c r="AK3884" s="23">
        <v>0</v>
      </c>
      <c r="AL3884" s="11"/>
      <c r="AM3884" s="19">
        <v>0</v>
      </c>
      <c r="AN3884" s="19">
        <v>13000</v>
      </c>
      <c r="AO3884" s="14"/>
      <c r="AP3884" s="14">
        <v>13000</v>
      </c>
      <c r="AQ3884" s="12">
        <v>3.0000000000000001E-3</v>
      </c>
      <c r="AS3884" s="26"/>
    </row>
    <row r="3885" spans="1:45" s="19" customFormat="1" x14ac:dyDescent="0.2">
      <c r="A3885" s="121">
        <f t="shared" si="493"/>
        <v>3311</v>
      </c>
      <c r="B3885" s="13">
        <v>3</v>
      </c>
      <c r="C3885" s="17" t="s">
        <v>52</v>
      </c>
      <c r="D3885" s="17">
        <v>4606</v>
      </c>
      <c r="E3885" s="17">
        <v>74</v>
      </c>
      <c r="F3885" s="17">
        <v>2425</v>
      </c>
      <c r="G3885" s="13">
        <v>1</v>
      </c>
      <c r="H3885" s="17">
        <v>6</v>
      </c>
      <c r="I3885" s="17">
        <v>0</v>
      </c>
      <c r="J3885" s="17">
        <v>9</v>
      </c>
      <c r="K3885" s="10">
        <v>2409</v>
      </c>
      <c r="L3885" s="17"/>
      <c r="M3885" s="15"/>
      <c r="N3885" s="18"/>
      <c r="O3885" s="14"/>
      <c r="P3885" s="17">
        <v>1</v>
      </c>
      <c r="Q3885" s="19">
        <v>2409</v>
      </c>
      <c r="R3885" s="14">
        <v>200</v>
      </c>
      <c r="S3885" s="19">
        <v>481800</v>
      </c>
      <c r="T3885" s="17"/>
      <c r="U3885" s="17"/>
      <c r="V3885" s="17"/>
      <c r="W3885" s="4"/>
      <c r="X3885" s="17"/>
      <c r="Y3885" s="4"/>
      <c r="Z3885" s="17"/>
      <c r="AA3885" s="17"/>
      <c r="AB3885" s="17"/>
      <c r="AC3885" s="14"/>
      <c r="AD3885" s="14"/>
      <c r="AE3885" s="17"/>
      <c r="AF3885" s="14"/>
      <c r="AG3885" s="54"/>
      <c r="AH3885" s="11"/>
      <c r="AI3885" s="14"/>
      <c r="AJ3885" s="19">
        <v>0</v>
      </c>
      <c r="AK3885" s="23">
        <v>0</v>
      </c>
      <c r="AL3885" s="11"/>
      <c r="AM3885" s="19">
        <v>0</v>
      </c>
      <c r="AN3885" s="19">
        <v>481800</v>
      </c>
      <c r="AO3885" s="14"/>
      <c r="AP3885" s="14">
        <v>481800</v>
      </c>
      <c r="AQ3885" s="12"/>
      <c r="AS3885" s="26"/>
    </row>
    <row r="3886" spans="1:45" s="19" customFormat="1" x14ac:dyDescent="0.2">
      <c r="A3886" s="121">
        <f t="shared" si="493"/>
        <v>3312</v>
      </c>
      <c r="B3886" s="13">
        <v>4</v>
      </c>
      <c r="C3886" s="17" t="s">
        <v>52</v>
      </c>
      <c r="D3886" s="17">
        <v>23425</v>
      </c>
      <c r="E3886" s="17">
        <v>207</v>
      </c>
      <c r="F3886" s="17">
        <v>4842</v>
      </c>
      <c r="G3886" s="13">
        <v>1</v>
      </c>
      <c r="H3886" s="17">
        <v>0</v>
      </c>
      <c r="I3886" s="17">
        <v>0</v>
      </c>
      <c r="J3886" s="17">
        <v>49</v>
      </c>
      <c r="K3886" s="10">
        <v>49</v>
      </c>
      <c r="L3886" s="17"/>
      <c r="M3886" s="15"/>
      <c r="N3886" s="18"/>
      <c r="O3886" s="14"/>
      <c r="P3886" s="17">
        <v>1</v>
      </c>
      <c r="Q3886" s="19">
        <v>49</v>
      </c>
      <c r="R3886" s="14">
        <v>250</v>
      </c>
      <c r="S3886" s="19">
        <v>12250</v>
      </c>
      <c r="T3886" s="17"/>
      <c r="U3886" s="17"/>
      <c r="V3886" s="17"/>
      <c r="W3886" s="4"/>
      <c r="X3886" s="17"/>
      <c r="Y3886" s="4"/>
      <c r="Z3886" s="17"/>
      <c r="AA3886" s="17"/>
      <c r="AB3886" s="17"/>
      <c r="AC3886" s="14"/>
      <c r="AD3886" s="14"/>
      <c r="AE3886" s="17"/>
      <c r="AF3886" s="14"/>
      <c r="AG3886" s="54"/>
      <c r="AH3886" s="11"/>
      <c r="AI3886" s="14"/>
      <c r="AJ3886" s="19">
        <v>0</v>
      </c>
      <c r="AK3886" s="23">
        <v>0</v>
      </c>
      <c r="AL3886" s="11"/>
      <c r="AM3886" s="19">
        <v>0</v>
      </c>
      <c r="AN3886" s="19">
        <v>12250</v>
      </c>
      <c r="AO3886" s="14"/>
      <c r="AP3886" s="14">
        <v>12250</v>
      </c>
      <c r="AQ3886" s="12"/>
      <c r="AS3886" s="26"/>
    </row>
    <row r="3887" spans="1:45" s="19" customFormat="1" x14ac:dyDescent="0.2">
      <c r="A3887" s="121">
        <f t="shared" si="493"/>
        <v>3313</v>
      </c>
      <c r="B3887" s="13">
        <v>5</v>
      </c>
      <c r="C3887" s="17" t="s">
        <v>52</v>
      </c>
      <c r="D3887" s="17">
        <v>3187</v>
      </c>
      <c r="E3887" s="17">
        <v>32</v>
      </c>
      <c r="F3887" s="17">
        <v>2119</v>
      </c>
      <c r="G3887" s="13">
        <v>2</v>
      </c>
      <c r="H3887" s="17">
        <v>6</v>
      </c>
      <c r="I3887" s="17">
        <v>3</v>
      </c>
      <c r="J3887" s="17">
        <v>57</v>
      </c>
      <c r="K3887" s="10">
        <v>2757</v>
      </c>
      <c r="L3887" s="17"/>
      <c r="M3887" s="15"/>
      <c r="N3887" s="18"/>
      <c r="O3887" s="14"/>
      <c r="P3887" s="17">
        <v>1</v>
      </c>
      <c r="Q3887" s="19">
        <v>2757</v>
      </c>
      <c r="R3887" s="14">
        <v>160</v>
      </c>
      <c r="S3887" s="19">
        <v>441120</v>
      </c>
      <c r="T3887" s="17"/>
      <c r="U3887" s="17"/>
      <c r="V3887" s="17"/>
      <c r="W3887" s="4"/>
      <c r="X3887" s="17"/>
      <c r="Y3887" s="4"/>
      <c r="Z3887" s="17"/>
      <c r="AA3887" s="17"/>
      <c r="AB3887" s="17"/>
      <c r="AC3887" s="14"/>
      <c r="AD3887" s="14"/>
      <c r="AE3887" s="17"/>
      <c r="AF3887" s="14"/>
      <c r="AG3887" s="54"/>
      <c r="AH3887" s="11"/>
      <c r="AI3887" s="14"/>
      <c r="AJ3887" s="19">
        <v>0</v>
      </c>
      <c r="AK3887" s="23">
        <v>0</v>
      </c>
      <c r="AL3887" s="11"/>
      <c r="AM3887" s="19">
        <v>0</v>
      </c>
      <c r="AN3887" s="19">
        <v>441120</v>
      </c>
      <c r="AO3887" s="14"/>
      <c r="AP3887" s="14">
        <v>441120</v>
      </c>
      <c r="AQ3887" s="12"/>
      <c r="AS3887" s="26"/>
    </row>
    <row r="3888" spans="1:45" s="19" customFormat="1" x14ac:dyDescent="0.2">
      <c r="A3888" s="121">
        <f t="shared" si="493"/>
        <v>3314</v>
      </c>
      <c r="B3888" s="13">
        <v>6</v>
      </c>
      <c r="C3888" s="17" t="s">
        <v>52</v>
      </c>
      <c r="D3888" s="17">
        <v>3188</v>
      </c>
      <c r="E3888" s="17">
        <v>26</v>
      </c>
      <c r="F3888" s="17">
        <v>2120</v>
      </c>
      <c r="G3888" s="13">
        <v>2</v>
      </c>
      <c r="H3888" s="17">
        <v>5</v>
      </c>
      <c r="I3888" s="17">
        <v>3</v>
      </c>
      <c r="J3888" s="17">
        <v>57</v>
      </c>
      <c r="K3888" s="10">
        <v>2357</v>
      </c>
      <c r="L3888" s="17"/>
      <c r="M3888" s="15"/>
      <c r="N3888" s="18"/>
      <c r="O3888" s="14"/>
      <c r="P3888" s="17">
        <v>1</v>
      </c>
      <c r="Q3888" s="19">
        <v>2357</v>
      </c>
      <c r="R3888" s="14">
        <v>200</v>
      </c>
      <c r="S3888" s="19">
        <v>471400</v>
      </c>
      <c r="T3888" s="17"/>
      <c r="U3888" s="17"/>
      <c r="V3888" s="17"/>
      <c r="W3888" s="4"/>
      <c r="X3888" s="17"/>
      <c r="Y3888" s="4"/>
      <c r="Z3888" s="17"/>
      <c r="AA3888" s="17"/>
      <c r="AB3888" s="17"/>
      <c r="AC3888" s="14"/>
      <c r="AD3888" s="14"/>
      <c r="AE3888" s="17"/>
      <c r="AF3888" s="14"/>
      <c r="AG3888" s="54"/>
      <c r="AH3888" s="11"/>
      <c r="AI3888" s="14"/>
      <c r="AJ3888" s="19">
        <v>0</v>
      </c>
      <c r="AK3888" s="23">
        <v>0</v>
      </c>
      <c r="AL3888" s="11"/>
      <c r="AM3888" s="19">
        <v>0</v>
      </c>
      <c r="AN3888" s="19">
        <v>471400</v>
      </c>
      <c r="AO3888" s="14"/>
      <c r="AP3888" s="14">
        <v>471400</v>
      </c>
      <c r="AQ3888" s="12"/>
      <c r="AS3888" s="26"/>
    </row>
    <row r="3889" spans="1:45" s="19" customFormat="1" x14ac:dyDescent="0.2">
      <c r="A3889" s="121">
        <f t="shared" si="493"/>
        <v>3315</v>
      </c>
      <c r="B3889" s="13">
        <v>7</v>
      </c>
      <c r="C3889" s="17" t="s">
        <v>52</v>
      </c>
      <c r="D3889" s="17">
        <v>3189</v>
      </c>
      <c r="E3889" s="17">
        <v>27</v>
      </c>
      <c r="F3889" s="17">
        <v>2121</v>
      </c>
      <c r="G3889" s="13">
        <v>2</v>
      </c>
      <c r="H3889" s="17">
        <v>1</v>
      </c>
      <c r="I3889" s="17">
        <v>2</v>
      </c>
      <c r="J3889" s="17">
        <v>43</v>
      </c>
      <c r="K3889" s="10">
        <v>643</v>
      </c>
      <c r="L3889" s="17"/>
      <c r="M3889" s="15"/>
      <c r="N3889" s="18"/>
      <c r="O3889" s="14"/>
      <c r="P3889" s="17">
        <v>1</v>
      </c>
      <c r="Q3889" s="19">
        <v>643</v>
      </c>
      <c r="R3889" s="14">
        <v>160</v>
      </c>
      <c r="S3889" s="19">
        <v>102880</v>
      </c>
      <c r="T3889" s="17"/>
      <c r="U3889" s="17"/>
      <c r="V3889" s="17"/>
      <c r="W3889" s="4"/>
      <c r="X3889" s="17"/>
      <c r="Y3889" s="4"/>
      <c r="Z3889" s="17"/>
      <c r="AA3889" s="17"/>
      <c r="AB3889" s="17"/>
      <c r="AC3889" s="14"/>
      <c r="AD3889" s="14"/>
      <c r="AE3889" s="17"/>
      <c r="AF3889" s="14"/>
      <c r="AG3889" s="54"/>
      <c r="AH3889" s="11"/>
      <c r="AI3889" s="14"/>
      <c r="AJ3889" s="19">
        <v>0</v>
      </c>
      <c r="AK3889" s="23">
        <v>0</v>
      </c>
      <c r="AL3889" s="11"/>
      <c r="AM3889" s="19">
        <v>0</v>
      </c>
      <c r="AN3889" s="19">
        <v>102880</v>
      </c>
      <c r="AO3889" s="14"/>
      <c r="AP3889" s="14">
        <v>102880</v>
      </c>
      <c r="AQ3889" s="12"/>
      <c r="AS3889" s="26"/>
    </row>
    <row r="3890" spans="1:45" s="19" customFormat="1" x14ac:dyDescent="0.2">
      <c r="A3890" s="121">
        <f t="shared" si="493"/>
        <v>3316</v>
      </c>
      <c r="B3890" s="13">
        <v>8</v>
      </c>
      <c r="C3890" s="17" t="s">
        <v>52</v>
      </c>
      <c r="D3890" s="17">
        <v>3186</v>
      </c>
      <c r="E3890" s="17">
        <v>31</v>
      </c>
      <c r="F3890" s="17">
        <v>2118</v>
      </c>
      <c r="G3890" s="13">
        <v>2</v>
      </c>
      <c r="H3890" s="17">
        <v>3</v>
      </c>
      <c r="I3890" s="17">
        <v>0</v>
      </c>
      <c r="J3890" s="17">
        <v>19</v>
      </c>
      <c r="K3890" s="10">
        <v>1219</v>
      </c>
      <c r="L3890" s="17"/>
      <c r="M3890" s="15"/>
      <c r="N3890" s="18"/>
      <c r="O3890" s="14"/>
      <c r="P3890" s="17">
        <v>1</v>
      </c>
      <c r="Q3890" s="19">
        <v>1219</v>
      </c>
      <c r="R3890" s="14">
        <v>160</v>
      </c>
      <c r="S3890" s="19">
        <v>195040</v>
      </c>
      <c r="T3890" s="17"/>
      <c r="U3890" s="17"/>
      <c r="V3890" s="17"/>
      <c r="W3890" s="4"/>
      <c r="X3890" s="17"/>
      <c r="Y3890" s="4"/>
      <c r="Z3890" s="17"/>
      <c r="AA3890" s="17"/>
      <c r="AB3890" s="17"/>
      <c r="AC3890" s="14"/>
      <c r="AD3890" s="14"/>
      <c r="AE3890" s="17"/>
      <c r="AF3890" s="14"/>
      <c r="AG3890" s="54"/>
      <c r="AH3890" s="11"/>
      <c r="AI3890" s="14"/>
      <c r="AJ3890" s="19">
        <v>0</v>
      </c>
      <c r="AK3890" s="23">
        <v>0</v>
      </c>
      <c r="AL3890" s="11"/>
      <c r="AM3890" s="19">
        <v>0</v>
      </c>
      <c r="AN3890" s="19">
        <v>195040</v>
      </c>
      <c r="AO3890" s="14"/>
      <c r="AP3890" s="14">
        <v>195040</v>
      </c>
      <c r="AQ3890" s="12"/>
      <c r="AS3890" s="26"/>
    </row>
    <row r="3891" spans="1:45" s="19" customFormat="1" x14ac:dyDescent="0.2">
      <c r="A3891" s="121">
        <f t="shared" si="493"/>
        <v>3317</v>
      </c>
      <c r="B3891" s="13">
        <v>9</v>
      </c>
      <c r="C3891" s="17" t="s">
        <v>69</v>
      </c>
      <c r="D3891" s="17"/>
      <c r="E3891" s="17">
        <v>158</v>
      </c>
      <c r="F3891" s="17">
        <v>4</v>
      </c>
      <c r="G3891" s="13">
        <v>1</v>
      </c>
      <c r="H3891" s="17">
        <v>20</v>
      </c>
      <c r="I3891" s="17">
        <v>3</v>
      </c>
      <c r="J3891" s="17">
        <v>40</v>
      </c>
      <c r="K3891" s="10">
        <v>8340</v>
      </c>
      <c r="L3891" s="17"/>
      <c r="M3891" s="15"/>
      <c r="N3891" s="18"/>
      <c r="O3891" s="14"/>
      <c r="P3891" s="17">
        <v>1</v>
      </c>
      <c r="Q3891" s="19">
        <v>8340</v>
      </c>
      <c r="R3891" s="14">
        <v>200</v>
      </c>
      <c r="S3891" s="19">
        <v>1668000</v>
      </c>
      <c r="T3891" s="17"/>
      <c r="U3891" s="17"/>
      <c r="V3891" s="17"/>
      <c r="W3891" s="4"/>
      <c r="X3891" s="17"/>
      <c r="Y3891" s="4"/>
      <c r="Z3891" s="17"/>
      <c r="AA3891" s="17"/>
      <c r="AB3891" s="17"/>
      <c r="AC3891" s="14"/>
      <c r="AD3891" s="14"/>
      <c r="AE3891" s="17"/>
      <c r="AF3891" s="14"/>
      <c r="AG3891" s="54"/>
      <c r="AH3891" s="11"/>
      <c r="AI3891" s="14"/>
      <c r="AJ3891" s="19">
        <v>0</v>
      </c>
      <c r="AK3891" s="23">
        <v>0</v>
      </c>
      <c r="AL3891" s="11"/>
      <c r="AM3891" s="19">
        <v>0</v>
      </c>
      <c r="AN3891" s="19">
        <v>1668000</v>
      </c>
      <c r="AO3891" s="14"/>
      <c r="AP3891" s="14">
        <v>1668000</v>
      </c>
      <c r="AQ3891" s="12">
        <v>1E-4</v>
      </c>
      <c r="AS3891" s="26"/>
    </row>
    <row r="3892" spans="1:45" s="19" customFormat="1" x14ac:dyDescent="0.2">
      <c r="A3892" s="121">
        <f t="shared" si="493"/>
        <v>3318</v>
      </c>
      <c r="B3892" s="13">
        <v>1</v>
      </c>
      <c r="C3892" s="17" t="s">
        <v>52</v>
      </c>
      <c r="D3892" s="17">
        <v>4188</v>
      </c>
      <c r="E3892" s="17">
        <v>59</v>
      </c>
      <c r="F3892" s="17">
        <v>2529</v>
      </c>
      <c r="G3892" s="13">
        <v>1</v>
      </c>
      <c r="H3892" s="17">
        <v>4</v>
      </c>
      <c r="I3892" s="17">
        <v>3</v>
      </c>
      <c r="J3892" s="17">
        <v>88</v>
      </c>
      <c r="K3892" s="10">
        <v>1988</v>
      </c>
      <c r="L3892" s="17"/>
      <c r="M3892" s="15"/>
      <c r="N3892" s="18"/>
      <c r="O3892" s="14"/>
      <c r="P3892" s="17">
        <v>1</v>
      </c>
      <c r="Q3892" s="19">
        <v>1988</v>
      </c>
      <c r="R3892" s="14">
        <v>200</v>
      </c>
      <c r="S3892" s="19">
        <v>397600</v>
      </c>
      <c r="T3892" s="17"/>
      <c r="U3892" s="17"/>
      <c r="V3892" s="17"/>
      <c r="W3892" s="4"/>
      <c r="X3892" s="17"/>
      <c r="Y3892" s="4"/>
      <c r="Z3892" s="17"/>
      <c r="AA3892" s="17"/>
      <c r="AB3892" s="17"/>
      <c r="AC3892" s="14"/>
      <c r="AD3892" s="14"/>
      <c r="AE3892" s="17"/>
      <c r="AF3892" s="14"/>
      <c r="AG3892" s="54"/>
      <c r="AH3892" s="11"/>
      <c r="AI3892" s="14"/>
      <c r="AJ3892" s="19">
        <v>0</v>
      </c>
      <c r="AK3892" s="23">
        <v>0</v>
      </c>
      <c r="AL3892" s="11"/>
      <c r="AM3892" s="19">
        <v>0</v>
      </c>
      <c r="AN3892" s="19">
        <v>397600</v>
      </c>
      <c r="AO3892" s="14"/>
      <c r="AP3892" s="14">
        <v>397600</v>
      </c>
      <c r="AQ3892" s="12"/>
      <c r="AS3892" s="26"/>
    </row>
    <row r="3893" spans="1:45" s="19" customFormat="1" x14ac:dyDescent="0.2">
      <c r="A3893" s="121">
        <f t="shared" si="493"/>
        <v>3319</v>
      </c>
      <c r="B3893" s="13">
        <v>2</v>
      </c>
      <c r="C3893" s="17" t="s">
        <v>52</v>
      </c>
      <c r="D3893" s="17">
        <v>4643</v>
      </c>
      <c r="E3893" s="17">
        <v>64</v>
      </c>
      <c r="F3893" s="17">
        <v>2467</v>
      </c>
      <c r="G3893" s="13">
        <v>1</v>
      </c>
      <c r="H3893" s="17">
        <v>6</v>
      </c>
      <c r="I3893" s="17">
        <v>1</v>
      </c>
      <c r="J3893" s="17">
        <v>41</v>
      </c>
      <c r="K3893" s="10">
        <v>2541</v>
      </c>
      <c r="L3893" s="17"/>
      <c r="M3893" s="15"/>
      <c r="N3893" s="18"/>
      <c r="O3893" s="14"/>
      <c r="P3893" s="17">
        <v>1</v>
      </c>
      <c r="Q3893" s="19">
        <v>2541</v>
      </c>
      <c r="R3893" s="14">
        <v>200</v>
      </c>
      <c r="S3893" s="19">
        <v>508200</v>
      </c>
      <c r="T3893" s="17"/>
      <c r="U3893" s="17"/>
      <c r="V3893" s="17"/>
      <c r="W3893" s="4"/>
      <c r="X3893" s="17"/>
      <c r="Y3893" s="4"/>
      <c r="Z3893" s="17"/>
      <c r="AA3893" s="17"/>
      <c r="AB3893" s="17"/>
      <c r="AC3893" s="14"/>
      <c r="AD3893" s="14"/>
      <c r="AE3893" s="17"/>
      <c r="AF3893" s="14"/>
      <c r="AG3893" s="54"/>
      <c r="AH3893" s="11"/>
      <c r="AI3893" s="14"/>
      <c r="AJ3893" s="19">
        <v>0</v>
      </c>
      <c r="AK3893" s="23">
        <v>0</v>
      </c>
      <c r="AL3893" s="11"/>
      <c r="AM3893" s="19">
        <v>0</v>
      </c>
      <c r="AN3893" s="19">
        <v>508200</v>
      </c>
      <c r="AO3893" s="14"/>
      <c r="AP3893" s="14">
        <v>508200</v>
      </c>
      <c r="AQ3893" s="12"/>
      <c r="AS3893" s="26"/>
    </row>
    <row r="3894" spans="1:45" s="19" customFormat="1" x14ac:dyDescent="0.2">
      <c r="A3894" s="121">
        <f t="shared" si="493"/>
        <v>3320</v>
      </c>
      <c r="B3894" s="13">
        <v>3</v>
      </c>
      <c r="C3894" s="17" t="s">
        <v>69</v>
      </c>
      <c r="D3894" s="17"/>
      <c r="E3894" s="17">
        <v>2328</v>
      </c>
      <c r="F3894" s="17">
        <v>4</v>
      </c>
      <c r="G3894" s="13">
        <v>2</v>
      </c>
      <c r="H3894" s="17">
        <v>1</v>
      </c>
      <c r="I3894" s="17">
        <v>1</v>
      </c>
      <c r="J3894" s="17">
        <v>22</v>
      </c>
      <c r="K3894" s="10">
        <v>522</v>
      </c>
      <c r="L3894" s="17"/>
      <c r="M3894" s="15"/>
      <c r="N3894" s="18"/>
      <c r="O3894" s="14"/>
      <c r="P3894" s="17">
        <v>1</v>
      </c>
      <c r="Q3894" s="19">
        <v>522</v>
      </c>
      <c r="R3894" s="14">
        <v>160</v>
      </c>
      <c r="S3894" s="19">
        <v>83520</v>
      </c>
      <c r="T3894" s="17"/>
      <c r="U3894" s="17"/>
      <c r="V3894" s="17"/>
      <c r="W3894" s="4"/>
      <c r="X3894" s="17"/>
      <c r="Y3894" s="4"/>
      <c r="Z3894" s="17"/>
      <c r="AA3894" s="17"/>
      <c r="AB3894" s="17"/>
      <c r="AC3894" s="14"/>
      <c r="AD3894" s="14"/>
      <c r="AE3894" s="17"/>
      <c r="AF3894" s="14"/>
      <c r="AG3894" s="54"/>
      <c r="AH3894" s="11"/>
      <c r="AI3894" s="14"/>
      <c r="AJ3894" s="19">
        <v>0</v>
      </c>
      <c r="AK3894" s="23">
        <v>0</v>
      </c>
      <c r="AL3894" s="11"/>
      <c r="AM3894" s="19">
        <v>0</v>
      </c>
      <c r="AN3894" s="19">
        <v>83520</v>
      </c>
      <c r="AO3894" s="14"/>
      <c r="AP3894" s="14">
        <v>83520</v>
      </c>
      <c r="AQ3894" s="12">
        <v>1E-4</v>
      </c>
      <c r="AS3894" s="26"/>
    </row>
    <row r="3895" spans="1:45" s="19" customFormat="1" x14ac:dyDescent="0.2">
      <c r="A3895" s="121">
        <f t="shared" si="493"/>
        <v>3321</v>
      </c>
      <c r="B3895" s="13">
        <v>4</v>
      </c>
      <c r="C3895" s="17" t="s">
        <v>69</v>
      </c>
      <c r="D3895" s="17"/>
      <c r="E3895" s="17">
        <v>2328</v>
      </c>
      <c r="F3895" s="17">
        <v>30</v>
      </c>
      <c r="G3895" s="13">
        <v>2</v>
      </c>
      <c r="H3895" s="17">
        <v>0</v>
      </c>
      <c r="I3895" s="17">
        <v>1</v>
      </c>
      <c r="J3895" s="17">
        <v>23</v>
      </c>
      <c r="K3895" s="10">
        <v>123</v>
      </c>
      <c r="L3895" s="17"/>
      <c r="M3895" s="15"/>
      <c r="N3895" s="18"/>
      <c r="O3895" s="14"/>
      <c r="P3895" s="17">
        <v>1</v>
      </c>
      <c r="Q3895" s="19">
        <v>123</v>
      </c>
      <c r="R3895" s="14">
        <v>160</v>
      </c>
      <c r="S3895" s="19">
        <v>19680</v>
      </c>
      <c r="T3895" s="17"/>
      <c r="U3895" s="17"/>
      <c r="V3895" s="17"/>
      <c r="W3895" s="4"/>
      <c r="X3895" s="17"/>
      <c r="Y3895" s="4"/>
      <c r="Z3895" s="17"/>
      <c r="AA3895" s="17"/>
      <c r="AB3895" s="17"/>
      <c r="AC3895" s="14"/>
      <c r="AD3895" s="14"/>
      <c r="AE3895" s="17"/>
      <c r="AF3895" s="14"/>
      <c r="AG3895" s="54"/>
      <c r="AH3895" s="11"/>
      <c r="AI3895" s="14"/>
      <c r="AJ3895" s="19">
        <v>0</v>
      </c>
      <c r="AK3895" s="23">
        <v>0</v>
      </c>
      <c r="AL3895" s="11"/>
      <c r="AM3895" s="19">
        <v>0</v>
      </c>
      <c r="AN3895" s="19">
        <v>19680</v>
      </c>
      <c r="AO3895" s="14"/>
      <c r="AP3895" s="14">
        <v>19680</v>
      </c>
      <c r="AQ3895" s="12">
        <v>1E-4</v>
      </c>
      <c r="AS3895" s="26"/>
    </row>
    <row r="3896" spans="1:45" s="19" customFormat="1" x14ac:dyDescent="0.2">
      <c r="A3896" s="121">
        <f t="shared" si="493"/>
        <v>3322</v>
      </c>
      <c r="B3896" s="13">
        <v>1</v>
      </c>
      <c r="C3896" s="17" t="s">
        <v>52</v>
      </c>
      <c r="D3896" s="17">
        <v>25532</v>
      </c>
      <c r="E3896" s="17">
        <v>106</v>
      </c>
      <c r="F3896" s="17">
        <v>4986</v>
      </c>
      <c r="G3896" s="13">
        <v>1</v>
      </c>
      <c r="H3896" s="17">
        <v>0</v>
      </c>
      <c r="I3896" s="17">
        <v>0</v>
      </c>
      <c r="J3896" s="17">
        <v>62</v>
      </c>
      <c r="K3896" s="10"/>
      <c r="L3896" s="17"/>
      <c r="M3896" s="15"/>
      <c r="N3896" s="18">
        <v>62</v>
      </c>
      <c r="O3896" s="14"/>
      <c r="P3896" s="17">
        <v>4</v>
      </c>
      <c r="Q3896" s="19">
        <v>62</v>
      </c>
      <c r="R3896" s="14">
        <v>250</v>
      </c>
      <c r="S3896" s="19">
        <v>15500</v>
      </c>
      <c r="T3896" s="17"/>
      <c r="U3896" s="17"/>
      <c r="V3896" s="17"/>
      <c r="W3896" s="4"/>
      <c r="X3896" s="17"/>
      <c r="Y3896" s="4"/>
      <c r="Z3896" s="17"/>
      <c r="AA3896" s="17"/>
      <c r="AB3896" s="17"/>
      <c r="AC3896" s="14"/>
      <c r="AD3896" s="14"/>
      <c r="AE3896" s="17"/>
      <c r="AF3896" s="14"/>
      <c r="AG3896" s="54"/>
      <c r="AH3896" s="11"/>
      <c r="AI3896" s="14"/>
      <c r="AJ3896" s="19">
        <v>0</v>
      </c>
      <c r="AK3896" s="23">
        <v>0</v>
      </c>
      <c r="AL3896" s="11"/>
      <c r="AM3896" s="19">
        <v>0</v>
      </c>
      <c r="AN3896" s="19">
        <v>15500</v>
      </c>
      <c r="AO3896" s="14"/>
      <c r="AP3896" s="14">
        <v>15500</v>
      </c>
      <c r="AQ3896" s="12">
        <v>3.0000000000000001E-3</v>
      </c>
      <c r="AS3896" s="26"/>
    </row>
    <row r="3897" spans="1:45" s="19" customFormat="1" x14ac:dyDescent="0.2">
      <c r="A3897" s="121">
        <f>+A3896+1</f>
        <v>3323</v>
      </c>
      <c r="B3897" s="13">
        <v>2</v>
      </c>
      <c r="C3897" s="17" t="s">
        <v>52</v>
      </c>
      <c r="D3897" s="17">
        <v>29490</v>
      </c>
      <c r="E3897" s="17">
        <v>101</v>
      </c>
      <c r="F3897" s="17">
        <v>5611</v>
      </c>
      <c r="G3897" s="13">
        <v>1</v>
      </c>
      <c r="H3897" s="17">
        <v>6</v>
      </c>
      <c r="I3897" s="17">
        <v>2</v>
      </c>
      <c r="J3897" s="17">
        <v>44</v>
      </c>
      <c r="K3897" s="10">
        <v>2644</v>
      </c>
      <c r="L3897" s="17"/>
      <c r="M3897" s="15"/>
      <c r="N3897" s="18"/>
      <c r="O3897" s="14"/>
      <c r="P3897" s="17">
        <v>1</v>
      </c>
      <c r="Q3897" s="19">
        <v>2644</v>
      </c>
      <c r="R3897" s="14">
        <v>160</v>
      </c>
      <c r="S3897" s="19">
        <v>423040</v>
      </c>
      <c r="T3897" s="17"/>
      <c r="U3897" s="17"/>
      <c r="V3897" s="17"/>
      <c r="W3897" s="4"/>
      <c r="X3897" s="17"/>
      <c r="Y3897" s="4"/>
      <c r="Z3897" s="17"/>
      <c r="AA3897" s="17"/>
      <c r="AB3897" s="17"/>
      <c r="AC3897" s="14"/>
      <c r="AD3897" s="14"/>
      <c r="AE3897" s="17"/>
      <c r="AF3897" s="14"/>
      <c r="AG3897" s="54"/>
      <c r="AH3897" s="11"/>
      <c r="AI3897" s="14"/>
      <c r="AJ3897" s="19">
        <v>0</v>
      </c>
      <c r="AK3897" s="23">
        <v>0</v>
      </c>
      <c r="AL3897" s="11"/>
      <c r="AM3897" s="19">
        <v>0</v>
      </c>
      <c r="AN3897" s="19">
        <v>423040</v>
      </c>
      <c r="AO3897" s="14"/>
      <c r="AP3897" s="14">
        <v>423040</v>
      </c>
      <c r="AQ3897" s="12"/>
      <c r="AS3897" s="26"/>
    </row>
    <row r="3898" spans="1:45" s="19" customFormat="1" x14ac:dyDescent="0.2">
      <c r="A3898" s="121">
        <f t="shared" si="493"/>
        <v>3324</v>
      </c>
      <c r="B3898" s="13">
        <v>3</v>
      </c>
      <c r="C3898" s="17" t="s">
        <v>52</v>
      </c>
      <c r="D3898" s="17">
        <v>31253</v>
      </c>
      <c r="E3898" s="17">
        <v>202</v>
      </c>
      <c r="F3898" s="17">
        <v>5825</v>
      </c>
      <c r="G3898" s="13">
        <v>1</v>
      </c>
      <c r="H3898" s="17">
        <v>0</v>
      </c>
      <c r="I3898" s="17">
        <v>1</v>
      </c>
      <c r="J3898" s="17">
        <v>27</v>
      </c>
      <c r="K3898" s="10">
        <v>127</v>
      </c>
      <c r="L3898" s="17"/>
      <c r="M3898" s="15"/>
      <c r="N3898" s="18"/>
      <c r="O3898" s="14"/>
      <c r="P3898" s="17">
        <v>1</v>
      </c>
      <c r="Q3898" s="19">
        <v>127</v>
      </c>
      <c r="R3898" s="14">
        <v>200</v>
      </c>
      <c r="S3898" s="19">
        <v>25400</v>
      </c>
      <c r="T3898" s="17"/>
      <c r="U3898" s="17"/>
      <c r="V3898" s="17"/>
      <c r="W3898" s="4"/>
      <c r="X3898" s="17"/>
      <c r="Y3898" s="4"/>
      <c r="Z3898" s="17"/>
      <c r="AA3898" s="17"/>
      <c r="AB3898" s="17"/>
      <c r="AC3898" s="14"/>
      <c r="AD3898" s="14"/>
      <c r="AE3898" s="17"/>
      <c r="AF3898" s="14"/>
      <c r="AG3898" s="54"/>
      <c r="AH3898" s="11"/>
      <c r="AI3898" s="14"/>
      <c r="AJ3898" s="19">
        <v>0</v>
      </c>
      <c r="AK3898" s="23">
        <v>0</v>
      </c>
      <c r="AL3898" s="11"/>
      <c r="AM3898" s="19">
        <v>0</v>
      </c>
      <c r="AN3898" s="19">
        <v>25400</v>
      </c>
      <c r="AO3898" s="14"/>
      <c r="AP3898" s="14">
        <v>25400</v>
      </c>
      <c r="AQ3898" s="12"/>
      <c r="AS3898" s="26"/>
    </row>
    <row r="3899" spans="1:45" s="19" customFormat="1" x14ac:dyDescent="0.2">
      <c r="A3899" s="121">
        <f t="shared" si="493"/>
        <v>3325</v>
      </c>
      <c r="B3899" s="13">
        <v>4</v>
      </c>
      <c r="C3899" s="17" t="s">
        <v>52</v>
      </c>
      <c r="D3899" s="17">
        <v>31255</v>
      </c>
      <c r="E3899" s="17">
        <v>204</v>
      </c>
      <c r="F3899" s="17">
        <v>5827</v>
      </c>
      <c r="G3899" s="13">
        <v>1</v>
      </c>
      <c r="H3899" s="17">
        <v>0</v>
      </c>
      <c r="I3899" s="17">
        <v>1</v>
      </c>
      <c r="J3899" s="17">
        <v>33</v>
      </c>
      <c r="K3899" s="10">
        <v>133</v>
      </c>
      <c r="L3899" s="17"/>
      <c r="M3899" s="15"/>
      <c r="N3899" s="18"/>
      <c r="O3899" s="14"/>
      <c r="P3899" s="17">
        <v>1</v>
      </c>
      <c r="Q3899" s="19">
        <v>133</v>
      </c>
      <c r="R3899" s="14">
        <v>200</v>
      </c>
      <c r="S3899" s="19">
        <v>26600</v>
      </c>
      <c r="T3899" s="17"/>
      <c r="U3899" s="17"/>
      <c r="V3899" s="17"/>
      <c r="W3899" s="4"/>
      <c r="X3899" s="17"/>
      <c r="Y3899" s="4"/>
      <c r="Z3899" s="17"/>
      <c r="AA3899" s="17"/>
      <c r="AB3899" s="17"/>
      <c r="AC3899" s="14"/>
      <c r="AD3899" s="14"/>
      <c r="AE3899" s="17"/>
      <c r="AF3899" s="14"/>
      <c r="AG3899" s="54"/>
      <c r="AH3899" s="11"/>
      <c r="AI3899" s="14"/>
      <c r="AJ3899" s="19">
        <v>0</v>
      </c>
      <c r="AK3899" s="23">
        <v>0</v>
      </c>
      <c r="AL3899" s="11"/>
      <c r="AM3899" s="19">
        <v>0</v>
      </c>
      <c r="AN3899" s="19">
        <v>26600</v>
      </c>
      <c r="AO3899" s="14"/>
      <c r="AP3899" s="14">
        <v>26600</v>
      </c>
      <c r="AQ3899" s="12"/>
      <c r="AS3899" s="26"/>
    </row>
    <row r="3900" spans="1:45" s="19" customFormat="1" x14ac:dyDescent="0.2">
      <c r="A3900" s="121">
        <f t="shared" si="493"/>
        <v>3326</v>
      </c>
      <c r="B3900" s="13">
        <v>5</v>
      </c>
      <c r="C3900" s="17" t="s">
        <v>52</v>
      </c>
      <c r="D3900" s="17">
        <v>38095</v>
      </c>
      <c r="E3900" s="17">
        <v>160</v>
      </c>
      <c r="F3900" s="17">
        <v>7672</v>
      </c>
      <c r="G3900" s="13">
        <v>1</v>
      </c>
      <c r="H3900" s="17">
        <v>3</v>
      </c>
      <c r="I3900" s="17">
        <v>1</v>
      </c>
      <c r="J3900" s="17">
        <v>47</v>
      </c>
      <c r="K3900" s="10">
        <v>1347</v>
      </c>
      <c r="L3900" s="17"/>
      <c r="M3900" s="15"/>
      <c r="N3900" s="18"/>
      <c r="O3900" s="14"/>
      <c r="P3900" s="17">
        <v>1</v>
      </c>
      <c r="Q3900" s="19">
        <v>1347</v>
      </c>
      <c r="R3900" s="14">
        <v>160</v>
      </c>
      <c r="S3900" s="19">
        <v>215520</v>
      </c>
      <c r="T3900" s="17"/>
      <c r="U3900" s="17"/>
      <c r="V3900" s="17"/>
      <c r="W3900" s="4"/>
      <c r="X3900" s="17"/>
      <c r="Y3900" s="4"/>
      <c r="Z3900" s="17"/>
      <c r="AA3900" s="17"/>
      <c r="AB3900" s="17"/>
      <c r="AC3900" s="14"/>
      <c r="AD3900" s="14"/>
      <c r="AE3900" s="17"/>
      <c r="AF3900" s="14"/>
      <c r="AG3900" s="54"/>
      <c r="AH3900" s="11"/>
      <c r="AI3900" s="14"/>
      <c r="AJ3900" s="19">
        <v>0</v>
      </c>
      <c r="AK3900" s="23">
        <v>0</v>
      </c>
      <c r="AL3900" s="11"/>
      <c r="AM3900" s="19">
        <v>0</v>
      </c>
      <c r="AN3900" s="19">
        <v>215520</v>
      </c>
      <c r="AO3900" s="14"/>
      <c r="AP3900" s="14">
        <v>215520</v>
      </c>
      <c r="AQ3900" s="12"/>
      <c r="AS3900" s="26"/>
    </row>
    <row r="3901" spans="1:45" s="19" customFormat="1" x14ac:dyDescent="0.2">
      <c r="A3901" s="121">
        <f t="shared" si="493"/>
        <v>3327</v>
      </c>
      <c r="B3901" s="13">
        <v>6</v>
      </c>
      <c r="C3901" s="17" t="s">
        <v>52</v>
      </c>
      <c r="D3901" s="17">
        <v>1883</v>
      </c>
      <c r="E3901" s="17">
        <v>24</v>
      </c>
      <c r="F3901" s="17">
        <v>1273</v>
      </c>
      <c r="G3901" s="13">
        <v>2</v>
      </c>
      <c r="H3901" s="17">
        <v>13</v>
      </c>
      <c r="I3901" s="17">
        <v>0</v>
      </c>
      <c r="J3901" s="17">
        <v>49</v>
      </c>
      <c r="K3901" s="10">
        <v>5249</v>
      </c>
      <c r="L3901" s="17"/>
      <c r="M3901" s="15"/>
      <c r="N3901" s="18"/>
      <c r="O3901" s="14"/>
      <c r="P3901" s="17">
        <v>1</v>
      </c>
      <c r="Q3901" s="19">
        <v>5249</v>
      </c>
      <c r="R3901" s="14">
        <v>160</v>
      </c>
      <c r="S3901" s="19">
        <v>839840</v>
      </c>
      <c r="T3901" s="17"/>
      <c r="U3901" s="17"/>
      <c r="V3901" s="17"/>
      <c r="W3901" s="4"/>
      <c r="X3901" s="17"/>
      <c r="Y3901" s="4"/>
      <c r="Z3901" s="17"/>
      <c r="AA3901" s="17"/>
      <c r="AB3901" s="17"/>
      <c r="AC3901" s="14"/>
      <c r="AD3901" s="14"/>
      <c r="AE3901" s="17"/>
      <c r="AF3901" s="14"/>
      <c r="AG3901" s="54"/>
      <c r="AH3901" s="11"/>
      <c r="AI3901" s="14"/>
      <c r="AJ3901" s="19">
        <v>0</v>
      </c>
      <c r="AK3901" s="23">
        <v>0</v>
      </c>
      <c r="AL3901" s="11"/>
      <c r="AM3901" s="19">
        <v>0</v>
      </c>
      <c r="AN3901" s="19">
        <v>839840</v>
      </c>
      <c r="AO3901" s="14"/>
      <c r="AP3901" s="14">
        <v>839840</v>
      </c>
      <c r="AQ3901" s="12"/>
      <c r="AS3901" s="26"/>
    </row>
    <row r="3902" spans="1:45" s="19" customFormat="1" x14ac:dyDescent="0.2">
      <c r="A3902" s="121">
        <f t="shared" si="493"/>
        <v>3328</v>
      </c>
      <c r="B3902" s="13">
        <v>7</v>
      </c>
      <c r="C3902" s="17" t="s">
        <v>52</v>
      </c>
      <c r="D3902" s="17">
        <v>1894</v>
      </c>
      <c r="E3902" s="17">
        <v>30</v>
      </c>
      <c r="F3902" s="17">
        <v>1284</v>
      </c>
      <c r="G3902" s="13">
        <v>2</v>
      </c>
      <c r="H3902" s="17">
        <v>8</v>
      </c>
      <c r="I3902" s="17">
        <v>1</v>
      </c>
      <c r="J3902" s="17">
        <v>38</v>
      </c>
      <c r="K3902" s="10">
        <v>3338</v>
      </c>
      <c r="L3902" s="17"/>
      <c r="M3902" s="15"/>
      <c r="N3902" s="18"/>
      <c r="O3902" s="14"/>
      <c r="P3902" s="17">
        <v>1</v>
      </c>
      <c r="Q3902" s="19">
        <v>3338</v>
      </c>
      <c r="R3902" s="14">
        <v>160</v>
      </c>
      <c r="S3902" s="19">
        <v>534080</v>
      </c>
      <c r="T3902" s="17"/>
      <c r="U3902" s="17"/>
      <c r="V3902" s="17"/>
      <c r="W3902" s="4"/>
      <c r="X3902" s="17"/>
      <c r="Y3902" s="4"/>
      <c r="Z3902" s="17"/>
      <c r="AA3902" s="17"/>
      <c r="AB3902" s="17"/>
      <c r="AC3902" s="14"/>
      <c r="AD3902" s="14"/>
      <c r="AE3902" s="17"/>
      <c r="AF3902" s="14"/>
      <c r="AG3902" s="54"/>
      <c r="AH3902" s="11"/>
      <c r="AI3902" s="14"/>
      <c r="AJ3902" s="19">
        <v>0</v>
      </c>
      <c r="AK3902" s="23">
        <v>0</v>
      </c>
      <c r="AL3902" s="11"/>
      <c r="AM3902" s="19">
        <v>0</v>
      </c>
      <c r="AN3902" s="19">
        <v>534080</v>
      </c>
      <c r="AO3902" s="14"/>
      <c r="AP3902" s="14">
        <v>534080</v>
      </c>
      <c r="AQ3902" s="12"/>
      <c r="AS3902" s="26"/>
    </row>
    <row r="3903" spans="1:45" s="19" customFormat="1" x14ac:dyDescent="0.2">
      <c r="A3903" s="2"/>
      <c r="B3903" s="13">
        <v>8</v>
      </c>
      <c r="C3903" s="17" t="s">
        <v>65</v>
      </c>
      <c r="D3903" s="17">
        <v>548</v>
      </c>
      <c r="E3903" s="17">
        <v>148</v>
      </c>
      <c r="F3903" s="17"/>
      <c r="G3903" s="13"/>
      <c r="H3903" s="17">
        <v>5</v>
      </c>
      <c r="I3903" s="17">
        <v>2</v>
      </c>
      <c r="J3903" s="17">
        <v>33</v>
      </c>
      <c r="K3903" s="10">
        <v>2233</v>
      </c>
      <c r="L3903" s="17"/>
      <c r="M3903" s="15"/>
      <c r="N3903" s="18"/>
      <c r="O3903" s="14"/>
      <c r="P3903" s="17"/>
      <c r="Q3903" s="19">
        <v>2233</v>
      </c>
      <c r="R3903" s="14" t="e">
        <v>#N/A</v>
      </c>
      <c r="S3903" s="19" t="e">
        <v>#N/A</v>
      </c>
      <c r="T3903" s="17"/>
      <c r="U3903" s="17"/>
      <c r="V3903" s="17"/>
      <c r="W3903" s="4"/>
      <c r="X3903" s="17"/>
      <c r="Y3903" s="4"/>
      <c r="Z3903" s="17"/>
      <c r="AA3903" s="17"/>
      <c r="AB3903" s="17"/>
      <c r="AC3903" s="14"/>
      <c r="AD3903" s="14"/>
      <c r="AE3903" s="17" t="s">
        <v>94</v>
      </c>
      <c r="AF3903" s="14"/>
      <c r="AG3903" s="54"/>
      <c r="AH3903" s="11"/>
      <c r="AI3903" s="14"/>
      <c r="AJ3903" s="19">
        <v>0</v>
      </c>
      <c r="AK3903" s="23">
        <v>0</v>
      </c>
      <c r="AL3903" s="11"/>
      <c r="AM3903" s="19">
        <v>0</v>
      </c>
      <c r="AN3903" s="19" t="e">
        <v>#N/A</v>
      </c>
      <c r="AO3903" s="14"/>
      <c r="AP3903" s="14" t="e">
        <v>#N/A</v>
      </c>
      <c r="AQ3903" s="12">
        <v>1E-4</v>
      </c>
      <c r="AS3903" s="26"/>
    </row>
    <row r="3904" spans="1:45" s="19" customFormat="1" ht="63" x14ac:dyDescent="0.2">
      <c r="A3904" s="2">
        <v>3329</v>
      </c>
      <c r="B3904" s="13">
        <v>1</v>
      </c>
      <c r="C3904" s="17" t="s">
        <v>52</v>
      </c>
      <c r="D3904" s="17">
        <v>848</v>
      </c>
      <c r="E3904" s="17">
        <v>74</v>
      </c>
      <c r="F3904" s="17">
        <v>138</v>
      </c>
      <c r="G3904" s="13">
        <v>1</v>
      </c>
      <c r="H3904" s="17">
        <v>0</v>
      </c>
      <c r="I3904" s="17">
        <v>1</v>
      </c>
      <c r="J3904" s="17">
        <v>43</v>
      </c>
      <c r="K3904" s="10"/>
      <c r="L3904" s="17">
        <v>143</v>
      </c>
      <c r="M3904" s="15"/>
      <c r="N3904" s="18"/>
      <c r="O3904" s="14"/>
      <c r="P3904" s="17">
        <v>2</v>
      </c>
      <c r="Q3904" s="19">
        <v>143</v>
      </c>
      <c r="R3904" s="14">
        <v>250</v>
      </c>
      <c r="S3904" s="19">
        <v>35750</v>
      </c>
      <c r="T3904" s="17">
        <v>1</v>
      </c>
      <c r="U3904" s="17" t="s">
        <v>57</v>
      </c>
      <c r="V3904" s="17" t="s">
        <v>56</v>
      </c>
      <c r="W3904" s="4">
        <v>220</v>
      </c>
      <c r="X3904" s="17"/>
      <c r="Y3904" s="4">
        <v>220</v>
      </c>
      <c r="Z3904" s="17"/>
      <c r="AA3904" s="17"/>
      <c r="AB3904" s="17">
        <v>17</v>
      </c>
      <c r="AC3904" s="14"/>
      <c r="AD3904" s="14"/>
      <c r="AE3904" s="17"/>
      <c r="AF3904" s="14"/>
      <c r="AG3904" s="54"/>
      <c r="AH3904" s="11"/>
      <c r="AI3904" s="14"/>
      <c r="AJ3904" s="19">
        <v>0</v>
      </c>
      <c r="AK3904" s="23">
        <v>17</v>
      </c>
      <c r="AL3904" s="11"/>
      <c r="AM3904" s="19">
        <v>0</v>
      </c>
      <c r="AN3904" s="19">
        <v>35750</v>
      </c>
      <c r="AO3904" s="14"/>
      <c r="AP3904" s="14">
        <v>35750</v>
      </c>
      <c r="AQ3904" s="12"/>
      <c r="AS3904" s="26"/>
    </row>
    <row r="3905" spans="1:45" x14ac:dyDescent="0.2">
      <c r="A3905" s="2">
        <v>3330</v>
      </c>
      <c r="B3905" s="13">
        <v>2</v>
      </c>
      <c r="C3905" s="17" t="s">
        <v>52</v>
      </c>
      <c r="D3905" s="17">
        <v>35388</v>
      </c>
      <c r="E3905" s="17">
        <v>321</v>
      </c>
      <c r="F3905" s="17">
        <v>6892</v>
      </c>
      <c r="G3905" s="13">
        <v>1</v>
      </c>
      <c r="H3905" s="17">
        <v>0</v>
      </c>
      <c r="I3905" s="17">
        <v>0</v>
      </c>
      <c r="J3905" s="17">
        <v>39</v>
      </c>
      <c r="K3905" s="10">
        <v>39</v>
      </c>
      <c r="P3905" s="17">
        <v>1</v>
      </c>
      <c r="Q3905" s="19">
        <v>39</v>
      </c>
      <c r="R3905" s="14">
        <v>250</v>
      </c>
      <c r="S3905" s="19">
        <v>9750</v>
      </c>
      <c r="AJ3905" s="19">
        <v>0</v>
      </c>
      <c r="AK3905" s="23">
        <v>0</v>
      </c>
      <c r="AM3905" s="19">
        <v>0</v>
      </c>
      <c r="AN3905" s="19">
        <v>9750</v>
      </c>
      <c r="AP3905" s="14">
        <v>9750</v>
      </c>
    </row>
    <row r="3906" spans="1:45" x14ac:dyDescent="0.2">
      <c r="A3906" s="2">
        <v>3331</v>
      </c>
      <c r="B3906" s="13">
        <v>3</v>
      </c>
      <c r="C3906" s="17" t="s">
        <v>69</v>
      </c>
      <c r="E3906" s="17">
        <v>154</v>
      </c>
      <c r="F3906" s="17">
        <v>2</v>
      </c>
      <c r="G3906" s="13">
        <v>1</v>
      </c>
      <c r="H3906" s="17">
        <v>5</v>
      </c>
      <c r="I3906" s="17">
        <v>3</v>
      </c>
      <c r="J3906" s="17">
        <v>59</v>
      </c>
      <c r="K3906" s="10">
        <v>2359</v>
      </c>
      <c r="P3906" s="17">
        <v>1</v>
      </c>
      <c r="Q3906" s="19">
        <v>2359</v>
      </c>
      <c r="R3906" s="14">
        <v>160</v>
      </c>
      <c r="S3906" s="19">
        <v>377440</v>
      </c>
      <c r="AJ3906" s="19">
        <v>0</v>
      </c>
      <c r="AK3906" s="23">
        <v>0</v>
      </c>
      <c r="AM3906" s="19">
        <v>0</v>
      </c>
      <c r="AN3906" s="19">
        <v>377440</v>
      </c>
      <c r="AP3906" s="14">
        <v>377440</v>
      </c>
      <c r="AQ3906" s="12">
        <v>1E-4</v>
      </c>
    </row>
    <row r="3907" spans="1:45" ht="63" x14ac:dyDescent="0.2">
      <c r="A3907" s="2">
        <v>3332</v>
      </c>
      <c r="B3907" s="13">
        <v>1</v>
      </c>
      <c r="C3907" s="17" t="s">
        <v>52</v>
      </c>
      <c r="D3907" s="17">
        <v>904</v>
      </c>
      <c r="E3907" s="17">
        <v>40</v>
      </c>
      <c r="F3907" s="17">
        <v>202</v>
      </c>
      <c r="G3907" s="13">
        <v>1</v>
      </c>
      <c r="H3907" s="17">
        <v>0</v>
      </c>
      <c r="I3907" s="17">
        <v>0</v>
      </c>
      <c r="J3907" s="17">
        <v>93</v>
      </c>
      <c r="L3907" s="17">
        <v>93</v>
      </c>
      <c r="P3907" s="17">
        <v>2</v>
      </c>
      <c r="Q3907" s="19">
        <v>93</v>
      </c>
      <c r="R3907" s="14">
        <v>250</v>
      </c>
      <c r="S3907" s="19">
        <v>23250</v>
      </c>
      <c r="T3907" s="17">
        <v>1</v>
      </c>
      <c r="U3907" s="17" t="s">
        <v>57</v>
      </c>
      <c r="V3907" s="17" t="s">
        <v>56</v>
      </c>
      <c r="W3907" s="4">
        <v>120</v>
      </c>
      <c r="Y3907" s="4">
        <v>120</v>
      </c>
      <c r="AB3907" s="17">
        <v>33</v>
      </c>
      <c r="AJ3907" s="19">
        <v>0</v>
      </c>
      <c r="AK3907" s="23">
        <v>33</v>
      </c>
      <c r="AM3907" s="19">
        <v>0</v>
      </c>
      <c r="AN3907" s="19">
        <v>23250</v>
      </c>
      <c r="AP3907" s="14">
        <v>23250</v>
      </c>
    </row>
    <row r="3908" spans="1:45" x14ac:dyDescent="0.2">
      <c r="A3908" s="2">
        <f>+A3907+1</f>
        <v>3333</v>
      </c>
      <c r="B3908" s="13">
        <v>2</v>
      </c>
      <c r="C3908" s="17" t="s">
        <v>52</v>
      </c>
      <c r="D3908" s="17">
        <v>987</v>
      </c>
      <c r="E3908" s="17">
        <v>49</v>
      </c>
      <c r="F3908" s="17">
        <v>234</v>
      </c>
      <c r="G3908" s="13">
        <v>1</v>
      </c>
      <c r="H3908" s="17">
        <v>6</v>
      </c>
      <c r="I3908" s="17">
        <v>3</v>
      </c>
      <c r="J3908" s="17">
        <v>20</v>
      </c>
      <c r="K3908" s="10">
        <v>2720</v>
      </c>
      <c r="P3908" s="17">
        <v>1</v>
      </c>
      <c r="Q3908" s="19">
        <v>2720</v>
      </c>
      <c r="R3908" s="14">
        <v>200</v>
      </c>
      <c r="S3908" s="19">
        <v>544000</v>
      </c>
      <c r="AJ3908" s="19">
        <v>0</v>
      </c>
      <c r="AK3908" s="23">
        <v>0</v>
      </c>
      <c r="AM3908" s="19">
        <v>0</v>
      </c>
      <c r="AN3908" s="19">
        <v>544000</v>
      </c>
      <c r="AP3908" s="14">
        <v>544000</v>
      </c>
    </row>
    <row r="3909" spans="1:45" x14ac:dyDescent="0.2">
      <c r="A3909" s="121">
        <f t="shared" ref="A3909:A3916" si="494">+A3908+1</f>
        <v>3334</v>
      </c>
      <c r="B3909" s="13">
        <v>3</v>
      </c>
      <c r="C3909" s="17" t="s">
        <v>52</v>
      </c>
      <c r="D3909" s="17">
        <v>21118</v>
      </c>
      <c r="E3909" s="17">
        <v>63</v>
      </c>
      <c r="F3909" s="17">
        <v>4689</v>
      </c>
      <c r="G3909" s="13">
        <v>1</v>
      </c>
      <c r="H3909" s="17">
        <v>2</v>
      </c>
      <c r="I3909" s="17">
        <v>1</v>
      </c>
      <c r="J3909" s="17">
        <v>38</v>
      </c>
      <c r="K3909" s="10">
        <v>938</v>
      </c>
      <c r="P3909" s="17">
        <v>1</v>
      </c>
      <c r="Q3909" s="19">
        <v>938</v>
      </c>
      <c r="R3909" s="14">
        <v>200</v>
      </c>
      <c r="S3909" s="19">
        <v>187600</v>
      </c>
      <c r="AJ3909" s="19">
        <v>0</v>
      </c>
      <c r="AK3909" s="23">
        <v>0</v>
      </c>
      <c r="AM3909" s="19">
        <v>0</v>
      </c>
      <c r="AN3909" s="19">
        <v>187600</v>
      </c>
      <c r="AP3909" s="14">
        <v>187600</v>
      </c>
    </row>
    <row r="3910" spans="1:45" x14ac:dyDescent="0.2">
      <c r="A3910" s="121">
        <f t="shared" si="494"/>
        <v>3335</v>
      </c>
      <c r="B3910" s="13">
        <v>4</v>
      </c>
      <c r="C3910" s="17" t="s">
        <v>52</v>
      </c>
      <c r="D3910" s="17">
        <v>29249</v>
      </c>
      <c r="E3910" s="17">
        <v>102</v>
      </c>
      <c r="F3910" s="17">
        <v>5444</v>
      </c>
      <c r="G3910" s="13">
        <v>1</v>
      </c>
      <c r="H3910" s="17">
        <v>9</v>
      </c>
      <c r="I3910" s="17">
        <v>3</v>
      </c>
      <c r="J3910" s="17">
        <v>3</v>
      </c>
      <c r="K3910" s="10">
        <v>3903</v>
      </c>
      <c r="P3910" s="17">
        <v>1</v>
      </c>
      <c r="Q3910" s="19">
        <v>3903</v>
      </c>
      <c r="R3910" s="14">
        <v>160</v>
      </c>
      <c r="S3910" s="19">
        <v>624480</v>
      </c>
      <c r="AJ3910" s="19">
        <v>0</v>
      </c>
      <c r="AK3910" s="23">
        <v>0</v>
      </c>
      <c r="AM3910" s="19">
        <v>0</v>
      </c>
      <c r="AN3910" s="19">
        <v>624480</v>
      </c>
      <c r="AP3910" s="14">
        <v>624480</v>
      </c>
    </row>
    <row r="3911" spans="1:45" x14ac:dyDescent="0.2">
      <c r="A3911" s="121">
        <f t="shared" si="494"/>
        <v>3336</v>
      </c>
      <c r="B3911" s="13">
        <v>5</v>
      </c>
      <c r="C3911" s="17" t="s">
        <v>52</v>
      </c>
      <c r="D3911" s="17">
        <v>35387</v>
      </c>
      <c r="E3911" s="17">
        <v>320</v>
      </c>
      <c r="F3911" s="17">
        <v>6891</v>
      </c>
      <c r="G3911" s="13">
        <v>1</v>
      </c>
      <c r="H3911" s="17">
        <v>0</v>
      </c>
      <c r="I3911" s="17">
        <v>0</v>
      </c>
      <c r="J3911" s="17">
        <v>51</v>
      </c>
      <c r="K3911" s="10">
        <v>51</v>
      </c>
      <c r="P3911" s="17">
        <v>1</v>
      </c>
      <c r="Q3911" s="19">
        <v>51</v>
      </c>
      <c r="R3911" s="14">
        <v>250</v>
      </c>
      <c r="S3911" s="19">
        <v>12750</v>
      </c>
      <c r="AJ3911" s="19">
        <v>0</v>
      </c>
      <c r="AK3911" s="23">
        <v>0</v>
      </c>
      <c r="AM3911" s="19">
        <v>0</v>
      </c>
      <c r="AN3911" s="19">
        <v>12750</v>
      </c>
      <c r="AP3911" s="14">
        <v>12750</v>
      </c>
    </row>
    <row r="3912" spans="1:45" x14ac:dyDescent="0.2">
      <c r="A3912" s="121">
        <f t="shared" si="494"/>
        <v>3337</v>
      </c>
      <c r="B3912" s="13">
        <v>1</v>
      </c>
      <c r="C3912" s="17" t="s">
        <v>52</v>
      </c>
      <c r="D3912" s="17">
        <v>35151</v>
      </c>
      <c r="E3912" s="17">
        <v>145</v>
      </c>
      <c r="F3912" s="17">
        <v>7021</v>
      </c>
      <c r="G3912" s="13">
        <v>1</v>
      </c>
      <c r="H3912" s="17">
        <v>0</v>
      </c>
      <c r="I3912" s="17">
        <v>0</v>
      </c>
      <c r="J3912" s="17">
        <v>81</v>
      </c>
      <c r="K3912" s="10">
        <v>81</v>
      </c>
      <c r="P3912" s="17">
        <v>1</v>
      </c>
      <c r="Q3912" s="19">
        <v>81</v>
      </c>
      <c r="R3912" s="14">
        <v>250</v>
      </c>
      <c r="S3912" s="19">
        <v>20250</v>
      </c>
      <c r="AJ3912" s="19">
        <v>0</v>
      </c>
      <c r="AK3912" s="23">
        <v>0</v>
      </c>
      <c r="AM3912" s="19">
        <v>0</v>
      </c>
      <c r="AN3912" s="19">
        <v>20250</v>
      </c>
      <c r="AP3912" s="14">
        <v>20250</v>
      </c>
      <c r="AS3912" s="26">
        <v>184</v>
      </c>
    </row>
    <row r="3913" spans="1:45" x14ac:dyDescent="0.2">
      <c r="A3913" s="121">
        <f t="shared" si="494"/>
        <v>3338</v>
      </c>
      <c r="B3913" s="13">
        <v>2</v>
      </c>
      <c r="C3913" s="17" t="s">
        <v>69</v>
      </c>
      <c r="E3913" s="17">
        <v>156</v>
      </c>
      <c r="F3913" s="17">
        <v>6</v>
      </c>
      <c r="G3913" s="13">
        <v>1</v>
      </c>
      <c r="H3913" s="17">
        <v>29</v>
      </c>
      <c r="I3913" s="17">
        <v>2</v>
      </c>
      <c r="J3913" s="17">
        <v>40</v>
      </c>
      <c r="K3913" s="10">
        <v>11840</v>
      </c>
      <c r="P3913" s="17">
        <v>1</v>
      </c>
      <c r="Q3913" s="19">
        <v>11840</v>
      </c>
      <c r="R3913" s="14">
        <v>200</v>
      </c>
      <c r="S3913" s="19">
        <v>2368000</v>
      </c>
      <c r="AJ3913" s="19">
        <v>0</v>
      </c>
      <c r="AK3913" s="23">
        <v>0</v>
      </c>
      <c r="AM3913" s="19">
        <v>0</v>
      </c>
      <c r="AN3913" s="19">
        <v>2368000</v>
      </c>
      <c r="AP3913" s="14">
        <v>2368000</v>
      </c>
      <c r="AQ3913" s="12">
        <v>1E-4</v>
      </c>
    </row>
    <row r="3914" spans="1:45" x14ac:dyDescent="0.2">
      <c r="A3914" s="121">
        <f t="shared" si="494"/>
        <v>3339</v>
      </c>
      <c r="B3914" s="13">
        <v>3</v>
      </c>
      <c r="C3914" s="17" t="s">
        <v>69</v>
      </c>
      <c r="E3914" s="17">
        <v>156</v>
      </c>
      <c r="F3914" s="17">
        <v>10</v>
      </c>
      <c r="G3914" s="13">
        <v>1</v>
      </c>
      <c r="H3914" s="17">
        <v>3</v>
      </c>
      <c r="I3914" s="17">
        <v>3</v>
      </c>
      <c r="J3914" s="17">
        <v>8</v>
      </c>
      <c r="K3914" s="10">
        <v>1508</v>
      </c>
      <c r="P3914" s="17">
        <v>1</v>
      </c>
      <c r="Q3914" s="19">
        <v>1508</v>
      </c>
      <c r="R3914" s="14">
        <v>160</v>
      </c>
      <c r="S3914" s="19">
        <v>241280</v>
      </c>
      <c r="AJ3914" s="19">
        <v>0</v>
      </c>
      <c r="AK3914" s="23">
        <v>0</v>
      </c>
      <c r="AM3914" s="19">
        <v>0</v>
      </c>
      <c r="AN3914" s="19">
        <v>241280</v>
      </c>
      <c r="AP3914" s="14">
        <v>241280</v>
      </c>
      <c r="AQ3914" s="12">
        <v>1E-4</v>
      </c>
    </row>
    <row r="3915" spans="1:45" x14ac:dyDescent="0.2">
      <c r="A3915" s="121">
        <f t="shared" si="494"/>
        <v>3340</v>
      </c>
      <c r="B3915" s="13">
        <v>4</v>
      </c>
      <c r="C3915" s="17" t="s">
        <v>69</v>
      </c>
      <c r="E3915" s="17">
        <v>158</v>
      </c>
      <c r="F3915" s="17">
        <v>3</v>
      </c>
      <c r="G3915" s="13">
        <v>1</v>
      </c>
      <c r="H3915" s="17">
        <v>9</v>
      </c>
      <c r="I3915" s="17">
        <v>2</v>
      </c>
      <c r="J3915" s="17">
        <v>17</v>
      </c>
      <c r="K3915" s="10">
        <v>3817</v>
      </c>
      <c r="P3915" s="17">
        <v>1</v>
      </c>
      <c r="Q3915" s="19">
        <v>3817</v>
      </c>
      <c r="R3915" s="14">
        <v>200</v>
      </c>
      <c r="S3915" s="19">
        <v>763400</v>
      </c>
      <c r="AJ3915" s="19">
        <v>0</v>
      </c>
      <c r="AK3915" s="23">
        <v>0</v>
      </c>
      <c r="AM3915" s="19">
        <v>0</v>
      </c>
      <c r="AN3915" s="19">
        <v>763400</v>
      </c>
      <c r="AP3915" s="14">
        <v>763400</v>
      </c>
      <c r="AQ3915" s="12">
        <v>1E-4</v>
      </c>
    </row>
    <row r="3916" spans="1:45" ht="63" x14ac:dyDescent="0.2">
      <c r="A3916" s="121">
        <f t="shared" si="494"/>
        <v>3341</v>
      </c>
      <c r="B3916" s="13">
        <v>1</v>
      </c>
      <c r="C3916" s="17" t="s">
        <v>52</v>
      </c>
      <c r="D3916" s="17">
        <v>855</v>
      </c>
      <c r="E3916" s="17">
        <v>81</v>
      </c>
      <c r="F3916" s="17">
        <v>145</v>
      </c>
      <c r="G3916" s="13">
        <v>1</v>
      </c>
      <c r="H3916" s="17">
        <v>0</v>
      </c>
      <c r="I3916" s="17">
        <v>2</v>
      </c>
      <c r="J3916" s="17">
        <v>27</v>
      </c>
      <c r="L3916" s="17">
        <v>90.96</v>
      </c>
      <c r="P3916" s="17">
        <v>2</v>
      </c>
      <c r="Q3916" s="19">
        <v>227</v>
      </c>
      <c r="R3916" s="14">
        <v>250</v>
      </c>
      <c r="S3916" s="19">
        <v>56750</v>
      </c>
      <c r="T3916" s="17">
        <v>1</v>
      </c>
      <c r="U3916" s="17" t="s">
        <v>63</v>
      </c>
      <c r="V3916" s="17" t="s">
        <v>56</v>
      </c>
      <c r="W3916" s="4">
        <v>85</v>
      </c>
      <c r="Y3916" s="4">
        <v>85</v>
      </c>
      <c r="AB3916" s="17">
        <v>8</v>
      </c>
      <c r="AJ3916" s="19">
        <v>0</v>
      </c>
      <c r="AK3916" s="23">
        <v>8</v>
      </c>
      <c r="AM3916" s="19">
        <v>0</v>
      </c>
      <c r="AN3916" s="19">
        <v>56750</v>
      </c>
      <c r="AP3916" s="14">
        <v>56750</v>
      </c>
    </row>
    <row r="3917" spans="1:45" ht="63" x14ac:dyDescent="0.2">
      <c r="L3917" s="17">
        <v>61.63</v>
      </c>
      <c r="Q3917" s="19">
        <v>0</v>
      </c>
      <c r="R3917" s="14" t="e">
        <v>#N/A</v>
      </c>
      <c r="S3917" s="19" t="e">
        <v>#N/A</v>
      </c>
      <c r="T3917" s="17">
        <v>2</v>
      </c>
      <c r="U3917" s="17" t="s">
        <v>63</v>
      </c>
      <c r="V3917" s="17" t="s">
        <v>56</v>
      </c>
      <c r="W3917" s="4">
        <v>246.5</v>
      </c>
      <c r="Y3917" s="4">
        <v>246.5</v>
      </c>
      <c r="AB3917" s="17">
        <v>31</v>
      </c>
      <c r="AJ3917" s="19">
        <v>0</v>
      </c>
      <c r="AK3917" s="23">
        <v>31</v>
      </c>
      <c r="AM3917" s="19">
        <v>0</v>
      </c>
      <c r="AN3917" s="19" t="e">
        <v>#N/A</v>
      </c>
      <c r="AP3917" s="14" t="e">
        <v>#N/A</v>
      </c>
    </row>
    <row r="3918" spans="1:45" ht="63" x14ac:dyDescent="0.2">
      <c r="L3918" s="17">
        <v>19.25</v>
      </c>
      <c r="Q3918" s="19">
        <v>0</v>
      </c>
      <c r="R3918" s="14" t="e">
        <v>#N/A</v>
      </c>
      <c r="S3918" s="19" t="e">
        <v>#N/A</v>
      </c>
      <c r="T3918" s="17">
        <v>3</v>
      </c>
      <c r="U3918" s="17" t="s">
        <v>63</v>
      </c>
      <c r="V3918" s="17" t="s">
        <v>56</v>
      </c>
      <c r="W3918" s="4">
        <v>77</v>
      </c>
      <c r="Y3918" s="4">
        <v>77</v>
      </c>
      <c r="AB3918" s="17">
        <v>10</v>
      </c>
      <c r="AJ3918" s="19">
        <v>0</v>
      </c>
      <c r="AK3918" s="23">
        <v>10</v>
      </c>
      <c r="AM3918" s="19">
        <v>0</v>
      </c>
      <c r="AN3918" s="19" t="e">
        <v>#N/A</v>
      </c>
      <c r="AP3918" s="14" t="e">
        <v>#N/A</v>
      </c>
    </row>
    <row r="3919" spans="1:45" ht="63" x14ac:dyDescent="0.2">
      <c r="L3919" s="17">
        <v>55.16</v>
      </c>
      <c r="Q3919" s="19">
        <v>0</v>
      </c>
      <c r="R3919" s="14" t="e">
        <v>#N/A</v>
      </c>
      <c r="S3919" s="19" t="e">
        <v>#N/A</v>
      </c>
      <c r="T3919" s="17">
        <v>4</v>
      </c>
      <c r="U3919" s="17" t="s">
        <v>63</v>
      </c>
      <c r="V3919" s="17" t="s">
        <v>56</v>
      </c>
      <c r="W3919" s="4">
        <v>220.5</v>
      </c>
      <c r="Y3919" s="4">
        <v>220.5</v>
      </c>
      <c r="AB3919" s="17">
        <v>9</v>
      </c>
      <c r="AJ3919" s="19">
        <v>0</v>
      </c>
      <c r="AK3919" s="23">
        <v>9</v>
      </c>
      <c r="AM3919" s="19">
        <v>0</v>
      </c>
      <c r="AN3919" s="19" t="e">
        <v>#N/A</v>
      </c>
      <c r="AP3919" s="14" t="e">
        <v>#N/A</v>
      </c>
    </row>
    <row r="3920" spans="1:45" x14ac:dyDescent="0.2">
      <c r="A3920" s="2">
        <v>3342</v>
      </c>
      <c r="B3920" s="13">
        <v>2</v>
      </c>
      <c r="C3920" s="17" t="s">
        <v>52</v>
      </c>
      <c r="D3920" s="17">
        <v>1008</v>
      </c>
      <c r="E3920" s="17">
        <v>46</v>
      </c>
      <c r="F3920" s="17">
        <v>347</v>
      </c>
      <c r="G3920" s="13">
        <v>1</v>
      </c>
      <c r="H3920" s="17">
        <v>3</v>
      </c>
      <c r="I3920" s="17">
        <v>2</v>
      </c>
      <c r="J3920" s="17">
        <v>89</v>
      </c>
      <c r="K3920" s="10">
        <v>1489</v>
      </c>
      <c r="P3920" s="17">
        <v>1</v>
      </c>
      <c r="Q3920" s="19">
        <v>1489</v>
      </c>
      <c r="R3920" s="14">
        <v>160</v>
      </c>
      <c r="S3920" s="19">
        <v>238240</v>
      </c>
      <c r="AJ3920" s="19">
        <v>0</v>
      </c>
      <c r="AK3920" s="23">
        <v>0</v>
      </c>
      <c r="AM3920" s="19">
        <v>0</v>
      </c>
      <c r="AN3920" s="19">
        <v>238240</v>
      </c>
      <c r="AP3920" s="14">
        <v>238240</v>
      </c>
    </row>
    <row r="3921" spans="1:45" x14ac:dyDescent="0.2">
      <c r="A3921" s="2">
        <f>+A3920+1</f>
        <v>3343</v>
      </c>
      <c r="B3921" s="13">
        <v>3</v>
      </c>
      <c r="C3921" s="17" t="s">
        <v>52</v>
      </c>
      <c r="D3921" s="17">
        <v>1009</v>
      </c>
      <c r="E3921" s="17">
        <v>47</v>
      </c>
      <c r="F3921" s="17">
        <v>348</v>
      </c>
      <c r="G3921" s="13">
        <v>1</v>
      </c>
      <c r="H3921" s="17">
        <v>4</v>
      </c>
      <c r="I3921" s="17">
        <v>0</v>
      </c>
      <c r="J3921" s="17">
        <v>93</v>
      </c>
      <c r="K3921" s="10">
        <v>1693</v>
      </c>
      <c r="P3921" s="17">
        <v>1</v>
      </c>
      <c r="Q3921" s="19">
        <v>1693</v>
      </c>
      <c r="R3921" s="14">
        <v>160</v>
      </c>
      <c r="S3921" s="19">
        <v>270880</v>
      </c>
      <c r="AJ3921" s="19">
        <v>0</v>
      </c>
      <c r="AK3921" s="23">
        <v>0</v>
      </c>
      <c r="AM3921" s="19">
        <v>0</v>
      </c>
      <c r="AN3921" s="19">
        <v>270880</v>
      </c>
      <c r="AP3921" s="14">
        <v>270880</v>
      </c>
    </row>
    <row r="3922" spans="1:45" x14ac:dyDescent="0.2">
      <c r="A3922" s="121">
        <f t="shared" ref="A3922:A3965" si="495">+A3921+1</f>
        <v>3344</v>
      </c>
      <c r="B3922" s="13">
        <v>4</v>
      </c>
      <c r="C3922" s="17" t="s">
        <v>52</v>
      </c>
      <c r="D3922" s="17">
        <v>4642</v>
      </c>
      <c r="E3922" s="17">
        <v>63</v>
      </c>
      <c r="F3922" s="17">
        <v>2466</v>
      </c>
      <c r="G3922" s="13">
        <v>1</v>
      </c>
      <c r="H3922" s="17">
        <v>21</v>
      </c>
      <c r="I3922" s="17">
        <v>2</v>
      </c>
      <c r="J3922" s="17">
        <v>90</v>
      </c>
      <c r="K3922" s="10">
        <v>8690</v>
      </c>
      <c r="P3922" s="17">
        <v>1</v>
      </c>
      <c r="Q3922" s="19">
        <v>8690</v>
      </c>
      <c r="R3922" s="14">
        <v>200</v>
      </c>
      <c r="S3922" s="19">
        <v>1738000</v>
      </c>
      <c r="AJ3922" s="19">
        <v>0</v>
      </c>
      <c r="AK3922" s="23">
        <v>0</v>
      </c>
      <c r="AM3922" s="19">
        <v>0</v>
      </c>
      <c r="AN3922" s="19">
        <v>1738000</v>
      </c>
      <c r="AP3922" s="14">
        <v>1738000</v>
      </c>
    </row>
    <row r="3923" spans="1:45" x14ac:dyDescent="0.2">
      <c r="A3923" s="121">
        <f t="shared" si="495"/>
        <v>3345</v>
      </c>
      <c r="B3923" s="13">
        <v>5</v>
      </c>
      <c r="C3923" s="17" t="s">
        <v>52</v>
      </c>
      <c r="D3923" s="17">
        <v>21167</v>
      </c>
      <c r="E3923" s="17">
        <v>32</v>
      </c>
      <c r="F3923" s="17">
        <v>4625</v>
      </c>
      <c r="G3923" s="13">
        <v>1</v>
      </c>
      <c r="H3923" s="17">
        <v>6</v>
      </c>
      <c r="I3923" s="17">
        <v>1</v>
      </c>
      <c r="J3923" s="17">
        <v>57</v>
      </c>
      <c r="K3923" s="10">
        <v>2557</v>
      </c>
      <c r="P3923" s="17">
        <v>1</v>
      </c>
      <c r="Q3923" s="19">
        <v>2557</v>
      </c>
      <c r="R3923" s="14">
        <v>160</v>
      </c>
      <c r="S3923" s="19">
        <v>409120</v>
      </c>
      <c r="AJ3923" s="19">
        <v>0</v>
      </c>
      <c r="AK3923" s="23">
        <v>0</v>
      </c>
      <c r="AM3923" s="19">
        <v>0</v>
      </c>
      <c r="AN3923" s="19">
        <v>409120</v>
      </c>
      <c r="AP3923" s="14">
        <v>409120</v>
      </c>
    </row>
    <row r="3924" spans="1:45" x14ac:dyDescent="0.2">
      <c r="A3924" s="121">
        <f t="shared" si="495"/>
        <v>3346</v>
      </c>
      <c r="B3924" s="13">
        <v>6</v>
      </c>
      <c r="C3924" s="17" t="s">
        <v>52</v>
      </c>
      <c r="D3924" s="17">
        <v>32447</v>
      </c>
      <c r="E3924" s="17">
        <v>325</v>
      </c>
      <c r="F3924" s="17">
        <v>6419</v>
      </c>
      <c r="G3924" s="13">
        <v>1</v>
      </c>
      <c r="H3924" s="17">
        <v>0</v>
      </c>
      <c r="I3924" s="17">
        <v>2</v>
      </c>
      <c r="J3924" s="17">
        <v>46</v>
      </c>
      <c r="K3924" s="10">
        <v>246</v>
      </c>
      <c r="P3924" s="17">
        <v>1</v>
      </c>
      <c r="Q3924" s="19">
        <v>246</v>
      </c>
      <c r="R3924" s="14">
        <v>200</v>
      </c>
      <c r="S3924" s="19">
        <v>49200</v>
      </c>
      <c r="AJ3924" s="19">
        <v>0</v>
      </c>
      <c r="AK3924" s="23">
        <v>0</v>
      </c>
      <c r="AM3924" s="19">
        <v>0</v>
      </c>
      <c r="AN3924" s="19">
        <v>49200</v>
      </c>
      <c r="AP3924" s="14">
        <v>49200</v>
      </c>
    </row>
    <row r="3925" spans="1:45" ht="63" x14ac:dyDescent="0.2">
      <c r="A3925" s="121">
        <f t="shared" si="495"/>
        <v>3347</v>
      </c>
      <c r="B3925" s="13">
        <v>1</v>
      </c>
      <c r="C3925" s="17" t="s">
        <v>52</v>
      </c>
      <c r="D3925" s="17">
        <v>3159</v>
      </c>
      <c r="E3925" s="17">
        <v>148</v>
      </c>
      <c r="F3925" s="17">
        <v>2254</v>
      </c>
      <c r="G3925" s="13">
        <v>1</v>
      </c>
      <c r="H3925" s="17">
        <v>0</v>
      </c>
      <c r="I3925" s="17">
        <v>1</v>
      </c>
      <c r="J3925" s="17">
        <v>62.09</v>
      </c>
      <c r="L3925" s="17">
        <v>162.09</v>
      </c>
      <c r="P3925" s="17">
        <v>2</v>
      </c>
      <c r="Q3925" s="19">
        <v>162.09</v>
      </c>
      <c r="R3925" s="14">
        <v>200</v>
      </c>
      <c r="S3925" s="19">
        <v>32418</v>
      </c>
      <c r="T3925" s="17">
        <v>1</v>
      </c>
      <c r="U3925" s="17" t="s">
        <v>63</v>
      </c>
      <c r="V3925" s="17" t="s">
        <v>56</v>
      </c>
      <c r="W3925" s="4">
        <v>71.5</v>
      </c>
      <c r="Y3925" s="4">
        <v>71.5</v>
      </c>
      <c r="AB3925" s="17">
        <v>8</v>
      </c>
      <c r="AJ3925" s="19">
        <v>0</v>
      </c>
      <c r="AK3925" s="23">
        <v>8</v>
      </c>
      <c r="AM3925" s="19">
        <v>0</v>
      </c>
      <c r="AN3925" s="19">
        <v>32418</v>
      </c>
      <c r="AP3925" s="14">
        <v>32418</v>
      </c>
    </row>
    <row r="3926" spans="1:45" x14ac:dyDescent="0.2">
      <c r="A3926" s="121">
        <f t="shared" si="495"/>
        <v>3348</v>
      </c>
      <c r="B3926" s="13">
        <v>2</v>
      </c>
      <c r="C3926" s="17" t="s">
        <v>52</v>
      </c>
      <c r="D3926" s="17">
        <v>5067</v>
      </c>
      <c r="E3926" s="17">
        <v>59</v>
      </c>
      <c r="F3926" s="17">
        <v>2460</v>
      </c>
      <c r="G3926" s="13">
        <v>1</v>
      </c>
      <c r="H3926" s="17">
        <v>17</v>
      </c>
      <c r="I3926" s="17">
        <v>2</v>
      </c>
      <c r="J3926" s="17">
        <v>37</v>
      </c>
      <c r="K3926" s="10">
        <v>7037</v>
      </c>
      <c r="P3926" s="17">
        <v>1</v>
      </c>
      <c r="Q3926" s="19">
        <v>7037</v>
      </c>
      <c r="R3926" s="14">
        <v>200</v>
      </c>
      <c r="S3926" s="19">
        <v>1407400</v>
      </c>
      <c r="AJ3926" s="19">
        <v>0</v>
      </c>
      <c r="AK3926" s="23">
        <v>0</v>
      </c>
      <c r="AM3926" s="19">
        <v>0</v>
      </c>
      <c r="AN3926" s="19">
        <v>1407400</v>
      </c>
      <c r="AP3926" s="14">
        <v>1407400</v>
      </c>
    </row>
    <row r="3927" spans="1:45" x14ac:dyDescent="0.2">
      <c r="A3927" s="121">
        <f t="shared" si="495"/>
        <v>3349</v>
      </c>
      <c r="B3927" s="13">
        <v>3</v>
      </c>
      <c r="C3927" s="17" t="s">
        <v>52</v>
      </c>
      <c r="D3927" s="17">
        <v>21166</v>
      </c>
      <c r="E3927" s="17">
        <v>31</v>
      </c>
      <c r="F3927" s="17">
        <v>4624</v>
      </c>
      <c r="G3927" s="13">
        <v>1</v>
      </c>
      <c r="H3927" s="17">
        <v>8</v>
      </c>
      <c r="I3927" s="17">
        <v>1</v>
      </c>
      <c r="J3927" s="17">
        <v>79</v>
      </c>
      <c r="K3927" s="10">
        <v>3379</v>
      </c>
      <c r="P3927" s="17">
        <v>1</v>
      </c>
      <c r="Q3927" s="19">
        <v>3379</v>
      </c>
      <c r="R3927" s="14">
        <v>160</v>
      </c>
      <c r="S3927" s="19">
        <v>540640</v>
      </c>
      <c r="AJ3927" s="19">
        <v>0</v>
      </c>
      <c r="AK3927" s="23">
        <v>0</v>
      </c>
      <c r="AM3927" s="19">
        <v>0</v>
      </c>
      <c r="AN3927" s="19">
        <v>540640</v>
      </c>
      <c r="AP3927" s="14">
        <v>540640</v>
      </c>
    </row>
    <row r="3928" spans="1:45" x14ac:dyDescent="0.2">
      <c r="A3928" s="121">
        <f t="shared" si="495"/>
        <v>3350</v>
      </c>
      <c r="B3928" s="13">
        <v>4</v>
      </c>
      <c r="C3928" s="17" t="s">
        <v>52</v>
      </c>
      <c r="D3928" s="17">
        <v>29220</v>
      </c>
      <c r="E3928" s="17">
        <v>245</v>
      </c>
      <c r="F3928" s="17">
        <v>5415</v>
      </c>
      <c r="G3928" s="13">
        <v>1</v>
      </c>
      <c r="H3928" s="17">
        <v>0</v>
      </c>
      <c r="I3928" s="17">
        <v>2</v>
      </c>
      <c r="J3928" s="17">
        <v>31</v>
      </c>
      <c r="K3928" s="10">
        <v>231</v>
      </c>
      <c r="P3928" s="17">
        <v>1</v>
      </c>
      <c r="Q3928" s="19">
        <v>231</v>
      </c>
      <c r="R3928" s="14">
        <v>1500</v>
      </c>
      <c r="S3928" s="19">
        <v>346500</v>
      </c>
      <c r="AJ3928" s="19">
        <v>0</v>
      </c>
      <c r="AK3928" s="23">
        <v>0</v>
      </c>
      <c r="AM3928" s="19">
        <v>0</v>
      </c>
      <c r="AN3928" s="19">
        <v>346500</v>
      </c>
      <c r="AP3928" s="14">
        <v>346500</v>
      </c>
    </row>
    <row r="3929" spans="1:45" x14ac:dyDescent="0.2">
      <c r="A3929" s="121">
        <f t="shared" si="495"/>
        <v>3351</v>
      </c>
      <c r="B3929" s="13">
        <v>5</v>
      </c>
      <c r="C3929" s="17" t="s">
        <v>65</v>
      </c>
      <c r="D3929" s="17">
        <v>3468</v>
      </c>
      <c r="E3929" s="17">
        <v>63</v>
      </c>
      <c r="H3929" s="17">
        <v>4</v>
      </c>
      <c r="I3929" s="17">
        <v>3</v>
      </c>
      <c r="J3929" s="17">
        <v>90</v>
      </c>
      <c r="K3929" s="10">
        <v>1990</v>
      </c>
      <c r="P3929" s="17">
        <v>1</v>
      </c>
      <c r="Q3929" s="19">
        <v>1990</v>
      </c>
      <c r="R3929" s="14">
        <v>200</v>
      </c>
      <c r="S3929" s="19">
        <v>398000</v>
      </c>
      <c r="AJ3929" s="19">
        <v>0</v>
      </c>
      <c r="AK3929" s="23">
        <v>0</v>
      </c>
      <c r="AM3929" s="19">
        <v>0</v>
      </c>
      <c r="AN3929" s="19">
        <v>398000</v>
      </c>
      <c r="AP3929" s="14">
        <v>398000</v>
      </c>
      <c r="AQ3929" s="12">
        <v>1E-4</v>
      </c>
    </row>
    <row r="3930" spans="1:45" x14ac:dyDescent="0.2">
      <c r="A3930" s="121">
        <f t="shared" si="495"/>
        <v>3352</v>
      </c>
      <c r="B3930" s="13">
        <v>6</v>
      </c>
      <c r="C3930" s="17" t="s">
        <v>69</v>
      </c>
      <c r="E3930" s="17">
        <v>162</v>
      </c>
      <c r="F3930" s="17">
        <v>11</v>
      </c>
      <c r="G3930" s="13">
        <v>1</v>
      </c>
      <c r="H3930" s="17">
        <v>20</v>
      </c>
      <c r="I3930" s="17">
        <v>3</v>
      </c>
      <c r="J3930" s="17">
        <v>44</v>
      </c>
      <c r="K3930" s="10">
        <v>8344</v>
      </c>
      <c r="P3930" s="17">
        <v>1</v>
      </c>
      <c r="Q3930" s="19">
        <v>8344</v>
      </c>
      <c r="R3930" s="14">
        <v>160</v>
      </c>
      <c r="S3930" s="19">
        <v>1335040</v>
      </c>
      <c r="AJ3930" s="19">
        <v>0</v>
      </c>
      <c r="AK3930" s="23">
        <v>0</v>
      </c>
      <c r="AM3930" s="19">
        <v>0</v>
      </c>
      <c r="AN3930" s="19">
        <v>1335040</v>
      </c>
      <c r="AP3930" s="14">
        <v>1335040</v>
      </c>
      <c r="AQ3930" s="12">
        <v>1E-4</v>
      </c>
    </row>
    <row r="3931" spans="1:45" x14ac:dyDescent="0.2">
      <c r="A3931" s="121">
        <f t="shared" si="495"/>
        <v>3353</v>
      </c>
      <c r="B3931" s="13">
        <v>1</v>
      </c>
      <c r="C3931" s="17" t="s">
        <v>52</v>
      </c>
      <c r="D3931" s="17">
        <v>29463</v>
      </c>
      <c r="E3931" s="17">
        <v>190</v>
      </c>
      <c r="F3931" s="17">
        <v>5584</v>
      </c>
      <c r="G3931" s="13">
        <v>1</v>
      </c>
      <c r="H3931" s="17">
        <v>0</v>
      </c>
      <c r="I3931" s="17">
        <v>0</v>
      </c>
      <c r="J3931" s="17">
        <v>39</v>
      </c>
      <c r="K3931" s="10">
        <v>39</v>
      </c>
      <c r="P3931" s="17">
        <v>1</v>
      </c>
      <c r="Q3931" s="19">
        <v>39</v>
      </c>
      <c r="R3931" s="14">
        <v>250</v>
      </c>
      <c r="S3931" s="19">
        <v>9750</v>
      </c>
      <c r="AJ3931" s="19">
        <v>0</v>
      </c>
      <c r="AK3931" s="23">
        <v>0</v>
      </c>
      <c r="AM3931" s="19">
        <v>0</v>
      </c>
      <c r="AN3931" s="19">
        <v>9750</v>
      </c>
      <c r="AP3931" s="14">
        <v>9750</v>
      </c>
      <c r="AS3931" s="26">
        <v>79</v>
      </c>
    </row>
    <row r="3932" spans="1:45" x14ac:dyDescent="0.2">
      <c r="A3932" s="121">
        <f t="shared" si="495"/>
        <v>3354</v>
      </c>
      <c r="B3932" s="13">
        <v>2</v>
      </c>
      <c r="C3932" s="17" t="s">
        <v>52</v>
      </c>
      <c r="D3932" s="17">
        <v>29464</v>
      </c>
      <c r="E3932" s="17">
        <v>191</v>
      </c>
      <c r="F3932" s="17">
        <v>5585</v>
      </c>
      <c r="G3932" s="13">
        <v>1</v>
      </c>
      <c r="H3932" s="17">
        <v>0</v>
      </c>
      <c r="I3932" s="17">
        <v>0</v>
      </c>
      <c r="J3932" s="17">
        <v>39</v>
      </c>
      <c r="K3932" s="10">
        <v>39</v>
      </c>
      <c r="P3932" s="17">
        <v>1</v>
      </c>
      <c r="Q3932" s="19">
        <v>39</v>
      </c>
      <c r="R3932" s="14">
        <v>250</v>
      </c>
      <c r="S3932" s="19">
        <v>9750</v>
      </c>
      <c r="AJ3932" s="19">
        <v>0</v>
      </c>
      <c r="AK3932" s="23">
        <v>0</v>
      </c>
      <c r="AM3932" s="19">
        <v>0</v>
      </c>
      <c r="AN3932" s="19">
        <v>9750</v>
      </c>
      <c r="AP3932" s="14">
        <v>9750</v>
      </c>
    </row>
    <row r="3933" spans="1:45" x14ac:dyDescent="0.2">
      <c r="A3933" s="121">
        <f t="shared" si="495"/>
        <v>3355</v>
      </c>
      <c r="B3933" s="13">
        <v>3</v>
      </c>
      <c r="C3933" s="17" t="s">
        <v>52</v>
      </c>
      <c r="D3933" s="17">
        <v>29465</v>
      </c>
      <c r="E3933" s="17">
        <v>192</v>
      </c>
      <c r="F3933" s="17">
        <v>5586</v>
      </c>
      <c r="G3933" s="13">
        <v>1</v>
      </c>
      <c r="H3933" s="17">
        <v>0</v>
      </c>
      <c r="I3933" s="17">
        <v>0</v>
      </c>
      <c r="J3933" s="17">
        <v>35</v>
      </c>
      <c r="K3933" s="10">
        <v>35</v>
      </c>
      <c r="P3933" s="17">
        <v>1</v>
      </c>
      <c r="Q3933" s="19">
        <v>35</v>
      </c>
      <c r="R3933" s="14">
        <v>250</v>
      </c>
      <c r="S3933" s="19">
        <v>8750</v>
      </c>
      <c r="AJ3933" s="19">
        <v>0</v>
      </c>
      <c r="AK3933" s="23">
        <v>0</v>
      </c>
      <c r="AM3933" s="19">
        <v>0</v>
      </c>
      <c r="AN3933" s="19">
        <v>8750</v>
      </c>
      <c r="AP3933" s="14">
        <v>8750</v>
      </c>
    </row>
    <row r="3934" spans="1:45" x14ac:dyDescent="0.2">
      <c r="A3934" s="121">
        <f t="shared" si="495"/>
        <v>3356</v>
      </c>
      <c r="B3934" s="13">
        <v>4</v>
      </c>
      <c r="C3934" s="17" t="s">
        <v>52</v>
      </c>
      <c r="D3934" s="17">
        <v>29470</v>
      </c>
      <c r="E3934" s="17">
        <v>197</v>
      </c>
      <c r="F3934" s="17">
        <v>5591</v>
      </c>
      <c r="G3934" s="13">
        <v>1</v>
      </c>
      <c r="H3934" s="17">
        <v>2</v>
      </c>
      <c r="I3934" s="17">
        <v>2</v>
      </c>
      <c r="J3934" s="17">
        <v>94</v>
      </c>
      <c r="K3934" s="10">
        <v>1094</v>
      </c>
      <c r="P3934" s="17">
        <v>1</v>
      </c>
      <c r="Q3934" s="19">
        <v>1094</v>
      </c>
      <c r="R3934" s="14">
        <v>160</v>
      </c>
      <c r="S3934" s="19">
        <v>175040</v>
      </c>
      <c r="AJ3934" s="19">
        <v>0</v>
      </c>
      <c r="AK3934" s="23">
        <v>0</v>
      </c>
      <c r="AM3934" s="19">
        <v>0</v>
      </c>
      <c r="AN3934" s="19">
        <v>175040</v>
      </c>
      <c r="AP3934" s="14">
        <v>175040</v>
      </c>
    </row>
    <row r="3935" spans="1:45" ht="63" x14ac:dyDescent="0.2">
      <c r="A3935" s="121">
        <f t="shared" si="495"/>
        <v>3357</v>
      </c>
      <c r="B3935" s="13">
        <v>5</v>
      </c>
      <c r="C3935" s="17" t="s">
        <v>52</v>
      </c>
      <c r="D3935" s="17">
        <v>30428</v>
      </c>
      <c r="E3935" s="17">
        <v>311</v>
      </c>
      <c r="F3935" s="17">
        <v>6829</v>
      </c>
      <c r="G3935" s="13">
        <v>1</v>
      </c>
      <c r="H3935" s="17">
        <v>0</v>
      </c>
      <c r="I3935" s="17">
        <v>1</v>
      </c>
      <c r="J3935" s="17">
        <v>31.02</v>
      </c>
      <c r="L3935" s="17">
        <v>131.02000000000001</v>
      </c>
      <c r="P3935" s="17">
        <v>2</v>
      </c>
      <c r="Q3935" s="19">
        <v>131.02000000000001</v>
      </c>
      <c r="R3935" s="14">
        <v>250</v>
      </c>
      <c r="S3935" s="19">
        <v>32755.000000000004</v>
      </c>
      <c r="T3935" s="17">
        <v>1</v>
      </c>
      <c r="U3935" s="17" t="s">
        <v>57</v>
      </c>
      <c r="V3935" s="17" t="s">
        <v>56</v>
      </c>
      <c r="W3935" s="4">
        <v>120</v>
      </c>
      <c r="Y3935" s="4">
        <v>120</v>
      </c>
      <c r="AB3935" s="17">
        <v>21</v>
      </c>
      <c r="AJ3935" s="19">
        <v>0</v>
      </c>
      <c r="AK3935" s="23">
        <v>21</v>
      </c>
      <c r="AM3935" s="19">
        <v>0</v>
      </c>
      <c r="AN3935" s="19">
        <v>32755.000000000004</v>
      </c>
      <c r="AP3935" s="14">
        <v>32755.000000000004</v>
      </c>
    </row>
    <row r="3936" spans="1:45" x14ac:dyDescent="0.2">
      <c r="A3936" s="121">
        <f>+A3935+1</f>
        <v>3358</v>
      </c>
      <c r="B3936" s="13">
        <v>6</v>
      </c>
      <c r="C3936" s="17" t="s">
        <v>52</v>
      </c>
      <c r="D3936" s="17">
        <v>33709</v>
      </c>
      <c r="E3936" s="17">
        <v>341</v>
      </c>
      <c r="F3936" s="17">
        <v>6739</v>
      </c>
      <c r="G3936" s="13">
        <v>1</v>
      </c>
      <c r="H3936" s="17">
        <v>0</v>
      </c>
      <c r="I3936" s="17">
        <v>0</v>
      </c>
      <c r="J3936" s="17">
        <v>74</v>
      </c>
      <c r="K3936" s="10">
        <v>74</v>
      </c>
      <c r="P3936" s="17">
        <v>1</v>
      </c>
      <c r="Q3936" s="19">
        <v>74</v>
      </c>
      <c r="R3936" s="14">
        <v>160</v>
      </c>
      <c r="S3936" s="19">
        <v>11840</v>
      </c>
      <c r="AJ3936" s="19">
        <v>0</v>
      </c>
      <c r="AK3936" s="23">
        <v>0</v>
      </c>
      <c r="AM3936" s="19">
        <v>0</v>
      </c>
      <c r="AN3936" s="19">
        <v>11840</v>
      </c>
      <c r="AP3936" s="14">
        <v>11840</v>
      </c>
    </row>
    <row r="3937" spans="1:49" x14ac:dyDescent="0.2">
      <c r="A3937" s="121">
        <f t="shared" si="495"/>
        <v>3359</v>
      </c>
      <c r="B3937" s="13">
        <v>7</v>
      </c>
      <c r="C3937" s="17" t="s">
        <v>52</v>
      </c>
      <c r="D3937" s="17">
        <v>35153</v>
      </c>
      <c r="E3937" s="17">
        <v>147</v>
      </c>
      <c r="F3937" s="17">
        <v>7023</v>
      </c>
      <c r="G3937" s="13">
        <v>1</v>
      </c>
      <c r="H3937" s="17">
        <v>1</v>
      </c>
      <c r="I3937" s="17">
        <v>2</v>
      </c>
      <c r="J3937" s="17">
        <v>65</v>
      </c>
      <c r="K3937" s="10">
        <v>665</v>
      </c>
      <c r="P3937" s="17">
        <v>1</v>
      </c>
      <c r="Q3937" s="19">
        <v>665</v>
      </c>
      <c r="R3937" s="14">
        <v>200</v>
      </c>
      <c r="S3937" s="19">
        <v>133000</v>
      </c>
      <c r="AJ3937" s="19">
        <v>0</v>
      </c>
      <c r="AK3937" s="23">
        <v>0</v>
      </c>
      <c r="AM3937" s="19">
        <v>0</v>
      </c>
      <c r="AN3937" s="19">
        <v>133000</v>
      </c>
      <c r="AP3937" s="14">
        <v>133000</v>
      </c>
    </row>
    <row r="3938" spans="1:49" x14ac:dyDescent="0.2">
      <c r="A3938" s="121">
        <f t="shared" si="495"/>
        <v>3360</v>
      </c>
      <c r="B3938" s="13">
        <v>8</v>
      </c>
      <c r="C3938" s="17" t="s">
        <v>69</v>
      </c>
      <c r="E3938" s="17">
        <v>168</v>
      </c>
      <c r="F3938" s="17">
        <v>7</v>
      </c>
      <c r="G3938" s="13">
        <v>1</v>
      </c>
      <c r="H3938" s="17">
        <v>11</v>
      </c>
      <c r="I3938" s="17">
        <v>0</v>
      </c>
      <c r="J3938" s="17">
        <v>12</v>
      </c>
      <c r="K3938" s="10">
        <v>4412</v>
      </c>
      <c r="P3938" s="17">
        <v>1</v>
      </c>
      <c r="Q3938" s="19">
        <v>4412</v>
      </c>
      <c r="R3938" s="14">
        <v>200</v>
      </c>
      <c r="S3938" s="19">
        <v>882400</v>
      </c>
      <c r="AJ3938" s="19">
        <v>0</v>
      </c>
      <c r="AK3938" s="23">
        <v>0</v>
      </c>
      <c r="AM3938" s="19">
        <v>0</v>
      </c>
      <c r="AN3938" s="19">
        <v>882400</v>
      </c>
      <c r="AP3938" s="14">
        <v>882400</v>
      </c>
      <c r="AQ3938" s="12">
        <v>1E-4</v>
      </c>
    </row>
    <row r="3939" spans="1:49" x14ac:dyDescent="0.2">
      <c r="A3939" s="121">
        <f t="shared" si="495"/>
        <v>3361</v>
      </c>
      <c r="B3939" s="13">
        <v>1</v>
      </c>
      <c r="C3939" s="17" t="s">
        <v>52</v>
      </c>
      <c r="D3939" s="17">
        <v>25531</v>
      </c>
      <c r="E3939" s="17">
        <v>105</v>
      </c>
      <c r="F3939" s="17">
        <v>4985</v>
      </c>
      <c r="G3939" s="13">
        <v>1</v>
      </c>
      <c r="H3939" s="17">
        <v>0</v>
      </c>
      <c r="I3939" s="17">
        <v>0</v>
      </c>
      <c r="J3939" s="17">
        <v>62</v>
      </c>
      <c r="N3939" s="18">
        <v>62</v>
      </c>
      <c r="P3939" s="17">
        <v>4</v>
      </c>
      <c r="Q3939" s="19">
        <v>62</v>
      </c>
      <c r="R3939" s="14">
        <v>250</v>
      </c>
      <c r="S3939" s="19">
        <v>15500</v>
      </c>
      <c r="AJ3939" s="19">
        <v>0</v>
      </c>
      <c r="AK3939" s="23">
        <v>0</v>
      </c>
      <c r="AM3939" s="19">
        <v>0</v>
      </c>
      <c r="AN3939" s="19">
        <v>15500</v>
      </c>
      <c r="AP3939" s="14">
        <v>15500</v>
      </c>
      <c r="AQ3939" s="12">
        <v>3.0000000000000001E-3</v>
      </c>
    </row>
    <row r="3940" spans="1:49" x14ac:dyDescent="0.2">
      <c r="A3940" s="121">
        <f t="shared" si="495"/>
        <v>3362</v>
      </c>
      <c r="B3940" s="13">
        <v>2</v>
      </c>
      <c r="C3940" s="17" t="s">
        <v>52</v>
      </c>
      <c r="D3940" s="17">
        <v>1565</v>
      </c>
      <c r="E3940" s="17">
        <v>23</v>
      </c>
      <c r="F3940" s="17">
        <v>488</v>
      </c>
      <c r="G3940" s="13">
        <v>2</v>
      </c>
      <c r="H3940" s="17">
        <v>13</v>
      </c>
      <c r="I3940" s="17">
        <v>2</v>
      </c>
      <c r="J3940" s="17">
        <v>81</v>
      </c>
      <c r="K3940" s="10">
        <v>5481</v>
      </c>
      <c r="P3940" s="17">
        <v>1</v>
      </c>
      <c r="Q3940" s="19">
        <v>5481</v>
      </c>
      <c r="R3940" s="14">
        <v>200</v>
      </c>
      <c r="S3940" s="19">
        <v>1096200</v>
      </c>
      <c r="AJ3940" s="19">
        <v>0</v>
      </c>
      <c r="AK3940" s="23">
        <v>0</v>
      </c>
      <c r="AM3940" s="19">
        <v>0</v>
      </c>
      <c r="AN3940" s="19">
        <v>1096200</v>
      </c>
      <c r="AP3940" s="14">
        <v>1096200</v>
      </c>
    </row>
    <row r="3941" spans="1:49" ht="63" x14ac:dyDescent="0.2">
      <c r="A3941" s="121">
        <f t="shared" si="495"/>
        <v>3363</v>
      </c>
      <c r="B3941" s="13">
        <v>1</v>
      </c>
      <c r="C3941" s="17" t="s">
        <v>52</v>
      </c>
      <c r="D3941" s="17">
        <v>1378</v>
      </c>
      <c r="E3941" s="17">
        <v>65</v>
      </c>
      <c r="F3941" s="17">
        <v>663</v>
      </c>
      <c r="G3941" s="13">
        <v>1</v>
      </c>
      <c r="H3941" s="17">
        <v>0</v>
      </c>
      <c r="I3941" s="17">
        <v>1</v>
      </c>
      <c r="J3941" s="17">
        <v>58.01</v>
      </c>
      <c r="L3941" s="17">
        <v>158.01</v>
      </c>
      <c r="P3941" s="17">
        <v>2</v>
      </c>
      <c r="Q3941" s="19">
        <v>158.01</v>
      </c>
      <c r="R3941" s="14">
        <v>200</v>
      </c>
      <c r="S3941" s="19">
        <v>31602</v>
      </c>
      <c r="T3941" s="17">
        <v>1</v>
      </c>
      <c r="U3941" s="17" t="s">
        <v>63</v>
      </c>
      <c r="V3941" s="17" t="s">
        <v>56</v>
      </c>
      <c r="W3941" s="4">
        <v>234</v>
      </c>
      <c r="Y3941" s="4">
        <v>234</v>
      </c>
      <c r="AA3941" s="17">
        <v>21</v>
      </c>
      <c r="AJ3941" s="19">
        <v>0</v>
      </c>
      <c r="AK3941" s="23">
        <v>0</v>
      </c>
      <c r="AM3941" s="19">
        <v>0</v>
      </c>
      <c r="AN3941" s="19">
        <v>31602</v>
      </c>
      <c r="AP3941" s="14">
        <v>31602</v>
      </c>
      <c r="AS3941" s="26">
        <v>158</v>
      </c>
      <c r="AW3941" s="14" t="s">
        <v>102</v>
      </c>
    </row>
    <row r="3942" spans="1:49" x14ac:dyDescent="0.2">
      <c r="A3942" s="121">
        <f>+A3941+1</f>
        <v>3364</v>
      </c>
      <c r="B3942" s="13">
        <v>2</v>
      </c>
      <c r="C3942" s="17" t="s">
        <v>52</v>
      </c>
      <c r="D3942" s="17">
        <v>1403</v>
      </c>
      <c r="E3942" s="17">
        <v>21</v>
      </c>
      <c r="F3942" s="17">
        <v>598</v>
      </c>
      <c r="G3942" s="13">
        <v>1</v>
      </c>
      <c r="H3942" s="17">
        <v>9</v>
      </c>
      <c r="I3942" s="17">
        <v>0</v>
      </c>
      <c r="J3942" s="17">
        <v>48</v>
      </c>
      <c r="K3942" s="10">
        <v>3648</v>
      </c>
      <c r="P3942" s="17">
        <v>1</v>
      </c>
      <c r="Q3942" s="19">
        <v>3648</v>
      </c>
      <c r="R3942" s="14">
        <v>200</v>
      </c>
      <c r="S3942" s="19">
        <v>729600</v>
      </c>
      <c r="AE3942" s="17" t="s">
        <v>171</v>
      </c>
      <c r="AJ3942" s="19">
        <v>0</v>
      </c>
      <c r="AK3942" s="23">
        <v>0</v>
      </c>
      <c r="AM3942" s="19">
        <v>0</v>
      </c>
      <c r="AN3942" s="19">
        <v>729600</v>
      </c>
      <c r="AP3942" s="14">
        <v>729600</v>
      </c>
    </row>
    <row r="3943" spans="1:49" x14ac:dyDescent="0.2">
      <c r="A3943" s="121">
        <f t="shared" si="495"/>
        <v>3365</v>
      </c>
      <c r="B3943" s="13">
        <v>3</v>
      </c>
      <c r="C3943" s="17" t="s">
        <v>52</v>
      </c>
      <c r="D3943" s="17">
        <v>2946</v>
      </c>
      <c r="E3943" s="17">
        <v>49</v>
      </c>
      <c r="F3943" s="17">
        <v>2008</v>
      </c>
      <c r="G3943" s="13">
        <v>2</v>
      </c>
      <c r="H3943" s="17">
        <v>14</v>
      </c>
      <c r="I3943" s="17">
        <v>3</v>
      </c>
      <c r="J3943" s="17">
        <v>67</v>
      </c>
      <c r="K3943" s="10">
        <v>5967</v>
      </c>
      <c r="P3943" s="17">
        <v>1</v>
      </c>
      <c r="Q3943" s="19">
        <v>5967</v>
      </c>
      <c r="R3943" s="14">
        <v>200</v>
      </c>
      <c r="S3943" s="19">
        <v>1193400</v>
      </c>
      <c r="AJ3943" s="19">
        <v>0</v>
      </c>
      <c r="AK3943" s="23">
        <v>0</v>
      </c>
      <c r="AM3943" s="19">
        <v>0</v>
      </c>
      <c r="AN3943" s="19">
        <v>1193400</v>
      </c>
      <c r="AP3943" s="14">
        <v>1193400</v>
      </c>
    </row>
    <row r="3944" spans="1:49" x14ac:dyDescent="0.2">
      <c r="A3944" s="121">
        <f t="shared" si="495"/>
        <v>3366</v>
      </c>
      <c r="B3944" s="13">
        <v>4</v>
      </c>
      <c r="C3944" s="17" t="s">
        <v>65</v>
      </c>
      <c r="D3944" s="17">
        <v>3465</v>
      </c>
      <c r="E3944" s="17">
        <v>60</v>
      </c>
      <c r="H3944" s="17">
        <v>4</v>
      </c>
      <c r="I3944" s="17">
        <v>1</v>
      </c>
      <c r="J3944" s="17">
        <v>0</v>
      </c>
      <c r="K3944" s="10">
        <v>1700</v>
      </c>
      <c r="P3944" s="17">
        <v>1</v>
      </c>
      <c r="Q3944" s="19">
        <v>1700</v>
      </c>
      <c r="R3944" s="14">
        <v>200</v>
      </c>
      <c r="S3944" s="19">
        <v>340000</v>
      </c>
      <c r="AJ3944" s="19">
        <v>0</v>
      </c>
      <c r="AK3944" s="23">
        <v>0</v>
      </c>
      <c r="AM3944" s="19">
        <v>0</v>
      </c>
      <c r="AN3944" s="19">
        <v>340000</v>
      </c>
      <c r="AP3944" s="14">
        <v>340000</v>
      </c>
      <c r="AQ3944" s="12">
        <v>1E-4</v>
      </c>
    </row>
    <row r="3945" spans="1:49" x14ac:dyDescent="0.2">
      <c r="A3945" s="121">
        <f t="shared" si="495"/>
        <v>3367</v>
      </c>
      <c r="B3945" s="13">
        <v>5</v>
      </c>
      <c r="C3945" s="17" t="s">
        <v>65</v>
      </c>
      <c r="D3945" s="17">
        <v>3466</v>
      </c>
      <c r="E3945" s="17">
        <v>61</v>
      </c>
      <c r="H3945" s="17">
        <v>4</v>
      </c>
      <c r="I3945" s="17">
        <v>1</v>
      </c>
      <c r="J3945" s="17">
        <v>0</v>
      </c>
      <c r="K3945" s="10">
        <v>1700</v>
      </c>
      <c r="P3945" s="17">
        <v>1</v>
      </c>
      <c r="Q3945" s="19">
        <v>1700</v>
      </c>
      <c r="R3945" s="14">
        <v>200</v>
      </c>
      <c r="S3945" s="19">
        <v>340000</v>
      </c>
      <c r="AJ3945" s="19">
        <v>0</v>
      </c>
      <c r="AK3945" s="23">
        <v>0</v>
      </c>
      <c r="AM3945" s="19">
        <v>0</v>
      </c>
      <c r="AN3945" s="19">
        <v>340000</v>
      </c>
      <c r="AP3945" s="14">
        <v>340000</v>
      </c>
      <c r="AQ3945" s="12">
        <v>1E-4</v>
      </c>
    </row>
    <row r="3946" spans="1:49" x14ac:dyDescent="0.2">
      <c r="A3946" s="121">
        <f t="shared" si="495"/>
        <v>3368</v>
      </c>
      <c r="B3946" s="13">
        <v>6</v>
      </c>
      <c r="C3946" s="17" t="s">
        <v>69</v>
      </c>
      <c r="E3946" s="17">
        <v>162</v>
      </c>
      <c r="F3946" s="17">
        <v>18</v>
      </c>
      <c r="G3946" s="13">
        <v>1</v>
      </c>
      <c r="H3946" s="17">
        <v>4</v>
      </c>
      <c r="I3946" s="17">
        <v>3</v>
      </c>
      <c r="J3946" s="17">
        <v>77</v>
      </c>
      <c r="K3946" s="10">
        <v>1977</v>
      </c>
      <c r="P3946" s="17">
        <v>1</v>
      </c>
      <c r="Q3946" s="19">
        <v>1977</v>
      </c>
      <c r="R3946" s="14">
        <v>160</v>
      </c>
      <c r="S3946" s="19">
        <v>316320</v>
      </c>
      <c r="AJ3946" s="19">
        <v>0</v>
      </c>
      <c r="AK3946" s="23">
        <v>0</v>
      </c>
      <c r="AM3946" s="19">
        <v>0</v>
      </c>
      <c r="AN3946" s="19">
        <v>316320</v>
      </c>
      <c r="AP3946" s="14">
        <v>316320</v>
      </c>
      <c r="AQ3946" s="12">
        <v>1E-4</v>
      </c>
    </row>
    <row r="3947" spans="1:49" ht="63" x14ac:dyDescent="0.2">
      <c r="A3947" s="121">
        <f t="shared" si="495"/>
        <v>3369</v>
      </c>
      <c r="B3947" s="13">
        <v>1</v>
      </c>
      <c r="C3947" s="17" t="s">
        <v>52</v>
      </c>
      <c r="D3947" s="17">
        <v>1416</v>
      </c>
      <c r="E3947" s="17">
        <v>12</v>
      </c>
      <c r="F3947" s="17">
        <v>611</v>
      </c>
      <c r="G3947" s="13">
        <v>1</v>
      </c>
      <c r="H3947" s="17">
        <v>0</v>
      </c>
      <c r="I3947" s="17">
        <v>3</v>
      </c>
      <c r="J3947" s="17">
        <v>80</v>
      </c>
      <c r="L3947" s="17">
        <v>380</v>
      </c>
      <c r="P3947" s="17">
        <v>2</v>
      </c>
      <c r="Q3947" s="19">
        <v>380</v>
      </c>
      <c r="R3947" s="14">
        <v>200</v>
      </c>
      <c r="S3947" s="19">
        <v>76000</v>
      </c>
      <c r="AE3947" s="17" t="s">
        <v>171</v>
      </c>
      <c r="AJ3947" s="19">
        <v>0</v>
      </c>
      <c r="AK3947" s="23">
        <v>0</v>
      </c>
      <c r="AM3947" s="19">
        <v>0</v>
      </c>
      <c r="AN3947" s="19">
        <v>76000</v>
      </c>
      <c r="AP3947" s="14">
        <v>76000</v>
      </c>
      <c r="AR3947" s="19">
        <v>34</v>
      </c>
      <c r="AS3947" s="26">
        <v>9784</v>
      </c>
    </row>
    <row r="3948" spans="1:49" ht="63" x14ac:dyDescent="0.2">
      <c r="A3948" s="121">
        <f>+A3947+1</f>
        <v>3370</v>
      </c>
      <c r="B3948" s="13">
        <v>2</v>
      </c>
      <c r="C3948" s="17" t="s">
        <v>52</v>
      </c>
      <c r="D3948" s="17">
        <v>3158</v>
      </c>
      <c r="E3948" s="17">
        <v>147</v>
      </c>
      <c r="F3948" s="17">
        <v>2253</v>
      </c>
      <c r="G3948" s="13">
        <v>1</v>
      </c>
      <c r="H3948" s="17">
        <v>0</v>
      </c>
      <c r="I3948" s="17">
        <v>1</v>
      </c>
      <c r="J3948" s="17">
        <v>55.01</v>
      </c>
      <c r="L3948" s="17">
        <v>155.01</v>
      </c>
      <c r="P3948" s="17">
        <v>2</v>
      </c>
      <c r="Q3948" s="19">
        <v>155.01</v>
      </c>
      <c r="R3948" s="14">
        <v>200</v>
      </c>
      <c r="S3948" s="19">
        <v>31002</v>
      </c>
      <c r="T3948" s="17">
        <v>1</v>
      </c>
      <c r="U3948" s="17" t="s">
        <v>57</v>
      </c>
      <c r="V3948" s="17" t="s">
        <v>56</v>
      </c>
      <c r="W3948" s="4">
        <v>120</v>
      </c>
      <c r="Y3948" s="4">
        <v>120</v>
      </c>
      <c r="AB3948" s="17">
        <v>1</v>
      </c>
      <c r="AJ3948" s="19">
        <v>0</v>
      </c>
      <c r="AK3948" s="23">
        <v>1</v>
      </c>
      <c r="AM3948" s="19">
        <v>0</v>
      </c>
      <c r="AN3948" s="19">
        <v>31002</v>
      </c>
      <c r="AP3948" s="14">
        <v>31002</v>
      </c>
      <c r="AR3948" s="19">
        <v>9750</v>
      </c>
    </row>
    <row r="3949" spans="1:49" x14ac:dyDescent="0.2">
      <c r="A3949" s="121">
        <f t="shared" si="495"/>
        <v>3371</v>
      </c>
      <c r="B3949" s="13">
        <v>3</v>
      </c>
      <c r="C3949" s="17" t="s">
        <v>52</v>
      </c>
      <c r="D3949" s="17">
        <v>25533</v>
      </c>
      <c r="E3949" s="17">
        <v>107</v>
      </c>
      <c r="F3949" s="17">
        <v>4987</v>
      </c>
      <c r="G3949" s="13">
        <v>1</v>
      </c>
      <c r="H3949" s="17">
        <v>0</v>
      </c>
      <c r="I3949" s="17">
        <v>0</v>
      </c>
      <c r="J3949" s="17">
        <v>61</v>
      </c>
      <c r="N3949" s="18">
        <v>61</v>
      </c>
      <c r="P3949" s="17">
        <v>4</v>
      </c>
      <c r="Q3949" s="19">
        <v>61</v>
      </c>
      <c r="R3949" s="14">
        <v>250</v>
      </c>
      <c r="S3949" s="19">
        <v>15250</v>
      </c>
      <c r="AJ3949" s="19">
        <v>0</v>
      </c>
      <c r="AK3949" s="23">
        <v>0</v>
      </c>
      <c r="AM3949" s="19">
        <v>0</v>
      </c>
      <c r="AN3949" s="19">
        <v>15250</v>
      </c>
      <c r="AP3949" s="14">
        <v>15250</v>
      </c>
      <c r="AQ3949" s="12">
        <v>3.0000000000000001E-3</v>
      </c>
    </row>
    <row r="3950" spans="1:49" x14ac:dyDescent="0.2">
      <c r="A3950" s="121">
        <f t="shared" si="495"/>
        <v>3372</v>
      </c>
      <c r="B3950" s="13">
        <v>4</v>
      </c>
      <c r="C3950" s="17" t="s">
        <v>52</v>
      </c>
      <c r="D3950" s="17">
        <v>2714</v>
      </c>
      <c r="E3950" s="17">
        <v>26</v>
      </c>
      <c r="F3950" s="17">
        <v>1880</v>
      </c>
      <c r="G3950" s="13">
        <v>1</v>
      </c>
      <c r="H3950" s="17">
        <v>9</v>
      </c>
      <c r="I3950" s="17">
        <v>0</v>
      </c>
      <c r="J3950" s="17">
        <v>49</v>
      </c>
      <c r="K3950" s="10">
        <v>3649</v>
      </c>
      <c r="P3950" s="17">
        <v>1</v>
      </c>
      <c r="Q3950" s="19">
        <v>3649</v>
      </c>
      <c r="R3950" s="14">
        <v>200</v>
      </c>
      <c r="S3950" s="19">
        <v>729800</v>
      </c>
      <c r="AJ3950" s="19">
        <v>0</v>
      </c>
      <c r="AK3950" s="23">
        <v>0</v>
      </c>
      <c r="AM3950" s="19">
        <v>0</v>
      </c>
      <c r="AN3950" s="19">
        <v>729800</v>
      </c>
      <c r="AP3950" s="14">
        <v>729800</v>
      </c>
    </row>
    <row r="3951" spans="1:49" x14ac:dyDescent="0.2">
      <c r="A3951" s="121">
        <f t="shared" si="495"/>
        <v>3373</v>
      </c>
      <c r="B3951" s="13">
        <v>5</v>
      </c>
      <c r="C3951" s="17" t="s">
        <v>65</v>
      </c>
      <c r="D3951" s="17">
        <v>1112</v>
      </c>
      <c r="E3951" s="17">
        <v>21</v>
      </c>
      <c r="H3951" s="17">
        <v>5</v>
      </c>
      <c r="I3951" s="17">
        <v>3</v>
      </c>
      <c r="J3951" s="17">
        <v>77</v>
      </c>
      <c r="K3951" s="10">
        <v>2377</v>
      </c>
      <c r="P3951" s="17">
        <v>1</v>
      </c>
      <c r="Q3951" s="19">
        <v>2377</v>
      </c>
      <c r="R3951" s="14">
        <v>250</v>
      </c>
      <c r="S3951" s="19">
        <v>594250</v>
      </c>
      <c r="AJ3951" s="19">
        <v>0</v>
      </c>
      <c r="AK3951" s="23">
        <v>0</v>
      </c>
      <c r="AM3951" s="19">
        <v>0</v>
      </c>
      <c r="AN3951" s="19">
        <v>594250</v>
      </c>
      <c r="AP3951" s="14">
        <v>594250</v>
      </c>
      <c r="AQ3951" s="12">
        <v>1E-4</v>
      </c>
    </row>
    <row r="3952" spans="1:49" x14ac:dyDescent="0.2">
      <c r="A3952" s="121">
        <f t="shared" si="495"/>
        <v>3374</v>
      </c>
      <c r="B3952" s="13">
        <v>6</v>
      </c>
      <c r="C3952" s="17" t="s">
        <v>65</v>
      </c>
      <c r="D3952" s="17">
        <v>3467</v>
      </c>
      <c r="E3952" s="17">
        <v>62</v>
      </c>
      <c r="H3952" s="17">
        <v>5</v>
      </c>
      <c r="I3952" s="17">
        <v>1</v>
      </c>
      <c r="J3952" s="17">
        <v>24</v>
      </c>
      <c r="K3952" s="10">
        <v>2124</v>
      </c>
      <c r="P3952" s="17">
        <v>1</v>
      </c>
      <c r="Q3952" s="19">
        <v>2124</v>
      </c>
      <c r="R3952" s="14">
        <v>200</v>
      </c>
      <c r="S3952" s="19">
        <v>424800</v>
      </c>
      <c r="AJ3952" s="19">
        <v>0</v>
      </c>
      <c r="AK3952" s="23">
        <v>0</v>
      </c>
      <c r="AM3952" s="19">
        <v>0</v>
      </c>
      <c r="AN3952" s="19">
        <v>424800</v>
      </c>
      <c r="AP3952" s="14">
        <v>424800</v>
      </c>
      <c r="AQ3952" s="12">
        <v>1E-4</v>
      </c>
    </row>
    <row r="3953" spans="1:45" x14ac:dyDescent="0.2">
      <c r="A3953" s="121">
        <f t="shared" si="495"/>
        <v>3375</v>
      </c>
      <c r="B3953" s="13">
        <v>1</v>
      </c>
      <c r="C3953" s="17" t="s">
        <v>52</v>
      </c>
      <c r="D3953" s="17">
        <v>841</v>
      </c>
      <c r="E3953" s="17">
        <v>57</v>
      </c>
      <c r="F3953" s="17">
        <v>131</v>
      </c>
      <c r="G3953" s="13">
        <v>1</v>
      </c>
      <c r="H3953" s="17">
        <v>0</v>
      </c>
      <c r="I3953" s="17">
        <v>0</v>
      </c>
      <c r="J3953" s="17">
        <v>31</v>
      </c>
      <c r="K3953" s="10">
        <v>31</v>
      </c>
      <c r="P3953" s="17">
        <v>1</v>
      </c>
      <c r="Q3953" s="19">
        <v>31</v>
      </c>
      <c r="R3953" s="14">
        <v>3000</v>
      </c>
      <c r="S3953" s="19">
        <v>93000</v>
      </c>
      <c r="AJ3953" s="19">
        <v>0</v>
      </c>
      <c r="AK3953" s="23">
        <v>0</v>
      </c>
      <c r="AM3953" s="19">
        <v>0</v>
      </c>
      <c r="AN3953" s="19">
        <v>93000</v>
      </c>
      <c r="AP3953" s="14">
        <v>93000</v>
      </c>
    </row>
    <row r="3954" spans="1:45" x14ac:dyDescent="0.2">
      <c r="A3954" s="121">
        <f t="shared" si="495"/>
        <v>3376</v>
      </c>
      <c r="B3954" s="13">
        <v>2</v>
      </c>
      <c r="C3954" s="17" t="s">
        <v>52</v>
      </c>
      <c r="D3954" s="17">
        <v>25022</v>
      </c>
      <c r="E3954" s="17">
        <v>73</v>
      </c>
      <c r="F3954" s="17">
        <v>4976</v>
      </c>
      <c r="G3954" s="13">
        <v>1</v>
      </c>
      <c r="H3954" s="17">
        <v>0</v>
      </c>
      <c r="I3954" s="17">
        <v>1</v>
      </c>
      <c r="J3954" s="17">
        <v>22</v>
      </c>
      <c r="K3954" s="10">
        <v>122</v>
      </c>
      <c r="P3954" s="17">
        <v>1</v>
      </c>
      <c r="Q3954" s="19">
        <v>122</v>
      </c>
      <c r="R3954" s="14">
        <v>250</v>
      </c>
      <c r="S3954" s="19">
        <v>30500</v>
      </c>
      <c r="AJ3954" s="19">
        <v>0</v>
      </c>
      <c r="AK3954" s="23">
        <v>0</v>
      </c>
      <c r="AM3954" s="19">
        <v>0</v>
      </c>
      <c r="AN3954" s="19">
        <v>30500</v>
      </c>
      <c r="AP3954" s="14">
        <v>30500</v>
      </c>
    </row>
    <row r="3955" spans="1:45" x14ac:dyDescent="0.2">
      <c r="A3955" s="121">
        <f t="shared" si="495"/>
        <v>3377</v>
      </c>
      <c r="B3955" s="13">
        <v>1</v>
      </c>
      <c r="C3955" s="17" t="s">
        <v>52</v>
      </c>
      <c r="D3955" s="17">
        <v>1319</v>
      </c>
      <c r="E3955" s="17">
        <v>38</v>
      </c>
      <c r="F3955" s="17">
        <v>574</v>
      </c>
      <c r="G3955" s="13">
        <v>1</v>
      </c>
      <c r="H3955" s="17">
        <v>7</v>
      </c>
      <c r="I3955" s="17">
        <v>0</v>
      </c>
      <c r="J3955" s="17">
        <v>92</v>
      </c>
      <c r="K3955" s="10">
        <v>2892</v>
      </c>
      <c r="P3955" s="17">
        <v>1</v>
      </c>
      <c r="Q3955" s="19">
        <v>2892</v>
      </c>
      <c r="R3955" s="14">
        <v>160</v>
      </c>
      <c r="S3955" s="19">
        <v>462720</v>
      </c>
      <c r="AJ3955" s="19">
        <v>0</v>
      </c>
      <c r="AK3955" s="23">
        <v>0</v>
      </c>
      <c r="AM3955" s="19">
        <v>0</v>
      </c>
      <c r="AN3955" s="19">
        <v>462720</v>
      </c>
      <c r="AP3955" s="14">
        <v>462720</v>
      </c>
    </row>
    <row r="3956" spans="1:45" ht="63" x14ac:dyDescent="0.2">
      <c r="A3956" s="121">
        <f>+A3955+1</f>
        <v>3378</v>
      </c>
      <c r="B3956" s="13">
        <v>1</v>
      </c>
      <c r="C3956" s="17" t="s">
        <v>52</v>
      </c>
      <c r="D3956" s="17">
        <v>28745</v>
      </c>
      <c r="E3956" s="17">
        <v>502</v>
      </c>
      <c r="F3956" s="17">
        <v>5457</v>
      </c>
      <c r="G3956" s="13">
        <v>1</v>
      </c>
      <c r="H3956" s="17">
        <v>0</v>
      </c>
      <c r="I3956" s="17">
        <v>2</v>
      </c>
      <c r="J3956" s="17">
        <v>37.020000000000003</v>
      </c>
      <c r="L3956" s="17">
        <v>237.02</v>
      </c>
      <c r="P3956" s="17">
        <v>2</v>
      </c>
      <c r="Q3956" s="19">
        <v>237.02</v>
      </c>
      <c r="R3956" s="14">
        <v>2250</v>
      </c>
      <c r="S3956" s="19">
        <v>533295</v>
      </c>
      <c r="T3956" s="17">
        <v>1</v>
      </c>
      <c r="U3956" s="17" t="s">
        <v>63</v>
      </c>
      <c r="V3956" s="17" t="s">
        <v>56</v>
      </c>
      <c r="W3956" s="4">
        <v>176</v>
      </c>
      <c r="Y3956" s="4">
        <v>176</v>
      </c>
      <c r="AB3956" s="17">
        <v>11</v>
      </c>
      <c r="AJ3956" s="19">
        <v>0</v>
      </c>
      <c r="AK3956" s="23">
        <v>11</v>
      </c>
      <c r="AM3956" s="19">
        <v>0</v>
      </c>
      <c r="AN3956" s="19">
        <v>533295</v>
      </c>
      <c r="AP3956" s="14">
        <v>533295</v>
      </c>
    </row>
    <row r="3957" spans="1:45" ht="42" x14ac:dyDescent="0.2">
      <c r="A3957" s="121">
        <f t="shared" si="495"/>
        <v>3379</v>
      </c>
      <c r="B3957" s="13">
        <v>1</v>
      </c>
      <c r="C3957" s="17" t="s">
        <v>52</v>
      </c>
      <c r="D3957" s="17">
        <v>29436</v>
      </c>
      <c r="E3957" s="17">
        <v>81</v>
      </c>
      <c r="F3957" s="17">
        <v>5557</v>
      </c>
      <c r="G3957" s="13">
        <v>1</v>
      </c>
      <c r="H3957" s="17">
        <v>0</v>
      </c>
      <c r="I3957" s="17">
        <v>0</v>
      </c>
      <c r="J3957" s="17">
        <v>74</v>
      </c>
      <c r="K3957" s="10">
        <v>74</v>
      </c>
      <c r="P3957" s="17">
        <v>1</v>
      </c>
      <c r="Q3957" s="19">
        <v>74</v>
      </c>
      <c r="R3957" s="14">
        <v>250</v>
      </c>
      <c r="S3957" s="19">
        <v>18500</v>
      </c>
      <c r="AJ3957" s="19">
        <v>0</v>
      </c>
      <c r="AK3957" s="23">
        <v>0</v>
      </c>
      <c r="AM3957" s="19">
        <v>0</v>
      </c>
      <c r="AN3957" s="19">
        <v>18500</v>
      </c>
      <c r="AP3957" s="14">
        <v>18500</v>
      </c>
      <c r="AS3957" s="26" t="s">
        <v>136</v>
      </c>
    </row>
    <row r="3958" spans="1:45" x14ac:dyDescent="0.2">
      <c r="A3958" s="121">
        <f t="shared" si="495"/>
        <v>3380</v>
      </c>
      <c r="B3958" s="13">
        <v>2</v>
      </c>
      <c r="C3958" s="17" t="s">
        <v>52</v>
      </c>
      <c r="D3958" s="17">
        <v>29437</v>
      </c>
      <c r="E3958" s="17">
        <v>82</v>
      </c>
      <c r="F3958" s="17">
        <v>5558</v>
      </c>
      <c r="G3958" s="13">
        <v>1</v>
      </c>
      <c r="H3958" s="17">
        <v>2</v>
      </c>
      <c r="I3958" s="17">
        <v>3</v>
      </c>
      <c r="J3958" s="17">
        <v>33</v>
      </c>
      <c r="K3958" s="10">
        <v>1133</v>
      </c>
      <c r="P3958" s="17">
        <v>1</v>
      </c>
      <c r="Q3958" s="19">
        <v>1133</v>
      </c>
      <c r="R3958" s="14">
        <v>200</v>
      </c>
      <c r="S3958" s="19">
        <v>226600</v>
      </c>
      <c r="AJ3958" s="19">
        <v>0</v>
      </c>
      <c r="AK3958" s="23">
        <v>0</v>
      </c>
      <c r="AM3958" s="19">
        <v>0</v>
      </c>
      <c r="AN3958" s="19">
        <v>226600</v>
      </c>
      <c r="AP3958" s="14">
        <v>226600</v>
      </c>
    </row>
    <row r="3959" spans="1:45" x14ac:dyDescent="0.2">
      <c r="A3959" s="121">
        <f t="shared" si="495"/>
        <v>3381</v>
      </c>
      <c r="B3959" s="13">
        <v>3</v>
      </c>
      <c r="C3959" s="17" t="s">
        <v>52</v>
      </c>
      <c r="D3959" s="17">
        <v>29438</v>
      </c>
      <c r="E3959" s="17">
        <v>83</v>
      </c>
      <c r="F3959" s="17">
        <v>5559</v>
      </c>
      <c r="G3959" s="13">
        <v>1</v>
      </c>
      <c r="H3959" s="17">
        <v>3</v>
      </c>
      <c r="I3959" s="17">
        <v>2</v>
      </c>
      <c r="J3959" s="17">
        <v>93</v>
      </c>
      <c r="K3959" s="10">
        <v>1493</v>
      </c>
      <c r="P3959" s="17">
        <v>1</v>
      </c>
      <c r="Q3959" s="19">
        <v>1493</v>
      </c>
      <c r="R3959" s="14">
        <v>200</v>
      </c>
      <c r="S3959" s="19">
        <v>298600</v>
      </c>
      <c r="AJ3959" s="19">
        <v>0</v>
      </c>
      <c r="AK3959" s="23">
        <v>0</v>
      </c>
      <c r="AM3959" s="19">
        <v>0</v>
      </c>
      <c r="AN3959" s="19">
        <v>298600</v>
      </c>
      <c r="AP3959" s="14">
        <v>298600</v>
      </c>
    </row>
    <row r="3960" spans="1:45" x14ac:dyDescent="0.2">
      <c r="A3960" s="121">
        <f t="shared" si="495"/>
        <v>3382</v>
      </c>
      <c r="B3960" s="13">
        <v>4</v>
      </c>
      <c r="C3960" s="17" t="s">
        <v>52</v>
      </c>
      <c r="D3960" s="17">
        <v>29439</v>
      </c>
      <c r="E3960" s="17">
        <v>84</v>
      </c>
      <c r="F3960" s="17">
        <v>5560</v>
      </c>
      <c r="G3960" s="13">
        <v>1</v>
      </c>
      <c r="H3960" s="17">
        <v>0</v>
      </c>
      <c r="I3960" s="17">
        <v>0</v>
      </c>
      <c r="J3960" s="17">
        <v>71</v>
      </c>
      <c r="K3960" s="10">
        <v>71</v>
      </c>
      <c r="P3960" s="17">
        <v>1</v>
      </c>
      <c r="Q3960" s="19">
        <v>71</v>
      </c>
      <c r="R3960" s="14">
        <v>250</v>
      </c>
      <c r="S3960" s="19">
        <v>17750</v>
      </c>
      <c r="AJ3960" s="19">
        <v>0</v>
      </c>
      <c r="AK3960" s="23">
        <v>0</v>
      </c>
      <c r="AM3960" s="19">
        <v>0</v>
      </c>
      <c r="AN3960" s="19">
        <v>17750</v>
      </c>
      <c r="AP3960" s="14">
        <v>17750</v>
      </c>
    </row>
    <row r="3961" spans="1:45" x14ac:dyDescent="0.2">
      <c r="A3961" s="121">
        <f t="shared" si="495"/>
        <v>3383</v>
      </c>
      <c r="B3961" s="13">
        <v>1</v>
      </c>
      <c r="C3961" s="17" t="s">
        <v>52</v>
      </c>
      <c r="D3961" s="17">
        <v>921</v>
      </c>
      <c r="E3961" s="17">
        <v>7</v>
      </c>
      <c r="F3961" s="17">
        <v>224</v>
      </c>
      <c r="G3961" s="13">
        <v>1</v>
      </c>
      <c r="H3961" s="17">
        <v>1</v>
      </c>
      <c r="I3961" s="17">
        <v>2</v>
      </c>
      <c r="J3961" s="17">
        <v>82</v>
      </c>
      <c r="K3961" s="10">
        <v>682</v>
      </c>
      <c r="P3961" s="17">
        <v>1</v>
      </c>
      <c r="Q3961" s="19">
        <v>682</v>
      </c>
      <c r="R3961" s="14">
        <v>160</v>
      </c>
      <c r="S3961" s="19">
        <v>109120</v>
      </c>
      <c r="AJ3961" s="19">
        <v>0</v>
      </c>
      <c r="AK3961" s="23">
        <v>0</v>
      </c>
      <c r="AM3961" s="19">
        <v>0</v>
      </c>
      <c r="AN3961" s="19">
        <v>109120</v>
      </c>
      <c r="AP3961" s="14">
        <v>109120</v>
      </c>
    </row>
    <row r="3962" spans="1:45" x14ac:dyDescent="0.2">
      <c r="A3962" s="121">
        <f>+A3961+1</f>
        <v>3384</v>
      </c>
      <c r="B3962" s="13">
        <v>1</v>
      </c>
      <c r="C3962" s="17" t="s">
        <v>52</v>
      </c>
      <c r="D3962" s="17">
        <v>1126</v>
      </c>
      <c r="E3962" s="17">
        <v>49</v>
      </c>
      <c r="F3962" s="17">
        <v>706</v>
      </c>
      <c r="G3962" s="13">
        <v>1</v>
      </c>
      <c r="H3962" s="17">
        <v>0</v>
      </c>
      <c r="I3962" s="17">
        <v>2</v>
      </c>
      <c r="J3962" s="17">
        <v>80</v>
      </c>
      <c r="N3962" s="18">
        <v>280</v>
      </c>
      <c r="P3962" s="17">
        <v>4</v>
      </c>
      <c r="Q3962" s="19">
        <v>280</v>
      </c>
      <c r="R3962" s="14">
        <v>250</v>
      </c>
      <c r="S3962" s="19">
        <v>70000</v>
      </c>
      <c r="AJ3962" s="19">
        <v>0</v>
      </c>
      <c r="AK3962" s="23">
        <v>0</v>
      </c>
      <c r="AM3962" s="19">
        <v>0</v>
      </c>
      <c r="AN3962" s="19">
        <v>70000</v>
      </c>
      <c r="AP3962" s="14">
        <v>70000</v>
      </c>
      <c r="AQ3962" s="12">
        <v>3.0000000000000001E-3</v>
      </c>
    </row>
    <row r="3963" spans="1:45" x14ac:dyDescent="0.2">
      <c r="A3963" s="121">
        <f t="shared" si="495"/>
        <v>3385</v>
      </c>
      <c r="B3963" s="13">
        <v>2</v>
      </c>
      <c r="C3963" s="17" t="s">
        <v>52</v>
      </c>
      <c r="D3963" s="17">
        <v>28747</v>
      </c>
      <c r="E3963" s="17">
        <v>504</v>
      </c>
      <c r="F3963" s="17">
        <v>5459</v>
      </c>
      <c r="G3963" s="13">
        <v>1</v>
      </c>
      <c r="H3963" s="17">
        <v>0</v>
      </c>
      <c r="I3963" s="17">
        <v>2</v>
      </c>
      <c r="J3963" s="17">
        <v>3.07</v>
      </c>
      <c r="K3963" s="10">
        <v>203.07</v>
      </c>
      <c r="P3963" s="17">
        <v>1</v>
      </c>
      <c r="Q3963" s="19">
        <v>203.07</v>
      </c>
      <c r="R3963" s="14">
        <v>2250</v>
      </c>
      <c r="S3963" s="19">
        <v>456907.5</v>
      </c>
      <c r="AJ3963" s="19">
        <v>0</v>
      </c>
      <c r="AK3963" s="23">
        <v>0</v>
      </c>
      <c r="AM3963" s="19">
        <v>0</v>
      </c>
      <c r="AN3963" s="19">
        <v>456907.5</v>
      </c>
      <c r="AP3963" s="14">
        <v>456907.5</v>
      </c>
    </row>
    <row r="3964" spans="1:45" x14ac:dyDescent="0.2">
      <c r="A3964" s="121">
        <f t="shared" si="495"/>
        <v>3386</v>
      </c>
      <c r="B3964" s="13">
        <v>3</v>
      </c>
      <c r="C3964" s="17" t="s">
        <v>65</v>
      </c>
      <c r="D3964" s="17">
        <v>1488</v>
      </c>
      <c r="E3964" s="17">
        <v>68</v>
      </c>
      <c r="H3964" s="17">
        <v>8</v>
      </c>
      <c r="I3964" s="17">
        <v>3</v>
      </c>
      <c r="J3964" s="17">
        <v>56</v>
      </c>
      <c r="K3964" s="10">
        <v>3556</v>
      </c>
      <c r="P3964" s="17">
        <v>1</v>
      </c>
      <c r="Q3964" s="19">
        <v>3556</v>
      </c>
      <c r="R3964" s="14">
        <v>160</v>
      </c>
      <c r="S3964" s="19">
        <v>568960</v>
      </c>
      <c r="AJ3964" s="19">
        <v>0</v>
      </c>
      <c r="AK3964" s="23">
        <v>0</v>
      </c>
      <c r="AM3964" s="19">
        <v>0</v>
      </c>
      <c r="AN3964" s="19">
        <v>568960</v>
      </c>
      <c r="AP3964" s="14">
        <v>568960</v>
      </c>
      <c r="AQ3964" s="12">
        <v>1E-4</v>
      </c>
    </row>
    <row r="3965" spans="1:45" ht="63" x14ac:dyDescent="0.2">
      <c r="A3965" s="121">
        <f t="shared" si="495"/>
        <v>3387</v>
      </c>
      <c r="B3965" s="13">
        <v>1</v>
      </c>
      <c r="C3965" s="17" t="s">
        <v>52</v>
      </c>
      <c r="D3965" s="17">
        <v>390</v>
      </c>
      <c r="E3965" s="17">
        <v>501</v>
      </c>
      <c r="F3965" s="17">
        <v>48</v>
      </c>
      <c r="G3965" s="13">
        <v>1</v>
      </c>
      <c r="H3965" s="17">
        <v>14</v>
      </c>
      <c r="I3965" s="17">
        <v>0</v>
      </c>
      <c r="J3965" s="17">
        <v>72.069999999999993</v>
      </c>
      <c r="K3965" s="10">
        <v>5618.82</v>
      </c>
      <c r="L3965" s="17">
        <v>24</v>
      </c>
      <c r="P3965" s="17">
        <v>5</v>
      </c>
      <c r="Q3965" s="19">
        <v>5672.07</v>
      </c>
      <c r="R3965" s="14">
        <v>750</v>
      </c>
      <c r="S3965" s="19">
        <v>4254052.5</v>
      </c>
      <c r="T3965" s="17">
        <v>1</v>
      </c>
      <c r="U3965" s="17" t="s">
        <v>63</v>
      </c>
      <c r="V3965" s="17" t="s">
        <v>56</v>
      </c>
      <c r="W3965" s="4">
        <v>96</v>
      </c>
      <c r="Y3965" s="4">
        <v>96</v>
      </c>
      <c r="AB3965" s="17">
        <v>7</v>
      </c>
      <c r="AJ3965" s="19">
        <v>0</v>
      </c>
      <c r="AK3965" s="23">
        <v>7</v>
      </c>
      <c r="AM3965" s="19">
        <v>0</v>
      </c>
      <c r="AN3965" s="19">
        <v>4254052.5</v>
      </c>
      <c r="AP3965" s="14">
        <v>4254052.5</v>
      </c>
    </row>
    <row r="3966" spans="1:45" ht="63" x14ac:dyDescent="0.2">
      <c r="L3966" s="17">
        <v>29.25</v>
      </c>
      <c r="Q3966" s="19">
        <v>0</v>
      </c>
      <c r="R3966" s="14" t="e">
        <v>#N/A</v>
      </c>
      <c r="S3966" s="19" t="e">
        <v>#N/A</v>
      </c>
      <c r="T3966" s="17">
        <v>2</v>
      </c>
      <c r="U3966" s="17" t="s">
        <v>63</v>
      </c>
      <c r="V3966" s="17" t="s">
        <v>56</v>
      </c>
      <c r="W3966" s="4">
        <v>117</v>
      </c>
      <c r="Y3966" s="4">
        <v>117</v>
      </c>
      <c r="AB3966" s="17">
        <v>31</v>
      </c>
      <c r="AJ3966" s="19">
        <v>0</v>
      </c>
      <c r="AK3966" s="23">
        <v>31</v>
      </c>
      <c r="AM3966" s="19">
        <v>0</v>
      </c>
      <c r="AN3966" s="19" t="e">
        <v>#N/A</v>
      </c>
      <c r="AP3966" s="14" t="e">
        <v>#N/A</v>
      </c>
    </row>
    <row r="3967" spans="1:45" x14ac:dyDescent="0.2">
      <c r="A3967" s="2">
        <v>3388</v>
      </c>
      <c r="B3967" s="13">
        <v>2</v>
      </c>
      <c r="C3967" s="17" t="s">
        <v>52</v>
      </c>
      <c r="D3967" s="17">
        <v>28748</v>
      </c>
      <c r="E3967" s="17">
        <v>505</v>
      </c>
      <c r="F3967" s="17">
        <v>5460</v>
      </c>
      <c r="G3967" s="13">
        <v>1</v>
      </c>
      <c r="H3967" s="17">
        <v>0</v>
      </c>
      <c r="I3967" s="17">
        <v>2</v>
      </c>
      <c r="J3967" s="17">
        <v>4.03</v>
      </c>
      <c r="K3967" s="10">
        <v>204.03</v>
      </c>
      <c r="P3967" s="17">
        <v>1</v>
      </c>
      <c r="Q3967" s="19">
        <v>204.03</v>
      </c>
      <c r="R3967" s="14">
        <v>2250</v>
      </c>
      <c r="S3967" s="19">
        <v>459067.5</v>
      </c>
      <c r="AJ3967" s="19">
        <v>0</v>
      </c>
      <c r="AK3967" s="23">
        <v>0</v>
      </c>
      <c r="AM3967" s="19">
        <v>0</v>
      </c>
      <c r="AN3967" s="19">
        <v>459067.5</v>
      </c>
      <c r="AP3967" s="14">
        <v>459067.5</v>
      </c>
    </row>
    <row r="3968" spans="1:45" x14ac:dyDescent="0.2">
      <c r="A3968" s="2">
        <f>+A3967+1</f>
        <v>3389</v>
      </c>
      <c r="B3968" s="13">
        <v>1</v>
      </c>
      <c r="C3968" s="17" t="s">
        <v>52</v>
      </c>
      <c r="D3968" s="17">
        <v>1151</v>
      </c>
      <c r="E3968" s="17">
        <v>33</v>
      </c>
      <c r="F3968" s="17">
        <v>966</v>
      </c>
      <c r="G3968" s="13">
        <v>1</v>
      </c>
      <c r="H3968" s="17">
        <v>6</v>
      </c>
      <c r="I3968" s="17">
        <v>1</v>
      </c>
      <c r="J3968" s="17">
        <v>59</v>
      </c>
      <c r="K3968" s="10">
        <v>2559</v>
      </c>
      <c r="P3968" s="17">
        <v>1</v>
      </c>
      <c r="Q3968" s="19">
        <v>2559</v>
      </c>
      <c r="R3968" s="14">
        <v>160</v>
      </c>
      <c r="S3968" s="19">
        <v>409440</v>
      </c>
      <c r="AJ3968" s="19">
        <v>0</v>
      </c>
      <c r="AK3968" s="23">
        <v>0</v>
      </c>
      <c r="AM3968" s="19">
        <v>0</v>
      </c>
      <c r="AN3968" s="19">
        <v>409440</v>
      </c>
      <c r="AP3968" s="14">
        <v>409440</v>
      </c>
      <c r="AS3968" s="26">
        <v>19</v>
      </c>
    </row>
    <row r="3969" spans="1:45" x14ac:dyDescent="0.2">
      <c r="A3969" s="121">
        <f>+A3968+1</f>
        <v>3390</v>
      </c>
      <c r="B3969" s="13">
        <v>2</v>
      </c>
      <c r="C3969" s="17" t="s">
        <v>52</v>
      </c>
      <c r="D3969" s="17">
        <v>36127</v>
      </c>
      <c r="E3969" s="17">
        <v>153</v>
      </c>
      <c r="F3969" s="17">
        <v>7060</v>
      </c>
      <c r="G3969" s="13">
        <v>1</v>
      </c>
      <c r="H3969" s="17">
        <v>0</v>
      </c>
      <c r="I3969" s="17">
        <v>0</v>
      </c>
      <c r="J3969" s="17">
        <v>25</v>
      </c>
      <c r="K3969" s="10" t="s">
        <v>336</v>
      </c>
      <c r="P3969" s="17">
        <v>1</v>
      </c>
      <c r="Q3969" s="19">
        <v>25</v>
      </c>
      <c r="R3969" s="14">
        <v>160</v>
      </c>
      <c r="S3969" s="19">
        <v>4000</v>
      </c>
      <c r="AJ3969" s="19">
        <v>0</v>
      </c>
      <c r="AK3969" s="23">
        <v>0</v>
      </c>
      <c r="AM3969" s="19">
        <v>0</v>
      </c>
      <c r="AN3969" s="19">
        <v>4000</v>
      </c>
      <c r="AP3969" s="14">
        <v>4000</v>
      </c>
    </row>
    <row r="3970" spans="1:45" ht="63" x14ac:dyDescent="0.2">
      <c r="A3970" s="121">
        <f>+A3969+1</f>
        <v>3391</v>
      </c>
      <c r="B3970" s="13">
        <v>1</v>
      </c>
      <c r="C3970" s="17" t="s">
        <v>52</v>
      </c>
      <c r="D3970" s="17">
        <v>34191</v>
      </c>
      <c r="E3970" s="17">
        <v>149</v>
      </c>
      <c r="F3970" s="17">
        <v>6786</v>
      </c>
      <c r="G3970" s="13">
        <v>1</v>
      </c>
      <c r="H3970" s="17">
        <v>0</v>
      </c>
      <c r="I3970" s="17">
        <v>2</v>
      </c>
      <c r="J3970" s="17">
        <v>45</v>
      </c>
      <c r="L3970" s="17">
        <v>245</v>
      </c>
      <c r="P3970" s="17">
        <v>2</v>
      </c>
      <c r="Q3970" s="19">
        <v>245</v>
      </c>
      <c r="R3970" s="14">
        <v>160</v>
      </c>
      <c r="S3970" s="19">
        <v>39200</v>
      </c>
      <c r="U3970" s="17" t="s">
        <v>57</v>
      </c>
      <c r="V3970" s="17" t="s">
        <v>56</v>
      </c>
      <c r="AB3970" s="17">
        <v>30</v>
      </c>
      <c r="AJ3970" s="19">
        <v>0</v>
      </c>
      <c r="AK3970" s="23">
        <v>30</v>
      </c>
      <c r="AM3970" s="19">
        <v>0</v>
      </c>
      <c r="AN3970" s="19">
        <v>39200</v>
      </c>
      <c r="AP3970" s="14">
        <v>39200</v>
      </c>
    </row>
    <row r="3971" spans="1:45" x14ac:dyDescent="0.2">
      <c r="Q3971" s="19">
        <v>0</v>
      </c>
      <c r="R3971" s="14" t="e">
        <v>#N/A</v>
      </c>
      <c r="S3971" s="19" t="e">
        <v>#N/A</v>
      </c>
      <c r="AJ3971" s="19">
        <v>0</v>
      </c>
      <c r="AK3971" s="23">
        <v>0</v>
      </c>
      <c r="AM3971" s="19">
        <v>0</v>
      </c>
      <c r="AN3971" s="19" t="e">
        <v>#N/A</v>
      </c>
      <c r="AP3971" s="14" t="e">
        <v>#N/A</v>
      </c>
    </row>
    <row r="3972" spans="1:45" x14ac:dyDescent="0.2">
      <c r="A3972" s="2">
        <v>3392</v>
      </c>
      <c r="B3972" s="13">
        <v>1</v>
      </c>
      <c r="C3972" s="17" t="s">
        <v>52</v>
      </c>
      <c r="D3972" s="17">
        <v>36126</v>
      </c>
      <c r="E3972" s="17">
        <v>152</v>
      </c>
      <c r="F3972" s="17">
        <v>7059</v>
      </c>
      <c r="G3972" s="13">
        <v>1</v>
      </c>
      <c r="H3972" s="17">
        <v>0</v>
      </c>
      <c r="I3972" s="17">
        <v>0</v>
      </c>
      <c r="J3972" s="17">
        <v>25</v>
      </c>
      <c r="K3972" s="10" t="s">
        <v>336</v>
      </c>
      <c r="P3972" s="17">
        <v>1</v>
      </c>
      <c r="Q3972" s="19">
        <v>25</v>
      </c>
      <c r="R3972" s="14">
        <v>160</v>
      </c>
      <c r="S3972" s="19">
        <v>4000</v>
      </c>
      <c r="AJ3972" s="19">
        <v>0</v>
      </c>
      <c r="AK3972" s="23">
        <v>0</v>
      </c>
      <c r="AM3972" s="19">
        <v>0</v>
      </c>
      <c r="AN3972" s="19">
        <v>4000</v>
      </c>
      <c r="AP3972" s="14">
        <v>4000</v>
      </c>
      <c r="AS3972" s="26">
        <v>2</v>
      </c>
    </row>
    <row r="3973" spans="1:45" x14ac:dyDescent="0.2">
      <c r="A3973" s="2">
        <f>+A3972+1</f>
        <v>3393</v>
      </c>
      <c r="B3973" s="13">
        <v>1</v>
      </c>
      <c r="C3973" s="17" t="s">
        <v>52</v>
      </c>
      <c r="D3973" s="17">
        <v>36128</v>
      </c>
      <c r="E3973" s="17">
        <v>154</v>
      </c>
      <c r="F3973" s="17">
        <v>7061</v>
      </c>
      <c r="G3973" s="13">
        <v>1</v>
      </c>
      <c r="H3973" s="17">
        <v>0</v>
      </c>
      <c r="I3973" s="17">
        <v>0</v>
      </c>
      <c r="J3973" s="17">
        <v>25</v>
      </c>
      <c r="K3973" s="10" t="s">
        <v>336</v>
      </c>
      <c r="P3973" s="17">
        <v>1</v>
      </c>
      <c r="Q3973" s="19">
        <v>25</v>
      </c>
      <c r="R3973" s="14">
        <v>160</v>
      </c>
      <c r="S3973" s="19">
        <v>4000</v>
      </c>
      <c r="AJ3973" s="19">
        <v>0</v>
      </c>
      <c r="AK3973" s="23">
        <v>0</v>
      </c>
      <c r="AM3973" s="19">
        <v>0</v>
      </c>
      <c r="AN3973" s="19">
        <v>4000</v>
      </c>
      <c r="AP3973" s="14">
        <v>4000</v>
      </c>
    </row>
    <row r="3974" spans="1:45" x14ac:dyDescent="0.2">
      <c r="A3974" s="121">
        <f t="shared" ref="A3974:A3977" si="496">+A3973+1</f>
        <v>3394</v>
      </c>
      <c r="B3974" s="13">
        <v>1</v>
      </c>
      <c r="C3974" s="17" t="s">
        <v>65</v>
      </c>
      <c r="D3974" s="17">
        <v>979</v>
      </c>
      <c r="E3974" s="17">
        <v>34</v>
      </c>
      <c r="H3974" s="17">
        <v>0</v>
      </c>
      <c r="I3974" s="17">
        <v>2</v>
      </c>
      <c r="J3974" s="17">
        <v>12</v>
      </c>
      <c r="K3974" s="10">
        <v>212</v>
      </c>
      <c r="P3974" s="17">
        <v>1</v>
      </c>
      <c r="Q3974" s="19">
        <v>212</v>
      </c>
      <c r="R3974" s="14">
        <v>2000</v>
      </c>
      <c r="S3974" s="19">
        <v>424000</v>
      </c>
      <c r="AJ3974" s="19">
        <v>0</v>
      </c>
      <c r="AK3974" s="23">
        <v>0</v>
      </c>
      <c r="AM3974" s="19">
        <v>0</v>
      </c>
      <c r="AN3974" s="19">
        <v>424000</v>
      </c>
      <c r="AP3974" s="14">
        <v>424000</v>
      </c>
      <c r="AQ3974" s="12">
        <v>1E-4</v>
      </c>
    </row>
    <row r="3975" spans="1:45" x14ac:dyDescent="0.2">
      <c r="A3975" s="121">
        <f t="shared" si="496"/>
        <v>3395</v>
      </c>
      <c r="B3975" s="13">
        <v>1</v>
      </c>
      <c r="C3975" s="17" t="s">
        <v>52</v>
      </c>
      <c r="D3975" s="17">
        <v>14120</v>
      </c>
      <c r="E3975" s="17">
        <v>121</v>
      </c>
      <c r="F3975" s="17">
        <v>3336</v>
      </c>
      <c r="G3975" s="13">
        <v>2</v>
      </c>
      <c r="H3975" s="17">
        <v>0</v>
      </c>
      <c r="I3975" s="17">
        <v>0</v>
      </c>
      <c r="J3975" s="17">
        <v>38</v>
      </c>
      <c r="N3975" s="18">
        <v>38</v>
      </c>
      <c r="P3975" s="17">
        <v>4</v>
      </c>
      <c r="Q3975" s="19">
        <v>38</v>
      </c>
      <c r="R3975" s="14">
        <v>250</v>
      </c>
      <c r="S3975" s="19">
        <v>9500</v>
      </c>
      <c r="AJ3975" s="19">
        <v>0</v>
      </c>
      <c r="AK3975" s="23">
        <v>0</v>
      </c>
      <c r="AM3975" s="19">
        <v>0</v>
      </c>
      <c r="AN3975" s="19">
        <v>9500</v>
      </c>
      <c r="AP3975" s="14">
        <v>9500</v>
      </c>
      <c r="AQ3975" s="12">
        <v>3.0000000000000001E-3</v>
      </c>
      <c r="AS3975" s="26">
        <v>900</v>
      </c>
    </row>
    <row r="3976" spans="1:45" ht="63" x14ac:dyDescent="0.2">
      <c r="A3976" s="121">
        <f t="shared" si="496"/>
        <v>3396</v>
      </c>
      <c r="B3976" s="13">
        <v>2</v>
      </c>
      <c r="C3976" s="17" t="s">
        <v>52</v>
      </c>
      <c r="D3976" s="17">
        <v>1785</v>
      </c>
      <c r="E3976" s="17">
        <v>5</v>
      </c>
      <c r="F3976" s="17">
        <v>1155</v>
      </c>
      <c r="G3976" s="13">
        <v>4</v>
      </c>
      <c r="H3976" s="17">
        <v>1</v>
      </c>
      <c r="I3976" s="17">
        <v>3</v>
      </c>
      <c r="J3976" s="17">
        <v>22</v>
      </c>
      <c r="K3976" s="10">
        <v>722</v>
      </c>
      <c r="P3976" s="17">
        <v>1</v>
      </c>
      <c r="Q3976" s="19">
        <v>722</v>
      </c>
      <c r="R3976" s="14">
        <v>160</v>
      </c>
      <c r="S3976" s="19">
        <v>115520</v>
      </c>
      <c r="AJ3976" s="19">
        <v>0</v>
      </c>
      <c r="AK3976" s="23">
        <v>0</v>
      </c>
      <c r="AM3976" s="19">
        <v>0</v>
      </c>
      <c r="AN3976" s="19">
        <v>115520</v>
      </c>
      <c r="AP3976" s="14">
        <v>115520</v>
      </c>
      <c r="AR3976" s="19">
        <v>900</v>
      </c>
    </row>
    <row r="3977" spans="1:45" ht="63" x14ac:dyDescent="0.2">
      <c r="A3977" s="121">
        <f t="shared" si="496"/>
        <v>3397</v>
      </c>
      <c r="B3977" s="13">
        <v>3</v>
      </c>
      <c r="C3977" s="17" t="s">
        <v>52</v>
      </c>
      <c r="D3977" s="17">
        <v>2400</v>
      </c>
      <c r="E3977" s="17">
        <v>9</v>
      </c>
      <c r="F3977" s="17">
        <v>839</v>
      </c>
      <c r="G3977" s="13">
        <v>4</v>
      </c>
      <c r="H3977" s="17">
        <v>2</v>
      </c>
      <c r="I3977" s="17">
        <v>0</v>
      </c>
      <c r="J3977" s="17">
        <v>58</v>
      </c>
      <c r="L3977" s="17">
        <v>827.75</v>
      </c>
      <c r="P3977" s="17">
        <v>2</v>
      </c>
      <c r="Q3977" s="19">
        <v>858</v>
      </c>
      <c r="R3977" s="14">
        <v>250</v>
      </c>
      <c r="S3977" s="19">
        <v>214500</v>
      </c>
      <c r="T3977" s="17">
        <v>1</v>
      </c>
      <c r="U3977" s="17" t="s">
        <v>63</v>
      </c>
      <c r="V3977" s="17" t="s">
        <v>56</v>
      </c>
      <c r="W3977" s="4">
        <v>70</v>
      </c>
      <c r="Y3977" s="4">
        <v>70</v>
      </c>
      <c r="AB3977" s="17">
        <v>21</v>
      </c>
      <c r="AF3977" s="14">
        <v>2</v>
      </c>
      <c r="AJ3977" s="19">
        <v>0</v>
      </c>
      <c r="AK3977" s="23">
        <v>21</v>
      </c>
      <c r="AM3977" s="19">
        <v>0</v>
      </c>
      <c r="AN3977" s="19">
        <v>214500</v>
      </c>
      <c r="AP3977" s="14">
        <v>214500</v>
      </c>
    </row>
    <row r="3978" spans="1:45" ht="63" x14ac:dyDescent="0.2">
      <c r="L3978" s="17">
        <v>11.25</v>
      </c>
      <c r="T3978" s="17">
        <v>2</v>
      </c>
      <c r="U3978" s="17" t="s">
        <v>63</v>
      </c>
      <c r="V3978" s="17" t="s">
        <v>56</v>
      </c>
      <c r="W3978" s="4">
        <v>45</v>
      </c>
      <c r="Y3978" s="4">
        <v>45</v>
      </c>
      <c r="AB3978" s="17">
        <v>16</v>
      </c>
      <c r="AF3978" s="14">
        <v>2</v>
      </c>
      <c r="AJ3978" s="19">
        <v>0</v>
      </c>
      <c r="AK3978" s="23">
        <v>16</v>
      </c>
      <c r="AM3978" s="19">
        <v>0</v>
      </c>
      <c r="AN3978" s="19">
        <v>0</v>
      </c>
      <c r="AP3978" s="14">
        <v>0</v>
      </c>
    </row>
    <row r="3979" spans="1:45" ht="63" x14ac:dyDescent="0.2">
      <c r="L3979" s="17">
        <v>9</v>
      </c>
      <c r="T3979" s="17">
        <v>3</v>
      </c>
      <c r="U3979" s="17" t="s">
        <v>63</v>
      </c>
      <c r="V3979" s="17" t="s">
        <v>56</v>
      </c>
      <c r="W3979" s="4">
        <v>36</v>
      </c>
      <c r="Y3979" s="4">
        <v>36</v>
      </c>
      <c r="AB3979" s="17">
        <v>20</v>
      </c>
      <c r="AF3979" s="14">
        <v>2</v>
      </c>
      <c r="AJ3979" s="19">
        <v>0</v>
      </c>
      <c r="AK3979" s="23">
        <v>20</v>
      </c>
      <c r="AM3979" s="19">
        <v>0</v>
      </c>
      <c r="AN3979" s="19">
        <v>0</v>
      </c>
      <c r="AP3979" s="14">
        <v>0</v>
      </c>
    </row>
    <row r="3980" spans="1:45" ht="63" x14ac:dyDescent="0.2">
      <c r="L3980" s="17">
        <v>10</v>
      </c>
      <c r="T3980" s="17">
        <v>4</v>
      </c>
      <c r="U3980" s="17" t="s">
        <v>63</v>
      </c>
      <c r="V3980" s="17" t="s">
        <v>56</v>
      </c>
      <c r="W3980" s="4">
        <v>40</v>
      </c>
      <c r="Y3980" s="4">
        <v>40</v>
      </c>
      <c r="AB3980" s="17">
        <v>23</v>
      </c>
      <c r="AF3980" s="14">
        <v>2</v>
      </c>
      <c r="AJ3980" s="19">
        <v>0</v>
      </c>
      <c r="AK3980" s="23">
        <v>23</v>
      </c>
      <c r="AM3980" s="19">
        <v>0</v>
      </c>
      <c r="AN3980" s="19">
        <v>0</v>
      </c>
      <c r="AP3980" s="14">
        <v>0</v>
      </c>
    </row>
    <row r="3981" spans="1:45" x14ac:dyDescent="0.2">
      <c r="A3981" s="2">
        <v>3590</v>
      </c>
      <c r="B3981" s="13">
        <v>4</v>
      </c>
      <c r="C3981" s="17" t="s">
        <v>52</v>
      </c>
      <c r="D3981" s="17">
        <v>2444</v>
      </c>
      <c r="E3981" s="17">
        <v>35</v>
      </c>
      <c r="F3981" s="17">
        <v>838</v>
      </c>
      <c r="G3981" s="13">
        <v>4</v>
      </c>
      <c r="H3981" s="17">
        <v>4</v>
      </c>
      <c r="I3981" s="17">
        <v>0</v>
      </c>
      <c r="J3981" s="17">
        <v>48</v>
      </c>
      <c r="K3981" s="10">
        <v>1648</v>
      </c>
      <c r="P3981" s="17">
        <v>1</v>
      </c>
      <c r="Q3981" s="19">
        <v>1648</v>
      </c>
      <c r="R3981" s="14">
        <v>160</v>
      </c>
      <c r="S3981" s="19">
        <v>263680</v>
      </c>
      <c r="AJ3981" s="19">
        <v>0</v>
      </c>
      <c r="AK3981" s="23">
        <v>0</v>
      </c>
      <c r="AM3981" s="19">
        <v>0</v>
      </c>
      <c r="AN3981" s="19">
        <v>263680</v>
      </c>
      <c r="AP3981" s="14">
        <v>263680</v>
      </c>
    </row>
    <row r="3982" spans="1:45" x14ac:dyDescent="0.2">
      <c r="A3982" s="2">
        <v>3591</v>
      </c>
      <c r="B3982" s="13">
        <v>5</v>
      </c>
      <c r="C3982" s="17" t="s">
        <v>52</v>
      </c>
      <c r="D3982" s="17">
        <v>11805</v>
      </c>
      <c r="E3982" s="17">
        <v>78</v>
      </c>
      <c r="F3982" s="17">
        <v>3206</v>
      </c>
      <c r="G3982" s="13">
        <v>4</v>
      </c>
      <c r="H3982" s="17">
        <v>0</v>
      </c>
      <c r="I3982" s="17">
        <v>0</v>
      </c>
      <c r="J3982" s="17">
        <v>18.010000000000002</v>
      </c>
      <c r="N3982" s="18">
        <v>18.010000000000002</v>
      </c>
      <c r="P3982" s="17">
        <v>4</v>
      </c>
      <c r="Q3982" s="19">
        <v>18.010000000000002</v>
      </c>
      <c r="R3982" s="14">
        <v>2000</v>
      </c>
      <c r="S3982" s="19">
        <v>36020</v>
      </c>
      <c r="AJ3982" s="19">
        <v>0</v>
      </c>
      <c r="AK3982" s="23">
        <v>0</v>
      </c>
      <c r="AM3982" s="19">
        <v>0</v>
      </c>
      <c r="AN3982" s="19">
        <v>36020</v>
      </c>
      <c r="AP3982" s="14">
        <v>36020</v>
      </c>
      <c r="AQ3982" s="12">
        <v>3.0000000000000001E-3</v>
      </c>
    </row>
    <row r="3983" spans="1:45" ht="63" x14ac:dyDescent="0.2">
      <c r="C3983" s="17" t="s">
        <v>115</v>
      </c>
      <c r="G3983" s="13">
        <v>4</v>
      </c>
      <c r="J3983" s="17">
        <v>72</v>
      </c>
      <c r="P3983" s="17">
        <v>5</v>
      </c>
      <c r="Q3983" s="19">
        <v>72</v>
      </c>
      <c r="R3983" s="14">
        <v>250</v>
      </c>
      <c r="S3983" s="19">
        <v>18000</v>
      </c>
      <c r="U3983" s="17" t="s">
        <v>57</v>
      </c>
      <c r="V3983" s="17" t="s">
        <v>56</v>
      </c>
      <c r="AE3983" s="17">
        <v>288</v>
      </c>
      <c r="AJ3983" s="19">
        <v>0</v>
      </c>
      <c r="AK3983" s="23">
        <v>0</v>
      </c>
      <c r="AM3983" s="19">
        <v>0</v>
      </c>
      <c r="AN3983" s="19">
        <v>18000</v>
      </c>
      <c r="AP3983" s="14">
        <v>18000</v>
      </c>
      <c r="AQ3983" s="12">
        <v>2.0000000000000001E-4</v>
      </c>
    </row>
    <row r="3984" spans="1:45" x14ac:dyDescent="0.2">
      <c r="AB3984" s="17">
        <v>40</v>
      </c>
      <c r="AE3984" s="17">
        <v>0.16666666666666666</v>
      </c>
      <c r="AF3984" s="14">
        <v>2</v>
      </c>
      <c r="AG3984" s="54">
        <v>288</v>
      </c>
      <c r="AH3984" s="11">
        <v>0.83</v>
      </c>
      <c r="AI3984" s="14">
        <v>7250</v>
      </c>
      <c r="AJ3984" s="19">
        <v>1733040</v>
      </c>
      <c r="AK3984" s="23">
        <v>40</v>
      </c>
      <c r="AL3984" s="11">
        <v>0.7</v>
      </c>
      <c r="AM3984" s="19">
        <v>519912</v>
      </c>
      <c r="AN3984" s="19">
        <v>519912</v>
      </c>
      <c r="AP3984" s="14">
        <v>519912</v>
      </c>
    </row>
    <row r="3985" spans="1:45" x14ac:dyDescent="0.2">
      <c r="AF3985" s="14">
        <v>3</v>
      </c>
      <c r="AG3985" s="54">
        <v>288</v>
      </c>
      <c r="AH3985" s="11">
        <v>0.17</v>
      </c>
      <c r="AI3985" s="14">
        <v>7250</v>
      </c>
      <c r="AJ3985" s="19">
        <v>354960</v>
      </c>
      <c r="AK3985" s="23">
        <v>40</v>
      </c>
      <c r="AL3985" s="11">
        <v>0.7</v>
      </c>
      <c r="AM3985" s="19">
        <v>106488.00000000003</v>
      </c>
      <c r="AN3985" s="19">
        <v>106488.00000000003</v>
      </c>
      <c r="AP3985" s="14">
        <v>106488.00000000003</v>
      </c>
      <c r="AQ3985" s="12">
        <v>3.0000000000000001E-3</v>
      </c>
    </row>
    <row r="3986" spans="1:45" x14ac:dyDescent="0.2">
      <c r="A3986" s="2">
        <v>3398</v>
      </c>
      <c r="B3986" s="13">
        <v>1</v>
      </c>
      <c r="C3986" s="17" t="s">
        <v>65</v>
      </c>
      <c r="D3986" s="17">
        <v>2809</v>
      </c>
      <c r="E3986" s="17">
        <v>231</v>
      </c>
      <c r="H3986" s="17">
        <v>0</v>
      </c>
      <c r="I3986" s="17">
        <v>0</v>
      </c>
      <c r="J3986" s="17">
        <v>60</v>
      </c>
      <c r="N3986" s="18">
        <v>60</v>
      </c>
      <c r="P3986" s="17">
        <v>4</v>
      </c>
      <c r="Q3986" s="19">
        <v>60</v>
      </c>
      <c r="R3986" s="14">
        <v>250</v>
      </c>
      <c r="S3986" s="19">
        <v>15000</v>
      </c>
      <c r="AJ3986" s="19">
        <v>0</v>
      </c>
      <c r="AK3986" s="23">
        <v>0</v>
      </c>
      <c r="AM3986" s="19">
        <v>0</v>
      </c>
      <c r="AN3986" s="19">
        <v>15000</v>
      </c>
      <c r="AP3986" s="14">
        <v>15000</v>
      </c>
      <c r="AQ3986" s="12">
        <v>3.0000000000000001E-3</v>
      </c>
    </row>
    <row r="3987" spans="1:45" x14ac:dyDescent="0.2">
      <c r="A3987" s="2">
        <f>+A3986+1</f>
        <v>3399</v>
      </c>
      <c r="B3987" s="13">
        <v>1</v>
      </c>
      <c r="C3987" s="17" t="s">
        <v>52</v>
      </c>
      <c r="D3987" s="17">
        <v>2906</v>
      </c>
      <c r="E3987" s="17">
        <v>14</v>
      </c>
      <c r="F3987" s="17">
        <v>1989</v>
      </c>
      <c r="G3987" s="13">
        <v>1</v>
      </c>
      <c r="H3987" s="17">
        <v>8</v>
      </c>
      <c r="I3987" s="17">
        <v>3</v>
      </c>
      <c r="J3987" s="17">
        <v>86</v>
      </c>
      <c r="Q3987" s="19">
        <v>3586</v>
      </c>
      <c r="R3987" s="14">
        <v>160</v>
      </c>
      <c r="S3987" s="19">
        <v>573760</v>
      </c>
      <c r="AJ3987" s="19">
        <v>0</v>
      </c>
      <c r="AK3987" s="23">
        <v>0</v>
      </c>
      <c r="AM3987" s="19">
        <v>0</v>
      </c>
      <c r="AN3987" s="19">
        <v>573760</v>
      </c>
      <c r="AP3987" s="14">
        <v>573760</v>
      </c>
    </row>
    <row r="3988" spans="1:45" x14ac:dyDescent="0.2">
      <c r="A3988" s="121">
        <f t="shared" ref="A3988:A4000" si="497">+A3987+1</f>
        <v>3400</v>
      </c>
      <c r="B3988" s="13">
        <v>1</v>
      </c>
      <c r="C3988" s="17" t="s">
        <v>52</v>
      </c>
      <c r="D3988" s="17">
        <v>3375</v>
      </c>
      <c r="E3988" s="17">
        <v>71</v>
      </c>
      <c r="F3988" s="17">
        <v>2161</v>
      </c>
      <c r="G3988" s="13">
        <v>2</v>
      </c>
      <c r="H3988" s="17">
        <v>1</v>
      </c>
      <c r="I3988" s="17">
        <v>2</v>
      </c>
      <c r="J3988" s="17">
        <v>3</v>
      </c>
      <c r="K3988" s="10" t="s">
        <v>337</v>
      </c>
      <c r="P3988" s="17">
        <v>1</v>
      </c>
      <c r="Q3988" s="19">
        <v>603</v>
      </c>
      <c r="R3988" s="14">
        <v>200</v>
      </c>
      <c r="S3988" s="19">
        <v>120600</v>
      </c>
      <c r="AE3988" s="17" t="s">
        <v>338</v>
      </c>
      <c r="AJ3988" s="19">
        <v>0</v>
      </c>
      <c r="AK3988" s="23">
        <v>0</v>
      </c>
      <c r="AM3988" s="19">
        <v>0</v>
      </c>
      <c r="AN3988" s="19">
        <v>120600</v>
      </c>
      <c r="AP3988" s="14">
        <v>120600</v>
      </c>
    </row>
    <row r="3989" spans="1:45" x14ac:dyDescent="0.2">
      <c r="A3989" s="121">
        <f t="shared" si="497"/>
        <v>3401</v>
      </c>
      <c r="B3989" s="13">
        <v>2</v>
      </c>
      <c r="C3989" s="17" t="s">
        <v>52</v>
      </c>
      <c r="D3989" s="17">
        <v>4164</v>
      </c>
      <c r="E3989" s="17">
        <v>2</v>
      </c>
      <c r="F3989" s="17">
        <v>2418</v>
      </c>
      <c r="G3989" s="13">
        <v>2</v>
      </c>
      <c r="H3989" s="17">
        <v>3</v>
      </c>
      <c r="I3989" s="17">
        <v>1</v>
      </c>
      <c r="J3989" s="17">
        <v>2</v>
      </c>
      <c r="K3989" s="10">
        <v>1302</v>
      </c>
      <c r="P3989" s="17">
        <v>1</v>
      </c>
      <c r="Q3989" s="19">
        <v>1302</v>
      </c>
      <c r="R3989" s="14">
        <v>160</v>
      </c>
      <c r="S3989" s="19">
        <v>208320</v>
      </c>
      <c r="AE3989" s="17" t="s">
        <v>180</v>
      </c>
      <c r="AG3989" s="54">
        <v>0</v>
      </c>
      <c r="AJ3989" s="19">
        <v>0</v>
      </c>
      <c r="AM3989" s="19">
        <v>0</v>
      </c>
      <c r="AN3989" s="19">
        <v>208320</v>
      </c>
      <c r="AP3989" s="14">
        <v>208320</v>
      </c>
    </row>
    <row r="3990" spans="1:45" ht="42" x14ac:dyDescent="0.2">
      <c r="A3990" s="121">
        <f t="shared" si="497"/>
        <v>3402</v>
      </c>
      <c r="B3990" s="13">
        <v>3</v>
      </c>
      <c r="C3990" s="17" t="s">
        <v>65</v>
      </c>
      <c r="D3990" s="17">
        <v>1346</v>
      </c>
      <c r="E3990" s="17">
        <v>4</v>
      </c>
      <c r="H3990" s="17">
        <v>12</v>
      </c>
      <c r="I3990" s="17">
        <v>2</v>
      </c>
      <c r="J3990" s="17">
        <v>6</v>
      </c>
      <c r="K3990" s="10">
        <v>5006</v>
      </c>
      <c r="P3990" s="17">
        <v>1</v>
      </c>
      <c r="Q3990" s="19">
        <v>5006</v>
      </c>
      <c r="R3990" s="14">
        <v>2250</v>
      </c>
      <c r="S3990" s="19">
        <v>11263500</v>
      </c>
      <c r="AG3990" s="54">
        <v>0</v>
      </c>
      <c r="AJ3990" s="19">
        <v>0</v>
      </c>
      <c r="AM3990" s="19">
        <v>0</v>
      </c>
      <c r="AN3990" s="19">
        <v>11263500</v>
      </c>
      <c r="AP3990" s="14">
        <v>11263500</v>
      </c>
      <c r="AQ3990" s="12">
        <v>1E-4</v>
      </c>
    </row>
    <row r="3991" spans="1:45" x14ac:dyDescent="0.2">
      <c r="A3991" s="121">
        <f t="shared" si="497"/>
        <v>3403</v>
      </c>
      <c r="B3991" s="13">
        <v>1</v>
      </c>
      <c r="C3991" s="17" t="s">
        <v>52</v>
      </c>
      <c r="D3991" s="17">
        <v>1320</v>
      </c>
      <c r="E3991" s="17">
        <v>3</v>
      </c>
      <c r="F3991" s="17">
        <v>575</v>
      </c>
      <c r="G3991" s="13">
        <v>1</v>
      </c>
      <c r="H3991" s="17">
        <v>2</v>
      </c>
      <c r="I3991" s="17">
        <v>2</v>
      </c>
      <c r="J3991" s="17">
        <v>73</v>
      </c>
      <c r="K3991" s="10">
        <v>1073</v>
      </c>
      <c r="P3991" s="17">
        <v>1</v>
      </c>
      <c r="Q3991" s="19">
        <v>1073</v>
      </c>
      <c r="R3991" s="14">
        <v>160</v>
      </c>
      <c r="S3991" s="19">
        <v>171680</v>
      </c>
      <c r="AJ3991" s="19">
        <v>0</v>
      </c>
      <c r="AK3991" s="23">
        <v>0</v>
      </c>
      <c r="AM3991" s="19">
        <v>0</v>
      </c>
      <c r="AN3991" s="19">
        <v>171680</v>
      </c>
      <c r="AP3991" s="14">
        <v>171680</v>
      </c>
      <c r="AS3991" s="26">
        <v>8</v>
      </c>
    </row>
    <row r="3992" spans="1:45" x14ac:dyDescent="0.2">
      <c r="A3992" s="121">
        <f t="shared" si="497"/>
        <v>3404</v>
      </c>
      <c r="B3992" s="13">
        <v>1</v>
      </c>
      <c r="C3992" s="17" t="s">
        <v>52</v>
      </c>
      <c r="D3992" s="17">
        <v>14794</v>
      </c>
      <c r="E3992" s="17">
        <v>30</v>
      </c>
      <c r="F3992" s="17">
        <v>3346</v>
      </c>
      <c r="G3992" s="13">
        <v>3</v>
      </c>
      <c r="H3992" s="17">
        <v>0</v>
      </c>
      <c r="I3992" s="17">
        <v>1</v>
      </c>
      <c r="J3992" s="17">
        <v>93</v>
      </c>
      <c r="N3992" s="18">
        <v>193</v>
      </c>
      <c r="P3992" s="17">
        <v>4</v>
      </c>
      <c r="Q3992" s="19">
        <v>193</v>
      </c>
      <c r="R3992" s="14">
        <v>2000</v>
      </c>
      <c r="S3992" s="19">
        <v>386000</v>
      </c>
      <c r="AJ3992" s="19">
        <v>0</v>
      </c>
      <c r="AK3992" s="23">
        <v>0</v>
      </c>
      <c r="AM3992" s="19">
        <v>0</v>
      </c>
      <c r="AN3992" s="19">
        <v>386000</v>
      </c>
      <c r="AP3992" s="14">
        <v>386000</v>
      </c>
      <c r="AQ3992" s="12">
        <v>3.0000000000000001E-3</v>
      </c>
    </row>
    <row r="3993" spans="1:45" x14ac:dyDescent="0.2">
      <c r="A3993" s="121">
        <f t="shared" si="497"/>
        <v>3405</v>
      </c>
      <c r="B3993" s="13">
        <v>1</v>
      </c>
      <c r="C3993" s="17" t="s">
        <v>65</v>
      </c>
      <c r="D3993" s="17">
        <v>3580</v>
      </c>
      <c r="E3993" s="17">
        <v>422</v>
      </c>
      <c r="H3993" s="17">
        <v>5</v>
      </c>
      <c r="I3993" s="17">
        <v>0</v>
      </c>
      <c r="J3993" s="17">
        <v>3</v>
      </c>
      <c r="K3993" s="10">
        <v>2003</v>
      </c>
      <c r="P3993" s="17">
        <v>1</v>
      </c>
      <c r="Q3993" s="19">
        <v>2003</v>
      </c>
      <c r="R3993" s="14">
        <v>250</v>
      </c>
      <c r="S3993" s="19">
        <v>500750</v>
      </c>
      <c r="AJ3993" s="19">
        <v>0</v>
      </c>
      <c r="AK3993" s="23">
        <v>0</v>
      </c>
      <c r="AM3993" s="19">
        <v>0</v>
      </c>
      <c r="AN3993" s="19">
        <v>500750</v>
      </c>
      <c r="AP3993" s="14">
        <v>500750</v>
      </c>
      <c r="AQ3993" s="12">
        <v>1E-4</v>
      </c>
    </row>
    <row r="3994" spans="1:45" x14ac:dyDescent="0.2">
      <c r="A3994" s="121">
        <f t="shared" si="497"/>
        <v>3406</v>
      </c>
      <c r="B3994" s="13">
        <v>1</v>
      </c>
      <c r="C3994" s="17" t="s">
        <v>65</v>
      </c>
      <c r="D3994" s="17">
        <v>1485</v>
      </c>
      <c r="E3994" s="17">
        <v>65</v>
      </c>
      <c r="H3994" s="17">
        <v>4</v>
      </c>
      <c r="I3994" s="17">
        <v>0</v>
      </c>
      <c r="J3994" s="17">
        <v>60</v>
      </c>
      <c r="K3994" s="10">
        <v>1660</v>
      </c>
      <c r="P3994" s="17">
        <v>1</v>
      </c>
      <c r="Q3994" s="19">
        <v>1660</v>
      </c>
      <c r="R3994" s="14">
        <v>160</v>
      </c>
      <c r="S3994" s="19">
        <v>265600</v>
      </c>
      <c r="AJ3994" s="19">
        <v>0</v>
      </c>
      <c r="AK3994" s="23">
        <v>0</v>
      </c>
      <c r="AM3994" s="19">
        <v>0</v>
      </c>
      <c r="AN3994" s="19">
        <v>265600</v>
      </c>
      <c r="AP3994" s="14">
        <v>265600</v>
      </c>
      <c r="AQ3994" s="12">
        <v>1E-4</v>
      </c>
      <c r="AS3994" s="26">
        <v>12</v>
      </c>
    </row>
    <row r="3995" spans="1:45" x14ac:dyDescent="0.2">
      <c r="A3995" s="121">
        <f t="shared" si="497"/>
        <v>3407</v>
      </c>
      <c r="B3995" s="13">
        <v>1</v>
      </c>
      <c r="C3995" s="17" t="s">
        <v>52</v>
      </c>
      <c r="D3995" s="17">
        <v>938</v>
      </c>
      <c r="E3995" s="17">
        <v>4</v>
      </c>
      <c r="F3995" s="17">
        <v>332</v>
      </c>
      <c r="G3995" s="13">
        <v>1</v>
      </c>
      <c r="H3995" s="17">
        <v>2</v>
      </c>
      <c r="I3995" s="17">
        <v>0</v>
      </c>
      <c r="J3995" s="17">
        <v>24</v>
      </c>
      <c r="K3995" s="10">
        <v>824</v>
      </c>
      <c r="P3995" s="17">
        <v>1</v>
      </c>
      <c r="Q3995" s="19">
        <v>824</v>
      </c>
      <c r="R3995" s="14">
        <v>160</v>
      </c>
      <c r="S3995" s="19">
        <v>131840</v>
      </c>
      <c r="AJ3995" s="19">
        <v>0</v>
      </c>
      <c r="AK3995" s="23">
        <v>0</v>
      </c>
      <c r="AM3995" s="19">
        <v>0</v>
      </c>
      <c r="AN3995" s="19">
        <v>131840</v>
      </c>
      <c r="AP3995" s="14">
        <v>131840</v>
      </c>
      <c r="AS3995" s="26">
        <v>6</v>
      </c>
    </row>
    <row r="3996" spans="1:45" ht="63" x14ac:dyDescent="0.2">
      <c r="A3996" s="121">
        <f t="shared" si="497"/>
        <v>3408</v>
      </c>
      <c r="B3996" s="13">
        <v>1</v>
      </c>
      <c r="C3996" s="17" t="s">
        <v>52</v>
      </c>
      <c r="D3996" s="17">
        <v>2347</v>
      </c>
      <c r="E3996" s="17">
        <v>51</v>
      </c>
      <c r="F3996" s="17">
        <v>1754</v>
      </c>
      <c r="G3996" s="13">
        <v>4</v>
      </c>
      <c r="H3996" s="17">
        <v>0</v>
      </c>
      <c r="I3996" s="17">
        <v>0</v>
      </c>
      <c r="J3996" s="17">
        <v>23</v>
      </c>
      <c r="L3996" s="17">
        <v>23</v>
      </c>
      <c r="P3996" s="17">
        <v>2</v>
      </c>
      <c r="Q3996" s="19">
        <v>23</v>
      </c>
      <c r="R3996" s="14">
        <v>160</v>
      </c>
      <c r="S3996" s="19">
        <v>3680</v>
      </c>
      <c r="T3996" s="17">
        <v>1</v>
      </c>
      <c r="U3996" s="17" t="s">
        <v>63</v>
      </c>
      <c r="V3996" s="17" t="s">
        <v>56</v>
      </c>
      <c r="W3996" s="4">
        <v>63</v>
      </c>
      <c r="Y3996" s="4">
        <v>63</v>
      </c>
      <c r="AB3996" s="17">
        <v>40</v>
      </c>
      <c r="AJ3996" s="19">
        <v>0</v>
      </c>
      <c r="AK3996" s="23">
        <v>40</v>
      </c>
      <c r="AM3996" s="19">
        <v>0</v>
      </c>
      <c r="AN3996" s="19">
        <v>3680</v>
      </c>
      <c r="AP3996" s="14">
        <v>3680</v>
      </c>
    </row>
    <row r="3997" spans="1:45" x14ac:dyDescent="0.2">
      <c r="A3997" s="121">
        <f t="shared" si="497"/>
        <v>3409</v>
      </c>
      <c r="B3997" s="13">
        <v>1</v>
      </c>
      <c r="C3997" s="17" t="s">
        <v>52</v>
      </c>
      <c r="D3997" s="17">
        <v>1358</v>
      </c>
      <c r="E3997" s="17">
        <v>32</v>
      </c>
      <c r="F3997" s="17">
        <v>647</v>
      </c>
      <c r="G3997" s="13">
        <v>1</v>
      </c>
      <c r="H3997" s="17">
        <v>7</v>
      </c>
      <c r="I3997" s="17">
        <v>0</v>
      </c>
      <c r="J3997" s="17">
        <v>81</v>
      </c>
      <c r="K3997" s="10">
        <v>2881</v>
      </c>
      <c r="P3997" s="17">
        <v>1</v>
      </c>
      <c r="Q3997" s="19">
        <v>2881</v>
      </c>
      <c r="R3997" s="14">
        <v>160</v>
      </c>
      <c r="S3997" s="19">
        <v>460960</v>
      </c>
      <c r="AJ3997" s="19">
        <v>0</v>
      </c>
      <c r="AK3997" s="23">
        <v>0</v>
      </c>
      <c r="AM3997" s="19">
        <v>0</v>
      </c>
      <c r="AN3997" s="19">
        <v>460960</v>
      </c>
      <c r="AP3997" s="14">
        <v>460960</v>
      </c>
      <c r="AS3997" s="26">
        <v>22</v>
      </c>
    </row>
    <row r="3998" spans="1:45" x14ac:dyDescent="0.2">
      <c r="A3998" s="121">
        <f t="shared" si="497"/>
        <v>3410</v>
      </c>
      <c r="B3998" s="13">
        <v>1</v>
      </c>
      <c r="C3998" s="17" t="s">
        <v>52</v>
      </c>
      <c r="D3998" s="17">
        <v>2894</v>
      </c>
      <c r="E3998" s="17">
        <v>9</v>
      </c>
      <c r="F3998" s="17">
        <v>1893</v>
      </c>
      <c r="G3998" s="13">
        <v>1</v>
      </c>
      <c r="H3998" s="17">
        <v>7</v>
      </c>
      <c r="I3998" s="17">
        <v>2</v>
      </c>
      <c r="J3998" s="17">
        <v>11</v>
      </c>
      <c r="K3998" s="10">
        <v>3011</v>
      </c>
      <c r="P3998" s="17">
        <v>1</v>
      </c>
      <c r="Q3998" s="19">
        <v>3011</v>
      </c>
      <c r="R3998" s="14">
        <v>160</v>
      </c>
      <c r="S3998" s="19">
        <v>481760</v>
      </c>
      <c r="AJ3998" s="19">
        <v>0</v>
      </c>
      <c r="AK3998" s="23">
        <v>0</v>
      </c>
      <c r="AM3998" s="19">
        <v>0</v>
      </c>
      <c r="AN3998" s="19">
        <v>481760</v>
      </c>
      <c r="AP3998" s="14">
        <v>481760</v>
      </c>
      <c r="AS3998" s="26">
        <v>23</v>
      </c>
    </row>
    <row r="3999" spans="1:45" x14ac:dyDescent="0.2">
      <c r="A3999" s="121">
        <f t="shared" si="497"/>
        <v>3411</v>
      </c>
      <c r="B3999" s="13">
        <v>1</v>
      </c>
      <c r="C3999" s="17" t="s">
        <v>52</v>
      </c>
      <c r="D3999" s="17">
        <v>29434</v>
      </c>
      <c r="E3999" s="17">
        <v>126</v>
      </c>
      <c r="F3999" s="17">
        <v>5555</v>
      </c>
      <c r="G3999" s="13">
        <v>1</v>
      </c>
      <c r="H3999" s="17">
        <v>0</v>
      </c>
      <c r="I3999" s="17">
        <v>0</v>
      </c>
      <c r="J3999" s="17">
        <v>24</v>
      </c>
      <c r="N3999" s="18">
        <v>24</v>
      </c>
      <c r="P3999" s="17">
        <v>4</v>
      </c>
      <c r="Q3999" s="19">
        <v>24</v>
      </c>
      <c r="R3999" s="14">
        <v>250</v>
      </c>
      <c r="S3999" s="19">
        <v>6000</v>
      </c>
      <c r="AJ3999" s="19">
        <v>0</v>
      </c>
      <c r="AK3999" s="23">
        <v>0</v>
      </c>
      <c r="AM3999" s="19">
        <v>0</v>
      </c>
      <c r="AN3999" s="19">
        <v>6000</v>
      </c>
      <c r="AP3999" s="14">
        <v>6000</v>
      </c>
      <c r="AQ3999" s="12">
        <v>3.0000000000000001E-3</v>
      </c>
      <c r="AS3999" s="26">
        <v>1</v>
      </c>
    </row>
    <row r="4000" spans="1:45" x14ac:dyDescent="0.2">
      <c r="A4000" s="121">
        <f t="shared" si="497"/>
        <v>3412</v>
      </c>
      <c r="B4000" s="13">
        <v>2</v>
      </c>
      <c r="C4000" s="17" t="s">
        <v>52</v>
      </c>
      <c r="D4000" s="17">
        <v>29435</v>
      </c>
      <c r="E4000" s="17">
        <v>127</v>
      </c>
      <c r="F4000" s="17">
        <v>5556</v>
      </c>
      <c r="G4000" s="13">
        <v>1</v>
      </c>
      <c r="H4000" s="17">
        <v>0</v>
      </c>
      <c r="I4000" s="17">
        <v>0</v>
      </c>
      <c r="J4000" s="17">
        <v>23</v>
      </c>
      <c r="N4000" s="18">
        <v>23</v>
      </c>
      <c r="P4000" s="17">
        <v>4</v>
      </c>
      <c r="Q4000" s="19">
        <v>23</v>
      </c>
      <c r="R4000" s="14">
        <v>250</v>
      </c>
      <c r="S4000" s="19">
        <v>5750</v>
      </c>
      <c r="AJ4000" s="19">
        <v>0</v>
      </c>
      <c r="AK4000" s="23">
        <v>0</v>
      </c>
      <c r="AM4000" s="19">
        <v>0</v>
      </c>
      <c r="AN4000" s="19">
        <v>5750</v>
      </c>
      <c r="AP4000" s="14">
        <v>5750</v>
      </c>
      <c r="AQ4000" s="12">
        <v>3.0000000000000001E-3</v>
      </c>
    </row>
    <row r="4001" spans="1:45" x14ac:dyDescent="0.2">
      <c r="B4001" s="13">
        <v>3</v>
      </c>
      <c r="C4001" s="17" t="s">
        <v>65</v>
      </c>
      <c r="D4001" s="17">
        <v>3075</v>
      </c>
      <c r="E4001" s="17">
        <v>255</v>
      </c>
      <c r="H4001" s="17">
        <v>0</v>
      </c>
      <c r="I4001" s="17">
        <v>0</v>
      </c>
      <c r="J4001" s="17">
        <v>50</v>
      </c>
      <c r="N4001" s="18">
        <v>50</v>
      </c>
      <c r="Q4001" s="19">
        <v>50</v>
      </c>
      <c r="R4001" s="14" t="e">
        <v>#N/A</v>
      </c>
      <c r="S4001" s="19" t="e">
        <v>#N/A</v>
      </c>
      <c r="AJ4001" s="19">
        <v>0</v>
      </c>
      <c r="AK4001" s="23">
        <v>0</v>
      </c>
      <c r="AM4001" s="19">
        <v>0</v>
      </c>
      <c r="AN4001" s="19" t="e">
        <v>#N/A</v>
      </c>
      <c r="AP4001" s="14" t="e">
        <v>#N/A</v>
      </c>
      <c r="AQ4001" s="12">
        <v>3.0000000000000001E-3</v>
      </c>
    </row>
    <row r="4002" spans="1:45" x14ac:dyDescent="0.2">
      <c r="A4002" s="2">
        <v>3413</v>
      </c>
      <c r="B4002" s="13">
        <v>1</v>
      </c>
      <c r="C4002" s="17" t="s">
        <v>52</v>
      </c>
      <c r="D4002" s="17">
        <v>2723</v>
      </c>
      <c r="E4002" s="17">
        <v>10</v>
      </c>
      <c r="F4002" s="17">
        <v>1892</v>
      </c>
      <c r="G4002" s="13">
        <v>1</v>
      </c>
      <c r="H4002" s="17">
        <v>5</v>
      </c>
      <c r="I4002" s="17">
        <v>3</v>
      </c>
      <c r="J4002" s="17">
        <v>59</v>
      </c>
      <c r="K4002" s="10">
        <v>2359</v>
      </c>
      <c r="P4002" s="17">
        <v>1</v>
      </c>
      <c r="Q4002" s="19">
        <v>2359</v>
      </c>
      <c r="R4002" s="14">
        <v>160</v>
      </c>
      <c r="S4002" s="19">
        <v>377440</v>
      </c>
      <c r="AJ4002" s="19">
        <v>0</v>
      </c>
      <c r="AK4002" s="23">
        <v>0</v>
      </c>
      <c r="AM4002" s="19">
        <v>0</v>
      </c>
      <c r="AN4002" s="19">
        <v>377440</v>
      </c>
      <c r="AP4002" s="14">
        <v>377440</v>
      </c>
    </row>
    <row r="4003" spans="1:45" x14ac:dyDescent="0.2">
      <c r="A4003" s="2">
        <f>+A4002+1</f>
        <v>3414</v>
      </c>
      <c r="B4003" s="13">
        <v>1</v>
      </c>
      <c r="C4003" s="17" t="s">
        <v>52</v>
      </c>
      <c r="D4003" s="17">
        <v>2342</v>
      </c>
      <c r="E4003" s="17">
        <v>14</v>
      </c>
      <c r="F4003" s="17">
        <v>1822</v>
      </c>
      <c r="G4003" s="13">
        <v>3</v>
      </c>
      <c r="H4003" s="17">
        <v>7</v>
      </c>
      <c r="I4003" s="17">
        <v>3</v>
      </c>
      <c r="J4003" s="17">
        <v>20</v>
      </c>
      <c r="K4003" s="10">
        <v>3120</v>
      </c>
      <c r="P4003" s="17">
        <v>1</v>
      </c>
      <c r="Q4003" s="19">
        <v>3120</v>
      </c>
      <c r="R4003" s="14">
        <v>160</v>
      </c>
      <c r="S4003" s="19">
        <v>499200</v>
      </c>
      <c r="AJ4003" s="19">
        <v>0</v>
      </c>
      <c r="AK4003" s="23">
        <v>0</v>
      </c>
      <c r="AM4003" s="19">
        <v>0</v>
      </c>
      <c r="AN4003" s="19">
        <v>499200</v>
      </c>
      <c r="AP4003" s="14">
        <v>499200</v>
      </c>
      <c r="AS4003" s="26">
        <v>24</v>
      </c>
    </row>
    <row r="4004" spans="1:45" ht="63" x14ac:dyDescent="0.2">
      <c r="A4004" s="121">
        <f t="shared" ref="A4004:A4020" si="498">+A4003+1</f>
        <v>3415</v>
      </c>
      <c r="B4004" s="13">
        <v>2</v>
      </c>
      <c r="C4004" s="17" t="s">
        <v>52</v>
      </c>
      <c r="D4004" s="17">
        <v>22243</v>
      </c>
      <c r="E4004" s="17">
        <v>105</v>
      </c>
      <c r="F4004" s="17">
        <v>4781</v>
      </c>
      <c r="G4004" s="13">
        <v>3</v>
      </c>
      <c r="H4004" s="17">
        <v>0</v>
      </c>
      <c r="I4004" s="17">
        <v>3</v>
      </c>
      <c r="J4004" s="17">
        <v>81</v>
      </c>
      <c r="K4004" s="10">
        <v>337.5</v>
      </c>
      <c r="L4004" s="17">
        <v>43.5</v>
      </c>
      <c r="P4004" s="17">
        <v>5</v>
      </c>
      <c r="Q4004" s="19">
        <v>381</v>
      </c>
      <c r="R4004" s="14">
        <v>2000</v>
      </c>
      <c r="S4004" s="19">
        <v>762000</v>
      </c>
      <c r="T4004" s="17">
        <v>1</v>
      </c>
      <c r="U4004" s="17" t="s">
        <v>57</v>
      </c>
      <c r="V4004" s="17" t="s">
        <v>56</v>
      </c>
      <c r="W4004" s="4">
        <v>174</v>
      </c>
      <c r="Y4004" s="4">
        <v>174</v>
      </c>
      <c r="AB4004" s="17">
        <v>21</v>
      </c>
      <c r="AJ4004" s="19">
        <v>0</v>
      </c>
      <c r="AK4004" s="23">
        <v>21</v>
      </c>
      <c r="AM4004" s="19">
        <v>0</v>
      </c>
      <c r="AN4004" s="19">
        <v>762000</v>
      </c>
      <c r="AP4004" s="14">
        <v>762000</v>
      </c>
    </row>
    <row r="4005" spans="1:45" x14ac:dyDescent="0.2">
      <c r="A4005" s="121">
        <f t="shared" si="498"/>
        <v>3416</v>
      </c>
      <c r="B4005" s="13">
        <v>3</v>
      </c>
      <c r="C4005" s="17" t="s">
        <v>52</v>
      </c>
      <c r="D4005" s="17">
        <v>22244</v>
      </c>
      <c r="E4005" s="17">
        <v>106</v>
      </c>
      <c r="F4005" s="17">
        <v>4782</v>
      </c>
      <c r="G4005" s="13">
        <v>3</v>
      </c>
      <c r="H4005" s="17">
        <v>5</v>
      </c>
      <c r="I4005" s="17">
        <v>0</v>
      </c>
      <c r="J4005" s="17">
        <v>10</v>
      </c>
      <c r="K4005" s="10">
        <v>2010</v>
      </c>
      <c r="P4005" s="17">
        <v>1</v>
      </c>
      <c r="Q4005" s="19">
        <v>2010</v>
      </c>
      <c r="R4005" s="14">
        <v>160</v>
      </c>
      <c r="S4005" s="19">
        <v>321600</v>
      </c>
      <c r="AJ4005" s="19">
        <v>0</v>
      </c>
      <c r="AK4005" s="23">
        <v>0</v>
      </c>
      <c r="AM4005" s="19">
        <v>0</v>
      </c>
      <c r="AN4005" s="19">
        <v>321600</v>
      </c>
      <c r="AP4005" s="14">
        <v>321600</v>
      </c>
    </row>
    <row r="4006" spans="1:45" x14ac:dyDescent="0.2">
      <c r="A4006" s="121">
        <f t="shared" si="498"/>
        <v>3417</v>
      </c>
      <c r="B4006" s="13">
        <v>1</v>
      </c>
      <c r="C4006" s="17" t="s">
        <v>52</v>
      </c>
      <c r="D4006" s="17">
        <v>31496</v>
      </c>
      <c r="E4006" s="17">
        <v>2</v>
      </c>
      <c r="F4006" s="17">
        <v>259</v>
      </c>
      <c r="G4006" s="13">
        <v>6</v>
      </c>
      <c r="H4006" s="17">
        <v>9</v>
      </c>
      <c r="I4006" s="17">
        <v>0</v>
      </c>
      <c r="J4006" s="17">
        <v>42</v>
      </c>
      <c r="K4006" s="10">
        <v>3642</v>
      </c>
      <c r="P4006" s="17">
        <v>1</v>
      </c>
      <c r="Q4006" s="19">
        <v>3642</v>
      </c>
      <c r="R4006" s="14">
        <v>1500</v>
      </c>
      <c r="S4006" s="19">
        <v>5463000</v>
      </c>
      <c r="AJ4006" s="19">
        <v>0</v>
      </c>
      <c r="AK4006" s="23">
        <v>0</v>
      </c>
      <c r="AM4006" s="19">
        <v>0</v>
      </c>
      <c r="AN4006" s="19">
        <v>5463000</v>
      </c>
      <c r="AP4006" s="14">
        <v>5463000</v>
      </c>
    </row>
    <row r="4007" spans="1:45" x14ac:dyDescent="0.2">
      <c r="A4007" s="121">
        <f t="shared" si="498"/>
        <v>3418</v>
      </c>
      <c r="B4007" s="13">
        <v>1</v>
      </c>
      <c r="C4007" s="17" t="s">
        <v>65</v>
      </c>
      <c r="D4007" s="17">
        <v>975</v>
      </c>
      <c r="E4007" s="17">
        <v>30</v>
      </c>
      <c r="H4007" s="17">
        <v>10</v>
      </c>
      <c r="I4007" s="17">
        <v>0</v>
      </c>
      <c r="J4007" s="17">
        <v>78</v>
      </c>
      <c r="K4007" s="10">
        <v>4078</v>
      </c>
      <c r="P4007" s="17">
        <v>1</v>
      </c>
      <c r="Q4007" s="19">
        <v>4078</v>
      </c>
      <c r="R4007" s="14">
        <v>1000</v>
      </c>
      <c r="S4007" s="19">
        <v>4078000</v>
      </c>
      <c r="AJ4007" s="19">
        <v>0</v>
      </c>
      <c r="AK4007" s="23">
        <v>0</v>
      </c>
      <c r="AM4007" s="19">
        <v>0</v>
      </c>
      <c r="AN4007" s="19">
        <v>4078000</v>
      </c>
      <c r="AP4007" s="14">
        <v>4078000</v>
      </c>
      <c r="AQ4007" s="12">
        <v>1E-4</v>
      </c>
    </row>
    <row r="4008" spans="1:45" x14ac:dyDescent="0.2">
      <c r="A4008" s="121">
        <f t="shared" si="498"/>
        <v>3419</v>
      </c>
      <c r="B4008" s="13">
        <v>1</v>
      </c>
      <c r="C4008" s="17" t="s">
        <v>52</v>
      </c>
      <c r="D4008" s="17">
        <v>2157</v>
      </c>
      <c r="E4008" s="17">
        <v>34</v>
      </c>
      <c r="F4008" s="17">
        <v>1627</v>
      </c>
      <c r="G4008" s="13">
        <v>3</v>
      </c>
      <c r="H4008" s="17">
        <v>2</v>
      </c>
      <c r="I4008" s="17">
        <v>3</v>
      </c>
      <c r="J4008" s="17">
        <v>81</v>
      </c>
      <c r="K4008" s="10">
        <v>1181</v>
      </c>
      <c r="P4008" s="17">
        <v>1</v>
      </c>
      <c r="Q4008" s="19">
        <v>1181</v>
      </c>
      <c r="R4008" s="14">
        <v>200</v>
      </c>
      <c r="S4008" s="19">
        <v>236200</v>
      </c>
      <c r="AJ4008" s="19">
        <v>0</v>
      </c>
      <c r="AK4008" s="23">
        <v>0</v>
      </c>
      <c r="AM4008" s="19">
        <v>0</v>
      </c>
      <c r="AN4008" s="19">
        <v>236200</v>
      </c>
      <c r="AP4008" s="14">
        <v>236200</v>
      </c>
      <c r="AS4008" s="26">
        <v>16</v>
      </c>
    </row>
    <row r="4009" spans="1:45" x14ac:dyDescent="0.2">
      <c r="A4009" s="121">
        <f t="shared" si="498"/>
        <v>3420</v>
      </c>
      <c r="B4009" s="13">
        <v>1</v>
      </c>
      <c r="C4009" s="17" t="s">
        <v>52</v>
      </c>
      <c r="D4009" s="17">
        <v>1492</v>
      </c>
      <c r="E4009" s="17">
        <v>17</v>
      </c>
      <c r="F4009" s="17">
        <v>1350</v>
      </c>
      <c r="G4009" s="13">
        <v>2</v>
      </c>
      <c r="H4009" s="17">
        <v>0</v>
      </c>
      <c r="I4009" s="17">
        <v>2</v>
      </c>
      <c r="J4009" s="17">
        <v>93</v>
      </c>
      <c r="K4009" s="10">
        <v>293</v>
      </c>
      <c r="P4009" s="17">
        <v>1</v>
      </c>
      <c r="Q4009" s="19">
        <v>293</v>
      </c>
      <c r="R4009" s="14">
        <v>2250</v>
      </c>
      <c r="S4009" s="19">
        <v>659250</v>
      </c>
      <c r="AJ4009" s="19">
        <v>0</v>
      </c>
      <c r="AK4009" s="23">
        <v>0</v>
      </c>
      <c r="AM4009" s="19">
        <v>0</v>
      </c>
      <c r="AN4009" s="19">
        <v>659250</v>
      </c>
      <c r="AP4009" s="14">
        <v>659250</v>
      </c>
      <c r="AS4009" s="26">
        <v>10</v>
      </c>
    </row>
    <row r="4010" spans="1:45" x14ac:dyDescent="0.2">
      <c r="A4010" s="121">
        <f t="shared" si="498"/>
        <v>3421</v>
      </c>
      <c r="B4010" s="13">
        <v>1</v>
      </c>
      <c r="C4010" s="17" t="s">
        <v>52</v>
      </c>
      <c r="D4010" s="17">
        <v>1188</v>
      </c>
      <c r="E4010" s="17">
        <v>4</v>
      </c>
      <c r="F4010" s="17">
        <v>1027</v>
      </c>
      <c r="G4010" s="13">
        <v>1</v>
      </c>
      <c r="H4010" s="17">
        <v>5</v>
      </c>
      <c r="I4010" s="17">
        <v>1</v>
      </c>
      <c r="J4010" s="17">
        <v>45.03</v>
      </c>
      <c r="K4010" s="10">
        <v>2145.0300000000002</v>
      </c>
      <c r="P4010" s="17">
        <v>1</v>
      </c>
      <c r="Q4010" s="19">
        <v>2145.0300000000002</v>
      </c>
      <c r="R4010" s="14">
        <v>160</v>
      </c>
      <c r="S4010" s="19">
        <v>343204.80000000005</v>
      </c>
      <c r="AJ4010" s="19">
        <v>0</v>
      </c>
      <c r="AK4010" s="23">
        <v>0</v>
      </c>
      <c r="AM4010" s="19">
        <v>0</v>
      </c>
      <c r="AN4010" s="19">
        <v>343204.80000000005</v>
      </c>
      <c r="AP4010" s="14">
        <v>343204.80000000005</v>
      </c>
    </row>
    <row r="4011" spans="1:45" ht="63" x14ac:dyDescent="0.2">
      <c r="A4011" s="121">
        <f t="shared" si="498"/>
        <v>3422</v>
      </c>
      <c r="B4011" s="13">
        <v>1</v>
      </c>
      <c r="C4011" s="17" t="s">
        <v>52</v>
      </c>
      <c r="D4011" s="17">
        <v>1978</v>
      </c>
      <c r="E4011" s="17">
        <v>23</v>
      </c>
      <c r="F4011" s="17">
        <v>812</v>
      </c>
      <c r="G4011" s="13">
        <v>4</v>
      </c>
      <c r="H4011" s="17">
        <v>0</v>
      </c>
      <c r="I4011" s="17">
        <v>0</v>
      </c>
      <c r="J4011" s="17">
        <v>93</v>
      </c>
      <c r="K4011" s="10" t="s">
        <v>339</v>
      </c>
      <c r="P4011" s="17">
        <v>1</v>
      </c>
      <c r="Q4011" s="19">
        <v>93</v>
      </c>
      <c r="R4011" s="14">
        <v>2000</v>
      </c>
      <c r="S4011" s="19">
        <v>186000</v>
      </c>
      <c r="AJ4011" s="19">
        <v>0</v>
      </c>
      <c r="AK4011" s="23">
        <v>0</v>
      </c>
      <c r="AM4011" s="19">
        <v>0</v>
      </c>
      <c r="AN4011" s="19">
        <v>186000</v>
      </c>
      <c r="AP4011" s="14">
        <v>186000</v>
      </c>
      <c r="AR4011" s="19">
        <v>300</v>
      </c>
    </row>
    <row r="4012" spans="1:45" x14ac:dyDescent="0.2">
      <c r="A4012" s="121">
        <f t="shared" si="498"/>
        <v>3423</v>
      </c>
      <c r="B4012" s="13">
        <v>2</v>
      </c>
      <c r="C4012" s="17" t="s">
        <v>52</v>
      </c>
      <c r="D4012" s="17">
        <v>31423</v>
      </c>
      <c r="E4012" s="17">
        <v>75</v>
      </c>
      <c r="F4012" s="17">
        <v>6206</v>
      </c>
      <c r="G4012" s="13">
        <v>4</v>
      </c>
      <c r="H4012" s="17">
        <v>0</v>
      </c>
      <c r="I4012" s="17">
        <v>0</v>
      </c>
      <c r="J4012" s="17">
        <v>63</v>
      </c>
      <c r="N4012" s="18">
        <v>63</v>
      </c>
      <c r="P4012" s="17">
        <v>4</v>
      </c>
      <c r="Q4012" s="19">
        <v>63</v>
      </c>
      <c r="R4012" s="14">
        <v>250</v>
      </c>
      <c r="S4012" s="19">
        <v>15750</v>
      </c>
      <c r="AJ4012" s="19">
        <v>0</v>
      </c>
      <c r="AK4012" s="23">
        <v>0</v>
      </c>
      <c r="AM4012" s="19">
        <v>0</v>
      </c>
      <c r="AN4012" s="19">
        <v>15750</v>
      </c>
      <c r="AP4012" s="14">
        <v>15750</v>
      </c>
      <c r="AQ4012" s="12">
        <v>3.0000000000000001E-3</v>
      </c>
    </row>
    <row r="4013" spans="1:45" x14ac:dyDescent="0.2">
      <c r="A4013" s="121">
        <f t="shared" si="498"/>
        <v>3424</v>
      </c>
      <c r="B4013" s="13">
        <v>1</v>
      </c>
      <c r="C4013" s="17" t="s">
        <v>52</v>
      </c>
      <c r="D4013" s="17">
        <v>2480</v>
      </c>
      <c r="E4013" s="17">
        <v>30</v>
      </c>
      <c r="F4013" s="17">
        <v>1484</v>
      </c>
      <c r="G4013" s="13">
        <v>2</v>
      </c>
      <c r="H4013" s="17">
        <v>1</v>
      </c>
      <c r="I4013" s="17">
        <v>2</v>
      </c>
      <c r="J4013" s="17">
        <v>24</v>
      </c>
      <c r="N4013" s="18">
        <v>624</v>
      </c>
      <c r="P4013" s="17">
        <v>4</v>
      </c>
      <c r="Q4013" s="19">
        <v>624</v>
      </c>
      <c r="R4013" s="14">
        <v>160</v>
      </c>
      <c r="S4013" s="19">
        <v>99840</v>
      </c>
      <c r="AJ4013" s="19">
        <v>0</v>
      </c>
      <c r="AK4013" s="23">
        <v>0</v>
      </c>
      <c r="AM4013" s="19">
        <v>0</v>
      </c>
      <c r="AN4013" s="19">
        <v>99840</v>
      </c>
      <c r="AP4013" s="14">
        <v>99840</v>
      </c>
      <c r="AQ4013" s="12">
        <v>3.0000000000000001E-3</v>
      </c>
      <c r="AS4013" s="26">
        <v>11</v>
      </c>
    </row>
    <row r="4014" spans="1:45" x14ac:dyDescent="0.2">
      <c r="A4014" s="121">
        <f t="shared" si="498"/>
        <v>3425</v>
      </c>
      <c r="B4014" s="13">
        <v>1</v>
      </c>
      <c r="C4014" s="17" t="s">
        <v>52</v>
      </c>
      <c r="D4014" s="17">
        <v>2481</v>
      </c>
      <c r="E4014" s="17">
        <v>31</v>
      </c>
      <c r="F4014" s="17">
        <v>1485</v>
      </c>
      <c r="G4014" s="13">
        <v>2</v>
      </c>
      <c r="H4014" s="17">
        <v>1</v>
      </c>
      <c r="I4014" s="17">
        <v>0</v>
      </c>
      <c r="J4014" s="17">
        <v>73</v>
      </c>
      <c r="K4014" s="10">
        <v>473</v>
      </c>
      <c r="P4014" s="17">
        <v>1</v>
      </c>
      <c r="Q4014" s="19">
        <v>473</v>
      </c>
      <c r="R4014" s="14">
        <v>160</v>
      </c>
      <c r="S4014" s="19">
        <v>75680</v>
      </c>
      <c r="AJ4014" s="19">
        <v>0</v>
      </c>
      <c r="AK4014" s="23">
        <v>0</v>
      </c>
      <c r="AM4014" s="19">
        <v>0</v>
      </c>
      <c r="AN4014" s="19">
        <v>75680</v>
      </c>
      <c r="AP4014" s="14">
        <v>75680</v>
      </c>
      <c r="AS4014" s="26">
        <v>4</v>
      </c>
    </row>
    <row r="4015" spans="1:45" x14ac:dyDescent="0.2">
      <c r="A4015" s="121">
        <f t="shared" si="498"/>
        <v>3426</v>
      </c>
      <c r="B4015" s="13">
        <v>1</v>
      </c>
      <c r="C4015" s="17" t="s">
        <v>52</v>
      </c>
      <c r="D4015" s="17">
        <v>795</v>
      </c>
      <c r="E4015" s="17">
        <v>525</v>
      </c>
      <c r="F4015" s="17">
        <v>113</v>
      </c>
      <c r="G4015" s="13">
        <v>2</v>
      </c>
      <c r="H4015" s="17">
        <v>0</v>
      </c>
      <c r="I4015" s="17">
        <v>0</v>
      </c>
      <c r="J4015" s="17">
        <v>60.07</v>
      </c>
      <c r="N4015" s="18">
        <v>60.07</v>
      </c>
      <c r="P4015" s="17">
        <v>4</v>
      </c>
      <c r="Q4015" s="19">
        <v>60.07</v>
      </c>
      <c r="R4015" s="14">
        <v>250</v>
      </c>
      <c r="S4015" s="19">
        <v>15017.5</v>
      </c>
      <c r="AJ4015" s="19">
        <v>0</v>
      </c>
      <c r="AK4015" s="23">
        <v>0</v>
      </c>
      <c r="AM4015" s="19">
        <v>0</v>
      </c>
      <c r="AN4015" s="19">
        <v>15017.5</v>
      </c>
      <c r="AP4015" s="14">
        <v>15017.5</v>
      </c>
    </row>
    <row r="4016" spans="1:45" x14ac:dyDescent="0.2">
      <c r="A4016" s="121">
        <f t="shared" si="498"/>
        <v>3427</v>
      </c>
      <c r="B4016" s="13">
        <v>2</v>
      </c>
      <c r="C4016" s="17" t="s">
        <v>52</v>
      </c>
      <c r="D4016" s="17">
        <v>25686</v>
      </c>
      <c r="E4016" s="17">
        <v>545</v>
      </c>
      <c r="F4016" s="17">
        <v>5042</v>
      </c>
      <c r="G4016" s="13">
        <v>2</v>
      </c>
      <c r="H4016" s="17">
        <v>0</v>
      </c>
      <c r="I4016" s="17">
        <v>0</v>
      </c>
      <c r="J4016" s="17">
        <v>58.04</v>
      </c>
      <c r="N4016" s="18">
        <v>58.04</v>
      </c>
      <c r="P4016" s="17">
        <v>4</v>
      </c>
      <c r="Q4016" s="19">
        <v>58.04</v>
      </c>
      <c r="R4016" s="14">
        <v>250</v>
      </c>
      <c r="S4016" s="19">
        <v>14510</v>
      </c>
      <c r="AJ4016" s="19">
        <v>0</v>
      </c>
      <c r="AK4016" s="23">
        <v>0</v>
      </c>
      <c r="AM4016" s="19">
        <v>0</v>
      </c>
      <c r="AN4016" s="19">
        <v>14510</v>
      </c>
      <c r="AP4016" s="14">
        <v>14510</v>
      </c>
    </row>
    <row r="4017" spans="1:45" x14ac:dyDescent="0.2">
      <c r="A4017" s="121">
        <f t="shared" si="498"/>
        <v>3428</v>
      </c>
      <c r="B4017" s="13">
        <v>1</v>
      </c>
      <c r="C4017" s="17" t="s">
        <v>52</v>
      </c>
      <c r="D4017" s="17">
        <v>888</v>
      </c>
      <c r="E4017" s="17">
        <v>102</v>
      </c>
      <c r="F4017" s="17">
        <v>182</v>
      </c>
      <c r="G4017" s="13">
        <v>1</v>
      </c>
      <c r="H4017" s="17">
        <v>6</v>
      </c>
      <c r="I4017" s="17">
        <v>3</v>
      </c>
      <c r="J4017" s="17">
        <v>88</v>
      </c>
      <c r="K4017" s="10">
        <v>2788</v>
      </c>
      <c r="P4017" s="17">
        <v>1</v>
      </c>
      <c r="Q4017" s="19">
        <v>2788</v>
      </c>
      <c r="R4017" s="14">
        <v>200</v>
      </c>
      <c r="S4017" s="19">
        <v>557600</v>
      </c>
      <c r="AJ4017" s="19">
        <v>0</v>
      </c>
      <c r="AK4017" s="23">
        <v>0</v>
      </c>
      <c r="AM4017" s="19">
        <v>0</v>
      </c>
      <c r="AN4017" s="19">
        <v>557600</v>
      </c>
      <c r="AP4017" s="14">
        <v>557600</v>
      </c>
    </row>
    <row r="4018" spans="1:45" x14ac:dyDescent="0.2">
      <c r="A4018" s="121">
        <f t="shared" si="498"/>
        <v>3429</v>
      </c>
      <c r="B4018" s="13">
        <v>2</v>
      </c>
      <c r="C4018" s="17" t="s">
        <v>52</v>
      </c>
      <c r="D4018" s="17">
        <v>1595</v>
      </c>
      <c r="E4018" s="17">
        <v>34</v>
      </c>
      <c r="F4018" s="17">
        <v>532</v>
      </c>
      <c r="G4018" s="13">
        <v>2</v>
      </c>
      <c r="H4018" s="17">
        <v>1</v>
      </c>
      <c r="I4018" s="17">
        <v>3</v>
      </c>
      <c r="J4018" s="17">
        <v>91</v>
      </c>
      <c r="K4018" s="10">
        <v>791</v>
      </c>
      <c r="P4018" s="17">
        <v>1</v>
      </c>
      <c r="Q4018" s="19">
        <v>791</v>
      </c>
      <c r="R4018" s="14">
        <v>160</v>
      </c>
      <c r="S4018" s="19">
        <v>126560</v>
      </c>
      <c r="AJ4018" s="19">
        <v>0</v>
      </c>
      <c r="AK4018" s="23">
        <v>0</v>
      </c>
      <c r="AM4018" s="19">
        <v>0</v>
      </c>
      <c r="AN4018" s="19">
        <v>126560</v>
      </c>
      <c r="AP4018" s="14">
        <v>126560</v>
      </c>
    </row>
    <row r="4019" spans="1:45" x14ac:dyDescent="0.2">
      <c r="A4019" s="121">
        <f t="shared" si="498"/>
        <v>3430</v>
      </c>
      <c r="B4019" s="13">
        <v>3</v>
      </c>
      <c r="C4019" s="17" t="s">
        <v>52</v>
      </c>
      <c r="D4019" s="17">
        <v>1596</v>
      </c>
      <c r="E4019" s="17">
        <v>35</v>
      </c>
      <c r="F4019" s="17">
        <v>533</v>
      </c>
      <c r="G4019" s="13">
        <v>2</v>
      </c>
      <c r="H4019" s="17">
        <v>2</v>
      </c>
      <c r="I4019" s="17">
        <v>3</v>
      </c>
      <c r="J4019" s="17">
        <v>43</v>
      </c>
      <c r="K4019" s="10">
        <v>1143</v>
      </c>
      <c r="P4019" s="17">
        <v>1</v>
      </c>
      <c r="Q4019" s="19">
        <v>1143</v>
      </c>
      <c r="R4019" s="14">
        <v>160</v>
      </c>
      <c r="S4019" s="19">
        <v>182880</v>
      </c>
      <c r="AJ4019" s="19">
        <v>0</v>
      </c>
      <c r="AK4019" s="23">
        <v>0</v>
      </c>
      <c r="AM4019" s="19">
        <v>0</v>
      </c>
      <c r="AN4019" s="19">
        <v>182880</v>
      </c>
      <c r="AP4019" s="14">
        <v>182880</v>
      </c>
    </row>
    <row r="4020" spans="1:45" x14ac:dyDescent="0.2">
      <c r="A4020" s="121">
        <f t="shared" si="498"/>
        <v>3431</v>
      </c>
      <c r="B4020" s="13">
        <v>4</v>
      </c>
      <c r="C4020" s="17" t="s">
        <v>52</v>
      </c>
      <c r="D4020" s="17">
        <v>21139</v>
      </c>
      <c r="E4020" s="17">
        <v>73</v>
      </c>
      <c r="F4020" s="17">
        <v>4699</v>
      </c>
      <c r="G4020" s="13">
        <v>2</v>
      </c>
      <c r="H4020" s="17">
        <v>3</v>
      </c>
      <c r="I4020" s="17">
        <v>1</v>
      </c>
      <c r="J4020" s="17">
        <v>72</v>
      </c>
      <c r="K4020" s="10">
        <v>1372</v>
      </c>
      <c r="P4020" s="17">
        <v>1</v>
      </c>
      <c r="Q4020" s="19">
        <v>1372</v>
      </c>
      <c r="R4020" s="14">
        <v>160</v>
      </c>
      <c r="S4020" s="19">
        <v>219520</v>
      </c>
      <c r="AJ4020" s="19">
        <v>0</v>
      </c>
      <c r="AK4020" s="23">
        <v>0</v>
      </c>
      <c r="AM4020" s="19">
        <v>0</v>
      </c>
      <c r="AN4020" s="19">
        <v>219520</v>
      </c>
      <c r="AP4020" s="14">
        <v>219520</v>
      </c>
    </row>
    <row r="4021" spans="1:45" x14ac:dyDescent="0.2">
      <c r="B4021" s="13">
        <v>1</v>
      </c>
      <c r="C4021" s="17" t="s">
        <v>65</v>
      </c>
      <c r="D4021" s="17">
        <v>3438</v>
      </c>
      <c r="E4021" s="17">
        <v>622</v>
      </c>
      <c r="H4021" s="17">
        <v>0</v>
      </c>
      <c r="I4021" s="17">
        <v>1</v>
      </c>
      <c r="J4021" s="17">
        <v>70</v>
      </c>
      <c r="K4021" s="10">
        <v>170</v>
      </c>
      <c r="Q4021" s="19">
        <v>170</v>
      </c>
      <c r="R4021" s="14" t="e">
        <v>#N/A</v>
      </c>
      <c r="S4021" s="19" t="e">
        <v>#N/A</v>
      </c>
      <c r="AE4021" s="17" t="s">
        <v>95</v>
      </c>
      <c r="AJ4021" s="19">
        <v>0</v>
      </c>
      <c r="AK4021" s="23">
        <v>0</v>
      </c>
      <c r="AM4021" s="19">
        <v>0</v>
      </c>
      <c r="AN4021" s="19" t="e">
        <v>#N/A</v>
      </c>
      <c r="AP4021" s="14" t="e">
        <v>#N/A</v>
      </c>
      <c r="AQ4021" s="12">
        <v>1E-4</v>
      </c>
    </row>
    <row r="4022" spans="1:45" x14ac:dyDescent="0.2">
      <c r="A4022" s="2">
        <v>3432</v>
      </c>
      <c r="B4022" s="13">
        <v>2</v>
      </c>
      <c r="C4022" s="17" t="s">
        <v>52</v>
      </c>
      <c r="D4022" s="17">
        <v>31088</v>
      </c>
      <c r="E4022" s="17">
        <v>103</v>
      </c>
      <c r="F4022" s="17">
        <v>6038</v>
      </c>
      <c r="H4022" s="17">
        <v>0</v>
      </c>
      <c r="I4022" s="17">
        <v>1</v>
      </c>
      <c r="J4022" s="17">
        <v>62.06</v>
      </c>
      <c r="N4022" s="18">
        <v>162.06</v>
      </c>
      <c r="P4022" s="17">
        <v>4</v>
      </c>
      <c r="Q4022" s="19">
        <v>162.06</v>
      </c>
      <c r="R4022" s="14">
        <v>250</v>
      </c>
      <c r="S4022" s="19">
        <v>40515</v>
      </c>
      <c r="AJ4022" s="19">
        <v>0</v>
      </c>
      <c r="AK4022" s="23">
        <v>0</v>
      </c>
      <c r="AM4022" s="19">
        <v>0</v>
      </c>
      <c r="AN4022" s="19">
        <v>40515</v>
      </c>
      <c r="AP4022" s="14">
        <v>40515</v>
      </c>
      <c r="AQ4022" s="12">
        <v>3.0000000000000001E-3</v>
      </c>
      <c r="AS4022" s="26">
        <v>2</v>
      </c>
    </row>
    <row r="4023" spans="1:45" x14ac:dyDescent="0.2">
      <c r="A4023" s="2">
        <f>+A4022+1</f>
        <v>3433</v>
      </c>
      <c r="B4023" s="13">
        <v>6</v>
      </c>
      <c r="C4023" s="17" t="s">
        <v>52</v>
      </c>
      <c r="D4023" s="17">
        <v>4630</v>
      </c>
      <c r="E4023" s="17">
        <v>51</v>
      </c>
      <c r="F4023" s="17">
        <v>2451</v>
      </c>
      <c r="G4023" s="13">
        <v>1</v>
      </c>
      <c r="H4023" s="17">
        <v>6</v>
      </c>
      <c r="I4023" s="17">
        <v>2</v>
      </c>
      <c r="J4023" s="17">
        <v>36</v>
      </c>
      <c r="K4023" s="10">
        <v>2636</v>
      </c>
      <c r="P4023" s="17">
        <v>1</v>
      </c>
      <c r="Q4023" s="19">
        <v>2636</v>
      </c>
      <c r="R4023" s="14">
        <v>200</v>
      </c>
      <c r="S4023" s="19">
        <v>527200</v>
      </c>
      <c r="AJ4023" s="19">
        <v>0</v>
      </c>
      <c r="AK4023" s="23">
        <v>0</v>
      </c>
      <c r="AM4023" s="19">
        <v>0</v>
      </c>
      <c r="AN4023" s="19">
        <v>527200</v>
      </c>
      <c r="AP4023" s="14">
        <v>527200</v>
      </c>
    </row>
    <row r="4024" spans="1:45" x14ac:dyDescent="0.2">
      <c r="A4024" s="121">
        <f t="shared" ref="A4024:A4028" si="499">+A4023+1</f>
        <v>3434</v>
      </c>
      <c r="B4024" s="13">
        <v>1</v>
      </c>
      <c r="C4024" s="17" t="s">
        <v>52</v>
      </c>
      <c r="D4024" s="17">
        <v>1405</v>
      </c>
      <c r="E4024" s="17">
        <v>18</v>
      </c>
      <c r="F4024" s="17">
        <v>600</v>
      </c>
      <c r="G4024" s="13">
        <v>1</v>
      </c>
      <c r="H4024" s="17">
        <v>4</v>
      </c>
      <c r="I4024" s="17">
        <v>0</v>
      </c>
      <c r="J4024" s="17">
        <v>62</v>
      </c>
      <c r="K4024" s="10">
        <v>1662</v>
      </c>
      <c r="P4024" s="17">
        <v>1</v>
      </c>
      <c r="Q4024" s="19">
        <v>1662</v>
      </c>
      <c r="R4024" s="14">
        <v>160</v>
      </c>
      <c r="S4024" s="19">
        <v>265920</v>
      </c>
      <c r="AJ4024" s="19">
        <v>0</v>
      </c>
      <c r="AK4024" s="23">
        <v>0</v>
      </c>
      <c r="AM4024" s="19">
        <v>0</v>
      </c>
      <c r="AN4024" s="19">
        <v>265920</v>
      </c>
      <c r="AP4024" s="14">
        <v>265920</v>
      </c>
      <c r="AS4024" s="26">
        <v>229</v>
      </c>
    </row>
    <row r="4025" spans="1:45" x14ac:dyDescent="0.2">
      <c r="A4025" s="121">
        <f t="shared" si="499"/>
        <v>3435</v>
      </c>
      <c r="B4025" s="13">
        <v>2</v>
      </c>
      <c r="C4025" s="17" t="s">
        <v>52</v>
      </c>
      <c r="D4025" s="17">
        <v>21212</v>
      </c>
      <c r="E4025" s="17">
        <v>194</v>
      </c>
      <c r="F4025" s="17">
        <v>4713</v>
      </c>
      <c r="G4025" s="13">
        <v>1</v>
      </c>
      <c r="H4025" s="17">
        <v>0</v>
      </c>
      <c r="I4025" s="17">
        <v>0</v>
      </c>
      <c r="J4025" s="17">
        <v>52</v>
      </c>
      <c r="N4025" s="18">
        <v>52</v>
      </c>
      <c r="P4025" s="17">
        <v>2</v>
      </c>
      <c r="Q4025" s="19">
        <v>52</v>
      </c>
      <c r="R4025" s="14">
        <v>3000</v>
      </c>
      <c r="S4025" s="19">
        <v>156000</v>
      </c>
      <c r="AJ4025" s="19">
        <v>0</v>
      </c>
      <c r="AK4025" s="23">
        <v>0</v>
      </c>
      <c r="AM4025" s="19">
        <v>0</v>
      </c>
      <c r="AN4025" s="19">
        <v>156000</v>
      </c>
      <c r="AP4025" s="14">
        <v>156000</v>
      </c>
    </row>
    <row r="4026" spans="1:45" x14ac:dyDescent="0.2">
      <c r="A4026" s="121">
        <f t="shared" si="499"/>
        <v>3436</v>
      </c>
      <c r="B4026" s="13">
        <v>3</v>
      </c>
      <c r="C4026" s="17" t="s">
        <v>52</v>
      </c>
      <c r="D4026" s="17">
        <v>29261</v>
      </c>
      <c r="E4026" s="17">
        <v>115</v>
      </c>
      <c r="F4026" s="17">
        <v>5543</v>
      </c>
      <c r="G4026" s="13">
        <v>1</v>
      </c>
      <c r="H4026" s="17">
        <v>7</v>
      </c>
      <c r="I4026" s="17">
        <v>1</v>
      </c>
      <c r="J4026" s="17">
        <v>65</v>
      </c>
      <c r="K4026" s="10">
        <v>2965</v>
      </c>
      <c r="P4026" s="17">
        <v>1</v>
      </c>
      <c r="Q4026" s="19">
        <v>2965</v>
      </c>
      <c r="R4026" s="14">
        <v>200</v>
      </c>
      <c r="S4026" s="19">
        <v>593000</v>
      </c>
      <c r="AJ4026" s="19">
        <v>0</v>
      </c>
      <c r="AK4026" s="23">
        <v>0</v>
      </c>
      <c r="AM4026" s="19">
        <v>0</v>
      </c>
      <c r="AN4026" s="19">
        <v>593000</v>
      </c>
      <c r="AP4026" s="14">
        <v>593000</v>
      </c>
    </row>
    <row r="4027" spans="1:45" x14ac:dyDescent="0.2">
      <c r="A4027" s="121">
        <f t="shared" si="499"/>
        <v>3437</v>
      </c>
      <c r="B4027" s="13">
        <v>4</v>
      </c>
      <c r="C4027" s="17" t="s">
        <v>69</v>
      </c>
      <c r="E4027" s="17">
        <v>154</v>
      </c>
      <c r="F4027" s="17">
        <v>5</v>
      </c>
      <c r="G4027" s="13">
        <v>1</v>
      </c>
      <c r="H4027" s="17">
        <v>10</v>
      </c>
      <c r="I4027" s="17">
        <v>2</v>
      </c>
      <c r="J4027" s="17">
        <v>34</v>
      </c>
      <c r="K4027" s="10">
        <v>4234</v>
      </c>
      <c r="P4027" s="17">
        <v>1</v>
      </c>
      <c r="Q4027" s="19">
        <v>4234</v>
      </c>
      <c r="R4027" s="14">
        <v>200</v>
      </c>
      <c r="S4027" s="19">
        <v>846800</v>
      </c>
      <c r="AJ4027" s="19">
        <v>0</v>
      </c>
      <c r="AK4027" s="23">
        <v>0</v>
      </c>
      <c r="AM4027" s="19">
        <v>0</v>
      </c>
      <c r="AN4027" s="19">
        <v>846800</v>
      </c>
      <c r="AP4027" s="14">
        <v>846800</v>
      </c>
      <c r="AQ4027" s="12">
        <v>1E-4</v>
      </c>
    </row>
    <row r="4028" spans="1:45" x14ac:dyDescent="0.2">
      <c r="A4028" s="121">
        <f t="shared" si="499"/>
        <v>3438</v>
      </c>
      <c r="B4028" s="13">
        <v>5</v>
      </c>
      <c r="C4028" s="17" t="s">
        <v>69</v>
      </c>
      <c r="E4028" s="17">
        <v>154</v>
      </c>
      <c r="F4028" s="17">
        <v>7</v>
      </c>
      <c r="G4028" s="13">
        <v>1</v>
      </c>
      <c r="H4028" s="17">
        <v>0</v>
      </c>
      <c r="I4028" s="17">
        <v>2</v>
      </c>
      <c r="J4028" s="17">
        <v>33</v>
      </c>
      <c r="K4028" s="10">
        <v>233</v>
      </c>
      <c r="P4028" s="17">
        <v>1</v>
      </c>
      <c r="Q4028" s="19">
        <v>233</v>
      </c>
      <c r="R4028" s="14">
        <v>200</v>
      </c>
      <c r="S4028" s="19">
        <v>46600</v>
      </c>
      <c r="AJ4028" s="19">
        <v>0</v>
      </c>
      <c r="AK4028" s="23">
        <v>0</v>
      </c>
      <c r="AM4028" s="19">
        <v>0</v>
      </c>
      <c r="AN4028" s="19">
        <v>46600</v>
      </c>
      <c r="AP4028" s="14">
        <v>46600</v>
      </c>
      <c r="AQ4028" s="12">
        <v>1E-4</v>
      </c>
    </row>
    <row r="4029" spans="1:45" x14ac:dyDescent="0.2">
      <c r="B4029" s="13">
        <v>4</v>
      </c>
      <c r="C4029" s="17" t="s">
        <v>97</v>
      </c>
      <c r="D4029" s="17">
        <v>85</v>
      </c>
      <c r="G4029" s="13">
        <v>1</v>
      </c>
      <c r="H4029" s="17">
        <v>8</v>
      </c>
      <c r="I4029" s="17">
        <v>3</v>
      </c>
      <c r="J4029" s="17">
        <v>20</v>
      </c>
      <c r="K4029" s="10">
        <v>3520</v>
      </c>
      <c r="P4029" s="17">
        <v>1</v>
      </c>
      <c r="Q4029" s="19">
        <v>3520</v>
      </c>
      <c r="R4029" s="14" t="e">
        <v>#N/A</v>
      </c>
      <c r="S4029" s="19" t="e">
        <v>#N/A</v>
      </c>
      <c r="AJ4029" s="19">
        <v>0</v>
      </c>
      <c r="AK4029" s="23">
        <v>0</v>
      </c>
      <c r="AM4029" s="19">
        <v>0</v>
      </c>
      <c r="AN4029" s="19" t="e">
        <v>#N/A</v>
      </c>
      <c r="AP4029" s="14" t="e">
        <v>#N/A</v>
      </c>
      <c r="AQ4029" s="12">
        <v>1E-4</v>
      </c>
    </row>
    <row r="4030" spans="1:45" x14ac:dyDescent="0.2">
      <c r="A4030" s="2">
        <v>3439</v>
      </c>
      <c r="B4030" s="13">
        <v>1</v>
      </c>
      <c r="C4030" s="17" t="s">
        <v>52</v>
      </c>
      <c r="D4030" s="17">
        <v>4615</v>
      </c>
      <c r="E4030" s="17">
        <v>74</v>
      </c>
      <c r="F4030" s="17">
        <v>2435</v>
      </c>
      <c r="G4030" s="13">
        <v>1</v>
      </c>
      <c r="H4030" s="17">
        <v>9</v>
      </c>
      <c r="I4030" s="17">
        <v>2</v>
      </c>
      <c r="J4030" s="17">
        <v>69.05</v>
      </c>
      <c r="K4030" s="10">
        <v>5745</v>
      </c>
      <c r="P4030" s="17">
        <v>1</v>
      </c>
      <c r="Q4030" s="19">
        <v>3869.05</v>
      </c>
      <c r="R4030" s="14">
        <v>200</v>
      </c>
      <c r="S4030" s="19">
        <v>773810</v>
      </c>
      <c r="AJ4030" s="19">
        <v>0</v>
      </c>
      <c r="AK4030" s="23">
        <v>0</v>
      </c>
      <c r="AM4030" s="19">
        <v>0</v>
      </c>
      <c r="AN4030" s="19">
        <v>773810</v>
      </c>
      <c r="AP4030" s="14">
        <v>773810</v>
      </c>
    </row>
    <row r="4031" spans="1:45" x14ac:dyDescent="0.2">
      <c r="A4031" s="2">
        <f>+A4030+1</f>
        <v>3440</v>
      </c>
      <c r="B4031" s="13">
        <v>2</v>
      </c>
      <c r="C4031" s="17" t="s">
        <v>52</v>
      </c>
      <c r="D4031" s="17">
        <v>21213</v>
      </c>
      <c r="E4031" s="17">
        <v>195</v>
      </c>
      <c r="F4031" s="17">
        <v>4714</v>
      </c>
      <c r="G4031" s="13">
        <v>1</v>
      </c>
      <c r="H4031" s="17">
        <v>0</v>
      </c>
      <c r="I4031" s="17">
        <v>0</v>
      </c>
      <c r="J4031" s="17">
        <v>51</v>
      </c>
      <c r="N4031" s="18">
        <v>51</v>
      </c>
      <c r="P4031" s="17">
        <v>4</v>
      </c>
      <c r="Q4031" s="19">
        <v>51</v>
      </c>
      <c r="R4031" s="14">
        <v>3000</v>
      </c>
      <c r="S4031" s="19">
        <v>153000</v>
      </c>
      <c r="AJ4031" s="19">
        <v>0</v>
      </c>
      <c r="AK4031" s="23">
        <v>0</v>
      </c>
      <c r="AM4031" s="19">
        <v>0</v>
      </c>
      <c r="AN4031" s="19">
        <v>153000</v>
      </c>
      <c r="AP4031" s="14">
        <v>153000</v>
      </c>
      <c r="AQ4031" s="12">
        <v>3.0000000000000001E-3</v>
      </c>
    </row>
    <row r="4032" spans="1:45" x14ac:dyDescent="0.2">
      <c r="A4032" s="121">
        <f t="shared" ref="A4032:A4051" si="500">+A4031+1</f>
        <v>3441</v>
      </c>
      <c r="B4032" s="13">
        <v>1</v>
      </c>
      <c r="C4032" s="17" t="s">
        <v>52</v>
      </c>
      <c r="D4032" s="17">
        <v>21210</v>
      </c>
      <c r="E4032" s="17">
        <v>192</v>
      </c>
      <c r="F4032" s="17">
        <v>4711</v>
      </c>
      <c r="G4032" s="13">
        <v>1</v>
      </c>
      <c r="H4032" s="17">
        <v>0</v>
      </c>
      <c r="I4032" s="17">
        <v>0</v>
      </c>
      <c r="J4032" s="17">
        <v>53</v>
      </c>
      <c r="N4032" s="18">
        <v>53</v>
      </c>
      <c r="P4032" s="17">
        <v>4</v>
      </c>
      <c r="Q4032" s="19">
        <v>53</v>
      </c>
      <c r="R4032" s="14">
        <v>3000</v>
      </c>
      <c r="S4032" s="19">
        <v>159000</v>
      </c>
      <c r="AJ4032" s="19">
        <v>0</v>
      </c>
      <c r="AK4032" s="23">
        <v>0</v>
      </c>
      <c r="AM4032" s="19">
        <v>0</v>
      </c>
      <c r="AN4032" s="19">
        <v>159000</v>
      </c>
      <c r="AP4032" s="14">
        <v>159000</v>
      </c>
      <c r="AQ4032" s="12">
        <v>3.0000000000000001E-3</v>
      </c>
    </row>
    <row r="4033" spans="1:45" s="19" customFormat="1" x14ac:dyDescent="0.2">
      <c r="A4033" s="121">
        <f t="shared" si="500"/>
        <v>3442</v>
      </c>
      <c r="B4033" s="13">
        <v>2</v>
      </c>
      <c r="C4033" s="17" t="s">
        <v>52</v>
      </c>
      <c r="D4033" s="17">
        <v>4616</v>
      </c>
      <c r="E4033" s="17">
        <v>75</v>
      </c>
      <c r="F4033" s="17">
        <v>2436</v>
      </c>
      <c r="G4033" s="13">
        <v>1</v>
      </c>
      <c r="H4033" s="17">
        <v>15</v>
      </c>
      <c r="I4033" s="17">
        <v>3</v>
      </c>
      <c r="J4033" s="17">
        <v>94</v>
      </c>
      <c r="K4033" s="10">
        <v>6394</v>
      </c>
      <c r="L4033" s="17"/>
      <c r="M4033" s="15"/>
      <c r="N4033" s="18"/>
      <c r="O4033" s="14"/>
      <c r="P4033" s="17">
        <v>1</v>
      </c>
      <c r="Q4033" s="19">
        <v>6394</v>
      </c>
      <c r="R4033" s="14">
        <v>200</v>
      </c>
      <c r="S4033" s="19">
        <v>1278800</v>
      </c>
      <c r="T4033" s="17"/>
      <c r="U4033" s="17"/>
      <c r="V4033" s="17"/>
      <c r="W4033" s="4"/>
      <c r="X4033" s="17"/>
      <c r="Y4033" s="4"/>
      <c r="Z4033" s="17"/>
      <c r="AA4033" s="17"/>
      <c r="AB4033" s="17"/>
      <c r="AC4033" s="14"/>
      <c r="AD4033" s="14"/>
      <c r="AE4033" s="17"/>
      <c r="AF4033" s="14"/>
      <c r="AG4033" s="54"/>
      <c r="AH4033" s="11"/>
      <c r="AI4033" s="14"/>
      <c r="AJ4033" s="19">
        <v>0</v>
      </c>
      <c r="AK4033" s="23">
        <v>0</v>
      </c>
      <c r="AL4033" s="11"/>
      <c r="AM4033" s="19">
        <v>0</v>
      </c>
      <c r="AN4033" s="19">
        <v>1278800</v>
      </c>
      <c r="AO4033" s="14"/>
      <c r="AP4033" s="14">
        <v>1278800</v>
      </c>
      <c r="AQ4033" s="12"/>
      <c r="AS4033" s="26"/>
    </row>
    <row r="4034" spans="1:45" s="19" customFormat="1" ht="63" x14ac:dyDescent="0.2">
      <c r="A4034" s="121">
        <f t="shared" si="500"/>
        <v>3443</v>
      </c>
      <c r="B4034" s="13">
        <v>1</v>
      </c>
      <c r="C4034" s="17" t="s">
        <v>52</v>
      </c>
      <c r="D4034" s="17">
        <v>21211</v>
      </c>
      <c r="E4034" s="17">
        <v>193</v>
      </c>
      <c r="F4034" s="17">
        <v>4712</v>
      </c>
      <c r="G4034" s="13">
        <v>1</v>
      </c>
      <c r="H4034" s="17">
        <v>0</v>
      </c>
      <c r="I4034" s="17">
        <v>0</v>
      </c>
      <c r="J4034" s="17">
        <v>54</v>
      </c>
      <c r="K4034" s="10"/>
      <c r="L4034" s="17">
        <v>54</v>
      </c>
      <c r="M4034" s="15"/>
      <c r="N4034" s="18"/>
      <c r="O4034" s="14"/>
      <c r="P4034" s="17">
        <v>2</v>
      </c>
      <c r="Q4034" s="19">
        <v>54</v>
      </c>
      <c r="R4034" s="14">
        <v>3000</v>
      </c>
      <c r="S4034" s="19">
        <v>162000</v>
      </c>
      <c r="T4034" s="17">
        <v>1</v>
      </c>
      <c r="U4034" s="17" t="s">
        <v>57</v>
      </c>
      <c r="V4034" s="17" t="s">
        <v>56</v>
      </c>
      <c r="W4034" s="4">
        <v>200</v>
      </c>
      <c r="X4034" s="17"/>
      <c r="Y4034" s="4">
        <v>200</v>
      </c>
      <c r="Z4034" s="17"/>
      <c r="AA4034" s="17"/>
      <c r="AB4034" s="17">
        <v>10</v>
      </c>
      <c r="AC4034" s="14"/>
      <c r="AD4034" s="14"/>
      <c r="AE4034" s="17"/>
      <c r="AF4034" s="14"/>
      <c r="AG4034" s="54"/>
      <c r="AH4034" s="11"/>
      <c r="AI4034" s="14"/>
      <c r="AJ4034" s="19">
        <v>0</v>
      </c>
      <c r="AK4034" s="23">
        <v>10</v>
      </c>
      <c r="AL4034" s="11"/>
      <c r="AM4034" s="19">
        <v>0</v>
      </c>
      <c r="AN4034" s="19">
        <v>162000</v>
      </c>
      <c r="AO4034" s="14"/>
      <c r="AP4034" s="14">
        <v>162000</v>
      </c>
      <c r="AQ4034" s="12"/>
      <c r="AS4034" s="26"/>
    </row>
    <row r="4035" spans="1:45" s="19" customFormat="1" x14ac:dyDescent="0.2">
      <c r="A4035" s="121">
        <f t="shared" si="500"/>
        <v>3444</v>
      </c>
      <c r="B4035" s="13">
        <v>1</v>
      </c>
      <c r="C4035" s="17" t="s">
        <v>52</v>
      </c>
      <c r="D4035" s="17">
        <v>21214</v>
      </c>
      <c r="E4035" s="17">
        <v>196</v>
      </c>
      <c r="F4035" s="17">
        <v>4715</v>
      </c>
      <c r="G4035" s="13">
        <v>1</v>
      </c>
      <c r="H4035" s="17">
        <v>0</v>
      </c>
      <c r="I4035" s="17">
        <v>0</v>
      </c>
      <c r="J4035" s="17">
        <v>56</v>
      </c>
      <c r="K4035" s="10"/>
      <c r="L4035" s="17"/>
      <c r="M4035" s="15"/>
      <c r="N4035" s="18">
        <v>56</v>
      </c>
      <c r="O4035" s="14"/>
      <c r="P4035" s="17">
        <v>4</v>
      </c>
      <c r="Q4035" s="19">
        <v>56</v>
      </c>
      <c r="R4035" s="14">
        <v>3000</v>
      </c>
      <c r="S4035" s="19">
        <v>168000</v>
      </c>
      <c r="T4035" s="17"/>
      <c r="U4035" s="17"/>
      <c r="V4035" s="17"/>
      <c r="W4035" s="4"/>
      <c r="X4035" s="17"/>
      <c r="Y4035" s="4"/>
      <c r="Z4035" s="17"/>
      <c r="AA4035" s="17"/>
      <c r="AB4035" s="17"/>
      <c r="AC4035" s="14"/>
      <c r="AD4035" s="14"/>
      <c r="AE4035" s="17"/>
      <c r="AF4035" s="14"/>
      <c r="AG4035" s="54"/>
      <c r="AH4035" s="11"/>
      <c r="AI4035" s="14"/>
      <c r="AJ4035" s="19">
        <v>0</v>
      </c>
      <c r="AK4035" s="23">
        <v>0</v>
      </c>
      <c r="AL4035" s="11"/>
      <c r="AM4035" s="19">
        <v>0</v>
      </c>
      <c r="AN4035" s="19">
        <v>168000</v>
      </c>
      <c r="AO4035" s="14"/>
      <c r="AP4035" s="14">
        <v>168000</v>
      </c>
      <c r="AQ4035" s="12">
        <v>3.0000000000000001E-3</v>
      </c>
      <c r="AS4035" s="26"/>
    </row>
    <row r="4036" spans="1:45" s="19" customFormat="1" ht="63" x14ac:dyDescent="0.2">
      <c r="A4036" s="121">
        <f t="shared" si="500"/>
        <v>3445</v>
      </c>
      <c r="B4036" s="13">
        <v>1</v>
      </c>
      <c r="C4036" s="17" t="s">
        <v>52</v>
      </c>
      <c r="D4036" s="17">
        <v>870</v>
      </c>
      <c r="E4036" s="17">
        <v>94</v>
      </c>
      <c r="F4036" s="17">
        <v>163</v>
      </c>
      <c r="G4036" s="13">
        <v>1</v>
      </c>
      <c r="H4036" s="17">
        <v>5</v>
      </c>
      <c r="I4036" s="17">
        <v>2</v>
      </c>
      <c r="J4036" s="17">
        <v>41</v>
      </c>
      <c r="K4036" s="10">
        <v>1824.75</v>
      </c>
      <c r="L4036" s="17">
        <v>16.25</v>
      </c>
      <c r="M4036" s="15"/>
      <c r="N4036" s="18"/>
      <c r="O4036" s="14"/>
      <c r="P4036" s="17">
        <v>5</v>
      </c>
      <c r="Q4036" s="19">
        <v>2241</v>
      </c>
      <c r="R4036" s="14">
        <v>200</v>
      </c>
      <c r="S4036" s="19">
        <v>448200</v>
      </c>
      <c r="T4036" s="17">
        <v>1</v>
      </c>
      <c r="U4036" s="17" t="s">
        <v>57</v>
      </c>
      <c r="V4036" s="17" t="s">
        <v>56</v>
      </c>
      <c r="W4036" s="4">
        <v>65</v>
      </c>
      <c r="X4036" s="17"/>
      <c r="Y4036" s="4">
        <v>65</v>
      </c>
      <c r="Z4036" s="17"/>
      <c r="AA4036" s="17"/>
      <c r="AB4036" s="17">
        <v>3</v>
      </c>
      <c r="AC4036" s="14"/>
      <c r="AD4036" s="14"/>
      <c r="AE4036" s="17"/>
      <c r="AF4036" s="14"/>
      <c r="AG4036" s="54"/>
      <c r="AH4036" s="11"/>
      <c r="AI4036" s="14"/>
      <c r="AJ4036" s="19">
        <v>0</v>
      </c>
      <c r="AK4036" s="23">
        <v>3</v>
      </c>
      <c r="AL4036" s="11"/>
      <c r="AM4036" s="19">
        <v>0</v>
      </c>
      <c r="AN4036" s="19">
        <v>448200</v>
      </c>
      <c r="AO4036" s="14"/>
      <c r="AP4036" s="14">
        <v>448200</v>
      </c>
      <c r="AQ4036" s="12"/>
      <c r="AS4036" s="26"/>
    </row>
    <row r="4037" spans="1:45" s="19" customFormat="1" x14ac:dyDescent="0.2">
      <c r="A4037" s="121">
        <f t="shared" si="500"/>
        <v>3446</v>
      </c>
      <c r="B4037" s="13">
        <v>2</v>
      </c>
      <c r="C4037" s="17" t="s">
        <v>52</v>
      </c>
      <c r="D4037" s="17">
        <v>32439</v>
      </c>
      <c r="E4037" s="17">
        <v>282</v>
      </c>
      <c r="F4037" s="17">
        <v>6414</v>
      </c>
      <c r="G4037" s="13">
        <v>1</v>
      </c>
      <c r="H4037" s="17">
        <v>0</v>
      </c>
      <c r="I4037" s="17">
        <v>1</v>
      </c>
      <c r="J4037" s="17">
        <v>60</v>
      </c>
      <c r="K4037" s="10"/>
      <c r="L4037" s="17">
        <v>160</v>
      </c>
      <c r="M4037" s="15"/>
      <c r="N4037" s="18"/>
      <c r="O4037" s="14"/>
      <c r="P4037" s="17">
        <v>4</v>
      </c>
      <c r="Q4037" s="19">
        <v>160</v>
      </c>
      <c r="R4037" s="14">
        <v>3000</v>
      </c>
      <c r="S4037" s="19">
        <v>480000</v>
      </c>
      <c r="T4037" s="17"/>
      <c r="U4037" s="17"/>
      <c r="V4037" s="17"/>
      <c r="W4037" s="4"/>
      <c r="X4037" s="17"/>
      <c r="Y4037" s="4"/>
      <c r="Z4037" s="17"/>
      <c r="AA4037" s="17"/>
      <c r="AB4037" s="17"/>
      <c r="AC4037" s="14"/>
      <c r="AD4037" s="14"/>
      <c r="AE4037" s="17"/>
      <c r="AF4037" s="14"/>
      <c r="AG4037" s="54"/>
      <c r="AH4037" s="11"/>
      <c r="AI4037" s="14"/>
      <c r="AJ4037" s="19">
        <v>0</v>
      </c>
      <c r="AK4037" s="23">
        <v>0</v>
      </c>
      <c r="AL4037" s="11"/>
      <c r="AM4037" s="19">
        <v>0</v>
      </c>
      <c r="AN4037" s="19">
        <v>480000</v>
      </c>
      <c r="AO4037" s="14"/>
      <c r="AP4037" s="14">
        <v>480000</v>
      </c>
      <c r="AQ4037" s="12"/>
      <c r="AS4037" s="26"/>
    </row>
    <row r="4038" spans="1:45" s="19" customFormat="1" x14ac:dyDescent="0.2">
      <c r="A4038" s="121">
        <f t="shared" si="500"/>
        <v>3447</v>
      </c>
      <c r="B4038" s="13">
        <v>3</v>
      </c>
      <c r="C4038" s="17" t="s">
        <v>52</v>
      </c>
      <c r="D4038" s="17">
        <v>32452</v>
      </c>
      <c r="E4038" s="17">
        <v>330</v>
      </c>
      <c r="F4038" s="17">
        <v>6424</v>
      </c>
      <c r="G4038" s="13">
        <v>1</v>
      </c>
      <c r="H4038" s="17">
        <v>0</v>
      </c>
      <c r="I4038" s="17">
        <v>0</v>
      </c>
      <c r="J4038" s="17">
        <v>77</v>
      </c>
      <c r="K4038" s="10"/>
      <c r="L4038" s="17"/>
      <c r="M4038" s="15"/>
      <c r="N4038" s="18">
        <v>77</v>
      </c>
      <c r="O4038" s="14"/>
      <c r="P4038" s="17">
        <v>4</v>
      </c>
      <c r="Q4038" s="19">
        <v>77</v>
      </c>
      <c r="R4038" s="14">
        <v>250</v>
      </c>
      <c r="S4038" s="19">
        <v>19250</v>
      </c>
      <c r="T4038" s="17"/>
      <c r="U4038" s="17"/>
      <c r="V4038" s="17"/>
      <c r="W4038" s="4"/>
      <c r="X4038" s="17"/>
      <c r="Y4038" s="4"/>
      <c r="Z4038" s="17"/>
      <c r="AA4038" s="17"/>
      <c r="AB4038" s="17"/>
      <c r="AC4038" s="14"/>
      <c r="AD4038" s="14"/>
      <c r="AE4038" s="17"/>
      <c r="AF4038" s="14"/>
      <c r="AG4038" s="54"/>
      <c r="AH4038" s="11"/>
      <c r="AI4038" s="14"/>
      <c r="AJ4038" s="19">
        <v>0</v>
      </c>
      <c r="AK4038" s="23">
        <v>0</v>
      </c>
      <c r="AL4038" s="11"/>
      <c r="AM4038" s="19">
        <v>0</v>
      </c>
      <c r="AN4038" s="19">
        <v>19250</v>
      </c>
      <c r="AO4038" s="14"/>
      <c r="AP4038" s="14">
        <v>19250</v>
      </c>
      <c r="AQ4038" s="12">
        <v>3.0000000000000001E-3</v>
      </c>
      <c r="AS4038" s="26"/>
    </row>
    <row r="4039" spans="1:45" s="19" customFormat="1" x14ac:dyDescent="0.2">
      <c r="A4039" s="121">
        <f t="shared" si="500"/>
        <v>3448</v>
      </c>
      <c r="B4039" s="13">
        <v>4</v>
      </c>
      <c r="C4039" s="17" t="s">
        <v>52</v>
      </c>
      <c r="D4039" s="17">
        <v>32453</v>
      </c>
      <c r="E4039" s="17">
        <v>331</v>
      </c>
      <c r="F4039" s="17">
        <v>6425</v>
      </c>
      <c r="G4039" s="13">
        <v>1</v>
      </c>
      <c r="H4039" s="17">
        <v>0</v>
      </c>
      <c r="I4039" s="17">
        <v>0</v>
      </c>
      <c r="J4039" s="17">
        <v>40</v>
      </c>
      <c r="K4039" s="10"/>
      <c r="L4039" s="17"/>
      <c r="M4039" s="15"/>
      <c r="N4039" s="18">
        <v>40</v>
      </c>
      <c r="O4039" s="14"/>
      <c r="P4039" s="17">
        <v>4</v>
      </c>
      <c r="Q4039" s="19">
        <v>40</v>
      </c>
      <c r="R4039" s="14">
        <v>250</v>
      </c>
      <c r="S4039" s="19">
        <v>10000</v>
      </c>
      <c r="T4039" s="17"/>
      <c r="U4039" s="17"/>
      <c r="V4039" s="17"/>
      <c r="W4039" s="4"/>
      <c r="X4039" s="17"/>
      <c r="Y4039" s="4"/>
      <c r="Z4039" s="17"/>
      <c r="AA4039" s="17"/>
      <c r="AB4039" s="17"/>
      <c r="AC4039" s="14"/>
      <c r="AD4039" s="14"/>
      <c r="AE4039" s="17"/>
      <c r="AF4039" s="14"/>
      <c r="AG4039" s="54"/>
      <c r="AH4039" s="11"/>
      <c r="AI4039" s="14"/>
      <c r="AJ4039" s="19">
        <v>0</v>
      </c>
      <c r="AK4039" s="23">
        <v>0</v>
      </c>
      <c r="AL4039" s="11"/>
      <c r="AM4039" s="19">
        <v>0</v>
      </c>
      <c r="AN4039" s="19">
        <v>10000</v>
      </c>
      <c r="AO4039" s="14"/>
      <c r="AP4039" s="14">
        <v>10000</v>
      </c>
      <c r="AQ4039" s="12">
        <v>3.0000000000000001E-3</v>
      </c>
      <c r="AS4039" s="26"/>
    </row>
    <row r="4040" spans="1:45" s="19" customFormat="1" x14ac:dyDescent="0.2">
      <c r="A4040" s="121">
        <f t="shared" si="500"/>
        <v>3449</v>
      </c>
      <c r="B4040" s="13">
        <v>1</v>
      </c>
      <c r="C4040" s="17" t="s">
        <v>52</v>
      </c>
      <c r="D4040" s="17">
        <v>1078</v>
      </c>
      <c r="E4040" s="17">
        <v>65</v>
      </c>
      <c r="F4040" s="17">
        <v>694</v>
      </c>
      <c r="G4040" s="13">
        <v>1</v>
      </c>
      <c r="H4040" s="17">
        <v>1</v>
      </c>
      <c r="I4040" s="17">
        <v>2</v>
      </c>
      <c r="J4040" s="17">
        <v>48</v>
      </c>
      <c r="K4040" s="10">
        <v>648</v>
      </c>
      <c r="L4040" s="17"/>
      <c r="M4040" s="15"/>
      <c r="N4040" s="18"/>
      <c r="O4040" s="14"/>
      <c r="P4040" s="17">
        <v>1</v>
      </c>
      <c r="Q4040" s="19">
        <v>648</v>
      </c>
      <c r="R4040" s="14">
        <v>200</v>
      </c>
      <c r="S4040" s="19">
        <v>129600</v>
      </c>
      <c r="T4040" s="17"/>
      <c r="U4040" s="17"/>
      <c r="V4040" s="17"/>
      <c r="W4040" s="4"/>
      <c r="X4040" s="17"/>
      <c r="Y4040" s="4"/>
      <c r="Z4040" s="17"/>
      <c r="AA4040" s="17"/>
      <c r="AB4040" s="17"/>
      <c r="AC4040" s="14"/>
      <c r="AD4040" s="14"/>
      <c r="AE4040" s="17"/>
      <c r="AF4040" s="14"/>
      <c r="AG4040" s="54"/>
      <c r="AH4040" s="11"/>
      <c r="AI4040" s="14"/>
      <c r="AJ4040" s="19">
        <v>0</v>
      </c>
      <c r="AK4040" s="23">
        <v>0</v>
      </c>
      <c r="AL4040" s="11"/>
      <c r="AM4040" s="19">
        <v>0</v>
      </c>
      <c r="AN4040" s="19">
        <v>129600</v>
      </c>
      <c r="AO4040" s="14"/>
      <c r="AP4040" s="14">
        <v>129600</v>
      </c>
      <c r="AQ4040" s="12"/>
      <c r="AS4040" s="26"/>
    </row>
    <row r="4041" spans="1:45" s="19" customFormat="1" x14ac:dyDescent="0.2">
      <c r="A4041" s="121">
        <f>+A4040+1</f>
        <v>3450</v>
      </c>
      <c r="B4041" s="13">
        <v>2</v>
      </c>
      <c r="C4041" s="17" t="s">
        <v>52</v>
      </c>
      <c r="D4041" s="17">
        <v>34193</v>
      </c>
      <c r="E4041" s="17">
        <v>355</v>
      </c>
      <c r="F4041" s="17">
        <v>6808</v>
      </c>
      <c r="G4041" s="13">
        <v>1</v>
      </c>
      <c r="H4041" s="17">
        <v>2</v>
      </c>
      <c r="I4041" s="17">
        <v>3</v>
      </c>
      <c r="J4041" s="17">
        <v>64</v>
      </c>
      <c r="K4041" s="10">
        <v>1164</v>
      </c>
      <c r="L4041" s="17"/>
      <c r="M4041" s="15"/>
      <c r="N4041" s="18"/>
      <c r="O4041" s="14"/>
      <c r="P4041" s="17">
        <v>1</v>
      </c>
      <c r="Q4041" s="19">
        <v>1164</v>
      </c>
      <c r="R4041" s="14">
        <v>160</v>
      </c>
      <c r="S4041" s="19">
        <v>186240</v>
      </c>
      <c r="T4041" s="17"/>
      <c r="U4041" s="17"/>
      <c r="V4041" s="17"/>
      <c r="W4041" s="4"/>
      <c r="X4041" s="17"/>
      <c r="Y4041" s="4"/>
      <c r="Z4041" s="17"/>
      <c r="AA4041" s="17"/>
      <c r="AB4041" s="17"/>
      <c r="AC4041" s="14"/>
      <c r="AD4041" s="14"/>
      <c r="AE4041" s="17" t="s">
        <v>341</v>
      </c>
      <c r="AF4041" s="14"/>
      <c r="AG4041" s="54"/>
      <c r="AH4041" s="11"/>
      <c r="AI4041" s="14"/>
      <c r="AJ4041" s="19">
        <v>0</v>
      </c>
      <c r="AK4041" s="23">
        <v>0</v>
      </c>
      <c r="AL4041" s="11"/>
      <c r="AM4041" s="19">
        <v>0</v>
      </c>
      <c r="AN4041" s="19">
        <v>186240</v>
      </c>
      <c r="AO4041" s="14"/>
      <c r="AP4041" s="14">
        <v>186240</v>
      </c>
      <c r="AQ4041" s="12"/>
      <c r="AS4041" s="26"/>
    </row>
    <row r="4042" spans="1:45" s="19" customFormat="1" x14ac:dyDescent="0.2">
      <c r="A4042" s="121">
        <f t="shared" si="500"/>
        <v>3451</v>
      </c>
      <c r="B4042" s="13">
        <v>3</v>
      </c>
      <c r="C4042" s="17" t="s">
        <v>52</v>
      </c>
      <c r="D4042" s="17">
        <v>35450</v>
      </c>
      <c r="E4042" s="17">
        <v>368</v>
      </c>
      <c r="F4042" s="17">
        <v>7054</v>
      </c>
      <c r="G4042" s="13">
        <v>1</v>
      </c>
      <c r="H4042" s="17">
        <v>0</v>
      </c>
      <c r="I4042" s="17">
        <v>3</v>
      </c>
      <c r="J4042" s="17">
        <v>90</v>
      </c>
      <c r="K4042" s="10" t="s">
        <v>342</v>
      </c>
      <c r="L4042" s="17"/>
      <c r="M4042" s="15"/>
      <c r="N4042" s="18"/>
      <c r="O4042" s="14"/>
      <c r="P4042" s="17">
        <v>1</v>
      </c>
      <c r="Q4042" s="19">
        <v>390</v>
      </c>
      <c r="R4042" s="14">
        <v>160</v>
      </c>
      <c r="S4042" s="19">
        <v>62400</v>
      </c>
      <c r="T4042" s="17"/>
      <c r="U4042" s="17"/>
      <c r="V4042" s="17"/>
      <c r="W4042" s="4"/>
      <c r="X4042" s="17"/>
      <c r="Y4042" s="4"/>
      <c r="Z4042" s="17"/>
      <c r="AA4042" s="17"/>
      <c r="AB4042" s="17"/>
      <c r="AC4042" s="14"/>
      <c r="AD4042" s="14"/>
      <c r="AE4042" s="17"/>
      <c r="AF4042" s="14"/>
      <c r="AG4042" s="54"/>
      <c r="AH4042" s="11"/>
      <c r="AI4042" s="14"/>
      <c r="AJ4042" s="19">
        <v>0</v>
      </c>
      <c r="AK4042" s="23">
        <v>0</v>
      </c>
      <c r="AL4042" s="11"/>
      <c r="AM4042" s="19">
        <v>0</v>
      </c>
      <c r="AN4042" s="19">
        <v>62400</v>
      </c>
      <c r="AO4042" s="14"/>
      <c r="AP4042" s="14">
        <v>62400</v>
      </c>
      <c r="AQ4042" s="12">
        <v>3.0000000000000001E-3</v>
      </c>
      <c r="AS4042" s="26"/>
    </row>
    <row r="4043" spans="1:45" s="19" customFormat="1" x14ac:dyDescent="0.2">
      <c r="A4043" s="121">
        <f t="shared" si="500"/>
        <v>3452</v>
      </c>
      <c r="B4043" s="13">
        <v>4</v>
      </c>
      <c r="C4043" s="17" t="s">
        <v>69</v>
      </c>
      <c r="D4043" s="17"/>
      <c r="E4043" s="17">
        <v>2328</v>
      </c>
      <c r="F4043" s="17">
        <v>17</v>
      </c>
      <c r="G4043" s="13">
        <v>1</v>
      </c>
      <c r="H4043" s="17">
        <v>13</v>
      </c>
      <c r="I4043" s="17">
        <v>2</v>
      </c>
      <c r="J4043" s="17">
        <v>49</v>
      </c>
      <c r="K4043" s="10">
        <v>5449</v>
      </c>
      <c r="L4043" s="17"/>
      <c r="M4043" s="15"/>
      <c r="N4043" s="18"/>
      <c r="O4043" s="14"/>
      <c r="P4043" s="17">
        <v>1</v>
      </c>
      <c r="Q4043" s="19">
        <v>5449</v>
      </c>
      <c r="R4043" s="14">
        <v>160</v>
      </c>
      <c r="S4043" s="19">
        <v>871840</v>
      </c>
      <c r="T4043" s="17"/>
      <c r="U4043" s="17"/>
      <c r="V4043" s="17"/>
      <c r="W4043" s="4"/>
      <c r="X4043" s="17"/>
      <c r="Y4043" s="4"/>
      <c r="Z4043" s="17"/>
      <c r="AA4043" s="17"/>
      <c r="AB4043" s="17"/>
      <c r="AC4043" s="14"/>
      <c r="AD4043" s="14"/>
      <c r="AE4043" s="17"/>
      <c r="AF4043" s="14"/>
      <c r="AG4043" s="54"/>
      <c r="AH4043" s="11"/>
      <c r="AI4043" s="14"/>
      <c r="AJ4043" s="19">
        <v>0</v>
      </c>
      <c r="AK4043" s="23">
        <v>0</v>
      </c>
      <c r="AL4043" s="11"/>
      <c r="AM4043" s="19">
        <v>0</v>
      </c>
      <c r="AN4043" s="19">
        <v>871840</v>
      </c>
      <c r="AO4043" s="14"/>
      <c r="AP4043" s="14">
        <v>871840</v>
      </c>
      <c r="AQ4043" s="12">
        <v>1E-4</v>
      </c>
      <c r="AS4043" s="26"/>
    </row>
    <row r="4044" spans="1:45" s="19" customFormat="1" ht="63" x14ac:dyDescent="0.2">
      <c r="A4044" s="121">
        <f t="shared" si="500"/>
        <v>3453</v>
      </c>
      <c r="B4044" s="13">
        <v>1</v>
      </c>
      <c r="C4044" s="17" t="s">
        <v>52</v>
      </c>
      <c r="D4044" s="17">
        <v>29224</v>
      </c>
      <c r="E4044" s="17">
        <v>244</v>
      </c>
      <c r="F4044" s="17">
        <v>5419</v>
      </c>
      <c r="G4044" s="13">
        <v>1</v>
      </c>
      <c r="H4044" s="17">
        <v>1</v>
      </c>
      <c r="I4044" s="17">
        <v>1</v>
      </c>
      <c r="J4044" s="17">
        <v>42</v>
      </c>
      <c r="K4044" s="10"/>
      <c r="L4044" s="17">
        <v>542</v>
      </c>
      <c r="M4044" s="15"/>
      <c r="N4044" s="18"/>
      <c r="O4044" s="14"/>
      <c r="P4044" s="17">
        <v>2</v>
      </c>
      <c r="Q4044" s="19">
        <v>542</v>
      </c>
      <c r="R4044" s="14">
        <v>1500</v>
      </c>
      <c r="S4044" s="19">
        <v>813000</v>
      </c>
      <c r="T4044" s="17">
        <v>1</v>
      </c>
      <c r="U4044" s="17" t="s">
        <v>57</v>
      </c>
      <c r="V4044" s="17" t="s">
        <v>56</v>
      </c>
      <c r="W4044" s="4">
        <v>208</v>
      </c>
      <c r="X4044" s="17"/>
      <c r="Y4044" s="4">
        <v>208</v>
      </c>
      <c r="Z4044" s="17"/>
      <c r="AA4044" s="17"/>
      <c r="AB4044" s="17">
        <v>24</v>
      </c>
      <c r="AC4044" s="14"/>
      <c r="AD4044" s="14"/>
      <c r="AE4044" s="17"/>
      <c r="AF4044" s="14"/>
      <c r="AG4044" s="54"/>
      <c r="AH4044" s="11"/>
      <c r="AI4044" s="14"/>
      <c r="AJ4044" s="19">
        <v>0</v>
      </c>
      <c r="AK4044" s="23">
        <v>24</v>
      </c>
      <c r="AL4044" s="11"/>
      <c r="AM4044" s="19">
        <v>0</v>
      </c>
      <c r="AN4044" s="19">
        <v>813000</v>
      </c>
      <c r="AO4044" s="14"/>
      <c r="AP4044" s="14">
        <v>813000</v>
      </c>
      <c r="AQ4044" s="12"/>
      <c r="AS4044" s="26"/>
    </row>
    <row r="4045" spans="1:45" s="19" customFormat="1" ht="63" x14ac:dyDescent="0.2">
      <c r="A4045" s="121">
        <f>+A4044+1</f>
        <v>3454</v>
      </c>
      <c r="B4045" s="13">
        <v>1</v>
      </c>
      <c r="C4045" s="17" t="s">
        <v>52</v>
      </c>
      <c r="D4045" s="17">
        <v>29219</v>
      </c>
      <c r="E4045" s="17">
        <v>243</v>
      </c>
      <c r="F4045" s="17">
        <v>5414</v>
      </c>
      <c r="G4045" s="13">
        <v>1</v>
      </c>
      <c r="H4045" s="17">
        <v>0</v>
      </c>
      <c r="I4045" s="17">
        <v>2</v>
      </c>
      <c r="J4045" s="17">
        <v>58</v>
      </c>
      <c r="K4045" s="10"/>
      <c r="L4045" s="17">
        <v>258</v>
      </c>
      <c r="M4045" s="15"/>
      <c r="N4045" s="18"/>
      <c r="O4045" s="14"/>
      <c r="P4045" s="17">
        <v>2</v>
      </c>
      <c r="Q4045" s="19">
        <v>258</v>
      </c>
      <c r="R4045" s="14">
        <v>1500</v>
      </c>
      <c r="S4045" s="19">
        <v>387000</v>
      </c>
      <c r="T4045" s="17">
        <v>1</v>
      </c>
      <c r="U4045" s="17" t="s">
        <v>57</v>
      </c>
      <c r="V4045" s="17" t="s">
        <v>56</v>
      </c>
      <c r="W4045" s="4">
        <v>207</v>
      </c>
      <c r="X4045" s="17"/>
      <c r="Y4045" s="4">
        <v>207</v>
      </c>
      <c r="Z4045" s="17"/>
      <c r="AA4045" s="17"/>
      <c r="AB4045" s="17">
        <v>17</v>
      </c>
      <c r="AC4045" s="14"/>
      <c r="AD4045" s="14"/>
      <c r="AE4045" s="17"/>
      <c r="AF4045" s="14"/>
      <c r="AG4045" s="54"/>
      <c r="AH4045" s="11"/>
      <c r="AI4045" s="14"/>
      <c r="AJ4045" s="19">
        <v>0</v>
      </c>
      <c r="AK4045" s="23">
        <v>17</v>
      </c>
      <c r="AL4045" s="11"/>
      <c r="AM4045" s="19">
        <v>0</v>
      </c>
      <c r="AN4045" s="19">
        <v>387000</v>
      </c>
      <c r="AO4045" s="14"/>
      <c r="AP4045" s="14">
        <v>387000</v>
      </c>
      <c r="AQ4045" s="12"/>
      <c r="AS4045" s="26"/>
    </row>
    <row r="4046" spans="1:45" s="19" customFormat="1" x14ac:dyDescent="0.2">
      <c r="A4046" s="121">
        <f t="shared" si="500"/>
        <v>3455</v>
      </c>
      <c r="B4046" s="13">
        <v>1</v>
      </c>
      <c r="C4046" s="17" t="s">
        <v>52</v>
      </c>
      <c r="D4046" s="17">
        <v>1069</v>
      </c>
      <c r="E4046" s="17">
        <v>34</v>
      </c>
      <c r="F4046" s="17">
        <v>683</v>
      </c>
      <c r="G4046" s="13">
        <v>1</v>
      </c>
      <c r="H4046" s="17">
        <v>2</v>
      </c>
      <c r="I4046" s="17">
        <v>3</v>
      </c>
      <c r="J4046" s="17">
        <v>29</v>
      </c>
      <c r="K4046" s="10">
        <v>1129</v>
      </c>
      <c r="L4046" s="17"/>
      <c r="M4046" s="15"/>
      <c r="N4046" s="18"/>
      <c r="O4046" s="14"/>
      <c r="P4046" s="17">
        <v>1</v>
      </c>
      <c r="Q4046" s="19">
        <v>1129</v>
      </c>
      <c r="R4046" s="14">
        <v>160</v>
      </c>
      <c r="S4046" s="19">
        <v>180640</v>
      </c>
      <c r="T4046" s="17"/>
      <c r="U4046" s="17"/>
      <c r="V4046" s="17"/>
      <c r="W4046" s="4"/>
      <c r="X4046" s="17"/>
      <c r="Y4046" s="4"/>
      <c r="Z4046" s="17"/>
      <c r="AA4046" s="17"/>
      <c r="AB4046" s="17"/>
      <c r="AC4046" s="14"/>
      <c r="AD4046" s="14"/>
      <c r="AE4046" s="17"/>
      <c r="AF4046" s="14"/>
      <c r="AG4046" s="54"/>
      <c r="AH4046" s="11"/>
      <c r="AI4046" s="14"/>
      <c r="AJ4046" s="19">
        <v>0</v>
      </c>
      <c r="AK4046" s="23">
        <v>0</v>
      </c>
      <c r="AL4046" s="11"/>
      <c r="AM4046" s="19">
        <v>0</v>
      </c>
      <c r="AN4046" s="19">
        <v>180640</v>
      </c>
      <c r="AO4046" s="14"/>
      <c r="AP4046" s="14">
        <v>180640</v>
      </c>
      <c r="AQ4046" s="12"/>
      <c r="AS4046" s="26"/>
    </row>
    <row r="4047" spans="1:45" s="19" customFormat="1" x14ac:dyDescent="0.2">
      <c r="A4047" s="121">
        <f t="shared" si="500"/>
        <v>3456</v>
      </c>
      <c r="B4047" s="13">
        <v>2</v>
      </c>
      <c r="C4047" s="17" t="s">
        <v>52</v>
      </c>
      <c r="D4047" s="17">
        <v>1357</v>
      </c>
      <c r="E4047" s="17">
        <v>33</v>
      </c>
      <c r="F4047" s="17">
        <v>646</v>
      </c>
      <c r="G4047" s="13">
        <v>1</v>
      </c>
      <c r="H4047" s="17">
        <v>6</v>
      </c>
      <c r="I4047" s="17">
        <v>0</v>
      </c>
      <c r="J4047" s="17">
        <v>96</v>
      </c>
      <c r="K4047" s="10">
        <v>2496</v>
      </c>
      <c r="L4047" s="17"/>
      <c r="M4047" s="15"/>
      <c r="N4047" s="18"/>
      <c r="O4047" s="14"/>
      <c r="P4047" s="17">
        <v>1</v>
      </c>
      <c r="Q4047" s="19">
        <v>2496</v>
      </c>
      <c r="R4047" s="14">
        <v>160</v>
      </c>
      <c r="S4047" s="19">
        <v>399360</v>
      </c>
      <c r="T4047" s="17"/>
      <c r="U4047" s="17"/>
      <c r="V4047" s="17"/>
      <c r="W4047" s="4"/>
      <c r="X4047" s="17"/>
      <c r="Y4047" s="4"/>
      <c r="Z4047" s="17"/>
      <c r="AA4047" s="17"/>
      <c r="AB4047" s="17"/>
      <c r="AC4047" s="14"/>
      <c r="AD4047" s="14"/>
      <c r="AE4047" s="17"/>
      <c r="AF4047" s="14"/>
      <c r="AG4047" s="54"/>
      <c r="AH4047" s="11"/>
      <c r="AI4047" s="14"/>
      <c r="AJ4047" s="19">
        <v>0</v>
      </c>
      <c r="AK4047" s="23">
        <v>0</v>
      </c>
      <c r="AL4047" s="11"/>
      <c r="AM4047" s="19">
        <v>0</v>
      </c>
      <c r="AN4047" s="19">
        <v>399360</v>
      </c>
      <c r="AO4047" s="14"/>
      <c r="AP4047" s="14">
        <v>399360</v>
      </c>
      <c r="AQ4047" s="12"/>
      <c r="AS4047" s="26"/>
    </row>
    <row r="4048" spans="1:45" s="19" customFormat="1" x14ac:dyDescent="0.2">
      <c r="A4048" s="121">
        <f t="shared" si="500"/>
        <v>3457</v>
      </c>
      <c r="B4048" s="13">
        <v>3</v>
      </c>
      <c r="C4048" s="17" t="s">
        <v>52</v>
      </c>
      <c r="D4048" s="17">
        <v>1371</v>
      </c>
      <c r="E4048" s="17">
        <v>57</v>
      </c>
      <c r="F4048" s="17">
        <v>661</v>
      </c>
      <c r="G4048" s="13">
        <v>1</v>
      </c>
      <c r="H4048" s="17">
        <v>5</v>
      </c>
      <c r="I4048" s="17">
        <v>2</v>
      </c>
      <c r="J4048" s="17">
        <v>61</v>
      </c>
      <c r="K4048" s="10">
        <v>2261</v>
      </c>
      <c r="L4048" s="17"/>
      <c r="M4048" s="15"/>
      <c r="N4048" s="18"/>
      <c r="O4048" s="14"/>
      <c r="P4048" s="17">
        <v>1</v>
      </c>
      <c r="Q4048" s="19">
        <v>2261</v>
      </c>
      <c r="R4048" s="14">
        <v>160</v>
      </c>
      <c r="S4048" s="19">
        <v>361760</v>
      </c>
      <c r="T4048" s="17"/>
      <c r="U4048" s="17"/>
      <c r="V4048" s="17"/>
      <c r="W4048" s="4"/>
      <c r="X4048" s="17"/>
      <c r="Y4048" s="4"/>
      <c r="Z4048" s="17"/>
      <c r="AA4048" s="17"/>
      <c r="AB4048" s="17"/>
      <c r="AC4048" s="14"/>
      <c r="AD4048" s="14"/>
      <c r="AE4048" s="17"/>
      <c r="AF4048" s="14"/>
      <c r="AG4048" s="54"/>
      <c r="AH4048" s="11"/>
      <c r="AI4048" s="14"/>
      <c r="AJ4048" s="19">
        <v>0</v>
      </c>
      <c r="AK4048" s="23">
        <v>0</v>
      </c>
      <c r="AL4048" s="11"/>
      <c r="AM4048" s="19">
        <v>0</v>
      </c>
      <c r="AN4048" s="19">
        <v>361760</v>
      </c>
      <c r="AO4048" s="14"/>
      <c r="AP4048" s="14">
        <v>361760</v>
      </c>
      <c r="AQ4048" s="12"/>
      <c r="AS4048" s="26"/>
    </row>
    <row r="4049" spans="1:45" x14ac:dyDescent="0.2">
      <c r="A4049" s="121">
        <f t="shared" si="500"/>
        <v>3458</v>
      </c>
      <c r="B4049" s="13">
        <v>4</v>
      </c>
      <c r="C4049" s="17" t="s">
        <v>52</v>
      </c>
      <c r="D4049" s="17">
        <v>2908</v>
      </c>
      <c r="E4049" s="17">
        <v>15</v>
      </c>
      <c r="F4049" s="17">
        <v>1991</v>
      </c>
      <c r="G4049" s="13">
        <v>1</v>
      </c>
      <c r="H4049" s="17">
        <v>4</v>
      </c>
      <c r="I4049" s="17">
        <v>1</v>
      </c>
      <c r="J4049" s="17">
        <v>62</v>
      </c>
      <c r="K4049" s="10">
        <v>1762</v>
      </c>
      <c r="Q4049" s="19">
        <v>1762</v>
      </c>
      <c r="R4049" s="14">
        <v>160</v>
      </c>
      <c r="S4049" s="19">
        <v>281920</v>
      </c>
      <c r="AE4049" s="17" t="s">
        <v>343</v>
      </c>
      <c r="AJ4049" s="19">
        <v>0</v>
      </c>
      <c r="AK4049" s="23">
        <v>0</v>
      </c>
      <c r="AM4049" s="19">
        <v>0</v>
      </c>
      <c r="AN4049" s="19">
        <v>281920</v>
      </c>
      <c r="AP4049" s="14">
        <v>281920</v>
      </c>
    </row>
    <row r="4050" spans="1:45" x14ac:dyDescent="0.2">
      <c r="A4050" s="121">
        <f t="shared" si="500"/>
        <v>3459</v>
      </c>
      <c r="B4050" s="13">
        <v>5</v>
      </c>
      <c r="C4050" s="17" t="s">
        <v>52</v>
      </c>
      <c r="D4050" s="17">
        <v>4619</v>
      </c>
      <c r="E4050" s="17">
        <v>82</v>
      </c>
      <c r="F4050" s="17">
        <v>2439</v>
      </c>
      <c r="G4050" s="13">
        <v>1</v>
      </c>
      <c r="H4050" s="17">
        <v>3</v>
      </c>
      <c r="I4050" s="17">
        <v>0</v>
      </c>
      <c r="J4050" s="17">
        <v>8</v>
      </c>
      <c r="K4050" s="10">
        <v>1208</v>
      </c>
      <c r="Q4050" s="19">
        <v>1208</v>
      </c>
      <c r="R4050" s="14">
        <v>160</v>
      </c>
      <c r="S4050" s="19">
        <v>193280</v>
      </c>
      <c r="AJ4050" s="19">
        <v>0</v>
      </c>
      <c r="AK4050" s="23">
        <v>0</v>
      </c>
      <c r="AM4050" s="19">
        <v>0</v>
      </c>
      <c r="AN4050" s="19">
        <v>193280</v>
      </c>
      <c r="AP4050" s="14">
        <v>193280</v>
      </c>
    </row>
    <row r="4051" spans="1:45" ht="63" x14ac:dyDescent="0.2">
      <c r="A4051" s="121">
        <f t="shared" si="500"/>
        <v>3460</v>
      </c>
      <c r="B4051" s="13">
        <v>1</v>
      </c>
      <c r="C4051" s="17" t="s">
        <v>52</v>
      </c>
      <c r="D4051" s="17">
        <v>29232</v>
      </c>
      <c r="E4051" s="17">
        <v>251</v>
      </c>
      <c r="F4051" s="17">
        <v>5427</v>
      </c>
      <c r="G4051" s="13">
        <v>1</v>
      </c>
      <c r="H4051" s="17">
        <v>3</v>
      </c>
      <c r="I4051" s="17">
        <v>2</v>
      </c>
      <c r="J4051" s="17">
        <v>42</v>
      </c>
      <c r="K4051" s="10">
        <v>1385.75</v>
      </c>
      <c r="L4051" s="17">
        <v>42.75</v>
      </c>
      <c r="P4051" s="17">
        <v>5</v>
      </c>
      <c r="Q4051" s="19">
        <v>1442</v>
      </c>
      <c r="R4051" s="14">
        <v>2250</v>
      </c>
      <c r="S4051" s="19">
        <v>3244500</v>
      </c>
      <c r="T4051" s="17">
        <v>1</v>
      </c>
      <c r="U4051" s="17" t="s">
        <v>57</v>
      </c>
      <c r="V4051" s="17" t="s">
        <v>56</v>
      </c>
      <c r="W4051" s="4">
        <v>171</v>
      </c>
      <c r="Y4051" s="4">
        <v>171</v>
      </c>
      <c r="AB4051" s="17">
        <v>37</v>
      </c>
      <c r="AJ4051" s="19">
        <v>0</v>
      </c>
      <c r="AK4051" s="23">
        <v>37</v>
      </c>
      <c r="AM4051" s="19">
        <v>0</v>
      </c>
      <c r="AN4051" s="19">
        <v>3244500</v>
      </c>
      <c r="AP4051" s="14">
        <v>3244500</v>
      </c>
    </row>
    <row r="4052" spans="1:45" ht="63" x14ac:dyDescent="0.2">
      <c r="L4052" s="17">
        <v>13.5</v>
      </c>
      <c r="Q4052" s="19">
        <v>0</v>
      </c>
      <c r="R4052" s="14" t="e">
        <v>#N/A</v>
      </c>
      <c r="S4052" s="19" t="e">
        <v>#N/A</v>
      </c>
      <c r="T4052" s="17">
        <v>2</v>
      </c>
      <c r="U4052" s="17" t="s">
        <v>57</v>
      </c>
      <c r="V4052" s="17" t="s">
        <v>56</v>
      </c>
      <c r="W4052" s="4">
        <v>54</v>
      </c>
      <c r="Y4052" s="4">
        <v>54</v>
      </c>
      <c r="AB4052" s="17">
        <v>3</v>
      </c>
      <c r="AJ4052" s="19">
        <v>0</v>
      </c>
      <c r="AK4052" s="23">
        <v>3</v>
      </c>
      <c r="AM4052" s="19">
        <v>0</v>
      </c>
      <c r="AN4052" s="19" t="e">
        <v>#N/A</v>
      </c>
      <c r="AP4052" s="14" t="e">
        <v>#N/A</v>
      </c>
    </row>
    <row r="4053" spans="1:45" x14ac:dyDescent="0.2">
      <c r="A4053" s="2">
        <v>3461</v>
      </c>
      <c r="B4053" s="13">
        <v>1</v>
      </c>
      <c r="C4053" s="17" t="s">
        <v>52</v>
      </c>
      <c r="D4053" s="17">
        <v>20999</v>
      </c>
      <c r="E4053" s="17">
        <v>104</v>
      </c>
      <c r="F4053" s="17">
        <v>4628</v>
      </c>
      <c r="G4053" s="13">
        <v>1</v>
      </c>
      <c r="H4053" s="17">
        <v>0</v>
      </c>
      <c r="I4053" s="17">
        <v>3</v>
      </c>
      <c r="J4053" s="17">
        <v>56</v>
      </c>
      <c r="N4053" s="18">
        <v>356</v>
      </c>
      <c r="P4053" s="17">
        <v>1</v>
      </c>
      <c r="Q4053" s="19">
        <v>356</v>
      </c>
      <c r="R4053" s="14">
        <v>160</v>
      </c>
      <c r="S4053" s="19">
        <v>56960</v>
      </c>
      <c r="AJ4053" s="19">
        <v>0</v>
      </c>
      <c r="AK4053" s="23">
        <v>0</v>
      </c>
      <c r="AM4053" s="19">
        <v>0</v>
      </c>
      <c r="AN4053" s="19">
        <v>56960</v>
      </c>
      <c r="AP4053" s="14">
        <v>56960</v>
      </c>
      <c r="AQ4053" s="12">
        <v>3.0000000000000001E-3</v>
      </c>
    </row>
    <row r="4054" spans="1:45" x14ac:dyDescent="0.2">
      <c r="A4054" s="2">
        <v>3462</v>
      </c>
      <c r="B4054" s="13">
        <v>1</v>
      </c>
      <c r="C4054" s="17" t="s">
        <v>65</v>
      </c>
      <c r="D4054" s="17">
        <v>566</v>
      </c>
      <c r="E4054" s="17">
        <v>172</v>
      </c>
      <c r="H4054" s="17">
        <v>3</v>
      </c>
      <c r="I4054" s="17">
        <v>1</v>
      </c>
      <c r="J4054" s="17">
        <v>2</v>
      </c>
      <c r="K4054" s="10">
        <v>1247</v>
      </c>
      <c r="L4054" s="17">
        <v>55</v>
      </c>
      <c r="P4054" s="17">
        <v>5</v>
      </c>
      <c r="Q4054" s="19">
        <v>1302</v>
      </c>
      <c r="R4054" s="14">
        <v>750</v>
      </c>
      <c r="S4054" s="19">
        <v>976500</v>
      </c>
    </row>
    <row r="4055" spans="1:45" x14ac:dyDescent="0.2">
      <c r="P4055" s="17">
        <v>1</v>
      </c>
      <c r="Q4055" s="19">
        <v>1247</v>
      </c>
      <c r="R4055" s="14">
        <v>750</v>
      </c>
      <c r="S4055" s="19">
        <v>935250</v>
      </c>
      <c r="AJ4055" s="19">
        <v>0</v>
      </c>
      <c r="AK4055" s="23">
        <v>0</v>
      </c>
      <c r="AM4055" s="19">
        <v>0</v>
      </c>
      <c r="AN4055" s="19">
        <v>935250</v>
      </c>
      <c r="AP4055" s="14">
        <v>935250</v>
      </c>
      <c r="AQ4055" s="12">
        <v>1E-4</v>
      </c>
    </row>
    <row r="4056" spans="1:45" x14ac:dyDescent="0.2">
      <c r="P4056" s="17">
        <v>2</v>
      </c>
      <c r="Q4056" s="19">
        <v>55</v>
      </c>
      <c r="R4056" s="14">
        <v>750</v>
      </c>
      <c r="S4056" s="19">
        <v>41250</v>
      </c>
      <c r="AJ4056" s="19">
        <v>0</v>
      </c>
      <c r="AK4056" s="23">
        <v>0</v>
      </c>
      <c r="AM4056" s="19">
        <v>0</v>
      </c>
      <c r="AN4056" s="19">
        <v>41250</v>
      </c>
      <c r="AP4056" s="14">
        <v>41250</v>
      </c>
      <c r="AQ4056" s="12">
        <v>2.0000000000000001E-4</v>
      </c>
    </row>
    <row r="4057" spans="1:45" ht="63" x14ac:dyDescent="0.2">
      <c r="T4057" s="17">
        <v>1</v>
      </c>
      <c r="U4057" s="17" t="s">
        <v>63</v>
      </c>
      <c r="V4057" s="17" t="s">
        <v>56</v>
      </c>
      <c r="W4057" s="4">
        <v>220</v>
      </c>
      <c r="Y4057" s="4">
        <v>220</v>
      </c>
      <c r="AB4057" s="17">
        <v>31</v>
      </c>
    </row>
    <row r="4058" spans="1:45" x14ac:dyDescent="0.2">
      <c r="A4058" s="2">
        <v>3463</v>
      </c>
      <c r="B4058" s="13">
        <v>1</v>
      </c>
      <c r="C4058" s="17" t="s">
        <v>52</v>
      </c>
      <c r="D4058" s="17">
        <v>1088</v>
      </c>
      <c r="E4058" s="17">
        <v>30</v>
      </c>
      <c r="F4058" s="17">
        <v>958</v>
      </c>
      <c r="G4058" s="13">
        <v>1</v>
      </c>
      <c r="H4058" s="17">
        <v>11</v>
      </c>
      <c r="I4058" s="17">
        <v>2</v>
      </c>
      <c r="J4058" s="17">
        <v>22</v>
      </c>
      <c r="K4058" s="10">
        <v>4622</v>
      </c>
      <c r="P4058" s="17">
        <v>1</v>
      </c>
      <c r="Q4058" s="19">
        <v>4622</v>
      </c>
      <c r="R4058" s="14">
        <v>200</v>
      </c>
      <c r="S4058" s="19">
        <v>924400</v>
      </c>
      <c r="AJ4058" s="19">
        <v>0</v>
      </c>
      <c r="AK4058" s="23">
        <v>0</v>
      </c>
      <c r="AM4058" s="19">
        <v>0</v>
      </c>
      <c r="AN4058" s="19">
        <v>924400</v>
      </c>
      <c r="AP4058" s="14">
        <v>924400</v>
      </c>
      <c r="AS4058" s="26">
        <v>65</v>
      </c>
    </row>
    <row r="4059" spans="1:45" x14ac:dyDescent="0.2">
      <c r="A4059" s="2">
        <f>+A4058+1</f>
        <v>3464</v>
      </c>
      <c r="B4059" s="13">
        <v>1</v>
      </c>
      <c r="C4059" s="17" t="s">
        <v>65</v>
      </c>
      <c r="D4059" s="17">
        <v>3582</v>
      </c>
      <c r="E4059" s="17">
        <v>424</v>
      </c>
      <c r="H4059" s="17">
        <v>4</v>
      </c>
      <c r="I4059" s="17">
        <v>1</v>
      </c>
      <c r="J4059" s="17">
        <v>27</v>
      </c>
      <c r="K4059" s="10">
        <v>1727</v>
      </c>
      <c r="P4059" s="17">
        <v>1</v>
      </c>
      <c r="Q4059" s="19">
        <v>1727</v>
      </c>
      <c r="R4059" s="14">
        <v>200</v>
      </c>
      <c r="S4059" s="19">
        <v>345400</v>
      </c>
      <c r="AJ4059" s="19">
        <v>0</v>
      </c>
      <c r="AK4059" s="23">
        <v>0</v>
      </c>
      <c r="AM4059" s="19">
        <v>0</v>
      </c>
      <c r="AN4059" s="19">
        <v>345400</v>
      </c>
      <c r="AP4059" s="14">
        <v>345400</v>
      </c>
      <c r="AQ4059" s="12">
        <v>1E-4</v>
      </c>
      <c r="AS4059" s="26">
        <v>24</v>
      </c>
    </row>
    <row r="4060" spans="1:45" ht="63" x14ac:dyDescent="0.2">
      <c r="A4060" s="121">
        <f t="shared" ref="A4060:A4062" si="501">+A4059+1</f>
        <v>3465</v>
      </c>
      <c r="B4060" s="13">
        <v>1</v>
      </c>
      <c r="C4060" s="17" t="s">
        <v>52</v>
      </c>
      <c r="D4060" s="17">
        <v>10382</v>
      </c>
      <c r="E4060" s="17">
        <v>158</v>
      </c>
      <c r="F4060" s="17">
        <v>3095</v>
      </c>
      <c r="G4060" s="13">
        <v>1</v>
      </c>
      <c r="H4060" s="17">
        <v>0</v>
      </c>
      <c r="I4060" s="17">
        <v>0</v>
      </c>
      <c r="J4060" s="17">
        <v>90.07</v>
      </c>
      <c r="L4060" s="17">
        <v>65.069999999999993</v>
      </c>
      <c r="P4060" s="17">
        <v>2</v>
      </c>
      <c r="Q4060" s="19">
        <v>90.07</v>
      </c>
      <c r="R4060" s="14">
        <v>160</v>
      </c>
      <c r="S4060" s="19">
        <v>14411.199999999999</v>
      </c>
      <c r="T4060" s="17">
        <v>1</v>
      </c>
      <c r="U4060" s="17" t="s">
        <v>63</v>
      </c>
      <c r="V4060" s="17" t="s">
        <v>56</v>
      </c>
      <c r="W4060" s="4">
        <v>125</v>
      </c>
      <c r="Y4060" s="4">
        <v>125</v>
      </c>
      <c r="AB4060" s="17">
        <v>21</v>
      </c>
      <c r="AJ4060" s="19">
        <v>0</v>
      </c>
      <c r="AK4060" s="23">
        <v>21</v>
      </c>
      <c r="AM4060" s="19">
        <v>0</v>
      </c>
      <c r="AN4060" s="19">
        <v>14411.199999999999</v>
      </c>
      <c r="AP4060" s="14">
        <v>14411.199999999999</v>
      </c>
    </row>
    <row r="4061" spans="1:45" ht="63" x14ac:dyDescent="0.2">
      <c r="A4061" s="121">
        <f t="shared" si="501"/>
        <v>3466</v>
      </c>
      <c r="B4061" s="13">
        <v>1</v>
      </c>
      <c r="C4061" s="17" t="s">
        <v>52</v>
      </c>
      <c r="D4061" s="17">
        <v>1153</v>
      </c>
      <c r="E4061" s="17">
        <v>23</v>
      </c>
      <c r="F4061" s="17">
        <v>970</v>
      </c>
      <c r="G4061" s="13">
        <v>1</v>
      </c>
      <c r="H4061" s="17">
        <v>3</v>
      </c>
      <c r="I4061" s="17">
        <v>1</v>
      </c>
      <c r="J4061" s="17">
        <v>95.03</v>
      </c>
      <c r="L4061" s="17">
        <v>25</v>
      </c>
      <c r="P4061" s="17">
        <v>2</v>
      </c>
      <c r="Q4061" s="19">
        <v>1395.03</v>
      </c>
      <c r="R4061" s="14">
        <v>160</v>
      </c>
      <c r="S4061" s="19">
        <v>223204.8</v>
      </c>
      <c r="T4061" s="17">
        <v>2</v>
      </c>
      <c r="U4061" s="17" t="s">
        <v>63</v>
      </c>
      <c r="V4061" s="17" t="s">
        <v>56</v>
      </c>
      <c r="W4061" s="4">
        <v>100</v>
      </c>
      <c r="Y4061" s="4">
        <v>100</v>
      </c>
      <c r="AB4061" s="17">
        <v>21</v>
      </c>
      <c r="AJ4061" s="19">
        <v>0</v>
      </c>
      <c r="AK4061" s="23">
        <v>21</v>
      </c>
      <c r="AM4061" s="19">
        <v>0</v>
      </c>
      <c r="AN4061" s="19">
        <v>223204.8</v>
      </c>
      <c r="AP4061" s="14">
        <v>223204.8</v>
      </c>
    </row>
    <row r="4062" spans="1:45" ht="63" x14ac:dyDescent="0.2">
      <c r="A4062" s="121">
        <f t="shared" si="501"/>
        <v>3467</v>
      </c>
      <c r="B4062" s="13">
        <v>1</v>
      </c>
      <c r="C4062" s="17" t="s">
        <v>52</v>
      </c>
      <c r="D4062" s="17">
        <v>422</v>
      </c>
      <c r="E4062" s="17">
        <v>503</v>
      </c>
      <c r="F4062" s="17">
        <v>19</v>
      </c>
      <c r="G4062" s="13">
        <v>2</v>
      </c>
      <c r="H4062" s="17">
        <v>0</v>
      </c>
      <c r="I4062" s="17">
        <v>1</v>
      </c>
      <c r="J4062" s="17">
        <v>55.08</v>
      </c>
      <c r="L4062" s="17">
        <v>121.32</v>
      </c>
      <c r="P4062" s="17">
        <v>5</v>
      </c>
      <c r="Q4062" s="19">
        <v>155.07999999999998</v>
      </c>
      <c r="R4062" s="14">
        <v>4500</v>
      </c>
      <c r="S4062" s="19">
        <v>697859.99999999988</v>
      </c>
      <c r="T4062" s="17">
        <v>1</v>
      </c>
      <c r="U4062" s="17" t="s">
        <v>63</v>
      </c>
      <c r="V4062" s="17" t="s">
        <v>56</v>
      </c>
      <c r="W4062" s="4">
        <v>67.5</v>
      </c>
      <c r="Y4062" s="4">
        <v>67.5</v>
      </c>
      <c r="AB4062" s="17">
        <v>30</v>
      </c>
      <c r="AE4062" s="17" t="s">
        <v>344</v>
      </c>
      <c r="AF4062" s="14">
        <v>2</v>
      </c>
      <c r="AG4062" s="54">
        <v>67.5</v>
      </c>
      <c r="AH4062" s="11">
        <v>1</v>
      </c>
      <c r="AI4062" s="14">
        <v>8100</v>
      </c>
      <c r="AJ4062" s="19">
        <v>546750</v>
      </c>
      <c r="AK4062" s="23">
        <v>30</v>
      </c>
      <c r="AL4062" s="11">
        <v>0.5</v>
      </c>
      <c r="AM4062" s="19">
        <v>273375</v>
      </c>
      <c r="AN4062" s="19">
        <v>505971.73799999995</v>
      </c>
      <c r="AP4062" s="14">
        <v>505971.73799999995</v>
      </c>
      <c r="AS4062" s="26">
        <v>3000</v>
      </c>
    </row>
    <row r="4063" spans="1:45" ht="63" x14ac:dyDescent="0.2">
      <c r="M4063" s="15">
        <v>16.88</v>
      </c>
      <c r="T4063" s="17">
        <v>2</v>
      </c>
      <c r="U4063" s="17" t="s">
        <v>63</v>
      </c>
      <c r="V4063" s="17" t="s">
        <v>56</v>
      </c>
      <c r="W4063" s="4">
        <v>67.5</v>
      </c>
      <c r="Y4063" s="4" t="s">
        <v>345</v>
      </c>
      <c r="AB4063" s="17">
        <v>30</v>
      </c>
      <c r="AE4063" s="17" t="s">
        <v>346</v>
      </c>
      <c r="AF4063" s="14">
        <v>2</v>
      </c>
      <c r="AG4063" s="54">
        <v>67.5</v>
      </c>
      <c r="AH4063" s="11">
        <v>0.47</v>
      </c>
      <c r="AI4063" s="14">
        <v>8100</v>
      </c>
      <c r="AJ4063" s="19">
        <v>256972.49999999997</v>
      </c>
      <c r="AK4063" s="23">
        <v>30</v>
      </c>
      <c r="AL4063" s="11">
        <v>0.5</v>
      </c>
      <c r="AM4063" s="19">
        <v>128486.24999999999</v>
      </c>
      <c r="AN4063" s="19">
        <v>237806.71685999996</v>
      </c>
      <c r="AP4063" s="14">
        <v>237806.71685999996</v>
      </c>
      <c r="AQ4063" s="12">
        <v>2.0000000000000001E-4</v>
      </c>
      <c r="AR4063" s="19">
        <v>3000</v>
      </c>
    </row>
    <row r="4064" spans="1:45" x14ac:dyDescent="0.2">
      <c r="Z4064" s="17">
        <v>36</v>
      </c>
      <c r="AF4064" s="14">
        <v>3</v>
      </c>
      <c r="AG4064" s="54">
        <v>67.5</v>
      </c>
      <c r="AH4064" s="11">
        <v>0.53</v>
      </c>
      <c r="AI4064" s="14">
        <v>8100</v>
      </c>
      <c r="AJ4064" s="19">
        <v>289777.5</v>
      </c>
      <c r="AK4064" s="23">
        <v>0</v>
      </c>
      <c r="AL4064" s="11">
        <v>0.5</v>
      </c>
      <c r="AM4064" s="19">
        <v>144888.75</v>
      </c>
      <c r="AN4064" s="19">
        <v>268165.02113999997</v>
      </c>
      <c r="AP4064" s="14">
        <v>268165.02113999997</v>
      </c>
      <c r="AQ4064" s="12">
        <v>3.0000000000000001E-3</v>
      </c>
    </row>
    <row r="4065" spans="1:45" ht="63" x14ac:dyDescent="0.2">
      <c r="M4065" s="15">
        <v>16.88</v>
      </c>
      <c r="T4065" s="17">
        <v>3</v>
      </c>
      <c r="U4065" s="17" t="s">
        <v>63</v>
      </c>
      <c r="V4065" s="17" t="s">
        <v>56</v>
      </c>
      <c r="W4065" s="4">
        <v>67.5</v>
      </c>
      <c r="Y4065" s="4" t="s">
        <v>345</v>
      </c>
      <c r="AB4065" s="17">
        <v>30</v>
      </c>
      <c r="AE4065" s="17" t="s">
        <v>346</v>
      </c>
      <c r="AF4065" s="14">
        <v>2</v>
      </c>
      <c r="AG4065" s="54">
        <v>67.5</v>
      </c>
      <c r="AH4065" s="11">
        <v>0.47</v>
      </c>
      <c r="AI4065" s="14">
        <v>8100</v>
      </c>
      <c r="AJ4065" s="19">
        <v>256972.49999999997</v>
      </c>
      <c r="AK4065" s="23">
        <v>30</v>
      </c>
      <c r="AL4065" s="11">
        <v>0.5</v>
      </c>
      <c r="AM4065" s="19">
        <v>128486.24999999999</v>
      </c>
      <c r="AN4065" s="19">
        <v>237806.71685999996</v>
      </c>
      <c r="AP4065" s="14">
        <v>237806.71685999996</v>
      </c>
      <c r="AQ4065" s="12">
        <v>2.0000000000000001E-4</v>
      </c>
    </row>
    <row r="4066" spans="1:45" x14ac:dyDescent="0.2">
      <c r="Z4066" s="17">
        <v>36</v>
      </c>
      <c r="AF4066" s="14">
        <v>3</v>
      </c>
      <c r="AG4066" s="54">
        <v>67.5</v>
      </c>
      <c r="AH4066" s="11">
        <v>0.53</v>
      </c>
      <c r="AI4066" s="14">
        <v>8100</v>
      </c>
      <c r="AJ4066" s="19">
        <v>289777.5</v>
      </c>
      <c r="AK4066" s="23">
        <v>30</v>
      </c>
      <c r="AL4066" s="11">
        <v>0.5</v>
      </c>
      <c r="AM4066" s="19">
        <v>144888.75</v>
      </c>
      <c r="AN4066" s="19">
        <v>268165.02113999997</v>
      </c>
      <c r="AP4066" s="14">
        <v>268165.02113999997</v>
      </c>
      <c r="AQ4066" s="12">
        <v>3.0000000000000001E-3</v>
      </c>
    </row>
    <row r="4067" spans="1:45" x14ac:dyDescent="0.2">
      <c r="A4067" s="2">
        <v>3468</v>
      </c>
      <c r="B4067" s="13">
        <v>2</v>
      </c>
      <c r="C4067" s="17" t="s">
        <v>52</v>
      </c>
      <c r="D4067" s="17">
        <v>2531</v>
      </c>
      <c r="E4067" s="17">
        <v>513</v>
      </c>
      <c r="F4067" s="17">
        <v>121</v>
      </c>
      <c r="G4067" s="13">
        <v>2</v>
      </c>
      <c r="H4067" s="17">
        <v>0</v>
      </c>
      <c r="I4067" s="17">
        <v>0</v>
      </c>
      <c r="J4067" s="17">
        <v>30.03</v>
      </c>
      <c r="K4067" s="10" t="s">
        <v>347</v>
      </c>
      <c r="P4067" s="17">
        <v>1</v>
      </c>
      <c r="Q4067" s="19">
        <v>30.03</v>
      </c>
      <c r="R4067" s="14">
        <v>2000</v>
      </c>
      <c r="S4067" s="19">
        <v>60060</v>
      </c>
      <c r="AE4067" s="17" t="s">
        <v>348</v>
      </c>
      <c r="AJ4067" s="19">
        <v>0</v>
      </c>
      <c r="AK4067" s="23">
        <v>0</v>
      </c>
      <c r="AM4067" s="19">
        <v>0</v>
      </c>
      <c r="AN4067" s="19">
        <v>60060</v>
      </c>
      <c r="AP4067" s="14">
        <v>60060</v>
      </c>
    </row>
    <row r="4068" spans="1:45" x14ac:dyDescent="0.2">
      <c r="A4068" s="2">
        <f>+A4067+1</f>
        <v>3469</v>
      </c>
      <c r="B4068" s="13">
        <v>3</v>
      </c>
      <c r="C4068" s="17" t="s">
        <v>52</v>
      </c>
      <c r="D4068" s="17">
        <v>2532</v>
      </c>
      <c r="E4068" s="17">
        <v>512</v>
      </c>
      <c r="F4068" s="17">
        <v>122</v>
      </c>
      <c r="G4068" s="13">
        <v>2</v>
      </c>
      <c r="H4068" s="17">
        <v>0</v>
      </c>
      <c r="I4068" s="17">
        <v>0</v>
      </c>
      <c r="J4068" s="17">
        <v>91.09</v>
      </c>
      <c r="K4068" s="10" t="s">
        <v>349</v>
      </c>
      <c r="P4068" s="17">
        <v>1</v>
      </c>
      <c r="Q4068" s="19">
        <v>91.09</v>
      </c>
      <c r="R4068" s="14">
        <v>2000</v>
      </c>
      <c r="S4068" s="19">
        <v>182180</v>
      </c>
      <c r="AJ4068" s="19">
        <v>0</v>
      </c>
      <c r="AK4068" s="23">
        <v>0</v>
      </c>
      <c r="AM4068" s="19">
        <v>0</v>
      </c>
      <c r="AN4068" s="19">
        <v>182180</v>
      </c>
      <c r="AP4068" s="14">
        <v>182180</v>
      </c>
    </row>
    <row r="4069" spans="1:45" x14ac:dyDescent="0.2">
      <c r="A4069" s="121">
        <f t="shared" ref="A4069:A4077" si="502">+A4068+1</f>
        <v>3470</v>
      </c>
      <c r="B4069" s="13">
        <v>4</v>
      </c>
      <c r="C4069" s="17" t="s">
        <v>52</v>
      </c>
      <c r="D4069" s="17">
        <v>32932</v>
      </c>
      <c r="E4069" s="17">
        <v>257</v>
      </c>
      <c r="F4069" s="17">
        <v>6458</v>
      </c>
      <c r="G4069" s="13">
        <v>2</v>
      </c>
      <c r="H4069" s="17">
        <v>7</v>
      </c>
      <c r="I4069" s="17">
        <v>0</v>
      </c>
      <c r="J4069" s="17">
        <v>78</v>
      </c>
      <c r="K4069" s="10">
        <v>2878</v>
      </c>
      <c r="P4069" s="17">
        <v>1</v>
      </c>
      <c r="Q4069" s="19">
        <v>2878</v>
      </c>
      <c r="R4069" s="14">
        <v>160</v>
      </c>
      <c r="S4069" s="19">
        <v>460480</v>
      </c>
      <c r="AE4069" s="17">
        <v>31.5</v>
      </c>
      <c r="AJ4069" s="19">
        <v>0</v>
      </c>
      <c r="AK4069" s="23">
        <v>0</v>
      </c>
      <c r="AM4069" s="19">
        <v>0</v>
      </c>
      <c r="AN4069" s="19">
        <v>460480</v>
      </c>
      <c r="AP4069" s="14">
        <v>460480</v>
      </c>
    </row>
    <row r="4070" spans="1:45" x14ac:dyDescent="0.2">
      <c r="A4070" s="121">
        <f t="shared" si="502"/>
        <v>3471</v>
      </c>
      <c r="B4070" s="13">
        <v>5</v>
      </c>
      <c r="C4070" s="17" t="s">
        <v>52</v>
      </c>
      <c r="D4070" s="17">
        <v>33235</v>
      </c>
      <c r="E4070" s="17">
        <v>56</v>
      </c>
      <c r="F4070" s="17">
        <v>6678</v>
      </c>
      <c r="H4070" s="17">
        <v>3</v>
      </c>
      <c r="I4070" s="17">
        <v>1</v>
      </c>
      <c r="J4070" s="17">
        <v>8</v>
      </c>
      <c r="K4070" s="10">
        <v>1308</v>
      </c>
      <c r="P4070" s="17">
        <v>1</v>
      </c>
      <c r="Q4070" s="19">
        <v>1308</v>
      </c>
      <c r="R4070" s="14">
        <v>1100</v>
      </c>
      <c r="S4070" s="19">
        <v>1438800</v>
      </c>
      <c r="AJ4070" s="19">
        <v>0</v>
      </c>
      <c r="AK4070" s="23">
        <v>0</v>
      </c>
      <c r="AM4070" s="19">
        <v>0</v>
      </c>
      <c r="AN4070" s="19">
        <v>1438800</v>
      </c>
      <c r="AP4070" s="14">
        <v>1438800</v>
      </c>
    </row>
    <row r="4071" spans="1:45" x14ac:dyDescent="0.2">
      <c r="A4071" s="121">
        <f t="shared" si="502"/>
        <v>3472</v>
      </c>
      <c r="B4071" s="13">
        <v>6</v>
      </c>
      <c r="C4071" s="17" t="s">
        <v>69</v>
      </c>
      <c r="E4071" s="17">
        <v>164</v>
      </c>
      <c r="F4071" s="17">
        <v>13</v>
      </c>
      <c r="G4071" s="13">
        <v>2</v>
      </c>
      <c r="H4071" s="17">
        <v>8</v>
      </c>
      <c r="I4071" s="17">
        <v>0</v>
      </c>
      <c r="J4071" s="17">
        <v>27</v>
      </c>
      <c r="K4071" s="10">
        <v>3227</v>
      </c>
      <c r="P4071" s="17">
        <v>1</v>
      </c>
      <c r="Q4071" s="19">
        <v>3227</v>
      </c>
      <c r="R4071" s="14">
        <v>200</v>
      </c>
      <c r="S4071" s="19">
        <v>645400</v>
      </c>
      <c r="AJ4071" s="19">
        <v>0</v>
      </c>
      <c r="AK4071" s="23">
        <v>0</v>
      </c>
      <c r="AM4071" s="19">
        <v>0</v>
      </c>
      <c r="AN4071" s="19">
        <v>645400</v>
      </c>
      <c r="AP4071" s="14">
        <v>645400</v>
      </c>
      <c r="AQ4071" s="12">
        <v>1E-4</v>
      </c>
    </row>
    <row r="4072" spans="1:45" x14ac:dyDescent="0.2">
      <c r="A4072" s="121">
        <f t="shared" si="502"/>
        <v>3473</v>
      </c>
      <c r="B4072" s="13">
        <v>1</v>
      </c>
      <c r="C4072" s="17" t="s">
        <v>52</v>
      </c>
      <c r="D4072" s="17">
        <v>2530</v>
      </c>
      <c r="E4072" s="17">
        <v>514</v>
      </c>
      <c r="F4072" s="17">
        <v>120</v>
      </c>
      <c r="G4072" s="13">
        <v>2</v>
      </c>
      <c r="H4072" s="17">
        <v>0</v>
      </c>
      <c r="I4072" s="17">
        <v>0</v>
      </c>
      <c r="J4072" s="17">
        <v>30.01</v>
      </c>
      <c r="N4072" s="18">
        <v>30.01</v>
      </c>
      <c r="P4072" s="17">
        <v>4</v>
      </c>
      <c r="Q4072" s="19">
        <v>30.01</v>
      </c>
      <c r="R4072" s="14">
        <v>2000</v>
      </c>
      <c r="S4072" s="19">
        <v>60020</v>
      </c>
      <c r="AJ4072" s="19">
        <v>0</v>
      </c>
      <c r="AK4072" s="23">
        <v>0</v>
      </c>
      <c r="AM4072" s="19">
        <v>0</v>
      </c>
      <c r="AN4072" s="19">
        <v>60020</v>
      </c>
      <c r="AP4072" s="14">
        <v>60020</v>
      </c>
      <c r="AQ4072" s="12">
        <v>3.0000000000000001E-3</v>
      </c>
      <c r="AS4072" s="26">
        <v>3000</v>
      </c>
    </row>
    <row r="4073" spans="1:45" ht="63" x14ac:dyDescent="0.2">
      <c r="A4073" s="121">
        <f t="shared" si="502"/>
        <v>3474</v>
      </c>
      <c r="B4073" s="13">
        <v>2</v>
      </c>
      <c r="C4073" s="17" t="s">
        <v>52</v>
      </c>
      <c r="D4073" s="17">
        <v>30163</v>
      </c>
      <c r="E4073" s="17">
        <v>539</v>
      </c>
      <c r="F4073" s="17">
        <v>5815</v>
      </c>
      <c r="G4073" s="13">
        <v>2</v>
      </c>
      <c r="H4073" s="17">
        <v>0</v>
      </c>
      <c r="I4073" s="17">
        <v>0</v>
      </c>
      <c r="J4073" s="17">
        <v>51.06</v>
      </c>
      <c r="L4073" s="17">
        <v>51.06</v>
      </c>
      <c r="P4073" s="17">
        <v>2</v>
      </c>
      <c r="Q4073" s="19">
        <v>51.06</v>
      </c>
      <c r="R4073" s="14">
        <v>4500</v>
      </c>
      <c r="S4073" s="19">
        <v>229770</v>
      </c>
      <c r="T4073" s="17">
        <v>1</v>
      </c>
      <c r="U4073" s="17" t="s">
        <v>57</v>
      </c>
      <c r="V4073" s="17" t="s">
        <v>56</v>
      </c>
      <c r="W4073" s="4">
        <v>132</v>
      </c>
      <c r="Y4073" s="4">
        <v>132</v>
      </c>
      <c r="AB4073" s="17">
        <v>30</v>
      </c>
      <c r="AE4073" s="17">
        <v>31</v>
      </c>
      <c r="AF4073" s="14">
        <v>2</v>
      </c>
      <c r="AI4073" s="14">
        <v>8100</v>
      </c>
      <c r="AJ4073" s="19">
        <v>0</v>
      </c>
      <c r="AK4073" s="23">
        <v>30</v>
      </c>
      <c r="AL4073" s="11">
        <v>0.5</v>
      </c>
      <c r="AM4073" s="19">
        <v>0</v>
      </c>
      <c r="AN4073" s="19">
        <v>229770</v>
      </c>
      <c r="AP4073" s="14">
        <v>229770</v>
      </c>
      <c r="AR4073" s="19">
        <v>3000</v>
      </c>
    </row>
    <row r="4074" spans="1:45" x14ac:dyDescent="0.2">
      <c r="A4074" s="121">
        <f t="shared" si="502"/>
        <v>3475</v>
      </c>
      <c r="B4074" s="13">
        <v>3</v>
      </c>
      <c r="C4074" s="17" t="s">
        <v>52</v>
      </c>
      <c r="D4074" s="17">
        <v>32934</v>
      </c>
      <c r="E4074" s="17">
        <v>259</v>
      </c>
      <c r="F4074" s="17">
        <v>6460</v>
      </c>
      <c r="G4074" s="13">
        <v>2</v>
      </c>
      <c r="H4074" s="17">
        <v>6</v>
      </c>
      <c r="I4074" s="17">
        <v>1</v>
      </c>
      <c r="J4074" s="17">
        <v>63</v>
      </c>
      <c r="K4074" s="10">
        <v>2563</v>
      </c>
      <c r="P4074" s="17">
        <v>1</v>
      </c>
      <c r="Q4074" s="19">
        <v>2563</v>
      </c>
      <c r="R4074" s="14">
        <v>160</v>
      </c>
      <c r="S4074" s="19">
        <v>410080</v>
      </c>
      <c r="AJ4074" s="19">
        <v>0</v>
      </c>
      <c r="AK4074" s="23">
        <v>0</v>
      </c>
      <c r="AM4074" s="19">
        <v>0</v>
      </c>
      <c r="AN4074" s="19">
        <v>410080</v>
      </c>
      <c r="AP4074" s="14">
        <v>410080</v>
      </c>
    </row>
    <row r="4075" spans="1:45" x14ac:dyDescent="0.2">
      <c r="A4075" s="121">
        <f t="shared" si="502"/>
        <v>3476</v>
      </c>
      <c r="B4075" s="13">
        <v>4</v>
      </c>
      <c r="C4075" s="17" t="s">
        <v>65</v>
      </c>
      <c r="D4075" s="17">
        <v>918</v>
      </c>
      <c r="E4075" s="17">
        <v>94</v>
      </c>
      <c r="H4075" s="17">
        <v>4</v>
      </c>
      <c r="I4075" s="17">
        <v>1</v>
      </c>
      <c r="J4075" s="17">
        <v>60</v>
      </c>
      <c r="K4075" s="10">
        <v>1760</v>
      </c>
      <c r="P4075" s="17">
        <v>1</v>
      </c>
      <c r="Q4075" s="19">
        <v>1760</v>
      </c>
      <c r="R4075" s="14">
        <v>160</v>
      </c>
      <c r="S4075" s="19">
        <v>281600</v>
      </c>
      <c r="AJ4075" s="19">
        <v>0</v>
      </c>
      <c r="AK4075" s="23">
        <v>0</v>
      </c>
      <c r="AM4075" s="19">
        <v>0</v>
      </c>
      <c r="AN4075" s="19">
        <v>281600</v>
      </c>
      <c r="AP4075" s="14">
        <v>281600</v>
      </c>
      <c r="AQ4075" s="12">
        <v>1E-4</v>
      </c>
    </row>
    <row r="4076" spans="1:45" x14ac:dyDescent="0.2">
      <c r="A4076" s="121">
        <f t="shared" si="502"/>
        <v>3477</v>
      </c>
      <c r="B4076" s="13">
        <v>5</v>
      </c>
      <c r="C4076" s="17" t="s">
        <v>65</v>
      </c>
      <c r="D4076" s="17">
        <v>2752</v>
      </c>
      <c r="E4076" s="17">
        <v>358</v>
      </c>
      <c r="H4076" s="17">
        <v>0</v>
      </c>
      <c r="I4076" s="17">
        <v>1</v>
      </c>
      <c r="J4076" s="17">
        <v>57</v>
      </c>
      <c r="K4076" s="10">
        <v>157</v>
      </c>
      <c r="P4076" s="17">
        <v>1</v>
      </c>
      <c r="Q4076" s="19">
        <v>157</v>
      </c>
      <c r="R4076" s="14">
        <v>160</v>
      </c>
      <c r="S4076" s="19">
        <v>25120</v>
      </c>
      <c r="AJ4076" s="19">
        <v>0</v>
      </c>
      <c r="AK4076" s="23">
        <v>0</v>
      </c>
      <c r="AM4076" s="19">
        <v>0</v>
      </c>
      <c r="AN4076" s="19">
        <v>25120</v>
      </c>
      <c r="AP4076" s="14">
        <v>25120</v>
      </c>
      <c r="AQ4076" s="12">
        <v>1E-4</v>
      </c>
    </row>
    <row r="4077" spans="1:45" ht="63" x14ac:dyDescent="0.2">
      <c r="A4077" s="121">
        <f t="shared" si="502"/>
        <v>3478</v>
      </c>
      <c r="B4077" s="13">
        <v>1</v>
      </c>
      <c r="C4077" s="17" t="s">
        <v>52</v>
      </c>
      <c r="D4077" s="17">
        <v>30164</v>
      </c>
      <c r="E4077" s="17">
        <v>540</v>
      </c>
      <c r="F4077" s="17">
        <v>5816</v>
      </c>
      <c r="G4077" s="13">
        <v>2</v>
      </c>
      <c r="H4077" s="17">
        <v>0</v>
      </c>
      <c r="I4077" s="17">
        <v>0</v>
      </c>
      <c r="J4077" s="17">
        <v>57.09</v>
      </c>
      <c r="L4077" s="17">
        <v>57.09</v>
      </c>
      <c r="P4077" s="17">
        <v>2</v>
      </c>
      <c r="Q4077" s="19">
        <v>57.09</v>
      </c>
      <c r="R4077" s="14">
        <v>4500</v>
      </c>
      <c r="S4077" s="19">
        <v>256905.00000000003</v>
      </c>
      <c r="T4077" s="17">
        <v>1</v>
      </c>
      <c r="U4077" s="17" t="s">
        <v>57</v>
      </c>
      <c r="V4077" s="17" t="s">
        <v>56</v>
      </c>
      <c r="W4077" s="4">
        <v>216</v>
      </c>
      <c r="Y4077" s="4" t="s">
        <v>350</v>
      </c>
      <c r="AB4077" s="17">
        <v>30</v>
      </c>
      <c r="AF4077" s="14">
        <v>2</v>
      </c>
      <c r="AG4077" s="54">
        <v>216</v>
      </c>
      <c r="AH4077" s="11">
        <v>0.91</v>
      </c>
      <c r="AI4077" s="14">
        <v>8100</v>
      </c>
      <c r="AJ4077" s="19">
        <v>1592136</v>
      </c>
      <c r="AK4077" s="23">
        <v>30</v>
      </c>
      <c r="AL4077" s="11">
        <v>0.5</v>
      </c>
      <c r="AM4077" s="19">
        <v>796068</v>
      </c>
      <c r="AN4077" s="19">
        <v>1052973</v>
      </c>
      <c r="AP4077" s="14">
        <v>1052973</v>
      </c>
      <c r="AS4077" s="26">
        <v>36</v>
      </c>
    </row>
    <row r="4078" spans="1:45" ht="210" x14ac:dyDescent="0.2">
      <c r="R4078" s="14" t="e">
        <v>#N/A</v>
      </c>
      <c r="Z4078" s="17">
        <v>19.2</v>
      </c>
      <c r="AB4078" s="17">
        <v>30</v>
      </c>
      <c r="AC4078" s="14" t="s">
        <v>351</v>
      </c>
      <c r="AF4078" s="14">
        <v>3</v>
      </c>
      <c r="AG4078" s="54">
        <v>216</v>
      </c>
      <c r="AH4078" s="11">
        <v>0.09</v>
      </c>
      <c r="AI4078" s="14">
        <v>8100</v>
      </c>
      <c r="AJ4078" s="19">
        <v>157463.99999999997</v>
      </c>
      <c r="AK4078" s="23">
        <v>15</v>
      </c>
      <c r="AL4078" s="11">
        <v>0.5</v>
      </c>
      <c r="AM4078" s="19">
        <v>78731.999999999985</v>
      </c>
      <c r="AN4078" s="19">
        <v>101853.44999999998</v>
      </c>
      <c r="AP4078" s="14">
        <v>101853.44999999998</v>
      </c>
      <c r="AQ4078" s="12">
        <v>3.0000000000000001E-3</v>
      </c>
      <c r="AR4078" s="19" t="s">
        <v>352</v>
      </c>
    </row>
    <row r="4079" spans="1:45" x14ac:dyDescent="0.2">
      <c r="A4079" s="2">
        <v>3479</v>
      </c>
      <c r="B4079" s="13">
        <v>2</v>
      </c>
      <c r="C4079" s="17" t="s">
        <v>52</v>
      </c>
      <c r="D4079" s="17">
        <v>32681</v>
      </c>
      <c r="E4079" s="17">
        <v>121</v>
      </c>
      <c r="F4079" s="17">
        <v>6551</v>
      </c>
      <c r="G4079" s="13">
        <v>2</v>
      </c>
      <c r="H4079" s="17">
        <v>15</v>
      </c>
      <c r="I4079" s="17">
        <v>0</v>
      </c>
      <c r="J4079" s="17">
        <v>33.06</v>
      </c>
      <c r="K4079" s="10">
        <v>6033.06</v>
      </c>
      <c r="P4079" s="17">
        <v>1</v>
      </c>
      <c r="Q4079" s="19">
        <v>6033.06</v>
      </c>
      <c r="R4079" s="14">
        <v>160</v>
      </c>
      <c r="S4079" s="19">
        <v>965289.60000000009</v>
      </c>
      <c r="AJ4079" s="19">
        <v>0</v>
      </c>
      <c r="AK4079" s="23">
        <v>0</v>
      </c>
      <c r="AM4079" s="19">
        <v>0</v>
      </c>
      <c r="AN4079" s="19">
        <v>965289.60000000009</v>
      </c>
      <c r="AP4079" s="14">
        <v>965289.60000000009</v>
      </c>
    </row>
    <row r="4080" spans="1:45" x14ac:dyDescent="0.2">
      <c r="A4080" s="2">
        <v>3480</v>
      </c>
      <c r="B4080" s="13">
        <v>3</v>
      </c>
      <c r="C4080" s="17" t="s">
        <v>52</v>
      </c>
      <c r="D4080" s="17">
        <v>33234</v>
      </c>
      <c r="E4080" s="17">
        <v>55</v>
      </c>
      <c r="F4080" s="17">
        <v>6677</v>
      </c>
      <c r="H4080" s="17">
        <v>3</v>
      </c>
      <c r="I4080" s="17">
        <v>1</v>
      </c>
      <c r="J4080" s="17">
        <v>9</v>
      </c>
      <c r="K4080" s="10">
        <v>1309</v>
      </c>
      <c r="P4080" s="17">
        <v>1</v>
      </c>
      <c r="Q4080" s="19">
        <v>1309</v>
      </c>
      <c r="R4080" s="14">
        <v>1100</v>
      </c>
      <c r="S4080" s="19">
        <v>1439900</v>
      </c>
      <c r="AJ4080" s="19">
        <v>0</v>
      </c>
      <c r="AK4080" s="23">
        <v>0</v>
      </c>
      <c r="AM4080" s="19">
        <v>0</v>
      </c>
      <c r="AN4080" s="19">
        <v>1439900</v>
      </c>
      <c r="AP4080" s="14">
        <v>1439900</v>
      </c>
    </row>
    <row r="4081" spans="1:45" x14ac:dyDescent="0.2">
      <c r="C4081" s="17" t="s">
        <v>52</v>
      </c>
      <c r="D4081" s="17">
        <v>39396</v>
      </c>
      <c r="E4081" s="17">
        <v>21</v>
      </c>
      <c r="F4081" s="17">
        <v>7818</v>
      </c>
      <c r="H4081" s="17">
        <v>13</v>
      </c>
      <c r="I4081" s="17">
        <v>0</v>
      </c>
      <c r="J4081" s="17">
        <v>28</v>
      </c>
      <c r="K4081" s="10" t="s">
        <v>353</v>
      </c>
      <c r="P4081" s="17">
        <v>1</v>
      </c>
      <c r="Q4081" s="19">
        <v>5228</v>
      </c>
      <c r="R4081" s="14" t="e">
        <v>#N/A</v>
      </c>
      <c r="S4081" s="19" t="e">
        <v>#N/A</v>
      </c>
    </row>
    <row r="4082" spans="1:45" ht="63" x14ac:dyDescent="0.2">
      <c r="A4082" s="2">
        <v>3481</v>
      </c>
      <c r="B4082" s="13">
        <v>1</v>
      </c>
      <c r="C4082" s="17" t="s">
        <v>52</v>
      </c>
      <c r="D4082" s="17">
        <v>407</v>
      </c>
      <c r="E4082" s="17">
        <v>510</v>
      </c>
      <c r="F4082" s="17">
        <v>9</v>
      </c>
      <c r="G4082" s="13">
        <v>2</v>
      </c>
      <c r="H4082" s="17">
        <v>0</v>
      </c>
      <c r="I4082" s="17">
        <v>1</v>
      </c>
      <c r="J4082" s="17">
        <v>95.06</v>
      </c>
      <c r="M4082" s="15">
        <v>25</v>
      </c>
      <c r="P4082" s="17">
        <v>5</v>
      </c>
      <c r="Q4082" s="19">
        <v>195.06</v>
      </c>
      <c r="R4082" s="14">
        <v>2000</v>
      </c>
      <c r="S4082" s="19">
        <v>390120</v>
      </c>
      <c r="AR4082" s="19">
        <v>3438.4730880000006</v>
      </c>
      <c r="AS4082" s="26">
        <v>3750</v>
      </c>
    </row>
    <row r="4083" spans="1:45" ht="63" x14ac:dyDescent="0.2">
      <c r="Q4083" s="19">
        <v>25</v>
      </c>
      <c r="R4083" s="14" t="e">
        <v>#N/A</v>
      </c>
      <c r="T4083" s="17">
        <v>1</v>
      </c>
      <c r="U4083" s="17" t="s">
        <v>63</v>
      </c>
      <c r="V4083" s="17" t="s">
        <v>56</v>
      </c>
      <c r="W4083" s="4">
        <v>100</v>
      </c>
      <c r="Y4083" s="4" t="s">
        <v>280</v>
      </c>
      <c r="AB4083" s="17">
        <v>12</v>
      </c>
      <c r="AE4083" s="17">
        <v>23.8</v>
      </c>
      <c r="AF4083" s="14">
        <v>2</v>
      </c>
      <c r="AG4083" s="54">
        <v>100</v>
      </c>
      <c r="AH4083" s="11">
        <v>0.5</v>
      </c>
      <c r="AI4083" s="14">
        <v>7250</v>
      </c>
      <c r="AJ4083" s="19">
        <v>362500</v>
      </c>
      <c r="AK4083" s="23">
        <v>12</v>
      </c>
      <c r="AL4083" s="11">
        <v>0.14000000000000001</v>
      </c>
      <c r="AM4083" s="19">
        <v>311750</v>
      </c>
      <c r="AN4083" s="19">
        <v>358174.28</v>
      </c>
      <c r="AP4083" s="14">
        <v>358174.28</v>
      </c>
      <c r="AQ4083" s="12">
        <v>2.0000000000000001E-4</v>
      </c>
    </row>
    <row r="4084" spans="1:45" x14ac:dyDescent="0.2">
      <c r="R4084" s="14" t="e">
        <v>#N/A</v>
      </c>
      <c r="Z4084" s="17">
        <v>50</v>
      </c>
      <c r="AF4084" s="14">
        <v>3</v>
      </c>
      <c r="AG4084" s="54">
        <v>100</v>
      </c>
      <c r="AH4084" s="11">
        <v>0.5</v>
      </c>
      <c r="AI4084" s="14">
        <v>7250</v>
      </c>
      <c r="AJ4084" s="19">
        <v>362500</v>
      </c>
      <c r="AK4084" s="23">
        <v>12</v>
      </c>
      <c r="AL4084" s="11">
        <v>0.14000000000000001</v>
      </c>
      <c r="AM4084" s="19">
        <v>311750</v>
      </c>
      <c r="AN4084" s="19">
        <v>358174.28</v>
      </c>
      <c r="AP4084" s="14">
        <v>358174.28</v>
      </c>
      <c r="AQ4084" s="12">
        <v>3.0000000000000001E-3</v>
      </c>
    </row>
    <row r="4085" spans="1:45" ht="63" x14ac:dyDescent="0.2">
      <c r="M4085" s="15">
        <v>25</v>
      </c>
      <c r="Q4085" s="19">
        <v>25</v>
      </c>
      <c r="R4085" s="14" t="e">
        <v>#N/A</v>
      </c>
      <c r="T4085" s="17">
        <v>2</v>
      </c>
      <c r="U4085" s="17" t="s">
        <v>63</v>
      </c>
      <c r="V4085" s="17" t="s">
        <v>56</v>
      </c>
      <c r="W4085" s="4">
        <v>100</v>
      </c>
      <c r="Z4085" s="17">
        <v>100</v>
      </c>
      <c r="AB4085" s="17">
        <v>12</v>
      </c>
      <c r="AE4085" s="17">
        <v>23.8</v>
      </c>
      <c r="AF4085" s="14">
        <v>2</v>
      </c>
      <c r="AG4085" s="54">
        <v>100</v>
      </c>
      <c r="AH4085" s="11">
        <v>0.5</v>
      </c>
      <c r="AI4085" s="14">
        <v>7250</v>
      </c>
      <c r="AJ4085" s="19">
        <v>362500</v>
      </c>
      <c r="AK4085" s="23">
        <v>12</v>
      </c>
      <c r="AL4085" s="11">
        <v>0.14000000000000001</v>
      </c>
      <c r="AM4085" s="19">
        <v>311750</v>
      </c>
      <c r="AN4085" s="19">
        <v>358174.28</v>
      </c>
      <c r="AP4085" s="14">
        <v>358174.28</v>
      </c>
      <c r="AQ4085" s="12">
        <v>2.0000000000000001E-4</v>
      </c>
      <c r="AR4085" s="19">
        <v>3750</v>
      </c>
    </row>
    <row r="4086" spans="1:45" x14ac:dyDescent="0.2">
      <c r="R4086" s="14" t="e">
        <v>#N/A</v>
      </c>
      <c r="AF4086" s="14">
        <v>3</v>
      </c>
      <c r="AG4086" s="54">
        <v>100</v>
      </c>
      <c r="AH4086" s="11">
        <v>0.5</v>
      </c>
      <c r="AI4086" s="14">
        <v>7250</v>
      </c>
      <c r="AJ4086" s="19">
        <v>362500</v>
      </c>
      <c r="AK4086" s="23">
        <v>12</v>
      </c>
      <c r="AL4086" s="11">
        <v>0.14000000000000001</v>
      </c>
      <c r="AM4086" s="19">
        <v>311750</v>
      </c>
      <c r="AN4086" s="19">
        <v>358174.28</v>
      </c>
      <c r="AP4086" s="14">
        <v>358174.28</v>
      </c>
      <c r="AQ4086" s="12">
        <v>3.0000000000000001E-3</v>
      </c>
    </row>
    <row r="4087" spans="1:45" ht="63" x14ac:dyDescent="0.2">
      <c r="M4087" s="15">
        <v>25</v>
      </c>
      <c r="Q4087" s="19">
        <v>25</v>
      </c>
      <c r="R4087" s="14" t="e">
        <v>#N/A</v>
      </c>
      <c r="T4087" s="17">
        <v>3</v>
      </c>
      <c r="U4087" s="17" t="s">
        <v>63</v>
      </c>
      <c r="V4087" s="17" t="s">
        <v>56</v>
      </c>
      <c r="W4087" s="4">
        <v>100</v>
      </c>
      <c r="Z4087" s="17">
        <v>100</v>
      </c>
      <c r="AB4087" s="17">
        <v>12</v>
      </c>
      <c r="AE4087" s="17">
        <v>23.8</v>
      </c>
      <c r="AF4087" s="14">
        <v>2</v>
      </c>
      <c r="AG4087" s="54">
        <v>100</v>
      </c>
      <c r="AH4087" s="11">
        <v>0.5</v>
      </c>
      <c r="AI4087" s="14">
        <v>7250</v>
      </c>
      <c r="AJ4087" s="19">
        <v>362500</v>
      </c>
      <c r="AK4087" s="23">
        <v>12</v>
      </c>
      <c r="AL4087" s="11">
        <v>0.14000000000000001</v>
      </c>
      <c r="AM4087" s="19">
        <v>311750</v>
      </c>
      <c r="AN4087" s="19">
        <v>358174.28</v>
      </c>
      <c r="AP4087" s="14">
        <v>358174.28</v>
      </c>
      <c r="AQ4087" s="12">
        <v>2.0000000000000001E-4</v>
      </c>
    </row>
    <row r="4088" spans="1:45" x14ac:dyDescent="0.2">
      <c r="R4088" s="14" t="e">
        <v>#N/A</v>
      </c>
      <c r="AF4088" s="14">
        <v>3</v>
      </c>
      <c r="AG4088" s="54">
        <v>100</v>
      </c>
      <c r="AH4088" s="11">
        <v>0.5</v>
      </c>
      <c r="AI4088" s="14">
        <v>7250</v>
      </c>
      <c r="AJ4088" s="19">
        <v>362500</v>
      </c>
      <c r="AK4088" s="23">
        <v>12</v>
      </c>
      <c r="AL4088" s="11">
        <v>0.14000000000000001</v>
      </c>
      <c r="AM4088" s="19">
        <v>311750</v>
      </c>
      <c r="AN4088" s="19">
        <v>358174.28</v>
      </c>
      <c r="AP4088" s="14">
        <v>358174.28</v>
      </c>
      <c r="AQ4088" s="12">
        <v>3.0000000000000001E-3</v>
      </c>
    </row>
    <row r="4089" spans="1:45" ht="63" x14ac:dyDescent="0.2">
      <c r="L4089" s="17">
        <v>120.06</v>
      </c>
      <c r="P4089" s="17">
        <v>2</v>
      </c>
      <c r="Q4089" s="19">
        <v>30</v>
      </c>
      <c r="R4089" s="14" t="e">
        <v>#N/A</v>
      </c>
      <c r="T4089" s="17">
        <v>4</v>
      </c>
      <c r="U4089" s="17" t="s">
        <v>57</v>
      </c>
      <c r="V4089" s="17" t="s">
        <v>56</v>
      </c>
      <c r="W4089" s="4">
        <v>120</v>
      </c>
      <c r="Y4089" s="4" t="s">
        <v>354</v>
      </c>
      <c r="AB4089" s="17">
        <v>28</v>
      </c>
      <c r="AE4089" s="17">
        <v>28.6</v>
      </c>
      <c r="AF4089" s="14">
        <v>2</v>
      </c>
      <c r="AG4089" s="54">
        <v>240</v>
      </c>
      <c r="AH4089" s="11">
        <v>1</v>
      </c>
      <c r="AI4089" s="14">
        <v>7250</v>
      </c>
      <c r="AJ4089" s="19">
        <v>1740000</v>
      </c>
      <c r="AK4089" s="23">
        <v>28</v>
      </c>
      <c r="AL4089" s="11">
        <v>0.46</v>
      </c>
      <c r="AM4089" s="19">
        <v>939600</v>
      </c>
      <c r="AN4089" s="19">
        <v>1051174.32</v>
      </c>
      <c r="AP4089" s="14">
        <v>1051174.32</v>
      </c>
    </row>
    <row r="4090" spans="1:45" x14ac:dyDescent="0.2">
      <c r="A4090" s="2">
        <v>3482</v>
      </c>
      <c r="B4090" s="13">
        <v>2</v>
      </c>
      <c r="C4090" s="17" t="s">
        <v>52</v>
      </c>
      <c r="D4090" s="17">
        <v>1818</v>
      </c>
      <c r="E4090" s="17">
        <v>114</v>
      </c>
      <c r="F4090" s="17">
        <v>1202</v>
      </c>
      <c r="G4090" s="13">
        <v>2</v>
      </c>
      <c r="H4090" s="17">
        <v>5</v>
      </c>
      <c r="I4090" s="17">
        <v>3</v>
      </c>
      <c r="J4090" s="17">
        <v>85</v>
      </c>
      <c r="K4090" s="10">
        <v>2385</v>
      </c>
      <c r="P4090" s="17">
        <v>1</v>
      </c>
      <c r="Q4090" s="19">
        <v>2385</v>
      </c>
      <c r="R4090" s="14">
        <v>160</v>
      </c>
      <c r="S4090" s="19">
        <v>381600</v>
      </c>
      <c r="AJ4090" s="19">
        <v>0</v>
      </c>
      <c r="AK4090" s="23">
        <v>0</v>
      </c>
      <c r="AM4090" s="19">
        <v>0</v>
      </c>
      <c r="AN4090" s="19">
        <v>381600</v>
      </c>
      <c r="AP4090" s="14">
        <v>381600</v>
      </c>
    </row>
    <row r="4091" spans="1:45" x14ac:dyDescent="0.2">
      <c r="A4091" s="2">
        <v>3483</v>
      </c>
      <c r="B4091" s="13">
        <v>3</v>
      </c>
      <c r="C4091" s="17" t="s">
        <v>52</v>
      </c>
      <c r="D4091" s="17">
        <v>33233</v>
      </c>
      <c r="E4091" s="17">
        <v>54</v>
      </c>
      <c r="F4091" s="17">
        <v>6676</v>
      </c>
      <c r="H4091" s="17">
        <v>3</v>
      </c>
      <c r="I4091" s="17">
        <v>1</v>
      </c>
      <c r="J4091" s="17">
        <v>11</v>
      </c>
      <c r="K4091" s="10">
        <v>1311</v>
      </c>
      <c r="P4091" s="17">
        <v>1</v>
      </c>
      <c r="Q4091" s="19">
        <v>1311</v>
      </c>
      <c r="R4091" s="14">
        <v>1100</v>
      </c>
      <c r="S4091" s="19">
        <v>1442100</v>
      </c>
      <c r="AJ4091" s="19">
        <v>0</v>
      </c>
      <c r="AK4091" s="23">
        <v>0</v>
      </c>
      <c r="AM4091" s="19">
        <v>0</v>
      </c>
      <c r="AN4091" s="19">
        <v>1442100</v>
      </c>
      <c r="AP4091" s="14">
        <v>1442100</v>
      </c>
    </row>
    <row r="4092" spans="1:45" x14ac:dyDescent="0.2">
      <c r="B4092" s="13">
        <v>4</v>
      </c>
      <c r="C4092" s="17" t="s">
        <v>97</v>
      </c>
      <c r="D4092" s="17">
        <v>87</v>
      </c>
      <c r="G4092" s="13">
        <v>5</v>
      </c>
      <c r="H4092" s="17">
        <v>10</v>
      </c>
      <c r="I4092" s="17">
        <v>0</v>
      </c>
      <c r="J4092" s="17">
        <v>0</v>
      </c>
      <c r="K4092" s="10">
        <v>4000</v>
      </c>
      <c r="Q4092" s="19">
        <v>4000</v>
      </c>
      <c r="R4092" s="14" t="e">
        <v>#N/A</v>
      </c>
      <c r="S4092" s="19" t="e">
        <v>#N/A</v>
      </c>
      <c r="AJ4092" s="19">
        <v>0</v>
      </c>
      <c r="AK4092" s="23">
        <v>0</v>
      </c>
      <c r="AM4092" s="19">
        <v>0</v>
      </c>
      <c r="AN4092" s="19" t="e">
        <v>#N/A</v>
      </c>
      <c r="AP4092" s="14" t="e">
        <v>#N/A</v>
      </c>
      <c r="AQ4092" s="12">
        <v>1E-4</v>
      </c>
    </row>
    <row r="4093" spans="1:45" ht="63" x14ac:dyDescent="0.2">
      <c r="A4093" s="2">
        <v>3484</v>
      </c>
      <c r="B4093" s="13">
        <v>1</v>
      </c>
      <c r="C4093" s="17" t="s">
        <v>52</v>
      </c>
      <c r="D4093" s="17">
        <v>414</v>
      </c>
      <c r="E4093" s="17">
        <v>509</v>
      </c>
      <c r="F4093" s="17">
        <v>3</v>
      </c>
      <c r="G4093" s="13">
        <v>2</v>
      </c>
      <c r="H4093" s="17">
        <v>1</v>
      </c>
      <c r="I4093" s="17">
        <v>1</v>
      </c>
      <c r="J4093" s="17">
        <v>61.06</v>
      </c>
      <c r="M4093" s="15">
        <v>57</v>
      </c>
      <c r="P4093" s="17">
        <v>5</v>
      </c>
      <c r="Q4093" s="19">
        <v>561.05999999999995</v>
      </c>
      <c r="R4093" s="14">
        <v>4500</v>
      </c>
      <c r="S4093" s="19">
        <v>2524769.9999999995</v>
      </c>
      <c r="T4093" s="17">
        <v>1</v>
      </c>
      <c r="U4093" s="17" t="s">
        <v>57</v>
      </c>
      <c r="V4093" s="17" t="s">
        <v>56</v>
      </c>
      <c r="W4093" s="4">
        <v>380</v>
      </c>
      <c r="Z4093" s="17">
        <v>380</v>
      </c>
      <c r="AB4093" s="17">
        <v>11</v>
      </c>
      <c r="AD4093" s="14">
        <v>228</v>
      </c>
      <c r="AE4093" s="17" t="s">
        <v>62</v>
      </c>
      <c r="AF4093" s="14">
        <v>3</v>
      </c>
      <c r="AG4093" s="54">
        <v>380</v>
      </c>
      <c r="AH4093" s="11">
        <v>1</v>
      </c>
      <c r="AI4093" s="14">
        <v>8100</v>
      </c>
      <c r="AJ4093" s="19">
        <v>3078000</v>
      </c>
      <c r="AK4093" s="23">
        <v>11</v>
      </c>
      <c r="AL4093" s="11">
        <v>0.12</v>
      </c>
      <c r="AM4093" s="19">
        <v>2708640</v>
      </c>
      <c r="AN4093" s="19">
        <v>3072964.3109999998</v>
      </c>
      <c r="AP4093" s="14">
        <v>3072964.3109999998</v>
      </c>
      <c r="AQ4093" s="12">
        <v>3.0000000000000001E-3</v>
      </c>
      <c r="AS4093" s="26">
        <v>18750</v>
      </c>
    </row>
    <row r="4094" spans="1:45" ht="84" x14ac:dyDescent="0.2">
      <c r="L4094" s="17">
        <v>198.06</v>
      </c>
      <c r="T4094" s="17">
        <v>2</v>
      </c>
      <c r="U4094" s="17" t="s">
        <v>57</v>
      </c>
      <c r="V4094" s="17" t="s">
        <v>56</v>
      </c>
      <c r="W4094" s="4">
        <v>256</v>
      </c>
      <c r="Y4094" s="4" t="s">
        <v>355</v>
      </c>
      <c r="AB4094" s="17">
        <v>15</v>
      </c>
      <c r="AD4094" s="14">
        <v>128</v>
      </c>
      <c r="AF4094" s="14">
        <v>2</v>
      </c>
      <c r="AG4094" s="54">
        <v>256</v>
      </c>
      <c r="AH4094" s="11">
        <v>1</v>
      </c>
      <c r="AI4094" s="14">
        <v>7250</v>
      </c>
      <c r="AJ4094" s="19">
        <v>1856000</v>
      </c>
      <c r="AK4094" s="23">
        <v>15</v>
      </c>
      <c r="AL4094" s="11">
        <v>0.2</v>
      </c>
      <c r="AM4094" s="19">
        <v>1484800</v>
      </c>
      <c r="AN4094" s="19">
        <v>1689306.3699999999</v>
      </c>
      <c r="AP4094" s="14">
        <v>1689306.3699999999</v>
      </c>
      <c r="AR4094" s="19">
        <v>18750</v>
      </c>
    </row>
    <row r="4095" spans="1:45" ht="105" x14ac:dyDescent="0.2">
      <c r="M4095" s="15">
        <v>306</v>
      </c>
      <c r="T4095" s="17">
        <v>3</v>
      </c>
      <c r="U4095" s="17" t="s">
        <v>356</v>
      </c>
      <c r="V4095" s="17" t="s">
        <v>56</v>
      </c>
      <c r="W4095" s="4">
        <v>1080</v>
      </c>
      <c r="Z4095" s="17">
        <v>1080</v>
      </c>
      <c r="AB4095" s="17">
        <v>9</v>
      </c>
      <c r="AF4095" s="14">
        <v>3</v>
      </c>
      <c r="AG4095" s="54">
        <v>1080</v>
      </c>
      <c r="AH4095" s="11">
        <v>1</v>
      </c>
      <c r="AI4095" s="14">
        <v>3950</v>
      </c>
      <c r="AJ4095" s="19">
        <v>4266000</v>
      </c>
      <c r="AK4095" s="23">
        <v>9</v>
      </c>
      <c r="AL4095" s="11">
        <v>0.09</v>
      </c>
      <c r="AM4095" s="19">
        <v>3882060</v>
      </c>
      <c r="AN4095" s="19">
        <v>5607740.2949999999</v>
      </c>
      <c r="AP4095" s="14">
        <v>5607740.2949999999</v>
      </c>
      <c r="AQ4095" s="12">
        <v>3.0000000000000001E-3</v>
      </c>
    </row>
    <row r="4096" spans="1:45" ht="84" x14ac:dyDescent="0.2">
      <c r="T4096" s="17">
        <v>4</v>
      </c>
      <c r="U4096" s="17" t="s">
        <v>101</v>
      </c>
      <c r="V4096" s="17" t="s">
        <v>56</v>
      </c>
      <c r="W4096" s="4">
        <v>144</v>
      </c>
      <c r="Z4096" s="17">
        <v>144</v>
      </c>
      <c r="AB4096" s="17">
        <v>9</v>
      </c>
      <c r="AF4096" s="14">
        <v>3</v>
      </c>
      <c r="AG4096" s="54">
        <v>144</v>
      </c>
      <c r="AH4096" s="11">
        <v>1</v>
      </c>
      <c r="AI4096" s="14">
        <v>3750</v>
      </c>
      <c r="AJ4096" s="19">
        <v>540000</v>
      </c>
      <c r="AK4096" s="23">
        <v>9</v>
      </c>
      <c r="AL4096" s="11">
        <v>0.09</v>
      </c>
      <c r="AM4096" s="19">
        <v>491400</v>
      </c>
      <c r="AN4096" s="19">
        <v>721482.29009999998</v>
      </c>
      <c r="AP4096" s="14">
        <v>721482.29009999998</v>
      </c>
      <c r="AQ4096" s="12">
        <v>3.0000000000000001E-3</v>
      </c>
      <c r="AR4096" s="19">
        <v>30500.386788299995</v>
      </c>
    </row>
    <row r="4097" spans="1:45" ht="84" x14ac:dyDescent="0.2">
      <c r="A4097" s="2">
        <v>3485</v>
      </c>
      <c r="B4097" s="13">
        <v>2</v>
      </c>
      <c r="C4097" s="17" t="s">
        <v>52</v>
      </c>
      <c r="D4097" s="17">
        <v>2533</v>
      </c>
      <c r="E4097" s="17">
        <v>511</v>
      </c>
      <c r="F4097" s="17">
        <v>123</v>
      </c>
      <c r="G4097" s="13">
        <v>2</v>
      </c>
      <c r="H4097" s="17">
        <v>0</v>
      </c>
      <c r="I4097" s="17">
        <v>1</v>
      </c>
      <c r="J4097" s="17">
        <v>23.09</v>
      </c>
      <c r="M4097" s="15">
        <v>123.09</v>
      </c>
      <c r="P4097" s="17">
        <v>3</v>
      </c>
      <c r="Q4097" s="19">
        <v>123.09</v>
      </c>
      <c r="R4097" s="14">
        <v>2000</v>
      </c>
      <c r="S4097" s="19">
        <v>246180</v>
      </c>
      <c r="T4097" s="17">
        <v>1</v>
      </c>
      <c r="U4097" s="17" t="s">
        <v>63</v>
      </c>
      <c r="V4097" s="17" t="s">
        <v>56</v>
      </c>
      <c r="W4097" s="4">
        <v>150</v>
      </c>
      <c r="Z4097" s="17">
        <v>150</v>
      </c>
      <c r="AB4097" s="17">
        <v>19</v>
      </c>
      <c r="AF4097" s="14">
        <v>2</v>
      </c>
      <c r="AG4097" s="54">
        <v>75</v>
      </c>
      <c r="AH4097" s="11">
        <v>1</v>
      </c>
      <c r="AI4097" s="14">
        <v>8100</v>
      </c>
      <c r="AJ4097" s="19">
        <v>607500</v>
      </c>
      <c r="AK4097" s="23">
        <v>19</v>
      </c>
      <c r="AL4097" s="11">
        <v>0.28000000000000003</v>
      </c>
      <c r="AM4097" s="19">
        <v>437400</v>
      </c>
      <c r="AN4097" s="19">
        <v>683580</v>
      </c>
      <c r="AP4097" s="14">
        <v>683580</v>
      </c>
      <c r="AQ4097" s="12">
        <v>2.0000000000000001E-4</v>
      </c>
      <c r="AR4097" s="19">
        <v>21281.493855299996</v>
      </c>
    </row>
    <row r="4098" spans="1:45" x14ac:dyDescent="0.2">
      <c r="A4098" s="2">
        <v>3486</v>
      </c>
      <c r="B4098" s="13">
        <v>3</v>
      </c>
      <c r="C4098" s="17" t="s">
        <v>52</v>
      </c>
      <c r="D4098" s="17">
        <v>12642</v>
      </c>
      <c r="E4098" s="17">
        <v>519</v>
      </c>
      <c r="F4098" s="17">
        <v>3274</v>
      </c>
      <c r="G4098" s="13">
        <v>2</v>
      </c>
      <c r="H4098" s="17">
        <v>0</v>
      </c>
      <c r="I4098" s="17">
        <v>0</v>
      </c>
      <c r="J4098" s="17">
        <v>59.02</v>
      </c>
      <c r="N4098" s="18">
        <v>59.02</v>
      </c>
      <c r="P4098" s="17">
        <v>4</v>
      </c>
      <c r="Q4098" s="19">
        <v>59.02</v>
      </c>
      <c r="R4098" s="14">
        <v>250</v>
      </c>
      <c r="S4098" s="19">
        <v>14755</v>
      </c>
      <c r="AJ4098" s="19">
        <v>0</v>
      </c>
      <c r="AK4098" s="23">
        <v>0</v>
      </c>
      <c r="AM4098" s="19">
        <v>0</v>
      </c>
      <c r="AN4098" s="19">
        <v>14755</v>
      </c>
      <c r="AP4098" s="14">
        <v>14755</v>
      </c>
      <c r="AQ4098" s="12">
        <v>3.0000000000000001E-3</v>
      </c>
    </row>
    <row r="4099" spans="1:45" x14ac:dyDescent="0.2">
      <c r="A4099" s="2">
        <f>+A4098+1</f>
        <v>3487</v>
      </c>
      <c r="B4099" s="13">
        <v>4</v>
      </c>
      <c r="C4099" s="17" t="s">
        <v>52</v>
      </c>
      <c r="D4099" s="17">
        <v>32933</v>
      </c>
      <c r="E4099" s="17">
        <v>258</v>
      </c>
      <c r="F4099" s="17">
        <v>6459</v>
      </c>
      <c r="G4099" s="13">
        <v>2</v>
      </c>
      <c r="H4099" s="17">
        <v>7</v>
      </c>
      <c r="I4099" s="17">
        <v>3</v>
      </c>
      <c r="J4099" s="17">
        <v>77</v>
      </c>
      <c r="K4099" s="10">
        <v>3177</v>
      </c>
      <c r="P4099" s="17">
        <v>1</v>
      </c>
      <c r="Q4099" s="19">
        <v>3177</v>
      </c>
      <c r="R4099" s="14">
        <v>160</v>
      </c>
      <c r="S4099" s="19">
        <v>508320</v>
      </c>
      <c r="AJ4099" s="19">
        <v>0</v>
      </c>
      <c r="AK4099" s="23">
        <v>0</v>
      </c>
      <c r="AM4099" s="19">
        <v>0</v>
      </c>
      <c r="AN4099" s="19">
        <v>508320</v>
      </c>
      <c r="AP4099" s="14">
        <v>508320</v>
      </c>
    </row>
    <row r="4100" spans="1:45" ht="63" x14ac:dyDescent="0.2">
      <c r="A4100" s="121">
        <f t="shared" ref="A4100:A4101" si="503">+A4099+1</f>
        <v>3488</v>
      </c>
      <c r="B4100" s="13">
        <v>5</v>
      </c>
      <c r="C4100" s="17" t="s">
        <v>52</v>
      </c>
      <c r="D4100" s="17">
        <v>24541</v>
      </c>
      <c r="E4100" s="17">
        <v>33</v>
      </c>
      <c r="F4100" s="17">
        <v>3948</v>
      </c>
      <c r="G4100" s="13">
        <v>6</v>
      </c>
      <c r="H4100" s="17">
        <v>0</v>
      </c>
      <c r="I4100" s="17">
        <v>3</v>
      </c>
      <c r="J4100" s="17">
        <v>38</v>
      </c>
      <c r="M4100" s="15">
        <v>338</v>
      </c>
      <c r="P4100" s="17">
        <v>3</v>
      </c>
      <c r="Q4100" s="19">
        <v>338</v>
      </c>
      <c r="R4100" s="14">
        <v>4500</v>
      </c>
      <c r="S4100" s="19">
        <v>1521000</v>
      </c>
      <c r="T4100" s="17">
        <v>1</v>
      </c>
      <c r="U4100" s="17" t="s">
        <v>63</v>
      </c>
      <c r="V4100" s="17" t="s">
        <v>56</v>
      </c>
      <c r="W4100" s="4">
        <v>360</v>
      </c>
      <c r="Y4100" s="4" t="s">
        <v>235</v>
      </c>
      <c r="AB4100" s="17">
        <v>30</v>
      </c>
      <c r="AF4100" s="14">
        <v>2</v>
      </c>
      <c r="AG4100" s="54">
        <v>360</v>
      </c>
      <c r="AH4100" s="11">
        <v>1</v>
      </c>
      <c r="AI4100" s="14">
        <v>8100</v>
      </c>
      <c r="AJ4100" s="19">
        <v>2916000</v>
      </c>
      <c r="AK4100" s="23">
        <v>30</v>
      </c>
      <c r="AL4100" s="11">
        <v>0.5</v>
      </c>
      <c r="AM4100" s="19">
        <v>1458000</v>
      </c>
      <c r="AN4100" s="19">
        <v>2979000</v>
      </c>
      <c r="AP4100" s="14">
        <v>2979000</v>
      </c>
      <c r="AQ4100" s="12">
        <v>2.0000000000000001E-4</v>
      </c>
    </row>
    <row r="4101" spans="1:45" x14ac:dyDescent="0.2">
      <c r="A4101" s="121">
        <f t="shared" si="503"/>
        <v>3489</v>
      </c>
      <c r="B4101" s="13">
        <v>6</v>
      </c>
      <c r="C4101" s="17" t="s">
        <v>97</v>
      </c>
      <c r="D4101" s="17">
        <v>14</v>
      </c>
      <c r="G4101" s="13">
        <v>2</v>
      </c>
      <c r="H4101" s="17">
        <v>20</v>
      </c>
      <c r="I4101" s="17">
        <v>0</v>
      </c>
      <c r="J4101" s="17">
        <v>80</v>
      </c>
      <c r="K4101" s="10">
        <v>8080</v>
      </c>
      <c r="P4101" s="17">
        <v>1</v>
      </c>
      <c r="Q4101" s="19">
        <v>8080</v>
      </c>
      <c r="S4101" s="19">
        <v>0</v>
      </c>
      <c r="AN4101" s="19">
        <v>0</v>
      </c>
      <c r="AP4101" s="14">
        <v>0</v>
      </c>
      <c r="AQ4101" s="12">
        <v>1E-4</v>
      </c>
    </row>
    <row r="4102" spans="1:45" x14ac:dyDescent="0.2">
      <c r="P4102" s="17">
        <v>1</v>
      </c>
      <c r="Q4102" s="19">
        <v>7576</v>
      </c>
      <c r="R4102" s="14">
        <v>160</v>
      </c>
      <c r="S4102" s="19">
        <v>1212160</v>
      </c>
      <c r="AJ4102" s="19">
        <v>0</v>
      </c>
      <c r="AK4102" s="23">
        <v>0</v>
      </c>
      <c r="AM4102" s="19">
        <v>0</v>
      </c>
      <c r="AN4102" s="19">
        <v>1212160</v>
      </c>
      <c r="AP4102" s="14">
        <v>1212160</v>
      </c>
      <c r="AQ4102" s="12">
        <v>1E-4</v>
      </c>
    </row>
    <row r="4103" spans="1:45" x14ac:dyDescent="0.2">
      <c r="P4103" s="17">
        <v>3</v>
      </c>
      <c r="Q4103" s="19">
        <v>504</v>
      </c>
      <c r="R4103" s="14">
        <v>160</v>
      </c>
      <c r="S4103" s="19">
        <v>80640</v>
      </c>
      <c r="AE4103" s="17" t="s">
        <v>357</v>
      </c>
      <c r="AJ4103" s="19">
        <v>0</v>
      </c>
      <c r="AK4103" s="23">
        <v>0</v>
      </c>
      <c r="AM4103" s="19">
        <v>0</v>
      </c>
      <c r="AN4103" s="19">
        <v>80640</v>
      </c>
      <c r="AP4103" s="14">
        <v>80640</v>
      </c>
      <c r="AQ4103" s="12">
        <v>3.0000000000000001E-3</v>
      </c>
    </row>
    <row r="4104" spans="1:45" x14ac:dyDescent="0.2">
      <c r="A4104" s="2">
        <v>3490</v>
      </c>
      <c r="B4104" s="13">
        <v>7</v>
      </c>
      <c r="C4104" s="17" t="s">
        <v>65</v>
      </c>
      <c r="D4104" s="17">
        <v>1141</v>
      </c>
      <c r="E4104" s="17">
        <v>223</v>
      </c>
      <c r="H4104" s="17">
        <v>22</v>
      </c>
      <c r="I4104" s="17">
        <v>1</v>
      </c>
      <c r="J4104" s="17">
        <v>90</v>
      </c>
      <c r="K4104" s="10">
        <v>8990</v>
      </c>
      <c r="P4104" s="17">
        <v>1</v>
      </c>
      <c r="Q4104" s="19">
        <v>8990</v>
      </c>
      <c r="R4104" s="14">
        <v>250</v>
      </c>
      <c r="S4104" s="19">
        <v>2247500</v>
      </c>
      <c r="AJ4104" s="19">
        <v>0</v>
      </c>
      <c r="AK4104" s="23">
        <v>0</v>
      </c>
      <c r="AM4104" s="19">
        <v>0</v>
      </c>
      <c r="AN4104" s="19">
        <v>2247500</v>
      </c>
      <c r="AP4104" s="14">
        <v>2247500</v>
      </c>
      <c r="AQ4104" s="12">
        <v>1E-4</v>
      </c>
    </row>
    <row r="4105" spans="1:45" x14ac:dyDescent="0.2">
      <c r="A4105" s="2">
        <f>+A4104+1</f>
        <v>3491</v>
      </c>
      <c r="B4105" s="13">
        <v>8</v>
      </c>
      <c r="C4105" s="17" t="s">
        <v>65</v>
      </c>
      <c r="D4105" s="17">
        <v>1880</v>
      </c>
      <c r="E4105" s="17">
        <v>151</v>
      </c>
      <c r="H4105" s="17">
        <v>5</v>
      </c>
      <c r="I4105" s="17">
        <v>1</v>
      </c>
      <c r="J4105" s="17">
        <v>60</v>
      </c>
      <c r="K4105" s="10">
        <v>2160</v>
      </c>
      <c r="P4105" s="17">
        <v>1</v>
      </c>
      <c r="Q4105" s="19">
        <v>2160</v>
      </c>
      <c r="R4105" s="14">
        <v>160</v>
      </c>
      <c r="S4105" s="19">
        <v>345600</v>
      </c>
      <c r="AJ4105" s="19">
        <v>0</v>
      </c>
      <c r="AK4105" s="23">
        <v>0</v>
      </c>
      <c r="AM4105" s="19">
        <v>0</v>
      </c>
      <c r="AN4105" s="19">
        <v>345600</v>
      </c>
      <c r="AP4105" s="14">
        <v>345600</v>
      </c>
      <c r="AQ4105" s="12">
        <v>1E-4</v>
      </c>
    </row>
    <row r="4106" spans="1:45" x14ac:dyDescent="0.2">
      <c r="A4106" s="121">
        <f t="shared" ref="A4106:A4107" si="504">+A4105+1</f>
        <v>3492</v>
      </c>
      <c r="B4106" s="13">
        <v>1</v>
      </c>
      <c r="C4106" s="17" t="s">
        <v>52</v>
      </c>
      <c r="D4106" s="17">
        <v>2529</v>
      </c>
      <c r="E4106" s="17">
        <v>515</v>
      </c>
      <c r="F4106" s="17">
        <v>119</v>
      </c>
      <c r="G4106" s="13">
        <v>2</v>
      </c>
      <c r="H4106" s="17">
        <v>0</v>
      </c>
      <c r="I4106" s="17">
        <v>0</v>
      </c>
      <c r="J4106" s="17">
        <v>29.09</v>
      </c>
      <c r="N4106" s="18">
        <v>29.09</v>
      </c>
      <c r="P4106" s="17">
        <v>4</v>
      </c>
      <c r="Q4106" s="19">
        <v>29.09</v>
      </c>
      <c r="R4106" s="14">
        <v>2000</v>
      </c>
      <c r="S4106" s="19">
        <v>58180</v>
      </c>
      <c r="AJ4106" s="19">
        <v>0</v>
      </c>
      <c r="AK4106" s="23">
        <v>0</v>
      </c>
      <c r="AM4106" s="19">
        <v>0</v>
      </c>
      <c r="AN4106" s="19">
        <v>58180</v>
      </c>
      <c r="AP4106" s="14">
        <v>58180</v>
      </c>
      <c r="AQ4106" s="12">
        <v>3.0000000000000001E-3</v>
      </c>
      <c r="AS4106" s="26">
        <v>23</v>
      </c>
    </row>
    <row r="4107" spans="1:45" ht="63" x14ac:dyDescent="0.2">
      <c r="A4107" s="121">
        <f t="shared" si="504"/>
        <v>3493</v>
      </c>
      <c r="B4107" s="13">
        <v>2</v>
      </c>
      <c r="C4107" s="17" t="s">
        <v>52</v>
      </c>
      <c r="D4107" s="17">
        <v>30165</v>
      </c>
      <c r="E4107" s="17">
        <v>541</v>
      </c>
      <c r="F4107" s="17">
        <v>5817</v>
      </c>
      <c r="G4107" s="13">
        <v>2</v>
      </c>
      <c r="H4107" s="17">
        <v>0</v>
      </c>
      <c r="I4107" s="17">
        <v>1</v>
      </c>
      <c r="J4107" s="17">
        <v>2.0299999999999998</v>
      </c>
      <c r="L4107" s="17">
        <v>94.53</v>
      </c>
      <c r="P4107" s="17">
        <v>2</v>
      </c>
      <c r="Q4107" s="19">
        <v>102.03</v>
      </c>
      <c r="R4107" s="14">
        <v>4500</v>
      </c>
      <c r="S4107" s="19">
        <v>459135</v>
      </c>
      <c r="T4107" s="17">
        <v>1</v>
      </c>
      <c r="U4107" s="17" t="s">
        <v>63</v>
      </c>
      <c r="V4107" s="17" t="s">
        <v>56</v>
      </c>
      <c r="W4107" s="4">
        <v>108</v>
      </c>
      <c r="Y4107" s="4">
        <v>108</v>
      </c>
      <c r="AB4107" s="17">
        <v>14</v>
      </c>
      <c r="AE4107" s="17">
        <v>0.21739130434782608</v>
      </c>
      <c r="AJ4107" s="19">
        <v>0</v>
      </c>
      <c r="AK4107" s="23">
        <v>14</v>
      </c>
      <c r="AL4107" s="11">
        <v>0.18</v>
      </c>
      <c r="AM4107" s="19">
        <v>0</v>
      </c>
      <c r="AN4107" s="19">
        <v>358125.3</v>
      </c>
      <c r="AP4107" s="14">
        <v>358125.3</v>
      </c>
    </row>
    <row r="4108" spans="1:45" ht="84" x14ac:dyDescent="0.2">
      <c r="M4108" s="15">
        <v>7.5</v>
      </c>
      <c r="P4108" s="17">
        <v>3</v>
      </c>
      <c r="T4108" s="17">
        <v>2</v>
      </c>
      <c r="U4108" s="17" t="s">
        <v>101</v>
      </c>
      <c r="W4108" s="4">
        <v>30</v>
      </c>
      <c r="Z4108" s="17">
        <v>30</v>
      </c>
      <c r="AB4108" s="17">
        <v>10</v>
      </c>
      <c r="AF4108" s="14">
        <v>2</v>
      </c>
      <c r="AG4108" s="54">
        <v>30</v>
      </c>
      <c r="AH4108" s="11">
        <v>1</v>
      </c>
      <c r="AI4108" s="14">
        <v>3750</v>
      </c>
      <c r="AJ4108" s="19">
        <v>112500</v>
      </c>
      <c r="AK4108" s="23">
        <v>10</v>
      </c>
      <c r="AL4108" s="11">
        <v>0.1</v>
      </c>
      <c r="AM4108" s="19">
        <v>101250</v>
      </c>
      <c r="AN4108" s="19">
        <v>202259.7</v>
      </c>
      <c r="AP4108" s="14">
        <v>202259.7</v>
      </c>
      <c r="AQ4108" s="12">
        <v>3.0000000000000001E-3</v>
      </c>
    </row>
    <row r="4109" spans="1:45" x14ac:dyDescent="0.2">
      <c r="A4109" s="2">
        <v>3494</v>
      </c>
      <c r="B4109" s="13">
        <v>3</v>
      </c>
      <c r="C4109" s="17" t="s">
        <v>52</v>
      </c>
      <c r="D4109" s="17">
        <v>31024</v>
      </c>
      <c r="E4109" s="17">
        <v>192</v>
      </c>
      <c r="F4109" s="17">
        <v>5974</v>
      </c>
      <c r="G4109" s="13">
        <v>2</v>
      </c>
      <c r="H4109" s="17">
        <v>7</v>
      </c>
      <c r="I4109" s="17">
        <v>3</v>
      </c>
      <c r="J4109" s="17">
        <v>48.06</v>
      </c>
      <c r="K4109" s="10">
        <v>3148.06</v>
      </c>
      <c r="P4109" s="17">
        <v>1</v>
      </c>
      <c r="Q4109" s="19">
        <v>3148.06</v>
      </c>
      <c r="R4109" s="14">
        <v>160</v>
      </c>
      <c r="S4109" s="19">
        <v>503689.6</v>
      </c>
      <c r="AJ4109" s="19">
        <v>0</v>
      </c>
      <c r="AK4109" s="23">
        <v>0</v>
      </c>
      <c r="AM4109" s="19">
        <v>0</v>
      </c>
      <c r="AN4109" s="19">
        <v>503689.6</v>
      </c>
      <c r="AP4109" s="14">
        <v>503689.6</v>
      </c>
    </row>
    <row r="4110" spans="1:45" x14ac:dyDescent="0.2">
      <c r="A4110" s="2">
        <f>+A4109+1</f>
        <v>3495</v>
      </c>
      <c r="B4110" s="13">
        <v>4</v>
      </c>
      <c r="C4110" s="17" t="s">
        <v>52</v>
      </c>
      <c r="D4110" s="17">
        <v>33236</v>
      </c>
      <c r="E4110" s="17">
        <v>57</v>
      </c>
      <c r="F4110" s="17">
        <v>6679</v>
      </c>
      <c r="H4110" s="17">
        <v>3</v>
      </c>
      <c r="I4110" s="17">
        <v>1</v>
      </c>
      <c r="J4110" s="17">
        <v>7</v>
      </c>
      <c r="K4110" s="10">
        <v>1307</v>
      </c>
      <c r="P4110" s="17">
        <v>1</v>
      </c>
      <c r="Q4110" s="19">
        <v>1307</v>
      </c>
      <c r="R4110" s="14">
        <v>1100</v>
      </c>
      <c r="S4110" s="19">
        <v>1437700</v>
      </c>
      <c r="AJ4110" s="19">
        <v>0</v>
      </c>
      <c r="AK4110" s="23">
        <v>0</v>
      </c>
      <c r="AM4110" s="19">
        <v>0</v>
      </c>
      <c r="AN4110" s="19">
        <v>1437700</v>
      </c>
      <c r="AP4110" s="14">
        <v>1437700</v>
      </c>
    </row>
    <row r="4111" spans="1:45" x14ac:dyDescent="0.2">
      <c r="A4111" s="121">
        <f t="shared" ref="A4111:A4112" si="505">+A4110+1</f>
        <v>3496</v>
      </c>
      <c r="B4111" s="13">
        <v>5</v>
      </c>
      <c r="C4111" s="17" t="s">
        <v>97</v>
      </c>
      <c r="D4111" s="17">
        <v>395</v>
      </c>
      <c r="G4111" s="13">
        <v>2</v>
      </c>
      <c r="H4111" s="17">
        <v>0</v>
      </c>
      <c r="I4111" s="17">
        <v>2</v>
      </c>
      <c r="J4111" s="17">
        <v>36</v>
      </c>
      <c r="K4111" s="10">
        <v>236</v>
      </c>
      <c r="P4111" s="17">
        <v>1</v>
      </c>
      <c r="Q4111" s="19">
        <v>236</v>
      </c>
      <c r="R4111" s="14">
        <v>160</v>
      </c>
      <c r="S4111" s="19">
        <v>37760</v>
      </c>
      <c r="AE4111" s="17" t="s">
        <v>358</v>
      </c>
      <c r="AJ4111" s="19">
        <v>0</v>
      </c>
      <c r="AK4111" s="23">
        <v>0</v>
      </c>
      <c r="AM4111" s="19">
        <v>0</v>
      </c>
      <c r="AN4111" s="19">
        <v>37760</v>
      </c>
      <c r="AP4111" s="14">
        <v>37760</v>
      </c>
      <c r="AQ4111" s="12">
        <v>3.0000000000000001E-3</v>
      </c>
    </row>
    <row r="4112" spans="1:45" x14ac:dyDescent="0.2">
      <c r="A4112" s="121">
        <f t="shared" si="505"/>
        <v>3497</v>
      </c>
      <c r="B4112" s="13">
        <v>1</v>
      </c>
      <c r="C4112" s="17" t="s">
        <v>52</v>
      </c>
      <c r="D4112" s="17">
        <v>408</v>
      </c>
      <c r="E4112" s="17">
        <v>520</v>
      </c>
      <c r="F4112" s="17">
        <v>10</v>
      </c>
      <c r="G4112" s="13">
        <v>2</v>
      </c>
      <c r="H4112" s="17">
        <v>8</v>
      </c>
      <c r="I4112" s="17">
        <v>2</v>
      </c>
      <c r="J4112" s="17">
        <v>83</v>
      </c>
      <c r="K4112" s="10">
        <v>3435</v>
      </c>
      <c r="M4112" s="15">
        <v>12</v>
      </c>
      <c r="P4112" s="17">
        <v>5</v>
      </c>
      <c r="R4112" s="14">
        <v>200</v>
      </c>
      <c r="AS4112" s="26">
        <v>4500</v>
      </c>
    </row>
    <row r="4113" spans="1:44" s="26" customFormat="1" x14ac:dyDescent="0.2">
      <c r="A4113" s="2"/>
      <c r="B4113" s="13"/>
      <c r="C4113" s="17"/>
      <c r="D4113" s="17"/>
      <c r="E4113" s="17"/>
      <c r="F4113" s="17"/>
      <c r="G4113" s="13"/>
      <c r="H4113" s="17"/>
      <c r="I4113" s="17"/>
      <c r="J4113" s="17"/>
      <c r="K4113" s="10"/>
      <c r="L4113" s="17"/>
      <c r="M4113" s="15"/>
      <c r="N4113" s="18"/>
      <c r="O4113" s="14"/>
      <c r="P4113" s="17"/>
      <c r="Q4113" s="19">
        <v>3483</v>
      </c>
      <c r="R4113" s="14">
        <v>200</v>
      </c>
      <c r="S4113" s="19">
        <v>696600</v>
      </c>
      <c r="T4113" s="17"/>
      <c r="U4113" s="17"/>
      <c r="V4113" s="17"/>
      <c r="W4113" s="4"/>
      <c r="X4113" s="17"/>
      <c r="Y4113" s="4"/>
      <c r="Z4113" s="17"/>
      <c r="AA4113" s="17"/>
      <c r="AB4113" s="17"/>
      <c r="AC4113" s="14"/>
      <c r="AD4113" s="14"/>
      <c r="AE4113" s="17"/>
      <c r="AF4113" s="14"/>
      <c r="AG4113" s="54"/>
      <c r="AH4113" s="11"/>
      <c r="AI4113" s="14"/>
      <c r="AJ4113" s="19"/>
      <c r="AK4113" s="23"/>
      <c r="AL4113" s="11"/>
      <c r="AM4113" s="19">
        <v>0</v>
      </c>
      <c r="AN4113" s="19">
        <v>696600</v>
      </c>
      <c r="AO4113" s="14"/>
      <c r="AP4113" s="14">
        <v>696600</v>
      </c>
      <c r="AQ4113" s="12">
        <v>3.0000000000000001E-3</v>
      </c>
      <c r="AR4113" s="19"/>
    </row>
    <row r="4114" spans="1:44" s="26" customFormat="1" ht="63" x14ac:dyDescent="0.2">
      <c r="A4114" s="2"/>
      <c r="B4114" s="13"/>
      <c r="C4114" s="17"/>
      <c r="D4114" s="17"/>
      <c r="E4114" s="17"/>
      <c r="F4114" s="17"/>
      <c r="G4114" s="13"/>
      <c r="H4114" s="17"/>
      <c r="I4114" s="17"/>
      <c r="J4114" s="17"/>
      <c r="K4114" s="10"/>
      <c r="L4114" s="17"/>
      <c r="M4114" s="15"/>
      <c r="N4114" s="18"/>
      <c r="O4114" s="14"/>
      <c r="P4114" s="17"/>
      <c r="Q4114" s="19">
        <v>3135</v>
      </c>
      <c r="R4114" s="14">
        <v>200</v>
      </c>
      <c r="S4114" s="19">
        <v>627000</v>
      </c>
      <c r="T4114" s="17">
        <v>1</v>
      </c>
      <c r="U4114" s="17" t="s">
        <v>63</v>
      </c>
      <c r="V4114" s="17" t="s">
        <v>56</v>
      </c>
      <c r="W4114" s="4">
        <v>48</v>
      </c>
      <c r="X4114" s="17"/>
      <c r="Y4114" s="4"/>
      <c r="Z4114" s="17">
        <v>48</v>
      </c>
      <c r="AA4114" s="17"/>
      <c r="AB4114" s="17">
        <v>10</v>
      </c>
      <c r="AC4114" s="14"/>
      <c r="AD4114" s="14"/>
      <c r="AE4114" s="17"/>
      <c r="AF4114" s="14">
        <v>2</v>
      </c>
      <c r="AG4114" s="54">
        <v>48</v>
      </c>
      <c r="AH4114" s="11">
        <v>1</v>
      </c>
      <c r="AI4114" s="14">
        <v>7250</v>
      </c>
      <c r="AJ4114" s="19">
        <v>348000</v>
      </c>
      <c r="AK4114" s="23">
        <v>10</v>
      </c>
      <c r="AL4114" s="11">
        <v>0.1</v>
      </c>
      <c r="AM4114" s="19">
        <v>313200</v>
      </c>
      <c r="AN4114" s="19">
        <v>940200</v>
      </c>
      <c r="AO4114" s="14"/>
      <c r="AP4114" s="14">
        <v>940200</v>
      </c>
      <c r="AQ4114" s="12">
        <v>2.0000000000000001E-4</v>
      </c>
      <c r="AR4114" s="19"/>
    </row>
    <row r="4115" spans="1:44" s="26" customFormat="1" ht="63" x14ac:dyDescent="0.2">
      <c r="A4115" s="2"/>
      <c r="B4115" s="13"/>
      <c r="C4115" s="17"/>
      <c r="D4115" s="17"/>
      <c r="E4115" s="17"/>
      <c r="F4115" s="17"/>
      <c r="G4115" s="13"/>
      <c r="H4115" s="17"/>
      <c r="I4115" s="17"/>
      <c r="J4115" s="17"/>
      <c r="K4115" s="10"/>
      <c r="L4115" s="17"/>
      <c r="M4115" s="15">
        <v>36</v>
      </c>
      <c r="N4115" s="18"/>
      <c r="O4115" s="14"/>
      <c r="P4115" s="17"/>
      <c r="Q4115" s="19">
        <v>300</v>
      </c>
      <c r="R4115" s="14">
        <v>200</v>
      </c>
      <c r="S4115" s="19">
        <v>60000</v>
      </c>
      <c r="T4115" s="17">
        <v>2</v>
      </c>
      <c r="U4115" s="17" t="s">
        <v>155</v>
      </c>
      <c r="V4115" s="17"/>
      <c r="W4115" s="4">
        <v>144</v>
      </c>
      <c r="X4115" s="17"/>
      <c r="Y4115" s="4"/>
      <c r="Z4115" s="17">
        <v>144</v>
      </c>
      <c r="AA4115" s="17"/>
      <c r="AB4115" s="17">
        <v>10</v>
      </c>
      <c r="AC4115" s="14"/>
      <c r="AD4115" s="14"/>
      <c r="AE4115" s="17">
        <v>300</v>
      </c>
      <c r="AF4115" s="14">
        <v>3</v>
      </c>
      <c r="AG4115" s="54">
        <v>144</v>
      </c>
      <c r="AH4115" s="11">
        <v>1</v>
      </c>
      <c r="AI4115" s="14">
        <v>5800</v>
      </c>
      <c r="AJ4115" s="19">
        <v>835200</v>
      </c>
      <c r="AK4115" s="23">
        <v>10</v>
      </c>
      <c r="AL4115" s="11">
        <v>0.1</v>
      </c>
      <c r="AM4115" s="19">
        <v>751680</v>
      </c>
      <c r="AN4115" s="19">
        <v>811680</v>
      </c>
      <c r="AO4115" s="14"/>
      <c r="AP4115" s="14">
        <v>811680</v>
      </c>
      <c r="AQ4115" s="12">
        <v>3.0000000000000001E-3</v>
      </c>
      <c r="AR4115" s="19">
        <v>4500</v>
      </c>
    </row>
    <row r="4116" spans="1:44" s="26" customFormat="1" ht="63" x14ac:dyDescent="0.2">
      <c r="A4116" s="2">
        <v>3498</v>
      </c>
      <c r="B4116" s="13">
        <v>2</v>
      </c>
      <c r="C4116" s="17" t="s">
        <v>52</v>
      </c>
      <c r="D4116" s="17">
        <v>30166</v>
      </c>
      <c r="E4116" s="17">
        <v>547</v>
      </c>
      <c r="F4116" s="17">
        <v>5818</v>
      </c>
      <c r="G4116" s="13">
        <v>2</v>
      </c>
      <c r="H4116" s="17">
        <v>0</v>
      </c>
      <c r="I4116" s="17">
        <v>0</v>
      </c>
      <c r="J4116" s="17">
        <v>84.06</v>
      </c>
      <c r="K4116" s="10"/>
      <c r="L4116" s="17"/>
      <c r="M4116" s="15">
        <v>42.06</v>
      </c>
      <c r="N4116" s="18"/>
      <c r="O4116" s="14"/>
      <c r="P4116" s="17">
        <v>3</v>
      </c>
      <c r="Q4116" s="19">
        <v>84.06</v>
      </c>
      <c r="R4116" s="14">
        <v>2000</v>
      </c>
      <c r="S4116" s="19">
        <v>168120</v>
      </c>
      <c r="T4116" s="17">
        <v>1</v>
      </c>
      <c r="U4116" s="17" t="s">
        <v>57</v>
      </c>
      <c r="V4116" s="17" t="s">
        <v>88</v>
      </c>
      <c r="W4116" s="4">
        <v>105</v>
      </c>
      <c r="X4116" s="17"/>
      <c r="Y4116" s="4"/>
      <c r="Z4116" s="17">
        <v>105</v>
      </c>
      <c r="AA4116" s="17"/>
      <c r="AB4116" s="17">
        <v>12</v>
      </c>
      <c r="AC4116" s="14"/>
      <c r="AD4116" s="14"/>
      <c r="AE4116" s="17"/>
      <c r="AF4116" s="14">
        <v>3</v>
      </c>
      <c r="AG4116" s="54">
        <v>105</v>
      </c>
      <c r="AH4116" s="11">
        <v>1</v>
      </c>
      <c r="AI4116" s="14">
        <v>8100</v>
      </c>
      <c r="AJ4116" s="19">
        <v>850500</v>
      </c>
      <c r="AK4116" s="23">
        <v>12</v>
      </c>
      <c r="AL4116" s="11">
        <v>0.18</v>
      </c>
      <c r="AM4116" s="19">
        <v>697410</v>
      </c>
      <c r="AN4116" s="19">
        <v>761295.6</v>
      </c>
      <c r="AO4116" s="14"/>
      <c r="AP4116" s="14">
        <v>761295.6</v>
      </c>
      <c r="AQ4116" s="12">
        <v>3.0000000000000001E-3</v>
      </c>
      <c r="AR4116" s="19"/>
    </row>
    <row r="4117" spans="1:44" s="26" customFormat="1" ht="63" x14ac:dyDescent="0.2">
      <c r="A4117" s="2"/>
      <c r="B4117" s="13"/>
      <c r="C4117" s="17"/>
      <c r="D4117" s="17"/>
      <c r="E4117" s="17"/>
      <c r="F4117" s="17"/>
      <c r="G4117" s="13"/>
      <c r="H4117" s="17"/>
      <c r="I4117" s="17"/>
      <c r="J4117" s="17"/>
      <c r="K4117" s="10"/>
      <c r="L4117" s="17"/>
      <c r="M4117" s="15">
        <v>21</v>
      </c>
      <c r="N4117" s="18"/>
      <c r="O4117" s="14"/>
      <c r="P4117" s="17"/>
      <c r="Q4117" s="19"/>
      <c r="R4117" s="14">
        <v>2000</v>
      </c>
      <c r="S4117" s="19"/>
      <c r="T4117" s="17">
        <v>2</v>
      </c>
      <c r="U4117" s="17" t="s">
        <v>57</v>
      </c>
      <c r="V4117" s="17" t="s">
        <v>56</v>
      </c>
      <c r="W4117" s="4">
        <v>84</v>
      </c>
      <c r="X4117" s="17"/>
      <c r="Y4117" s="4"/>
      <c r="Z4117" s="17">
        <v>84</v>
      </c>
      <c r="AA4117" s="17"/>
      <c r="AB4117" s="17">
        <v>12</v>
      </c>
      <c r="AC4117" s="14"/>
      <c r="AD4117" s="14"/>
      <c r="AE4117" s="17"/>
      <c r="AF4117" s="14">
        <v>3</v>
      </c>
      <c r="AG4117" s="54">
        <v>84</v>
      </c>
      <c r="AH4117" s="11">
        <v>1</v>
      </c>
      <c r="AI4117" s="14">
        <v>8100</v>
      </c>
      <c r="AJ4117" s="19">
        <v>680400</v>
      </c>
      <c r="AK4117" s="23">
        <v>12</v>
      </c>
      <c r="AL4117" s="11">
        <v>0.18</v>
      </c>
      <c r="AM4117" s="19">
        <v>557928</v>
      </c>
      <c r="AN4117" s="19">
        <v>608364</v>
      </c>
      <c r="AO4117" s="14"/>
      <c r="AP4117" s="14">
        <v>608364</v>
      </c>
      <c r="AQ4117" s="12">
        <v>3.0000000000000001E-3</v>
      </c>
      <c r="AR4117" s="19"/>
    </row>
    <row r="4118" spans="1:44" s="26" customFormat="1" ht="63" x14ac:dyDescent="0.2">
      <c r="A4118" s="2"/>
      <c r="B4118" s="13"/>
      <c r="C4118" s="17"/>
      <c r="D4118" s="17"/>
      <c r="E4118" s="17"/>
      <c r="F4118" s="17"/>
      <c r="G4118" s="13"/>
      <c r="H4118" s="17"/>
      <c r="I4118" s="17"/>
      <c r="J4118" s="17"/>
      <c r="K4118" s="10"/>
      <c r="L4118" s="17"/>
      <c r="M4118" s="15">
        <v>21</v>
      </c>
      <c r="N4118" s="18"/>
      <c r="O4118" s="14"/>
      <c r="P4118" s="17"/>
      <c r="Q4118" s="19"/>
      <c r="R4118" s="14">
        <v>2000</v>
      </c>
      <c r="S4118" s="19"/>
      <c r="T4118" s="17">
        <v>3</v>
      </c>
      <c r="U4118" s="17" t="s">
        <v>57</v>
      </c>
      <c r="V4118" s="17" t="s">
        <v>56</v>
      </c>
      <c r="W4118" s="4">
        <v>84</v>
      </c>
      <c r="X4118" s="17"/>
      <c r="Y4118" s="4"/>
      <c r="Z4118" s="17">
        <v>84</v>
      </c>
      <c r="AA4118" s="17"/>
      <c r="AB4118" s="17">
        <v>12</v>
      </c>
      <c r="AC4118" s="14"/>
      <c r="AD4118" s="14"/>
      <c r="AE4118" s="17"/>
      <c r="AF4118" s="14">
        <v>3</v>
      </c>
      <c r="AG4118" s="54">
        <v>84</v>
      </c>
      <c r="AH4118" s="11">
        <v>1</v>
      </c>
      <c r="AI4118" s="14">
        <v>8100</v>
      </c>
      <c r="AJ4118" s="19">
        <v>680400</v>
      </c>
      <c r="AK4118" s="23">
        <v>12</v>
      </c>
      <c r="AL4118" s="11">
        <v>0.18</v>
      </c>
      <c r="AM4118" s="19">
        <v>557928</v>
      </c>
      <c r="AN4118" s="19">
        <v>608364</v>
      </c>
      <c r="AO4118" s="14"/>
      <c r="AP4118" s="14">
        <v>608364</v>
      </c>
      <c r="AQ4118" s="12">
        <v>3.0000000000000001E-3</v>
      </c>
      <c r="AR4118" s="19"/>
    </row>
    <row r="4119" spans="1:44" s="26" customFormat="1" x14ac:dyDescent="0.2">
      <c r="A4119" s="2">
        <v>3499</v>
      </c>
      <c r="B4119" s="13">
        <v>3</v>
      </c>
      <c r="C4119" s="17" t="s">
        <v>52</v>
      </c>
      <c r="D4119" s="17">
        <v>30551</v>
      </c>
      <c r="E4119" s="17">
        <v>51</v>
      </c>
      <c r="F4119" s="17">
        <v>5823</v>
      </c>
      <c r="G4119" s="13"/>
      <c r="H4119" s="17">
        <v>2</v>
      </c>
      <c r="I4119" s="17">
        <v>1</v>
      </c>
      <c r="J4119" s="17">
        <v>48</v>
      </c>
      <c r="K4119" s="10">
        <v>948</v>
      </c>
      <c r="L4119" s="17"/>
      <c r="M4119" s="15"/>
      <c r="N4119" s="18"/>
      <c r="O4119" s="14"/>
      <c r="P4119" s="17">
        <v>1</v>
      </c>
      <c r="Q4119" s="19">
        <v>948</v>
      </c>
      <c r="R4119" s="14">
        <v>1100</v>
      </c>
      <c r="S4119" s="19">
        <v>1042800</v>
      </c>
      <c r="T4119" s="17"/>
      <c r="U4119" s="17"/>
      <c r="V4119" s="17"/>
      <c r="W4119" s="4"/>
      <c r="X4119" s="17"/>
      <c r="Y4119" s="4"/>
      <c r="Z4119" s="17"/>
      <c r="AA4119" s="17"/>
      <c r="AB4119" s="17"/>
      <c r="AC4119" s="14"/>
      <c r="AD4119" s="14"/>
      <c r="AE4119" s="17"/>
      <c r="AF4119" s="14"/>
      <c r="AG4119" s="54"/>
      <c r="AH4119" s="11"/>
      <c r="AI4119" s="14"/>
      <c r="AJ4119" s="19">
        <v>0</v>
      </c>
      <c r="AK4119" s="23">
        <v>0</v>
      </c>
      <c r="AL4119" s="11"/>
      <c r="AM4119" s="19">
        <v>0</v>
      </c>
      <c r="AN4119" s="19">
        <v>1042800</v>
      </c>
      <c r="AO4119" s="14"/>
      <c r="AP4119" s="14">
        <v>1042800</v>
      </c>
      <c r="AQ4119" s="12"/>
      <c r="AR4119" s="19"/>
    </row>
    <row r="4120" spans="1:44" s="26" customFormat="1" ht="63" x14ac:dyDescent="0.2">
      <c r="A4120" s="2">
        <v>3500</v>
      </c>
      <c r="B4120" s="13">
        <v>1</v>
      </c>
      <c r="C4120" s="17" t="s">
        <v>52</v>
      </c>
      <c r="D4120" s="17">
        <v>705</v>
      </c>
      <c r="E4120" s="17">
        <v>504</v>
      </c>
      <c r="F4120" s="17">
        <v>101</v>
      </c>
      <c r="G4120" s="13">
        <v>2</v>
      </c>
      <c r="H4120" s="17">
        <v>0</v>
      </c>
      <c r="I4120" s="17">
        <v>1</v>
      </c>
      <c r="J4120" s="17">
        <v>49.08</v>
      </c>
      <c r="K4120" s="10"/>
      <c r="L4120" s="17"/>
      <c r="M4120" s="15">
        <v>149.08000000000001</v>
      </c>
      <c r="N4120" s="18"/>
      <c r="O4120" s="14"/>
      <c r="P4120" s="17">
        <v>3</v>
      </c>
      <c r="Q4120" s="19">
        <v>149.07999999999998</v>
      </c>
      <c r="R4120" s="14">
        <v>4500</v>
      </c>
      <c r="S4120" s="19">
        <v>670859.99999999988</v>
      </c>
      <c r="T4120" s="17">
        <v>1</v>
      </c>
      <c r="U4120" s="17" t="s">
        <v>63</v>
      </c>
      <c r="V4120" s="17" t="s">
        <v>56</v>
      </c>
      <c r="W4120" s="4">
        <v>67.5</v>
      </c>
      <c r="X4120" s="17"/>
      <c r="Y4120" s="4"/>
      <c r="Z4120" s="17">
        <v>67.5</v>
      </c>
      <c r="AA4120" s="17"/>
      <c r="AB4120" s="17">
        <v>66</v>
      </c>
      <c r="AC4120" s="14"/>
      <c r="AD4120" s="14"/>
      <c r="AE4120" s="17">
        <v>66.67</v>
      </c>
      <c r="AF4120" s="14">
        <v>2</v>
      </c>
      <c r="AG4120" s="54">
        <v>67.5</v>
      </c>
      <c r="AH4120" s="11">
        <v>0.66669999999999996</v>
      </c>
      <c r="AI4120" s="14">
        <v>8100</v>
      </c>
      <c r="AJ4120" s="19">
        <v>364518.22499999998</v>
      </c>
      <c r="AK4120" s="23">
        <v>66</v>
      </c>
      <c r="AL4120" s="11">
        <v>0.76</v>
      </c>
      <c r="AM4120" s="19">
        <v>87484.374000000011</v>
      </c>
      <c r="AN4120" s="19">
        <v>236556.91925459995</v>
      </c>
      <c r="AO4120" s="14"/>
      <c r="AP4120" s="14">
        <v>236556.91925459995</v>
      </c>
      <c r="AQ4120" s="12">
        <v>2.0000000000000001E-4</v>
      </c>
      <c r="AR4120" s="19"/>
    </row>
    <row r="4121" spans="1:44" s="26" customFormat="1" x14ac:dyDescent="0.2">
      <c r="A4121" s="2"/>
      <c r="B4121" s="13"/>
      <c r="C4121" s="17"/>
      <c r="D4121" s="17"/>
      <c r="E4121" s="17"/>
      <c r="F4121" s="17"/>
      <c r="G4121" s="13"/>
      <c r="H4121" s="17"/>
      <c r="I4121" s="17"/>
      <c r="J4121" s="17"/>
      <c r="K4121" s="10"/>
      <c r="L4121" s="17"/>
      <c r="M4121" s="15"/>
      <c r="N4121" s="18"/>
      <c r="O4121" s="14"/>
      <c r="P4121" s="17"/>
      <c r="Q4121" s="19"/>
      <c r="R4121" s="14"/>
      <c r="S4121" s="19"/>
      <c r="T4121" s="17"/>
      <c r="U4121" s="17"/>
      <c r="V4121" s="17"/>
      <c r="W4121" s="4"/>
      <c r="X4121" s="17"/>
      <c r="Y4121" s="4"/>
      <c r="Z4121" s="17"/>
      <c r="AA4121" s="17"/>
      <c r="AB4121" s="17"/>
      <c r="AC4121" s="14"/>
      <c r="AD4121" s="14"/>
      <c r="AE4121" s="17"/>
      <c r="AF4121" s="14">
        <v>3</v>
      </c>
      <c r="AG4121" s="54">
        <v>67.5</v>
      </c>
      <c r="AH4121" s="11">
        <v>0.33329999999999999</v>
      </c>
      <c r="AI4121" s="14">
        <v>8100</v>
      </c>
      <c r="AJ4121" s="19">
        <v>182231.77499999999</v>
      </c>
      <c r="AK4121" s="23">
        <v>66</v>
      </c>
      <c r="AL4121" s="11">
        <v>0.76</v>
      </c>
      <c r="AM4121" s="19">
        <v>43735.625999999989</v>
      </c>
      <c r="AN4121" s="19">
        <v>118260.71874539996</v>
      </c>
      <c r="AO4121" s="14"/>
      <c r="AP4121" s="14">
        <v>118260.71874539996</v>
      </c>
      <c r="AQ4121" s="12">
        <v>3.0000000000000001E-3</v>
      </c>
      <c r="AR4121" s="19"/>
    </row>
    <row r="4122" spans="1:44" s="26" customFormat="1" ht="63" x14ac:dyDescent="0.2">
      <c r="A4122" s="2"/>
      <c r="B4122" s="13"/>
      <c r="C4122" s="17"/>
      <c r="D4122" s="17"/>
      <c r="E4122" s="17"/>
      <c r="F4122" s="17"/>
      <c r="G4122" s="13"/>
      <c r="H4122" s="17"/>
      <c r="I4122" s="17"/>
      <c r="J4122" s="17"/>
      <c r="K4122" s="10"/>
      <c r="L4122" s="17"/>
      <c r="M4122" s="15"/>
      <c r="N4122" s="18"/>
      <c r="O4122" s="14"/>
      <c r="P4122" s="17"/>
      <c r="Q4122" s="19">
        <v>0</v>
      </c>
      <c r="R4122" s="14"/>
      <c r="S4122" s="19">
        <v>0</v>
      </c>
      <c r="T4122" s="17">
        <v>2</v>
      </c>
      <c r="U4122" s="17" t="s">
        <v>63</v>
      </c>
      <c r="V4122" s="17" t="s">
        <v>56</v>
      </c>
      <c r="W4122" s="4">
        <v>67.5</v>
      </c>
      <c r="X4122" s="17"/>
      <c r="Y4122" s="4"/>
      <c r="Z4122" s="17">
        <v>67.5</v>
      </c>
      <c r="AA4122" s="17"/>
      <c r="AB4122" s="17">
        <v>66</v>
      </c>
      <c r="AC4122" s="14"/>
      <c r="AD4122" s="14"/>
      <c r="AE4122" s="17"/>
      <c r="AF4122" s="14"/>
      <c r="AG4122" s="54">
        <v>67.5</v>
      </c>
      <c r="AH4122" s="11">
        <v>1</v>
      </c>
      <c r="AI4122" s="14">
        <v>8100</v>
      </c>
      <c r="AJ4122" s="19">
        <v>546750</v>
      </c>
      <c r="AK4122" s="23">
        <v>66</v>
      </c>
      <c r="AL4122" s="11">
        <v>0.76</v>
      </c>
      <c r="AM4122" s="19">
        <v>131220</v>
      </c>
      <c r="AN4122" s="19">
        <v>354817.63799999992</v>
      </c>
      <c r="AO4122" s="14"/>
      <c r="AP4122" s="14">
        <v>354817.63799999992</v>
      </c>
      <c r="AQ4122" s="12">
        <v>2.0000000000000001E-4</v>
      </c>
      <c r="AR4122" s="19"/>
    </row>
    <row r="4123" spans="1:44" s="26" customFormat="1" ht="63" x14ac:dyDescent="0.2">
      <c r="A4123" s="2"/>
      <c r="B4123" s="13"/>
      <c r="C4123" s="17"/>
      <c r="D4123" s="17"/>
      <c r="E4123" s="17"/>
      <c r="F4123" s="17"/>
      <c r="G4123" s="13"/>
      <c r="H4123" s="17"/>
      <c r="I4123" s="17"/>
      <c r="J4123" s="17"/>
      <c r="K4123" s="10"/>
      <c r="L4123" s="17"/>
      <c r="M4123" s="15"/>
      <c r="N4123" s="18"/>
      <c r="O4123" s="14"/>
      <c r="P4123" s="17"/>
      <c r="Q4123" s="19">
        <v>0</v>
      </c>
      <c r="R4123" s="14"/>
      <c r="S4123" s="19">
        <v>0</v>
      </c>
      <c r="T4123" s="17">
        <v>3</v>
      </c>
      <c r="U4123" s="17" t="s">
        <v>63</v>
      </c>
      <c r="V4123" s="17" t="s">
        <v>56</v>
      </c>
      <c r="W4123" s="4">
        <v>67.5</v>
      </c>
      <c r="X4123" s="17"/>
      <c r="Y4123" s="4"/>
      <c r="Z4123" s="17">
        <v>67.5</v>
      </c>
      <c r="AA4123" s="17"/>
      <c r="AB4123" s="17">
        <v>66</v>
      </c>
      <c r="AC4123" s="14"/>
      <c r="AD4123" s="14"/>
      <c r="AE4123" s="17"/>
      <c r="AF4123" s="14"/>
      <c r="AG4123" s="54">
        <v>67.5</v>
      </c>
      <c r="AH4123" s="11">
        <v>1</v>
      </c>
      <c r="AI4123" s="14">
        <v>8100</v>
      </c>
      <c r="AJ4123" s="19">
        <v>546750</v>
      </c>
      <c r="AK4123" s="23">
        <v>66</v>
      </c>
      <c r="AL4123" s="11">
        <v>0.76</v>
      </c>
      <c r="AM4123" s="19">
        <v>131220</v>
      </c>
      <c r="AN4123" s="19">
        <v>354817.63799999992</v>
      </c>
      <c r="AO4123" s="14"/>
      <c r="AP4123" s="14">
        <v>354817.63799999992</v>
      </c>
      <c r="AQ4123" s="12"/>
      <c r="AR4123" s="19"/>
    </row>
    <row r="4124" spans="1:44" s="26" customFormat="1" x14ac:dyDescent="0.2">
      <c r="A4124" s="2">
        <v>3501</v>
      </c>
      <c r="B4124" s="13">
        <v>2</v>
      </c>
      <c r="C4124" s="17" t="s">
        <v>52</v>
      </c>
      <c r="D4124" s="17">
        <v>798</v>
      </c>
      <c r="E4124" s="17">
        <v>538</v>
      </c>
      <c r="F4124" s="17">
        <v>116</v>
      </c>
      <c r="G4124" s="13">
        <v>2</v>
      </c>
      <c r="H4124" s="17">
        <v>0</v>
      </c>
      <c r="I4124" s="17">
        <v>0</v>
      </c>
      <c r="J4124" s="17">
        <v>26.01</v>
      </c>
      <c r="K4124" s="10"/>
      <c r="L4124" s="17"/>
      <c r="M4124" s="15"/>
      <c r="N4124" s="18">
        <v>26.01</v>
      </c>
      <c r="O4124" s="14"/>
      <c r="P4124" s="17">
        <v>4</v>
      </c>
      <c r="Q4124" s="19">
        <v>26.01</v>
      </c>
      <c r="R4124" s="14">
        <v>250</v>
      </c>
      <c r="S4124" s="19">
        <v>6502.5</v>
      </c>
      <c r="T4124" s="17"/>
      <c r="U4124" s="17"/>
      <c r="V4124" s="17"/>
      <c r="W4124" s="4"/>
      <c r="X4124" s="17"/>
      <c r="Y4124" s="4"/>
      <c r="Z4124" s="17"/>
      <c r="AA4124" s="17"/>
      <c r="AB4124" s="17"/>
      <c r="AC4124" s="14"/>
      <c r="AD4124" s="14"/>
      <c r="AE4124" s="17"/>
      <c r="AF4124" s="14"/>
      <c r="AG4124" s="54"/>
      <c r="AH4124" s="11"/>
      <c r="AI4124" s="14"/>
      <c r="AJ4124" s="19">
        <v>0</v>
      </c>
      <c r="AK4124" s="23">
        <v>0</v>
      </c>
      <c r="AL4124" s="11"/>
      <c r="AM4124" s="19">
        <v>0</v>
      </c>
      <c r="AN4124" s="19">
        <v>6502.5</v>
      </c>
      <c r="AO4124" s="14"/>
      <c r="AP4124" s="14">
        <v>6502.5</v>
      </c>
      <c r="AQ4124" s="12">
        <v>3.0000000000000001E-3</v>
      </c>
      <c r="AR4124" s="19"/>
    </row>
    <row r="4125" spans="1:44" s="26" customFormat="1" x14ac:dyDescent="0.2">
      <c r="A4125" s="2">
        <f>+A4124+1</f>
        <v>3502</v>
      </c>
      <c r="B4125" s="13">
        <v>3</v>
      </c>
      <c r="C4125" s="17" t="s">
        <v>52</v>
      </c>
      <c r="D4125" s="17">
        <v>1816</v>
      </c>
      <c r="E4125" s="17">
        <v>131</v>
      </c>
      <c r="F4125" s="17">
        <v>1200</v>
      </c>
      <c r="G4125" s="13">
        <v>2</v>
      </c>
      <c r="H4125" s="17">
        <v>6</v>
      </c>
      <c r="I4125" s="17">
        <v>2</v>
      </c>
      <c r="J4125" s="17">
        <v>63</v>
      </c>
      <c r="K4125" s="10">
        <v>2663</v>
      </c>
      <c r="L4125" s="17"/>
      <c r="M4125" s="15"/>
      <c r="N4125" s="18"/>
      <c r="O4125" s="14"/>
      <c r="P4125" s="17">
        <v>1</v>
      </c>
      <c r="Q4125" s="19">
        <v>2663</v>
      </c>
      <c r="R4125" s="14">
        <v>160</v>
      </c>
      <c r="S4125" s="19">
        <v>426080</v>
      </c>
      <c r="T4125" s="17"/>
      <c r="U4125" s="17"/>
      <c r="V4125" s="17"/>
      <c r="W4125" s="4"/>
      <c r="X4125" s="17"/>
      <c r="Y4125" s="4"/>
      <c r="Z4125" s="17"/>
      <c r="AA4125" s="17"/>
      <c r="AB4125" s="17"/>
      <c r="AC4125" s="14"/>
      <c r="AD4125" s="14"/>
      <c r="AE4125" s="17"/>
      <c r="AF4125" s="14"/>
      <c r="AG4125" s="54"/>
      <c r="AH4125" s="11"/>
      <c r="AI4125" s="14"/>
      <c r="AJ4125" s="19">
        <v>0</v>
      </c>
      <c r="AK4125" s="23">
        <v>0</v>
      </c>
      <c r="AL4125" s="11"/>
      <c r="AM4125" s="19">
        <v>0</v>
      </c>
      <c r="AN4125" s="19">
        <v>426080</v>
      </c>
      <c r="AO4125" s="14"/>
      <c r="AP4125" s="14">
        <v>426080</v>
      </c>
      <c r="AQ4125" s="12"/>
      <c r="AR4125" s="19"/>
    </row>
    <row r="4126" spans="1:44" s="26" customFormat="1" x14ac:dyDescent="0.2">
      <c r="A4126" s="121">
        <f t="shared" ref="A4126:A4129" si="506">+A4125+1</f>
        <v>3503</v>
      </c>
      <c r="B4126" s="13">
        <v>4</v>
      </c>
      <c r="C4126" s="17" t="s">
        <v>52</v>
      </c>
      <c r="D4126" s="17">
        <v>32682</v>
      </c>
      <c r="E4126" s="17">
        <v>122</v>
      </c>
      <c r="F4126" s="17">
        <v>6552</v>
      </c>
      <c r="G4126" s="13">
        <v>2</v>
      </c>
      <c r="H4126" s="17">
        <v>13</v>
      </c>
      <c r="I4126" s="17">
        <v>0</v>
      </c>
      <c r="J4126" s="17">
        <v>69.069999999999993</v>
      </c>
      <c r="K4126" s="10">
        <v>5269.07</v>
      </c>
      <c r="L4126" s="17"/>
      <c r="M4126" s="15"/>
      <c r="N4126" s="18"/>
      <c r="O4126" s="14"/>
      <c r="P4126" s="17">
        <v>1</v>
      </c>
      <c r="Q4126" s="19">
        <v>5269.07</v>
      </c>
      <c r="R4126" s="14">
        <v>160</v>
      </c>
      <c r="S4126" s="19">
        <v>843051.2</v>
      </c>
      <c r="T4126" s="17"/>
      <c r="U4126" s="17"/>
      <c r="V4126" s="17"/>
      <c r="W4126" s="4"/>
      <c r="X4126" s="17"/>
      <c r="Y4126" s="4"/>
      <c r="Z4126" s="17"/>
      <c r="AA4126" s="17"/>
      <c r="AB4126" s="17"/>
      <c r="AC4126" s="14"/>
      <c r="AD4126" s="14"/>
      <c r="AE4126" s="17"/>
      <c r="AF4126" s="14"/>
      <c r="AG4126" s="54"/>
      <c r="AH4126" s="11"/>
      <c r="AI4126" s="14"/>
      <c r="AJ4126" s="19">
        <v>0</v>
      </c>
      <c r="AK4126" s="23">
        <v>0</v>
      </c>
      <c r="AL4126" s="11"/>
      <c r="AM4126" s="19">
        <v>0</v>
      </c>
      <c r="AN4126" s="19">
        <v>843051.2</v>
      </c>
      <c r="AO4126" s="14"/>
      <c r="AP4126" s="14">
        <v>843051.2</v>
      </c>
      <c r="AQ4126" s="12"/>
      <c r="AR4126" s="19"/>
    </row>
    <row r="4127" spans="1:44" s="26" customFormat="1" x14ac:dyDescent="0.2">
      <c r="A4127" s="121">
        <f t="shared" si="506"/>
        <v>3504</v>
      </c>
      <c r="B4127" s="13">
        <v>5</v>
      </c>
      <c r="C4127" s="17" t="s">
        <v>52</v>
      </c>
      <c r="D4127" s="17">
        <v>22930</v>
      </c>
      <c r="E4127" s="17">
        <v>158</v>
      </c>
      <c r="F4127" s="17">
        <v>4841</v>
      </c>
      <c r="G4127" s="13"/>
      <c r="H4127" s="17">
        <v>2</v>
      </c>
      <c r="I4127" s="17">
        <v>0</v>
      </c>
      <c r="J4127" s="17">
        <v>0</v>
      </c>
      <c r="K4127" s="10">
        <v>800</v>
      </c>
      <c r="L4127" s="17"/>
      <c r="M4127" s="15"/>
      <c r="N4127" s="18"/>
      <c r="O4127" s="14"/>
      <c r="P4127" s="17">
        <v>1</v>
      </c>
      <c r="Q4127" s="19">
        <v>800</v>
      </c>
      <c r="R4127" s="14">
        <v>1000</v>
      </c>
      <c r="S4127" s="19">
        <v>800000</v>
      </c>
      <c r="T4127" s="17"/>
      <c r="U4127" s="17"/>
      <c r="V4127" s="17"/>
      <c r="W4127" s="4"/>
      <c r="X4127" s="17"/>
      <c r="Y4127" s="4"/>
      <c r="Z4127" s="17"/>
      <c r="AA4127" s="17"/>
      <c r="AB4127" s="17"/>
      <c r="AC4127" s="14"/>
      <c r="AD4127" s="14"/>
      <c r="AE4127" s="17"/>
      <c r="AF4127" s="14"/>
      <c r="AG4127" s="54"/>
      <c r="AH4127" s="11"/>
      <c r="AI4127" s="14"/>
      <c r="AJ4127" s="19">
        <v>0</v>
      </c>
      <c r="AK4127" s="23">
        <v>0</v>
      </c>
      <c r="AL4127" s="11"/>
      <c r="AM4127" s="19">
        <v>0</v>
      </c>
      <c r="AN4127" s="19">
        <v>800000</v>
      </c>
      <c r="AO4127" s="14"/>
      <c r="AP4127" s="14">
        <v>800000</v>
      </c>
      <c r="AQ4127" s="12"/>
      <c r="AR4127" s="19"/>
    </row>
    <row r="4128" spans="1:44" s="26" customFormat="1" x14ac:dyDescent="0.2">
      <c r="A4128" s="121">
        <f t="shared" si="506"/>
        <v>3505</v>
      </c>
      <c r="B4128" s="13">
        <v>6</v>
      </c>
      <c r="C4128" s="17" t="s">
        <v>52</v>
      </c>
      <c r="D4128" s="17">
        <v>30550</v>
      </c>
      <c r="E4128" s="17">
        <v>50</v>
      </c>
      <c r="F4128" s="17">
        <v>5822</v>
      </c>
      <c r="G4128" s="13"/>
      <c r="H4128" s="17">
        <v>4</v>
      </c>
      <c r="I4128" s="17">
        <v>0</v>
      </c>
      <c r="J4128" s="17">
        <v>69</v>
      </c>
      <c r="K4128" s="10">
        <v>1669</v>
      </c>
      <c r="L4128" s="17"/>
      <c r="M4128" s="15"/>
      <c r="N4128" s="18"/>
      <c r="O4128" s="14"/>
      <c r="P4128" s="17">
        <v>1</v>
      </c>
      <c r="Q4128" s="19">
        <v>1669</v>
      </c>
      <c r="R4128" s="14">
        <v>1100</v>
      </c>
      <c r="S4128" s="19">
        <v>1835900</v>
      </c>
      <c r="T4128" s="17"/>
      <c r="U4128" s="17"/>
      <c r="V4128" s="17"/>
      <c r="W4128" s="4"/>
      <c r="X4128" s="17"/>
      <c r="Y4128" s="4"/>
      <c r="Z4128" s="17"/>
      <c r="AA4128" s="17"/>
      <c r="AB4128" s="17"/>
      <c r="AC4128" s="14"/>
      <c r="AD4128" s="14"/>
      <c r="AE4128" s="17"/>
      <c r="AF4128" s="14"/>
      <c r="AG4128" s="54"/>
      <c r="AH4128" s="11"/>
      <c r="AI4128" s="14"/>
      <c r="AJ4128" s="19">
        <v>0</v>
      </c>
      <c r="AK4128" s="23">
        <v>0</v>
      </c>
      <c r="AL4128" s="11"/>
      <c r="AM4128" s="19">
        <v>0</v>
      </c>
      <c r="AN4128" s="19">
        <v>1835900</v>
      </c>
      <c r="AO4128" s="14"/>
      <c r="AP4128" s="14">
        <v>1835900</v>
      </c>
      <c r="AQ4128" s="12"/>
      <c r="AR4128" s="19"/>
    </row>
    <row r="4129" spans="1:45" x14ac:dyDescent="0.2">
      <c r="A4129" s="121">
        <f t="shared" si="506"/>
        <v>3506</v>
      </c>
      <c r="B4129" s="13">
        <v>1</v>
      </c>
      <c r="C4129" s="17" t="s">
        <v>52</v>
      </c>
      <c r="D4129" s="17">
        <v>799</v>
      </c>
      <c r="E4129" s="17">
        <v>540</v>
      </c>
      <c r="F4129" s="17">
        <v>117</v>
      </c>
      <c r="G4129" s="13">
        <v>2</v>
      </c>
      <c r="H4129" s="17">
        <v>0</v>
      </c>
      <c r="I4129" s="17">
        <v>0</v>
      </c>
      <c r="J4129" s="17">
        <v>56</v>
      </c>
      <c r="O4129" s="14">
        <v>56</v>
      </c>
      <c r="P4129" s="17">
        <v>5</v>
      </c>
      <c r="Q4129" s="19">
        <v>56</v>
      </c>
      <c r="R4129" s="14">
        <v>2000</v>
      </c>
      <c r="S4129" s="19">
        <v>112000</v>
      </c>
      <c r="AJ4129" s="19">
        <v>0</v>
      </c>
      <c r="AK4129" s="23">
        <v>0</v>
      </c>
      <c r="AM4129" s="19">
        <v>0</v>
      </c>
      <c r="AS4129" s="26">
        <v>6875</v>
      </c>
    </row>
    <row r="4130" spans="1:45" ht="126" x14ac:dyDescent="0.2">
      <c r="Q4130" s="19">
        <v>0</v>
      </c>
      <c r="R4130" s="14" t="e">
        <v>#N/A</v>
      </c>
      <c r="T4130" s="17">
        <v>1</v>
      </c>
      <c r="U4130" s="17" t="s">
        <v>63</v>
      </c>
      <c r="V4130" s="17" t="s">
        <v>56</v>
      </c>
      <c r="W4130" s="4">
        <v>78.75</v>
      </c>
      <c r="Y4130" s="4" t="s">
        <v>222</v>
      </c>
      <c r="AB4130" s="17">
        <v>7</v>
      </c>
      <c r="AC4130" s="14" t="s">
        <v>81</v>
      </c>
      <c r="AE4130" s="17" t="s">
        <v>81</v>
      </c>
      <c r="AF4130" s="14">
        <v>2</v>
      </c>
      <c r="AG4130" s="54">
        <v>78.75</v>
      </c>
      <c r="AH4130" s="11">
        <v>1</v>
      </c>
      <c r="AI4130" s="14">
        <v>8100</v>
      </c>
      <c r="AJ4130" s="19">
        <v>637875</v>
      </c>
      <c r="AK4130" s="23">
        <v>7</v>
      </c>
      <c r="AL4130" s="11">
        <v>7.0000000000000007E-2</v>
      </c>
      <c r="AM4130" s="19">
        <v>593223.75</v>
      </c>
      <c r="AN4130" s="19">
        <v>649223.75</v>
      </c>
      <c r="AP4130" s="14">
        <v>649223.75</v>
      </c>
      <c r="AQ4130" s="12">
        <v>2.0000000000000001E-4</v>
      </c>
      <c r="AR4130" s="19">
        <v>6875</v>
      </c>
    </row>
    <row r="4131" spans="1:45" ht="126" x14ac:dyDescent="0.2">
      <c r="Q4131" s="19">
        <v>0</v>
      </c>
      <c r="R4131" s="14" t="e">
        <v>#N/A</v>
      </c>
      <c r="T4131" s="17">
        <v>2</v>
      </c>
      <c r="U4131" s="17" t="s">
        <v>63</v>
      </c>
      <c r="V4131" s="17" t="s">
        <v>56</v>
      </c>
      <c r="W4131" s="4">
        <v>78.75</v>
      </c>
      <c r="Z4131" s="17">
        <v>78.75</v>
      </c>
      <c r="AB4131" s="17">
        <v>7</v>
      </c>
      <c r="AC4131" s="14" t="s">
        <v>81</v>
      </c>
      <c r="AE4131" s="17" t="s">
        <v>81</v>
      </c>
      <c r="AF4131" s="14">
        <v>3</v>
      </c>
      <c r="AG4131" s="54">
        <v>78.75</v>
      </c>
      <c r="AH4131" s="11">
        <v>1</v>
      </c>
      <c r="AI4131" s="14">
        <v>8100</v>
      </c>
      <c r="AJ4131" s="19">
        <v>637875</v>
      </c>
      <c r="AK4131" s="23">
        <v>7</v>
      </c>
      <c r="AL4131" s="11">
        <v>7.0000000000000007E-2</v>
      </c>
      <c r="AM4131" s="19">
        <v>593223.75</v>
      </c>
      <c r="AN4131" s="19">
        <v>649223.75</v>
      </c>
      <c r="AP4131" s="14">
        <v>649223.75</v>
      </c>
      <c r="AQ4131" s="12">
        <v>3.0000000000000001E-3</v>
      </c>
    </row>
    <row r="4132" spans="1:45" ht="63" x14ac:dyDescent="0.2">
      <c r="A4132" s="2">
        <v>3507</v>
      </c>
      <c r="B4132" s="13">
        <v>2</v>
      </c>
      <c r="C4132" s="17" t="s">
        <v>52</v>
      </c>
      <c r="D4132" s="17">
        <v>14111</v>
      </c>
      <c r="E4132" s="17">
        <v>532</v>
      </c>
      <c r="F4132" s="17">
        <v>3293</v>
      </c>
      <c r="G4132" s="13">
        <v>2</v>
      </c>
      <c r="H4132" s="17">
        <v>0</v>
      </c>
      <c r="I4132" s="17">
        <v>0</v>
      </c>
      <c r="J4132" s="17">
        <v>97.01</v>
      </c>
      <c r="M4132" s="15" t="s">
        <v>223</v>
      </c>
      <c r="P4132" s="17">
        <v>3</v>
      </c>
      <c r="Q4132" s="19">
        <v>97.01</v>
      </c>
      <c r="R4132" s="14">
        <v>250</v>
      </c>
      <c r="S4132" s="19">
        <v>24252.5</v>
      </c>
      <c r="T4132" s="17">
        <v>1</v>
      </c>
      <c r="U4132" s="17" t="s">
        <v>63</v>
      </c>
      <c r="V4132" s="17" t="s">
        <v>56</v>
      </c>
      <c r="W4132" s="4">
        <v>228</v>
      </c>
      <c r="Z4132" s="17">
        <v>228</v>
      </c>
      <c r="AB4132" s="17">
        <v>5</v>
      </c>
      <c r="AE4132" s="17" t="s">
        <v>224</v>
      </c>
      <c r="AF4132" s="14">
        <v>3</v>
      </c>
      <c r="AG4132" s="54">
        <v>228</v>
      </c>
      <c r="AH4132" s="11">
        <v>1</v>
      </c>
      <c r="AI4132" s="14">
        <v>8100</v>
      </c>
      <c r="AJ4132" s="19">
        <v>1846800</v>
      </c>
      <c r="AK4132" s="23">
        <v>5</v>
      </c>
      <c r="AL4132" s="11">
        <v>0.05</v>
      </c>
      <c r="AM4132" s="19">
        <v>1754460</v>
      </c>
      <c r="AN4132" s="19">
        <v>1778712.5</v>
      </c>
      <c r="AP4132" s="14">
        <v>1778712.5</v>
      </c>
      <c r="AQ4132" s="12">
        <v>3.0000000000000001E-3</v>
      </c>
    </row>
    <row r="4133" spans="1:45" x14ac:dyDescent="0.2">
      <c r="A4133" s="2">
        <f>+A4132+1</f>
        <v>3508</v>
      </c>
      <c r="B4133" s="13">
        <v>3</v>
      </c>
      <c r="C4133" s="17" t="s">
        <v>52</v>
      </c>
      <c r="D4133" s="17">
        <v>14112</v>
      </c>
      <c r="E4133" s="17">
        <v>533</v>
      </c>
      <c r="F4133" s="17">
        <v>3294</v>
      </c>
      <c r="G4133" s="13">
        <v>2</v>
      </c>
      <c r="H4133" s="17">
        <v>0</v>
      </c>
      <c r="I4133" s="17">
        <v>0</v>
      </c>
      <c r="J4133" s="17">
        <v>24.08</v>
      </c>
      <c r="K4133" s="10">
        <v>24.08</v>
      </c>
      <c r="P4133" s="17">
        <v>1</v>
      </c>
      <c r="Q4133" s="19">
        <v>24.08</v>
      </c>
      <c r="R4133" s="14">
        <v>250</v>
      </c>
      <c r="S4133" s="19">
        <v>6020</v>
      </c>
      <c r="AJ4133" s="19">
        <v>0</v>
      </c>
      <c r="AK4133" s="23">
        <v>0</v>
      </c>
      <c r="AM4133" s="19">
        <v>0</v>
      </c>
      <c r="AN4133" s="19">
        <v>6020</v>
      </c>
      <c r="AP4133" s="14">
        <v>6020</v>
      </c>
    </row>
    <row r="4134" spans="1:45" x14ac:dyDescent="0.2">
      <c r="A4134" s="121">
        <f t="shared" ref="A4134:A4145" si="507">+A4133+1</f>
        <v>3509</v>
      </c>
      <c r="B4134" s="13">
        <v>4</v>
      </c>
      <c r="C4134" s="17" t="s">
        <v>52</v>
      </c>
      <c r="D4134" s="17">
        <v>2118</v>
      </c>
      <c r="E4134" s="17">
        <v>7</v>
      </c>
      <c r="F4134" s="17">
        <v>1682</v>
      </c>
      <c r="G4134" s="13">
        <v>3</v>
      </c>
      <c r="H4134" s="17">
        <v>0</v>
      </c>
      <c r="I4134" s="17">
        <v>2</v>
      </c>
      <c r="J4134" s="17">
        <v>33</v>
      </c>
      <c r="K4134" s="10">
        <v>233</v>
      </c>
      <c r="P4134" s="17">
        <v>4</v>
      </c>
      <c r="Q4134" s="19">
        <v>233</v>
      </c>
      <c r="R4134" s="14">
        <v>2000</v>
      </c>
      <c r="S4134" s="19">
        <v>466000</v>
      </c>
      <c r="AJ4134" s="19">
        <v>0</v>
      </c>
      <c r="AK4134" s="23">
        <v>0</v>
      </c>
      <c r="AM4134" s="19">
        <v>0</v>
      </c>
      <c r="AN4134" s="19">
        <v>466000</v>
      </c>
      <c r="AP4134" s="14">
        <v>466000</v>
      </c>
      <c r="AQ4134" s="12">
        <v>3.0000000000000001E-3</v>
      </c>
    </row>
    <row r="4135" spans="1:45" x14ac:dyDescent="0.2">
      <c r="A4135" s="121">
        <f t="shared" si="507"/>
        <v>3510</v>
      </c>
      <c r="B4135" s="13">
        <v>5</v>
      </c>
      <c r="C4135" s="17" t="s">
        <v>52</v>
      </c>
      <c r="D4135" s="17">
        <v>2180</v>
      </c>
      <c r="E4135" s="17">
        <v>90</v>
      </c>
      <c r="F4135" s="17">
        <v>1783</v>
      </c>
      <c r="G4135" s="13">
        <v>3</v>
      </c>
      <c r="H4135" s="17">
        <v>0</v>
      </c>
      <c r="I4135" s="17">
        <v>1</v>
      </c>
      <c r="J4135" s="17">
        <v>23</v>
      </c>
      <c r="K4135" s="10">
        <v>123</v>
      </c>
      <c r="P4135" s="17">
        <v>1</v>
      </c>
      <c r="Q4135" s="19">
        <v>123</v>
      </c>
      <c r="R4135" s="14">
        <v>1500</v>
      </c>
      <c r="S4135" s="19">
        <v>184500</v>
      </c>
      <c r="AJ4135" s="19">
        <v>0</v>
      </c>
      <c r="AK4135" s="23">
        <v>0</v>
      </c>
      <c r="AM4135" s="19">
        <v>0</v>
      </c>
      <c r="AN4135" s="19">
        <v>184500</v>
      </c>
      <c r="AP4135" s="14">
        <v>184500</v>
      </c>
    </row>
    <row r="4136" spans="1:45" x14ac:dyDescent="0.2">
      <c r="A4136" s="121">
        <f t="shared" si="507"/>
        <v>3511</v>
      </c>
      <c r="B4136" s="13">
        <v>6</v>
      </c>
      <c r="C4136" s="17" t="s">
        <v>97</v>
      </c>
      <c r="D4136" s="17">
        <v>317</v>
      </c>
      <c r="G4136" s="13">
        <v>2</v>
      </c>
      <c r="H4136" s="17">
        <v>6</v>
      </c>
      <c r="I4136" s="17">
        <v>0</v>
      </c>
      <c r="J4136" s="17">
        <v>0</v>
      </c>
      <c r="K4136" s="10">
        <v>2400</v>
      </c>
      <c r="P4136" s="17">
        <v>1</v>
      </c>
      <c r="Q4136" s="19">
        <v>2400</v>
      </c>
      <c r="R4136" s="14">
        <v>160</v>
      </c>
      <c r="S4136" s="19">
        <v>384000</v>
      </c>
      <c r="AE4136" s="17" t="s">
        <v>225</v>
      </c>
      <c r="AJ4136" s="19">
        <v>0</v>
      </c>
      <c r="AK4136" s="23">
        <v>0</v>
      </c>
      <c r="AM4136" s="19">
        <v>0</v>
      </c>
      <c r="AN4136" s="19">
        <v>384000</v>
      </c>
      <c r="AP4136" s="14">
        <v>384000</v>
      </c>
      <c r="AQ4136" s="12">
        <v>2.0000000000000001E-4</v>
      </c>
    </row>
    <row r="4137" spans="1:45" ht="63" x14ac:dyDescent="0.2">
      <c r="A4137" s="121">
        <f t="shared" si="507"/>
        <v>3512</v>
      </c>
      <c r="B4137" s="13">
        <v>7</v>
      </c>
      <c r="C4137" s="17" t="s">
        <v>52</v>
      </c>
      <c r="D4137" s="17">
        <v>1424</v>
      </c>
      <c r="E4137" s="17">
        <v>2</v>
      </c>
      <c r="F4137" s="17">
        <v>863</v>
      </c>
      <c r="G4137" s="13">
        <v>2</v>
      </c>
      <c r="H4137" s="17">
        <v>0</v>
      </c>
      <c r="I4137" s="17">
        <v>0</v>
      </c>
      <c r="J4137" s="17">
        <v>48</v>
      </c>
      <c r="L4137" s="17" t="s">
        <v>226</v>
      </c>
      <c r="P4137" s="17">
        <v>2</v>
      </c>
      <c r="Q4137" s="19">
        <v>48</v>
      </c>
      <c r="R4137" s="14">
        <v>2000</v>
      </c>
      <c r="S4137" s="19">
        <v>96000</v>
      </c>
      <c r="T4137" s="17">
        <v>1</v>
      </c>
      <c r="U4137" s="17" t="s">
        <v>57</v>
      </c>
      <c r="V4137" s="17" t="s">
        <v>56</v>
      </c>
      <c r="W4137" s="4">
        <v>128</v>
      </c>
      <c r="Y4137" s="4">
        <v>128</v>
      </c>
      <c r="AB4137" s="17">
        <v>21</v>
      </c>
      <c r="AJ4137" s="19">
        <v>0</v>
      </c>
      <c r="AK4137" s="23">
        <v>21</v>
      </c>
      <c r="AM4137" s="19">
        <v>0</v>
      </c>
      <c r="AN4137" s="19">
        <v>96000</v>
      </c>
      <c r="AP4137" s="14">
        <v>96000</v>
      </c>
    </row>
    <row r="4138" spans="1:45" x14ac:dyDescent="0.2">
      <c r="A4138" s="121">
        <f>+A4137+1</f>
        <v>3513</v>
      </c>
      <c r="B4138" s="13">
        <v>1</v>
      </c>
      <c r="C4138" s="17" t="s">
        <v>52</v>
      </c>
      <c r="D4138" s="17">
        <v>1623</v>
      </c>
      <c r="E4138" s="17">
        <v>31</v>
      </c>
      <c r="F4138" s="17">
        <v>1359</v>
      </c>
      <c r="G4138" s="13">
        <v>2</v>
      </c>
      <c r="H4138" s="17">
        <v>0</v>
      </c>
      <c r="I4138" s="17">
        <v>0</v>
      </c>
      <c r="J4138" s="17">
        <v>83</v>
      </c>
      <c r="L4138" s="17">
        <v>83</v>
      </c>
      <c r="P4138" s="17">
        <v>2</v>
      </c>
      <c r="Q4138" s="19">
        <v>83</v>
      </c>
      <c r="R4138" s="14">
        <v>4500</v>
      </c>
      <c r="S4138" s="19">
        <v>373500</v>
      </c>
      <c r="AJ4138" s="19">
        <v>0</v>
      </c>
      <c r="AK4138" s="23">
        <v>0</v>
      </c>
      <c r="AM4138" s="19">
        <v>0</v>
      </c>
      <c r="AN4138" s="19">
        <v>373500</v>
      </c>
      <c r="AP4138" s="14">
        <v>373500</v>
      </c>
    </row>
    <row r="4139" spans="1:45" ht="147" x14ac:dyDescent="0.2">
      <c r="A4139" s="121">
        <f t="shared" si="507"/>
        <v>3514</v>
      </c>
      <c r="B4139" s="13">
        <v>2</v>
      </c>
      <c r="C4139" s="17" t="s">
        <v>52</v>
      </c>
      <c r="D4139" s="17">
        <v>11644</v>
      </c>
      <c r="E4139" s="17">
        <v>135</v>
      </c>
      <c r="F4139" s="17">
        <v>3172</v>
      </c>
      <c r="H4139" s="17">
        <v>0</v>
      </c>
      <c r="I4139" s="17">
        <v>0</v>
      </c>
      <c r="J4139" s="17">
        <v>37.07</v>
      </c>
      <c r="N4139" s="18">
        <v>37.07</v>
      </c>
      <c r="P4139" s="17">
        <v>4</v>
      </c>
      <c r="Q4139" s="19">
        <v>37.07</v>
      </c>
      <c r="R4139" s="14">
        <v>2000</v>
      </c>
      <c r="S4139" s="19">
        <v>74140</v>
      </c>
      <c r="AJ4139" s="19">
        <v>0</v>
      </c>
      <c r="AK4139" s="23">
        <v>0</v>
      </c>
      <c r="AM4139" s="19">
        <v>0</v>
      </c>
      <c r="AN4139" s="19">
        <v>74140</v>
      </c>
      <c r="AP4139" s="14">
        <v>74140</v>
      </c>
      <c r="AQ4139" s="12">
        <v>3.0000000000000001E-3</v>
      </c>
      <c r="AR4139" s="19" t="s">
        <v>359</v>
      </c>
    </row>
    <row r="4140" spans="1:45" x14ac:dyDescent="0.2">
      <c r="A4140" s="121">
        <f t="shared" si="507"/>
        <v>3515</v>
      </c>
      <c r="B4140" s="13">
        <v>3</v>
      </c>
      <c r="C4140" s="17" t="s">
        <v>52</v>
      </c>
      <c r="D4140" s="17">
        <v>33703</v>
      </c>
      <c r="E4140" s="17">
        <v>261</v>
      </c>
      <c r="F4140" s="17">
        <v>6396</v>
      </c>
      <c r="H4140" s="17">
        <v>9</v>
      </c>
      <c r="I4140" s="17">
        <v>1</v>
      </c>
      <c r="J4140" s="17">
        <v>75</v>
      </c>
      <c r="K4140" s="10">
        <v>3775</v>
      </c>
      <c r="P4140" s="17">
        <v>1</v>
      </c>
      <c r="Q4140" s="19">
        <v>3775</v>
      </c>
      <c r="R4140" s="14">
        <v>160</v>
      </c>
      <c r="S4140" s="19">
        <v>604000</v>
      </c>
      <c r="AJ4140" s="19">
        <v>0</v>
      </c>
      <c r="AK4140" s="23">
        <v>0</v>
      </c>
      <c r="AM4140" s="19">
        <v>0</v>
      </c>
      <c r="AN4140" s="19">
        <v>604000</v>
      </c>
      <c r="AP4140" s="14">
        <v>604000</v>
      </c>
    </row>
    <row r="4141" spans="1:45" x14ac:dyDescent="0.2">
      <c r="A4141" s="121">
        <f t="shared" si="507"/>
        <v>3516</v>
      </c>
      <c r="B4141" s="13">
        <v>1</v>
      </c>
      <c r="C4141" s="17" t="s">
        <v>52</v>
      </c>
      <c r="D4141" s="17">
        <v>3749</v>
      </c>
      <c r="E4141" s="17">
        <v>8</v>
      </c>
      <c r="F4141" s="17">
        <v>2271</v>
      </c>
      <c r="G4141" s="13">
        <v>2</v>
      </c>
      <c r="H4141" s="17">
        <v>4</v>
      </c>
      <c r="I4141" s="17">
        <v>0</v>
      </c>
      <c r="J4141" s="17">
        <v>59</v>
      </c>
      <c r="K4141" s="10">
        <v>1659</v>
      </c>
      <c r="P4141" s="17">
        <v>1</v>
      </c>
      <c r="Q4141" s="19">
        <v>1659</v>
      </c>
      <c r="R4141" s="14">
        <v>200</v>
      </c>
      <c r="S4141" s="19">
        <v>331800</v>
      </c>
      <c r="AJ4141" s="19">
        <v>0</v>
      </c>
      <c r="AK4141" s="23">
        <v>0</v>
      </c>
      <c r="AM4141" s="19">
        <v>0</v>
      </c>
      <c r="AN4141" s="19">
        <v>331800</v>
      </c>
      <c r="AP4141" s="14">
        <v>331800</v>
      </c>
    </row>
    <row r="4142" spans="1:45" ht="63" x14ac:dyDescent="0.2">
      <c r="A4142" s="121">
        <f t="shared" si="507"/>
        <v>3517</v>
      </c>
      <c r="B4142" s="13">
        <v>1</v>
      </c>
      <c r="C4142" s="17" t="s">
        <v>52</v>
      </c>
      <c r="D4142" s="17">
        <v>413</v>
      </c>
      <c r="E4142" s="17">
        <v>508</v>
      </c>
      <c r="F4142" s="17">
        <v>5</v>
      </c>
      <c r="G4142" s="13">
        <v>2</v>
      </c>
      <c r="H4142" s="17">
        <v>0</v>
      </c>
      <c r="I4142" s="17">
        <v>0</v>
      </c>
      <c r="J4142" s="17">
        <v>69.06</v>
      </c>
      <c r="L4142" s="17">
        <v>69.06</v>
      </c>
      <c r="P4142" s="17">
        <v>2</v>
      </c>
      <c r="Q4142" s="19">
        <v>69.06</v>
      </c>
      <c r="R4142" s="14">
        <v>1500</v>
      </c>
      <c r="S4142" s="19">
        <v>103590</v>
      </c>
      <c r="T4142" s="17">
        <v>1</v>
      </c>
      <c r="U4142" s="17" t="s">
        <v>57</v>
      </c>
      <c r="V4142" s="17" t="s">
        <v>56</v>
      </c>
      <c r="W4142" s="4">
        <v>90</v>
      </c>
      <c r="Y4142" s="4">
        <v>90</v>
      </c>
      <c r="AB4142" s="17">
        <v>27</v>
      </c>
      <c r="AJ4142" s="19">
        <v>0</v>
      </c>
      <c r="AK4142" s="23">
        <v>27</v>
      </c>
      <c r="AM4142" s="19">
        <v>0</v>
      </c>
      <c r="AN4142" s="19">
        <v>103590</v>
      </c>
      <c r="AP4142" s="14">
        <v>103590</v>
      </c>
    </row>
    <row r="4143" spans="1:45" x14ac:dyDescent="0.2">
      <c r="A4143" s="121">
        <f>+A4142+1</f>
        <v>3518</v>
      </c>
      <c r="B4143" s="13">
        <v>2</v>
      </c>
      <c r="C4143" s="17" t="s">
        <v>52</v>
      </c>
      <c r="D4143" s="17">
        <v>395</v>
      </c>
      <c r="E4143" s="17">
        <v>501</v>
      </c>
      <c r="F4143" s="17">
        <v>42</v>
      </c>
      <c r="H4143" s="17">
        <v>9</v>
      </c>
      <c r="I4143" s="17">
        <v>3</v>
      </c>
      <c r="J4143" s="17">
        <v>53.01</v>
      </c>
      <c r="K4143" s="10">
        <v>3953.01</v>
      </c>
      <c r="P4143" s="17">
        <v>1</v>
      </c>
      <c r="Q4143" s="19">
        <v>3953.01</v>
      </c>
      <c r="R4143" s="14">
        <v>200</v>
      </c>
      <c r="S4143" s="19">
        <v>790602</v>
      </c>
      <c r="AJ4143" s="19">
        <v>0</v>
      </c>
      <c r="AK4143" s="23">
        <v>0</v>
      </c>
      <c r="AM4143" s="19">
        <v>0</v>
      </c>
      <c r="AN4143" s="19">
        <v>790602</v>
      </c>
      <c r="AP4143" s="14">
        <v>790602</v>
      </c>
    </row>
    <row r="4144" spans="1:45" x14ac:dyDescent="0.2">
      <c r="A4144" s="121">
        <f t="shared" si="507"/>
        <v>3519</v>
      </c>
      <c r="B4144" s="13">
        <v>1</v>
      </c>
      <c r="C4144" s="17" t="s">
        <v>52</v>
      </c>
      <c r="D4144" s="17">
        <v>1662</v>
      </c>
      <c r="E4144" s="17">
        <v>1</v>
      </c>
      <c r="F4144" s="17">
        <v>861</v>
      </c>
      <c r="G4144" s="13">
        <v>2</v>
      </c>
      <c r="H4144" s="17">
        <v>0</v>
      </c>
      <c r="I4144" s="17">
        <v>0</v>
      </c>
      <c r="J4144" s="17">
        <v>69</v>
      </c>
      <c r="N4144" s="18">
        <v>69</v>
      </c>
      <c r="P4144" s="17">
        <v>4</v>
      </c>
      <c r="Q4144" s="19">
        <v>69</v>
      </c>
      <c r="R4144" s="14">
        <v>2000</v>
      </c>
      <c r="S4144" s="19">
        <v>138000</v>
      </c>
      <c r="AJ4144" s="19">
        <v>0</v>
      </c>
      <c r="AK4144" s="23">
        <v>0</v>
      </c>
      <c r="AM4144" s="19">
        <v>0</v>
      </c>
      <c r="AN4144" s="19">
        <v>138000</v>
      </c>
      <c r="AP4144" s="14">
        <v>138000</v>
      </c>
      <c r="AQ4144" s="12">
        <v>3.0000000000000001E-3</v>
      </c>
    </row>
    <row r="4145" spans="1:45" x14ac:dyDescent="0.2">
      <c r="A4145" s="121">
        <f t="shared" si="507"/>
        <v>3520</v>
      </c>
      <c r="B4145" s="13">
        <v>2</v>
      </c>
      <c r="C4145" s="17" t="s">
        <v>52</v>
      </c>
      <c r="D4145" s="17">
        <v>15864</v>
      </c>
      <c r="E4145" s="17">
        <v>37</v>
      </c>
      <c r="F4145" s="17">
        <v>3454</v>
      </c>
      <c r="G4145" s="13">
        <v>3</v>
      </c>
      <c r="H4145" s="17">
        <v>3</v>
      </c>
      <c r="I4145" s="17">
        <v>0</v>
      </c>
      <c r="J4145" s="17">
        <v>29</v>
      </c>
      <c r="K4145" s="10">
        <v>1229</v>
      </c>
      <c r="P4145" s="17">
        <v>1</v>
      </c>
      <c r="Q4145" s="19">
        <v>1229</v>
      </c>
      <c r="R4145" s="14">
        <v>500</v>
      </c>
      <c r="S4145" s="19">
        <v>614500</v>
      </c>
      <c r="AJ4145" s="19">
        <v>0</v>
      </c>
      <c r="AK4145" s="23">
        <v>0</v>
      </c>
      <c r="AM4145" s="19">
        <v>0</v>
      </c>
      <c r="AN4145" s="19">
        <v>614500</v>
      </c>
      <c r="AP4145" s="14">
        <v>614500</v>
      </c>
    </row>
    <row r="4146" spans="1:45" x14ac:dyDescent="0.2">
      <c r="B4146" s="13">
        <v>3</v>
      </c>
      <c r="C4146" s="17" t="s">
        <v>65</v>
      </c>
      <c r="D4146" s="17">
        <v>3513</v>
      </c>
      <c r="E4146" s="17">
        <v>78</v>
      </c>
      <c r="H4146" s="17">
        <v>3</v>
      </c>
      <c r="I4146" s="17">
        <v>1</v>
      </c>
      <c r="J4146" s="17">
        <v>43</v>
      </c>
      <c r="K4146" s="10">
        <v>1343</v>
      </c>
      <c r="Q4146" s="19">
        <v>1343</v>
      </c>
      <c r="R4146" s="14" t="e">
        <v>#N/A</v>
      </c>
      <c r="S4146" s="19" t="e">
        <v>#N/A</v>
      </c>
      <c r="AE4146" s="17" t="s">
        <v>95</v>
      </c>
      <c r="AJ4146" s="19">
        <v>0</v>
      </c>
      <c r="AK4146" s="23">
        <v>0</v>
      </c>
      <c r="AM4146" s="19">
        <v>0</v>
      </c>
      <c r="AN4146" s="19" t="e">
        <v>#N/A</v>
      </c>
      <c r="AP4146" s="14" t="e">
        <v>#N/A</v>
      </c>
      <c r="AQ4146" s="12">
        <v>1E-4</v>
      </c>
    </row>
    <row r="4147" spans="1:45" x14ac:dyDescent="0.2">
      <c r="A4147" s="2">
        <v>3521</v>
      </c>
      <c r="B4147" s="13">
        <v>1</v>
      </c>
      <c r="C4147" s="17" t="s">
        <v>52</v>
      </c>
      <c r="D4147" s="17">
        <v>3396</v>
      </c>
      <c r="E4147" s="17">
        <v>53</v>
      </c>
      <c r="F4147" s="17">
        <v>2182</v>
      </c>
      <c r="G4147" s="13">
        <v>2</v>
      </c>
      <c r="H4147" s="17">
        <v>17</v>
      </c>
      <c r="I4147" s="17">
        <v>2</v>
      </c>
      <c r="J4147" s="17">
        <v>32</v>
      </c>
      <c r="K4147" s="10">
        <v>7032</v>
      </c>
      <c r="P4147" s="17">
        <v>1</v>
      </c>
      <c r="Q4147" s="19">
        <v>7032</v>
      </c>
      <c r="R4147" s="14">
        <v>160</v>
      </c>
      <c r="S4147" s="19">
        <v>1125120</v>
      </c>
      <c r="AJ4147" s="19">
        <v>0</v>
      </c>
      <c r="AK4147" s="23">
        <v>0</v>
      </c>
      <c r="AM4147" s="19">
        <v>0</v>
      </c>
      <c r="AN4147" s="19">
        <v>1125120</v>
      </c>
      <c r="AP4147" s="14">
        <v>1125120</v>
      </c>
    </row>
    <row r="4148" spans="1:45" x14ac:dyDescent="0.2">
      <c r="A4148" s="2">
        <f>+A4147+1</f>
        <v>3522</v>
      </c>
      <c r="B4148" s="13">
        <v>2</v>
      </c>
      <c r="C4148" s="17" t="s">
        <v>52</v>
      </c>
      <c r="D4148" s="17">
        <v>17963</v>
      </c>
      <c r="E4148" s="17">
        <v>61</v>
      </c>
      <c r="F4148" s="17">
        <v>3912</v>
      </c>
      <c r="G4148" s="13">
        <v>3</v>
      </c>
      <c r="H4148" s="17">
        <v>9</v>
      </c>
      <c r="I4148" s="17">
        <v>2</v>
      </c>
      <c r="J4148" s="17">
        <v>56</v>
      </c>
      <c r="K4148" s="10">
        <v>3856</v>
      </c>
      <c r="P4148" s="17">
        <v>1</v>
      </c>
      <c r="Q4148" s="19">
        <v>3856</v>
      </c>
      <c r="R4148" s="14">
        <v>160</v>
      </c>
      <c r="S4148" s="19">
        <v>616960</v>
      </c>
      <c r="AJ4148" s="19">
        <v>0</v>
      </c>
      <c r="AK4148" s="23">
        <v>0</v>
      </c>
      <c r="AM4148" s="19">
        <v>0</v>
      </c>
      <c r="AN4148" s="19">
        <v>616960</v>
      </c>
      <c r="AP4148" s="14">
        <v>616960</v>
      </c>
    </row>
    <row r="4149" spans="1:45" ht="63" x14ac:dyDescent="0.2">
      <c r="A4149" s="121">
        <f t="shared" ref="A4149:A4154" si="508">+A4148+1</f>
        <v>3523</v>
      </c>
      <c r="B4149" s="13">
        <v>1</v>
      </c>
      <c r="C4149" s="17" t="s">
        <v>52</v>
      </c>
      <c r="D4149" s="17">
        <v>1431</v>
      </c>
      <c r="E4149" s="17">
        <v>10</v>
      </c>
      <c r="F4149" s="17">
        <v>871</v>
      </c>
      <c r="G4149" s="13">
        <v>2</v>
      </c>
      <c r="H4149" s="17">
        <v>0</v>
      </c>
      <c r="I4149" s="17">
        <v>0</v>
      </c>
      <c r="J4149" s="17">
        <v>36</v>
      </c>
      <c r="L4149" s="17">
        <v>36</v>
      </c>
      <c r="P4149" s="17">
        <v>2</v>
      </c>
      <c r="Q4149" s="19">
        <v>36</v>
      </c>
      <c r="R4149" s="14">
        <v>2000</v>
      </c>
      <c r="S4149" s="19">
        <v>72000</v>
      </c>
      <c r="T4149" s="17">
        <v>1</v>
      </c>
      <c r="U4149" s="17" t="s">
        <v>57</v>
      </c>
      <c r="V4149" s="17" t="s">
        <v>56</v>
      </c>
      <c r="W4149" s="4">
        <v>83.25</v>
      </c>
      <c r="Y4149" s="4">
        <v>83.25</v>
      </c>
      <c r="AB4149" s="17">
        <v>25</v>
      </c>
      <c r="AJ4149" s="19">
        <v>0</v>
      </c>
      <c r="AK4149" s="23">
        <v>25</v>
      </c>
      <c r="AM4149" s="19">
        <v>0</v>
      </c>
      <c r="AN4149" s="19">
        <v>72000</v>
      </c>
      <c r="AP4149" s="14">
        <v>72000</v>
      </c>
    </row>
    <row r="4150" spans="1:45" x14ac:dyDescent="0.2">
      <c r="A4150" s="121">
        <f t="shared" si="508"/>
        <v>3524</v>
      </c>
      <c r="B4150" s="13">
        <v>1</v>
      </c>
      <c r="C4150" s="17" t="s">
        <v>52</v>
      </c>
      <c r="D4150" s="17">
        <v>3832</v>
      </c>
      <c r="E4150" s="17">
        <v>69</v>
      </c>
      <c r="F4150" s="17">
        <v>2321</v>
      </c>
      <c r="G4150" s="13">
        <v>2</v>
      </c>
      <c r="H4150" s="17">
        <v>0</v>
      </c>
      <c r="I4150" s="17">
        <v>0</v>
      </c>
      <c r="J4150" s="17">
        <v>65</v>
      </c>
      <c r="L4150" s="17">
        <v>65</v>
      </c>
      <c r="P4150" s="17">
        <v>2</v>
      </c>
      <c r="Q4150" s="19">
        <v>65</v>
      </c>
      <c r="R4150" s="14">
        <v>1200</v>
      </c>
      <c r="S4150" s="19">
        <v>78000</v>
      </c>
      <c r="AJ4150" s="19">
        <v>0</v>
      </c>
      <c r="AK4150" s="23">
        <v>0</v>
      </c>
      <c r="AM4150" s="19">
        <v>0</v>
      </c>
      <c r="AN4150" s="19">
        <v>78000</v>
      </c>
      <c r="AP4150" s="14">
        <v>78000</v>
      </c>
    </row>
    <row r="4151" spans="1:45" x14ac:dyDescent="0.2">
      <c r="A4151" s="121">
        <f t="shared" si="508"/>
        <v>3525</v>
      </c>
      <c r="B4151" s="13">
        <v>2</v>
      </c>
      <c r="C4151" s="17" t="s">
        <v>52</v>
      </c>
      <c r="D4151" s="17">
        <v>3836</v>
      </c>
      <c r="E4151" s="17">
        <v>76</v>
      </c>
      <c r="F4151" s="17">
        <v>2329</v>
      </c>
      <c r="G4151" s="13">
        <v>2</v>
      </c>
      <c r="H4151" s="17">
        <v>0</v>
      </c>
      <c r="I4151" s="17">
        <v>0</v>
      </c>
      <c r="J4151" s="17">
        <v>35</v>
      </c>
      <c r="N4151" s="18">
        <v>35</v>
      </c>
      <c r="P4151" s="17">
        <v>4</v>
      </c>
      <c r="Q4151" s="19">
        <v>35</v>
      </c>
      <c r="R4151" s="14">
        <v>1200</v>
      </c>
      <c r="S4151" s="19">
        <v>42000</v>
      </c>
      <c r="AJ4151" s="19">
        <v>0</v>
      </c>
      <c r="AK4151" s="23">
        <v>0</v>
      </c>
      <c r="AM4151" s="19">
        <v>0</v>
      </c>
      <c r="AN4151" s="19">
        <v>42000</v>
      </c>
      <c r="AP4151" s="14">
        <v>42000</v>
      </c>
      <c r="AQ4151" s="12">
        <v>3.0000000000000001E-3</v>
      </c>
    </row>
    <row r="4152" spans="1:45" x14ac:dyDescent="0.2">
      <c r="A4152" s="121">
        <f t="shared" si="508"/>
        <v>3526</v>
      </c>
      <c r="B4152" s="13">
        <v>3</v>
      </c>
      <c r="C4152" s="17" t="s">
        <v>52</v>
      </c>
      <c r="D4152" s="17">
        <v>3837</v>
      </c>
      <c r="E4152" s="17">
        <v>77</v>
      </c>
      <c r="F4152" s="17">
        <v>2330</v>
      </c>
      <c r="G4152" s="13">
        <v>2</v>
      </c>
      <c r="H4152" s="17">
        <v>0</v>
      </c>
      <c r="I4152" s="17">
        <v>0</v>
      </c>
      <c r="J4152" s="17">
        <v>79</v>
      </c>
      <c r="N4152" s="18">
        <v>79</v>
      </c>
      <c r="P4152" s="17">
        <v>4</v>
      </c>
      <c r="Q4152" s="19">
        <v>79</v>
      </c>
      <c r="R4152" s="14">
        <v>1200</v>
      </c>
      <c r="S4152" s="19">
        <v>94800</v>
      </c>
      <c r="AJ4152" s="19">
        <v>0</v>
      </c>
      <c r="AK4152" s="23">
        <v>0</v>
      </c>
      <c r="AM4152" s="19">
        <v>0</v>
      </c>
      <c r="AN4152" s="19">
        <v>94800</v>
      </c>
      <c r="AP4152" s="14">
        <v>94800</v>
      </c>
      <c r="AQ4152" s="12">
        <v>3.0000000000000001E-3</v>
      </c>
    </row>
    <row r="4153" spans="1:45" x14ac:dyDescent="0.2">
      <c r="A4153" s="121">
        <f t="shared" si="508"/>
        <v>3527</v>
      </c>
      <c r="B4153" s="13">
        <v>4</v>
      </c>
      <c r="C4153" s="17" t="s">
        <v>65</v>
      </c>
      <c r="D4153" s="17">
        <v>3349</v>
      </c>
      <c r="E4153" s="17">
        <v>14</v>
      </c>
      <c r="H4153" s="17">
        <v>0</v>
      </c>
      <c r="I4153" s="17">
        <v>0</v>
      </c>
      <c r="J4153" s="17">
        <v>60</v>
      </c>
      <c r="N4153" s="18">
        <v>60</v>
      </c>
      <c r="P4153" s="17">
        <v>4</v>
      </c>
      <c r="Q4153" s="19">
        <v>60</v>
      </c>
      <c r="R4153" s="14">
        <v>4500</v>
      </c>
      <c r="S4153" s="19">
        <v>270000</v>
      </c>
      <c r="AJ4153" s="19">
        <v>0</v>
      </c>
      <c r="AK4153" s="23">
        <v>0</v>
      </c>
      <c r="AM4153" s="19">
        <v>0</v>
      </c>
      <c r="AN4153" s="19">
        <v>270000</v>
      </c>
      <c r="AP4153" s="14">
        <v>270000</v>
      </c>
      <c r="AQ4153" s="12">
        <v>3.0000000000000001E-3</v>
      </c>
    </row>
    <row r="4154" spans="1:45" x14ac:dyDescent="0.2">
      <c r="A4154" s="121">
        <f t="shared" si="508"/>
        <v>3528</v>
      </c>
      <c r="B4154" s="13">
        <v>5</v>
      </c>
      <c r="C4154" s="17" t="s">
        <v>65</v>
      </c>
      <c r="D4154" s="17">
        <v>3350</v>
      </c>
      <c r="E4154" s="17">
        <v>15</v>
      </c>
      <c r="H4154" s="17">
        <v>0</v>
      </c>
      <c r="I4154" s="17">
        <v>0</v>
      </c>
      <c r="J4154" s="17">
        <v>60</v>
      </c>
      <c r="N4154" s="18">
        <v>60</v>
      </c>
      <c r="P4154" s="17">
        <v>4</v>
      </c>
      <c r="Q4154" s="19">
        <v>60</v>
      </c>
      <c r="R4154" s="14">
        <v>4500</v>
      </c>
      <c r="S4154" s="19">
        <v>270000</v>
      </c>
      <c r="AJ4154" s="19">
        <v>0</v>
      </c>
      <c r="AK4154" s="23">
        <v>0</v>
      </c>
      <c r="AM4154" s="19">
        <v>0</v>
      </c>
      <c r="AN4154" s="19">
        <v>270000</v>
      </c>
      <c r="AP4154" s="14">
        <v>270000</v>
      </c>
      <c r="AQ4154" s="12">
        <v>3.0000000000000001E-3</v>
      </c>
    </row>
    <row r="4155" spans="1:45" ht="63" x14ac:dyDescent="0.2">
      <c r="B4155" s="13">
        <v>1</v>
      </c>
      <c r="C4155" s="17" t="s">
        <v>65</v>
      </c>
      <c r="D4155" s="17">
        <v>1264</v>
      </c>
      <c r="E4155" s="17">
        <v>122</v>
      </c>
      <c r="H4155" s="17">
        <v>6</v>
      </c>
      <c r="I4155" s="17">
        <v>1</v>
      </c>
      <c r="J4155" s="17">
        <v>26</v>
      </c>
      <c r="K4155" s="10">
        <v>2526</v>
      </c>
      <c r="Q4155" s="19">
        <v>2526</v>
      </c>
      <c r="R4155" s="14" t="e">
        <v>#N/A</v>
      </c>
      <c r="S4155" s="19" t="e">
        <v>#N/A</v>
      </c>
      <c r="AE4155" s="17" t="s">
        <v>94</v>
      </c>
      <c r="AJ4155" s="19">
        <v>0</v>
      </c>
      <c r="AK4155" s="23">
        <v>0</v>
      </c>
      <c r="AM4155" s="19">
        <v>0</v>
      </c>
      <c r="AN4155" s="19" t="e">
        <v>#N/A</v>
      </c>
      <c r="AP4155" s="14" t="e">
        <v>#N/A</v>
      </c>
      <c r="AQ4155" s="12">
        <v>1E-4</v>
      </c>
      <c r="AR4155" s="19">
        <v>1500</v>
      </c>
      <c r="AS4155" s="26">
        <v>1500</v>
      </c>
    </row>
    <row r="4156" spans="1:45" ht="63" x14ac:dyDescent="0.2">
      <c r="A4156" s="2">
        <v>3529</v>
      </c>
      <c r="B4156" s="13">
        <v>1</v>
      </c>
      <c r="C4156" s="17" t="s">
        <v>52</v>
      </c>
      <c r="D4156" s="17">
        <v>1665</v>
      </c>
      <c r="E4156" s="17">
        <v>4</v>
      </c>
      <c r="F4156" s="17">
        <v>784</v>
      </c>
      <c r="G4156" s="13">
        <v>6</v>
      </c>
      <c r="H4156" s="17">
        <v>0</v>
      </c>
      <c r="I4156" s="17">
        <v>1</v>
      </c>
      <c r="J4156" s="17">
        <v>16</v>
      </c>
      <c r="L4156" s="17">
        <v>60</v>
      </c>
      <c r="N4156" s="18">
        <v>56</v>
      </c>
      <c r="P4156" s="17">
        <v>2</v>
      </c>
      <c r="Q4156" s="19">
        <v>116</v>
      </c>
      <c r="R4156" s="14">
        <v>4500</v>
      </c>
      <c r="S4156" s="19">
        <v>522000</v>
      </c>
      <c r="T4156" s="17">
        <v>1</v>
      </c>
      <c r="U4156" s="17" t="s">
        <v>57</v>
      </c>
      <c r="V4156" s="17" t="s">
        <v>56</v>
      </c>
      <c r="W4156" s="4">
        <v>240</v>
      </c>
      <c r="Y4156" s="4">
        <v>240</v>
      </c>
      <c r="AB4156" s="17" t="s">
        <v>360</v>
      </c>
      <c r="AE4156" s="17">
        <v>83</v>
      </c>
      <c r="AF4156" s="14">
        <v>2</v>
      </c>
      <c r="AG4156" s="54">
        <v>240</v>
      </c>
      <c r="AH4156" s="11">
        <v>0.83</v>
      </c>
      <c r="AI4156" s="14">
        <v>7250</v>
      </c>
      <c r="AJ4156" s="19">
        <v>1444200</v>
      </c>
      <c r="AK4156" s="23" t="s">
        <v>360</v>
      </c>
      <c r="AL4156" s="11">
        <v>0.1</v>
      </c>
      <c r="AM4156" s="19">
        <v>1299780</v>
      </c>
      <c r="AN4156" s="19">
        <v>1733040</v>
      </c>
      <c r="AP4156" s="14">
        <v>1733040</v>
      </c>
    </row>
    <row r="4157" spans="1:45" x14ac:dyDescent="0.2">
      <c r="P4157" s="17">
        <v>3</v>
      </c>
      <c r="R4157" s="14" t="e">
        <v>#N/A</v>
      </c>
      <c r="AF4157" s="14">
        <v>3</v>
      </c>
      <c r="AG4157" s="54">
        <v>240</v>
      </c>
      <c r="AH4157" s="11">
        <v>0.17</v>
      </c>
      <c r="AI4157" s="14">
        <v>7250</v>
      </c>
      <c r="AJ4157" s="19">
        <v>295800.00000000006</v>
      </c>
      <c r="AK4157" s="23">
        <v>10</v>
      </c>
      <c r="AL4157" s="11">
        <v>0.1</v>
      </c>
      <c r="AM4157" s="19">
        <v>266220.00000000006</v>
      </c>
      <c r="AN4157" s="19">
        <v>354960.00000000006</v>
      </c>
      <c r="AP4157" s="14">
        <v>354960.00000000006</v>
      </c>
      <c r="AQ4157" s="12">
        <v>3.0000000000000001E-3</v>
      </c>
    </row>
    <row r="4158" spans="1:45" x14ac:dyDescent="0.2">
      <c r="B4158" s="13">
        <v>2</v>
      </c>
      <c r="C4158" s="17" t="s">
        <v>52</v>
      </c>
      <c r="D4158" s="17">
        <v>16084</v>
      </c>
      <c r="E4158" s="17">
        <v>15</v>
      </c>
      <c r="F4158" s="17">
        <v>3562</v>
      </c>
      <c r="H4158" s="17">
        <v>9</v>
      </c>
      <c r="I4158" s="17">
        <v>3</v>
      </c>
      <c r="J4158" s="17">
        <v>5</v>
      </c>
      <c r="K4158" s="10" t="s">
        <v>361</v>
      </c>
      <c r="R4158" s="14" t="e">
        <v>#N/A</v>
      </c>
    </row>
    <row r="4159" spans="1:45" x14ac:dyDescent="0.2">
      <c r="A4159" s="2">
        <v>3530</v>
      </c>
      <c r="B4159" s="13">
        <v>3</v>
      </c>
      <c r="C4159" s="17" t="s">
        <v>69</v>
      </c>
      <c r="E4159" s="17">
        <v>1512</v>
      </c>
      <c r="F4159" s="17">
        <v>1</v>
      </c>
      <c r="G4159" s="13">
        <v>6</v>
      </c>
      <c r="H4159" s="17">
        <v>24</v>
      </c>
      <c r="I4159" s="17">
        <v>2</v>
      </c>
      <c r="J4159" s="17">
        <v>25</v>
      </c>
      <c r="K4159" s="10">
        <v>9825</v>
      </c>
      <c r="P4159" s="17">
        <v>1</v>
      </c>
      <c r="Q4159" s="19">
        <v>9825</v>
      </c>
      <c r="R4159" s="14">
        <v>200</v>
      </c>
      <c r="S4159" s="19">
        <v>1965000</v>
      </c>
      <c r="AJ4159" s="19">
        <v>0</v>
      </c>
      <c r="AK4159" s="23">
        <v>0</v>
      </c>
      <c r="AM4159" s="19">
        <v>0</v>
      </c>
      <c r="AN4159" s="19">
        <v>1965000</v>
      </c>
      <c r="AP4159" s="14">
        <v>1965000</v>
      </c>
      <c r="AQ4159" s="12">
        <v>1E-4</v>
      </c>
      <c r="AS4159" s="26">
        <v>54</v>
      </c>
    </row>
    <row r="4160" spans="1:45" x14ac:dyDescent="0.2">
      <c r="A4160" s="2">
        <f>+A4159+1</f>
        <v>3531</v>
      </c>
      <c r="B4160" s="13">
        <v>4</v>
      </c>
      <c r="C4160" s="17" t="s">
        <v>69</v>
      </c>
      <c r="E4160" s="17">
        <v>1512</v>
      </c>
      <c r="F4160" s="17">
        <v>4</v>
      </c>
      <c r="G4160" s="13">
        <v>6</v>
      </c>
      <c r="H4160" s="17">
        <v>5</v>
      </c>
      <c r="I4160" s="17">
        <v>3</v>
      </c>
      <c r="J4160" s="17">
        <v>49</v>
      </c>
      <c r="K4160" s="10">
        <v>2349</v>
      </c>
      <c r="P4160" s="17">
        <v>1</v>
      </c>
      <c r="Q4160" s="19">
        <v>2349</v>
      </c>
      <c r="R4160" s="14">
        <v>160</v>
      </c>
      <c r="S4160" s="19">
        <v>375840</v>
      </c>
      <c r="AJ4160" s="19">
        <v>0</v>
      </c>
      <c r="AK4160" s="23">
        <v>0</v>
      </c>
      <c r="AM4160" s="19">
        <v>0</v>
      </c>
      <c r="AN4160" s="19">
        <v>375840</v>
      </c>
      <c r="AP4160" s="14">
        <v>375840</v>
      </c>
      <c r="AQ4160" s="12">
        <v>1E-4</v>
      </c>
    </row>
    <row r="4161" spans="1:45" x14ac:dyDescent="0.2">
      <c r="A4161" s="121">
        <f t="shared" ref="A4161:A4167" si="509">+A4160+1</f>
        <v>3532</v>
      </c>
      <c r="B4161" s="13">
        <v>1</v>
      </c>
      <c r="C4161" s="17" t="s">
        <v>52</v>
      </c>
      <c r="D4161" s="17">
        <v>420</v>
      </c>
      <c r="E4161" s="17">
        <v>506</v>
      </c>
      <c r="F4161" s="17">
        <v>21</v>
      </c>
      <c r="G4161" s="13">
        <v>2</v>
      </c>
      <c r="H4161" s="17">
        <v>0</v>
      </c>
      <c r="I4161" s="17">
        <v>0</v>
      </c>
      <c r="J4161" s="17">
        <v>57</v>
      </c>
      <c r="L4161" s="17">
        <v>57</v>
      </c>
      <c r="P4161" s="17">
        <v>2</v>
      </c>
      <c r="Q4161" s="19">
        <v>57</v>
      </c>
      <c r="R4161" s="14">
        <v>4500</v>
      </c>
      <c r="S4161" s="19">
        <v>256500</v>
      </c>
      <c r="AJ4161" s="19">
        <v>0</v>
      </c>
      <c r="AK4161" s="23">
        <v>0</v>
      </c>
      <c r="AM4161" s="19">
        <v>0</v>
      </c>
      <c r="AN4161" s="19">
        <v>256500</v>
      </c>
      <c r="AP4161" s="14">
        <v>256500</v>
      </c>
    </row>
    <row r="4162" spans="1:45" x14ac:dyDescent="0.2">
      <c r="A4162" s="121">
        <f t="shared" si="509"/>
        <v>3533</v>
      </c>
      <c r="B4162" s="13">
        <v>2</v>
      </c>
      <c r="C4162" s="17" t="s">
        <v>52</v>
      </c>
      <c r="D4162" s="17">
        <v>23932</v>
      </c>
      <c r="E4162" s="17">
        <v>169</v>
      </c>
      <c r="F4162" s="17">
        <v>4888</v>
      </c>
      <c r="H4162" s="17">
        <v>9</v>
      </c>
      <c r="I4162" s="17">
        <v>2</v>
      </c>
      <c r="J4162" s="17">
        <v>34</v>
      </c>
      <c r="K4162" s="10">
        <v>3834</v>
      </c>
      <c r="P4162" s="17">
        <v>1</v>
      </c>
      <c r="Q4162" s="19">
        <v>3834</v>
      </c>
      <c r="R4162" s="14">
        <v>160</v>
      </c>
      <c r="S4162" s="19">
        <v>613440</v>
      </c>
      <c r="AJ4162" s="19">
        <v>0</v>
      </c>
      <c r="AK4162" s="23">
        <v>0</v>
      </c>
      <c r="AM4162" s="19">
        <v>0</v>
      </c>
      <c r="AN4162" s="19">
        <v>613440</v>
      </c>
      <c r="AP4162" s="14">
        <v>613440</v>
      </c>
    </row>
    <row r="4163" spans="1:45" x14ac:dyDescent="0.2">
      <c r="A4163" s="121">
        <f t="shared" si="509"/>
        <v>3534</v>
      </c>
      <c r="B4163" s="13">
        <v>3</v>
      </c>
      <c r="C4163" s="17" t="s">
        <v>52</v>
      </c>
      <c r="D4163" s="17">
        <v>23934</v>
      </c>
      <c r="E4163" s="17">
        <v>171</v>
      </c>
      <c r="F4163" s="17">
        <v>4890</v>
      </c>
      <c r="H4163" s="17">
        <v>1</v>
      </c>
      <c r="I4163" s="17">
        <v>3</v>
      </c>
      <c r="J4163" s="17">
        <v>64</v>
      </c>
      <c r="K4163" s="10">
        <v>764</v>
      </c>
      <c r="P4163" s="17">
        <v>1</v>
      </c>
      <c r="Q4163" s="19">
        <v>764</v>
      </c>
      <c r="R4163" s="14">
        <v>160</v>
      </c>
      <c r="S4163" s="19">
        <v>122240</v>
      </c>
      <c r="AJ4163" s="19">
        <v>0</v>
      </c>
      <c r="AK4163" s="23">
        <v>0</v>
      </c>
      <c r="AM4163" s="19">
        <v>0</v>
      </c>
      <c r="AN4163" s="19">
        <v>122240</v>
      </c>
      <c r="AP4163" s="14">
        <v>122240</v>
      </c>
    </row>
    <row r="4164" spans="1:45" ht="42" x14ac:dyDescent="0.2">
      <c r="A4164" s="121">
        <f t="shared" si="509"/>
        <v>3535</v>
      </c>
      <c r="B4164" s="13">
        <v>1</v>
      </c>
      <c r="C4164" s="17" t="s">
        <v>52</v>
      </c>
      <c r="D4164" s="17">
        <v>1699</v>
      </c>
      <c r="E4164" s="17">
        <v>12</v>
      </c>
      <c r="F4164" s="17">
        <v>874</v>
      </c>
      <c r="G4164" s="13">
        <v>2</v>
      </c>
      <c r="H4164" s="17">
        <v>0</v>
      </c>
      <c r="I4164" s="17">
        <v>1</v>
      </c>
      <c r="J4164" s="17">
        <v>25</v>
      </c>
      <c r="N4164" s="18">
        <v>125</v>
      </c>
      <c r="P4164" s="17">
        <v>4</v>
      </c>
      <c r="Q4164" s="19">
        <v>125</v>
      </c>
      <c r="R4164" s="14">
        <v>1000</v>
      </c>
      <c r="S4164" s="19">
        <v>125000</v>
      </c>
      <c r="AJ4164" s="19">
        <v>0</v>
      </c>
      <c r="AK4164" s="23">
        <v>0</v>
      </c>
      <c r="AM4164" s="19">
        <v>0</v>
      </c>
      <c r="AN4164" s="19">
        <v>125000</v>
      </c>
      <c r="AP4164" s="14">
        <v>125000</v>
      </c>
      <c r="AQ4164" s="12">
        <v>3.0000000000000001E-3</v>
      </c>
      <c r="AR4164" s="19">
        <v>3</v>
      </c>
      <c r="AS4164" s="26">
        <v>633</v>
      </c>
    </row>
    <row r="4165" spans="1:45" ht="63" x14ac:dyDescent="0.2">
      <c r="A4165" s="121">
        <f t="shared" si="509"/>
        <v>3536</v>
      </c>
      <c r="B4165" s="13">
        <v>2</v>
      </c>
      <c r="C4165" s="17" t="s">
        <v>97</v>
      </c>
      <c r="D4165" s="17">
        <v>312</v>
      </c>
      <c r="G4165" s="13">
        <v>2</v>
      </c>
      <c r="H4165" s="17">
        <v>0</v>
      </c>
      <c r="I4165" s="17">
        <v>1</v>
      </c>
      <c r="J4165" s="17">
        <v>90</v>
      </c>
      <c r="K4165" s="10">
        <v>190</v>
      </c>
      <c r="P4165" s="17">
        <v>1</v>
      </c>
      <c r="Q4165" s="19">
        <v>190</v>
      </c>
      <c r="R4165" s="14">
        <v>2950</v>
      </c>
      <c r="S4165" s="19">
        <v>560500</v>
      </c>
      <c r="AJ4165" s="19">
        <v>0</v>
      </c>
      <c r="AK4165" s="23">
        <v>0</v>
      </c>
      <c r="AM4165" s="19">
        <v>0</v>
      </c>
      <c r="AN4165" s="19">
        <v>560500</v>
      </c>
      <c r="AP4165" s="14">
        <v>560500</v>
      </c>
      <c r="AQ4165" s="12">
        <v>2.0000000000000001E-4</v>
      </c>
      <c r="AR4165" s="19">
        <v>630</v>
      </c>
    </row>
    <row r="4166" spans="1:45" x14ac:dyDescent="0.2">
      <c r="A4166" s="121">
        <f t="shared" si="509"/>
        <v>3537</v>
      </c>
      <c r="B4166" s="13">
        <v>3</v>
      </c>
      <c r="C4166" s="17" t="s">
        <v>97</v>
      </c>
      <c r="D4166" s="17">
        <v>391</v>
      </c>
      <c r="G4166" s="13">
        <v>2</v>
      </c>
      <c r="H4166" s="17">
        <v>0</v>
      </c>
      <c r="I4166" s="17">
        <v>0</v>
      </c>
      <c r="J4166" s="17">
        <v>62</v>
      </c>
      <c r="K4166" s="10">
        <v>62</v>
      </c>
      <c r="P4166" s="17">
        <v>1</v>
      </c>
      <c r="Q4166" s="19">
        <v>62</v>
      </c>
      <c r="R4166" s="14">
        <v>4500</v>
      </c>
      <c r="S4166" s="19">
        <v>279000</v>
      </c>
      <c r="AJ4166" s="19">
        <v>0</v>
      </c>
      <c r="AK4166" s="23">
        <v>0</v>
      </c>
      <c r="AM4166" s="19">
        <v>0</v>
      </c>
      <c r="AN4166" s="19">
        <v>279000</v>
      </c>
      <c r="AP4166" s="14">
        <v>279000</v>
      </c>
      <c r="AQ4166" s="12">
        <v>2.0000000000000001E-4</v>
      </c>
    </row>
    <row r="4167" spans="1:45" x14ac:dyDescent="0.2">
      <c r="A4167" s="121">
        <f t="shared" si="509"/>
        <v>3538</v>
      </c>
      <c r="B4167" s="13">
        <v>1</v>
      </c>
      <c r="C4167" s="17" t="s">
        <v>52</v>
      </c>
      <c r="D4167" s="17">
        <v>1840</v>
      </c>
      <c r="E4167" s="17">
        <v>89</v>
      </c>
      <c r="F4167" s="17">
        <v>1230</v>
      </c>
      <c r="H4167" s="17">
        <v>0</v>
      </c>
      <c r="I4167" s="17">
        <v>1</v>
      </c>
      <c r="J4167" s="17">
        <v>17</v>
      </c>
      <c r="N4167" s="18">
        <v>117</v>
      </c>
      <c r="P4167" s="17">
        <v>4</v>
      </c>
      <c r="Q4167" s="19">
        <v>117</v>
      </c>
      <c r="R4167" s="14">
        <v>2000</v>
      </c>
      <c r="S4167" s="19">
        <v>234000</v>
      </c>
      <c r="AJ4167" s="19">
        <v>0</v>
      </c>
      <c r="AK4167" s="23">
        <v>0</v>
      </c>
      <c r="AM4167" s="19">
        <v>0</v>
      </c>
      <c r="AN4167" s="19">
        <v>234000</v>
      </c>
      <c r="AP4167" s="14">
        <v>234000</v>
      </c>
      <c r="AQ4167" s="12">
        <v>3.0000000000000001E-3</v>
      </c>
      <c r="AS4167" s="26">
        <v>3</v>
      </c>
    </row>
    <row r="4168" spans="1:45" x14ac:dyDescent="0.2">
      <c r="R4168" s="14" t="e">
        <v>#N/A</v>
      </c>
    </row>
    <row r="4169" spans="1:45" ht="63" x14ac:dyDescent="0.2">
      <c r="A4169" s="2">
        <v>3539</v>
      </c>
      <c r="B4169" s="13">
        <v>1</v>
      </c>
      <c r="C4169" s="17" t="s">
        <v>52</v>
      </c>
      <c r="D4169" s="17">
        <v>2506</v>
      </c>
      <c r="E4169" s="17">
        <v>58</v>
      </c>
      <c r="F4169" s="17">
        <v>1512</v>
      </c>
      <c r="G4169" s="13">
        <v>2</v>
      </c>
      <c r="H4169" s="17">
        <v>0</v>
      </c>
      <c r="I4169" s="17">
        <v>0</v>
      </c>
      <c r="J4169" s="17">
        <v>94</v>
      </c>
      <c r="M4169" s="15">
        <v>94</v>
      </c>
      <c r="P4169" s="17">
        <v>3</v>
      </c>
      <c r="Q4169" s="19">
        <v>94</v>
      </c>
      <c r="R4169" s="14">
        <v>3350</v>
      </c>
      <c r="S4169" s="19">
        <v>314900</v>
      </c>
      <c r="T4169" s="17">
        <v>1</v>
      </c>
      <c r="U4169" s="17" t="s">
        <v>87</v>
      </c>
      <c r="V4169" s="17" t="s">
        <v>88</v>
      </c>
      <c r="W4169" s="4">
        <v>70</v>
      </c>
      <c r="Z4169" s="17">
        <v>70</v>
      </c>
      <c r="AB4169" s="17">
        <v>21</v>
      </c>
      <c r="AE4169" s="17" t="s">
        <v>363</v>
      </c>
      <c r="AJ4169" s="19">
        <v>0</v>
      </c>
      <c r="AK4169" s="23">
        <v>21</v>
      </c>
      <c r="AM4169" s="19">
        <v>0</v>
      </c>
      <c r="AN4169" s="19">
        <v>314900</v>
      </c>
      <c r="AP4169" s="14">
        <v>314900</v>
      </c>
    </row>
    <row r="4170" spans="1:45" x14ac:dyDescent="0.2">
      <c r="A4170" s="2">
        <v>3540</v>
      </c>
      <c r="B4170" s="13">
        <v>2</v>
      </c>
      <c r="C4170" s="17" t="s">
        <v>52</v>
      </c>
      <c r="D4170" s="17">
        <v>2507</v>
      </c>
      <c r="E4170" s="17">
        <v>59</v>
      </c>
      <c r="F4170" s="17">
        <v>1513</v>
      </c>
      <c r="G4170" s="13">
        <v>2</v>
      </c>
      <c r="H4170" s="17">
        <v>0</v>
      </c>
      <c r="I4170" s="17">
        <v>0</v>
      </c>
      <c r="J4170" s="17">
        <v>27</v>
      </c>
      <c r="L4170" s="17">
        <v>27</v>
      </c>
      <c r="P4170" s="17">
        <v>2</v>
      </c>
      <c r="Q4170" s="19">
        <v>27</v>
      </c>
      <c r="R4170" s="14">
        <v>4500</v>
      </c>
      <c r="S4170" s="19">
        <v>121500</v>
      </c>
      <c r="AJ4170" s="19">
        <v>0</v>
      </c>
      <c r="AK4170" s="23">
        <v>0</v>
      </c>
      <c r="AM4170" s="19">
        <v>0</v>
      </c>
      <c r="AN4170" s="19">
        <v>121500</v>
      </c>
      <c r="AP4170" s="14">
        <v>121500</v>
      </c>
      <c r="AQ4170" s="12">
        <v>3.0000000000000001E-3</v>
      </c>
    </row>
    <row r="4171" spans="1:45" x14ac:dyDescent="0.2">
      <c r="A4171" s="2">
        <v>3541</v>
      </c>
      <c r="B4171" s="13">
        <v>1</v>
      </c>
      <c r="C4171" s="17" t="s">
        <v>52</v>
      </c>
      <c r="D4171" s="17">
        <v>36149</v>
      </c>
      <c r="E4171" s="17">
        <v>302</v>
      </c>
      <c r="F4171" s="17">
        <v>3659</v>
      </c>
      <c r="G4171" s="13">
        <v>2</v>
      </c>
      <c r="H4171" s="17">
        <v>1</v>
      </c>
      <c r="I4171" s="17">
        <v>2</v>
      </c>
      <c r="J4171" s="17">
        <v>17</v>
      </c>
      <c r="Q4171" s="19">
        <v>617</v>
      </c>
      <c r="R4171" s="14">
        <v>250</v>
      </c>
      <c r="S4171" s="19">
        <v>154250</v>
      </c>
      <c r="AJ4171" s="19">
        <v>0</v>
      </c>
      <c r="AK4171" s="23">
        <v>0</v>
      </c>
      <c r="AM4171" s="19">
        <v>0</v>
      </c>
      <c r="AN4171" s="19">
        <v>154250</v>
      </c>
      <c r="AP4171" s="14">
        <v>154250</v>
      </c>
    </row>
    <row r="4172" spans="1:45" x14ac:dyDescent="0.2">
      <c r="Q4172" s="19">
        <v>0</v>
      </c>
      <c r="R4172" s="14" t="e">
        <v>#N/A</v>
      </c>
    </row>
    <row r="4173" spans="1:45" x14ac:dyDescent="0.2">
      <c r="A4173" s="2">
        <v>3542</v>
      </c>
      <c r="B4173" s="13">
        <v>1</v>
      </c>
      <c r="C4173" s="17" t="s">
        <v>52</v>
      </c>
      <c r="D4173" s="17">
        <v>20585</v>
      </c>
      <c r="E4173" s="17">
        <v>153</v>
      </c>
      <c r="F4173" s="17">
        <v>4643</v>
      </c>
      <c r="G4173" s="13">
        <v>2</v>
      </c>
      <c r="H4173" s="17">
        <v>0</v>
      </c>
      <c r="I4173" s="17">
        <v>0</v>
      </c>
      <c r="J4173" s="17">
        <v>14</v>
      </c>
      <c r="N4173" s="18">
        <v>14</v>
      </c>
      <c r="P4173" s="17">
        <v>4</v>
      </c>
      <c r="Q4173" s="19">
        <v>14</v>
      </c>
      <c r="R4173" s="14">
        <v>4500</v>
      </c>
      <c r="S4173" s="19">
        <v>63000</v>
      </c>
      <c r="AJ4173" s="19">
        <v>0</v>
      </c>
      <c r="AK4173" s="23">
        <v>0</v>
      </c>
      <c r="AM4173" s="19">
        <v>0</v>
      </c>
      <c r="AN4173" s="19">
        <v>63000</v>
      </c>
      <c r="AP4173" s="14">
        <v>63000</v>
      </c>
      <c r="AQ4173" s="12">
        <v>3.0000000000000001E-3</v>
      </c>
    </row>
    <row r="4174" spans="1:45" x14ac:dyDescent="0.2">
      <c r="A4174" s="2">
        <f>+A4173+1</f>
        <v>3543</v>
      </c>
      <c r="B4174" s="13">
        <v>2</v>
      </c>
      <c r="C4174" s="17" t="s">
        <v>52</v>
      </c>
      <c r="D4174" s="17">
        <v>22078</v>
      </c>
      <c r="E4174" s="17">
        <v>171</v>
      </c>
      <c r="F4174" s="17">
        <v>4770</v>
      </c>
      <c r="G4174" s="13">
        <v>2</v>
      </c>
      <c r="H4174" s="17">
        <v>0</v>
      </c>
      <c r="I4174" s="17">
        <v>0</v>
      </c>
      <c r="J4174" s="17">
        <v>30</v>
      </c>
      <c r="N4174" s="18">
        <v>30</v>
      </c>
      <c r="P4174" s="17">
        <v>4</v>
      </c>
      <c r="Q4174" s="19">
        <v>30</v>
      </c>
      <c r="R4174" s="14">
        <v>4500</v>
      </c>
      <c r="S4174" s="19">
        <v>135000</v>
      </c>
      <c r="AJ4174" s="19">
        <v>0</v>
      </c>
      <c r="AK4174" s="23">
        <v>0</v>
      </c>
      <c r="AM4174" s="19">
        <v>0</v>
      </c>
      <c r="AN4174" s="19">
        <v>135000</v>
      </c>
      <c r="AP4174" s="14">
        <v>135000</v>
      </c>
      <c r="AQ4174" s="12">
        <v>3.0000000000000001E-3</v>
      </c>
    </row>
    <row r="4175" spans="1:45" x14ac:dyDescent="0.2">
      <c r="A4175" s="121">
        <f t="shared" ref="A4175:A4187" si="510">+A4174+1</f>
        <v>3544</v>
      </c>
      <c r="B4175" s="13">
        <v>3</v>
      </c>
      <c r="C4175" s="17" t="s">
        <v>52</v>
      </c>
      <c r="D4175" s="17">
        <v>22080</v>
      </c>
      <c r="E4175" s="17">
        <v>170</v>
      </c>
      <c r="F4175" s="17">
        <v>4769</v>
      </c>
      <c r="G4175" s="13">
        <v>2</v>
      </c>
      <c r="H4175" s="17">
        <v>0</v>
      </c>
      <c r="I4175" s="17">
        <v>0</v>
      </c>
      <c r="J4175" s="17">
        <v>41</v>
      </c>
      <c r="N4175" s="18">
        <v>41</v>
      </c>
      <c r="P4175" s="17">
        <v>4</v>
      </c>
      <c r="Q4175" s="19">
        <v>41</v>
      </c>
      <c r="R4175" s="14">
        <v>4500</v>
      </c>
      <c r="S4175" s="19">
        <v>184500</v>
      </c>
      <c r="AJ4175" s="19">
        <v>0</v>
      </c>
      <c r="AK4175" s="23">
        <v>0</v>
      </c>
      <c r="AM4175" s="19">
        <v>0</v>
      </c>
      <c r="AN4175" s="19">
        <v>184500</v>
      </c>
      <c r="AP4175" s="14">
        <v>184500</v>
      </c>
      <c r="AQ4175" s="12">
        <v>3.0000000000000001E-3</v>
      </c>
    </row>
    <row r="4176" spans="1:45" ht="63" x14ac:dyDescent="0.2">
      <c r="A4176" s="121">
        <f t="shared" si="510"/>
        <v>3545</v>
      </c>
      <c r="B4176" s="13">
        <v>1</v>
      </c>
      <c r="C4176" s="17" t="s">
        <v>52</v>
      </c>
      <c r="D4176" s="17">
        <v>2058</v>
      </c>
      <c r="E4176" s="17">
        <v>85</v>
      </c>
      <c r="F4176" s="17">
        <v>1579</v>
      </c>
      <c r="G4176" s="13">
        <v>3</v>
      </c>
      <c r="H4176" s="17">
        <v>2</v>
      </c>
      <c r="I4176" s="17">
        <v>3</v>
      </c>
      <c r="J4176" s="17">
        <v>97</v>
      </c>
      <c r="K4176" s="10">
        <v>1197</v>
      </c>
      <c r="P4176" s="17" t="s">
        <v>122</v>
      </c>
      <c r="Q4176" s="19">
        <v>1197</v>
      </c>
      <c r="R4176" s="14">
        <v>160</v>
      </c>
      <c r="S4176" s="19">
        <v>191520</v>
      </c>
      <c r="AJ4176" s="19">
        <v>0</v>
      </c>
      <c r="AK4176" s="23">
        <v>0</v>
      </c>
      <c r="AM4176" s="19">
        <v>0</v>
      </c>
      <c r="AN4176" s="19">
        <v>191520</v>
      </c>
      <c r="AP4176" s="14">
        <v>191520</v>
      </c>
      <c r="AR4176" s="19">
        <v>109</v>
      </c>
      <c r="AS4176" s="26">
        <v>1009</v>
      </c>
    </row>
    <row r="4177" spans="1:44" s="26" customFormat="1" ht="63" x14ac:dyDescent="0.2">
      <c r="A4177" s="121">
        <f t="shared" si="510"/>
        <v>3546</v>
      </c>
      <c r="B4177" s="13">
        <v>2</v>
      </c>
      <c r="C4177" s="17" t="s">
        <v>52</v>
      </c>
      <c r="D4177" s="17">
        <v>2059</v>
      </c>
      <c r="E4177" s="17">
        <v>87</v>
      </c>
      <c r="F4177" s="17">
        <v>1581</v>
      </c>
      <c r="G4177" s="13">
        <v>3</v>
      </c>
      <c r="H4177" s="17">
        <v>2</v>
      </c>
      <c r="I4177" s="17">
        <v>1</v>
      </c>
      <c r="J4177" s="17">
        <v>0</v>
      </c>
      <c r="K4177" s="10">
        <v>900</v>
      </c>
      <c r="L4177" s="17"/>
      <c r="M4177" s="15"/>
      <c r="N4177" s="18"/>
      <c r="O4177" s="14"/>
      <c r="P4177" s="17">
        <v>1</v>
      </c>
      <c r="Q4177" s="19">
        <v>900</v>
      </c>
      <c r="R4177" s="14">
        <v>160</v>
      </c>
      <c r="S4177" s="19">
        <v>144000</v>
      </c>
      <c r="T4177" s="17"/>
      <c r="U4177" s="17"/>
      <c r="V4177" s="17"/>
      <c r="W4177" s="4"/>
      <c r="X4177" s="17"/>
      <c r="Y4177" s="4"/>
      <c r="Z4177" s="17"/>
      <c r="AA4177" s="17"/>
      <c r="AB4177" s="17"/>
      <c r="AC4177" s="14"/>
      <c r="AD4177" s="14"/>
      <c r="AE4177" s="17"/>
      <c r="AF4177" s="14"/>
      <c r="AG4177" s="54"/>
      <c r="AH4177" s="11"/>
      <c r="AI4177" s="14"/>
      <c r="AJ4177" s="19">
        <v>0</v>
      </c>
      <c r="AK4177" s="23">
        <v>0</v>
      </c>
      <c r="AL4177" s="11"/>
      <c r="AM4177" s="19">
        <v>0</v>
      </c>
      <c r="AN4177" s="19">
        <v>144000</v>
      </c>
      <c r="AO4177" s="14"/>
      <c r="AP4177" s="14">
        <v>144000</v>
      </c>
      <c r="AQ4177" s="12"/>
      <c r="AR4177" s="19">
        <v>900</v>
      </c>
    </row>
    <row r="4178" spans="1:44" s="26" customFormat="1" x14ac:dyDescent="0.2">
      <c r="A4178" s="121">
        <f t="shared" si="510"/>
        <v>3547</v>
      </c>
      <c r="B4178" s="13">
        <v>3</v>
      </c>
      <c r="C4178" s="17" t="s">
        <v>52</v>
      </c>
      <c r="D4178" s="17">
        <v>36129</v>
      </c>
      <c r="E4178" s="17">
        <v>165</v>
      </c>
      <c r="F4178" s="17">
        <v>3674</v>
      </c>
      <c r="G4178" s="13">
        <v>3</v>
      </c>
      <c r="H4178" s="17">
        <v>0</v>
      </c>
      <c r="I4178" s="17">
        <v>0</v>
      </c>
      <c r="J4178" s="17">
        <v>57</v>
      </c>
      <c r="K4178" s="10"/>
      <c r="L4178" s="17"/>
      <c r="M4178" s="15"/>
      <c r="N4178" s="18"/>
      <c r="O4178" s="14"/>
      <c r="P4178" s="17">
        <v>1</v>
      </c>
      <c r="Q4178" s="19">
        <v>57</v>
      </c>
      <c r="R4178" s="14">
        <v>250</v>
      </c>
      <c r="S4178" s="19">
        <v>14250</v>
      </c>
      <c r="T4178" s="17"/>
      <c r="U4178" s="17"/>
      <c r="V4178" s="17"/>
      <c r="W4178" s="4"/>
      <c r="X4178" s="17"/>
      <c r="Y4178" s="4"/>
      <c r="Z4178" s="17"/>
      <c r="AA4178" s="17"/>
      <c r="AB4178" s="17"/>
      <c r="AC4178" s="14"/>
      <c r="AD4178" s="14"/>
      <c r="AE4178" s="17"/>
      <c r="AF4178" s="14"/>
      <c r="AG4178" s="54"/>
      <c r="AH4178" s="11"/>
      <c r="AI4178" s="14"/>
      <c r="AJ4178" s="19">
        <v>0</v>
      </c>
      <c r="AK4178" s="23">
        <v>0</v>
      </c>
      <c r="AL4178" s="11"/>
      <c r="AM4178" s="19">
        <v>0</v>
      </c>
      <c r="AN4178" s="19">
        <v>14250</v>
      </c>
      <c r="AO4178" s="14"/>
      <c r="AP4178" s="14">
        <v>14250</v>
      </c>
      <c r="AQ4178" s="12"/>
      <c r="AR4178" s="19"/>
    </row>
    <row r="4179" spans="1:44" s="26" customFormat="1" x14ac:dyDescent="0.2">
      <c r="A4179" s="121">
        <f t="shared" si="510"/>
        <v>3548</v>
      </c>
      <c r="B4179" s="13">
        <v>4</v>
      </c>
      <c r="C4179" s="17" t="s">
        <v>52</v>
      </c>
      <c r="D4179" s="17">
        <v>2225</v>
      </c>
      <c r="E4179" s="17">
        <v>83</v>
      </c>
      <c r="F4179" s="17">
        <v>1102</v>
      </c>
      <c r="G4179" s="13"/>
      <c r="H4179" s="17">
        <v>7</v>
      </c>
      <c r="I4179" s="17">
        <v>1</v>
      </c>
      <c r="J4179" s="17">
        <v>25</v>
      </c>
      <c r="K4179" s="10">
        <v>2925</v>
      </c>
      <c r="L4179" s="17"/>
      <c r="M4179" s="15"/>
      <c r="N4179" s="18"/>
      <c r="O4179" s="14"/>
      <c r="P4179" s="17">
        <v>1</v>
      </c>
      <c r="Q4179" s="19">
        <v>2925</v>
      </c>
      <c r="R4179" s="14">
        <v>160</v>
      </c>
      <c r="S4179" s="19">
        <v>468000</v>
      </c>
      <c r="T4179" s="17"/>
      <c r="U4179" s="17"/>
      <c r="V4179" s="17"/>
      <c r="W4179" s="4"/>
      <c r="X4179" s="17"/>
      <c r="Y4179" s="4"/>
      <c r="Z4179" s="17"/>
      <c r="AA4179" s="17"/>
      <c r="AB4179" s="17"/>
      <c r="AC4179" s="14"/>
      <c r="AD4179" s="14"/>
      <c r="AE4179" s="17"/>
      <c r="AF4179" s="14"/>
      <c r="AG4179" s="54"/>
      <c r="AH4179" s="11"/>
      <c r="AI4179" s="14"/>
      <c r="AJ4179" s="19">
        <v>0</v>
      </c>
      <c r="AK4179" s="23">
        <v>0</v>
      </c>
      <c r="AL4179" s="11"/>
      <c r="AM4179" s="19">
        <v>0</v>
      </c>
      <c r="AN4179" s="19">
        <v>468000</v>
      </c>
      <c r="AO4179" s="14"/>
      <c r="AP4179" s="14">
        <v>468000</v>
      </c>
      <c r="AQ4179" s="12"/>
      <c r="AR4179" s="19"/>
    </row>
    <row r="4180" spans="1:44" s="26" customFormat="1" x14ac:dyDescent="0.2">
      <c r="A4180" s="121">
        <f t="shared" si="510"/>
        <v>3549</v>
      </c>
      <c r="B4180" s="13">
        <v>5</v>
      </c>
      <c r="C4180" s="17" t="s">
        <v>52</v>
      </c>
      <c r="D4180" s="17">
        <v>2281</v>
      </c>
      <c r="E4180" s="17">
        <v>75</v>
      </c>
      <c r="F4180" s="17">
        <v>1766</v>
      </c>
      <c r="G4180" s="13"/>
      <c r="H4180" s="17">
        <v>12</v>
      </c>
      <c r="I4180" s="17">
        <v>3</v>
      </c>
      <c r="J4180" s="17">
        <v>96</v>
      </c>
      <c r="K4180" s="10">
        <v>5196</v>
      </c>
      <c r="L4180" s="17"/>
      <c r="M4180" s="15"/>
      <c r="N4180" s="18"/>
      <c r="O4180" s="14"/>
      <c r="P4180" s="17">
        <v>1</v>
      </c>
      <c r="Q4180" s="19">
        <v>5196</v>
      </c>
      <c r="R4180" s="14">
        <v>200</v>
      </c>
      <c r="S4180" s="19">
        <v>1039200</v>
      </c>
      <c r="T4180" s="17"/>
      <c r="U4180" s="17"/>
      <c r="V4180" s="17"/>
      <c r="W4180" s="4"/>
      <c r="X4180" s="17"/>
      <c r="Y4180" s="4"/>
      <c r="Z4180" s="17"/>
      <c r="AA4180" s="17"/>
      <c r="AB4180" s="17"/>
      <c r="AC4180" s="14"/>
      <c r="AD4180" s="14"/>
      <c r="AE4180" s="17"/>
      <c r="AF4180" s="14"/>
      <c r="AG4180" s="54"/>
      <c r="AH4180" s="11"/>
      <c r="AI4180" s="14"/>
      <c r="AJ4180" s="19">
        <v>0</v>
      </c>
      <c r="AK4180" s="23">
        <v>0</v>
      </c>
      <c r="AL4180" s="11"/>
      <c r="AM4180" s="19">
        <v>0</v>
      </c>
      <c r="AN4180" s="19">
        <v>1039200</v>
      </c>
      <c r="AO4180" s="14"/>
      <c r="AP4180" s="14">
        <v>1039200</v>
      </c>
      <c r="AQ4180" s="12"/>
      <c r="AR4180" s="19"/>
    </row>
    <row r="4181" spans="1:44" s="26" customFormat="1" x14ac:dyDescent="0.2">
      <c r="A4181" s="121">
        <f t="shared" si="510"/>
        <v>3550</v>
      </c>
      <c r="B4181" s="13">
        <v>1</v>
      </c>
      <c r="C4181" s="17" t="s">
        <v>52</v>
      </c>
      <c r="D4181" s="17">
        <v>794</v>
      </c>
      <c r="E4181" s="17">
        <v>524</v>
      </c>
      <c r="F4181" s="17">
        <v>112</v>
      </c>
      <c r="G4181" s="13">
        <v>2</v>
      </c>
      <c r="H4181" s="17">
        <v>0</v>
      </c>
      <c r="I4181" s="17">
        <v>0</v>
      </c>
      <c r="J4181" s="17">
        <v>63.02</v>
      </c>
      <c r="K4181" s="10"/>
      <c r="L4181" s="17"/>
      <c r="M4181" s="15"/>
      <c r="N4181" s="18">
        <v>63.02</v>
      </c>
      <c r="O4181" s="14"/>
      <c r="P4181" s="17">
        <v>4</v>
      </c>
      <c r="Q4181" s="19">
        <v>63.02</v>
      </c>
      <c r="R4181" s="14">
        <v>250</v>
      </c>
      <c r="S4181" s="19">
        <v>15755</v>
      </c>
      <c r="T4181" s="17"/>
      <c r="U4181" s="17"/>
      <c r="V4181" s="17"/>
      <c r="W4181" s="4"/>
      <c r="X4181" s="17"/>
      <c r="Y4181" s="4"/>
      <c r="Z4181" s="17"/>
      <c r="AA4181" s="17"/>
      <c r="AB4181" s="17"/>
      <c r="AC4181" s="14"/>
      <c r="AD4181" s="14"/>
      <c r="AE4181" s="17"/>
      <c r="AF4181" s="14"/>
      <c r="AG4181" s="54"/>
      <c r="AH4181" s="11"/>
      <c r="AI4181" s="14"/>
      <c r="AJ4181" s="19">
        <v>0</v>
      </c>
      <c r="AK4181" s="23">
        <v>0</v>
      </c>
      <c r="AL4181" s="11"/>
      <c r="AM4181" s="19">
        <v>0</v>
      </c>
      <c r="AN4181" s="19">
        <v>15755</v>
      </c>
      <c r="AO4181" s="14"/>
      <c r="AP4181" s="14">
        <v>15755</v>
      </c>
      <c r="AQ4181" s="12">
        <v>3.0000000000000001E-3</v>
      </c>
      <c r="AR4181" s="19"/>
    </row>
    <row r="4182" spans="1:44" s="26" customFormat="1" x14ac:dyDescent="0.2">
      <c r="A4182" s="121">
        <f t="shared" si="510"/>
        <v>3551</v>
      </c>
      <c r="B4182" s="13">
        <v>2</v>
      </c>
      <c r="C4182" s="17" t="s">
        <v>52</v>
      </c>
      <c r="D4182" s="17">
        <v>8323</v>
      </c>
      <c r="E4182" s="17">
        <v>523</v>
      </c>
      <c r="F4182" s="17">
        <v>2904</v>
      </c>
      <c r="G4182" s="13">
        <v>2</v>
      </c>
      <c r="H4182" s="17">
        <v>0</v>
      </c>
      <c r="I4182" s="17">
        <v>0</v>
      </c>
      <c r="J4182" s="17">
        <v>65.06</v>
      </c>
      <c r="K4182" s="10"/>
      <c r="L4182" s="17"/>
      <c r="M4182" s="15"/>
      <c r="N4182" s="18">
        <v>65.06</v>
      </c>
      <c r="O4182" s="14"/>
      <c r="P4182" s="17">
        <v>4</v>
      </c>
      <c r="Q4182" s="19">
        <v>65.06</v>
      </c>
      <c r="R4182" s="14">
        <v>250</v>
      </c>
      <c r="S4182" s="19">
        <v>16265</v>
      </c>
      <c r="T4182" s="17"/>
      <c r="U4182" s="17"/>
      <c r="V4182" s="17"/>
      <c r="W4182" s="4"/>
      <c r="X4182" s="17"/>
      <c r="Y4182" s="4"/>
      <c r="Z4182" s="17"/>
      <c r="AA4182" s="17"/>
      <c r="AB4182" s="17"/>
      <c r="AC4182" s="14"/>
      <c r="AD4182" s="14"/>
      <c r="AE4182" s="17"/>
      <c r="AF4182" s="14"/>
      <c r="AG4182" s="54"/>
      <c r="AH4182" s="11"/>
      <c r="AI4182" s="14"/>
      <c r="AJ4182" s="19">
        <v>0</v>
      </c>
      <c r="AK4182" s="23">
        <v>0</v>
      </c>
      <c r="AL4182" s="11"/>
      <c r="AM4182" s="19">
        <v>0</v>
      </c>
      <c r="AN4182" s="19">
        <v>16265</v>
      </c>
      <c r="AO4182" s="14"/>
      <c r="AP4182" s="14">
        <v>16265</v>
      </c>
      <c r="AQ4182" s="12">
        <v>3.0000000000000001E-3</v>
      </c>
      <c r="AR4182" s="19"/>
    </row>
    <row r="4183" spans="1:44" s="26" customFormat="1" x14ac:dyDescent="0.2">
      <c r="A4183" s="121">
        <f t="shared" si="510"/>
        <v>3552</v>
      </c>
      <c r="B4183" s="13">
        <v>1</v>
      </c>
      <c r="C4183" s="17" t="s">
        <v>52</v>
      </c>
      <c r="D4183" s="17">
        <v>2245</v>
      </c>
      <c r="E4183" s="17">
        <v>21</v>
      </c>
      <c r="F4183" s="17">
        <v>1582</v>
      </c>
      <c r="G4183" s="13">
        <v>3</v>
      </c>
      <c r="H4183" s="17">
        <v>29</v>
      </c>
      <c r="I4183" s="17">
        <v>0</v>
      </c>
      <c r="J4183" s="17">
        <v>4</v>
      </c>
      <c r="K4183" s="10">
        <v>11604</v>
      </c>
      <c r="L4183" s="17"/>
      <c r="M4183" s="15"/>
      <c r="N4183" s="18"/>
      <c r="O4183" s="14"/>
      <c r="P4183" s="17">
        <v>1</v>
      </c>
      <c r="Q4183" s="19">
        <v>11604</v>
      </c>
      <c r="R4183" s="14">
        <v>160</v>
      </c>
      <c r="S4183" s="19">
        <v>1856640</v>
      </c>
      <c r="T4183" s="17"/>
      <c r="U4183" s="17"/>
      <c r="V4183" s="17"/>
      <c r="W4183" s="4"/>
      <c r="X4183" s="17"/>
      <c r="Y4183" s="4"/>
      <c r="Z4183" s="17"/>
      <c r="AA4183" s="17"/>
      <c r="AB4183" s="17"/>
      <c r="AC4183" s="14"/>
      <c r="AD4183" s="14"/>
      <c r="AE4183" s="17"/>
      <c r="AF4183" s="14"/>
      <c r="AG4183" s="54"/>
      <c r="AH4183" s="11"/>
      <c r="AI4183" s="14"/>
      <c r="AJ4183" s="19">
        <v>0</v>
      </c>
      <c r="AK4183" s="23">
        <v>0</v>
      </c>
      <c r="AL4183" s="11"/>
      <c r="AM4183" s="19">
        <v>0</v>
      </c>
      <c r="AN4183" s="19">
        <v>1856640</v>
      </c>
      <c r="AO4183" s="14"/>
      <c r="AP4183" s="14">
        <v>1856640</v>
      </c>
      <c r="AQ4183" s="12"/>
      <c r="AR4183" s="19"/>
    </row>
    <row r="4184" spans="1:44" s="26" customFormat="1" x14ac:dyDescent="0.2">
      <c r="A4184" s="121">
        <f t="shared" si="510"/>
        <v>3553</v>
      </c>
      <c r="B4184" s="13">
        <v>2</v>
      </c>
      <c r="C4184" s="17" t="s">
        <v>52</v>
      </c>
      <c r="D4184" s="17">
        <v>400</v>
      </c>
      <c r="E4184" s="17">
        <v>501</v>
      </c>
      <c r="F4184" s="17">
        <v>30</v>
      </c>
      <c r="G4184" s="13">
        <v>3</v>
      </c>
      <c r="H4184" s="17">
        <v>10</v>
      </c>
      <c r="I4184" s="17">
        <v>3</v>
      </c>
      <c r="J4184" s="17">
        <v>12.05</v>
      </c>
      <c r="K4184" s="10">
        <v>4312.05</v>
      </c>
      <c r="L4184" s="17"/>
      <c r="M4184" s="15"/>
      <c r="N4184" s="18"/>
      <c r="O4184" s="14"/>
      <c r="P4184" s="17">
        <v>1</v>
      </c>
      <c r="Q4184" s="19">
        <v>4312.05</v>
      </c>
      <c r="R4184" s="14">
        <v>160</v>
      </c>
      <c r="S4184" s="19">
        <v>689928</v>
      </c>
      <c r="T4184" s="17"/>
      <c r="U4184" s="17"/>
      <c r="V4184" s="17"/>
      <c r="W4184" s="4"/>
      <c r="X4184" s="17"/>
      <c r="Y4184" s="4"/>
      <c r="Z4184" s="17"/>
      <c r="AA4184" s="17"/>
      <c r="AB4184" s="17"/>
      <c r="AC4184" s="14"/>
      <c r="AD4184" s="14"/>
      <c r="AE4184" s="17"/>
      <c r="AF4184" s="14"/>
      <c r="AG4184" s="54"/>
      <c r="AH4184" s="11"/>
      <c r="AI4184" s="14"/>
      <c r="AJ4184" s="19">
        <v>0</v>
      </c>
      <c r="AK4184" s="23">
        <v>0</v>
      </c>
      <c r="AL4184" s="11"/>
      <c r="AM4184" s="19">
        <v>0</v>
      </c>
      <c r="AN4184" s="19">
        <v>689928</v>
      </c>
      <c r="AO4184" s="14"/>
      <c r="AP4184" s="14">
        <v>689928</v>
      </c>
      <c r="AQ4184" s="12"/>
      <c r="AR4184" s="19"/>
    </row>
    <row r="4185" spans="1:44" s="26" customFormat="1" x14ac:dyDescent="0.2">
      <c r="A4185" s="121">
        <f t="shared" si="510"/>
        <v>3554</v>
      </c>
      <c r="B4185" s="13">
        <v>3</v>
      </c>
      <c r="C4185" s="17" t="s">
        <v>52</v>
      </c>
      <c r="D4185" s="17">
        <v>401</v>
      </c>
      <c r="E4185" s="17">
        <v>502</v>
      </c>
      <c r="F4185" s="17">
        <v>31</v>
      </c>
      <c r="G4185" s="13"/>
      <c r="H4185" s="17">
        <v>2</v>
      </c>
      <c r="I4185" s="17">
        <v>3</v>
      </c>
      <c r="J4185" s="17">
        <v>71.05</v>
      </c>
      <c r="K4185" s="10">
        <v>1171.05</v>
      </c>
      <c r="L4185" s="17"/>
      <c r="M4185" s="15"/>
      <c r="N4185" s="18"/>
      <c r="O4185" s="14"/>
      <c r="P4185" s="17">
        <v>1</v>
      </c>
      <c r="Q4185" s="19">
        <v>1171.05</v>
      </c>
      <c r="R4185" s="14">
        <v>160</v>
      </c>
      <c r="S4185" s="19">
        <v>187368</v>
      </c>
      <c r="T4185" s="17"/>
      <c r="U4185" s="17"/>
      <c r="V4185" s="17"/>
      <c r="W4185" s="4"/>
      <c r="X4185" s="17"/>
      <c r="Y4185" s="4"/>
      <c r="Z4185" s="17"/>
      <c r="AA4185" s="17"/>
      <c r="AB4185" s="17"/>
      <c r="AC4185" s="14"/>
      <c r="AD4185" s="14"/>
      <c r="AE4185" s="17"/>
      <c r="AF4185" s="14"/>
      <c r="AG4185" s="54"/>
      <c r="AH4185" s="11"/>
      <c r="AI4185" s="14"/>
      <c r="AJ4185" s="19">
        <v>0</v>
      </c>
      <c r="AK4185" s="23">
        <v>0</v>
      </c>
      <c r="AL4185" s="11"/>
      <c r="AM4185" s="19">
        <v>0</v>
      </c>
      <c r="AN4185" s="19">
        <v>187368</v>
      </c>
      <c r="AO4185" s="14"/>
      <c r="AP4185" s="14">
        <v>187368</v>
      </c>
      <c r="AQ4185" s="12"/>
      <c r="AR4185" s="19"/>
    </row>
    <row r="4186" spans="1:44" s="26" customFormat="1" x14ac:dyDescent="0.2">
      <c r="A4186" s="121">
        <f t="shared" si="510"/>
        <v>3555</v>
      </c>
      <c r="B4186" s="13">
        <v>1</v>
      </c>
      <c r="C4186" s="17" t="s">
        <v>52</v>
      </c>
      <c r="D4186" s="17">
        <v>1817</v>
      </c>
      <c r="E4186" s="17">
        <v>132</v>
      </c>
      <c r="F4186" s="17">
        <v>1201</v>
      </c>
      <c r="G4186" s="13">
        <v>2</v>
      </c>
      <c r="H4186" s="17">
        <v>5</v>
      </c>
      <c r="I4186" s="17">
        <v>3</v>
      </c>
      <c r="J4186" s="17">
        <v>17</v>
      </c>
      <c r="K4186" s="10">
        <v>2317</v>
      </c>
      <c r="L4186" s="17"/>
      <c r="M4186" s="15"/>
      <c r="N4186" s="18"/>
      <c r="O4186" s="14"/>
      <c r="P4186" s="17">
        <v>1</v>
      </c>
      <c r="Q4186" s="19">
        <v>2317</v>
      </c>
      <c r="R4186" s="14">
        <v>160</v>
      </c>
      <c r="S4186" s="19">
        <v>370720</v>
      </c>
      <c r="T4186" s="17"/>
      <c r="U4186" s="17"/>
      <c r="V4186" s="17"/>
      <c r="W4186" s="4"/>
      <c r="X4186" s="17"/>
      <c r="Y4186" s="4"/>
      <c r="Z4186" s="17"/>
      <c r="AA4186" s="17"/>
      <c r="AB4186" s="17"/>
      <c r="AC4186" s="14"/>
      <c r="AD4186" s="14"/>
      <c r="AE4186" s="17"/>
      <c r="AF4186" s="14"/>
      <c r="AG4186" s="54"/>
      <c r="AH4186" s="11"/>
      <c r="AI4186" s="14"/>
      <c r="AJ4186" s="19">
        <v>0</v>
      </c>
      <c r="AK4186" s="23">
        <v>0</v>
      </c>
      <c r="AL4186" s="11"/>
      <c r="AM4186" s="19">
        <v>0</v>
      </c>
      <c r="AN4186" s="19">
        <v>370720</v>
      </c>
      <c r="AO4186" s="14"/>
      <c r="AP4186" s="14">
        <v>370720</v>
      </c>
      <c r="AQ4186" s="12"/>
      <c r="AR4186" s="19"/>
    </row>
    <row r="4187" spans="1:44" s="26" customFormat="1" x14ac:dyDescent="0.2">
      <c r="A4187" s="121">
        <f t="shared" si="510"/>
        <v>3556</v>
      </c>
      <c r="B4187" s="13">
        <v>2</v>
      </c>
      <c r="C4187" s="17" t="s">
        <v>65</v>
      </c>
      <c r="D4187" s="17">
        <v>200</v>
      </c>
      <c r="E4187" s="17">
        <v>97</v>
      </c>
      <c r="F4187" s="17"/>
      <c r="G4187" s="13"/>
      <c r="H4187" s="17">
        <v>1</v>
      </c>
      <c r="I4187" s="17">
        <v>0</v>
      </c>
      <c r="J4187" s="17">
        <v>86</v>
      </c>
      <c r="K4187" s="10"/>
      <c r="L4187" s="17">
        <v>466</v>
      </c>
      <c r="M4187" s="15"/>
      <c r="N4187" s="18"/>
      <c r="O4187" s="14"/>
      <c r="P4187" s="17">
        <v>2</v>
      </c>
      <c r="Q4187" s="19">
        <v>486</v>
      </c>
      <c r="R4187" s="14">
        <v>4500</v>
      </c>
      <c r="S4187" s="19">
        <v>2187000</v>
      </c>
      <c r="T4187" s="17"/>
      <c r="U4187" s="17"/>
      <c r="V4187" s="17"/>
      <c r="W4187" s="4"/>
      <c r="X4187" s="17"/>
      <c r="Y4187" s="4"/>
      <c r="Z4187" s="17"/>
      <c r="AA4187" s="17"/>
      <c r="AB4187" s="17"/>
      <c r="AC4187" s="14"/>
      <c r="AD4187" s="14"/>
      <c r="AE4187" s="17"/>
      <c r="AF4187" s="14"/>
      <c r="AG4187" s="54"/>
      <c r="AH4187" s="11"/>
      <c r="AI4187" s="14"/>
      <c r="AJ4187" s="19"/>
      <c r="AK4187" s="23"/>
      <c r="AL4187" s="11"/>
      <c r="AM4187" s="19">
        <v>0</v>
      </c>
      <c r="AN4187" s="19">
        <v>2187000</v>
      </c>
      <c r="AO4187" s="14"/>
      <c r="AP4187" s="14">
        <v>2187000</v>
      </c>
      <c r="AQ4187" s="12">
        <v>2.0000000000000001E-4</v>
      </c>
      <c r="AR4187" s="19"/>
    </row>
    <row r="4188" spans="1:44" s="26" customFormat="1" ht="63" x14ac:dyDescent="0.2">
      <c r="A4188" s="2"/>
      <c r="B4188" s="13"/>
      <c r="C4188" s="17"/>
      <c r="D4188" s="17"/>
      <c r="E4188" s="17"/>
      <c r="F4188" s="17"/>
      <c r="G4188" s="13"/>
      <c r="H4188" s="17"/>
      <c r="I4188" s="17"/>
      <c r="J4188" s="17"/>
      <c r="K4188" s="10"/>
      <c r="L4188" s="17"/>
      <c r="M4188" s="15"/>
      <c r="N4188" s="18"/>
      <c r="O4188" s="14"/>
      <c r="P4188" s="17"/>
      <c r="Q4188" s="19"/>
      <c r="R4188" s="14"/>
      <c r="S4188" s="19"/>
      <c r="T4188" s="17">
        <v>1</v>
      </c>
      <c r="U4188" s="17" t="s">
        <v>57</v>
      </c>
      <c r="V4188" s="17" t="s">
        <v>56</v>
      </c>
      <c r="W4188" s="4">
        <v>105</v>
      </c>
      <c r="X4188" s="17"/>
      <c r="Y4188" s="4">
        <v>105</v>
      </c>
      <c r="Z4188" s="17"/>
      <c r="AA4188" s="17"/>
      <c r="AB4188" s="17">
        <v>11</v>
      </c>
      <c r="AC4188" s="14"/>
      <c r="AD4188" s="14"/>
      <c r="AE4188" s="17"/>
      <c r="AF4188" s="14">
        <v>2</v>
      </c>
      <c r="AG4188" s="54"/>
      <c r="AH4188" s="11"/>
      <c r="AI4188" s="14"/>
      <c r="AJ4188" s="19">
        <v>0</v>
      </c>
      <c r="AK4188" s="23">
        <v>11</v>
      </c>
      <c r="AL4188" s="11"/>
      <c r="AM4188" s="19">
        <v>0</v>
      </c>
      <c r="AN4188" s="19">
        <v>0</v>
      </c>
      <c r="AO4188" s="14"/>
      <c r="AP4188" s="14">
        <v>0</v>
      </c>
      <c r="AQ4188" s="12"/>
      <c r="AR4188" s="19"/>
    </row>
    <row r="4189" spans="1:44" s="26" customFormat="1" ht="63" x14ac:dyDescent="0.2">
      <c r="A4189" s="2"/>
      <c r="B4189" s="13"/>
      <c r="C4189" s="17"/>
      <c r="D4189" s="17"/>
      <c r="E4189" s="17"/>
      <c r="F4189" s="17"/>
      <c r="G4189" s="13"/>
      <c r="H4189" s="17"/>
      <c r="I4189" s="17"/>
      <c r="J4189" s="17"/>
      <c r="K4189" s="10"/>
      <c r="L4189" s="17">
        <v>15</v>
      </c>
      <c r="M4189" s="15"/>
      <c r="N4189" s="18"/>
      <c r="O4189" s="14"/>
      <c r="P4189" s="17"/>
      <c r="Q4189" s="19">
        <v>0</v>
      </c>
      <c r="R4189" s="14"/>
      <c r="S4189" s="19"/>
      <c r="T4189" s="17">
        <v>2</v>
      </c>
      <c r="U4189" s="17" t="s">
        <v>57</v>
      </c>
      <c r="V4189" s="17" t="s">
        <v>56</v>
      </c>
      <c r="W4189" s="4">
        <v>60</v>
      </c>
      <c r="X4189" s="17"/>
      <c r="Y4189" s="4">
        <v>60</v>
      </c>
      <c r="Z4189" s="17"/>
      <c r="AA4189" s="17"/>
      <c r="AB4189" s="17">
        <v>58</v>
      </c>
      <c r="AC4189" s="14"/>
      <c r="AD4189" s="14"/>
      <c r="AE4189" s="17"/>
      <c r="AF4189" s="14">
        <v>2</v>
      </c>
      <c r="AG4189" s="54"/>
      <c r="AH4189" s="11"/>
      <c r="AI4189" s="14"/>
      <c r="AJ4189" s="19">
        <v>0</v>
      </c>
      <c r="AK4189" s="23">
        <v>58</v>
      </c>
      <c r="AL4189" s="11"/>
      <c r="AM4189" s="19">
        <v>0</v>
      </c>
      <c r="AN4189" s="19">
        <v>0</v>
      </c>
      <c r="AO4189" s="14"/>
      <c r="AP4189" s="14">
        <v>0</v>
      </c>
      <c r="AQ4189" s="12"/>
      <c r="AR4189" s="19"/>
    </row>
    <row r="4190" spans="1:44" s="26" customFormat="1" ht="63" x14ac:dyDescent="0.2">
      <c r="A4190" s="2"/>
      <c r="B4190" s="13"/>
      <c r="C4190" s="17"/>
      <c r="D4190" s="17"/>
      <c r="E4190" s="17"/>
      <c r="F4190" s="17"/>
      <c r="G4190" s="13"/>
      <c r="H4190" s="17"/>
      <c r="I4190" s="17"/>
      <c r="J4190" s="17"/>
      <c r="K4190" s="10"/>
      <c r="L4190" s="17">
        <v>5</v>
      </c>
      <c r="M4190" s="15"/>
      <c r="N4190" s="18"/>
      <c r="O4190" s="14"/>
      <c r="P4190" s="17"/>
      <c r="Q4190" s="19">
        <v>0</v>
      </c>
      <c r="R4190" s="14"/>
      <c r="S4190" s="19"/>
      <c r="T4190" s="17">
        <v>3</v>
      </c>
      <c r="U4190" s="17" t="s">
        <v>57</v>
      </c>
      <c r="V4190" s="17" t="s">
        <v>56</v>
      </c>
      <c r="W4190" s="4">
        <v>20</v>
      </c>
      <c r="X4190" s="17"/>
      <c r="Y4190" s="4">
        <v>20</v>
      </c>
      <c r="Z4190" s="17"/>
      <c r="AA4190" s="17"/>
      <c r="AB4190" s="17">
        <v>3</v>
      </c>
      <c r="AC4190" s="14"/>
      <c r="AD4190" s="14"/>
      <c r="AE4190" s="17"/>
      <c r="AF4190" s="14">
        <v>2</v>
      </c>
      <c r="AG4190" s="54"/>
      <c r="AH4190" s="11"/>
      <c r="AI4190" s="14"/>
      <c r="AJ4190" s="19">
        <v>0</v>
      </c>
      <c r="AK4190" s="23">
        <v>3</v>
      </c>
      <c r="AL4190" s="11"/>
      <c r="AM4190" s="19">
        <v>0</v>
      </c>
      <c r="AN4190" s="19">
        <v>0</v>
      </c>
      <c r="AO4190" s="14"/>
      <c r="AP4190" s="14">
        <v>0</v>
      </c>
      <c r="AQ4190" s="12"/>
      <c r="AR4190" s="19"/>
    </row>
    <row r="4191" spans="1:44" s="26" customFormat="1" x14ac:dyDescent="0.2">
      <c r="A4191" s="2">
        <v>3557</v>
      </c>
      <c r="B4191" s="13">
        <v>1</v>
      </c>
      <c r="C4191" s="17" t="s">
        <v>52</v>
      </c>
      <c r="D4191" s="17">
        <v>1435</v>
      </c>
      <c r="E4191" s="17">
        <v>14</v>
      </c>
      <c r="F4191" s="17">
        <v>876</v>
      </c>
      <c r="G4191" s="13">
        <v>2</v>
      </c>
      <c r="H4191" s="17">
        <v>0</v>
      </c>
      <c r="I4191" s="17">
        <v>1</v>
      </c>
      <c r="J4191" s="17">
        <v>36</v>
      </c>
      <c r="K4191" s="10"/>
      <c r="L4191" s="17"/>
      <c r="M4191" s="15"/>
      <c r="N4191" s="18">
        <v>136</v>
      </c>
      <c r="O4191" s="14"/>
      <c r="P4191" s="17">
        <v>4</v>
      </c>
      <c r="Q4191" s="19">
        <v>136</v>
      </c>
      <c r="R4191" s="14">
        <v>1000</v>
      </c>
      <c r="S4191" s="19">
        <v>136000</v>
      </c>
      <c r="T4191" s="17"/>
      <c r="U4191" s="17"/>
      <c r="V4191" s="17"/>
      <c r="W4191" s="4"/>
      <c r="X4191" s="17"/>
      <c r="Y4191" s="4"/>
      <c r="Z4191" s="17"/>
      <c r="AA4191" s="17"/>
      <c r="AB4191" s="17"/>
      <c r="AC4191" s="14"/>
      <c r="AD4191" s="14"/>
      <c r="AE4191" s="17"/>
      <c r="AF4191" s="14"/>
      <c r="AG4191" s="54"/>
      <c r="AH4191" s="11"/>
      <c r="AI4191" s="14"/>
      <c r="AJ4191" s="19">
        <v>0</v>
      </c>
      <c r="AK4191" s="23">
        <v>0</v>
      </c>
      <c r="AL4191" s="11"/>
      <c r="AM4191" s="19">
        <v>0</v>
      </c>
      <c r="AN4191" s="19">
        <v>136000</v>
      </c>
      <c r="AO4191" s="14"/>
      <c r="AP4191" s="14">
        <v>136000</v>
      </c>
      <c r="AQ4191" s="12">
        <v>3.0000000000000001E-3</v>
      </c>
      <c r="AR4191" s="19"/>
    </row>
    <row r="4192" spans="1:44" s="26" customFormat="1" ht="42" x14ac:dyDescent="0.2">
      <c r="A4192" s="2">
        <f>+A4191+1</f>
        <v>3558</v>
      </c>
      <c r="B4192" s="13">
        <v>1</v>
      </c>
      <c r="C4192" s="17" t="s">
        <v>52</v>
      </c>
      <c r="D4192" s="17">
        <v>16068</v>
      </c>
      <c r="E4192" s="17">
        <v>121</v>
      </c>
      <c r="F4192" s="17">
        <v>3546</v>
      </c>
      <c r="G4192" s="13"/>
      <c r="H4192" s="17">
        <v>22</v>
      </c>
      <c r="I4192" s="17">
        <v>3</v>
      </c>
      <c r="J4192" s="17">
        <v>27</v>
      </c>
      <c r="K4192" s="10">
        <v>9127</v>
      </c>
      <c r="L4192" s="17"/>
      <c r="M4192" s="15"/>
      <c r="N4192" s="18"/>
      <c r="O4192" s="14"/>
      <c r="P4192" s="17">
        <v>1</v>
      </c>
      <c r="Q4192" s="19">
        <v>9127</v>
      </c>
      <c r="R4192" s="14">
        <v>1500</v>
      </c>
      <c r="S4192" s="19">
        <v>13690500</v>
      </c>
      <c r="T4192" s="17"/>
      <c r="U4192" s="17"/>
      <c r="V4192" s="17"/>
      <c r="W4192" s="4"/>
      <c r="X4192" s="17"/>
      <c r="Y4192" s="4"/>
      <c r="Z4192" s="17"/>
      <c r="AA4192" s="17"/>
      <c r="AB4192" s="17"/>
      <c r="AC4192" s="14"/>
      <c r="AD4192" s="14"/>
      <c r="AE4192" s="17"/>
      <c r="AF4192" s="14"/>
      <c r="AG4192" s="54"/>
      <c r="AH4192" s="11"/>
      <c r="AI4192" s="14"/>
      <c r="AJ4192" s="19">
        <v>0</v>
      </c>
      <c r="AK4192" s="23">
        <v>0</v>
      </c>
      <c r="AL4192" s="11"/>
      <c r="AM4192" s="19">
        <v>0</v>
      </c>
      <c r="AN4192" s="19">
        <v>13690500</v>
      </c>
      <c r="AO4192" s="14"/>
      <c r="AP4192" s="14">
        <v>13690500</v>
      </c>
      <c r="AQ4192" s="12"/>
      <c r="AR4192" s="19"/>
    </row>
    <row r="4193" spans="1:45" ht="63" x14ac:dyDescent="0.2">
      <c r="A4193" s="121">
        <f t="shared" ref="A4193:A4196" si="511">+A4192+1</f>
        <v>3559</v>
      </c>
      <c r="B4193" s="13">
        <v>1</v>
      </c>
      <c r="C4193" s="17" t="s">
        <v>52</v>
      </c>
      <c r="D4193" s="17">
        <v>25115</v>
      </c>
      <c r="E4193" s="17">
        <v>524</v>
      </c>
      <c r="F4193" s="17">
        <v>4887</v>
      </c>
      <c r="G4193" s="13">
        <v>2</v>
      </c>
      <c r="H4193" s="17">
        <v>0</v>
      </c>
      <c r="I4193" s="17">
        <v>0</v>
      </c>
      <c r="J4193" s="17">
        <v>48.07</v>
      </c>
      <c r="L4193" s="17">
        <v>48.07</v>
      </c>
      <c r="P4193" s="17">
        <v>2</v>
      </c>
      <c r="Q4193" s="19">
        <v>48.07</v>
      </c>
      <c r="R4193" s="14">
        <v>160</v>
      </c>
      <c r="S4193" s="19">
        <v>7691.2</v>
      </c>
      <c r="T4193" s="17">
        <v>1</v>
      </c>
      <c r="U4193" s="17" t="s">
        <v>57</v>
      </c>
      <c r="V4193" s="17" t="s">
        <v>56</v>
      </c>
      <c r="W4193" s="4">
        <v>40</v>
      </c>
      <c r="Y4193" s="4">
        <v>40</v>
      </c>
      <c r="AB4193" s="17">
        <v>70</v>
      </c>
      <c r="AJ4193" s="19">
        <v>0</v>
      </c>
      <c r="AK4193" s="23">
        <v>70</v>
      </c>
      <c r="AM4193" s="19">
        <v>0</v>
      </c>
      <c r="AN4193" s="19">
        <v>7691.2</v>
      </c>
      <c r="AP4193" s="14">
        <v>7691.2</v>
      </c>
    </row>
    <row r="4194" spans="1:45" x14ac:dyDescent="0.2">
      <c r="A4194" s="121">
        <f t="shared" si="511"/>
        <v>3560</v>
      </c>
      <c r="B4194" s="13">
        <v>2</v>
      </c>
      <c r="C4194" s="17" t="s">
        <v>52</v>
      </c>
      <c r="D4194" s="17">
        <v>23933</v>
      </c>
      <c r="E4194" s="17">
        <v>170</v>
      </c>
      <c r="F4194" s="17">
        <v>4889</v>
      </c>
      <c r="H4194" s="17">
        <v>9</v>
      </c>
      <c r="I4194" s="17">
        <v>0</v>
      </c>
      <c r="J4194" s="17">
        <v>74</v>
      </c>
      <c r="K4194" s="10">
        <v>3674</v>
      </c>
      <c r="P4194" s="17">
        <v>1</v>
      </c>
      <c r="Q4194" s="19">
        <v>3674</v>
      </c>
      <c r="R4194" s="14">
        <v>160</v>
      </c>
      <c r="S4194" s="19">
        <v>587840</v>
      </c>
      <c r="AJ4194" s="19">
        <v>0</v>
      </c>
      <c r="AK4194" s="23">
        <v>0</v>
      </c>
      <c r="AM4194" s="19">
        <v>0</v>
      </c>
      <c r="AN4194" s="19">
        <v>587840</v>
      </c>
      <c r="AP4194" s="14">
        <v>587840</v>
      </c>
    </row>
    <row r="4195" spans="1:45" x14ac:dyDescent="0.2">
      <c r="A4195" s="121">
        <f t="shared" si="511"/>
        <v>3561</v>
      </c>
      <c r="B4195" s="13">
        <v>3</v>
      </c>
      <c r="C4195" s="17" t="s">
        <v>52</v>
      </c>
      <c r="D4195" s="17">
        <v>23935</v>
      </c>
      <c r="E4195" s="17">
        <v>172</v>
      </c>
      <c r="F4195" s="17">
        <v>4891</v>
      </c>
      <c r="H4195" s="17">
        <v>2</v>
      </c>
      <c r="I4195" s="17">
        <v>1</v>
      </c>
      <c r="J4195" s="17">
        <v>23</v>
      </c>
      <c r="K4195" s="10">
        <v>923</v>
      </c>
      <c r="P4195" s="17">
        <v>1</v>
      </c>
      <c r="Q4195" s="19">
        <v>923</v>
      </c>
      <c r="R4195" s="14">
        <v>160</v>
      </c>
      <c r="S4195" s="19">
        <v>147680</v>
      </c>
      <c r="AJ4195" s="19">
        <v>0</v>
      </c>
      <c r="AK4195" s="23">
        <v>0</v>
      </c>
      <c r="AM4195" s="19">
        <v>0</v>
      </c>
      <c r="AN4195" s="19">
        <v>147680</v>
      </c>
      <c r="AP4195" s="14">
        <v>147680</v>
      </c>
    </row>
    <row r="4196" spans="1:45" ht="63" x14ac:dyDescent="0.2">
      <c r="A4196" s="121">
        <f t="shared" si="511"/>
        <v>3562</v>
      </c>
      <c r="B4196" s="13">
        <v>1</v>
      </c>
      <c r="C4196" s="17" t="s">
        <v>52</v>
      </c>
      <c r="D4196" s="17">
        <v>25114</v>
      </c>
      <c r="E4196" s="17">
        <v>523</v>
      </c>
      <c r="F4196" s="17">
        <v>4886</v>
      </c>
      <c r="G4196" s="13">
        <v>2</v>
      </c>
      <c r="H4196" s="17">
        <v>0</v>
      </c>
      <c r="I4196" s="17">
        <v>0</v>
      </c>
      <c r="J4196" s="17">
        <v>49</v>
      </c>
      <c r="L4196" s="17">
        <v>39</v>
      </c>
      <c r="M4196" s="15">
        <v>10</v>
      </c>
      <c r="P4196" s="17">
        <v>2</v>
      </c>
      <c r="Q4196" s="19">
        <v>49</v>
      </c>
      <c r="R4196" s="14">
        <v>4500</v>
      </c>
      <c r="S4196" s="19">
        <v>220500</v>
      </c>
      <c r="T4196" s="17">
        <v>1</v>
      </c>
      <c r="U4196" s="17" t="s">
        <v>57</v>
      </c>
      <c r="V4196" s="17" t="s">
        <v>56</v>
      </c>
      <c r="W4196" s="4">
        <v>180</v>
      </c>
      <c r="Y4196" s="4" t="s">
        <v>364</v>
      </c>
      <c r="Z4196" s="17">
        <v>80</v>
      </c>
      <c r="AB4196" s="17">
        <v>70</v>
      </c>
      <c r="AF4196" s="14">
        <v>2</v>
      </c>
      <c r="AG4196" s="54">
        <v>180</v>
      </c>
      <c r="AH4196" s="11">
        <v>0.56000000000000005</v>
      </c>
      <c r="AI4196" s="14">
        <v>8100</v>
      </c>
      <c r="AJ4196" s="19">
        <v>816480.00000000012</v>
      </c>
      <c r="AK4196" s="23">
        <v>70</v>
      </c>
      <c r="AL4196" s="11">
        <v>0.76</v>
      </c>
      <c r="AM4196" s="19">
        <v>195955.20000000007</v>
      </c>
      <c r="AN4196" s="19">
        <v>416455.20000000007</v>
      </c>
      <c r="AP4196" s="14">
        <v>416455.20000000007</v>
      </c>
    </row>
    <row r="4197" spans="1:45" x14ac:dyDescent="0.2">
      <c r="R4197" s="14" t="e">
        <v>#N/A</v>
      </c>
      <c r="AF4197" s="14">
        <v>3</v>
      </c>
      <c r="AG4197" s="54">
        <v>180</v>
      </c>
      <c r="AH4197" s="11">
        <v>0.44</v>
      </c>
      <c r="AI4197" s="14">
        <v>8100</v>
      </c>
      <c r="AJ4197" s="19">
        <v>641520</v>
      </c>
      <c r="AK4197" s="23">
        <v>70</v>
      </c>
      <c r="AL4197" s="11">
        <v>0.76</v>
      </c>
      <c r="AM4197" s="19">
        <v>153964.79999999999</v>
      </c>
      <c r="AN4197" s="19">
        <v>250984.8</v>
      </c>
      <c r="AP4197" s="14">
        <v>250984.8</v>
      </c>
      <c r="AQ4197" s="12">
        <v>3.0000000000000001E-3</v>
      </c>
    </row>
    <row r="4198" spans="1:45" x14ac:dyDescent="0.2">
      <c r="A4198" s="2">
        <v>3563</v>
      </c>
      <c r="B4198" s="13">
        <v>2</v>
      </c>
      <c r="C4198" s="17" t="s">
        <v>52</v>
      </c>
      <c r="D4198" s="17">
        <v>16053</v>
      </c>
      <c r="E4198" s="17">
        <v>125</v>
      </c>
      <c r="F4198" s="17">
        <v>3531</v>
      </c>
      <c r="H4198" s="17">
        <v>2</v>
      </c>
      <c r="I4198" s="17">
        <v>2</v>
      </c>
      <c r="J4198" s="17">
        <v>22</v>
      </c>
      <c r="K4198" s="10">
        <v>1022</v>
      </c>
      <c r="P4198" s="17">
        <v>1</v>
      </c>
      <c r="Q4198" s="19">
        <v>1022</v>
      </c>
      <c r="R4198" s="14">
        <v>160</v>
      </c>
      <c r="S4198" s="19">
        <v>163520</v>
      </c>
      <c r="AJ4198" s="19">
        <v>0</v>
      </c>
      <c r="AK4198" s="23">
        <v>0</v>
      </c>
      <c r="AM4198" s="19">
        <v>0</v>
      </c>
      <c r="AN4198" s="19">
        <v>163520</v>
      </c>
      <c r="AP4198" s="14">
        <v>163520</v>
      </c>
    </row>
    <row r="4199" spans="1:45" x14ac:dyDescent="0.2">
      <c r="A4199" s="2">
        <f>+A4198+1</f>
        <v>3564</v>
      </c>
      <c r="B4199" s="13">
        <v>3</v>
      </c>
      <c r="C4199" s="17" t="s">
        <v>52</v>
      </c>
      <c r="D4199" s="17">
        <v>16069</v>
      </c>
      <c r="E4199" s="17">
        <v>123</v>
      </c>
      <c r="F4199" s="17">
        <v>3547</v>
      </c>
      <c r="H4199" s="17">
        <v>29</v>
      </c>
      <c r="I4199" s="17">
        <v>2</v>
      </c>
      <c r="J4199" s="17">
        <v>15</v>
      </c>
      <c r="K4199" s="10">
        <v>11815</v>
      </c>
      <c r="P4199" s="17">
        <v>1</v>
      </c>
      <c r="Q4199" s="19">
        <v>11815</v>
      </c>
      <c r="R4199" s="14">
        <v>200</v>
      </c>
      <c r="S4199" s="19">
        <v>2363000</v>
      </c>
      <c r="AJ4199" s="19">
        <v>0</v>
      </c>
      <c r="AK4199" s="23">
        <v>0</v>
      </c>
      <c r="AM4199" s="19">
        <v>0</v>
      </c>
      <c r="AN4199" s="19">
        <v>2363000</v>
      </c>
      <c r="AP4199" s="14">
        <v>2363000</v>
      </c>
    </row>
    <row r="4200" spans="1:45" x14ac:dyDescent="0.2">
      <c r="A4200" s="121">
        <f t="shared" ref="A4200:A4202" si="512">+A4199+1</f>
        <v>3565</v>
      </c>
      <c r="B4200" s="13">
        <v>4</v>
      </c>
      <c r="C4200" s="17" t="s">
        <v>52</v>
      </c>
      <c r="D4200" s="17">
        <v>16070</v>
      </c>
      <c r="E4200" s="17">
        <v>126</v>
      </c>
      <c r="F4200" s="17">
        <v>3548</v>
      </c>
      <c r="H4200" s="17">
        <v>8</v>
      </c>
      <c r="I4200" s="17">
        <v>3</v>
      </c>
      <c r="J4200" s="17">
        <v>72</v>
      </c>
      <c r="K4200" s="10">
        <v>3572</v>
      </c>
      <c r="P4200" s="17">
        <v>1</v>
      </c>
      <c r="Q4200" s="19">
        <v>3572</v>
      </c>
      <c r="R4200" s="14">
        <v>160</v>
      </c>
      <c r="S4200" s="19">
        <v>571520</v>
      </c>
      <c r="AJ4200" s="19">
        <v>0</v>
      </c>
      <c r="AK4200" s="23">
        <v>0</v>
      </c>
      <c r="AM4200" s="19">
        <v>0</v>
      </c>
      <c r="AN4200" s="19">
        <v>571520</v>
      </c>
      <c r="AP4200" s="14">
        <v>571520</v>
      </c>
    </row>
    <row r="4201" spans="1:45" x14ac:dyDescent="0.2">
      <c r="A4201" s="121">
        <f t="shared" si="512"/>
        <v>3566</v>
      </c>
      <c r="B4201" s="13">
        <v>1</v>
      </c>
      <c r="C4201" s="17" t="s">
        <v>52</v>
      </c>
      <c r="D4201" s="17">
        <v>5971</v>
      </c>
      <c r="E4201" s="17">
        <v>74</v>
      </c>
      <c r="F4201" s="17">
        <v>3071</v>
      </c>
      <c r="G4201" s="13">
        <v>5</v>
      </c>
      <c r="H4201" s="17">
        <v>9</v>
      </c>
      <c r="I4201" s="17">
        <v>2</v>
      </c>
      <c r="J4201" s="17">
        <v>82</v>
      </c>
      <c r="K4201" s="10">
        <v>3882</v>
      </c>
      <c r="P4201" s="17">
        <v>1</v>
      </c>
      <c r="Q4201" s="19">
        <v>3882</v>
      </c>
      <c r="R4201" s="14">
        <v>160</v>
      </c>
      <c r="S4201" s="19">
        <v>621120</v>
      </c>
      <c r="AJ4201" s="19">
        <v>0</v>
      </c>
      <c r="AK4201" s="23">
        <v>0</v>
      </c>
      <c r="AM4201" s="19">
        <v>0</v>
      </c>
      <c r="AN4201" s="19">
        <v>621120</v>
      </c>
      <c r="AP4201" s="14">
        <v>621120</v>
      </c>
      <c r="AS4201" s="26">
        <v>29</v>
      </c>
    </row>
    <row r="4202" spans="1:45" ht="63" x14ac:dyDescent="0.2">
      <c r="A4202" s="121">
        <f t="shared" si="512"/>
        <v>3567</v>
      </c>
      <c r="B4202" s="13">
        <v>1</v>
      </c>
      <c r="C4202" s="17" t="s">
        <v>52</v>
      </c>
      <c r="D4202" s="17">
        <v>5881</v>
      </c>
      <c r="E4202" s="17">
        <v>56</v>
      </c>
      <c r="F4202" s="17">
        <v>3019</v>
      </c>
      <c r="G4202" s="13">
        <v>5</v>
      </c>
      <c r="H4202" s="17">
        <v>3</v>
      </c>
      <c r="I4202" s="17">
        <v>0</v>
      </c>
      <c r="J4202" s="17">
        <v>18</v>
      </c>
      <c r="K4202" s="10">
        <v>1048</v>
      </c>
      <c r="L4202" s="17">
        <v>122.5</v>
      </c>
      <c r="P4202" s="17">
        <v>5</v>
      </c>
      <c r="Q4202" s="19">
        <v>1218</v>
      </c>
      <c r="R4202" s="14">
        <v>750</v>
      </c>
      <c r="S4202" s="19">
        <v>913500</v>
      </c>
      <c r="T4202" s="17">
        <v>1</v>
      </c>
      <c r="U4202" s="17" t="s">
        <v>57</v>
      </c>
      <c r="V4202" s="17" t="s">
        <v>56</v>
      </c>
      <c r="W4202" s="4">
        <v>490</v>
      </c>
      <c r="Y4202" s="4">
        <v>490</v>
      </c>
      <c r="AB4202" s="17">
        <v>31</v>
      </c>
      <c r="AJ4202" s="19">
        <v>0</v>
      </c>
      <c r="AK4202" s="23">
        <v>31</v>
      </c>
      <c r="AM4202" s="19">
        <v>0</v>
      </c>
      <c r="AN4202" s="19">
        <v>913500</v>
      </c>
      <c r="AP4202" s="14">
        <v>913500</v>
      </c>
      <c r="AS4202" s="26">
        <v>38</v>
      </c>
    </row>
    <row r="4203" spans="1:45" ht="63" x14ac:dyDescent="0.2">
      <c r="L4203" s="17">
        <v>25</v>
      </c>
      <c r="Q4203" s="19">
        <v>0</v>
      </c>
      <c r="R4203" s="14" t="e">
        <v>#N/A</v>
      </c>
      <c r="S4203" s="19" t="e">
        <v>#N/A</v>
      </c>
      <c r="T4203" s="17">
        <v>2</v>
      </c>
      <c r="U4203" s="17" t="s">
        <v>57</v>
      </c>
      <c r="V4203" s="17" t="s">
        <v>56</v>
      </c>
      <c r="W4203" s="4">
        <v>100</v>
      </c>
      <c r="Y4203" s="4">
        <v>100</v>
      </c>
      <c r="AB4203" s="17">
        <v>11</v>
      </c>
      <c r="AJ4203" s="19">
        <v>0</v>
      </c>
      <c r="AK4203" s="23">
        <v>11</v>
      </c>
      <c r="AM4203" s="19">
        <v>0</v>
      </c>
      <c r="AN4203" s="19" t="e">
        <v>#N/A</v>
      </c>
      <c r="AP4203" s="14" t="e">
        <v>#N/A</v>
      </c>
    </row>
    <row r="4204" spans="1:45" ht="63" x14ac:dyDescent="0.2">
      <c r="L4204" s="17">
        <v>22.5</v>
      </c>
      <c r="Q4204" s="19">
        <v>0</v>
      </c>
      <c r="R4204" s="14" t="e">
        <v>#N/A</v>
      </c>
      <c r="S4204" s="19" t="e">
        <v>#N/A</v>
      </c>
      <c r="T4204" s="17">
        <v>3</v>
      </c>
      <c r="U4204" s="17" t="s">
        <v>57</v>
      </c>
      <c r="V4204" s="17" t="s">
        <v>56</v>
      </c>
      <c r="W4204" s="4">
        <v>90</v>
      </c>
      <c r="Y4204" s="4">
        <v>90</v>
      </c>
      <c r="AB4204" s="17">
        <v>11</v>
      </c>
      <c r="AJ4204" s="19">
        <v>0</v>
      </c>
      <c r="AK4204" s="23">
        <v>11</v>
      </c>
      <c r="AM4204" s="19">
        <v>0</v>
      </c>
      <c r="AN4204" s="19" t="e">
        <v>#N/A</v>
      </c>
      <c r="AP4204" s="14" t="e">
        <v>#N/A</v>
      </c>
    </row>
    <row r="4205" spans="1:45" x14ac:dyDescent="0.2">
      <c r="A4205" s="2">
        <v>3568</v>
      </c>
      <c r="B4205" s="13">
        <v>2</v>
      </c>
      <c r="C4205" s="17" t="s">
        <v>52</v>
      </c>
      <c r="D4205" s="17">
        <v>5970</v>
      </c>
      <c r="E4205" s="17">
        <v>75</v>
      </c>
      <c r="F4205" s="17">
        <v>3070</v>
      </c>
      <c r="G4205" s="13">
        <v>5</v>
      </c>
      <c r="H4205" s="17">
        <v>12</v>
      </c>
      <c r="I4205" s="17">
        <v>2</v>
      </c>
      <c r="J4205" s="17">
        <v>61</v>
      </c>
      <c r="K4205" s="10">
        <v>5061</v>
      </c>
      <c r="P4205" s="17">
        <v>1</v>
      </c>
      <c r="Q4205" s="19">
        <v>5061</v>
      </c>
      <c r="R4205" s="14">
        <v>160</v>
      </c>
      <c r="S4205" s="19">
        <v>809760</v>
      </c>
      <c r="AJ4205" s="19">
        <v>0</v>
      </c>
      <c r="AK4205" s="23">
        <v>0</v>
      </c>
      <c r="AM4205" s="19">
        <v>0</v>
      </c>
      <c r="AN4205" s="19">
        <v>809760</v>
      </c>
      <c r="AP4205" s="14">
        <v>809760</v>
      </c>
    </row>
    <row r="4206" spans="1:45" x14ac:dyDescent="0.2">
      <c r="A4206" s="2">
        <f>+A4205+1</f>
        <v>3569</v>
      </c>
      <c r="B4206" s="13">
        <v>1</v>
      </c>
      <c r="C4206" s="17" t="s">
        <v>52</v>
      </c>
      <c r="D4206" s="17">
        <v>5917</v>
      </c>
      <c r="E4206" s="17">
        <v>53</v>
      </c>
      <c r="F4206" s="17">
        <v>3014</v>
      </c>
      <c r="G4206" s="13">
        <v>5</v>
      </c>
      <c r="H4206" s="17">
        <v>2</v>
      </c>
      <c r="I4206" s="17">
        <v>3</v>
      </c>
      <c r="J4206" s="17">
        <v>88</v>
      </c>
      <c r="K4206" s="10" t="s">
        <v>365</v>
      </c>
      <c r="P4206" s="17">
        <v>1</v>
      </c>
      <c r="Q4206" s="19">
        <v>1188</v>
      </c>
      <c r="R4206" s="14">
        <v>200</v>
      </c>
      <c r="S4206" s="19">
        <v>237600</v>
      </c>
      <c r="AE4206" s="17" t="s">
        <v>366</v>
      </c>
      <c r="AJ4206" s="19">
        <v>0</v>
      </c>
      <c r="AK4206" s="23">
        <v>0</v>
      </c>
      <c r="AM4206" s="19">
        <v>0</v>
      </c>
      <c r="AN4206" s="19">
        <v>237600</v>
      </c>
      <c r="AP4206" s="14">
        <v>237600</v>
      </c>
    </row>
    <row r="4207" spans="1:45" x14ac:dyDescent="0.2">
      <c r="A4207" s="121">
        <f t="shared" ref="A4207:A4208" si="513">+A4206+1</f>
        <v>3570</v>
      </c>
      <c r="B4207" s="13">
        <v>1</v>
      </c>
      <c r="C4207" s="17" t="s">
        <v>52</v>
      </c>
      <c r="D4207" s="17">
        <v>5838</v>
      </c>
      <c r="E4207" s="17">
        <v>6</v>
      </c>
      <c r="F4207" s="17">
        <v>3035</v>
      </c>
      <c r="G4207" s="13">
        <v>5</v>
      </c>
      <c r="H4207" s="17">
        <v>0</v>
      </c>
      <c r="I4207" s="17">
        <v>2</v>
      </c>
      <c r="J4207" s="17">
        <v>29</v>
      </c>
      <c r="K4207" s="10">
        <v>229</v>
      </c>
      <c r="P4207" s="17">
        <v>1</v>
      </c>
      <c r="Q4207" s="19">
        <v>229</v>
      </c>
      <c r="R4207" s="14">
        <v>160</v>
      </c>
      <c r="S4207" s="19">
        <v>36640</v>
      </c>
      <c r="AJ4207" s="19">
        <v>0</v>
      </c>
      <c r="AK4207" s="23">
        <v>0</v>
      </c>
      <c r="AM4207" s="19">
        <v>0</v>
      </c>
      <c r="AN4207" s="19">
        <v>36640</v>
      </c>
      <c r="AP4207" s="14">
        <v>36640</v>
      </c>
    </row>
    <row r="4208" spans="1:45" ht="42" x14ac:dyDescent="0.2">
      <c r="A4208" s="121">
        <f t="shared" si="513"/>
        <v>3571</v>
      </c>
      <c r="B4208" s="13">
        <v>1</v>
      </c>
      <c r="C4208" s="17" t="s">
        <v>69</v>
      </c>
      <c r="E4208" s="17" t="s">
        <v>367</v>
      </c>
      <c r="F4208" s="17">
        <v>1</v>
      </c>
      <c r="G4208" s="13">
        <v>5</v>
      </c>
      <c r="H4208" s="17">
        <v>7</v>
      </c>
      <c r="I4208" s="17">
        <v>1</v>
      </c>
      <c r="J4208" s="17">
        <v>72</v>
      </c>
      <c r="K4208" s="10">
        <v>2972</v>
      </c>
      <c r="P4208" s="17">
        <v>1</v>
      </c>
      <c r="Q4208" s="19">
        <v>2972</v>
      </c>
      <c r="R4208" s="14">
        <v>200</v>
      </c>
      <c r="S4208" s="19">
        <v>594400</v>
      </c>
      <c r="AJ4208" s="19">
        <v>0</v>
      </c>
      <c r="AK4208" s="23">
        <v>0</v>
      </c>
      <c r="AM4208" s="19">
        <v>0</v>
      </c>
      <c r="AN4208" s="19">
        <v>594400</v>
      </c>
      <c r="AP4208" s="14">
        <v>594400</v>
      </c>
      <c r="AQ4208" s="12">
        <v>1E-4</v>
      </c>
    </row>
    <row r="4209" spans="1:45" x14ac:dyDescent="0.2">
      <c r="C4209" s="17" t="s">
        <v>52</v>
      </c>
      <c r="D4209" s="17">
        <v>18156</v>
      </c>
      <c r="E4209" s="17">
        <v>103</v>
      </c>
      <c r="F4209" s="17">
        <v>4078</v>
      </c>
      <c r="H4209" s="17">
        <v>3</v>
      </c>
      <c r="I4209" s="17">
        <v>3</v>
      </c>
      <c r="J4209" s="17">
        <v>11</v>
      </c>
      <c r="K4209" s="10" t="s">
        <v>368</v>
      </c>
      <c r="P4209" s="17">
        <v>1</v>
      </c>
      <c r="Q4209" s="19">
        <v>1511</v>
      </c>
      <c r="R4209" s="14" t="e">
        <v>#N/A</v>
      </c>
    </row>
    <row r="4210" spans="1:45" ht="42" x14ac:dyDescent="0.2">
      <c r="A4210" s="2">
        <v>3572</v>
      </c>
      <c r="B4210" s="13">
        <v>1</v>
      </c>
      <c r="C4210" s="17" t="s">
        <v>69</v>
      </c>
      <c r="E4210" s="17" t="s">
        <v>367</v>
      </c>
      <c r="F4210" s="17">
        <v>4</v>
      </c>
      <c r="G4210" s="13">
        <v>5</v>
      </c>
      <c r="H4210" s="17">
        <v>3</v>
      </c>
      <c r="I4210" s="17">
        <v>0</v>
      </c>
      <c r="J4210" s="17">
        <v>55</v>
      </c>
      <c r="K4210" s="10">
        <v>1255</v>
      </c>
      <c r="P4210" s="17">
        <v>1</v>
      </c>
      <c r="Q4210" s="19">
        <v>1255</v>
      </c>
      <c r="R4210" s="14">
        <v>200</v>
      </c>
      <c r="S4210" s="19">
        <v>251000</v>
      </c>
      <c r="AJ4210" s="19">
        <v>0</v>
      </c>
      <c r="AK4210" s="23">
        <v>0</v>
      </c>
      <c r="AM4210" s="19">
        <v>0</v>
      </c>
      <c r="AN4210" s="19">
        <v>251000</v>
      </c>
      <c r="AP4210" s="14">
        <v>251000</v>
      </c>
      <c r="AQ4210" s="12">
        <v>1E-4</v>
      </c>
    </row>
    <row r="4211" spans="1:45" x14ac:dyDescent="0.2">
      <c r="B4211" s="13">
        <v>2</v>
      </c>
      <c r="C4211" s="17" t="s">
        <v>65</v>
      </c>
      <c r="D4211" s="17">
        <v>3877</v>
      </c>
      <c r="E4211" s="17">
        <v>20</v>
      </c>
      <c r="H4211" s="17">
        <v>0</v>
      </c>
      <c r="I4211" s="17">
        <v>0</v>
      </c>
      <c r="J4211" s="17">
        <v>41</v>
      </c>
      <c r="N4211" s="18">
        <v>41</v>
      </c>
      <c r="P4211" s="17">
        <v>4</v>
      </c>
      <c r="Q4211" s="19">
        <v>41</v>
      </c>
      <c r="R4211" s="14" t="e">
        <v>#N/A</v>
      </c>
      <c r="S4211" s="19" t="e">
        <v>#N/A</v>
      </c>
      <c r="AJ4211" s="19">
        <v>0</v>
      </c>
      <c r="AK4211" s="23">
        <v>0</v>
      </c>
      <c r="AM4211" s="19">
        <v>0</v>
      </c>
      <c r="AN4211" s="19" t="e">
        <v>#N/A</v>
      </c>
      <c r="AP4211" s="14" t="e">
        <v>#N/A</v>
      </c>
      <c r="AQ4211" s="12">
        <v>3.0000000000000001E-3</v>
      </c>
    </row>
    <row r="4212" spans="1:45" ht="63" x14ac:dyDescent="0.2">
      <c r="A4212" s="2">
        <v>3573</v>
      </c>
      <c r="B4212" s="13">
        <v>1</v>
      </c>
      <c r="C4212" s="17" t="s">
        <v>52</v>
      </c>
      <c r="D4212" s="17">
        <v>5863</v>
      </c>
      <c r="E4212" s="17">
        <v>18</v>
      </c>
      <c r="F4212" s="17">
        <v>2941</v>
      </c>
      <c r="G4212" s="13">
        <v>5</v>
      </c>
      <c r="H4212" s="17">
        <v>26</v>
      </c>
      <c r="I4212" s="17">
        <v>2</v>
      </c>
      <c r="J4212" s="17">
        <v>60</v>
      </c>
      <c r="K4212" s="10">
        <v>10573.25</v>
      </c>
      <c r="L4212" s="17">
        <v>57.75</v>
      </c>
      <c r="P4212" s="17">
        <v>5</v>
      </c>
      <c r="Q4212" s="19">
        <v>10660</v>
      </c>
      <c r="R4212" s="14">
        <v>375</v>
      </c>
      <c r="S4212" s="19">
        <v>3997500</v>
      </c>
      <c r="T4212" s="17">
        <v>1</v>
      </c>
      <c r="U4212" s="17" t="s">
        <v>57</v>
      </c>
      <c r="V4212" s="17" t="s">
        <v>56</v>
      </c>
      <c r="W4212" s="4">
        <v>231</v>
      </c>
      <c r="Y4212" s="4">
        <v>231</v>
      </c>
      <c r="AB4212" s="17">
        <v>31</v>
      </c>
      <c r="AJ4212" s="19">
        <v>0</v>
      </c>
      <c r="AK4212" s="23">
        <v>31</v>
      </c>
      <c r="AM4212" s="19">
        <v>0</v>
      </c>
      <c r="AN4212" s="19">
        <v>3997500</v>
      </c>
      <c r="AP4212" s="14">
        <v>3997500</v>
      </c>
      <c r="AS4212" s="26" t="s">
        <v>369</v>
      </c>
    </row>
    <row r="4213" spans="1:45" ht="63" x14ac:dyDescent="0.2">
      <c r="L4213" s="17">
        <v>29</v>
      </c>
      <c r="P4213" s="17">
        <v>2</v>
      </c>
      <c r="Q4213" s="19">
        <v>0</v>
      </c>
      <c r="R4213" s="14">
        <v>375</v>
      </c>
      <c r="S4213" s="19">
        <v>0</v>
      </c>
      <c r="T4213" s="17">
        <v>2</v>
      </c>
      <c r="U4213" s="17" t="s">
        <v>57</v>
      </c>
      <c r="V4213" s="17" t="s">
        <v>56</v>
      </c>
      <c r="W4213" s="4">
        <v>116</v>
      </c>
      <c r="Y4213" s="4">
        <v>116</v>
      </c>
      <c r="AB4213" s="17">
        <v>11</v>
      </c>
      <c r="AJ4213" s="19">
        <v>0</v>
      </c>
      <c r="AK4213" s="23">
        <v>11</v>
      </c>
      <c r="AM4213" s="19">
        <v>0</v>
      </c>
      <c r="AN4213" s="19">
        <v>0</v>
      </c>
      <c r="AP4213" s="14">
        <v>0</v>
      </c>
    </row>
    <row r="4214" spans="1:45" x14ac:dyDescent="0.2">
      <c r="P4214" s="17">
        <v>3</v>
      </c>
      <c r="Q4214" s="19">
        <v>25</v>
      </c>
      <c r="R4214" s="14">
        <v>375</v>
      </c>
      <c r="S4214" s="19">
        <v>9375</v>
      </c>
      <c r="T4214" s="17">
        <v>3</v>
      </c>
      <c r="AE4214" s="17" t="s">
        <v>370</v>
      </c>
      <c r="AN4214" s="19">
        <v>9375</v>
      </c>
      <c r="AP4214" s="14">
        <v>9375</v>
      </c>
      <c r="AQ4214" s="12">
        <v>3.0000000000000001E-3</v>
      </c>
    </row>
    <row r="4215" spans="1:45" ht="63" x14ac:dyDescent="0.2">
      <c r="A4215" s="2">
        <v>3574</v>
      </c>
      <c r="B4215" s="13">
        <v>1</v>
      </c>
      <c r="C4215" s="17" t="s">
        <v>52</v>
      </c>
      <c r="D4215" s="17">
        <v>5869</v>
      </c>
      <c r="E4215" s="17">
        <v>28</v>
      </c>
      <c r="F4215" s="17">
        <v>3000</v>
      </c>
      <c r="G4215" s="13">
        <v>5</v>
      </c>
      <c r="H4215" s="17">
        <v>1</v>
      </c>
      <c r="I4215" s="17">
        <v>2</v>
      </c>
      <c r="J4215" s="17">
        <v>5</v>
      </c>
      <c r="P4215" s="17">
        <v>2</v>
      </c>
      <c r="Q4215" s="19">
        <v>605</v>
      </c>
      <c r="R4215" s="14">
        <v>200</v>
      </c>
      <c r="S4215" s="19">
        <v>121000</v>
      </c>
      <c r="U4215" s="17" t="s">
        <v>57</v>
      </c>
      <c r="V4215" s="17" t="s">
        <v>56</v>
      </c>
      <c r="W4215" s="4">
        <v>85</v>
      </c>
      <c r="Y4215" s="4" t="s">
        <v>371</v>
      </c>
      <c r="AB4215" s="17">
        <v>1</v>
      </c>
      <c r="AJ4215" s="19">
        <v>0</v>
      </c>
      <c r="AK4215" s="23">
        <v>1</v>
      </c>
      <c r="AM4215" s="19">
        <v>0</v>
      </c>
      <c r="AN4215" s="19">
        <v>121000</v>
      </c>
      <c r="AP4215" s="14">
        <v>121000</v>
      </c>
    </row>
    <row r="4216" spans="1:45" x14ac:dyDescent="0.2">
      <c r="A4216" s="2">
        <f>+A4215+1</f>
        <v>3575</v>
      </c>
      <c r="B4216" s="13">
        <v>1</v>
      </c>
      <c r="C4216" s="17" t="s">
        <v>52</v>
      </c>
      <c r="D4216" s="17">
        <v>18172</v>
      </c>
      <c r="E4216" s="17">
        <v>2</v>
      </c>
      <c r="F4216" s="17">
        <v>4094</v>
      </c>
      <c r="G4216" s="13">
        <v>5</v>
      </c>
      <c r="H4216" s="17">
        <v>8</v>
      </c>
      <c r="I4216" s="17">
        <v>3</v>
      </c>
      <c r="J4216" s="17">
        <v>53</v>
      </c>
      <c r="K4216" s="10">
        <v>3553</v>
      </c>
      <c r="P4216" s="17">
        <v>1</v>
      </c>
      <c r="Q4216" s="19">
        <v>3553</v>
      </c>
      <c r="R4216" s="14">
        <v>160</v>
      </c>
      <c r="S4216" s="19">
        <v>568480</v>
      </c>
      <c r="AJ4216" s="19">
        <v>0</v>
      </c>
      <c r="AK4216" s="23">
        <v>0</v>
      </c>
      <c r="AM4216" s="19">
        <v>0</v>
      </c>
      <c r="AN4216" s="19">
        <v>568480</v>
      </c>
      <c r="AP4216" s="14">
        <v>568480</v>
      </c>
    </row>
    <row r="4217" spans="1:45" x14ac:dyDescent="0.2">
      <c r="A4217" s="121">
        <f t="shared" ref="A4217:A4225" si="514">+A4216+1</f>
        <v>3576</v>
      </c>
      <c r="B4217" s="13">
        <v>1</v>
      </c>
      <c r="C4217" s="17" t="s">
        <v>52</v>
      </c>
      <c r="D4217" s="17">
        <v>18175</v>
      </c>
      <c r="E4217" s="17">
        <v>1</v>
      </c>
      <c r="F4217" s="17">
        <v>4097</v>
      </c>
      <c r="G4217" s="13">
        <v>5</v>
      </c>
      <c r="H4217" s="17">
        <v>2</v>
      </c>
      <c r="I4217" s="17">
        <v>1</v>
      </c>
      <c r="J4217" s="17">
        <v>28</v>
      </c>
      <c r="K4217" s="10">
        <v>928</v>
      </c>
      <c r="P4217" s="17">
        <v>1</v>
      </c>
      <c r="Q4217" s="19">
        <v>928</v>
      </c>
      <c r="R4217" s="14">
        <v>160</v>
      </c>
      <c r="S4217" s="19">
        <v>148480</v>
      </c>
      <c r="AJ4217" s="19">
        <v>0</v>
      </c>
      <c r="AK4217" s="23">
        <v>0</v>
      </c>
      <c r="AM4217" s="19">
        <v>0</v>
      </c>
      <c r="AN4217" s="19">
        <v>148480</v>
      </c>
      <c r="AP4217" s="14">
        <v>148480</v>
      </c>
    </row>
    <row r="4218" spans="1:45" x14ac:dyDescent="0.2">
      <c r="A4218" s="121">
        <f t="shared" si="514"/>
        <v>3577</v>
      </c>
      <c r="B4218" s="13">
        <v>1</v>
      </c>
      <c r="C4218" s="17" t="s">
        <v>52</v>
      </c>
      <c r="D4218" s="17">
        <v>36655</v>
      </c>
      <c r="E4218" s="17">
        <v>148</v>
      </c>
      <c r="F4218" s="17">
        <v>7203</v>
      </c>
      <c r="G4218" s="13">
        <v>5</v>
      </c>
      <c r="H4218" s="17">
        <v>0</v>
      </c>
      <c r="I4218" s="17">
        <v>0</v>
      </c>
      <c r="J4218" s="17">
        <v>43.1</v>
      </c>
      <c r="N4218" s="18">
        <v>43.1</v>
      </c>
      <c r="P4218" s="17">
        <v>4</v>
      </c>
      <c r="Q4218" s="19">
        <v>43.1</v>
      </c>
      <c r="R4218" s="14">
        <v>160</v>
      </c>
      <c r="S4218" s="19">
        <v>6896</v>
      </c>
      <c r="AN4218" s="19">
        <v>6896</v>
      </c>
      <c r="AP4218" s="14">
        <v>6896</v>
      </c>
      <c r="AQ4218" s="12">
        <v>3.0000000000000001E-3</v>
      </c>
    </row>
    <row r="4219" spans="1:45" x14ac:dyDescent="0.2">
      <c r="A4219" s="121">
        <f t="shared" si="514"/>
        <v>3578</v>
      </c>
      <c r="B4219" s="13">
        <v>2</v>
      </c>
      <c r="C4219" s="17" t="s">
        <v>52</v>
      </c>
      <c r="D4219" s="17">
        <v>36657</v>
      </c>
      <c r="E4219" s="17">
        <v>150</v>
      </c>
      <c r="F4219" s="17">
        <v>7205</v>
      </c>
      <c r="G4219" s="13">
        <v>5</v>
      </c>
      <c r="H4219" s="17">
        <v>0</v>
      </c>
      <c r="I4219" s="17">
        <v>0</v>
      </c>
      <c r="J4219" s="17">
        <v>67.3</v>
      </c>
      <c r="N4219" s="18">
        <v>67.3</v>
      </c>
      <c r="P4219" s="17">
        <v>4</v>
      </c>
      <c r="Q4219" s="19">
        <v>67.3</v>
      </c>
      <c r="R4219" s="14">
        <v>160</v>
      </c>
      <c r="S4219" s="19">
        <v>10768</v>
      </c>
      <c r="AJ4219" s="19">
        <v>0</v>
      </c>
      <c r="AK4219" s="23">
        <v>0</v>
      </c>
      <c r="AM4219" s="19">
        <v>0</v>
      </c>
      <c r="AN4219" s="19">
        <v>10768</v>
      </c>
      <c r="AP4219" s="14">
        <v>10768</v>
      </c>
      <c r="AQ4219" s="12">
        <v>3.0000000000000001E-3</v>
      </c>
    </row>
    <row r="4220" spans="1:45" x14ac:dyDescent="0.2">
      <c r="A4220" s="121">
        <f t="shared" si="514"/>
        <v>3579</v>
      </c>
      <c r="B4220" s="13">
        <v>3</v>
      </c>
      <c r="C4220" s="17" t="s">
        <v>52</v>
      </c>
      <c r="D4220" s="17">
        <v>36662</v>
      </c>
      <c r="E4220" s="17">
        <v>176</v>
      </c>
      <c r="F4220" s="17">
        <v>7210</v>
      </c>
      <c r="G4220" s="13">
        <v>5</v>
      </c>
      <c r="H4220" s="17">
        <v>14</v>
      </c>
      <c r="I4220" s="17">
        <v>1</v>
      </c>
      <c r="J4220" s="17">
        <v>64.2</v>
      </c>
      <c r="K4220" s="10">
        <v>5764.2</v>
      </c>
      <c r="P4220" s="17">
        <v>1</v>
      </c>
      <c r="Q4220" s="19">
        <v>5764.2</v>
      </c>
      <c r="R4220" s="14">
        <v>200</v>
      </c>
      <c r="S4220" s="19">
        <v>1152840</v>
      </c>
      <c r="AN4220" s="19">
        <v>1152840</v>
      </c>
      <c r="AP4220" s="14">
        <v>1152840</v>
      </c>
    </row>
    <row r="4221" spans="1:45" x14ac:dyDescent="0.2">
      <c r="A4221" s="121">
        <f t="shared" si="514"/>
        <v>3580</v>
      </c>
      <c r="B4221" s="13">
        <v>4</v>
      </c>
      <c r="C4221" s="17" t="s">
        <v>52</v>
      </c>
      <c r="D4221" s="17">
        <v>36663</v>
      </c>
      <c r="E4221" s="17">
        <v>175</v>
      </c>
      <c r="F4221" s="17">
        <v>7211</v>
      </c>
      <c r="G4221" s="13">
        <v>5</v>
      </c>
      <c r="H4221" s="17">
        <v>5</v>
      </c>
      <c r="I4221" s="17">
        <v>2</v>
      </c>
      <c r="J4221" s="17">
        <v>97.2</v>
      </c>
      <c r="K4221" s="10">
        <v>2297.1999999999998</v>
      </c>
      <c r="P4221" s="17">
        <v>1</v>
      </c>
      <c r="Q4221" s="19">
        <v>2297.1999999999998</v>
      </c>
      <c r="R4221" s="14">
        <v>200</v>
      </c>
      <c r="S4221" s="19">
        <v>459439.99999999994</v>
      </c>
      <c r="AN4221" s="19">
        <v>459439.99999999994</v>
      </c>
      <c r="AP4221" s="14">
        <v>459439.99999999994</v>
      </c>
    </row>
    <row r="4222" spans="1:45" x14ac:dyDescent="0.2">
      <c r="A4222" s="121">
        <f t="shared" si="514"/>
        <v>3581</v>
      </c>
      <c r="B4222" s="13">
        <v>5</v>
      </c>
      <c r="C4222" s="17" t="s">
        <v>52</v>
      </c>
      <c r="D4222" s="17">
        <v>36659</v>
      </c>
      <c r="E4222" s="17">
        <v>145</v>
      </c>
      <c r="F4222" s="17">
        <v>7207</v>
      </c>
      <c r="G4222" s="13">
        <v>5</v>
      </c>
      <c r="H4222" s="17">
        <v>0</v>
      </c>
      <c r="I4222" s="17">
        <v>1</v>
      </c>
      <c r="J4222" s="17">
        <v>17.09</v>
      </c>
      <c r="K4222" s="10">
        <v>117.09</v>
      </c>
      <c r="P4222" s="17">
        <v>1</v>
      </c>
      <c r="Q4222" s="19">
        <v>117.09</v>
      </c>
      <c r="R4222" s="14">
        <v>160</v>
      </c>
      <c r="S4222" s="19">
        <v>18734.400000000001</v>
      </c>
      <c r="AE4222" s="17" t="s">
        <v>372</v>
      </c>
      <c r="AJ4222" s="19">
        <v>0</v>
      </c>
      <c r="AK4222" s="23">
        <v>0</v>
      </c>
      <c r="AM4222" s="19">
        <v>0</v>
      </c>
      <c r="AN4222" s="19">
        <v>18734.400000000001</v>
      </c>
      <c r="AP4222" s="14">
        <v>18734.400000000001</v>
      </c>
    </row>
    <row r="4223" spans="1:45" x14ac:dyDescent="0.2">
      <c r="A4223" s="121">
        <f t="shared" si="514"/>
        <v>3582</v>
      </c>
      <c r="B4223" s="13">
        <v>6</v>
      </c>
      <c r="C4223" s="17" t="s">
        <v>52</v>
      </c>
      <c r="D4223" s="17">
        <v>36660</v>
      </c>
      <c r="E4223" s="17">
        <v>144</v>
      </c>
      <c r="F4223" s="17">
        <v>7208</v>
      </c>
      <c r="G4223" s="13">
        <v>5</v>
      </c>
      <c r="H4223" s="17">
        <v>0</v>
      </c>
      <c r="I4223" s="17">
        <v>0</v>
      </c>
      <c r="J4223" s="17">
        <v>65.05</v>
      </c>
      <c r="K4223" s="10">
        <v>65.05</v>
      </c>
      <c r="P4223" s="17">
        <v>1</v>
      </c>
      <c r="Q4223" s="19">
        <v>65.05</v>
      </c>
      <c r="R4223" s="14">
        <v>160</v>
      </c>
      <c r="S4223" s="19">
        <v>10408</v>
      </c>
      <c r="AE4223" s="17" t="s">
        <v>372</v>
      </c>
      <c r="AJ4223" s="19">
        <v>0</v>
      </c>
      <c r="AK4223" s="23">
        <v>0</v>
      </c>
      <c r="AM4223" s="19">
        <v>0</v>
      </c>
      <c r="AN4223" s="19">
        <v>10408</v>
      </c>
      <c r="AP4223" s="14">
        <v>10408</v>
      </c>
    </row>
    <row r="4224" spans="1:45" x14ac:dyDescent="0.2">
      <c r="A4224" s="121">
        <f t="shared" si="514"/>
        <v>3583</v>
      </c>
      <c r="B4224" s="13">
        <v>7</v>
      </c>
      <c r="C4224" s="17" t="s">
        <v>52</v>
      </c>
      <c r="D4224" s="17">
        <v>36661</v>
      </c>
      <c r="E4224" s="17">
        <v>143</v>
      </c>
      <c r="F4224" s="17">
        <v>7209</v>
      </c>
      <c r="G4224" s="13">
        <v>5</v>
      </c>
      <c r="H4224" s="17">
        <v>0</v>
      </c>
      <c r="I4224" s="17">
        <v>2</v>
      </c>
      <c r="J4224" s="17">
        <v>8.0500000000000007</v>
      </c>
      <c r="K4224" s="10">
        <v>208.05</v>
      </c>
      <c r="P4224" s="17">
        <v>1</v>
      </c>
      <c r="Q4224" s="19">
        <v>208.05</v>
      </c>
      <c r="R4224" s="14">
        <v>160</v>
      </c>
      <c r="S4224" s="19">
        <v>33288</v>
      </c>
      <c r="AE4224" s="17" t="s">
        <v>372</v>
      </c>
      <c r="AJ4224" s="19">
        <v>0</v>
      </c>
      <c r="AK4224" s="23">
        <v>0</v>
      </c>
      <c r="AM4224" s="19">
        <v>0</v>
      </c>
      <c r="AN4224" s="19">
        <v>33288</v>
      </c>
      <c r="AP4224" s="14">
        <v>33288</v>
      </c>
    </row>
    <row r="4225" spans="1:45" ht="63" x14ac:dyDescent="0.2">
      <c r="A4225" s="121">
        <f t="shared" si="514"/>
        <v>3584</v>
      </c>
      <c r="B4225" s="13">
        <v>1</v>
      </c>
      <c r="C4225" s="17" t="s">
        <v>52</v>
      </c>
      <c r="D4225" s="17">
        <v>12600</v>
      </c>
      <c r="E4225" s="17">
        <v>31</v>
      </c>
      <c r="F4225" s="17">
        <v>3262</v>
      </c>
      <c r="G4225" s="13">
        <v>5</v>
      </c>
      <c r="H4225" s="17">
        <v>0</v>
      </c>
      <c r="I4225" s="17">
        <v>2</v>
      </c>
      <c r="J4225" s="17">
        <v>5</v>
      </c>
      <c r="L4225" s="17">
        <v>205</v>
      </c>
      <c r="P4225" s="17">
        <v>2</v>
      </c>
      <c r="Q4225" s="19">
        <v>205</v>
      </c>
      <c r="R4225" s="14">
        <v>160</v>
      </c>
      <c r="S4225" s="19">
        <v>32800</v>
      </c>
      <c r="T4225" s="17">
        <v>1</v>
      </c>
      <c r="U4225" s="17" t="s">
        <v>57</v>
      </c>
      <c r="V4225" s="17" t="s">
        <v>56</v>
      </c>
      <c r="W4225" s="4">
        <v>144</v>
      </c>
      <c r="Y4225" s="4">
        <v>144</v>
      </c>
      <c r="AB4225" s="17">
        <v>14</v>
      </c>
      <c r="AJ4225" s="19">
        <v>0</v>
      </c>
      <c r="AK4225" s="23">
        <v>14</v>
      </c>
      <c r="AM4225" s="19">
        <v>0</v>
      </c>
      <c r="AN4225" s="19">
        <v>32800</v>
      </c>
      <c r="AP4225" s="14">
        <v>32800</v>
      </c>
    </row>
    <row r="4226" spans="1:45" ht="63" x14ac:dyDescent="0.2">
      <c r="A4226" s="121">
        <f>+A4225+1</f>
        <v>3585</v>
      </c>
      <c r="B4226" s="13">
        <v>1</v>
      </c>
      <c r="C4226" s="17" t="s">
        <v>52</v>
      </c>
      <c r="D4226" s="17">
        <v>5874</v>
      </c>
      <c r="E4226" s="17">
        <v>21</v>
      </c>
      <c r="F4226" s="17">
        <v>3007</v>
      </c>
      <c r="G4226" s="13">
        <v>5</v>
      </c>
      <c r="H4226" s="17">
        <v>1</v>
      </c>
      <c r="I4226" s="17">
        <v>2</v>
      </c>
      <c r="J4226" s="17">
        <v>72</v>
      </c>
      <c r="L4226" s="17">
        <v>601.05999999999995</v>
      </c>
      <c r="P4226" s="17">
        <v>2</v>
      </c>
      <c r="Q4226" s="19">
        <v>672</v>
      </c>
      <c r="R4226" s="14">
        <v>1100</v>
      </c>
      <c r="S4226" s="19">
        <v>739200</v>
      </c>
      <c r="T4226" s="17">
        <v>1</v>
      </c>
      <c r="U4226" s="17" t="s">
        <v>57</v>
      </c>
      <c r="V4226" s="17" t="s">
        <v>56</v>
      </c>
      <c r="W4226" s="4">
        <v>67.5</v>
      </c>
      <c r="Y4226" s="4">
        <v>67.5</v>
      </c>
      <c r="AB4226" s="17">
        <v>11</v>
      </c>
      <c r="AJ4226" s="19">
        <v>0</v>
      </c>
      <c r="AK4226" s="23">
        <v>11</v>
      </c>
      <c r="AM4226" s="19">
        <v>0</v>
      </c>
      <c r="AN4226" s="19">
        <v>739200</v>
      </c>
      <c r="AP4226" s="14">
        <v>739200</v>
      </c>
    </row>
    <row r="4227" spans="1:45" ht="63" x14ac:dyDescent="0.2">
      <c r="L4227" s="17">
        <v>15</v>
      </c>
      <c r="Q4227" s="19">
        <v>0</v>
      </c>
      <c r="R4227" s="14" t="e">
        <v>#N/A</v>
      </c>
      <c r="S4227" s="19" t="e">
        <v>#N/A</v>
      </c>
      <c r="T4227" s="17">
        <v>2</v>
      </c>
      <c r="U4227" s="17" t="s">
        <v>57</v>
      </c>
      <c r="V4227" s="17" t="s">
        <v>56</v>
      </c>
      <c r="W4227" s="4">
        <v>60</v>
      </c>
      <c r="Y4227" s="4">
        <v>60</v>
      </c>
      <c r="AB4227" s="17">
        <v>13</v>
      </c>
      <c r="AJ4227" s="19">
        <v>0</v>
      </c>
      <c r="AK4227" s="23">
        <v>13</v>
      </c>
      <c r="AM4227" s="19">
        <v>0</v>
      </c>
      <c r="AN4227" s="19" t="e">
        <v>#N/A</v>
      </c>
      <c r="AP4227" s="14" t="e">
        <v>#N/A</v>
      </c>
    </row>
    <row r="4228" spans="1:45" ht="63" x14ac:dyDescent="0.2">
      <c r="L4228" s="17">
        <v>34.880000000000003</v>
      </c>
      <c r="Q4228" s="19">
        <v>0</v>
      </c>
      <c r="R4228" s="14" t="e">
        <v>#N/A</v>
      </c>
      <c r="S4228" s="19" t="e">
        <v>#N/A</v>
      </c>
      <c r="T4228" s="17">
        <v>3</v>
      </c>
      <c r="U4228" s="17" t="s">
        <v>57</v>
      </c>
      <c r="V4228" s="17" t="s">
        <v>56</v>
      </c>
      <c r="W4228" s="4">
        <v>139.5</v>
      </c>
      <c r="Y4228" s="4">
        <v>139.5</v>
      </c>
      <c r="AB4228" s="17">
        <v>21</v>
      </c>
      <c r="AJ4228" s="19">
        <v>0</v>
      </c>
      <c r="AK4228" s="23">
        <v>21</v>
      </c>
      <c r="AM4228" s="19">
        <v>0</v>
      </c>
      <c r="AN4228" s="19" t="e">
        <v>#N/A</v>
      </c>
      <c r="AP4228" s="14" t="e">
        <v>#N/A</v>
      </c>
    </row>
    <row r="4229" spans="1:45" ht="63" x14ac:dyDescent="0.2">
      <c r="L4229" s="17">
        <v>13.75</v>
      </c>
      <c r="Q4229" s="19">
        <v>0</v>
      </c>
      <c r="R4229" s="14" t="e">
        <v>#N/A</v>
      </c>
      <c r="S4229" s="19" t="e">
        <v>#N/A</v>
      </c>
      <c r="T4229" s="17">
        <v>4</v>
      </c>
      <c r="U4229" s="17" t="s">
        <v>57</v>
      </c>
      <c r="V4229" s="17" t="s">
        <v>56</v>
      </c>
      <c r="W4229" s="4">
        <v>55</v>
      </c>
      <c r="Y4229" s="4">
        <v>55</v>
      </c>
      <c r="AB4229" s="17">
        <v>12</v>
      </c>
      <c r="AJ4229" s="19">
        <v>0</v>
      </c>
      <c r="AK4229" s="23">
        <v>12</v>
      </c>
      <c r="AM4229" s="19">
        <v>0</v>
      </c>
      <c r="AN4229" s="19" t="e">
        <v>#N/A</v>
      </c>
      <c r="AP4229" s="14" t="e">
        <v>#N/A</v>
      </c>
    </row>
    <row r="4230" spans="1:45" ht="63" x14ac:dyDescent="0.2">
      <c r="L4230" s="17">
        <v>7.31</v>
      </c>
      <c r="Q4230" s="19">
        <v>0</v>
      </c>
      <c r="R4230" s="14" t="e">
        <v>#N/A</v>
      </c>
      <c r="S4230" s="19" t="e">
        <v>#N/A</v>
      </c>
      <c r="T4230" s="17">
        <v>5</v>
      </c>
      <c r="U4230" s="17" t="s">
        <v>57</v>
      </c>
      <c r="V4230" s="17" t="s">
        <v>56</v>
      </c>
      <c r="W4230" s="4">
        <v>29.25</v>
      </c>
      <c r="Y4230" s="4">
        <v>29.25</v>
      </c>
      <c r="AB4230" s="17">
        <v>31</v>
      </c>
      <c r="AJ4230" s="19">
        <v>0</v>
      </c>
      <c r="AK4230" s="23">
        <v>31</v>
      </c>
      <c r="AM4230" s="19">
        <v>0</v>
      </c>
      <c r="AN4230" s="19" t="e">
        <v>#N/A</v>
      </c>
      <c r="AP4230" s="14" t="e">
        <v>#N/A</v>
      </c>
    </row>
    <row r="4231" spans="1:45" x14ac:dyDescent="0.2">
      <c r="A4231" s="2">
        <v>3586</v>
      </c>
      <c r="B4231" s="13">
        <v>1</v>
      </c>
      <c r="C4231" s="17" t="s">
        <v>52</v>
      </c>
      <c r="D4231" s="17">
        <v>23452</v>
      </c>
      <c r="E4231" s="17">
        <v>105</v>
      </c>
      <c r="F4231" s="17">
        <v>4838</v>
      </c>
      <c r="G4231" s="13">
        <v>5</v>
      </c>
      <c r="H4231" s="17">
        <v>0</v>
      </c>
      <c r="I4231" s="17">
        <v>1</v>
      </c>
      <c r="J4231" s="17">
        <v>80</v>
      </c>
      <c r="L4231" s="17">
        <v>180</v>
      </c>
      <c r="P4231" s="17">
        <v>2</v>
      </c>
      <c r="Q4231" s="19">
        <v>180</v>
      </c>
      <c r="R4231" s="14">
        <v>160</v>
      </c>
      <c r="S4231" s="19">
        <v>28800</v>
      </c>
      <c r="AJ4231" s="19">
        <v>0</v>
      </c>
      <c r="AK4231" s="23">
        <v>0</v>
      </c>
      <c r="AM4231" s="19">
        <v>0</v>
      </c>
      <c r="AN4231" s="19">
        <v>28800</v>
      </c>
      <c r="AP4231" s="14">
        <v>28800</v>
      </c>
      <c r="AS4231" s="26">
        <v>37</v>
      </c>
    </row>
    <row r="4232" spans="1:45" x14ac:dyDescent="0.2">
      <c r="A4232" s="2">
        <f>+A4231+1</f>
        <v>3587</v>
      </c>
      <c r="B4232" s="13">
        <v>1</v>
      </c>
      <c r="C4232" s="17" t="s">
        <v>52</v>
      </c>
      <c r="D4232" s="17">
        <v>23450</v>
      </c>
      <c r="E4232" s="17">
        <v>103</v>
      </c>
      <c r="F4232" s="17">
        <v>4836</v>
      </c>
      <c r="G4232" s="13">
        <v>5</v>
      </c>
      <c r="H4232" s="17">
        <v>0</v>
      </c>
      <c r="I4232" s="17">
        <v>1</v>
      </c>
      <c r="J4232" s="17">
        <v>23</v>
      </c>
      <c r="L4232" s="17">
        <v>123</v>
      </c>
      <c r="P4232" s="17">
        <v>2</v>
      </c>
      <c r="Q4232" s="19">
        <v>123</v>
      </c>
      <c r="R4232" s="14">
        <v>160</v>
      </c>
      <c r="S4232" s="19">
        <v>19680</v>
      </c>
      <c r="AJ4232" s="19">
        <v>0</v>
      </c>
      <c r="AK4232" s="23">
        <v>0</v>
      </c>
      <c r="AM4232" s="19">
        <v>0</v>
      </c>
      <c r="AN4232" s="19">
        <v>19680</v>
      </c>
      <c r="AP4232" s="14">
        <v>19680</v>
      </c>
    </row>
    <row r="4233" spans="1:45" x14ac:dyDescent="0.2">
      <c r="A4233" s="121">
        <f t="shared" ref="A4233:A4263" si="515">+A4232+1</f>
        <v>3588</v>
      </c>
      <c r="B4233" s="13">
        <v>1</v>
      </c>
      <c r="C4233" s="17" t="s">
        <v>52</v>
      </c>
      <c r="D4233" s="17">
        <v>35665</v>
      </c>
      <c r="E4233" s="17">
        <v>139</v>
      </c>
      <c r="F4233" s="17">
        <v>7068</v>
      </c>
      <c r="G4233" s="13">
        <v>5</v>
      </c>
      <c r="H4233" s="17">
        <v>0</v>
      </c>
      <c r="I4233" s="17">
        <v>0</v>
      </c>
      <c r="J4233" s="17">
        <v>26</v>
      </c>
      <c r="N4233" s="18">
        <v>26</v>
      </c>
      <c r="P4233" s="17">
        <v>2</v>
      </c>
      <c r="Q4233" s="19">
        <v>26</v>
      </c>
      <c r="R4233" s="14">
        <v>160</v>
      </c>
      <c r="S4233" s="19">
        <v>4160</v>
      </c>
      <c r="AJ4233" s="19">
        <v>0</v>
      </c>
      <c r="AK4233" s="23">
        <v>0</v>
      </c>
      <c r="AM4233" s="19">
        <v>0</v>
      </c>
      <c r="AN4233" s="19">
        <v>4160</v>
      </c>
      <c r="AP4233" s="14">
        <v>4160</v>
      </c>
      <c r="AQ4233" s="12">
        <v>0</v>
      </c>
    </row>
    <row r="4234" spans="1:45" ht="63" x14ac:dyDescent="0.2">
      <c r="A4234" s="121">
        <f t="shared" si="515"/>
        <v>3589</v>
      </c>
      <c r="B4234" s="13">
        <v>1</v>
      </c>
      <c r="C4234" s="17" t="s">
        <v>52</v>
      </c>
      <c r="D4234" s="17">
        <v>5902</v>
      </c>
      <c r="E4234" s="17">
        <v>18</v>
      </c>
      <c r="F4234" s="17">
        <v>2975</v>
      </c>
      <c r="G4234" s="13">
        <v>5</v>
      </c>
      <c r="H4234" s="17">
        <v>0</v>
      </c>
      <c r="I4234" s="17">
        <v>3</v>
      </c>
      <c r="J4234" s="17">
        <v>4</v>
      </c>
      <c r="L4234" s="17">
        <v>304</v>
      </c>
      <c r="P4234" s="17">
        <v>2</v>
      </c>
      <c r="Q4234" s="19">
        <v>304</v>
      </c>
      <c r="R4234" s="14">
        <v>200</v>
      </c>
      <c r="S4234" s="19">
        <v>60800</v>
      </c>
      <c r="T4234" s="17">
        <v>1</v>
      </c>
      <c r="U4234" s="17" t="s">
        <v>57</v>
      </c>
      <c r="V4234" s="17" t="s">
        <v>56</v>
      </c>
      <c r="W4234" s="4">
        <v>110</v>
      </c>
      <c r="Y4234" s="4">
        <v>110</v>
      </c>
      <c r="AB4234" s="17">
        <v>3</v>
      </c>
      <c r="AJ4234" s="19">
        <v>0</v>
      </c>
      <c r="AK4234" s="23">
        <v>3</v>
      </c>
      <c r="AM4234" s="19">
        <v>0</v>
      </c>
      <c r="AN4234" s="19">
        <v>60800</v>
      </c>
      <c r="AP4234" s="14">
        <v>60800</v>
      </c>
      <c r="AS4234" s="26">
        <v>66</v>
      </c>
    </row>
    <row r="4235" spans="1:45" ht="63" x14ac:dyDescent="0.2">
      <c r="A4235" s="121">
        <f t="shared" si="515"/>
        <v>3590</v>
      </c>
      <c r="B4235" s="13">
        <v>2</v>
      </c>
      <c r="C4235" s="17" t="s">
        <v>52</v>
      </c>
      <c r="D4235" s="17">
        <v>36672</v>
      </c>
      <c r="E4235" s="17">
        <v>20</v>
      </c>
      <c r="F4235" s="17">
        <v>3008</v>
      </c>
      <c r="H4235" s="17">
        <v>0</v>
      </c>
      <c r="I4235" s="17">
        <v>3</v>
      </c>
      <c r="J4235" s="17">
        <v>19</v>
      </c>
      <c r="L4235" s="17">
        <v>319</v>
      </c>
      <c r="P4235" s="17">
        <v>2</v>
      </c>
      <c r="Q4235" s="19">
        <v>319</v>
      </c>
      <c r="R4235" s="14">
        <v>1100</v>
      </c>
      <c r="S4235" s="19">
        <v>350900</v>
      </c>
      <c r="U4235" s="17" t="s">
        <v>57</v>
      </c>
      <c r="V4235" s="17" t="s">
        <v>56</v>
      </c>
      <c r="W4235" s="4">
        <v>100</v>
      </c>
      <c r="Y4235" s="4" t="s">
        <v>253</v>
      </c>
      <c r="AB4235" s="17">
        <v>19</v>
      </c>
      <c r="AK4235" s="23">
        <v>19</v>
      </c>
      <c r="AP4235" s="14">
        <v>0</v>
      </c>
    </row>
    <row r="4236" spans="1:45" x14ac:dyDescent="0.2">
      <c r="A4236" s="121">
        <f t="shared" si="515"/>
        <v>3591</v>
      </c>
      <c r="B4236" s="13">
        <v>3</v>
      </c>
      <c r="C4236" s="17" t="s">
        <v>52</v>
      </c>
      <c r="D4236" s="17">
        <v>18163</v>
      </c>
      <c r="E4236" s="17">
        <v>18</v>
      </c>
      <c r="F4236" s="17">
        <v>4084</v>
      </c>
      <c r="H4236" s="17">
        <v>11</v>
      </c>
      <c r="I4236" s="17">
        <v>0</v>
      </c>
      <c r="J4236" s="17">
        <v>31</v>
      </c>
      <c r="K4236" s="10" t="s">
        <v>373</v>
      </c>
      <c r="P4236" s="17">
        <v>1</v>
      </c>
      <c r="Q4236" s="19">
        <v>4431</v>
      </c>
      <c r="R4236" s="14">
        <v>250</v>
      </c>
      <c r="S4236" s="19">
        <v>1107750</v>
      </c>
      <c r="AK4236" s="23">
        <v>0</v>
      </c>
      <c r="AP4236" s="14">
        <v>0</v>
      </c>
    </row>
    <row r="4237" spans="1:45" x14ac:dyDescent="0.2">
      <c r="A4237" s="121">
        <f t="shared" si="515"/>
        <v>3592</v>
      </c>
      <c r="B4237" s="13">
        <v>4</v>
      </c>
      <c r="C4237" s="17" t="s">
        <v>65</v>
      </c>
      <c r="D4237" s="17">
        <v>1835</v>
      </c>
      <c r="E4237" s="17">
        <v>90</v>
      </c>
      <c r="H4237" s="17">
        <v>14</v>
      </c>
      <c r="I4237" s="17">
        <v>3</v>
      </c>
      <c r="J4237" s="17">
        <v>60</v>
      </c>
      <c r="K4237" s="10">
        <v>5960</v>
      </c>
      <c r="P4237" s="17">
        <v>1</v>
      </c>
      <c r="Q4237" s="19">
        <v>5960</v>
      </c>
      <c r="R4237" s="14">
        <v>160</v>
      </c>
      <c r="S4237" s="19">
        <v>953600</v>
      </c>
      <c r="AJ4237" s="19">
        <v>0</v>
      </c>
      <c r="AK4237" s="23">
        <v>0</v>
      </c>
      <c r="AM4237" s="19">
        <v>0</v>
      </c>
      <c r="AN4237" s="19">
        <v>953600</v>
      </c>
      <c r="AP4237" s="14">
        <v>953600</v>
      </c>
      <c r="AQ4237" s="12">
        <v>1E-4</v>
      </c>
    </row>
    <row r="4238" spans="1:45" ht="63" x14ac:dyDescent="0.2">
      <c r="A4238" s="121">
        <f t="shared" si="515"/>
        <v>3593</v>
      </c>
      <c r="B4238" s="13">
        <v>1</v>
      </c>
      <c r="C4238" s="17" t="s">
        <v>52</v>
      </c>
      <c r="D4238" s="17">
        <v>5894</v>
      </c>
      <c r="E4238" s="17">
        <v>14</v>
      </c>
      <c r="F4238" s="17">
        <v>2966</v>
      </c>
      <c r="G4238" s="13">
        <v>5</v>
      </c>
      <c r="H4238" s="17">
        <v>11</v>
      </c>
      <c r="I4238" s="17">
        <v>1</v>
      </c>
      <c r="J4238" s="17">
        <v>23</v>
      </c>
      <c r="K4238" s="10">
        <v>4508.7</v>
      </c>
      <c r="L4238" s="17">
        <v>14.5</v>
      </c>
      <c r="P4238" s="17">
        <v>5</v>
      </c>
      <c r="Q4238" s="19">
        <v>4523</v>
      </c>
      <c r="R4238" s="14">
        <v>160</v>
      </c>
      <c r="S4238" s="19">
        <v>723680</v>
      </c>
      <c r="T4238" s="17">
        <v>1</v>
      </c>
      <c r="U4238" s="17" t="s">
        <v>57</v>
      </c>
      <c r="V4238" s="17" t="s">
        <v>88</v>
      </c>
      <c r="W4238" s="4">
        <v>58</v>
      </c>
      <c r="Y4238" s="4">
        <v>58</v>
      </c>
      <c r="AB4238" s="17">
        <v>6</v>
      </c>
      <c r="AJ4238" s="19">
        <v>0</v>
      </c>
      <c r="AK4238" s="23">
        <v>6</v>
      </c>
      <c r="AM4238" s="19">
        <v>0</v>
      </c>
      <c r="AN4238" s="19">
        <v>723680</v>
      </c>
      <c r="AP4238" s="14">
        <v>723680</v>
      </c>
      <c r="AS4238" s="26">
        <v>83</v>
      </c>
    </row>
    <row r="4239" spans="1:45" ht="63" x14ac:dyDescent="0.2">
      <c r="A4239" s="121">
        <f t="shared" si="515"/>
        <v>3594</v>
      </c>
      <c r="B4239" s="13">
        <v>2</v>
      </c>
      <c r="C4239" s="17" t="s">
        <v>52</v>
      </c>
      <c r="D4239" s="17">
        <v>5895</v>
      </c>
      <c r="E4239" s="17">
        <v>26</v>
      </c>
      <c r="F4239" s="17">
        <v>2967</v>
      </c>
      <c r="G4239" s="13">
        <v>5</v>
      </c>
      <c r="H4239" s="17">
        <v>0</v>
      </c>
      <c r="I4239" s="17">
        <v>1</v>
      </c>
      <c r="J4239" s="17">
        <v>25</v>
      </c>
      <c r="L4239" s="17">
        <v>125</v>
      </c>
      <c r="P4239" s="17">
        <v>2</v>
      </c>
      <c r="Q4239" s="19">
        <v>125</v>
      </c>
      <c r="R4239" s="14">
        <v>200</v>
      </c>
      <c r="S4239" s="19">
        <v>25000</v>
      </c>
      <c r="T4239" s="17">
        <v>1</v>
      </c>
      <c r="U4239" s="17" t="s">
        <v>57</v>
      </c>
      <c r="V4239" s="17" t="s">
        <v>56</v>
      </c>
      <c r="W4239" s="4">
        <v>138</v>
      </c>
      <c r="Y4239" s="4">
        <v>138</v>
      </c>
      <c r="AB4239" s="17">
        <v>17</v>
      </c>
      <c r="AJ4239" s="19">
        <v>0</v>
      </c>
      <c r="AK4239" s="23">
        <v>17</v>
      </c>
      <c r="AM4239" s="19">
        <v>0</v>
      </c>
      <c r="AN4239" s="19">
        <v>25000</v>
      </c>
      <c r="AP4239" s="14">
        <v>25000</v>
      </c>
    </row>
    <row r="4240" spans="1:45" ht="63" x14ac:dyDescent="0.2">
      <c r="A4240" s="121">
        <f t="shared" si="515"/>
        <v>3595</v>
      </c>
      <c r="B4240" s="13">
        <v>3</v>
      </c>
      <c r="C4240" s="17" t="s">
        <v>52</v>
      </c>
      <c r="D4240" s="17">
        <v>5904</v>
      </c>
      <c r="E4240" s="17">
        <v>17</v>
      </c>
      <c r="F4240" s="17">
        <v>2977</v>
      </c>
      <c r="G4240" s="13">
        <v>5</v>
      </c>
      <c r="H4240" s="17">
        <v>3</v>
      </c>
      <c r="I4240" s="17">
        <v>3</v>
      </c>
      <c r="J4240" s="17">
        <v>33</v>
      </c>
      <c r="K4240" s="10">
        <v>1486.25</v>
      </c>
      <c r="L4240" s="17">
        <v>46.75</v>
      </c>
      <c r="P4240" s="17">
        <v>5</v>
      </c>
      <c r="Q4240" s="19">
        <v>1533</v>
      </c>
      <c r="R4240" s="14">
        <v>200</v>
      </c>
      <c r="S4240" s="19">
        <v>306600</v>
      </c>
      <c r="T4240" s="17">
        <v>1</v>
      </c>
      <c r="U4240" s="17" t="s">
        <v>57</v>
      </c>
      <c r="V4240" s="17" t="s">
        <v>88</v>
      </c>
      <c r="W4240" s="4">
        <v>187</v>
      </c>
      <c r="Y4240" s="4">
        <v>187</v>
      </c>
      <c r="AB4240" s="17">
        <v>41</v>
      </c>
      <c r="AJ4240" s="19">
        <v>0</v>
      </c>
      <c r="AK4240" s="23">
        <v>41</v>
      </c>
      <c r="AM4240" s="19">
        <v>0</v>
      </c>
      <c r="AN4240" s="19">
        <v>306600</v>
      </c>
      <c r="AP4240" s="14">
        <v>306600</v>
      </c>
    </row>
    <row r="4241" spans="1:45" x14ac:dyDescent="0.2">
      <c r="A4241" s="121">
        <f t="shared" si="515"/>
        <v>3596</v>
      </c>
      <c r="B4241" s="13">
        <v>1</v>
      </c>
      <c r="C4241" s="17" t="s">
        <v>52</v>
      </c>
      <c r="D4241" s="17">
        <v>5883</v>
      </c>
      <c r="E4241" s="17">
        <v>2</v>
      </c>
      <c r="F4241" s="17">
        <v>2953</v>
      </c>
      <c r="G4241" s="13">
        <v>5</v>
      </c>
      <c r="H4241" s="17">
        <v>5</v>
      </c>
      <c r="I4241" s="17">
        <v>2</v>
      </c>
      <c r="J4241" s="17">
        <v>0</v>
      </c>
      <c r="K4241" s="10">
        <v>2200</v>
      </c>
      <c r="P4241" s="17">
        <v>1</v>
      </c>
      <c r="Q4241" s="19">
        <v>2200</v>
      </c>
      <c r="R4241" s="14">
        <v>160</v>
      </c>
      <c r="S4241" s="19">
        <v>352000</v>
      </c>
      <c r="AJ4241" s="19">
        <v>0</v>
      </c>
      <c r="AK4241" s="23">
        <v>0</v>
      </c>
      <c r="AM4241" s="19">
        <v>0</v>
      </c>
      <c r="AN4241" s="19">
        <v>352000</v>
      </c>
      <c r="AP4241" s="14">
        <v>352000</v>
      </c>
    </row>
    <row r="4242" spans="1:45" x14ac:dyDescent="0.2">
      <c r="A4242" s="121">
        <f t="shared" si="515"/>
        <v>3597</v>
      </c>
      <c r="B4242" s="13">
        <v>2</v>
      </c>
      <c r="C4242" s="17" t="s">
        <v>52</v>
      </c>
      <c r="D4242" s="17">
        <v>5898</v>
      </c>
      <c r="E4242" s="17">
        <v>21</v>
      </c>
      <c r="F4242" s="17">
        <v>2972</v>
      </c>
      <c r="G4242" s="13">
        <v>5</v>
      </c>
      <c r="H4242" s="17">
        <v>0</v>
      </c>
      <c r="I4242" s="17">
        <v>1</v>
      </c>
      <c r="J4242" s="17">
        <v>20</v>
      </c>
      <c r="N4242" s="18">
        <v>120</v>
      </c>
      <c r="P4242" s="17">
        <v>4</v>
      </c>
      <c r="Q4242" s="19">
        <v>120</v>
      </c>
      <c r="R4242" s="14">
        <v>200</v>
      </c>
      <c r="S4242" s="19">
        <v>24000</v>
      </c>
      <c r="AJ4242" s="19">
        <v>0</v>
      </c>
      <c r="AK4242" s="23">
        <v>0</v>
      </c>
      <c r="AM4242" s="19">
        <v>0</v>
      </c>
      <c r="AN4242" s="19">
        <v>24000</v>
      </c>
      <c r="AP4242" s="14">
        <v>24000</v>
      </c>
      <c r="AQ4242" s="12">
        <v>3.0000000000000001E-3</v>
      </c>
    </row>
    <row r="4243" spans="1:45" ht="63" x14ac:dyDescent="0.2">
      <c r="A4243" s="121">
        <f t="shared" si="515"/>
        <v>3598</v>
      </c>
      <c r="B4243" s="13">
        <v>1</v>
      </c>
      <c r="C4243" s="17" t="s">
        <v>52</v>
      </c>
      <c r="D4243" s="17">
        <v>5853</v>
      </c>
      <c r="E4243" s="17">
        <v>24</v>
      </c>
      <c r="F4243" s="17">
        <v>2969</v>
      </c>
      <c r="G4243" s="13">
        <v>5</v>
      </c>
      <c r="H4243" s="17">
        <v>0</v>
      </c>
      <c r="I4243" s="17">
        <v>1</v>
      </c>
      <c r="J4243" s="17">
        <v>36</v>
      </c>
      <c r="L4243" s="17">
        <v>136</v>
      </c>
      <c r="P4243" s="17">
        <v>2</v>
      </c>
      <c r="Q4243" s="19">
        <v>136</v>
      </c>
      <c r="R4243" s="14">
        <v>200</v>
      </c>
      <c r="S4243" s="19">
        <v>27200</v>
      </c>
      <c r="T4243" s="17">
        <v>1</v>
      </c>
      <c r="U4243" s="17" t="s">
        <v>57</v>
      </c>
      <c r="V4243" s="17" t="s">
        <v>56</v>
      </c>
      <c r="W4243" s="4">
        <v>40.5</v>
      </c>
      <c r="Y4243" s="4">
        <v>40.5</v>
      </c>
      <c r="AB4243" s="17">
        <v>9</v>
      </c>
      <c r="AJ4243" s="19">
        <v>0</v>
      </c>
      <c r="AK4243" s="23">
        <v>9</v>
      </c>
      <c r="AM4243" s="19">
        <v>0</v>
      </c>
      <c r="AN4243" s="19">
        <v>27200</v>
      </c>
      <c r="AP4243" s="14">
        <v>27200</v>
      </c>
      <c r="AS4243" s="26">
        <v>42</v>
      </c>
    </row>
    <row r="4244" spans="1:45" x14ac:dyDescent="0.2">
      <c r="A4244" s="121">
        <f t="shared" si="515"/>
        <v>3599</v>
      </c>
      <c r="B4244" s="13">
        <v>2</v>
      </c>
      <c r="C4244" s="17" t="s">
        <v>52</v>
      </c>
      <c r="D4244" s="17">
        <v>5887</v>
      </c>
      <c r="E4244" s="17">
        <v>4</v>
      </c>
      <c r="F4244" s="17">
        <v>2958</v>
      </c>
      <c r="G4244" s="13">
        <v>5</v>
      </c>
      <c r="H4244" s="17">
        <v>7</v>
      </c>
      <c r="I4244" s="17">
        <v>2</v>
      </c>
      <c r="J4244" s="17">
        <v>98</v>
      </c>
      <c r="K4244" s="10">
        <v>3098</v>
      </c>
      <c r="P4244" s="17">
        <v>1</v>
      </c>
      <c r="Q4244" s="19">
        <v>3098</v>
      </c>
      <c r="R4244" s="14">
        <v>160</v>
      </c>
      <c r="S4244" s="19">
        <v>495680</v>
      </c>
      <c r="AJ4244" s="19">
        <v>0</v>
      </c>
      <c r="AK4244" s="23">
        <v>0</v>
      </c>
      <c r="AM4244" s="19">
        <v>0</v>
      </c>
      <c r="AN4244" s="19">
        <v>495680</v>
      </c>
      <c r="AP4244" s="14">
        <v>495680</v>
      </c>
    </row>
    <row r="4245" spans="1:45" x14ac:dyDescent="0.2">
      <c r="A4245" s="121">
        <f t="shared" si="515"/>
        <v>3600</v>
      </c>
      <c r="B4245" s="13">
        <v>3</v>
      </c>
      <c r="C4245" s="17" t="s">
        <v>52</v>
      </c>
      <c r="D4245" s="17">
        <v>5893</v>
      </c>
      <c r="E4245" s="17">
        <v>13</v>
      </c>
      <c r="F4245" s="17">
        <v>2965</v>
      </c>
      <c r="G4245" s="13">
        <v>5</v>
      </c>
      <c r="H4245" s="17">
        <v>4</v>
      </c>
      <c r="I4245" s="17">
        <v>1</v>
      </c>
      <c r="J4245" s="17">
        <v>34</v>
      </c>
      <c r="K4245" s="10">
        <v>1734</v>
      </c>
      <c r="P4245" s="17">
        <v>1</v>
      </c>
      <c r="Q4245" s="19">
        <v>1734</v>
      </c>
      <c r="R4245" s="14">
        <v>200</v>
      </c>
      <c r="S4245" s="19">
        <v>346800</v>
      </c>
      <c r="AJ4245" s="19">
        <v>0</v>
      </c>
      <c r="AK4245" s="23">
        <v>0</v>
      </c>
      <c r="AM4245" s="19">
        <v>0</v>
      </c>
      <c r="AN4245" s="19">
        <v>346800</v>
      </c>
      <c r="AP4245" s="14">
        <v>346800</v>
      </c>
    </row>
    <row r="4246" spans="1:45" x14ac:dyDescent="0.2">
      <c r="A4246" s="121">
        <f t="shared" si="515"/>
        <v>3601</v>
      </c>
      <c r="B4246" s="13">
        <v>1</v>
      </c>
      <c r="C4246" s="17" t="s">
        <v>52</v>
      </c>
      <c r="D4246" s="17">
        <v>5900</v>
      </c>
      <c r="E4246" s="17">
        <v>20</v>
      </c>
      <c r="F4246" s="17">
        <v>2973</v>
      </c>
      <c r="G4246" s="13">
        <v>5</v>
      </c>
      <c r="H4246" s="17">
        <v>0</v>
      </c>
      <c r="I4246" s="17">
        <v>1</v>
      </c>
      <c r="J4246" s="17">
        <v>25</v>
      </c>
      <c r="N4246" s="18">
        <v>125</v>
      </c>
      <c r="P4246" s="17">
        <v>4</v>
      </c>
      <c r="Q4246" s="19">
        <v>125</v>
      </c>
      <c r="R4246" s="14">
        <v>200</v>
      </c>
      <c r="S4246" s="19">
        <v>25000</v>
      </c>
      <c r="AD4246" s="14" t="s">
        <v>74</v>
      </c>
      <c r="AJ4246" s="19">
        <v>0</v>
      </c>
      <c r="AK4246" s="23">
        <v>0</v>
      </c>
      <c r="AM4246" s="19">
        <v>0</v>
      </c>
      <c r="AN4246" s="19">
        <v>25000</v>
      </c>
      <c r="AP4246" s="14">
        <v>25000</v>
      </c>
      <c r="AQ4246" s="12">
        <v>3.0000000000000001E-3</v>
      </c>
    </row>
    <row r="4247" spans="1:45" x14ac:dyDescent="0.2">
      <c r="A4247" s="121">
        <f t="shared" si="515"/>
        <v>3602</v>
      </c>
      <c r="B4247" s="13">
        <v>1</v>
      </c>
      <c r="C4247" s="17" t="s">
        <v>52</v>
      </c>
      <c r="D4247" s="17">
        <v>5859</v>
      </c>
      <c r="E4247" s="17">
        <v>1</v>
      </c>
      <c r="F4247" s="17">
        <v>2937</v>
      </c>
      <c r="G4247" s="13">
        <v>5</v>
      </c>
      <c r="H4247" s="17">
        <v>0</v>
      </c>
      <c r="I4247" s="17">
        <v>1</v>
      </c>
      <c r="J4247" s="17">
        <v>93</v>
      </c>
      <c r="K4247" s="10">
        <v>193</v>
      </c>
      <c r="P4247" s="17">
        <v>1</v>
      </c>
      <c r="Q4247" s="19">
        <v>193</v>
      </c>
      <c r="R4247" s="14">
        <v>1500</v>
      </c>
      <c r="S4247" s="19">
        <v>289500</v>
      </c>
      <c r="AJ4247" s="19">
        <v>0</v>
      </c>
      <c r="AK4247" s="23">
        <v>0</v>
      </c>
      <c r="AM4247" s="19">
        <v>0</v>
      </c>
      <c r="AN4247" s="19">
        <v>289500</v>
      </c>
      <c r="AP4247" s="14">
        <v>289500</v>
      </c>
      <c r="AS4247" s="26">
        <v>26</v>
      </c>
    </row>
    <row r="4248" spans="1:45" ht="63" x14ac:dyDescent="0.2">
      <c r="A4248" s="121">
        <f t="shared" si="515"/>
        <v>3603</v>
      </c>
      <c r="B4248" s="13">
        <v>2</v>
      </c>
      <c r="C4248" s="17" t="s">
        <v>52</v>
      </c>
      <c r="D4248" s="17">
        <v>5899</v>
      </c>
      <c r="E4248" s="17">
        <v>22</v>
      </c>
      <c r="F4248" s="17">
        <v>2971</v>
      </c>
      <c r="G4248" s="13">
        <v>5</v>
      </c>
      <c r="H4248" s="17">
        <v>0</v>
      </c>
      <c r="I4248" s="17">
        <v>1</v>
      </c>
      <c r="J4248" s="17">
        <v>23</v>
      </c>
      <c r="L4248" s="17">
        <v>123</v>
      </c>
      <c r="P4248" s="17">
        <v>2</v>
      </c>
      <c r="Q4248" s="19">
        <v>123</v>
      </c>
      <c r="R4248" s="14">
        <v>200</v>
      </c>
      <c r="S4248" s="19">
        <v>24600</v>
      </c>
      <c r="T4248" s="17">
        <v>1</v>
      </c>
      <c r="U4248" s="17" t="s">
        <v>57</v>
      </c>
      <c r="V4248" s="17" t="s">
        <v>56</v>
      </c>
      <c r="W4248" s="4">
        <v>80</v>
      </c>
      <c r="Y4248" s="4">
        <v>80</v>
      </c>
      <c r="AB4248" s="17">
        <v>9</v>
      </c>
      <c r="AJ4248" s="19">
        <v>0</v>
      </c>
      <c r="AK4248" s="23">
        <v>9</v>
      </c>
      <c r="AM4248" s="19">
        <v>0</v>
      </c>
      <c r="AN4248" s="19">
        <v>24600</v>
      </c>
      <c r="AP4248" s="14">
        <v>24600</v>
      </c>
    </row>
    <row r="4249" spans="1:45" x14ac:dyDescent="0.2">
      <c r="A4249" s="121">
        <f t="shared" si="515"/>
        <v>3604</v>
      </c>
      <c r="B4249" s="13">
        <v>3</v>
      </c>
      <c r="C4249" s="17" t="s">
        <v>52</v>
      </c>
      <c r="D4249" s="17">
        <v>36674</v>
      </c>
      <c r="E4249" s="17">
        <v>152</v>
      </c>
      <c r="F4249" s="17">
        <v>7222</v>
      </c>
      <c r="G4249" s="13">
        <v>5</v>
      </c>
      <c r="H4249" s="17">
        <v>0</v>
      </c>
      <c r="I4249" s="17">
        <v>3</v>
      </c>
      <c r="J4249" s="17">
        <v>8.0299999999999994</v>
      </c>
      <c r="K4249" s="10">
        <v>308.02999999999997</v>
      </c>
      <c r="P4249" s="17">
        <v>1</v>
      </c>
      <c r="Q4249" s="19">
        <v>308.02999999999997</v>
      </c>
      <c r="R4249" s="14">
        <v>1100</v>
      </c>
      <c r="S4249" s="19">
        <v>338832.99999999994</v>
      </c>
      <c r="AJ4249" s="19">
        <v>0</v>
      </c>
      <c r="AK4249" s="23">
        <v>0</v>
      </c>
      <c r="AM4249" s="19">
        <v>0</v>
      </c>
      <c r="AN4249" s="19">
        <v>338832.99999999994</v>
      </c>
      <c r="AP4249" s="14">
        <v>338832.99999999994</v>
      </c>
    </row>
    <row r="4250" spans="1:45" x14ac:dyDescent="0.2">
      <c r="A4250" s="121">
        <f t="shared" si="515"/>
        <v>3605</v>
      </c>
      <c r="B4250" s="13">
        <v>4</v>
      </c>
      <c r="C4250" s="17" t="s">
        <v>52</v>
      </c>
      <c r="D4250" s="17">
        <v>36678</v>
      </c>
      <c r="E4250" s="17">
        <v>7</v>
      </c>
      <c r="F4250" s="17">
        <v>7226</v>
      </c>
      <c r="G4250" s="13">
        <v>5</v>
      </c>
      <c r="H4250" s="17">
        <v>0</v>
      </c>
      <c r="I4250" s="17">
        <v>1</v>
      </c>
      <c r="J4250" s="17">
        <v>67.040000000000006</v>
      </c>
      <c r="K4250" s="10">
        <v>167.04</v>
      </c>
      <c r="P4250" s="17">
        <v>1</v>
      </c>
      <c r="Q4250" s="19">
        <v>167.04000000000002</v>
      </c>
      <c r="R4250" s="14">
        <v>1500</v>
      </c>
      <c r="S4250" s="19">
        <v>250560.00000000003</v>
      </c>
      <c r="AJ4250" s="19">
        <v>0</v>
      </c>
      <c r="AK4250" s="23">
        <v>0</v>
      </c>
      <c r="AM4250" s="19">
        <v>0</v>
      </c>
      <c r="AN4250" s="19">
        <v>250560.00000000003</v>
      </c>
      <c r="AP4250" s="14">
        <v>250560.00000000003</v>
      </c>
    </row>
    <row r="4251" spans="1:45" ht="63" x14ac:dyDescent="0.2">
      <c r="A4251" s="121">
        <f t="shared" si="515"/>
        <v>3606</v>
      </c>
      <c r="B4251" s="13">
        <v>1</v>
      </c>
      <c r="C4251" s="17" t="s">
        <v>52</v>
      </c>
      <c r="D4251" s="17">
        <v>19703</v>
      </c>
      <c r="E4251" s="17">
        <v>90</v>
      </c>
      <c r="F4251" s="17">
        <v>4371</v>
      </c>
      <c r="G4251" s="13">
        <v>5</v>
      </c>
      <c r="H4251" s="17">
        <v>0</v>
      </c>
      <c r="I4251" s="17">
        <v>1</v>
      </c>
      <c r="J4251" s="17">
        <v>64</v>
      </c>
      <c r="L4251" s="17">
        <v>164</v>
      </c>
      <c r="P4251" s="17">
        <v>2</v>
      </c>
      <c r="Q4251" s="19">
        <v>164</v>
      </c>
      <c r="R4251" s="14">
        <v>160</v>
      </c>
      <c r="S4251" s="19">
        <v>26240</v>
      </c>
      <c r="T4251" s="17">
        <v>1</v>
      </c>
      <c r="U4251" s="17" t="s">
        <v>57</v>
      </c>
      <c r="V4251" s="17" t="s">
        <v>56</v>
      </c>
      <c r="W4251" s="4">
        <v>83.25</v>
      </c>
      <c r="Y4251" s="4">
        <v>83.25</v>
      </c>
      <c r="AB4251" s="17">
        <v>31</v>
      </c>
      <c r="AJ4251" s="19">
        <v>0</v>
      </c>
      <c r="AK4251" s="23">
        <v>31</v>
      </c>
      <c r="AM4251" s="19">
        <v>0</v>
      </c>
      <c r="AN4251" s="19">
        <v>26240</v>
      </c>
      <c r="AP4251" s="14">
        <v>26240</v>
      </c>
    </row>
    <row r="4252" spans="1:45" x14ac:dyDescent="0.2">
      <c r="A4252" s="121">
        <f t="shared" si="515"/>
        <v>3607</v>
      </c>
      <c r="B4252" s="13">
        <v>1</v>
      </c>
      <c r="C4252" s="17" t="s">
        <v>52</v>
      </c>
      <c r="D4252" s="17">
        <v>5945</v>
      </c>
      <c r="E4252" s="17">
        <v>10</v>
      </c>
      <c r="F4252" s="17">
        <v>2956</v>
      </c>
      <c r="G4252" s="13">
        <v>5</v>
      </c>
      <c r="H4252" s="17">
        <v>1</v>
      </c>
      <c r="I4252" s="17">
        <v>1</v>
      </c>
      <c r="J4252" s="17">
        <v>69</v>
      </c>
      <c r="K4252" s="10">
        <v>569</v>
      </c>
      <c r="P4252" s="17">
        <v>1</v>
      </c>
      <c r="Q4252" s="19">
        <v>569</v>
      </c>
      <c r="R4252" s="14">
        <v>160</v>
      </c>
      <c r="S4252" s="19">
        <v>91040</v>
      </c>
      <c r="AJ4252" s="19">
        <v>0</v>
      </c>
      <c r="AK4252" s="23">
        <v>0</v>
      </c>
      <c r="AM4252" s="19">
        <v>0</v>
      </c>
      <c r="AN4252" s="19">
        <v>91040</v>
      </c>
      <c r="AP4252" s="14">
        <v>91040</v>
      </c>
    </row>
    <row r="4253" spans="1:45" x14ac:dyDescent="0.2">
      <c r="A4253" s="121">
        <f t="shared" si="515"/>
        <v>3608</v>
      </c>
      <c r="B4253" s="13">
        <v>1</v>
      </c>
      <c r="C4253" s="17" t="s">
        <v>52</v>
      </c>
      <c r="D4253" s="17">
        <v>31442</v>
      </c>
      <c r="E4253" s="17">
        <v>50</v>
      </c>
      <c r="F4253" s="17">
        <v>6221</v>
      </c>
      <c r="G4253" s="13">
        <v>5</v>
      </c>
      <c r="H4253" s="17">
        <v>0</v>
      </c>
      <c r="I4253" s="17">
        <v>1</v>
      </c>
      <c r="J4253" s="17">
        <v>7</v>
      </c>
      <c r="N4253" s="18">
        <v>107</v>
      </c>
      <c r="P4253" s="17">
        <v>2</v>
      </c>
      <c r="Q4253" s="19">
        <v>107</v>
      </c>
      <c r="R4253" s="14">
        <v>160</v>
      </c>
      <c r="S4253" s="19">
        <v>17120</v>
      </c>
      <c r="AJ4253" s="19">
        <v>0</v>
      </c>
      <c r="AK4253" s="23">
        <v>0</v>
      </c>
      <c r="AM4253" s="19">
        <v>0</v>
      </c>
      <c r="AN4253" s="19">
        <v>17120</v>
      </c>
      <c r="AP4253" s="14">
        <v>17120</v>
      </c>
      <c r="AQ4253" s="12">
        <v>0</v>
      </c>
    </row>
    <row r="4254" spans="1:45" ht="63" x14ac:dyDescent="0.2">
      <c r="A4254" s="121">
        <f t="shared" si="515"/>
        <v>3609</v>
      </c>
      <c r="B4254" s="13">
        <v>1</v>
      </c>
      <c r="C4254" s="17" t="s">
        <v>52</v>
      </c>
      <c r="D4254" s="17">
        <v>5896</v>
      </c>
      <c r="E4254" s="17">
        <v>25</v>
      </c>
      <c r="F4254" s="17">
        <v>2968</v>
      </c>
      <c r="G4254" s="13">
        <v>5</v>
      </c>
      <c r="H4254" s="17">
        <v>0</v>
      </c>
      <c r="I4254" s="17">
        <v>1</v>
      </c>
      <c r="J4254" s="17">
        <v>29</v>
      </c>
      <c r="L4254" s="17">
        <v>129</v>
      </c>
      <c r="P4254" s="17">
        <v>2</v>
      </c>
      <c r="Q4254" s="19">
        <v>129</v>
      </c>
      <c r="R4254" s="14">
        <v>200</v>
      </c>
      <c r="S4254" s="19">
        <v>25800</v>
      </c>
      <c r="T4254" s="17">
        <v>1</v>
      </c>
      <c r="U4254" s="17" t="s">
        <v>57</v>
      </c>
      <c r="V4254" s="17" t="s">
        <v>56</v>
      </c>
      <c r="W4254" s="4">
        <v>117</v>
      </c>
      <c r="Y4254" s="4">
        <v>117</v>
      </c>
      <c r="AB4254" s="17">
        <v>15</v>
      </c>
      <c r="AJ4254" s="19">
        <v>0</v>
      </c>
      <c r="AK4254" s="23">
        <v>15</v>
      </c>
      <c r="AM4254" s="19">
        <v>0</v>
      </c>
      <c r="AN4254" s="19">
        <v>25800</v>
      </c>
      <c r="AP4254" s="14">
        <v>25800</v>
      </c>
      <c r="AS4254" s="26">
        <v>9</v>
      </c>
    </row>
    <row r="4255" spans="1:45" x14ac:dyDescent="0.2">
      <c r="A4255" s="121">
        <f t="shared" si="515"/>
        <v>3610</v>
      </c>
      <c r="B4255" s="13">
        <v>2</v>
      </c>
      <c r="C4255" s="17" t="s">
        <v>52</v>
      </c>
      <c r="D4255" s="17">
        <v>31441</v>
      </c>
      <c r="E4255" s="17">
        <v>49</v>
      </c>
      <c r="F4255" s="17">
        <v>6220</v>
      </c>
      <c r="G4255" s="13">
        <v>5</v>
      </c>
      <c r="H4255" s="17">
        <v>0</v>
      </c>
      <c r="I4255" s="17">
        <v>1</v>
      </c>
      <c r="J4255" s="17">
        <v>94</v>
      </c>
      <c r="N4255" s="18">
        <v>194</v>
      </c>
      <c r="P4255" s="17">
        <v>2</v>
      </c>
      <c r="Q4255" s="19">
        <v>194</v>
      </c>
      <c r="R4255" s="14">
        <v>160</v>
      </c>
      <c r="S4255" s="19">
        <v>31040</v>
      </c>
      <c r="AJ4255" s="19">
        <v>0</v>
      </c>
      <c r="AK4255" s="23">
        <v>0</v>
      </c>
      <c r="AM4255" s="19">
        <v>0</v>
      </c>
      <c r="AN4255" s="19">
        <v>31040</v>
      </c>
      <c r="AP4255" s="14">
        <v>31040</v>
      </c>
      <c r="AQ4255" s="12">
        <v>0</v>
      </c>
    </row>
    <row r="4256" spans="1:45" x14ac:dyDescent="0.2">
      <c r="A4256" s="121">
        <f t="shared" si="515"/>
        <v>3611</v>
      </c>
      <c r="B4256" s="13">
        <v>3</v>
      </c>
      <c r="C4256" s="17" t="s">
        <v>52</v>
      </c>
      <c r="D4256" s="17">
        <v>32511</v>
      </c>
      <c r="E4256" s="17">
        <v>52</v>
      </c>
      <c r="F4256" s="17">
        <v>6400</v>
      </c>
      <c r="G4256" s="13">
        <v>5</v>
      </c>
      <c r="H4256" s="17">
        <v>3</v>
      </c>
      <c r="I4256" s="17">
        <v>0</v>
      </c>
      <c r="J4256" s="17">
        <v>13</v>
      </c>
      <c r="K4256" s="10">
        <v>1213</v>
      </c>
      <c r="P4256" s="17">
        <v>1</v>
      </c>
      <c r="Q4256" s="19">
        <v>1213</v>
      </c>
      <c r="R4256" s="14">
        <v>160</v>
      </c>
      <c r="S4256" s="19">
        <v>194080</v>
      </c>
      <c r="AJ4256" s="19">
        <v>0</v>
      </c>
      <c r="AK4256" s="23">
        <v>0</v>
      </c>
      <c r="AM4256" s="19">
        <v>0</v>
      </c>
      <c r="AN4256" s="19">
        <v>194080</v>
      </c>
      <c r="AP4256" s="14">
        <v>194080</v>
      </c>
    </row>
    <row r="4257" spans="1:45" x14ac:dyDescent="0.2">
      <c r="A4257" s="121">
        <f t="shared" si="515"/>
        <v>3612</v>
      </c>
      <c r="B4257" s="13">
        <v>1</v>
      </c>
      <c r="C4257" s="17" t="s">
        <v>52</v>
      </c>
      <c r="D4257" s="17">
        <v>5885</v>
      </c>
      <c r="E4257" s="17">
        <v>3</v>
      </c>
      <c r="F4257" s="17">
        <v>2955</v>
      </c>
      <c r="G4257" s="13">
        <v>5</v>
      </c>
      <c r="H4257" s="17">
        <v>3</v>
      </c>
      <c r="I4257" s="17">
        <v>0</v>
      </c>
      <c r="J4257" s="17">
        <v>35</v>
      </c>
      <c r="K4257" s="10">
        <v>1235</v>
      </c>
      <c r="P4257" s="17">
        <v>1</v>
      </c>
      <c r="Q4257" s="19">
        <v>1235</v>
      </c>
      <c r="R4257" s="14">
        <v>160</v>
      </c>
      <c r="S4257" s="19">
        <v>197600</v>
      </c>
      <c r="AJ4257" s="19">
        <v>0</v>
      </c>
      <c r="AK4257" s="23">
        <v>0</v>
      </c>
      <c r="AM4257" s="19">
        <v>0</v>
      </c>
      <c r="AN4257" s="19">
        <v>197600</v>
      </c>
      <c r="AP4257" s="14">
        <v>197600</v>
      </c>
      <c r="AS4257" s="26">
        <v>9</v>
      </c>
    </row>
    <row r="4258" spans="1:45" x14ac:dyDescent="0.2">
      <c r="A4258" s="121">
        <f t="shared" si="515"/>
        <v>3613</v>
      </c>
      <c r="B4258" s="13">
        <v>2</v>
      </c>
      <c r="C4258" s="17" t="s">
        <v>52</v>
      </c>
      <c r="D4258" s="17">
        <v>5886</v>
      </c>
      <c r="E4258" s="17">
        <v>8</v>
      </c>
      <c r="F4258" s="17">
        <v>2957</v>
      </c>
      <c r="G4258" s="13">
        <v>5</v>
      </c>
      <c r="H4258" s="17">
        <v>3</v>
      </c>
      <c r="I4258" s="17">
        <v>1</v>
      </c>
      <c r="J4258" s="17">
        <v>12</v>
      </c>
      <c r="K4258" s="10">
        <v>1312</v>
      </c>
      <c r="P4258" s="17">
        <v>1</v>
      </c>
      <c r="Q4258" s="19">
        <v>1312</v>
      </c>
      <c r="R4258" s="14">
        <v>160</v>
      </c>
      <c r="S4258" s="19">
        <v>209920</v>
      </c>
      <c r="AJ4258" s="19">
        <v>0</v>
      </c>
      <c r="AK4258" s="23">
        <v>0</v>
      </c>
      <c r="AM4258" s="19">
        <v>0</v>
      </c>
      <c r="AN4258" s="19">
        <v>209920</v>
      </c>
      <c r="AP4258" s="14">
        <v>209920</v>
      </c>
    </row>
    <row r="4259" spans="1:45" x14ac:dyDescent="0.2">
      <c r="A4259" s="121">
        <f t="shared" si="515"/>
        <v>3614</v>
      </c>
      <c r="B4259" s="13">
        <v>3</v>
      </c>
      <c r="C4259" s="17" t="s">
        <v>52</v>
      </c>
      <c r="D4259" s="17">
        <v>5892</v>
      </c>
      <c r="E4259" s="17">
        <v>12</v>
      </c>
      <c r="F4259" s="17">
        <v>2964</v>
      </c>
      <c r="G4259" s="13">
        <v>5</v>
      </c>
      <c r="H4259" s="17">
        <v>0</v>
      </c>
      <c r="I4259" s="17">
        <v>2</v>
      </c>
      <c r="J4259" s="17">
        <v>96</v>
      </c>
      <c r="N4259" s="18">
        <v>296</v>
      </c>
      <c r="P4259" s="17">
        <v>2</v>
      </c>
      <c r="Q4259" s="19">
        <v>296</v>
      </c>
      <c r="R4259" s="14">
        <v>200</v>
      </c>
      <c r="S4259" s="19">
        <v>59200</v>
      </c>
      <c r="AJ4259" s="19">
        <v>0</v>
      </c>
      <c r="AK4259" s="23">
        <v>0</v>
      </c>
      <c r="AM4259" s="19">
        <v>0</v>
      </c>
      <c r="AN4259" s="19">
        <v>59200</v>
      </c>
      <c r="AP4259" s="14">
        <v>59200</v>
      </c>
    </row>
    <row r="4260" spans="1:45" x14ac:dyDescent="0.2">
      <c r="A4260" s="121">
        <f t="shared" si="515"/>
        <v>3615</v>
      </c>
      <c r="B4260" s="13">
        <v>1</v>
      </c>
      <c r="C4260" s="17" t="s">
        <v>52</v>
      </c>
      <c r="D4260" s="17">
        <v>31443</v>
      </c>
      <c r="E4260" s="17">
        <v>51</v>
      </c>
      <c r="F4260" s="17">
        <v>6222</v>
      </c>
      <c r="G4260" s="13">
        <v>5</v>
      </c>
      <c r="H4260" s="17">
        <v>0</v>
      </c>
      <c r="I4260" s="17">
        <v>1</v>
      </c>
      <c r="J4260" s="17">
        <v>55</v>
      </c>
      <c r="N4260" s="18">
        <v>155</v>
      </c>
      <c r="P4260" s="17">
        <v>2</v>
      </c>
      <c r="Q4260" s="19">
        <v>155</v>
      </c>
      <c r="R4260" s="14">
        <v>160</v>
      </c>
      <c r="S4260" s="19">
        <v>24800</v>
      </c>
      <c r="AF4260" s="14">
        <v>2</v>
      </c>
      <c r="AG4260" s="54">
        <v>100</v>
      </c>
      <c r="AH4260" s="11">
        <v>1</v>
      </c>
      <c r="AI4260" s="14">
        <v>7250</v>
      </c>
      <c r="AJ4260" s="19">
        <v>725000</v>
      </c>
      <c r="AK4260" s="23">
        <v>2</v>
      </c>
      <c r="AL4260" s="11">
        <v>0.02</v>
      </c>
      <c r="AM4260" s="19">
        <v>710500</v>
      </c>
      <c r="AN4260" s="19">
        <v>735300</v>
      </c>
      <c r="AP4260" s="14">
        <v>735300</v>
      </c>
    </row>
    <row r="4261" spans="1:45" x14ac:dyDescent="0.2">
      <c r="A4261" s="121">
        <f t="shared" si="515"/>
        <v>3616</v>
      </c>
      <c r="B4261" s="13">
        <v>1</v>
      </c>
      <c r="C4261" s="17" t="s">
        <v>52</v>
      </c>
      <c r="D4261" s="17">
        <v>36030</v>
      </c>
      <c r="E4261" s="17">
        <v>53</v>
      </c>
      <c r="F4261" s="17">
        <v>3661</v>
      </c>
      <c r="G4261" s="13">
        <v>5</v>
      </c>
      <c r="H4261" s="17">
        <v>0</v>
      </c>
      <c r="I4261" s="17">
        <v>3</v>
      </c>
      <c r="J4261" s="17">
        <v>86</v>
      </c>
      <c r="Q4261" s="19">
        <v>386</v>
      </c>
      <c r="R4261" s="14">
        <v>200</v>
      </c>
      <c r="S4261" s="19">
        <v>77200</v>
      </c>
      <c r="AJ4261" s="19">
        <v>0</v>
      </c>
      <c r="AK4261" s="23">
        <v>0</v>
      </c>
      <c r="AM4261" s="19">
        <v>0</v>
      </c>
      <c r="AN4261" s="19">
        <v>77200</v>
      </c>
      <c r="AP4261" s="14">
        <v>77200</v>
      </c>
    </row>
    <row r="4262" spans="1:45" x14ac:dyDescent="0.2">
      <c r="A4262" s="121">
        <f t="shared" si="515"/>
        <v>3617</v>
      </c>
      <c r="B4262" s="13">
        <v>1</v>
      </c>
      <c r="C4262" s="17" t="s">
        <v>52</v>
      </c>
      <c r="D4262" s="17">
        <v>5891</v>
      </c>
      <c r="E4262" s="17">
        <v>9</v>
      </c>
      <c r="F4262" s="17">
        <v>2963</v>
      </c>
      <c r="G4262" s="13">
        <v>5</v>
      </c>
      <c r="H4262" s="17">
        <v>0</v>
      </c>
      <c r="I4262" s="17">
        <v>3</v>
      </c>
      <c r="J4262" s="17">
        <v>72</v>
      </c>
      <c r="K4262" s="10">
        <v>372</v>
      </c>
      <c r="P4262" s="17">
        <v>1</v>
      </c>
      <c r="Q4262" s="19">
        <v>372</v>
      </c>
      <c r="R4262" s="14">
        <v>200</v>
      </c>
      <c r="S4262" s="19">
        <v>74400</v>
      </c>
      <c r="AJ4262" s="19">
        <v>0</v>
      </c>
      <c r="AK4262" s="23">
        <v>0</v>
      </c>
      <c r="AM4262" s="19">
        <v>0</v>
      </c>
      <c r="AN4262" s="19">
        <v>74400</v>
      </c>
      <c r="AP4262" s="14">
        <v>74400</v>
      </c>
      <c r="AS4262" s="26">
        <v>85</v>
      </c>
    </row>
    <row r="4263" spans="1:45" ht="63" x14ac:dyDescent="0.2">
      <c r="A4263" s="121">
        <f t="shared" si="515"/>
        <v>3618</v>
      </c>
      <c r="B4263" s="13">
        <v>2</v>
      </c>
      <c r="C4263" s="17" t="s">
        <v>52</v>
      </c>
      <c r="D4263" s="17">
        <v>31141</v>
      </c>
      <c r="E4263" s="17">
        <v>122</v>
      </c>
      <c r="F4263" s="17">
        <v>6086</v>
      </c>
      <c r="G4263" s="13">
        <v>5</v>
      </c>
      <c r="H4263" s="17">
        <v>0</v>
      </c>
      <c r="I4263" s="17">
        <v>0</v>
      </c>
      <c r="J4263" s="17">
        <v>34.01</v>
      </c>
      <c r="L4263" s="17">
        <v>34.01</v>
      </c>
      <c r="P4263" s="17">
        <v>2</v>
      </c>
      <c r="Q4263" s="19">
        <v>34.01</v>
      </c>
      <c r="R4263" s="14">
        <v>250</v>
      </c>
      <c r="S4263" s="19">
        <v>8502.5</v>
      </c>
      <c r="T4263" s="17">
        <v>1</v>
      </c>
      <c r="U4263" s="17" t="s">
        <v>57</v>
      </c>
      <c r="V4263" s="17" t="s">
        <v>56</v>
      </c>
      <c r="W4263" s="4">
        <v>90</v>
      </c>
      <c r="Y4263" s="4">
        <v>90</v>
      </c>
      <c r="AB4263" s="17">
        <v>9</v>
      </c>
      <c r="AJ4263" s="19">
        <v>0</v>
      </c>
      <c r="AK4263" s="23">
        <v>9</v>
      </c>
      <c r="AM4263" s="19">
        <v>0</v>
      </c>
      <c r="AN4263" s="19">
        <v>8502.5</v>
      </c>
      <c r="AP4263" s="14">
        <v>8502.5</v>
      </c>
    </row>
    <row r="4264" spans="1:45" x14ac:dyDescent="0.2">
      <c r="R4264" s="14" t="e">
        <v>#N/A</v>
      </c>
    </row>
    <row r="4265" spans="1:45" ht="63" x14ac:dyDescent="0.2">
      <c r="A4265" s="2">
        <v>3619</v>
      </c>
      <c r="B4265" s="13">
        <v>1</v>
      </c>
      <c r="C4265" s="17" t="s">
        <v>52</v>
      </c>
      <c r="D4265" s="17">
        <v>31932</v>
      </c>
      <c r="E4265" s="17">
        <v>191</v>
      </c>
      <c r="F4265" s="17">
        <v>6159</v>
      </c>
      <c r="G4265" s="13">
        <v>2</v>
      </c>
      <c r="H4265" s="17">
        <v>0</v>
      </c>
      <c r="I4265" s="17">
        <v>0</v>
      </c>
      <c r="J4265" s="17">
        <v>29.03</v>
      </c>
      <c r="L4265" s="17">
        <v>29.03</v>
      </c>
      <c r="P4265" s="17">
        <v>2</v>
      </c>
      <c r="Q4265" s="19">
        <v>29.03</v>
      </c>
      <c r="R4265" s="14">
        <v>4500</v>
      </c>
      <c r="S4265" s="19">
        <v>130635</v>
      </c>
      <c r="T4265" s="17">
        <v>1</v>
      </c>
      <c r="U4265" s="17" t="s">
        <v>57</v>
      </c>
      <c r="V4265" s="17" t="s">
        <v>56</v>
      </c>
      <c r="W4265" s="4">
        <v>48</v>
      </c>
      <c r="Y4265" s="4">
        <v>48</v>
      </c>
      <c r="AB4265" s="17">
        <v>7</v>
      </c>
      <c r="AJ4265" s="19">
        <v>0</v>
      </c>
      <c r="AK4265" s="23">
        <v>7</v>
      </c>
      <c r="AM4265" s="19">
        <v>0</v>
      </c>
      <c r="AN4265" s="19">
        <v>130635</v>
      </c>
      <c r="AP4265" s="14">
        <v>130635</v>
      </c>
    </row>
    <row r="4266" spans="1:45" x14ac:dyDescent="0.2">
      <c r="A4266" s="2">
        <v>3620</v>
      </c>
      <c r="B4266" s="13">
        <v>2</v>
      </c>
      <c r="C4266" s="17" t="s">
        <v>52</v>
      </c>
      <c r="D4266" s="17">
        <v>5889</v>
      </c>
      <c r="E4266" s="17">
        <v>7</v>
      </c>
      <c r="F4266" s="17">
        <v>2960</v>
      </c>
      <c r="G4266" s="13">
        <v>5</v>
      </c>
      <c r="H4266" s="17">
        <v>2</v>
      </c>
      <c r="I4266" s="17">
        <v>3</v>
      </c>
      <c r="J4266" s="17">
        <v>27</v>
      </c>
      <c r="K4266" s="10">
        <v>1127</v>
      </c>
      <c r="P4266" s="17">
        <v>1</v>
      </c>
      <c r="Q4266" s="19">
        <v>1127</v>
      </c>
      <c r="R4266" s="14">
        <v>160</v>
      </c>
      <c r="S4266" s="19">
        <v>180320</v>
      </c>
      <c r="AJ4266" s="19">
        <v>0</v>
      </c>
      <c r="AK4266" s="23">
        <v>0</v>
      </c>
      <c r="AM4266" s="19">
        <v>0</v>
      </c>
      <c r="AN4266" s="19">
        <v>180320</v>
      </c>
      <c r="AP4266" s="14">
        <v>180320</v>
      </c>
    </row>
    <row r="4267" spans="1:45" x14ac:dyDescent="0.2">
      <c r="A4267" s="2">
        <v>3621</v>
      </c>
      <c r="B4267" s="13">
        <v>3</v>
      </c>
      <c r="C4267" s="17" t="s">
        <v>52</v>
      </c>
      <c r="D4267" s="17">
        <v>5890</v>
      </c>
      <c r="E4267" s="17">
        <v>6</v>
      </c>
      <c r="F4267" s="17">
        <v>2961</v>
      </c>
      <c r="G4267" s="13">
        <v>5</v>
      </c>
      <c r="H4267" s="17">
        <v>3</v>
      </c>
      <c r="I4267" s="17">
        <v>2</v>
      </c>
      <c r="J4267" s="17">
        <v>19</v>
      </c>
      <c r="K4267" s="10">
        <v>1419</v>
      </c>
      <c r="P4267" s="17">
        <v>1</v>
      </c>
      <c r="Q4267" s="19">
        <v>1419</v>
      </c>
      <c r="R4267" s="14">
        <v>160</v>
      </c>
      <c r="S4267" s="19">
        <v>227040</v>
      </c>
      <c r="AJ4267" s="19">
        <v>0</v>
      </c>
      <c r="AK4267" s="23">
        <v>0</v>
      </c>
      <c r="AM4267" s="19">
        <v>0</v>
      </c>
      <c r="AN4267" s="19">
        <v>227040</v>
      </c>
      <c r="AP4267" s="14">
        <v>227040</v>
      </c>
    </row>
    <row r="4268" spans="1:45" x14ac:dyDescent="0.2">
      <c r="A4268" s="2">
        <v>3622</v>
      </c>
      <c r="B4268" s="13">
        <v>4</v>
      </c>
      <c r="C4268" s="17" t="s">
        <v>52</v>
      </c>
      <c r="D4268" s="17">
        <v>36033</v>
      </c>
      <c r="E4268" s="17">
        <v>56</v>
      </c>
      <c r="F4268" s="17">
        <v>3664</v>
      </c>
      <c r="G4268" s="13">
        <v>5</v>
      </c>
      <c r="H4268" s="17">
        <v>0</v>
      </c>
      <c r="I4268" s="17">
        <v>3</v>
      </c>
      <c r="J4268" s="17">
        <v>83</v>
      </c>
      <c r="K4268" s="10" t="s">
        <v>374</v>
      </c>
      <c r="P4268" s="17">
        <v>1</v>
      </c>
      <c r="Q4268" s="19">
        <v>383</v>
      </c>
      <c r="R4268" s="14">
        <v>200</v>
      </c>
      <c r="S4268" s="19">
        <v>76600</v>
      </c>
      <c r="AJ4268" s="19">
        <v>0</v>
      </c>
      <c r="AK4268" s="23">
        <v>0</v>
      </c>
      <c r="AM4268" s="19">
        <v>0</v>
      </c>
      <c r="AN4268" s="19">
        <v>76600</v>
      </c>
      <c r="AP4268" s="14">
        <v>76600</v>
      </c>
    </row>
    <row r="4269" spans="1:45" x14ac:dyDescent="0.2">
      <c r="B4269" s="13">
        <v>5</v>
      </c>
      <c r="C4269" s="17" t="s">
        <v>65</v>
      </c>
      <c r="D4269" s="17">
        <v>3727</v>
      </c>
      <c r="E4269" s="17">
        <v>664</v>
      </c>
      <c r="H4269" s="17">
        <v>0</v>
      </c>
      <c r="I4269" s="17">
        <v>0</v>
      </c>
      <c r="J4269" s="17">
        <v>28</v>
      </c>
      <c r="K4269" s="10">
        <v>28</v>
      </c>
      <c r="Q4269" s="19">
        <v>28</v>
      </c>
      <c r="R4269" s="14" t="e">
        <v>#N/A</v>
      </c>
      <c r="S4269" s="19" t="e">
        <v>#N/A</v>
      </c>
      <c r="AE4269" s="17" t="s">
        <v>220</v>
      </c>
      <c r="AJ4269" s="19">
        <v>0</v>
      </c>
      <c r="AK4269" s="23">
        <v>0</v>
      </c>
      <c r="AM4269" s="19">
        <v>0</v>
      </c>
      <c r="AN4269" s="19" t="e">
        <v>#N/A</v>
      </c>
      <c r="AP4269" s="14" t="e">
        <v>#N/A</v>
      </c>
      <c r="AQ4269" s="12">
        <v>1E-4</v>
      </c>
    </row>
    <row r="4270" spans="1:45" x14ac:dyDescent="0.2">
      <c r="A4270" s="2">
        <v>3623</v>
      </c>
      <c r="B4270" s="13">
        <v>1</v>
      </c>
      <c r="C4270" s="17" t="s">
        <v>52</v>
      </c>
      <c r="D4270" s="17">
        <v>36034</v>
      </c>
      <c r="E4270" s="17">
        <v>57</v>
      </c>
      <c r="F4270" s="17">
        <v>3665</v>
      </c>
      <c r="G4270" s="13">
        <v>5</v>
      </c>
      <c r="H4270" s="17">
        <v>0</v>
      </c>
      <c r="I4270" s="17">
        <v>3</v>
      </c>
      <c r="J4270" s="17">
        <v>60</v>
      </c>
      <c r="Q4270" s="19">
        <v>360</v>
      </c>
      <c r="R4270" s="14">
        <v>200</v>
      </c>
      <c r="S4270" s="19">
        <v>72000</v>
      </c>
      <c r="AJ4270" s="19">
        <v>0</v>
      </c>
      <c r="AK4270" s="23">
        <v>0</v>
      </c>
      <c r="AM4270" s="19">
        <v>0</v>
      </c>
      <c r="AN4270" s="19">
        <v>72000</v>
      </c>
      <c r="AP4270" s="14">
        <v>72000</v>
      </c>
    </row>
    <row r="4271" spans="1:45" x14ac:dyDescent="0.2">
      <c r="A4271" s="2">
        <f>+A4270+1</f>
        <v>3624</v>
      </c>
      <c r="B4271" s="13">
        <v>1</v>
      </c>
      <c r="C4271" s="17" t="s">
        <v>52</v>
      </c>
      <c r="D4271" s="17">
        <v>5888</v>
      </c>
      <c r="E4271" s="17">
        <v>5</v>
      </c>
      <c r="F4271" s="17">
        <v>2959</v>
      </c>
      <c r="G4271" s="13">
        <v>5</v>
      </c>
      <c r="H4271" s="17">
        <v>2</v>
      </c>
      <c r="I4271" s="17">
        <v>2</v>
      </c>
      <c r="J4271" s="17">
        <v>0</v>
      </c>
      <c r="K4271" s="10">
        <v>1000</v>
      </c>
      <c r="P4271" s="17">
        <v>1</v>
      </c>
      <c r="Q4271" s="19">
        <v>1000</v>
      </c>
      <c r="R4271" s="14">
        <v>160</v>
      </c>
      <c r="S4271" s="19">
        <v>160000</v>
      </c>
      <c r="AJ4271" s="19">
        <v>0</v>
      </c>
      <c r="AK4271" s="23">
        <v>0</v>
      </c>
      <c r="AM4271" s="19">
        <v>0</v>
      </c>
      <c r="AN4271" s="19">
        <v>160000</v>
      </c>
      <c r="AP4271" s="14">
        <v>160000</v>
      </c>
    </row>
    <row r="4272" spans="1:45" x14ac:dyDescent="0.2">
      <c r="A4272" s="121">
        <f t="shared" ref="A4272:A4273" si="516">+A4271+1</f>
        <v>3625</v>
      </c>
      <c r="B4272" s="13">
        <v>1</v>
      </c>
      <c r="C4272" s="17" t="s">
        <v>52</v>
      </c>
      <c r="D4272" s="17">
        <v>35906</v>
      </c>
      <c r="E4272" s="17">
        <v>185</v>
      </c>
      <c r="F4272" s="17">
        <v>7006</v>
      </c>
      <c r="H4272" s="17">
        <v>5</v>
      </c>
      <c r="I4272" s="17">
        <v>2</v>
      </c>
      <c r="J4272" s="17">
        <v>7</v>
      </c>
      <c r="K4272" s="10">
        <v>2207</v>
      </c>
      <c r="P4272" s="17">
        <v>1</v>
      </c>
      <c r="Q4272" s="19">
        <v>2207</v>
      </c>
      <c r="R4272" s="14">
        <v>160</v>
      </c>
      <c r="S4272" s="19">
        <v>353120</v>
      </c>
      <c r="AJ4272" s="19">
        <v>0</v>
      </c>
      <c r="AK4272" s="23">
        <v>0</v>
      </c>
      <c r="AM4272" s="19">
        <v>0</v>
      </c>
      <c r="AN4272" s="19">
        <v>353120</v>
      </c>
      <c r="AP4272" s="14">
        <v>353120</v>
      </c>
    </row>
    <row r="4273" spans="1:45" x14ac:dyDescent="0.2">
      <c r="A4273" s="121">
        <f t="shared" si="516"/>
        <v>3626</v>
      </c>
      <c r="B4273" s="13">
        <v>1</v>
      </c>
      <c r="C4273" s="17" t="s">
        <v>52</v>
      </c>
      <c r="D4273" s="17">
        <v>36695</v>
      </c>
      <c r="E4273" s="17">
        <v>183</v>
      </c>
      <c r="F4273" s="17">
        <v>7239</v>
      </c>
      <c r="G4273" s="13">
        <v>5</v>
      </c>
      <c r="H4273" s="17">
        <v>1</v>
      </c>
      <c r="I4273" s="17">
        <v>1</v>
      </c>
      <c r="J4273" s="17">
        <v>41</v>
      </c>
      <c r="K4273" s="10" t="s">
        <v>375</v>
      </c>
      <c r="P4273" s="17">
        <v>1</v>
      </c>
      <c r="Q4273" s="19">
        <v>541</v>
      </c>
      <c r="R4273" s="14">
        <v>200</v>
      </c>
      <c r="S4273" s="19">
        <v>108200</v>
      </c>
      <c r="AJ4273" s="19">
        <v>0</v>
      </c>
      <c r="AK4273" s="23">
        <v>0</v>
      </c>
      <c r="AM4273" s="19">
        <v>0</v>
      </c>
      <c r="AN4273" s="19">
        <v>108200</v>
      </c>
      <c r="AP4273" s="14">
        <v>108200</v>
      </c>
    </row>
    <row r="4274" spans="1:45" x14ac:dyDescent="0.2">
      <c r="B4274" s="13">
        <v>1</v>
      </c>
      <c r="C4274" s="17" t="s">
        <v>65</v>
      </c>
      <c r="D4274" s="17">
        <v>2127</v>
      </c>
      <c r="E4274" s="17">
        <v>122</v>
      </c>
      <c r="H4274" s="17">
        <v>2</v>
      </c>
      <c r="I4274" s="17">
        <v>0</v>
      </c>
      <c r="J4274" s="17">
        <v>23</v>
      </c>
      <c r="K4274" s="10">
        <v>823</v>
      </c>
      <c r="Q4274" s="19">
        <v>823</v>
      </c>
      <c r="R4274" s="14" t="e">
        <v>#N/A</v>
      </c>
      <c r="S4274" s="19" t="e">
        <v>#N/A</v>
      </c>
      <c r="AE4274" s="17" t="s">
        <v>376</v>
      </c>
      <c r="AJ4274" s="19">
        <v>0</v>
      </c>
      <c r="AK4274" s="23">
        <v>0</v>
      </c>
      <c r="AM4274" s="19">
        <v>0</v>
      </c>
      <c r="AN4274" s="19" t="e">
        <v>#N/A</v>
      </c>
      <c r="AP4274" s="14" t="e">
        <v>#N/A</v>
      </c>
      <c r="AQ4274" s="12">
        <v>1E-4</v>
      </c>
    </row>
    <row r="4275" spans="1:45" x14ac:dyDescent="0.2">
      <c r="A4275" s="2">
        <v>3627</v>
      </c>
      <c r="B4275" s="13">
        <v>1</v>
      </c>
      <c r="C4275" s="17" t="s">
        <v>65</v>
      </c>
      <c r="D4275" s="17">
        <v>2139</v>
      </c>
      <c r="E4275" s="17">
        <v>140</v>
      </c>
      <c r="H4275" s="17">
        <v>6</v>
      </c>
      <c r="I4275" s="17">
        <v>0</v>
      </c>
      <c r="J4275" s="17">
        <v>0</v>
      </c>
      <c r="K4275" s="10">
        <v>2400</v>
      </c>
      <c r="Q4275" s="19">
        <v>2400</v>
      </c>
      <c r="R4275" s="14">
        <v>250</v>
      </c>
      <c r="S4275" s="19">
        <v>600000</v>
      </c>
      <c r="AE4275" s="17" t="s">
        <v>94</v>
      </c>
      <c r="AJ4275" s="19">
        <v>0</v>
      </c>
      <c r="AK4275" s="23">
        <v>0</v>
      </c>
      <c r="AM4275" s="19">
        <v>0</v>
      </c>
      <c r="AN4275" s="19">
        <v>600000</v>
      </c>
      <c r="AP4275" s="14">
        <v>600000</v>
      </c>
      <c r="AQ4275" s="12">
        <v>1E-4</v>
      </c>
    </row>
    <row r="4276" spans="1:45" x14ac:dyDescent="0.2">
      <c r="A4276" s="121">
        <f>+A4275+1</f>
        <v>3628</v>
      </c>
      <c r="B4276" s="13">
        <v>1</v>
      </c>
      <c r="C4276" s="17" t="s">
        <v>65</v>
      </c>
      <c r="D4276" s="17">
        <v>2125</v>
      </c>
      <c r="E4276" s="17">
        <v>120</v>
      </c>
      <c r="H4276" s="17">
        <v>5</v>
      </c>
      <c r="I4276" s="17">
        <v>1</v>
      </c>
      <c r="J4276" s="17">
        <v>33</v>
      </c>
      <c r="K4276" s="10">
        <v>2133</v>
      </c>
      <c r="P4276" s="17">
        <v>1</v>
      </c>
      <c r="Q4276" s="19">
        <v>2133</v>
      </c>
      <c r="R4276" s="14">
        <v>160</v>
      </c>
      <c r="S4276" s="19">
        <v>341280</v>
      </c>
      <c r="AJ4276" s="19">
        <v>0</v>
      </c>
      <c r="AK4276" s="23">
        <v>0</v>
      </c>
      <c r="AM4276" s="19">
        <v>0</v>
      </c>
      <c r="AN4276" s="19">
        <v>341280</v>
      </c>
      <c r="AP4276" s="14">
        <v>341280</v>
      </c>
      <c r="AQ4276" s="12">
        <v>1E-4</v>
      </c>
    </row>
    <row r="4277" spans="1:45" x14ac:dyDescent="0.2">
      <c r="A4277" s="121">
        <f t="shared" ref="A4277:A4291" si="517">+A4276+1</f>
        <v>3629</v>
      </c>
      <c r="B4277" s="13">
        <v>1</v>
      </c>
      <c r="C4277" s="17" t="s">
        <v>65</v>
      </c>
      <c r="D4277" s="17">
        <v>2126</v>
      </c>
      <c r="E4277" s="17">
        <v>121</v>
      </c>
      <c r="H4277" s="17">
        <v>4</v>
      </c>
      <c r="I4277" s="17">
        <v>0</v>
      </c>
      <c r="J4277" s="17">
        <v>80</v>
      </c>
      <c r="K4277" s="10">
        <v>1680</v>
      </c>
      <c r="P4277" s="17">
        <v>1</v>
      </c>
      <c r="Q4277" s="19">
        <v>1680</v>
      </c>
      <c r="R4277" s="14">
        <v>160</v>
      </c>
      <c r="S4277" s="19">
        <v>268800</v>
      </c>
      <c r="AJ4277" s="19">
        <v>0</v>
      </c>
      <c r="AK4277" s="23">
        <v>0</v>
      </c>
      <c r="AM4277" s="19">
        <v>0</v>
      </c>
      <c r="AN4277" s="19">
        <v>268800</v>
      </c>
      <c r="AP4277" s="14">
        <v>268800</v>
      </c>
      <c r="AQ4277" s="12">
        <v>1E-4</v>
      </c>
    </row>
    <row r="4278" spans="1:45" x14ac:dyDescent="0.2">
      <c r="A4278" s="121">
        <f t="shared" si="517"/>
        <v>3630</v>
      </c>
      <c r="B4278" s="13">
        <v>1</v>
      </c>
      <c r="C4278" s="17" t="s">
        <v>52</v>
      </c>
      <c r="D4278" s="17">
        <v>36656</v>
      </c>
      <c r="E4278" s="17">
        <v>149</v>
      </c>
      <c r="F4278" s="17">
        <v>7204</v>
      </c>
      <c r="G4278" s="13">
        <v>5</v>
      </c>
      <c r="H4278" s="17">
        <v>0</v>
      </c>
      <c r="I4278" s="17">
        <v>0</v>
      </c>
      <c r="J4278" s="17">
        <v>91.03</v>
      </c>
      <c r="K4278" s="10">
        <v>91.03</v>
      </c>
      <c r="P4278" s="17">
        <v>1</v>
      </c>
      <c r="Q4278" s="19">
        <v>91.03</v>
      </c>
      <c r="R4278" s="14">
        <v>160</v>
      </c>
      <c r="S4278" s="19">
        <v>14564.8</v>
      </c>
      <c r="AJ4278" s="19">
        <v>0</v>
      </c>
      <c r="AK4278" s="23">
        <v>0</v>
      </c>
      <c r="AM4278" s="19">
        <v>0</v>
      </c>
      <c r="AN4278" s="19">
        <v>14564.8</v>
      </c>
      <c r="AP4278" s="14">
        <v>14564.8</v>
      </c>
    </row>
    <row r="4279" spans="1:45" ht="63" x14ac:dyDescent="0.2">
      <c r="A4279" s="121">
        <f t="shared" si="517"/>
        <v>3631</v>
      </c>
      <c r="B4279" s="13">
        <v>1</v>
      </c>
      <c r="C4279" s="17" t="s">
        <v>52</v>
      </c>
      <c r="D4279" s="17">
        <v>31145</v>
      </c>
      <c r="E4279" s="17">
        <v>126</v>
      </c>
      <c r="F4279" s="17">
        <v>6090</v>
      </c>
      <c r="G4279" s="13">
        <v>5</v>
      </c>
      <c r="H4279" s="17">
        <v>0</v>
      </c>
      <c r="I4279" s="17">
        <v>0</v>
      </c>
      <c r="J4279" s="17">
        <v>39.07</v>
      </c>
      <c r="L4279" s="17">
        <v>39.07</v>
      </c>
      <c r="P4279" s="17">
        <v>2</v>
      </c>
      <c r="Q4279" s="19">
        <v>39.07</v>
      </c>
      <c r="R4279" s="14">
        <v>1500</v>
      </c>
      <c r="S4279" s="19">
        <v>58605</v>
      </c>
      <c r="T4279" s="17">
        <v>1</v>
      </c>
      <c r="U4279" s="17" t="s">
        <v>57</v>
      </c>
      <c r="V4279" s="17" t="s">
        <v>56</v>
      </c>
      <c r="W4279" s="4">
        <v>60</v>
      </c>
      <c r="Y4279" s="4">
        <v>60</v>
      </c>
      <c r="AB4279" s="17">
        <v>4</v>
      </c>
      <c r="AJ4279" s="19">
        <v>0</v>
      </c>
      <c r="AK4279" s="23">
        <v>4</v>
      </c>
      <c r="AM4279" s="19">
        <v>0</v>
      </c>
      <c r="AN4279" s="19">
        <v>58605</v>
      </c>
      <c r="AP4279" s="14">
        <v>58605</v>
      </c>
    </row>
    <row r="4280" spans="1:45" ht="63" x14ac:dyDescent="0.2">
      <c r="A4280" s="121">
        <f t="shared" si="517"/>
        <v>3632</v>
      </c>
      <c r="B4280" s="13">
        <v>1</v>
      </c>
      <c r="C4280" s="17" t="s">
        <v>52</v>
      </c>
      <c r="D4280" s="17">
        <v>31138</v>
      </c>
      <c r="E4280" s="17">
        <v>131</v>
      </c>
      <c r="F4280" s="17">
        <v>6083</v>
      </c>
      <c r="G4280" s="13">
        <v>5</v>
      </c>
      <c r="H4280" s="17">
        <v>0</v>
      </c>
      <c r="I4280" s="17">
        <v>0</v>
      </c>
      <c r="J4280" s="17">
        <v>54</v>
      </c>
      <c r="L4280" s="17">
        <v>54</v>
      </c>
      <c r="P4280" s="17">
        <v>2</v>
      </c>
      <c r="Q4280" s="19">
        <v>54</v>
      </c>
      <c r="R4280" s="14">
        <v>1500</v>
      </c>
      <c r="S4280" s="19">
        <v>81000</v>
      </c>
      <c r="U4280" s="17" t="s">
        <v>57</v>
      </c>
      <c r="V4280" s="17" t="s">
        <v>56</v>
      </c>
      <c r="Y4280" s="4" t="s">
        <v>377</v>
      </c>
      <c r="AB4280" s="17">
        <v>6</v>
      </c>
      <c r="AJ4280" s="19">
        <v>0</v>
      </c>
      <c r="AK4280" s="23">
        <v>6</v>
      </c>
      <c r="AM4280" s="19">
        <v>0</v>
      </c>
      <c r="AN4280" s="19">
        <v>81000</v>
      </c>
      <c r="AP4280" s="14">
        <v>81000</v>
      </c>
    </row>
    <row r="4281" spans="1:45" x14ac:dyDescent="0.2">
      <c r="A4281" s="121">
        <f t="shared" si="517"/>
        <v>3633</v>
      </c>
      <c r="B4281" s="13">
        <v>2</v>
      </c>
      <c r="C4281" s="17" t="s">
        <v>52</v>
      </c>
      <c r="D4281" s="17">
        <v>31139</v>
      </c>
      <c r="E4281" s="17">
        <v>132</v>
      </c>
      <c r="F4281" s="17">
        <v>6084</v>
      </c>
      <c r="G4281" s="13">
        <v>5</v>
      </c>
      <c r="H4281" s="17">
        <v>0</v>
      </c>
      <c r="I4281" s="17">
        <v>0</v>
      </c>
      <c r="J4281" s="17">
        <v>44.09</v>
      </c>
      <c r="L4281" s="17">
        <v>44.09</v>
      </c>
      <c r="P4281" s="17">
        <v>2</v>
      </c>
      <c r="Q4281" s="19">
        <v>44.09</v>
      </c>
      <c r="R4281" s="14">
        <v>1500</v>
      </c>
      <c r="S4281" s="19">
        <v>66135</v>
      </c>
      <c r="AJ4281" s="19">
        <v>0</v>
      </c>
      <c r="AK4281" s="23">
        <v>0</v>
      </c>
      <c r="AM4281" s="19">
        <v>0</v>
      </c>
      <c r="AN4281" s="19">
        <v>66135</v>
      </c>
      <c r="AP4281" s="14">
        <v>66135</v>
      </c>
    </row>
    <row r="4282" spans="1:45" x14ac:dyDescent="0.2">
      <c r="A4282" s="121">
        <f t="shared" si="517"/>
        <v>3634</v>
      </c>
      <c r="B4282" s="13">
        <v>3</v>
      </c>
      <c r="C4282" s="17" t="s">
        <v>52</v>
      </c>
      <c r="D4282" s="17">
        <v>1276</v>
      </c>
      <c r="E4282" s="17">
        <v>29</v>
      </c>
      <c r="F4282" s="17">
        <v>749</v>
      </c>
      <c r="G4282" s="13">
        <v>6</v>
      </c>
      <c r="H4282" s="17">
        <v>3</v>
      </c>
      <c r="I4282" s="17">
        <v>3</v>
      </c>
      <c r="J4282" s="17">
        <v>65</v>
      </c>
      <c r="K4282" s="10" t="s">
        <v>378</v>
      </c>
      <c r="P4282" s="17">
        <v>1</v>
      </c>
      <c r="Q4282" s="19">
        <v>1565</v>
      </c>
      <c r="R4282" s="14">
        <v>750</v>
      </c>
      <c r="S4282" s="19">
        <v>1173750</v>
      </c>
      <c r="AJ4282" s="19">
        <v>0</v>
      </c>
      <c r="AK4282" s="23">
        <v>0</v>
      </c>
      <c r="AM4282" s="19">
        <v>0</v>
      </c>
      <c r="AN4282" s="19">
        <v>1173750</v>
      </c>
      <c r="AP4282" s="14">
        <v>1173750</v>
      </c>
    </row>
    <row r="4283" spans="1:45" x14ac:dyDescent="0.2">
      <c r="A4283" s="121">
        <f t="shared" si="517"/>
        <v>3635</v>
      </c>
      <c r="B4283" s="13">
        <v>4</v>
      </c>
      <c r="C4283" s="17" t="s">
        <v>65</v>
      </c>
      <c r="D4283" s="17">
        <v>1069</v>
      </c>
      <c r="E4283" s="17">
        <v>103</v>
      </c>
      <c r="H4283" s="17">
        <v>0</v>
      </c>
      <c r="I4283" s="17">
        <v>0</v>
      </c>
      <c r="J4283" s="17">
        <v>58</v>
      </c>
      <c r="N4283" s="18">
        <v>58</v>
      </c>
      <c r="Q4283" s="19">
        <v>58</v>
      </c>
      <c r="R4283" s="14">
        <v>160</v>
      </c>
      <c r="S4283" s="19">
        <v>9280</v>
      </c>
      <c r="AE4283" s="17" t="s">
        <v>379</v>
      </c>
      <c r="AJ4283" s="19">
        <v>0</v>
      </c>
      <c r="AK4283" s="23">
        <v>0</v>
      </c>
      <c r="AM4283" s="19">
        <v>0</v>
      </c>
      <c r="AN4283" s="19">
        <v>9280</v>
      </c>
      <c r="AP4283" s="14">
        <v>9280</v>
      </c>
      <c r="AQ4283" s="12">
        <v>3.0000000000000001E-3</v>
      </c>
    </row>
    <row r="4284" spans="1:45" x14ac:dyDescent="0.2">
      <c r="A4284" s="121">
        <f t="shared" si="517"/>
        <v>3636</v>
      </c>
      <c r="B4284" s="13">
        <v>1</v>
      </c>
      <c r="C4284" s="17" t="s">
        <v>65</v>
      </c>
      <c r="D4284" s="17">
        <v>2124</v>
      </c>
      <c r="E4284" s="17">
        <v>118</v>
      </c>
      <c r="H4284" s="17">
        <v>8</v>
      </c>
      <c r="I4284" s="17">
        <v>2</v>
      </c>
      <c r="J4284" s="17">
        <v>15</v>
      </c>
      <c r="K4284" s="10">
        <v>3415</v>
      </c>
      <c r="P4284" s="17">
        <v>1</v>
      </c>
      <c r="Q4284" s="19">
        <v>3415</v>
      </c>
      <c r="R4284" s="14">
        <v>160</v>
      </c>
      <c r="S4284" s="19">
        <v>546400</v>
      </c>
      <c r="AJ4284" s="19">
        <v>0</v>
      </c>
      <c r="AK4284" s="23">
        <v>0</v>
      </c>
      <c r="AM4284" s="19">
        <v>0</v>
      </c>
      <c r="AN4284" s="19">
        <v>546400</v>
      </c>
      <c r="AP4284" s="14">
        <v>546400</v>
      </c>
      <c r="AQ4284" s="12">
        <v>1E-4</v>
      </c>
    </row>
    <row r="4285" spans="1:45" x14ac:dyDescent="0.2">
      <c r="A4285" s="121">
        <f t="shared" si="517"/>
        <v>3637</v>
      </c>
      <c r="B4285" s="13">
        <v>1</v>
      </c>
      <c r="C4285" s="17" t="s">
        <v>52</v>
      </c>
      <c r="D4285" s="17">
        <v>5851</v>
      </c>
      <c r="E4285" s="17">
        <v>24</v>
      </c>
      <c r="F4285" s="17">
        <v>3078</v>
      </c>
      <c r="G4285" s="13">
        <v>5</v>
      </c>
      <c r="H4285" s="17">
        <v>16</v>
      </c>
      <c r="I4285" s="17">
        <v>3</v>
      </c>
      <c r="J4285" s="17">
        <v>63</v>
      </c>
      <c r="K4285" s="10">
        <v>6763</v>
      </c>
      <c r="P4285" s="17">
        <v>1</v>
      </c>
      <c r="Q4285" s="19">
        <v>6763</v>
      </c>
      <c r="R4285" s="14">
        <v>375</v>
      </c>
      <c r="S4285" s="19">
        <v>2536125</v>
      </c>
      <c r="AJ4285" s="19">
        <v>0</v>
      </c>
      <c r="AK4285" s="23">
        <v>0</v>
      </c>
      <c r="AM4285" s="19">
        <v>0</v>
      </c>
      <c r="AN4285" s="19">
        <v>2536125</v>
      </c>
      <c r="AP4285" s="14">
        <v>2536125</v>
      </c>
    </row>
    <row r="4286" spans="1:45" x14ac:dyDescent="0.2">
      <c r="A4286" s="121">
        <f t="shared" si="517"/>
        <v>3638</v>
      </c>
      <c r="B4286" s="13">
        <v>1</v>
      </c>
      <c r="C4286" s="17" t="s">
        <v>52</v>
      </c>
      <c r="D4286" s="17">
        <v>18424</v>
      </c>
      <c r="E4286" s="17">
        <v>21</v>
      </c>
      <c r="F4286" s="17">
        <v>4312</v>
      </c>
      <c r="G4286" s="13">
        <v>5</v>
      </c>
      <c r="H4286" s="17">
        <v>9</v>
      </c>
      <c r="I4286" s="17">
        <v>2</v>
      </c>
      <c r="J4286" s="17">
        <v>9</v>
      </c>
      <c r="K4286" s="10">
        <v>3809</v>
      </c>
      <c r="P4286" s="17">
        <v>1</v>
      </c>
      <c r="Q4286" s="19">
        <v>3809</v>
      </c>
      <c r="R4286" s="14">
        <v>200</v>
      </c>
      <c r="S4286" s="19">
        <v>761800</v>
      </c>
      <c r="AJ4286" s="19">
        <v>0</v>
      </c>
      <c r="AK4286" s="23">
        <v>0</v>
      </c>
      <c r="AM4286" s="19">
        <v>0</v>
      </c>
      <c r="AN4286" s="19">
        <v>761800</v>
      </c>
      <c r="AP4286" s="14">
        <v>761800</v>
      </c>
      <c r="AS4286" s="26">
        <v>71</v>
      </c>
    </row>
    <row r="4287" spans="1:45" ht="63" x14ac:dyDescent="0.2">
      <c r="A4287" s="121">
        <f t="shared" si="517"/>
        <v>3639</v>
      </c>
      <c r="B4287" s="13">
        <v>2</v>
      </c>
      <c r="C4287" s="17" t="s">
        <v>52</v>
      </c>
      <c r="D4287" s="17">
        <v>31142</v>
      </c>
      <c r="E4287" s="17">
        <v>123</v>
      </c>
      <c r="F4287" s="17">
        <v>6087</v>
      </c>
      <c r="G4287" s="13">
        <v>5</v>
      </c>
      <c r="H4287" s="17">
        <v>0</v>
      </c>
      <c r="I4287" s="17">
        <v>0</v>
      </c>
      <c r="J4287" s="17">
        <v>59.05</v>
      </c>
      <c r="L4287" s="17">
        <v>59.05</v>
      </c>
      <c r="P4287" s="17">
        <v>2</v>
      </c>
      <c r="Q4287" s="19">
        <v>59.05</v>
      </c>
      <c r="R4287" s="14">
        <v>250</v>
      </c>
      <c r="S4287" s="19">
        <v>14762.5</v>
      </c>
      <c r="T4287" s="17">
        <v>1</v>
      </c>
      <c r="U4287" s="17" t="s">
        <v>57</v>
      </c>
      <c r="V4287" s="17" t="s">
        <v>88</v>
      </c>
      <c r="W4287" s="4">
        <v>16</v>
      </c>
      <c r="Y4287" s="4">
        <v>16</v>
      </c>
      <c r="AJ4287" s="19">
        <v>0</v>
      </c>
      <c r="AK4287" s="23">
        <v>0</v>
      </c>
      <c r="AM4287" s="19">
        <v>0</v>
      </c>
      <c r="AN4287" s="19">
        <v>14762.5</v>
      </c>
      <c r="AP4287" s="14">
        <v>14762.5</v>
      </c>
    </row>
    <row r="4288" spans="1:45" x14ac:dyDescent="0.2">
      <c r="A4288" s="121">
        <f t="shared" si="517"/>
        <v>3640</v>
      </c>
      <c r="B4288" s="13">
        <v>3</v>
      </c>
      <c r="C4288" s="17" t="s">
        <v>65</v>
      </c>
      <c r="D4288" s="17">
        <v>3604</v>
      </c>
      <c r="E4288" s="17">
        <v>48</v>
      </c>
      <c r="H4288" s="17">
        <v>8</v>
      </c>
      <c r="I4288" s="17">
        <v>1</v>
      </c>
      <c r="J4288" s="17">
        <v>5</v>
      </c>
      <c r="K4288" s="10">
        <v>3305</v>
      </c>
      <c r="P4288" s="17">
        <v>1</v>
      </c>
      <c r="Q4288" s="19">
        <v>3305</v>
      </c>
      <c r="R4288" s="14">
        <v>160</v>
      </c>
      <c r="S4288" s="19">
        <v>528800</v>
      </c>
      <c r="AE4288" s="17" t="s">
        <v>94</v>
      </c>
      <c r="AJ4288" s="19">
        <v>0</v>
      </c>
      <c r="AK4288" s="23">
        <v>0</v>
      </c>
      <c r="AM4288" s="19">
        <v>0</v>
      </c>
      <c r="AN4288" s="19">
        <v>528800</v>
      </c>
      <c r="AP4288" s="14">
        <v>528800</v>
      </c>
      <c r="AQ4288" s="12">
        <v>1E-4</v>
      </c>
    </row>
    <row r="4289" spans="1:45" x14ac:dyDescent="0.2">
      <c r="A4289" s="121">
        <f t="shared" si="517"/>
        <v>3641</v>
      </c>
      <c r="B4289" s="13">
        <v>4</v>
      </c>
      <c r="C4289" s="17" t="s">
        <v>65</v>
      </c>
      <c r="D4289" s="17">
        <v>3603</v>
      </c>
      <c r="E4289" s="17">
        <v>47</v>
      </c>
      <c r="H4289" s="17">
        <v>5</v>
      </c>
      <c r="I4289" s="17">
        <v>0</v>
      </c>
      <c r="J4289" s="17">
        <v>44</v>
      </c>
      <c r="K4289" s="10">
        <v>2044</v>
      </c>
      <c r="Q4289" s="19">
        <v>2044</v>
      </c>
      <c r="R4289" s="14">
        <v>200</v>
      </c>
      <c r="S4289" s="19">
        <v>408800</v>
      </c>
      <c r="AE4289" s="17" t="s">
        <v>94</v>
      </c>
      <c r="AJ4289" s="19">
        <v>0</v>
      </c>
      <c r="AK4289" s="23">
        <v>0</v>
      </c>
      <c r="AM4289" s="19">
        <v>0</v>
      </c>
      <c r="AN4289" s="19">
        <v>408800</v>
      </c>
      <c r="AP4289" s="14">
        <v>408800</v>
      </c>
      <c r="AQ4289" s="12">
        <v>1E-4</v>
      </c>
    </row>
    <row r="4290" spans="1:45" x14ac:dyDescent="0.2">
      <c r="A4290" s="121">
        <f t="shared" si="517"/>
        <v>3642</v>
      </c>
      <c r="B4290" s="13">
        <v>1</v>
      </c>
      <c r="C4290" s="17" t="s">
        <v>52</v>
      </c>
      <c r="D4290" s="17">
        <v>18187</v>
      </c>
      <c r="E4290" s="17">
        <v>5</v>
      </c>
      <c r="F4290" s="17">
        <v>4109</v>
      </c>
      <c r="G4290" s="13">
        <v>5</v>
      </c>
      <c r="H4290" s="17">
        <v>11</v>
      </c>
      <c r="I4290" s="17">
        <v>1</v>
      </c>
      <c r="J4290" s="17">
        <v>28</v>
      </c>
      <c r="K4290" s="10">
        <v>4528</v>
      </c>
      <c r="P4290" s="17">
        <v>1</v>
      </c>
      <c r="Q4290" s="19">
        <v>4528</v>
      </c>
      <c r="R4290" s="14">
        <v>160</v>
      </c>
      <c r="S4290" s="19">
        <v>724480</v>
      </c>
      <c r="AJ4290" s="19">
        <v>0</v>
      </c>
      <c r="AK4290" s="23">
        <v>0</v>
      </c>
      <c r="AM4290" s="19">
        <v>0</v>
      </c>
      <c r="AN4290" s="19">
        <v>724480</v>
      </c>
      <c r="AP4290" s="14">
        <v>724480</v>
      </c>
      <c r="AS4290" s="26">
        <v>38</v>
      </c>
    </row>
    <row r="4291" spans="1:45" ht="63" x14ac:dyDescent="0.2">
      <c r="A4291" s="121">
        <f t="shared" si="517"/>
        <v>3643</v>
      </c>
      <c r="B4291" s="13">
        <v>1</v>
      </c>
      <c r="C4291" s="17" t="s">
        <v>52</v>
      </c>
      <c r="D4291" s="17">
        <v>19704</v>
      </c>
      <c r="E4291" s="17">
        <v>91</v>
      </c>
      <c r="F4291" s="17">
        <v>4372</v>
      </c>
      <c r="G4291" s="13">
        <v>5</v>
      </c>
      <c r="H4291" s="17">
        <v>0</v>
      </c>
      <c r="I4291" s="17">
        <v>2</v>
      </c>
      <c r="J4291" s="17">
        <v>37</v>
      </c>
      <c r="L4291" s="17">
        <v>237</v>
      </c>
      <c r="P4291" s="17">
        <v>2</v>
      </c>
      <c r="Q4291" s="19">
        <v>237</v>
      </c>
      <c r="R4291" s="14">
        <v>1100</v>
      </c>
      <c r="S4291" s="19">
        <v>260700</v>
      </c>
      <c r="T4291" s="17">
        <v>1</v>
      </c>
      <c r="U4291" s="17" t="s">
        <v>57</v>
      </c>
      <c r="V4291" s="17" t="s">
        <v>56</v>
      </c>
      <c r="W4291" s="4">
        <v>83.25</v>
      </c>
      <c r="Y4291" s="4">
        <v>83.25</v>
      </c>
      <c r="AB4291" s="17">
        <v>41</v>
      </c>
      <c r="AJ4291" s="19">
        <v>0</v>
      </c>
      <c r="AK4291" s="23">
        <v>41</v>
      </c>
      <c r="AM4291" s="19">
        <v>0</v>
      </c>
      <c r="AN4291" s="19">
        <v>260700</v>
      </c>
      <c r="AP4291" s="14">
        <v>260700</v>
      </c>
    </row>
    <row r="4292" spans="1:45" x14ac:dyDescent="0.2">
      <c r="B4292" s="13">
        <v>2</v>
      </c>
      <c r="C4292" s="17" t="s">
        <v>65</v>
      </c>
      <c r="D4292" s="17">
        <v>3487</v>
      </c>
      <c r="E4292" s="17">
        <v>61</v>
      </c>
      <c r="H4292" s="17">
        <v>0</v>
      </c>
      <c r="I4292" s="17">
        <v>1</v>
      </c>
      <c r="J4292" s="17">
        <v>40</v>
      </c>
      <c r="K4292" s="10">
        <v>140</v>
      </c>
      <c r="Q4292" s="19">
        <v>140</v>
      </c>
      <c r="R4292" s="14" t="e">
        <v>#N/A</v>
      </c>
      <c r="S4292" s="19" t="e">
        <v>#N/A</v>
      </c>
      <c r="AE4292" s="17" t="s">
        <v>95</v>
      </c>
      <c r="AJ4292" s="19">
        <v>0</v>
      </c>
      <c r="AK4292" s="23">
        <v>0</v>
      </c>
      <c r="AM4292" s="19">
        <v>0</v>
      </c>
      <c r="AN4292" s="19" t="e">
        <v>#N/A</v>
      </c>
      <c r="AP4292" s="14" t="e">
        <v>#N/A</v>
      </c>
      <c r="AQ4292" s="12">
        <v>1E-4</v>
      </c>
    </row>
    <row r="4293" spans="1:45" x14ac:dyDescent="0.2">
      <c r="A4293" s="2">
        <v>3644</v>
      </c>
      <c r="B4293" s="13">
        <v>1</v>
      </c>
      <c r="C4293" s="17" t="s">
        <v>65</v>
      </c>
      <c r="D4293" s="17">
        <v>2216</v>
      </c>
      <c r="E4293" s="17">
        <v>144</v>
      </c>
      <c r="H4293" s="17">
        <v>2</v>
      </c>
      <c r="I4293" s="17">
        <v>1</v>
      </c>
      <c r="J4293" s="17">
        <v>50</v>
      </c>
      <c r="K4293" s="10">
        <v>950</v>
      </c>
      <c r="Q4293" s="19">
        <v>950</v>
      </c>
      <c r="R4293" s="14">
        <v>2000</v>
      </c>
      <c r="S4293" s="19">
        <v>1900000</v>
      </c>
      <c r="AE4293" s="17" t="s">
        <v>94</v>
      </c>
      <c r="AJ4293" s="19">
        <v>0</v>
      </c>
      <c r="AK4293" s="23">
        <v>0</v>
      </c>
      <c r="AM4293" s="19">
        <v>0</v>
      </c>
      <c r="AN4293" s="19">
        <v>1900000</v>
      </c>
      <c r="AP4293" s="14">
        <v>1900000</v>
      </c>
      <c r="AQ4293" s="12">
        <v>1E-4</v>
      </c>
    </row>
    <row r="4294" spans="1:45" x14ac:dyDescent="0.2">
      <c r="A4294" s="2">
        <f>+A4293+1</f>
        <v>3645</v>
      </c>
      <c r="B4294" s="13">
        <v>1</v>
      </c>
      <c r="C4294" s="17" t="s">
        <v>65</v>
      </c>
      <c r="D4294" s="17">
        <v>2334</v>
      </c>
      <c r="E4294" s="17">
        <v>133</v>
      </c>
      <c r="H4294" s="17">
        <v>7</v>
      </c>
      <c r="I4294" s="17">
        <v>0</v>
      </c>
      <c r="J4294" s="17">
        <v>40</v>
      </c>
      <c r="K4294" s="10">
        <v>2840</v>
      </c>
      <c r="P4294" s="17">
        <v>1</v>
      </c>
      <c r="Q4294" s="19">
        <v>2840</v>
      </c>
      <c r="R4294" s="14">
        <v>160</v>
      </c>
      <c r="S4294" s="19">
        <v>454400</v>
      </c>
      <c r="AJ4294" s="19">
        <v>0</v>
      </c>
      <c r="AK4294" s="23">
        <v>0</v>
      </c>
      <c r="AM4294" s="19">
        <v>0</v>
      </c>
      <c r="AN4294" s="19">
        <v>454400</v>
      </c>
      <c r="AP4294" s="14">
        <v>454400</v>
      </c>
      <c r="AQ4294" s="12">
        <v>1E-4</v>
      </c>
    </row>
    <row r="4295" spans="1:45" x14ac:dyDescent="0.2">
      <c r="A4295" s="121">
        <f t="shared" ref="A4295:A4301" si="518">+A4294+1</f>
        <v>3646</v>
      </c>
      <c r="B4295" s="13">
        <v>1</v>
      </c>
      <c r="C4295" s="17" t="s">
        <v>52</v>
      </c>
      <c r="D4295" s="17">
        <v>36679</v>
      </c>
      <c r="E4295" s="17">
        <v>8</v>
      </c>
      <c r="F4295" s="17">
        <v>7227</v>
      </c>
      <c r="G4295" s="13">
        <v>5</v>
      </c>
      <c r="H4295" s="17">
        <v>0</v>
      </c>
      <c r="I4295" s="17">
        <v>1</v>
      </c>
      <c r="J4295" s="17">
        <v>43.06</v>
      </c>
      <c r="K4295" s="10">
        <v>143.06</v>
      </c>
      <c r="P4295" s="17">
        <v>1</v>
      </c>
      <c r="Q4295" s="19">
        <v>143.06</v>
      </c>
      <c r="R4295" s="14">
        <v>1500</v>
      </c>
      <c r="S4295" s="19">
        <v>214590</v>
      </c>
      <c r="AJ4295" s="19">
        <v>0</v>
      </c>
      <c r="AK4295" s="23">
        <v>0</v>
      </c>
      <c r="AM4295" s="19">
        <v>0</v>
      </c>
      <c r="AN4295" s="19">
        <v>214590</v>
      </c>
      <c r="AP4295" s="14">
        <v>214590</v>
      </c>
    </row>
    <row r="4296" spans="1:45" x14ac:dyDescent="0.2">
      <c r="A4296" s="121">
        <f t="shared" si="518"/>
        <v>3647</v>
      </c>
      <c r="B4296" s="13">
        <v>2</v>
      </c>
      <c r="C4296" s="17" t="s">
        <v>52</v>
      </c>
      <c r="D4296" s="17">
        <v>36680</v>
      </c>
      <c r="E4296" s="17">
        <v>9</v>
      </c>
      <c r="F4296" s="17">
        <v>7228</v>
      </c>
      <c r="G4296" s="13">
        <v>5</v>
      </c>
      <c r="H4296" s="17">
        <v>0</v>
      </c>
      <c r="I4296" s="17">
        <v>1</v>
      </c>
      <c r="J4296" s="17">
        <v>56</v>
      </c>
      <c r="K4296" s="10">
        <v>156</v>
      </c>
      <c r="P4296" s="17">
        <v>1</v>
      </c>
      <c r="Q4296" s="19">
        <v>156</v>
      </c>
      <c r="R4296" s="14">
        <v>1500</v>
      </c>
      <c r="S4296" s="19">
        <v>234000</v>
      </c>
      <c r="AJ4296" s="19">
        <v>0</v>
      </c>
      <c r="AK4296" s="23">
        <v>0</v>
      </c>
      <c r="AM4296" s="19">
        <v>0</v>
      </c>
      <c r="AN4296" s="19">
        <v>234000</v>
      </c>
      <c r="AP4296" s="14">
        <v>234000</v>
      </c>
    </row>
    <row r="4297" spans="1:45" x14ac:dyDescent="0.2">
      <c r="A4297" s="121">
        <f t="shared" si="518"/>
        <v>3648</v>
      </c>
      <c r="B4297" s="13">
        <v>3</v>
      </c>
      <c r="C4297" s="17" t="s">
        <v>52</v>
      </c>
      <c r="D4297" s="17">
        <v>36682</v>
      </c>
      <c r="E4297" s="17">
        <v>11</v>
      </c>
      <c r="F4297" s="17">
        <v>7230</v>
      </c>
      <c r="G4297" s="13">
        <v>5</v>
      </c>
      <c r="H4297" s="17">
        <v>1</v>
      </c>
      <c r="I4297" s="17">
        <v>3</v>
      </c>
      <c r="J4297" s="17">
        <v>10.029999999999999</v>
      </c>
      <c r="K4297" s="10">
        <v>710.03</v>
      </c>
      <c r="P4297" s="17">
        <v>1</v>
      </c>
      <c r="Q4297" s="19">
        <v>710.03</v>
      </c>
      <c r="R4297" s="14">
        <v>1500</v>
      </c>
      <c r="S4297" s="19">
        <v>1065045</v>
      </c>
      <c r="AJ4297" s="19">
        <v>0</v>
      </c>
      <c r="AK4297" s="23">
        <v>0</v>
      </c>
      <c r="AM4297" s="19">
        <v>0</v>
      </c>
      <c r="AN4297" s="19">
        <v>1065045</v>
      </c>
      <c r="AP4297" s="14">
        <v>1065045</v>
      </c>
    </row>
    <row r="4298" spans="1:45" ht="63" x14ac:dyDescent="0.2">
      <c r="A4298" s="121">
        <f t="shared" si="518"/>
        <v>3649</v>
      </c>
      <c r="B4298" s="13">
        <v>4</v>
      </c>
      <c r="C4298" s="17" t="s">
        <v>52</v>
      </c>
      <c r="D4298" s="17">
        <v>1248</v>
      </c>
      <c r="E4298" s="17">
        <v>25</v>
      </c>
      <c r="F4298" s="17">
        <v>291</v>
      </c>
      <c r="G4298" s="13">
        <v>6</v>
      </c>
      <c r="H4298" s="17">
        <v>0</v>
      </c>
      <c r="I4298" s="17">
        <v>0</v>
      </c>
      <c r="J4298" s="17">
        <v>45</v>
      </c>
      <c r="L4298" s="17">
        <v>45</v>
      </c>
      <c r="P4298" s="17">
        <v>2</v>
      </c>
      <c r="Q4298" s="19">
        <v>45</v>
      </c>
      <c r="R4298" s="14">
        <v>1500</v>
      </c>
      <c r="S4298" s="19">
        <v>67500</v>
      </c>
      <c r="T4298" s="17">
        <v>1</v>
      </c>
      <c r="U4298" s="17" t="s">
        <v>57</v>
      </c>
      <c r="V4298" s="17" t="s">
        <v>56</v>
      </c>
      <c r="W4298" s="4">
        <v>54</v>
      </c>
      <c r="Y4298" s="4">
        <v>54</v>
      </c>
      <c r="AB4298" s="17">
        <v>16</v>
      </c>
      <c r="AJ4298" s="19">
        <v>0</v>
      </c>
      <c r="AK4298" s="23">
        <v>16</v>
      </c>
      <c r="AM4298" s="19">
        <v>0</v>
      </c>
      <c r="AN4298" s="19">
        <v>67500</v>
      </c>
      <c r="AP4298" s="14">
        <v>67500</v>
      </c>
    </row>
    <row r="4299" spans="1:45" x14ac:dyDescent="0.2">
      <c r="A4299" s="121">
        <f t="shared" si="518"/>
        <v>3650</v>
      </c>
      <c r="B4299" s="13">
        <v>5</v>
      </c>
      <c r="C4299" s="17" t="s">
        <v>65</v>
      </c>
      <c r="D4299" s="17">
        <v>2211</v>
      </c>
      <c r="E4299" s="17">
        <v>110</v>
      </c>
      <c r="H4299" s="17">
        <v>3</v>
      </c>
      <c r="I4299" s="17">
        <v>1</v>
      </c>
      <c r="J4299" s="17">
        <v>10</v>
      </c>
      <c r="K4299" s="10">
        <v>1310</v>
      </c>
      <c r="P4299" s="17">
        <v>1</v>
      </c>
      <c r="Q4299" s="19">
        <v>1310</v>
      </c>
      <c r="R4299" s="14">
        <v>200</v>
      </c>
      <c r="S4299" s="19">
        <v>262000</v>
      </c>
      <c r="AE4299" s="17" t="s">
        <v>380</v>
      </c>
      <c r="AJ4299" s="19">
        <v>0</v>
      </c>
      <c r="AK4299" s="23">
        <v>0</v>
      </c>
      <c r="AM4299" s="19">
        <v>0</v>
      </c>
      <c r="AN4299" s="19">
        <v>262000</v>
      </c>
      <c r="AP4299" s="14">
        <v>262000</v>
      </c>
      <c r="AQ4299" s="12">
        <v>1E-4</v>
      </c>
    </row>
    <row r="4300" spans="1:45" x14ac:dyDescent="0.2">
      <c r="A4300" s="121">
        <f t="shared" si="518"/>
        <v>3651</v>
      </c>
      <c r="B4300" s="13">
        <v>1</v>
      </c>
      <c r="C4300" s="17" t="s">
        <v>65</v>
      </c>
      <c r="D4300" s="17">
        <v>2136</v>
      </c>
      <c r="E4300" s="17">
        <v>132</v>
      </c>
      <c r="H4300" s="17">
        <v>13</v>
      </c>
      <c r="I4300" s="17">
        <v>2</v>
      </c>
      <c r="J4300" s="17">
        <v>0</v>
      </c>
      <c r="K4300" s="10">
        <v>5400</v>
      </c>
      <c r="P4300" s="17">
        <v>1</v>
      </c>
      <c r="Q4300" s="19">
        <v>5400</v>
      </c>
      <c r="R4300" s="14">
        <v>160</v>
      </c>
      <c r="S4300" s="19">
        <v>864000</v>
      </c>
      <c r="AJ4300" s="19">
        <v>0</v>
      </c>
      <c r="AK4300" s="23">
        <v>0</v>
      </c>
      <c r="AM4300" s="19">
        <v>0</v>
      </c>
      <c r="AN4300" s="19">
        <v>864000</v>
      </c>
      <c r="AP4300" s="14">
        <v>864000</v>
      </c>
      <c r="AQ4300" s="12">
        <v>1E-4</v>
      </c>
    </row>
    <row r="4301" spans="1:45" ht="63" x14ac:dyDescent="0.2">
      <c r="A4301" s="121">
        <f t="shared" si="518"/>
        <v>3652</v>
      </c>
      <c r="B4301" s="13">
        <v>1</v>
      </c>
      <c r="C4301" s="17" t="s">
        <v>52</v>
      </c>
      <c r="D4301" s="17">
        <v>5913</v>
      </c>
      <c r="E4301" s="17">
        <v>29</v>
      </c>
      <c r="F4301" s="17">
        <v>2997</v>
      </c>
      <c r="G4301" s="13">
        <v>5</v>
      </c>
      <c r="H4301" s="17">
        <v>1</v>
      </c>
      <c r="I4301" s="17">
        <v>1</v>
      </c>
      <c r="J4301" s="17">
        <v>27</v>
      </c>
      <c r="L4301" s="17">
        <v>720</v>
      </c>
      <c r="P4301" s="17">
        <v>2</v>
      </c>
      <c r="Q4301" s="19">
        <v>527</v>
      </c>
      <c r="R4301" s="14">
        <v>200</v>
      </c>
      <c r="S4301" s="19">
        <v>105400</v>
      </c>
      <c r="U4301" s="17" t="s">
        <v>57</v>
      </c>
      <c r="V4301" s="17" t="s">
        <v>56</v>
      </c>
      <c r="W4301" s="4">
        <v>108</v>
      </c>
      <c r="AB4301" s="17">
        <v>5</v>
      </c>
      <c r="AE4301" s="17" t="s">
        <v>381</v>
      </c>
      <c r="AJ4301" s="19">
        <v>0</v>
      </c>
      <c r="AK4301" s="23">
        <v>5</v>
      </c>
      <c r="AM4301" s="19">
        <v>0</v>
      </c>
      <c r="AN4301" s="19">
        <v>105400</v>
      </c>
      <c r="AP4301" s="14">
        <v>105400</v>
      </c>
    </row>
    <row r="4302" spans="1:45" x14ac:dyDescent="0.2">
      <c r="C4302" s="17" t="s">
        <v>52</v>
      </c>
      <c r="D4302" s="17">
        <v>40775</v>
      </c>
      <c r="E4302" s="17">
        <v>199</v>
      </c>
      <c r="F4302" s="17">
        <v>7985</v>
      </c>
      <c r="H4302" s="17">
        <v>0</v>
      </c>
      <c r="I4302" s="17">
        <v>0</v>
      </c>
      <c r="J4302" s="17">
        <v>63</v>
      </c>
      <c r="Q4302" s="19">
        <v>63</v>
      </c>
      <c r="R4302" s="14" t="e">
        <v>#N/A</v>
      </c>
      <c r="AE4302" s="17" t="s">
        <v>382</v>
      </c>
    </row>
    <row r="4303" spans="1:45" x14ac:dyDescent="0.2">
      <c r="A4303" s="2">
        <v>3653</v>
      </c>
      <c r="B4303" s="13">
        <v>1</v>
      </c>
      <c r="C4303" s="17" t="s">
        <v>52</v>
      </c>
      <c r="D4303" s="17">
        <v>14824</v>
      </c>
      <c r="E4303" s="17">
        <v>85</v>
      </c>
      <c r="F4303" s="17">
        <v>3358</v>
      </c>
      <c r="G4303" s="13">
        <v>5</v>
      </c>
      <c r="H4303" s="17">
        <v>0</v>
      </c>
      <c r="I4303" s="17">
        <v>1</v>
      </c>
      <c r="J4303" s="17">
        <v>16</v>
      </c>
      <c r="K4303" s="10">
        <v>116</v>
      </c>
      <c r="P4303" s="17">
        <v>1</v>
      </c>
      <c r="Q4303" s="19">
        <v>116</v>
      </c>
      <c r="R4303" s="14">
        <v>160</v>
      </c>
      <c r="S4303" s="19">
        <v>18560</v>
      </c>
      <c r="AJ4303" s="19">
        <v>0</v>
      </c>
      <c r="AK4303" s="23">
        <v>0</v>
      </c>
      <c r="AM4303" s="19">
        <v>0</v>
      </c>
      <c r="AN4303" s="19">
        <v>18560</v>
      </c>
      <c r="AP4303" s="14">
        <v>18560</v>
      </c>
    </row>
    <row r="4304" spans="1:45" x14ac:dyDescent="0.2">
      <c r="A4304" s="2">
        <f>+A4303+1</f>
        <v>3654</v>
      </c>
      <c r="B4304" s="13">
        <v>1</v>
      </c>
      <c r="C4304" s="17" t="s">
        <v>52</v>
      </c>
      <c r="D4304" s="17">
        <v>14823</v>
      </c>
      <c r="E4304" s="17">
        <v>84</v>
      </c>
      <c r="F4304" s="17">
        <v>3357</v>
      </c>
      <c r="G4304" s="13">
        <v>5</v>
      </c>
      <c r="H4304" s="17">
        <v>0</v>
      </c>
      <c r="I4304" s="17">
        <v>0</v>
      </c>
      <c r="J4304" s="17">
        <v>89</v>
      </c>
      <c r="N4304" s="18">
        <v>89</v>
      </c>
      <c r="P4304" s="17">
        <v>4</v>
      </c>
      <c r="Q4304" s="19">
        <v>89</v>
      </c>
      <c r="R4304" s="14">
        <v>160</v>
      </c>
      <c r="S4304" s="19">
        <v>14240</v>
      </c>
      <c r="AJ4304" s="19">
        <v>0</v>
      </c>
      <c r="AK4304" s="23">
        <v>0</v>
      </c>
      <c r="AM4304" s="19">
        <v>0</v>
      </c>
      <c r="AN4304" s="19">
        <v>14240</v>
      </c>
      <c r="AP4304" s="14">
        <v>14240</v>
      </c>
      <c r="AQ4304" s="12">
        <v>3.0000000000000001E-3</v>
      </c>
    </row>
    <row r="4305" spans="1:45" x14ac:dyDescent="0.2">
      <c r="A4305" s="121">
        <f t="shared" ref="A4305:A4321" si="519">+A4304+1</f>
        <v>3655</v>
      </c>
      <c r="B4305" s="13">
        <v>1</v>
      </c>
      <c r="C4305" s="17" t="s">
        <v>65</v>
      </c>
      <c r="D4305" s="17">
        <v>1756</v>
      </c>
      <c r="E4305" s="17">
        <v>82</v>
      </c>
      <c r="H4305" s="17">
        <v>39</v>
      </c>
      <c r="I4305" s="17">
        <v>2</v>
      </c>
      <c r="J4305" s="17">
        <v>16</v>
      </c>
      <c r="K4305" s="10">
        <v>15816</v>
      </c>
      <c r="P4305" s="17">
        <v>1</v>
      </c>
      <c r="Q4305" s="19">
        <v>15816</v>
      </c>
      <c r="R4305" s="14">
        <v>160</v>
      </c>
      <c r="S4305" s="19">
        <v>2530560</v>
      </c>
      <c r="AJ4305" s="19">
        <v>0</v>
      </c>
      <c r="AK4305" s="23">
        <v>0</v>
      </c>
      <c r="AM4305" s="19">
        <v>0</v>
      </c>
      <c r="AN4305" s="19">
        <v>2530560</v>
      </c>
      <c r="AP4305" s="14">
        <v>2530560</v>
      </c>
      <c r="AQ4305" s="12">
        <v>1E-4</v>
      </c>
      <c r="AS4305" s="26">
        <v>138</v>
      </c>
    </row>
    <row r="4306" spans="1:45" ht="63" x14ac:dyDescent="0.2">
      <c r="A4306" s="121">
        <f t="shared" si="519"/>
        <v>3656</v>
      </c>
      <c r="B4306" s="13">
        <v>1</v>
      </c>
      <c r="C4306" s="17" t="s">
        <v>52</v>
      </c>
      <c r="D4306" s="17">
        <v>14821</v>
      </c>
      <c r="E4306" s="17">
        <v>82</v>
      </c>
      <c r="F4306" s="17">
        <v>3355</v>
      </c>
      <c r="G4306" s="13">
        <v>5</v>
      </c>
      <c r="H4306" s="17">
        <v>0</v>
      </c>
      <c r="I4306" s="17">
        <v>1</v>
      </c>
      <c r="J4306" s="17">
        <v>49</v>
      </c>
      <c r="L4306" s="17">
        <v>149</v>
      </c>
      <c r="P4306" s="17">
        <v>2</v>
      </c>
      <c r="Q4306" s="19">
        <v>149</v>
      </c>
      <c r="R4306" s="14">
        <v>160</v>
      </c>
      <c r="S4306" s="19">
        <v>23840</v>
      </c>
      <c r="T4306" s="17">
        <v>1</v>
      </c>
      <c r="U4306" s="17" t="s">
        <v>57</v>
      </c>
      <c r="V4306" s="17" t="s">
        <v>56</v>
      </c>
      <c r="W4306" s="4">
        <v>142.5</v>
      </c>
      <c r="Y4306" s="4">
        <v>142.5</v>
      </c>
      <c r="AB4306" s="17">
        <v>21</v>
      </c>
      <c r="AJ4306" s="19">
        <v>0</v>
      </c>
      <c r="AK4306" s="23">
        <v>21</v>
      </c>
      <c r="AM4306" s="19">
        <v>0</v>
      </c>
      <c r="AN4306" s="19">
        <v>23840</v>
      </c>
      <c r="AP4306" s="14">
        <v>23840</v>
      </c>
    </row>
    <row r="4307" spans="1:45" x14ac:dyDescent="0.2">
      <c r="A4307" s="121">
        <f t="shared" si="519"/>
        <v>3657</v>
      </c>
      <c r="B4307" s="13">
        <v>1</v>
      </c>
      <c r="C4307" s="17" t="s">
        <v>52</v>
      </c>
      <c r="D4307" s="17">
        <v>14822</v>
      </c>
      <c r="E4307" s="17">
        <v>83</v>
      </c>
      <c r="F4307" s="17">
        <v>3356</v>
      </c>
      <c r="G4307" s="13">
        <v>5</v>
      </c>
      <c r="H4307" s="17">
        <v>0</v>
      </c>
      <c r="I4307" s="17">
        <v>0</v>
      </c>
      <c r="J4307" s="17">
        <v>87</v>
      </c>
      <c r="K4307" s="10">
        <v>87</v>
      </c>
      <c r="P4307" s="17">
        <v>1</v>
      </c>
      <c r="Q4307" s="19">
        <v>87</v>
      </c>
      <c r="R4307" s="14">
        <v>160</v>
      </c>
      <c r="S4307" s="19">
        <v>13920</v>
      </c>
      <c r="AJ4307" s="19">
        <v>0</v>
      </c>
      <c r="AK4307" s="23">
        <v>0</v>
      </c>
      <c r="AM4307" s="19">
        <v>0</v>
      </c>
      <c r="AN4307" s="19">
        <v>13920</v>
      </c>
      <c r="AP4307" s="14">
        <v>13920</v>
      </c>
    </row>
    <row r="4308" spans="1:45" ht="63" x14ac:dyDescent="0.2">
      <c r="A4308" s="121">
        <f t="shared" si="519"/>
        <v>3658</v>
      </c>
      <c r="B4308" s="13">
        <v>1</v>
      </c>
      <c r="C4308" s="17" t="s">
        <v>52</v>
      </c>
      <c r="D4308" s="17">
        <v>5955</v>
      </c>
      <c r="E4308" s="17">
        <v>34</v>
      </c>
      <c r="F4308" s="17">
        <v>2991</v>
      </c>
      <c r="G4308" s="13">
        <v>5</v>
      </c>
      <c r="H4308" s="17">
        <v>0</v>
      </c>
      <c r="I4308" s="17">
        <v>2</v>
      </c>
      <c r="J4308" s="17">
        <v>79</v>
      </c>
      <c r="L4308" s="17">
        <v>279</v>
      </c>
      <c r="P4308" s="17">
        <v>2</v>
      </c>
      <c r="Q4308" s="19">
        <v>279</v>
      </c>
      <c r="R4308" s="14">
        <v>200</v>
      </c>
      <c r="S4308" s="19">
        <v>55800</v>
      </c>
      <c r="T4308" s="17">
        <v>1</v>
      </c>
      <c r="U4308" s="17" t="s">
        <v>57</v>
      </c>
      <c r="V4308" s="17" t="s">
        <v>56</v>
      </c>
      <c r="W4308" s="4">
        <v>108.5</v>
      </c>
      <c r="Y4308" s="4">
        <v>108.5</v>
      </c>
      <c r="AB4308" s="17">
        <v>46</v>
      </c>
      <c r="AJ4308" s="19">
        <v>0</v>
      </c>
      <c r="AK4308" s="23">
        <v>46</v>
      </c>
      <c r="AM4308" s="19">
        <v>0</v>
      </c>
      <c r="AN4308" s="19">
        <v>55800</v>
      </c>
      <c r="AP4308" s="14">
        <v>55800</v>
      </c>
      <c r="AS4308" s="26">
        <v>35</v>
      </c>
    </row>
    <row r="4309" spans="1:45" x14ac:dyDescent="0.2">
      <c r="A4309" s="121">
        <f t="shared" si="519"/>
        <v>3659</v>
      </c>
      <c r="B4309" s="13">
        <v>2</v>
      </c>
      <c r="C4309" s="17" t="s">
        <v>52</v>
      </c>
      <c r="D4309" s="17">
        <v>5975</v>
      </c>
      <c r="E4309" s="17">
        <v>59</v>
      </c>
      <c r="F4309" s="17">
        <v>3074</v>
      </c>
      <c r="G4309" s="13">
        <v>5</v>
      </c>
      <c r="H4309" s="17">
        <v>6</v>
      </c>
      <c r="I4309" s="17">
        <v>1</v>
      </c>
      <c r="J4309" s="17">
        <v>66</v>
      </c>
      <c r="K4309" s="10">
        <v>2566</v>
      </c>
      <c r="P4309" s="17">
        <v>1</v>
      </c>
      <c r="Q4309" s="19">
        <v>2566</v>
      </c>
      <c r="R4309" s="14">
        <v>200</v>
      </c>
      <c r="S4309" s="19">
        <v>513200</v>
      </c>
      <c r="AJ4309" s="19">
        <v>0</v>
      </c>
      <c r="AK4309" s="23">
        <v>0</v>
      </c>
      <c r="AM4309" s="19">
        <v>0</v>
      </c>
      <c r="AN4309" s="19">
        <v>513200</v>
      </c>
      <c r="AP4309" s="14">
        <v>513200</v>
      </c>
    </row>
    <row r="4310" spans="1:45" x14ac:dyDescent="0.2">
      <c r="A4310" s="121">
        <f t="shared" si="519"/>
        <v>3660</v>
      </c>
      <c r="B4310" s="13">
        <v>1</v>
      </c>
      <c r="C4310" s="17" t="s">
        <v>52</v>
      </c>
      <c r="D4310" s="17">
        <v>14826</v>
      </c>
      <c r="E4310" s="17">
        <v>87</v>
      </c>
      <c r="F4310" s="17">
        <v>3360</v>
      </c>
      <c r="G4310" s="13">
        <v>5</v>
      </c>
      <c r="H4310" s="17">
        <v>0</v>
      </c>
      <c r="I4310" s="17">
        <v>1</v>
      </c>
      <c r="J4310" s="17">
        <v>11</v>
      </c>
      <c r="N4310" s="18">
        <v>111</v>
      </c>
      <c r="P4310" s="17">
        <v>2</v>
      </c>
      <c r="Q4310" s="19">
        <v>111</v>
      </c>
      <c r="R4310" s="14">
        <v>200</v>
      </c>
      <c r="S4310" s="19">
        <v>22200</v>
      </c>
      <c r="AJ4310" s="19">
        <v>0</v>
      </c>
      <c r="AK4310" s="23">
        <v>0</v>
      </c>
      <c r="AM4310" s="19">
        <v>0</v>
      </c>
      <c r="AN4310" s="19">
        <v>22200</v>
      </c>
      <c r="AP4310" s="14">
        <v>22200</v>
      </c>
    </row>
    <row r="4311" spans="1:45" ht="63" x14ac:dyDescent="0.2">
      <c r="A4311" s="121">
        <f t="shared" si="519"/>
        <v>3661</v>
      </c>
      <c r="B4311" s="13">
        <v>1</v>
      </c>
      <c r="C4311" s="17" t="s">
        <v>52</v>
      </c>
      <c r="D4311" s="17">
        <v>5870</v>
      </c>
      <c r="E4311" s="17">
        <v>22</v>
      </c>
      <c r="F4311" s="17">
        <v>3001</v>
      </c>
      <c r="G4311" s="13">
        <v>5</v>
      </c>
      <c r="H4311" s="17">
        <v>7</v>
      </c>
      <c r="I4311" s="17">
        <v>2</v>
      </c>
      <c r="J4311" s="17">
        <v>67</v>
      </c>
      <c r="K4311" s="10">
        <v>3031</v>
      </c>
      <c r="L4311" s="17">
        <v>36</v>
      </c>
      <c r="P4311" s="17">
        <v>5</v>
      </c>
      <c r="Q4311" s="19">
        <v>3067</v>
      </c>
      <c r="R4311" s="14">
        <v>160</v>
      </c>
      <c r="S4311" s="19">
        <v>490720</v>
      </c>
      <c r="T4311" s="17">
        <v>1</v>
      </c>
      <c r="U4311" s="17" t="s">
        <v>57</v>
      </c>
      <c r="V4311" s="17" t="s">
        <v>56</v>
      </c>
      <c r="W4311" s="4">
        <v>144</v>
      </c>
      <c r="Y4311" s="4">
        <v>144</v>
      </c>
      <c r="AB4311" s="17">
        <v>25</v>
      </c>
      <c r="AJ4311" s="19">
        <v>0</v>
      </c>
      <c r="AK4311" s="23">
        <v>25</v>
      </c>
      <c r="AM4311" s="19">
        <v>0</v>
      </c>
      <c r="AN4311" s="19">
        <v>490720</v>
      </c>
      <c r="AP4311" s="14">
        <v>490720</v>
      </c>
      <c r="AS4311" s="26">
        <v>23</v>
      </c>
    </row>
    <row r="4312" spans="1:45" x14ac:dyDescent="0.2">
      <c r="A4312" s="121">
        <f t="shared" si="519"/>
        <v>3662</v>
      </c>
      <c r="B4312" s="13">
        <v>1</v>
      </c>
      <c r="C4312" s="17" t="s">
        <v>52</v>
      </c>
      <c r="D4312" s="17">
        <v>5852</v>
      </c>
      <c r="E4312" s="17">
        <v>25</v>
      </c>
      <c r="F4312" s="17">
        <v>3079</v>
      </c>
      <c r="G4312" s="13">
        <v>5</v>
      </c>
      <c r="H4312" s="17">
        <v>11</v>
      </c>
      <c r="I4312" s="17">
        <v>1</v>
      </c>
      <c r="J4312" s="17">
        <v>80</v>
      </c>
      <c r="K4312" s="10">
        <v>4580</v>
      </c>
      <c r="P4312" s="17">
        <v>1</v>
      </c>
      <c r="Q4312" s="19">
        <v>4580</v>
      </c>
      <c r="R4312" s="14">
        <v>375</v>
      </c>
      <c r="S4312" s="19">
        <v>1717500</v>
      </c>
      <c r="AJ4312" s="19">
        <v>0</v>
      </c>
      <c r="AK4312" s="23">
        <v>0</v>
      </c>
      <c r="AM4312" s="19">
        <v>0</v>
      </c>
      <c r="AN4312" s="19">
        <v>1717500</v>
      </c>
      <c r="AP4312" s="14">
        <v>1717500</v>
      </c>
      <c r="AS4312" s="26">
        <v>94</v>
      </c>
    </row>
    <row r="4313" spans="1:45" ht="63" x14ac:dyDescent="0.2">
      <c r="A4313" s="121">
        <f t="shared" si="519"/>
        <v>3663</v>
      </c>
      <c r="B4313" s="13">
        <v>2</v>
      </c>
      <c r="C4313" s="17" t="s">
        <v>52</v>
      </c>
      <c r="D4313" s="17">
        <v>5949</v>
      </c>
      <c r="E4313" s="17">
        <v>42</v>
      </c>
      <c r="F4313" s="17">
        <v>2984</v>
      </c>
      <c r="G4313" s="13">
        <v>5</v>
      </c>
      <c r="H4313" s="17">
        <v>1</v>
      </c>
      <c r="I4313" s="17">
        <v>1</v>
      </c>
      <c r="J4313" s="17">
        <v>94</v>
      </c>
      <c r="L4313" s="17">
        <v>594</v>
      </c>
      <c r="P4313" s="17">
        <v>2</v>
      </c>
      <c r="Q4313" s="19">
        <v>594</v>
      </c>
      <c r="R4313" s="14">
        <v>250</v>
      </c>
      <c r="S4313" s="19">
        <v>148500</v>
      </c>
      <c r="U4313" s="17" t="s">
        <v>57</v>
      </c>
      <c r="V4313" s="17" t="s">
        <v>56</v>
      </c>
      <c r="W4313" s="4">
        <v>184</v>
      </c>
      <c r="Y4313" s="4" t="s">
        <v>383</v>
      </c>
      <c r="AB4313" s="17">
        <v>40</v>
      </c>
      <c r="AJ4313" s="19">
        <v>0</v>
      </c>
      <c r="AK4313" s="23">
        <v>40</v>
      </c>
      <c r="AM4313" s="19">
        <v>0</v>
      </c>
      <c r="AN4313" s="19">
        <v>148500</v>
      </c>
      <c r="AP4313" s="14">
        <v>148500</v>
      </c>
    </row>
    <row r="4314" spans="1:45" x14ac:dyDescent="0.2">
      <c r="A4314" s="121">
        <f t="shared" si="519"/>
        <v>3664</v>
      </c>
      <c r="B4314" s="13">
        <v>3</v>
      </c>
      <c r="C4314" s="17" t="s">
        <v>52</v>
      </c>
      <c r="D4314" s="17">
        <v>5980</v>
      </c>
      <c r="E4314" s="17">
        <v>2</v>
      </c>
      <c r="F4314" s="17">
        <v>3084</v>
      </c>
      <c r="G4314" s="13">
        <v>5</v>
      </c>
      <c r="H4314" s="17">
        <v>7</v>
      </c>
      <c r="I4314" s="17">
        <v>1</v>
      </c>
      <c r="J4314" s="17">
        <v>33</v>
      </c>
      <c r="K4314" s="10">
        <v>2933</v>
      </c>
      <c r="P4314" s="17">
        <v>1</v>
      </c>
      <c r="Q4314" s="19">
        <v>2933</v>
      </c>
      <c r="R4314" s="14">
        <v>160</v>
      </c>
      <c r="S4314" s="19">
        <v>469280</v>
      </c>
      <c r="AJ4314" s="19">
        <v>0</v>
      </c>
      <c r="AK4314" s="23">
        <v>0</v>
      </c>
      <c r="AM4314" s="19">
        <v>0</v>
      </c>
      <c r="AN4314" s="19">
        <v>469280</v>
      </c>
      <c r="AP4314" s="14">
        <v>469280</v>
      </c>
    </row>
    <row r="4315" spans="1:45" x14ac:dyDescent="0.2">
      <c r="A4315" s="121">
        <f t="shared" si="519"/>
        <v>3665</v>
      </c>
      <c r="B4315" s="13">
        <v>4</v>
      </c>
      <c r="C4315" s="17" t="s">
        <v>52</v>
      </c>
      <c r="D4315" s="17">
        <v>5981</v>
      </c>
      <c r="E4315" s="17">
        <v>3</v>
      </c>
      <c r="F4315" s="17">
        <v>3085</v>
      </c>
      <c r="G4315" s="13">
        <v>5</v>
      </c>
      <c r="H4315" s="17">
        <v>2</v>
      </c>
      <c r="I4315" s="17">
        <v>3</v>
      </c>
      <c r="J4315" s="17">
        <v>40</v>
      </c>
      <c r="K4315" s="10">
        <v>1140</v>
      </c>
      <c r="P4315" s="17">
        <v>1</v>
      </c>
      <c r="Q4315" s="19">
        <v>1140</v>
      </c>
      <c r="R4315" s="14">
        <v>160</v>
      </c>
      <c r="S4315" s="19">
        <v>182400</v>
      </c>
      <c r="AJ4315" s="19">
        <v>0</v>
      </c>
      <c r="AK4315" s="23">
        <v>0</v>
      </c>
      <c r="AM4315" s="19">
        <v>0</v>
      </c>
      <c r="AN4315" s="19">
        <v>182400</v>
      </c>
      <c r="AP4315" s="14">
        <v>182400</v>
      </c>
    </row>
    <row r="4316" spans="1:45" ht="63" x14ac:dyDescent="0.2">
      <c r="A4316" s="121">
        <f t="shared" si="519"/>
        <v>3666</v>
      </c>
      <c r="B4316" s="13">
        <v>1</v>
      </c>
      <c r="C4316" s="17" t="s">
        <v>52</v>
      </c>
      <c r="D4316" s="17">
        <v>5910</v>
      </c>
      <c r="E4316" s="17">
        <v>35</v>
      </c>
      <c r="F4316" s="17">
        <v>2994</v>
      </c>
      <c r="G4316" s="13">
        <v>5</v>
      </c>
      <c r="H4316" s="17">
        <v>1</v>
      </c>
      <c r="I4316" s="17">
        <v>1</v>
      </c>
      <c r="J4316" s="17">
        <v>59</v>
      </c>
      <c r="L4316" s="17">
        <v>559</v>
      </c>
      <c r="P4316" s="17">
        <v>2</v>
      </c>
      <c r="Q4316" s="19">
        <v>559</v>
      </c>
      <c r="R4316" s="14">
        <v>200</v>
      </c>
      <c r="S4316" s="19">
        <v>111800</v>
      </c>
      <c r="T4316" s="17">
        <v>1</v>
      </c>
      <c r="U4316" s="17" t="s">
        <v>57</v>
      </c>
      <c r="V4316" s="17" t="s">
        <v>56</v>
      </c>
      <c r="W4316" s="4">
        <v>203</v>
      </c>
      <c r="Y4316" s="4">
        <v>203</v>
      </c>
      <c r="AB4316" s="17">
        <v>31</v>
      </c>
      <c r="AJ4316" s="19">
        <v>0</v>
      </c>
      <c r="AK4316" s="23">
        <v>31</v>
      </c>
      <c r="AM4316" s="19">
        <v>0</v>
      </c>
      <c r="AN4316" s="19">
        <v>111800</v>
      </c>
      <c r="AP4316" s="14">
        <v>111800</v>
      </c>
    </row>
    <row r="4317" spans="1:45" x14ac:dyDescent="0.2">
      <c r="A4317" s="121">
        <f t="shared" si="519"/>
        <v>3667</v>
      </c>
      <c r="B4317" s="13">
        <v>1</v>
      </c>
      <c r="C4317" s="17" t="s">
        <v>52</v>
      </c>
      <c r="D4317" s="17">
        <v>5926</v>
      </c>
      <c r="E4317" s="17">
        <v>66</v>
      </c>
      <c r="F4317" s="17">
        <v>3059</v>
      </c>
      <c r="G4317" s="13">
        <v>5</v>
      </c>
      <c r="H4317" s="17">
        <v>0</v>
      </c>
      <c r="I4317" s="17">
        <v>2</v>
      </c>
      <c r="J4317" s="17">
        <v>12</v>
      </c>
      <c r="K4317" s="10" t="s">
        <v>384</v>
      </c>
      <c r="P4317" s="17">
        <v>1</v>
      </c>
      <c r="Q4317" s="19">
        <v>212</v>
      </c>
      <c r="R4317" s="14">
        <v>1100</v>
      </c>
      <c r="S4317" s="19">
        <v>233200</v>
      </c>
      <c r="AJ4317" s="19">
        <v>0</v>
      </c>
      <c r="AK4317" s="23">
        <v>0</v>
      </c>
      <c r="AM4317" s="19">
        <v>0</v>
      </c>
      <c r="AN4317" s="19">
        <v>233200</v>
      </c>
      <c r="AP4317" s="14">
        <v>233200</v>
      </c>
    </row>
    <row r="4318" spans="1:45" x14ac:dyDescent="0.2">
      <c r="A4318" s="121">
        <f t="shared" si="519"/>
        <v>3668</v>
      </c>
      <c r="B4318" s="13">
        <v>1</v>
      </c>
      <c r="C4318" s="17" t="s">
        <v>65</v>
      </c>
      <c r="D4318" s="17">
        <v>1059</v>
      </c>
      <c r="E4318" s="17">
        <v>91</v>
      </c>
      <c r="H4318" s="17">
        <v>2</v>
      </c>
      <c r="I4318" s="17">
        <v>3</v>
      </c>
      <c r="J4318" s="17">
        <v>80</v>
      </c>
      <c r="K4318" s="10">
        <v>1180</v>
      </c>
      <c r="P4318" s="17">
        <v>1</v>
      </c>
      <c r="Q4318" s="19">
        <v>1180</v>
      </c>
      <c r="R4318" s="14">
        <v>160</v>
      </c>
      <c r="S4318" s="19">
        <v>188800</v>
      </c>
      <c r="AJ4318" s="19">
        <v>0</v>
      </c>
      <c r="AK4318" s="23">
        <v>0</v>
      </c>
      <c r="AM4318" s="19">
        <v>0</v>
      </c>
      <c r="AN4318" s="19">
        <v>188800</v>
      </c>
      <c r="AP4318" s="14">
        <v>188800</v>
      </c>
      <c r="AQ4318" s="12">
        <v>1E-4</v>
      </c>
    </row>
    <row r="4319" spans="1:45" x14ac:dyDescent="0.2">
      <c r="A4319" s="121">
        <f t="shared" si="519"/>
        <v>3669</v>
      </c>
      <c r="B4319" s="13">
        <v>1</v>
      </c>
      <c r="C4319" s="17" t="s">
        <v>52</v>
      </c>
      <c r="D4319" s="17">
        <v>30024</v>
      </c>
      <c r="E4319" s="17">
        <v>38</v>
      </c>
      <c r="F4319" s="17">
        <v>5342</v>
      </c>
      <c r="G4319" s="13">
        <v>6</v>
      </c>
      <c r="H4319" s="17">
        <v>0</v>
      </c>
      <c r="I4319" s="17">
        <v>0</v>
      </c>
      <c r="J4319" s="17">
        <v>89</v>
      </c>
      <c r="N4319" s="18">
        <v>89</v>
      </c>
      <c r="P4319" s="17">
        <v>4</v>
      </c>
      <c r="Q4319" s="19">
        <v>89</v>
      </c>
      <c r="R4319" s="14">
        <v>1500</v>
      </c>
      <c r="S4319" s="19">
        <v>133500</v>
      </c>
      <c r="AJ4319" s="19">
        <v>0</v>
      </c>
      <c r="AK4319" s="23">
        <v>0</v>
      </c>
      <c r="AM4319" s="19">
        <v>0</v>
      </c>
      <c r="AN4319" s="19">
        <v>133500</v>
      </c>
      <c r="AP4319" s="14">
        <v>133500</v>
      </c>
      <c r="AQ4319" s="12">
        <v>3.0000000000000001E-3</v>
      </c>
      <c r="AS4319" s="26">
        <v>1</v>
      </c>
    </row>
    <row r="4320" spans="1:45" x14ac:dyDescent="0.2">
      <c r="A4320" s="121">
        <f t="shared" si="519"/>
        <v>3670</v>
      </c>
      <c r="B4320" s="13">
        <v>1</v>
      </c>
      <c r="C4320" s="17" t="s">
        <v>52</v>
      </c>
      <c r="D4320" s="17">
        <v>815</v>
      </c>
      <c r="E4320" s="17">
        <v>22</v>
      </c>
      <c r="F4320" s="17">
        <v>290</v>
      </c>
      <c r="G4320" s="13">
        <v>6</v>
      </c>
      <c r="H4320" s="17">
        <v>4</v>
      </c>
      <c r="I4320" s="17">
        <v>3</v>
      </c>
      <c r="J4320" s="17">
        <v>38</v>
      </c>
      <c r="K4320" s="10">
        <v>1938</v>
      </c>
      <c r="P4320" s="17">
        <v>1</v>
      </c>
      <c r="Q4320" s="19">
        <v>1938</v>
      </c>
      <c r="R4320" s="14">
        <v>160</v>
      </c>
      <c r="S4320" s="19">
        <v>310080</v>
      </c>
      <c r="AJ4320" s="19">
        <v>0</v>
      </c>
      <c r="AK4320" s="23">
        <v>0</v>
      </c>
      <c r="AM4320" s="19">
        <v>0</v>
      </c>
      <c r="AN4320" s="19">
        <v>310080</v>
      </c>
      <c r="AP4320" s="14">
        <v>310080</v>
      </c>
      <c r="AS4320" s="26">
        <v>15</v>
      </c>
    </row>
    <row r="4321" spans="1:45" ht="63" x14ac:dyDescent="0.2">
      <c r="A4321" s="121">
        <f t="shared" si="519"/>
        <v>3671</v>
      </c>
      <c r="B4321" s="13">
        <v>1</v>
      </c>
      <c r="C4321" s="17" t="s">
        <v>52</v>
      </c>
      <c r="D4321" s="17">
        <v>5871</v>
      </c>
      <c r="E4321" s="17">
        <v>27</v>
      </c>
      <c r="F4321" s="17">
        <v>3004</v>
      </c>
      <c r="G4321" s="13">
        <v>5</v>
      </c>
      <c r="H4321" s="17">
        <v>0</v>
      </c>
      <c r="I4321" s="17">
        <v>1</v>
      </c>
      <c r="J4321" s="17">
        <v>32</v>
      </c>
      <c r="L4321" s="17">
        <v>106.5</v>
      </c>
      <c r="P4321" s="17">
        <v>2</v>
      </c>
      <c r="Q4321" s="19">
        <v>132</v>
      </c>
      <c r="R4321" s="14">
        <v>1500</v>
      </c>
      <c r="S4321" s="19">
        <v>198000</v>
      </c>
      <c r="T4321" s="17">
        <v>1</v>
      </c>
      <c r="U4321" s="17" t="s">
        <v>57</v>
      </c>
      <c r="V4321" s="17" t="s">
        <v>56</v>
      </c>
      <c r="W4321" s="4">
        <v>120</v>
      </c>
      <c r="Y4321" s="4">
        <v>120</v>
      </c>
      <c r="AB4321" s="17">
        <v>21</v>
      </c>
      <c r="AJ4321" s="19">
        <v>0</v>
      </c>
      <c r="AK4321" s="23">
        <v>21</v>
      </c>
      <c r="AM4321" s="19">
        <v>0</v>
      </c>
      <c r="AN4321" s="19">
        <v>198000</v>
      </c>
      <c r="AP4321" s="14">
        <v>198000</v>
      </c>
      <c r="AS4321" s="26">
        <v>20</v>
      </c>
    </row>
    <row r="4322" spans="1:45" ht="63" x14ac:dyDescent="0.2">
      <c r="L4322" s="17">
        <v>25.5</v>
      </c>
      <c r="Q4322" s="19">
        <v>0</v>
      </c>
      <c r="R4322" s="14" t="e">
        <v>#N/A</v>
      </c>
      <c r="S4322" s="19" t="e">
        <v>#N/A</v>
      </c>
      <c r="T4322" s="17">
        <v>2</v>
      </c>
      <c r="U4322" s="17" t="s">
        <v>57</v>
      </c>
      <c r="V4322" s="17" t="s">
        <v>56</v>
      </c>
      <c r="W4322" s="4">
        <v>102</v>
      </c>
      <c r="Y4322" s="4">
        <v>102</v>
      </c>
      <c r="AB4322" s="17">
        <v>21</v>
      </c>
      <c r="AJ4322" s="19">
        <v>0</v>
      </c>
      <c r="AK4322" s="23">
        <v>21</v>
      </c>
      <c r="AM4322" s="19">
        <v>0</v>
      </c>
      <c r="AN4322" s="19" t="e">
        <v>#N/A</v>
      </c>
      <c r="AP4322" s="14" t="e">
        <v>#N/A</v>
      </c>
    </row>
    <row r="4323" spans="1:45" x14ac:dyDescent="0.2">
      <c r="A4323" s="2">
        <v>3672</v>
      </c>
      <c r="B4323" s="13">
        <v>2</v>
      </c>
      <c r="C4323" s="17" t="s">
        <v>52</v>
      </c>
      <c r="D4323" s="17">
        <v>12464</v>
      </c>
      <c r="E4323" s="17">
        <v>81</v>
      </c>
      <c r="F4323" s="17">
        <v>3242</v>
      </c>
      <c r="G4323" s="13">
        <v>5</v>
      </c>
      <c r="H4323" s="17">
        <v>0</v>
      </c>
      <c r="I4323" s="17">
        <v>1</v>
      </c>
      <c r="J4323" s="17">
        <v>4</v>
      </c>
      <c r="N4323" s="18">
        <v>104</v>
      </c>
      <c r="P4323" s="17">
        <v>4</v>
      </c>
      <c r="Q4323" s="19">
        <v>104</v>
      </c>
      <c r="R4323" s="14">
        <v>200</v>
      </c>
      <c r="S4323" s="19">
        <v>20800</v>
      </c>
      <c r="AJ4323" s="19">
        <v>0</v>
      </c>
      <c r="AK4323" s="23">
        <v>0</v>
      </c>
      <c r="AM4323" s="19">
        <v>0</v>
      </c>
      <c r="AN4323" s="19">
        <v>20800</v>
      </c>
      <c r="AP4323" s="14">
        <v>20800</v>
      </c>
      <c r="AQ4323" s="12">
        <v>3.0000000000000001E-3</v>
      </c>
    </row>
    <row r="4324" spans="1:45" ht="42" x14ac:dyDescent="0.2">
      <c r="A4324" s="2">
        <f>+A4323+1</f>
        <v>3673</v>
      </c>
      <c r="B4324" s="13">
        <v>3</v>
      </c>
      <c r="C4324" s="17" t="s">
        <v>69</v>
      </c>
      <c r="E4324" s="17" t="s">
        <v>385</v>
      </c>
      <c r="F4324" s="17">
        <v>1</v>
      </c>
      <c r="G4324" s="13">
        <v>5</v>
      </c>
      <c r="H4324" s="17">
        <v>6</v>
      </c>
      <c r="I4324" s="17">
        <v>2</v>
      </c>
      <c r="J4324" s="17">
        <v>72</v>
      </c>
      <c r="K4324" s="10">
        <v>2672</v>
      </c>
      <c r="P4324" s="17">
        <v>1</v>
      </c>
      <c r="Q4324" s="19">
        <v>2672</v>
      </c>
      <c r="R4324" s="14">
        <v>160</v>
      </c>
      <c r="S4324" s="19">
        <v>427520</v>
      </c>
      <c r="AJ4324" s="19">
        <v>0</v>
      </c>
      <c r="AK4324" s="23">
        <v>0</v>
      </c>
      <c r="AM4324" s="19">
        <v>0</v>
      </c>
      <c r="AN4324" s="19">
        <v>427520</v>
      </c>
      <c r="AP4324" s="14">
        <v>427520</v>
      </c>
      <c r="AQ4324" s="12">
        <v>1E-4</v>
      </c>
    </row>
    <row r="4325" spans="1:45" x14ac:dyDescent="0.2">
      <c r="A4325" s="121">
        <f t="shared" ref="A4325:A4332" si="520">+A4324+1</f>
        <v>3674</v>
      </c>
      <c r="B4325" s="13">
        <v>3</v>
      </c>
      <c r="C4325" s="17" t="s">
        <v>65</v>
      </c>
      <c r="D4325" s="17">
        <v>2239</v>
      </c>
      <c r="E4325" s="17">
        <v>178</v>
      </c>
      <c r="H4325" s="17">
        <v>20</v>
      </c>
      <c r="I4325" s="17">
        <v>1</v>
      </c>
      <c r="J4325" s="17">
        <v>50</v>
      </c>
      <c r="K4325" s="10">
        <v>8150</v>
      </c>
      <c r="P4325" s="17">
        <v>1</v>
      </c>
      <c r="Q4325" s="19">
        <v>8150</v>
      </c>
      <c r="R4325" s="14">
        <v>200</v>
      </c>
      <c r="S4325" s="19">
        <v>1630000</v>
      </c>
      <c r="AE4325" s="17" t="s">
        <v>94</v>
      </c>
      <c r="AJ4325" s="19">
        <v>0</v>
      </c>
      <c r="AK4325" s="23">
        <v>0</v>
      </c>
      <c r="AM4325" s="19">
        <v>0</v>
      </c>
      <c r="AN4325" s="19">
        <v>1630000</v>
      </c>
      <c r="AP4325" s="14">
        <v>1630000</v>
      </c>
      <c r="AQ4325" s="12">
        <v>1E-4</v>
      </c>
    </row>
    <row r="4326" spans="1:45" x14ac:dyDescent="0.2">
      <c r="A4326" s="121">
        <f t="shared" si="520"/>
        <v>3675</v>
      </c>
      <c r="B4326" s="13">
        <v>1</v>
      </c>
      <c r="C4326" s="17" t="s">
        <v>52</v>
      </c>
      <c r="D4326" s="17">
        <v>12463</v>
      </c>
      <c r="E4326" s="17">
        <v>80</v>
      </c>
      <c r="F4326" s="17">
        <v>3241</v>
      </c>
      <c r="G4326" s="13">
        <v>5</v>
      </c>
      <c r="H4326" s="17">
        <v>0</v>
      </c>
      <c r="I4326" s="17">
        <v>1</v>
      </c>
      <c r="J4326" s="17">
        <v>0</v>
      </c>
      <c r="L4326" s="17">
        <v>100</v>
      </c>
      <c r="P4326" s="17">
        <v>2</v>
      </c>
      <c r="Q4326" s="19">
        <v>100</v>
      </c>
      <c r="R4326" s="14">
        <v>200</v>
      </c>
      <c r="S4326" s="19">
        <v>20000</v>
      </c>
      <c r="AJ4326" s="19">
        <v>0</v>
      </c>
      <c r="AK4326" s="23">
        <v>0</v>
      </c>
      <c r="AM4326" s="19">
        <v>0</v>
      </c>
      <c r="AN4326" s="19">
        <v>20000</v>
      </c>
      <c r="AP4326" s="14">
        <v>20000</v>
      </c>
    </row>
    <row r="4327" spans="1:45" x14ac:dyDescent="0.2">
      <c r="A4327" s="121">
        <f t="shared" si="520"/>
        <v>3676</v>
      </c>
      <c r="B4327" s="13">
        <v>1</v>
      </c>
      <c r="C4327" s="17" t="s">
        <v>52</v>
      </c>
      <c r="D4327" s="17">
        <v>4804</v>
      </c>
      <c r="E4327" s="17">
        <v>23</v>
      </c>
      <c r="F4327" s="17">
        <v>2676</v>
      </c>
      <c r="G4327" s="13">
        <v>7</v>
      </c>
      <c r="H4327" s="17">
        <v>51</v>
      </c>
      <c r="I4327" s="17">
        <v>0</v>
      </c>
      <c r="J4327" s="17">
        <v>8</v>
      </c>
      <c r="K4327" s="10">
        <v>20408</v>
      </c>
      <c r="P4327" s="17">
        <v>1</v>
      </c>
      <c r="Q4327" s="19">
        <v>20408</v>
      </c>
      <c r="R4327" s="14">
        <v>160</v>
      </c>
      <c r="S4327" s="19">
        <v>3265280</v>
      </c>
      <c r="AJ4327" s="19">
        <v>0</v>
      </c>
      <c r="AK4327" s="23">
        <v>0</v>
      </c>
      <c r="AM4327" s="19">
        <v>0</v>
      </c>
      <c r="AN4327" s="19">
        <v>3265280</v>
      </c>
      <c r="AP4327" s="14">
        <v>3265280</v>
      </c>
      <c r="AS4327" s="26">
        <v>294</v>
      </c>
    </row>
    <row r="4328" spans="1:45" x14ac:dyDescent="0.2">
      <c r="A4328" s="121">
        <f t="shared" si="520"/>
        <v>3677</v>
      </c>
      <c r="B4328" s="13">
        <v>2</v>
      </c>
      <c r="C4328" s="17" t="s">
        <v>52</v>
      </c>
      <c r="D4328" s="17">
        <v>4761</v>
      </c>
      <c r="E4328" s="17">
        <v>64</v>
      </c>
      <c r="F4328" s="17">
        <v>2630</v>
      </c>
      <c r="G4328" s="13">
        <v>7</v>
      </c>
      <c r="H4328" s="17">
        <v>1</v>
      </c>
      <c r="I4328" s="17">
        <v>0</v>
      </c>
      <c r="J4328" s="17">
        <v>81</v>
      </c>
      <c r="K4328" s="10">
        <v>481</v>
      </c>
      <c r="P4328" s="17">
        <v>1</v>
      </c>
      <c r="Q4328" s="19">
        <v>481</v>
      </c>
      <c r="R4328" s="14">
        <v>160</v>
      </c>
      <c r="S4328" s="19">
        <v>76960</v>
      </c>
      <c r="AJ4328" s="19">
        <v>0</v>
      </c>
      <c r="AK4328" s="23">
        <v>0</v>
      </c>
      <c r="AM4328" s="19">
        <v>0</v>
      </c>
      <c r="AN4328" s="19">
        <v>76960</v>
      </c>
      <c r="AP4328" s="14">
        <v>76960</v>
      </c>
    </row>
    <row r="4329" spans="1:45" x14ac:dyDescent="0.2">
      <c r="A4329" s="121">
        <f t="shared" si="520"/>
        <v>3678</v>
      </c>
      <c r="B4329" s="13">
        <v>3</v>
      </c>
      <c r="C4329" s="17" t="s">
        <v>52</v>
      </c>
      <c r="D4329" s="17">
        <v>4762</v>
      </c>
      <c r="E4329" s="17">
        <v>67</v>
      </c>
      <c r="F4329" s="17">
        <v>2631</v>
      </c>
      <c r="G4329" s="13">
        <v>7</v>
      </c>
      <c r="H4329" s="17">
        <v>3</v>
      </c>
      <c r="I4329" s="17">
        <v>1</v>
      </c>
      <c r="J4329" s="17">
        <v>51</v>
      </c>
      <c r="K4329" s="10">
        <v>1351</v>
      </c>
      <c r="P4329" s="17">
        <v>1</v>
      </c>
      <c r="Q4329" s="19">
        <v>1351</v>
      </c>
      <c r="R4329" s="14">
        <v>160</v>
      </c>
      <c r="S4329" s="19">
        <v>216160</v>
      </c>
      <c r="AJ4329" s="19">
        <v>0</v>
      </c>
      <c r="AK4329" s="23">
        <v>0</v>
      </c>
      <c r="AM4329" s="19">
        <v>0</v>
      </c>
      <c r="AN4329" s="19">
        <v>216160</v>
      </c>
      <c r="AP4329" s="14">
        <v>216160</v>
      </c>
    </row>
    <row r="4330" spans="1:45" x14ac:dyDescent="0.2">
      <c r="A4330" s="121">
        <f t="shared" si="520"/>
        <v>3679</v>
      </c>
      <c r="B4330" s="13">
        <v>1</v>
      </c>
      <c r="C4330" s="17" t="s">
        <v>52</v>
      </c>
      <c r="D4330" s="17">
        <v>5956</v>
      </c>
      <c r="E4330" s="17">
        <v>36</v>
      </c>
      <c r="F4330" s="17">
        <v>2992</v>
      </c>
      <c r="G4330" s="13">
        <v>5</v>
      </c>
      <c r="H4330" s="17">
        <v>0</v>
      </c>
      <c r="I4330" s="17">
        <v>1</v>
      </c>
      <c r="J4330" s="17">
        <v>65</v>
      </c>
      <c r="K4330" s="10">
        <v>165</v>
      </c>
      <c r="P4330" s="17">
        <v>1</v>
      </c>
      <c r="Q4330" s="19">
        <v>165</v>
      </c>
      <c r="R4330" s="14">
        <v>160</v>
      </c>
      <c r="S4330" s="19">
        <v>26400</v>
      </c>
      <c r="AJ4330" s="19">
        <v>0</v>
      </c>
      <c r="AK4330" s="23">
        <v>0</v>
      </c>
      <c r="AM4330" s="19">
        <v>0</v>
      </c>
      <c r="AN4330" s="19">
        <v>26400</v>
      </c>
      <c r="AP4330" s="14">
        <v>26400</v>
      </c>
    </row>
    <row r="4331" spans="1:45" ht="63" x14ac:dyDescent="0.2">
      <c r="A4331" s="121">
        <f t="shared" si="520"/>
        <v>3680</v>
      </c>
      <c r="B4331" s="13">
        <v>1</v>
      </c>
      <c r="C4331" s="17" t="s">
        <v>52</v>
      </c>
      <c r="D4331" s="17">
        <v>18428</v>
      </c>
      <c r="E4331" s="17">
        <v>25</v>
      </c>
      <c r="F4331" s="17">
        <v>4316</v>
      </c>
      <c r="G4331" s="13">
        <v>5</v>
      </c>
      <c r="H4331" s="17">
        <v>2</v>
      </c>
      <c r="I4331" s="17">
        <v>2</v>
      </c>
      <c r="J4331" s="17">
        <v>92</v>
      </c>
      <c r="K4331" s="10">
        <v>1058.75</v>
      </c>
      <c r="L4331" s="17">
        <v>33.25</v>
      </c>
      <c r="P4331" s="17">
        <v>5</v>
      </c>
      <c r="Q4331" s="19">
        <v>1092</v>
      </c>
      <c r="R4331" s="14">
        <v>750</v>
      </c>
      <c r="S4331" s="19">
        <v>819000</v>
      </c>
      <c r="T4331" s="17">
        <v>1</v>
      </c>
      <c r="U4331" s="17" t="s">
        <v>57</v>
      </c>
      <c r="V4331" s="17" t="s">
        <v>56</v>
      </c>
      <c r="W4331" s="4">
        <v>133</v>
      </c>
      <c r="Y4331" s="4">
        <v>133</v>
      </c>
      <c r="AB4331" s="17">
        <v>15</v>
      </c>
      <c r="AJ4331" s="19">
        <v>0</v>
      </c>
      <c r="AK4331" s="23">
        <v>15</v>
      </c>
      <c r="AM4331" s="19">
        <v>0</v>
      </c>
      <c r="AN4331" s="19">
        <v>819000</v>
      </c>
      <c r="AP4331" s="14">
        <v>819000</v>
      </c>
    </row>
    <row r="4332" spans="1:45" x14ac:dyDescent="0.2">
      <c r="A4332" s="121">
        <f t="shared" si="520"/>
        <v>3681</v>
      </c>
      <c r="B4332" s="13">
        <v>1</v>
      </c>
      <c r="C4332" s="17" t="s">
        <v>65</v>
      </c>
      <c r="D4332" s="17">
        <v>1303</v>
      </c>
      <c r="E4332" s="17">
        <v>17</v>
      </c>
      <c r="H4332" s="17">
        <v>1</v>
      </c>
      <c r="I4332" s="17">
        <v>1</v>
      </c>
      <c r="J4332" s="17">
        <v>60</v>
      </c>
      <c r="K4332" s="10">
        <v>560</v>
      </c>
      <c r="P4332" s="17">
        <v>1</v>
      </c>
      <c r="Q4332" s="19">
        <v>560</v>
      </c>
      <c r="R4332" s="14">
        <v>160</v>
      </c>
      <c r="S4332" s="19">
        <v>89600</v>
      </c>
      <c r="AE4332" s="17">
        <v>501</v>
      </c>
    </row>
    <row r="4333" spans="1:45" x14ac:dyDescent="0.2">
      <c r="Q4333" s="19">
        <v>434.75</v>
      </c>
      <c r="R4333" s="14">
        <v>160</v>
      </c>
      <c r="S4333" s="19">
        <v>69560</v>
      </c>
      <c r="AE4333" s="17">
        <v>434.75</v>
      </c>
      <c r="AM4333" s="19">
        <v>0</v>
      </c>
      <c r="AN4333" s="19">
        <v>69560</v>
      </c>
      <c r="AP4333" s="14">
        <v>69560</v>
      </c>
      <c r="AQ4333" s="12">
        <v>1E-4</v>
      </c>
    </row>
    <row r="4334" spans="1:45" x14ac:dyDescent="0.2">
      <c r="Q4334" s="19">
        <v>125.25</v>
      </c>
      <c r="R4334" s="14">
        <v>160</v>
      </c>
      <c r="S4334" s="19">
        <v>20040</v>
      </c>
      <c r="AE4334" s="17">
        <v>125.25</v>
      </c>
      <c r="AM4334" s="19">
        <v>0</v>
      </c>
      <c r="AN4334" s="19">
        <v>20040</v>
      </c>
      <c r="AP4334" s="14">
        <v>20040</v>
      </c>
      <c r="AQ4334" s="12">
        <v>2.0000000000000001E-4</v>
      </c>
    </row>
    <row r="4335" spans="1:45" ht="63" x14ac:dyDescent="0.2">
      <c r="T4335" s="17">
        <v>1</v>
      </c>
      <c r="U4335" s="17" t="s">
        <v>57</v>
      </c>
      <c r="V4335" s="17" t="s">
        <v>56</v>
      </c>
      <c r="W4335" s="4">
        <v>150</v>
      </c>
      <c r="Y4335" s="4">
        <v>150</v>
      </c>
      <c r="AB4335" s="17">
        <v>20</v>
      </c>
      <c r="AK4335" s="23">
        <v>20</v>
      </c>
      <c r="AP4335" s="14">
        <v>0</v>
      </c>
    </row>
    <row r="4336" spans="1:45" ht="63" x14ac:dyDescent="0.2">
      <c r="T4336" s="17">
        <v>2</v>
      </c>
      <c r="U4336" s="17" t="s">
        <v>57</v>
      </c>
      <c r="V4336" s="17" t="s">
        <v>56</v>
      </c>
      <c r="W4336" s="4">
        <v>16</v>
      </c>
      <c r="Y4336" s="4">
        <v>16</v>
      </c>
      <c r="AB4336" s="17">
        <v>3</v>
      </c>
      <c r="AK4336" s="23">
        <v>3</v>
      </c>
      <c r="AP4336" s="14">
        <v>0</v>
      </c>
    </row>
    <row r="4337" spans="1:45" ht="63" x14ac:dyDescent="0.2">
      <c r="T4337" s="17">
        <v>3</v>
      </c>
      <c r="U4337" s="17" t="s">
        <v>57</v>
      </c>
      <c r="V4337" s="17" t="s">
        <v>56</v>
      </c>
      <c r="W4337" s="4">
        <v>200</v>
      </c>
      <c r="Y4337" s="4">
        <v>200</v>
      </c>
      <c r="AB4337" s="17">
        <v>25</v>
      </c>
      <c r="AK4337" s="23">
        <v>25</v>
      </c>
      <c r="AP4337" s="14">
        <v>0</v>
      </c>
    </row>
    <row r="4338" spans="1:45" ht="63" x14ac:dyDescent="0.2">
      <c r="T4338" s="17">
        <v>4</v>
      </c>
      <c r="U4338" s="17" t="s">
        <v>57</v>
      </c>
      <c r="V4338" s="17" t="s">
        <v>56</v>
      </c>
      <c r="W4338" s="4">
        <v>20</v>
      </c>
      <c r="Y4338" s="4">
        <v>20</v>
      </c>
      <c r="AB4338" s="17">
        <v>19</v>
      </c>
      <c r="AK4338" s="23">
        <v>19</v>
      </c>
      <c r="AP4338" s="14">
        <v>0</v>
      </c>
    </row>
    <row r="4339" spans="1:45" ht="63" x14ac:dyDescent="0.2">
      <c r="T4339" s="17">
        <v>5</v>
      </c>
      <c r="U4339" s="17" t="s">
        <v>57</v>
      </c>
      <c r="V4339" s="17" t="s">
        <v>56</v>
      </c>
      <c r="W4339" s="4">
        <v>75</v>
      </c>
      <c r="Y4339" s="4">
        <v>75</v>
      </c>
      <c r="AK4339" s="23">
        <v>0</v>
      </c>
      <c r="AP4339" s="14">
        <v>0</v>
      </c>
    </row>
    <row r="4340" spans="1:45" ht="63" x14ac:dyDescent="0.2">
      <c r="T4340" s="17">
        <v>6</v>
      </c>
      <c r="U4340" s="17" t="s">
        <v>57</v>
      </c>
      <c r="V4340" s="17" t="s">
        <v>56</v>
      </c>
      <c r="W4340" s="4">
        <v>40</v>
      </c>
      <c r="Y4340" s="4">
        <v>40</v>
      </c>
      <c r="AB4340" s="17">
        <v>18</v>
      </c>
      <c r="AK4340" s="23">
        <v>18</v>
      </c>
      <c r="AP4340" s="14">
        <v>0</v>
      </c>
    </row>
    <row r="4341" spans="1:45" x14ac:dyDescent="0.2">
      <c r="A4341" s="2">
        <v>3682</v>
      </c>
      <c r="B4341" s="13">
        <v>1</v>
      </c>
      <c r="C4341" s="17" t="s">
        <v>52</v>
      </c>
      <c r="D4341" s="17">
        <v>5979</v>
      </c>
      <c r="E4341" s="17">
        <v>23</v>
      </c>
      <c r="F4341" s="17">
        <v>3083</v>
      </c>
      <c r="G4341" s="13">
        <v>5</v>
      </c>
      <c r="H4341" s="17">
        <v>6</v>
      </c>
      <c r="I4341" s="17">
        <v>2</v>
      </c>
      <c r="J4341" s="17">
        <v>33</v>
      </c>
      <c r="K4341" s="10">
        <v>2633</v>
      </c>
      <c r="P4341" s="17">
        <v>1</v>
      </c>
      <c r="Q4341" s="19">
        <v>2633</v>
      </c>
      <c r="R4341" s="14">
        <v>160</v>
      </c>
      <c r="S4341" s="19">
        <v>421280</v>
      </c>
      <c r="AJ4341" s="19">
        <v>0</v>
      </c>
      <c r="AK4341" s="23">
        <v>0</v>
      </c>
      <c r="AM4341" s="19">
        <v>0</v>
      </c>
      <c r="AN4341" s="19">
        <v>421280</v>
      </c>
      <c r="AP4341" s="14">
        <v>421280</v>
      </c>
      <c r="AS4341" s="26">
        <v>20</v>
      </c>
    </row>
    <row r="4342" spans="1:45" x14ac:dyDescent="0.2">
      <c r="A4342" s="2">
        <f>+A4341+1</f>
        <v>3683</v>
      </c>
      <c r="B4342" s="13">
        <v>1</v>
      </c>
      <c r="C4342" s="17" t="s">
        <v>52</v>
      </c>
      <c r="D4342" s="17">
        <v>5916</v>
      </c>
      <c r="E4342" s="17">
        <v>52</v>
      </c>
      <c r="F4342" s="17">
        <v>3013</v>
      </c>
      <c r="G4342" s="13">
        <v>5</v>
      </c>
      <c r="H4342" s="17">
        <v>0</v>
      </c>
      <c r="I4342" s="17">
        <v>1</v>
      </c>
      <c r="J4342" s="17">
        <v>14</v>
      </c>
      <c r="L4342" s="17">
        <v>114</v>
      </c>
      <c r="P4342" s="17">
        <v>2</v>
      </c>
      <c r="Q4342" s="19">
        <v>114</v>
      </c>
      <c r="R4342" s="14">
        <v>200</v>
      </c>
      <c r="S4342" s="19">
        <v>22800</v>
      </c>
      <c r="AJ4342" s="19">
        <v>0</v>
      </c>
      <c r="AK4342" s="23">
        <v>0</v>
      </c>
      <c r="AM4342" s="19">
        <v>0</v>
      </c>
      <c r="AN4342" s="19">
        <v>22800</v>
      </c>
      <c r="AP4342" s="14">
        <v>22800</v>
      </c>
    </row>
    <row r="4343" spans="1:45" x14ac:dyDescent="0.2">
      <c r="A4343" s="121">
        <f t="shared" ref="A4343:A4346" si="521">+A4342+1</f>
        <v>3684</v>
      </c>
      <c r="B4343" s="13">
        <v>1</v>
      </c>
      <c r="C4343" s="17" t="s">
        <v>52</v>
      </c>
      <c r="D4343" s="17">
        <v>5969</v>
      </c>
      <c r="E4343" s="17">
        <v>76</v>
      </c>
      <c r="F4343" s="17">
        <v>3069</v>
      </c>
      <c r="G4343" s="13">
        <v>5</v>
      </c>
      <c r="H4343" s="17">
        <v>2</v>
      </c>
      <c r="I4343" s="17">
        <v>3</v>
      </c>
      <c r="J4343" s="17">
        <v>60</v>
      </c>
      <c r="K4343" s="10">
        <v>1160</v>
      </c>
      <c r="P4343" s="17">
        <v>1</v>
      </c>
      <c r="Q4343" s="19">
        <v>1160</v>
      </c>
      <c r="R4343" s="14">
        <v>160</v>
      </c>
      <c r="S4343" s="19">
        <v>185600</v>
      </c>
      <c r="AJ4343" s="19">
        <v>0</v>
      </c>
      <c r="AK4343" s="23">
        <v>0</v>
      </c>
      <c r="AM4343" s="19">
        <v>0</v>
      </c>
      <c r="AN4343" s="19">
        <v>185600</v>
      </c>
      <c r="AP4343" s="14">
        <v>185600</v>
      </c>
      <c r="AS4343" s="26">
        <v>9</v>
      </c>
    </row>
    <row r="4344" spans="1:45" x14ac:dyDescent="0.2">
      <c r="A4344" s="121">
        <f t="shared" si="521"/>
        <v>3685</v>
      </c>
      <c r="B4344" s="13">
        <v>1</v>
      </c>
      <c r="C4344" s="17" t="s">
        <v>52</v>
      </c>
      <c r="D4344" s="17">
        <v>37285</v>
      </c>
      <c r="E4344" s="17">
        <v>10</v>
      </c>
      <c r="F4344" s="17">
        <v>7452</v>
      </c>
      <c r="G4344" s="13">
        <v>5</v>
      </c>
      <c r="H4344" s="17">
        <v>3</v>
      </c>
      <c r="I4344" s="17">
        <v>2</v>
      </c>
      <c r="J4344" s="17">
        <v>82.02</v>
      </c>
      <c r="K4344" s="10">
        <v>1482.02</v>
      </c>
      <c r="P4344" s="17">
        <v>1</v>
      </c>
      <c r="Q4344" s="19">
        <v>1482.02</v>
      </c>
      <c r="R4344" s="14">
        <v>160</v>
      </c>
      <c r="S4344" s="19">
        <v>237123.20000000001</v>
      </c>
      <c r="AJ4344" s="19">
        <v>0</v>
      </c>
      <c r="AK4344" s="23">
        <v>0</v>
      </c>
      <c r="AM4344" s="19">
        <v>0</v>
      </c>
      <c r="AN4344" s="19">
        <v>237123.20000000001</v>
      </c>
      <c r="AP4344" s="14">
        <v>237123.20000000001</v>
      </c>
      <c r="AS4344" s="26">
        <v>33</v>
      </c>
    </row>
    <row r="4345" spans="1:45" x14ac:dyDescent="0.2">
      <c r="A4345" s="121">
        <f t="shared" si="521"/>
        <v>3686</v>
      </c>
      <c r="B4345" s="13">
        <v>1</v>
      </c>
      <c r="C4345" s="17" t="s">
        <v>52</v>
      </c>
      <c r="D4345" s="17">
        <v>5882</v>
      </c>
      <c r="E4345" s="17">
        <v>1</v>
      </c>
      <c r="F4345" s="17">
        <v>2952</v>
      </c>
      <c r="G4345" s="13">
        <v>5</v>
      </c>
      <c r="H4345" s="17">
        <v>3</v>
      </c>
      <c r="I4345" s="17">
        <v>2</v>
      </c>
      <c r="J4345" s="17">
        <v>62</v>
      </c>
      <c r="K4345" s="10">
        <v>1462</v>
      </c>
      <c r="P4345" s="17">
        <v>1</v>
      </c>
      <c r="Q4345" s="19">
        <v>1462</v>
      </c>
      <c r="R4345" s="14">
        <v>160</v>
      </c>
      <c r="S4345" s="19">
        <v>233920</v>
      </c>
      <c r="AJ4345" s="19">
        <v>0</v>
      </c>
      <c r="AK4345" s="23">
        <v>0</v>
      </c>
      <c r="AM4345" s="19">
        <v>0</v>
      </c>
      <c r="AN4345" s="19">
        <v>233920</v>
      </c>
      <c r="AP4345" s="14">
        <v>233920</v>
      </c>
      <c r="AS4345" s="26">
        <v>11</v>
      </c>
    </row>
    <row r="4346" spans="1:45" x14ac:dyDescent="0.2">
      <c r="A4346" s="121">
        <f t="shared" si="521"/>
        <v>3687</v>
      </c>
      <c r="B4346" s="13">
        <v>1</v>
      </c>
      <c r="C4346" s="17" t="s">
        <v>52</v>
      </c>
      <c r="D4346" s="17">
        <v>5977</v>
      </c>
      <c r="E4346" s="17">
        <v>21</v>
      </c>
      <c r="F4346" s="17">
        <v>3081</v>
      </c>
      <c r="G4346" s="13">
        <v>5</v>
      </c>
      <c r="H4346" s="17">
        <v>3</v>
      </c>
      <c r="I4346" s="17">
        <v>1</v>
      </c>
      <c r="J4346" s="17">
        <v>40</v>
      </c>
      <c r="K4346" s="10">
        <v>1340</v>
      </c>
      <c r="P4346" s="17">
        <v>1</v>
      </c>
      <c r="Q4346" s="19">
        <v>1340</v>
      </c>
      <c r="R4346" s="14">
        <v>160</v>
      </c>
      <c r="S4346" s="19">
        <v>214400</v>
      </c>
      <c r="AJ4346" s="19">
        <v>0</v>
      </c>
      <c r="AK4346" s="23">
        <v>0</v>
      </c>
      <c r="AM4346" s="19">
        <v>0</v>
      </c>
      <c r="AN4346" s="19">
        <v>214400</v>
      </c>
      <c r="AP4346" s="14">
        <v>214400</v>
      </c>
      <c r="AS4346" s="26">
        <v>10</v>
      </c>
    </row>
    <row r="4347" spans="1:45" x14ac:dyDescent="0.2">
      <c r="B4347" s="13">
        <v>1</v>
      </c>
      <c r="C4347" s="17" t="s">
        <v>97</v>
      </c>
      <c r="D4347" s="17">
        <v>26</v>
      </c>
      <c r="G4347" s="13">
        <v>5</v>
      </c>
      <c r="H4347" s="17">
        <v>3</v>
      </c>
      <c r="I4347" s="17">
        <v>1</v>
      </c>
      <c r="J4347" s="17">
        <v>22</v>
      </c>
      <c r="K4347" s="10">
        <v>1322</v>
      </c>
      <c r="P4347" s="17">
        <v>1</v>
      </c>
      <c r="Q4347" s="19">
        <v>1322</v>
      </c>
      <c r="R4347" s="14" t="e">
        <v>#N/A</v>
      </c>
      <c r="S4347" s="19" t="e">
        <v>#N/A</v>
      </c>
      <c r="AJ4347" s="19">
        <v>0</v>
      </c>
      <c r="AK4347" s="23">
        <v>0</v>
      </c>
      <c r="AM4347" s="19">
        <v>0</v>
      </c>
      <c r="AN4347" s="19" t="e">
        <v>#N/A</v>
      </c>
      <c r="AP4347" s="14" t="e">
        <v>#N/A</v>
      </c>
      <c r="AQ4347" s="12">
        <v>1E-4</v>
      </c>
    </row>
    <row r="4348" spans="1:45" x14ac:dyDescent="0.2">
      <c r="A4348" s="2">
        <v>3688</v>
      </c>
      <c r="B4348" s="13">
        <v>1</v>
      </c>
      <c r="C4348" s="17" t="s">
        <v>69</v>
      </c>
      <c r="E4348" s="17">
        <v>1470</v>
      </c>
      <c r="F4348" s="17">
        <v>4</v>
      </c>
      <c r="G4348" s="13">
        <v>2</v>
      </c>
      <c r="H4348" s="17">
        <v>13</v>
      </c>
      <c r="I4348" s="17">
        <v>1</v>
      </c>
      <c r="J4348" s="17">
        <v>17</v>
      </c>
      <c r="K4348" s="10">
        <v>5317</v>
      </c>
      <c r="P4348" s="17">
        <v>1</v>
      </c>
      <c r="Q4348" s="19">
        <v>5317</v>
      </c>
      <c r="R4348" s="14">
        <v>200</v>
      </c>
      <c r="S4348" s="19">
        <v>1063400</v>
      </c>
      <c r="AJ4348" s="19">
        <v>0</v>
      </c>
      <c r="AK4348" s="23">
        <v>0</v>
      </c>
      <c r="AM4348" s="19">
        <v>0</v>
      </c>
      <c r="AN4348" s="19">
        <v>1063400</v>
      </c>
      <c r="AP4348" s="14">
        <v>1063400</v>
      </c>
      <c r="AQ4348" s="12">
        <v>1E-4</v>
      </c>
      <c r="AS4348" s="26">
        <v>300</v>
      </c>
    </row>
    <row r="4349" spans="1:45" ht="63" x14ac:dyDescent="0.2">
      <c r="A4349" s="2">
        <f>+A4348+1</f>
        <v>3689</v>
      </c>
      <c r="B4349" s="13">
        <v>2</v>
      </c>
      <c r="C4349" s="17" t="s">
        <v>69</v>
      </c>
      <c r="E4349" s="17">
        <v>1470</v>
      </c>
      <c r="F4349" s="17">
        <v>11</v>
      </c>
      <c r="G4349" s="13">
        <v>2</v>
      </c>
      <c r="H4349" s="17">
        <v>7</v>
      </c>
      <c r="I4349" s="17">
        <v>1</v>
      </c>
      <c r="J4349" s="17">
        <v>77</v>
      </c>
      <c r="K4349" s="10">
        <v>2977</v>
      </c>
      <c r="P4349" s="17">
        <v>1</v>
      </c>
      <c r="Q4349" s="19">
        <v>2977</v>
      </c>
      <c r="R4349" s="14">
        <v>160</v>
      </c>
      <c r="S4349" s="19">
        <v>476320</v>
      </c>
      <c r="AJ4349" s="19">
        <v>0</v>
      </c>
      <c r="AK4349" s="23">
        <v>0</v>
      </c>
      <c r="AM4349" s="19">
        <v>0</v>
      </c>
      <c r="AN4349" s="19">
        <v>476320</v>
      </c>
      <c r="AP4349" s="14">
        <v>476320</v>
      </c>
      <c r="AQ4349" s="12">
        <v>1E-4</v>
      </c>
      <c r="AR4349" s="19">
        <v>300</v>
      </c>
    </row>
    <row r="4350" spans="1:45" x14ac:dyDescent="0.2">
      <c r="A4350" s="121">
        <f t="shared" ref="A4350:A4363" si="522">+A4349+1</f>
        <v>3690</v>
      </c>
      <c r="B4350" s="13">
        <v>3</v>
      </c>
      <c r="C4350" s="17" t="s">
        <v>69</v>
      </c>
      <c r="E4350" s="17">
        <v>1470</v>
      </c>
      <c r="F4350" s="17">
        <v>12</v>
      </c>
      <c r="G4350" s="13">
        <v>2</v>
      </c>
      <c r="H4350" s="17">
        <v>14</v>
      </c>
      <c r="I4350" s="17">
        <v>1</v>
      </c>
      <c r="J4350" s="17">
        <v>63</v>
      </c>
      <c r="K4350" s="10">
        <v>5763</v>
      </c>
      <c r="P4350" s="17">
        <v>1</v>
      </c>
      <c r="Q4350" s="19">
        <v>5763</v>
      </c>
      <c r="R4350" s="14">
        <v>200</v>
      </c>
      <c r="S4350" s="19">
        <v>1152600</v>
      </c>
      <c r="AJ4350" s="19">
        <v>0</v>
      </c>
      <c r="AK4350" s="23">
        <v>0</v>
      </c>
      <c r="AM4350" s="19">
        <v>0</v>
      </c>
      <c r="AN4350" s="19">
        <v>1152600</v>
      </c>
      <c r="AP4350" s="14">
        <v>1152600</v>
      </c>
      <c r="AQ4350" s="12">
        <v>1E-4</v>
      </c>
    </row>
    <row r="4351" spans="1:45" x14ac:dyDescent="0.2">
      <c r="A4351" s="121">
        <f t="shared" si="522"/>
        <v>3691</v>
      </c>
      <c r="B4351" s="13">
        <v>1</v>
      </c>
      <c r="C4351" s="17" t="s">
        <v>52</v>
      </c>
      <c r="D4351" s="17">
        <v>18183</v>
      </c>
      <c r="E4351" s="17">
        <v>45</v>
      </c>
      <c r="F4351" s="17">
        <v>4105</v>
      </c>
      <c r="H4351" s="17">
        <v>4</v>
      </c>
      <c r="I4351" s="17">
        <v>1</v>
      </c>
      <c r="J4351" s="17">
        <v>56</v>
      </c>
      <c r="K4351" s="10" t="s">
        <v>386</v>
      </c>
      <c r="P4351" s="17">
        <v>1</v>
      </c>
      <c r="Q4351" s="19">
        <v>1756</v>
      </c>
      <c r="R4351" s="14">
        <v>160</v>
      </c>
      <c r="S4351" s="19">
        <v>280960</v>
      </c>
      <c r="AJ4351" s="19">
        <v>0</v>
      </c>
      <c r="AK4351" s="23">
        <v>0</v>
      </c>
      <c r="AM4351" s="19">
        <v>0</v>
      </c>
      <c r="AN4351" s="19">
        <v>280960</v>
      </c>
      <c r="AP4351" s="14">
        <v>280960</v>
      </c>
      <c r="AS4351" s="26">
        <v>33</v>
      </c>
    </row>
    <row r="4352" spans="1:45" x14ac:dyDescent="0.2">
      <c r="A4352" s="121">
        <f t="shared" si="522"/>
        <v>3692</v>
      </c>
      <c r="C4352" s="17" t="s">
        <v>65</v>
      </c>
      <c r="D4352" s="17">
        <v>1687</v>
      </c>
      <c r="E4352" s="17">
        <v>7</v>
      </c>
      <c r="H4352" s="17">
        <v>6</v>
      </c>
      <c r="I4352" s="17">
        <v>2</v>
      </c>
      <c r="J4352" s="17">
        <v>6</v>
      </c>
      <c r="K4352" s="10">
        <v>2606</v>
      </c>
      <c r="P4352" s="17">
        <v>1</v>
      </c>
      <c r="Q4352" s="19">
        <v>2606</v>
      </c>
      <c r="R4352" s="14">
        <v>160</v>
      </c>
      <c r="S4352" s="19">
        <v>416960</v>
      </c>
      <c r="AE4352" s="17" t="s">
        <v>181</v>
      </c>
      <c r="AJ4352" s="19">
        <v>0</v>
      </c>
      <c r="AK4352" s="23">
        <v>0</v>
      </c>
      <c r="AM4352" s="19">
        <v>0</v>
      </c>
      <c r="AN4352" s="19">
        <v>416960</v>
      </c>
      <c r="AP4352" s="14">
        <v>416960</v>
      </c>
      <c r="AQ4352" s="12">
        <v>1E-4</v>
      </c>
    </row>
    <row r="4353" spans="1:45" x14ac:dyDescent="0.2">
      <c r="A4353" s="121">
        <f t="shared" si="522"/>
        <v>3693</v>
      </c>
      <c r="B4353" s="13">
        <v>1</v>
      </c>
      <c r="C4353" s="17" t="s">
        <v>52</v>
      </c>
      <c r="D4353" s="17">
        <v>5929</v>
      </c>
      <c r="E4353" s="17">
        <v>69</v>
      </c>
      <c r="F4353" s="17">
        <v>3062</v>
      </c>
      <c r="G4353" s="13">
        <v>5</v>
      </c>
      <c r="H4353" s="17">
        <v>0</v>
      </c>
      <c r="I4353" s="17">
        <v>1</v>
      </c>
      <c r="J4353" s="17">
        <v>43</v>
      </c>
      <c r="K4353" s="10">
        <v>143</v>
      </c>
      <c r="P4353" s="17">
        <v>1</v>
      </c>
      <c r="Q4353" s="19">
        <v>143</v>
      </c>
      <c r="R4353" s="14">
        <v>1500</v>
      </c>
      <c r="S4353" s="19">
        <v>214500</v>
      </c>
      <c r="AJ4353" s="19">
        <v>0</v>
      </c>
      <c r="AK4353" s="23">
        <v>0</v>
      </c>
      <c r="AM4353" s="19">
        <v>0</v>
      </c>
      <c r="AN4353" s="19">
        <v>214500</v>
      </c>
      <c r="AP4353" s="14">
        <v>214500</v>
      </c>
    </row>
    <row r="4354" spans="1:45" x14ac:dyDescent="0.2">
      <c r="A4354" s="121">
        <f t="shared" si="522"/>
        <v>3694</v>
      </c>
      <c r="B4354" s="13">
        <v>1</v>
      </c>
      <c r="C4354" s="17" t="s">
        <v>52</v>
      </c>
      <c r="D4354" s="17">
        <v>5854</v>
      </c>
      <c r="E4354" s="17">
        <v>20</v>
      </c>
      <c r="F4354" s="17">
        <v>3080</v>
      </c>
      <c r="G4354" s="13">
        <v>5</v>
      </c>
      <c r="H4354" s="17">
        <v>7</v>
      </c>
      <c r="I4354" s="17">
        <v>2</v>
      </c>
      <c r="J4354" s="17">
        <v>90</v>
      </c>
      <c r="K4354" s="10">
        <v>3090</v>
      </c>
      <c r="P4354" s="17">
        <v>1</v>
      </c>
      <c r="Q4354" s="19">
        <v>3090</v>
      </c>
      <c r="R4354" s="14">
        <v>375</v>
      </c>
      <c r="S4354" s="19">
        <v>1158750</v>
      </c>
      <c r="AJ4354" s="19">
        <v>0</v>
      </c>
      <c r="AK4354" s="23">
        <v>0</v>
      </c>
      <c r="AM4354" s="19">
        <v>0</v>
      </c>
      <c r="AN4354" s="19">
        <v>1158750</v>
      </c>
      <c r="AP4354" s="14">
        <v>1158750</v>
      </c>
      <c r="AS4354" s="26">
        <v>44</v>
      </c>
    </row>
    <row r="4355" spans="1:45" ht="63" x14ac:dyDescent="0.2">
      <c r="A4355" s="121">
        <f t="shared" si="522"/>
        <v>3695</v>
      </c>
      <c r="B4355" s="13">
        <v>1</v>
      </c>
      <c r="C4355" s="17" t="s">
        <v>52</v>
      </c>
      <c r="D4355" s="17">
        <v>5951</v>
      </c>
      <c r="E4355" s="17">
        <v>44</v>
      </c>
      <c r="F4355" s="17">
        <v>2987</v>
      </c>
      <c r="G4355" s="13">
        <v>5</v>
      </c>
      <c r="H4355" s="17">
        <v>0</v>
      </c>
      <c r="I4355" s="17">
        <v>3</v>
      </c>
      <c r="J4355" s="17">
        <v>30</v>
      </c>
      <c r="L4355" s="17">
        <v>330</v>
      </c>
      <c r="P4355" s="17">
        <v>2</v>
      </c>
      <c r="Q4355" s="19">
        <v>330</v>
      </c>
      <c r="R4355" s="14">
        <v>250</v>
      </c>
      <c r="S4355" s="19">
        <v>82500</v>
      </c>
      <c r="T4355" s="17">
        <v>1</v>
      </c>
      <c r="U4355" s="17" t="s">
        <v>57</v>
      </c>
      <c r="V4355" s="17" t="s">
        <v>56</v>
      </c>
      <c r="W4355" s="4">
        <v>185.25</v>
      </c>
      <c r="Y4355" s="4">
        <v>185.25</v>
      </c>
      <c r="AB4355" s="17">
        <v>27</v>
      </c>
      <c r="AJ4355" s="19">
        <v>0</v>
      </c>
      <c r="AK4355" s="23">
        <v>27</v>
      </c>
      <c r="AM4355" s="19">
        <v>0</v>
      </c>
      <c r="AN4355" s="19">
        <v>82500</v>
      </c>
      <c r="AP4355" s="14">
        <v>82500</v>
      </c>
      <c r="AS4355" s="26">
        <v>111</v>
      </c>
    </row>
    <row r="4356" spans="1:45" x14ac:dyDescent="0.2">
      <c r="A4356" s="121">
        <f t="shared" si="522"/>
        <v>3696</v>
      </c>
      <c r="B4356" s="13">
        <v>2</v>
      </c>
      <c r="C4356" s="17" t="s">
        <v>65</v>
      </c>
      <c r="D4356" s="17">
        <v>1337</v>
      </c>
      <c r="E4356" s="17">
        <v>51</v>
      </c>
      <c r="H4356" s="17">
        <v>9</v>
      </c>
      <c r="I4356" s="17">
        <v>2</v>
      </c>
      <c r="J4356" s="17">
        <v>96</v>
      </c>
      <c r="K4356" s="10">
        <v>3896</v>
      </c>
      <c r="P4356" s="17">
        <v>1</v>
      </c>
      <c r="Q4356" s="19">
        <v>3896</v>
      </c>
      <c r="R4356" s="14">
        <v>160</v>
      </c>
      <c r="S4356" s="19">
        <v>623360</v>
      </c>
      <c r="AJ4356" s="19">
        <v>0</v>
      </c>
      <c r="AK4356" s="23">
        <v>0</v>
      </c>
      <c r="AM4356" s="19">
        <v>0</v>
      </c>
      <c r="AN4356" s="19">
        <v>623360</v>
      </c>
      <c r="AP4356" s="14">
        <v>623360</v>
      </c>
      <c r="AQ4356" s="12">
        <v>1E-4</v>
      </c>
    </row>
    <row r="4357" spans="1:45" x14ac:dyDescent="0.2">
      <c r="A4357" s="121">
        <f t="shared" si="522"/>
        <v>3697</v>
      </c>
      <c r="B4357" s="13">
        <v>3</v>
      </c>
      <c r="C4357" s="17" t="s">
        <v>65</v>
      </c>
      <c r="D4357" s="17">
        <v>2235</v>
      </c>
      <c r="E4357" s="17">
        <v>165</v>
      </c>
      <c r="H4357" s="17">
        <v>3</v>
      </c>
      <c r="I4357" s="17">
        <v>1</v>
      </c>
      <c r="J4357" s="17">
        <v>91</v>
      </c>
      <c r="K4357" s="10">
        <v>1391</v>
      </c>
      <c r="P4357" s="17">
        <v>1</v>
      </c>
      <c r="Q4357" s="19">
        <v>1391</v>
      </c>
      <c r="R4357" s="14">
        <v>375</v>
      </c>
      <c r="S4357" s="19">
        <v>521625</v>
      </c>
      <c r="AJ4357" s="19">
        <v>0</v>
      </c>
      <c r="AK4357" s="23">
        <v>0</v>
      </c>
      <c r="AM4357" s="19">
        <v>0</v>
      </c>
      <c r="AN4357" s="19">
        <v>521625</v>
      </c>
      <c r="AP4357" s="14">
        <v>521625</v>
      </c>
      <c r="AQ4357" s="12">
        <v>1E-4</v>
      </c>
    </row>
    <row r="4358" spans="1:45" x14ac:dyDescent="0.2">
      <c r="A4358" s="121">
        <f t="shared" si="522"/>
        <v>3698</v>
      </c>
      <c r="B4358" s="13">
        <v>4</v>
      </c>
      <c r="C4358" s="17" t="s">
        <v>65</v>
      </c>
      <c r="D4358" s="17">
        <v>2892</v>
      </c>
      <c r="E4358" s="17">
        <v>193</v>
      </c>
      <c r="H4358" s="17">
        <v>3</v>
      </c>
      <c r="I4358" s="17">
        <v>0</v>
      </c>
      <c r="J4358" s="17">
        <v>95</v>
      </c>
      <c r="K4358" s="10">
        <v>1295</v>
      </c>
      <c r="Q4358" s="19">
        <v>1295</v>
      </c>
      <c r="R4358" s="14">
        <v>160</v>
      </c>
      <c r="S4358" s="19">
        <v>207200</v>
      </c>
      <c r="AE4358" s="17" t="s">
        <v>94</v>
      </c>
      <c r="AJ4358" s="19">
        <v>0</v>
      </c>
      <c r="AK4358" s="23">
        <v>0</v>
      </c>
      <c r="AM4358" s="19">
        <v>0</v>
      </c>
      <c r="AN4358" s="19">
        <v>207200</v>
      </c>
      <c r="AP4358" s="14">
        <v>207200</v>
      </c>
      <c r="AQ4358" s="12">
        <v>1E-4</v>
      </c>
    </row>
    <row r="4359" spans="1:45" x14ac:dyDescent="0.2">
      <c r="A4359" s="121">
        <f t="shared" si="522"/>
        <v>3699</v>
      </c>
      <c r="B4359" s="13">
        <v>1</v>
      </c>
      <c r="C4359" s="17" t="s">
        <v>52</v>
      </c>
      <c r="D4359" s="17">
        <v>12462</v>
      </c>
      <c r="E4359" s="17">
        <v>79</v>
      </c>
      <c r="F4359" s="17">
        <v>3240</v>
      </c>
      <c r="G4359" s="13">
        <v>5</v>
      </c>
      <c r="H4359" s="17">
        <v>0</v>
      </c>
      <c r="I4359" s="17">
        <v>1</v>
      </c>
      <c r="J4359" s="17">
        <v>69</v>
      </c>
      <c r="N4359" s="18">
        <v>169</v>
      </c>
      <c r="P4359" s="17">
        <v>2</v>
      </c>
      <c r="Q4359" s="19">
        <v>169</v>
      </c>
      <c r="R4359" s="14">
        <v>200</v>
      </c>
      <c r="S4359" s="19">
        <v>33800</v>
      </c>
      <c r="AJ4359" s="19">
        <v>0</v>
      </c>
      <c r="AK4359" s="23">
        <v>0</v>
      </c>
      <c r="AM4359" s="19">
        <v>0</v>
      </c>
      <c r="AN4359" s="19">
        <v>33800</v>
      </c>
      <c r="AP4359" s="14">
        <v>33800</v>
      </c>
      <c r="AQ4359" s="12">
        <v>0</v>
      </c>
    </row>
    <row r="4360" spans="1:45" x14ac:dyDescent="0.2">
      <c r="A4360" s="121">
        <f t="shared" si="522"/>
        <v>3700</v>
      </c>
      <c r="B4360" s="13">
        <v>1</v>
      </c>
      <c r="C4360" s="17" t="s">
        <v>52</v>
      </c>
      <c r="D4360" s="17">
        <v>5914</v>
      </c>
      <c r="E4360" s="17">
        <v>23</v>
      </c>
      <c r="F4360" s="17">
        <v>3002</v>
      </c>
      <c r="G4360" s="13">
        <v>5</v>
      </c>
      <c r="H4360" s="17">
        <v>0</v>
      </c>
      <c r="I4360" s="17">
        <v>1</v>
      </c>
      <c r="J4360" s="17">
        <v>34</v>
      </c>
      <c r="L4360" s="17">
        <v>134</v>
      </c>
      <c r="P4360" s="17">
        <v>2</v>
      </c>
      <c r="Q4360" s="19">
        <v>134</v>
      </c>
      <c r="R4360" s="14">
        <v>160</v>
      </c>
      <c r="S4360" s="19">
        <v>21440</v>
      </c>
      <c r="AJ4360" s="19">
        <v>0</v>
      </c>
      <c r="AK4360" s="23">
        <v>0</v>
      </c>
      <c r="AM4360" s="19">
        <v>0</v>
      </c>
      <c r="AN4360" s="19">
        <v>21440</v>
      </c>
      <c r="AP4360" s="14">
        <v>21440</v>
      </c>
    </row>
    <row r="4361" spans="1:45" x14ac:dyDescent="0.2">
      <c r="A4361" s="121">
        <f t="shared" si="522"/>
        <v>3701</v>
      </c>
      <c r="B4361" s="13">
        <v>2</v>
      </c>
      <c r="C4361" s="17" t="s">
        <v>65</v>
      </c>
      <c r="D4361" s="17">
        <v>2230</v>
      </c>
      <c r="E4361" s="17">
        <v>160</v>
      </c>
      <c r="H4361" s="17">
        <v>0</v>
      </c>
      <c r="I4361" s="17">
        <v>3</v>
      </c>
      <c r="J4361" s="17">
        <v>12</v>
      </c>
      <c r="K4361" s="10">
        <v>312</v>
      </c>
      <c r="Q4361" s="19">
        <v>312</v>
      </c>
      <c r="R4361" s="14">
        <v>160</v>
      </c>
      <c r="S4361" s="19">
        <v>49920</v>
      </c>
      <c r="AE4361" s="17" t="s">
        <v>94</v>
      </c>
      <c r="AJ4361" s="19">
        <v>0</v>
      </c>
      <c r="AK4361" s="23">
        <v>0</v>
      </c>
      <c r="AM4361" s="19">
        <v>0</v>
      </c>
      <c r="AN4361" s="19">
        <v>49920</v>
      </c>
      <c r="AP4361" s="14">
        <v>49920</v>
      </c>
      <c r="AQ4361" s="12">
        <v>1E-4</v>
      </c>
    </row>
    <row r="4362" spans="1:45" x14ac:dyDescent="0.2">
      <c r="A4362" s="121">
        <f t="shared" si="522"/>
        <v>3702</v>
      </c>
      <c r="B4362" s="13">
        <v>1</v>
      </c>
      <c r="C4362" s="17" t="s">
        <v>52</v>
      </c>
      <c r="D4362" s="17">
        <v>35664</v>
      </c>
      <c r="E4362" s="17">
        <v>138</v>
      </c>
      <c r="F4362" s="17">
        <v>7067</v>
      </c>
      <c r="G4362" s="13">
        <v>5</v>
      </c>
      <c r="H4362" s="17">
        <v>0</v>
      </c>
      <c r="I4362" s="17">
        <v>0</v>
      </c>
      <c r="J4362" s="17">
        <v>26</v>
      </c>
      <c r="N4362" s="18">
        <v>26</v>
      </c>
      <c r="P4362" s="17">
        <v>4</v>
      </c>
      <c r="Q4362" s="19">
        <v>26</v>
      </c>
      <c r="R4362" s="14">
        <v>160</v>
      </c>
      <c r="S4362" s="19">
        <v>4160</v>
      </c>
      <c r="AJ4362" s="19">
        <v>0</v>
      </c>
      <c r="AK4362" s="23">
        <v>0</v>
      </c>
      <c r="AM4362" s="19">
        <v>0</v>
      </c>
      <c r="AN4362" s="19">
        <v>4160</v>
      </c>
      <c r="AP4362" s="14">
        <v>4160</v>
      </c>
      <c r="AQ4362" s="12">
        <v>3.0000000000000001E-3</v>
      </c>
    </row>
    <row r="4363" spans="1:45" ht="63" x14ac:dyDescent="0.2">
      <c r="A4363" s="121">
        <f t="shared" si="522"/>
        <v>3703</v>
      </c>
      <c r="B4363" s="13">
        <v>1</v>
      </c>
      <c r="C4363" s="17" t="s">
        <v>52</v>
      </c>
      <c r="D4363" s="17">
        <v>5930</v>
      </c>
      <c r="E4363" s="17">
        <v>70</v>
      </c>
      <c r="F4363" s="17">
        <v>3063</v>
      </c>
      <c r="G4363" s="13">
        <v>5</v>
      </c>
      <c r="H4363" s="17">
        <v>0</v>
      </c>
      <c r="I4363" s="17">
        <v>1</v>
      </c>
      <c r="J4363" s="17">
        <v>0</v>
      </c>
      <c r="L4363" s="17">
        <v>97.5</v>
      </c>
      <c r="M4363" s="15">
        <v>2.5</v>
      </c>
      <c r="P4363" s="17">
        <v>5</v>
      </c>
      <c r="Q4363" s="19">
        <v>100</v>
      </c>
      <c r="R4363" s="14">
        <v>1500</v>
      </c>
      <c r="S4363" s="19">
        <v>150000</v>
      </c>
      <c r="T4363" s="17">
        <v>1</v>
      </c>
      <c r="U4363" s="17" t="s">
        <v>57</v>
      </c>
      <c r="V4363" s="17" t="s">
        <v>56</v>
      </c>
      <c r="W4363" s="4">
        <v>264</v>
      </c>
      <c r="Y4363" s="4" t="s">
        <v>387</v>
      </c>
      <c r="Z4363" s="17">
        <v>20</v>
      </c>
      <c r="AB4363" s="17">
        <v>32</v>
      </c>
      <c r="AF4363" s="14">
        <v>2</v>
      </c>
      <c r="AG4363" s="54">
        <v>264</v>
      </c>
      <c r="AH4363" s="11">
        <v>0.92</v>
      </c>
      <c r="AI4363" s="14">
        <v>7250</v>
      </c>
      <c r="AJ4363" s="19">
        <v>1760880.0000000002</v>
      </c>
      <c r="AK4363" s="23">
        <v>32</v>
      </c>
      <c r="AL4363" s="11">
        <v>0.54</v>
      </c>
      <c r="AM4363" s="19">
        <v>810004.8</v>
      </c>
      <c r="AN4363" s="19">
        <v>960004.8</v>
      </c>
      <c r="AP4363" s="14">
        <v>960004.8</v>
      </c>
    </row>
    <row r="4364" spans="1:45" x14ac:dyDescent="0.2">
      <c r="R4364" s="14" t="e">
        <v>#N/A</v>
      </c>
      <c r="AB4364" s="17">
        <v>32</v>
      </c>
      <c r="AF4364" s="14">
        <v>3</v>
      </c>
      <c r="AG4364" s="54">
        <v>264</v>
      </c>
      <c r="AH4364" s="11">
        <v>0.08</v>
      </c>
      <c r="AI4364" s="14">
        <v>7250</v>
      </c>
      <c r="AJ4364" s="19">
        <v>153120</v>
      </c>
      <c r="AK4364" s="23">
        <v>32</v>
      </c>
      <c r="AL4364" s="11">
        <v>0.54</v>
      </c>
      <c r="AM4364" s="19">
        <v>70435.199999999997</v>
      </c>
      <c r="AN4364" s="19">
        <v>79435.199999999997</v>
      </c>
      <c r="AP4364" s="14">
        <v>79435.199999999997</v>
      </c>
      <c r="AQ4364" s="12">
        <v>3.0000000000000001E-3</v>
      </c>
    </row>
    <row r="4365" spans="1:45" x14ac:dyDescent="0.2">
      <c r="A4365" s="2">
        <v>3704</v>
      </c>
      <c r="B4365" s="13">
        <v>2</v>
      </c>
      <c r="C4365" s="17" t="s">
        <v>52</v>
      </c>
      <c r="D4365" s="17">
        <v>5968</v>
      </c>
      <c r="E4365" s="17">
        <v>77</v>
      </c>
      <c r="F4365" s="17">
        <v>3068</v>
      </c>
      <c r="G4365" s="13">
        <v>5</v>
      </c>
      <c r="H4365" s="17">
        <v>3</v>
      </c>
      <c r="I4365" s="17">
        <v>2</v>
      </c>
      <c r="J4365" s="17">
        <v>62</v>
      </c>
      <c r="K4365" s="10">
        <v>1462</v>
      </c>
      <c r="P4365" s="17">
        <v>1</v>
      </c>
      <c r="Q4365" s="19">
        <v>1462</v>
      </c>
      <c r="R4365" s="14">
        <v>160</v>
      </c>
      <c r="S4365" s="19">
        <v>233920</v>
      </c>
      <c r="AJ4365" s="19">
        <v>0</v>
      </c>
      <c r="AK4365" s="23">
        <v>0</v>
      </c>
      <c r="AM4365" s="19">
        <v>0</v>
      </c>
      <c r="AN4365" s="19">
        <v>233920</v>
      </c>
      <c r="AP4365" s="14">
        <v>233920</v>
      </c>
    </row>
    <row r="4366" spans="1:45" x14ac:dyDescent="0.2">
      <c r="A4366" s="2">
        <f>+A4365+1</f>
        <v>3705</v>
      </c>
      <c r="B4366" s="13">
        <v>1</v>
      </c>
      <c r="C4366" s="17" t="s">
        <v>52</v>
      </c>
      <c r="D4366" s="17">
        <v>5941</v>
      </c>
      <c r="E4366" s="17">
        <v>3</v>
      </c>
      <c r="F4366" s="17">
        <v>2948</v>
      </c>
      <c r="G4366" s="13">
        <v>5</v>
      </c>
      <c r="H4366" s="17">
        <v>20</v>
      </c>
      <c r="I4366" s="17">
        <v>3</v>
      </c>
      <c r="J4366" s="17">
        <v>24</v>
      </c>
      <c r="K4366" s="10">
        <v>8324</v>
      </c>
      <c r="P4366" s="17">
        <v>1</v>
      </c>
      <c r="Q4366" s="19">
        <v>8324</v>
      </c>
      <c r="R4366" s="14">
        <v>160</v>
      </c>
      <c r="S4366" s="19">
        <v>1331840</v>
      </c>
      <c r="AJ4366" s="19">
        <v>0</v>
      </c>
      <c r="AK4366" s="23">
        <v>0</v>
      </c>
      <c r="AM4366" s="19">
        <v>0</v>
      </c>
      <c r="AN4366" s="19">
        <v>1331840</v>
      </c>
      <c r="AP4366" s="14">
        <v>1331840</v>
      </c>
    </row>
    <row r="4367" spans="1:45" x14ac:dyDescent="0.2">
      <c r="A4367" s="121">
        <f t="shared" ref="A4367:A4369" si="523">+A4366+1</f>
        <v>3706</v>
      </c>
      <c r="B4367" s="13">
        <v>2</v>
      </c>
      <c r="C4367" s="17" t="s">
        <v>52</v>
      </c>
      <c r="D4367" s="17">
        <v>5942</v>
      </c>
      <c r="E4367" s="17">
        <v>9</v>
      </c>
      <c r="F4367" s="17">
        <v>2949</v>
      </c>
      <c r="G4367" s="13">
        <v>5</v>
      </c>
      <c r="H4367" s="17">
        <v>2</v>
      </c>
      <c r="I4367" s="17">
        <v>2</v>
      </c>
      <c r="J4367" s="17">
        <v>31</v>
      </c>
      <c r="K4367" s="10">
        <v>1031</v>
      </c>
      <c r="P4367" s="17">
        <v>1</v>
      </c>
      <c r="Q4367" s="19">
        <v>1031</v>
      </c>
      <c r="R4367" s="14">
        <v>160</v>
      </c>
      <c r="S4367" s="19">
        <v>164960</v>
      </c>
      <c r="AJ4367" s="19">
        <v>0</v>
      </c>
      <c r="AK4367" s="23">
        <v>0</v>
      </c>
      <c r="AM4367" s="19">
        <v>0</v>
      </c>
      <c r="AN4367" s="19">
        <v>164960</v>
      </c>
      <c r="AP4367" s="14">
        <v>164960</v>
      </c>
    </row>
    <row r="4368" spans="1:45" x14ac:dyDescent="0.2">
      <c r="A4368" s="121">
        <f t="shared" si="523"/>
        <v>3707</v>
      </c>
      <c r="B4368" s="13">
        <v>3</v>
      </c>
      <c r="C4368" s="17" t="s">
        <v>52</v>
      </c>
      <c r="D4368" s="17">
        <v>5943</v>
      </c>
      <c r="E4368" s="17">
        <v>12</v>
      </c>
      <c r="F4368" s="17">
        <v>2950</v>
      </c>
      <c r="G4368" s="13">
        <v>5</v>
      </c>
      <c r="H4368" s="17">
        <v>1</v>
      </c>
      <c r="I4368" s="17">
        <v>1</v>
      </c>
      <c r="J4368" s="17">
        <v>88</v>
      </c>
      <c r="K4368" s="10">
        <v>588</v>
      </c>
      <c r="P4368" s="17">
        <v>1</v>
      </c>
      <c r="Q4368" s="19">
        <v>588</v>
      </c>
      <c r="R4368" s="14">
        <v>160</v>
      </c>
      <c r="S4368" s="19">
        <v>94080</v>
      </c>
      <c r="AJ4368" s="19">
        <v>0</v>
      </c>
      <c r="AK4368" s="23">
        <v>0</v>
      </c>
      <c r="AM4368" s="19">
        <v>0</v>
      </c>
      <c r="AN4368" s="19">
        <v>94080</v>
      </c>
      <c r="AP4368" s="14">
        <v>94080</v>
      </c>
    </row>
    <row r="4369" spans="1:45" s="19" customFormat="1" ht="84" x14ac:dyDescent="0.2">
      <c r="A4369" s="121">
        <f t="shared" si="523"/>
        <v>3708</v>
      </c>
      <c r="B4369" s="13">
        <v>4</v>
      </c>
      <c r="C4369" s="17" t="s">
        <v>52</v>
      </c>
      <c r="D4369" s="17">
        <v>5947</v>
      </c>
      <c r="E4369" s="17">
        <v>40</v>
      </c>
      <c r="F4369" s="17">
        <v>2982</v>
      </c>
      <c r="G4369" s="13">
        <v>5</v>
      </c>
      <c r="H4369" s="17">
        <v>1</v>
      </c>
      <c r="I4369" s="17">
        <v>1</v>
      </c>
      <c r="J4369" s="17">
        <v>7</v>
      </c>
      <c r="K4369" s="10"/>
      <c r="L4369" s="17"/>
      <c r="M4369" s="15">
        <v>3.75</v>
      </c>
      <c r="N4369" s="18"/>
      <c r="O4369" s="14"/>
      <c r="P4369" s="17">
        <v>5</v>
      </c>
      <c r="Q4369" s="19">
        <v>507</v>
      </c>
      <c r="R4369" s="14">
        <v>160</v>
      </c>
      <c r="S4369" s="19">
        <v>81120</v>
      </c>
      <c r="T4369" s="17">
        <v>1</v>
      </c>
      <c r="U4369" s="17" t="s">
        <v>101</v>
      </c>
      <c r="V4369" s="17" t="s">
        <v>56</v>
      </c>
      <c r="W4369" s="4">
        <v>15</v>
      </c>
      <c r="X4369" s="17"/>
      <c r="Y4369" s="4"/>
      <c r="Z4369" s="17">
        <v>15</v>
      </c>
      <c r="AA4369" s="17"/>
      <c r="AB4369" s="17">
        <v>12</v>
      </c>
      <c r="AC4369" s="14"/>
      <c r="AD4369" s="14"/>
      <c r="AE4369" s="17">
        <v>12</v>
      </c>
      <c r="AF4369" s="14">
        <v>3</v>
      </c>
      <c r="AG4369" s="54">
        <v>15</v>
      </c>
      <c r="AH4369" s="11">
        <v>1</v>
      </c>
      <c r="AI4369" s="14">
        <v>3750</v>
      </c>
      <c r="AJ4369" s="19">
        <v>56250</v>
      </c>
      <c r="AK4369" s="23">
        <v>12</v>
      </c>
      <c r="AL4369" s="11">
        <v>0.14000000000000001</v>
      </c>
      <c r="AM4369" s="19">
        <v>48375</v>
      </c>
      <c r="AN4369" s="19">
        <v>54864.6</v>
      </c>
      <c r="AO4369" s="14"/>
      <c r="AP4369" s="14">
        <v>54864.6</v>
      </c>
      <c r="AQ4369" s="12">
        <v>3.0000000000000001E-3</v>
      </c>
      <c r="AS4369" s="26"/>
    </row>
    <row r="4370" spans="1:45" s="19" customFormat="1" ht="63" x14ac:dyDescent="0.2">
      <c r="A4370" s="2"/>
      <c r="B4370" s="13"/>
      <c r="C4370" s="17"/>
      <c r="D4370" s="17"/>
      <c r="E4370" s="17"/>
      <c r="F4370" s="17"/>
      <c r="G4370" s="13"/>
      <c r="H4370" s="17"/>
      <c r="I4370" s="17"/>
      <c r="J4370" s="17"/>
      <c r="K4370" s="10"/>
      <c r="L4370" s="17">
        <v>21</v>
      </c>
      <c r="M4370" s="15"/>
      <c r="N4370" s="18"/>
      <c r="O4370" s="14"/>
      <c r="P4370" s="17"/>
      <c r="R4370" s="14"/>
      <c r="T4370" s="17">
        <v>2</v>
      </c>
      <c r="U4370" s="17" t="s">
        <v>57</v>
      </c>
      <c r="V4370" s="17" t="s">
        <v>56</v>
      </c>
      <c r="W4370" s="4">
        <v>84</v>
      </c>
      <c r="X4370" s="17"/>
      <c r="Y4370" s="4">
        <v>84</v>
      </c>
      <c r="Z4370" s="17"/>
      <c r="AA4370" s="17"/>
      <c r="AB4370" s="17">
        <v>16</v>
      </c>
      <c r="AC4370" s="14"/>
      <c r="AD4370" s="14"/>
      <c r="AE4370" s="17">
        <v>0.45901639344262296</v>
      </c>
      <c r="AF4370" s="14"/>
      <c r="AG4370" s="54"/>
      <c r="AH4370" s="11"/>
      <c r="AI4370" s="14"/>
      <c r="AJ4370" s="19">
        <v>0</v>
      </c>
      <c r="AK4370" s="23">
        <v>16</v>
      </c>
      <c r="AL4370" s="11"/>
      <c r="AM4370" s="19">
        <v>0</v>
      </c>
      <c r="AN4370" s="19">
        <v>37315.200000000004</v>
      </c>
      <c r="AO4370" s="14"/>
      <c r="AP4370" s="14">
        <v>37315.200000000004</v>
      </c>
      <c r="AQ4370" s="12"/>
      <c r="AS4370" s="26"/>
    </row>
    <row r="4371" spans="1:45" s="19" customFormat="1" ht="63" x14ac:dyDescent="0.2">
      <c r="A4371" s="2"/>
      <c r="B4371" s="13"/>
      <c r="C4371" s="17"/>
      <c r="D4371" s="17"/>
      <c r="E4371" s="17"/>
      <c r="F4371" s="17"/>
      <c r="G4371" s="13"/>
      <c r="H4371" s="17"/>
      <c r="I4371" s="17"/>
      <c r="J4371" s="17"/>
      <c r="K4371" s="10"/>
      <c r="L4371" s="17">
        <v>482.25</v>
      </c>
      <c r="M4371" s="15"/>
      <c r="N4371" s="18"/>
      <c r="O4371" s="14"/>
      <c r="P4371" s="17"/>
      <c r="R4371" s="14"/>
      <c r="T4371" s="17">
        <v>3</v>
      </c>
      <c r="U4371" s="17" t="s">
        <v>57</v>
      </c>
      <c r="V4371" s="17" t="s">
        <v>56</v>
      </c>
      <c r="W4371" s="4">
        <v>84</v>
      </c>
      <c r="X4371" s="17"/>
      <c r="Y4371" s="4">
        <v>84</v>
      </c>
      <c r="Z4371" s="17"/>
      <c r="AA4371" s="17"/>
      <c r="AB4371" s="17">
        <v>16</v>
      </c>
      <c r="AC4371" s="14"/>
      <c r="AD4371" s="14"/>
      <c r="AE4371" s="17"/>
      <c r="AF4371" s="14"/>
      <c r="AG4371" s="54"/>
      <c r="AH4371" s="11"/>
      <c r="AI4371" s="14"/>
      <c r="AJ4371" s="19">
        <v>0</v>
      </c>
      <c r="AK4371" s="23">
        <v>16</v>
      </c>
      <c r="AL4371" s="11"/>
      <c r="AM4371" s="19">
        <v>0</v>
      </c>
      <c r="AN4371" s="19">
        <v>37315.200000000004</v>
      </c>
      <c r="AO4371" s="14"/>
      <c r="AP4371" s="14">
        <v>37315.200000000004</v>
      </c>
      <c r="AQ4371" s="12"/>
      <c r="AS4371" s="26"/>
    </row>
    <row r="4372" spans="1:45" s="19" customFormat="1" x14ac:dyDescent="0.2">
      <c r="A4372" s="2">
        <v>3709</v>
      </c>
      <c r="B4372" s="13">
        <v>5</v>
      </c>
      <c r="C4372" s="17" t="s">
        <v>52</v>
      </c>
      <c r="D4372" s="17">
        <v>5950</v>
      </c>
      <c r="E4372" s="17">
        <v>39</v>
      </c>
      <c r="F4372" s="17">
        <v>2985</v>
      </c>
      <c r="G4372" s="13">
        <v>5</v>
      </c>
      <c r="H4372" s="17">
        <v>1</v>
      </c>
      <c r="I4372" s="17">
        <v>1</v>
      </c>
      <c r="J4372" s="17">
        <v>80</v>
      </c>
      <c r="K4372" s="10">
        <v>580</v>
      </c>
      <c r="L4372" s="17"/>
      <c r="M4372" s="15"/>
      <c r="N4372" s="18"/>
      <c r="O4372" s="14"/>
      <c r="P4372" s="17">
        <v>1</v>
      </c>
      <c r="Q4372" s="19">
        <v>580</v>
      </c>
      <c r="R4372" s="14">
        <v>200</v>
      </c>
      <c r="S4372" s="19">
        <v>116000</v>
      </c>
      <c r="T4372" s="17"/>
      <c r="U4372" s="17"/>
      <c r="V4372" s="17"/>
      <c r="W4372" s="4"/>
      <c r="X4372" s="17"/>
      <c r="Y4372" s="4"/>
      <c r="Z4372" s="17"/>
      <c r="AA4372" s="17"/>
      <c r="AB4372" s="17"/>
      <c r="AC4372" s="14"/>
      <c r="AD4372" s="14"/>
      <c r="AE4372" s="17"/>
      <c r="AF4372" s="14"/>
      <c r="AG4372" s="54"/>
      <c r="AH4372" s="11"/>
      <c r="AI4372" s="14"/>
      <c r="AJ4372" s="19">
        <v>0</v>
      </c>
      <c r="AK4372" s="23">
        <v>0</v>
      </c>
      <c r="AL4372" s="11"/>
      <c r="AM4372" s="19">
        <v>0</v>
      </c>
      <c r="AN4372" s="19">
        <v>116000</v>
      </c>
      <c r="AO4372" s="14"/>
      <c r="AP4372" s="14">
        <v>116000</v>
      </c>
      <c r="AQ4372" s="12"/>
      <c r="AS4372" s="26"/>
    </row>
    <row r="4373" spans="1:45" s="19" customFormat="1" x14ac:dyDescent="0.2">
      <c r="A4373" s="2">
        <v>3710</v>
      </c>
      <c r="B4373" s="13">
        <v>1</v>
      </c>
      <c r="C4373" s="17" t="s">
        <v>52</v>
      </c>
      <c r="D4373" s="17">
        <v>5909</v>
      </c>
      <c r="E4373" s="17">
        <v>37</v>
      </c>
      <c r="F4373" s="17">
        <v>2993</v>
      </c>
      <c r="G4373" s="13">
        <v>5</v>
      </c>
      <c r="H4373" s="17">
        <v>0</v>
      </c>
      <c r="I4373" s="17">
        <v>1</v>
      </c>
      <c r="J4373" s="17">
        <v>98</v>
      </c>
      <c r="K4373" s="10">
        <v>198</v>
      </c>
      <c r="L4373" s="17"/>
      <c r="M4373" s="15"/>
      <c r="N4373" s="18"/>
      <c r="O4373" s="14"/>
      <c r="P4373" s="17">
        <v>1</v>
      </c>
      <c r="Q4373" s="19">
        <v>198</v>
      </c>
      <c r="R4373" s="14">
        <v>250</v>
      </c>
      <c r="S4373" s="19">
        <v>49500</v>
      </c>
      <c r="T4373" s="17"/>
      <c r="U4373" s="17"/>
      <c r="V4373" s="17"/>
      <c r="W4373" s="4"/>
      <c r="X4373" s="17"/>
      <c r="Y4373" s="4"/>
      <c r="Z4373" s="17"/>
      <c r="AA4373" s="17"/>
      <c r="AB4373" s="17"/>
      <c r="AC4373" s="14"/>
      <c r="AD4373" s="14"/>
      <c r="AE4373" s="17"/>
      <c r="AF4373" s="14"/>
      <c r="AG4373" s="54"/>
      <c r="AH4373" s="11"/>
      <c r="AI4373" s="14"/>
      <c r="AJ4373" s="19">
        <v>0</v>
      </c>
      <c r="AK4373" s="23">
        <v>0</v>
      </c>
      <c r="AL4373" s="11"/>
      <c r="AM4373" s="19">
        <v>0</v>
      </c>
      <c r="AN4373" s="19">
        <v>49500</v>
      </c>
      <c r="AO4373" s="14"/>
      <c r="AP4373" s="14">
        <v>49500</v>
      </c>
      <c r="AQ4373" s="12"/>
      <c r="AS4373" s="26"/>
    </row>
    <row r="4374" spans="1:45" s="19" customFormat="1" ht="63" x14ac:dyDescent="0.2">
      <c r="A4374" s="2">
        <v>3711</v>
      </c>
      <c r="B4374" s="13">
        <v>1</v>
      </c>
      <c r="C4374" s="17" t="s">
        <v>52</v>
      </c>
      <c r="D4374" s="17">
        <v>5868</v>
      </c>
      <c r="E4374" s="17">
        <v>32</v>
      </c>
      <c r="F4374" s="17">
        <v>2999</v>
      </c>
      <c r="G4374" s="13">
        <v>5</v>
      </c>
      <c r="H4374" s="17">
        <v>3</v>
      </c>
      <c r="I4374" s="17">
        <v>3</v>
      </c>
      <c r="J4374" s="17">
        <v>52</v>
      </c>
      <c r="K4374" s="10"/>
      <c r="L4374" s="17">
        <v>1426.24</v>
      </c>
      <c r="M4374" s="15"/>
      <c r="N4374" s="18"/>
      <c r="O4374" s="14"/>
      <c r="P4374" s="17">
        <v>2</v>
      </c>
      <c r="Q4374" s="19">
        <v>1552</v>
      </c>
      <c r="R4374" s="14">
        <v>200</v>
      </c>
      <c r="S4374" s="19">
        <v>310400</v>
      </c>
      <c r="T4374" s="17">
        <v>1</v>
      </c>
      <c r="U4374" s="17" t="s">
        <v>57</v>
      </c>
      <c r="V4374" s="17" t="s">
        <v>56</v>
      </c>
      <c r="W4374" s="4">
        <v>75</v>
      </c>
      <c r="X4374" s="17"/>
      <c r="Y4374" s="4">
        <v>75</v>
      </c>
      <c r="Z4374" s="17"/>
      <c r="AA4374" s="17"/>
      <c r="AB4374" s="17">
        <v>15</v>
      </c>
      <c r="AC4374" s="14"/>
      <c r="AD4374" s="14"/>
      <c r="AE4374" s="17"/>
      <c r="AF4374" s="14"/>
      <c r="AG4374" s="54"/>
      <c r="AH4374" s="11"/>
      <c r="AI4374" s="14"/>
      <c r="AJ4374" s="19">
        <v>0</v>
      </c>
      <c r="AK4374" s="23">
        <v>15</v>
      </c>
      <c r="AL4374" s="11"/>
      <c r="AM4374" s="19">
        <v>0</v>
      </c>
      <c r="AN4374" s="19">
        <v>310400</v>
      </c>
      <c r="AO4374" s="14"/>
      <c r="AP4374" s="14">
        <v>310400</v>
      </c>
      <c r="AQ4374" s="12"/>
      <c r="AS4374" s="26"/>
    </row>
    <row r="4375" spans="1:45" s="19" customFormat="1" ht="63" x14ac:dyDescent="0.2">
      <c r="A4375" s="2"/>
      <c r="B4375" s="13"/>
      <c r="C4375" s="17"/>
      <c r="D4375" s="17"/>
      <c r="E4375" s="17"/>
      <c r="F4375" s="17"/>
      <c r="G4375" s="13"/>
      <c r="H4375" s="17"/>
      <c r="I4375" s="17"/>
      <c r="J4375" s="17"/>
      <c r="K4375" s="10"/>
      <c r="L4375" s="17">
        <v>15</v>
      </c>
      <c r="M4375" s="15"/>
      <c r="N4375" s="18"/>
      <c r="O4375" s="14"/>
      <c r="P4375" s="17"/>
      <c r="Q4375" s="19">
        <v>0</v>
      </c>
      <c r="R4375" s="14" t="e">
        <v>#N/A</v>
      </c>
      <c r="S4375" s="19" t="e">
        <v>#N/A</v>
      </c>
      <c r="T4375" s="17">
        <v>2</v>
      </c>
      <c r="U4375" s="17" t="s">
        <v>57</v>
      </c>
      <c r="V4375" s="17" t="s">
        <v>56</v>
      </c>
      <c r="W4375" s="4">
        <v>60</v>
      </c>
      <c r="X4375" s="17"/>
      <c r="Y4375" s="4">
        <v>60</v>
      </c>
      <c r="Z4375" s="17"/>
      <c r="AA4375" s="17"/>
      <c r="AB4375" s="17">
        <v>17</v>
      </c>
      <c r="AC4375" s="14"/>
      <c r="AD4375" s="14"/>
      <c r="AE4375" s="17"/>
      <c r="AF4375" s="14"/>
      <c r="AG4375" s="54"/>
      <c r="AH4375" s="11"/>
      <c r="AI4375" s="14"/>
      <c r="AJ4375" s="19">
        <v>0</v>
      </c>
      <c r="AK4375" s="23">
        <v>17</v>
      </c>
      <c r="AL4375" s="11"/>
      <c r="AM4375" s="19">
        <v>0</v>
      </c>
      <c r="AN4375" s="19" t="e">
        <v>#N/A</v>
      </c>
      <c r="AO4375" s="14"/>
      <c r="AP4375" s="14" t="e">
        <v>#N/A</v>
      </c>
      <c r="AQ4375" s="12"/>
      <c r="AS4375" s="26"/>
    </row>
    <row r="4376" spans="1:45" s="19" customFormat="1" ht="63" x14ac:dyDescent="0.2">
      <c r="A4376" s="2"/>
      <c r="B4376" s="13"/>
      <c r="C4376" s="17"/>
      <c r="D4376" s="17"/>
      <c r="E4376" s="17"/>
      <c r="F4376" s="17"/>
      <c r="G4376" s="13"/>
      <c r="H4376" s="17"/>
      <c r="I4376" s="17"/>
      <c r="J4376" s="17"/>
      <c r="K4376" s="10"/>
      <c r="L4376" s="17">
        <v>40.380000000000003</v>
      </c>
      <c r="M4376" s="15"/>
      <c r="N4376" s="18"/>
      <c r="O4376" s="14"/>
      <c r="P4376" s="17"/>
      <c r="Q4376" s="19">
        <v>0</v>
      </c>
      <c r="R4376" s="14" t="e">
        <v>#N/A</v>
      </c>
      <c r="S4376" s="19" t="e">
        <v>#N/A</v>
      </c>
      <c r="T4376" s="17">
        <v>3</v>
      </c>
      <c r="U4376" s="17" t="s">
        <v>57</v>
      </c>
      <c r="V4376" s="17" t="s">
        <v>56</v>
      </c>
      <c r="W4376" s="4">
        <v>161.5</v>
      </c>
      <c r="X4376" s="17"/>
      <c r="Y4376" s="4">
        <v>161.5</v>
      </c>
      <c r="Z4376" s="17"/>
      <c r="AA4376" s="17"/>
      <c r="AB4376" s="17">
        <v>26</v>
      </c>
      <c r="AC4376" s="14"/>
      <c r="AD4376" s="14"/>
      <c r="AE4376" s="17"/>
      <c r="AF4376" s="14"/>
      <c r="AG4376" s="54"/>
      <c r="AH4376" s="11"/>
      <c r="AI4376" s="14"/>
      <c r="AJ4376" s="19">
        <v>0</v>
      </c>
      <c r="AK4376" s="23">
        <v>26</v>
      </c>
      <c r="AL4376" s="11"/>
      <c r="AM4376" s="19">
        <v>0</v>
      </c>
      <c r="AN4376" s="19" t="e">
        <v>#N/A</v>
      </c>
      <c r="AO4376" s="14"/>
      <c r="AP4376" s="14" t="e">
        <v>#N/A</v>
      </c>
      <c r="AQ4376" s="12"/>
      <c r="AS4376" s="26"/>
    </row>
    <row r="4377" spans="1:45" s="19" customFormat="1" ht="63" x14ac:dyDescent="0.2">
      <c r="A4377" s="2"/>
      <c r="B4377" s="13"/>
      <c r="C4377" s="17"/>
      <c r="D4377" s="17"/>
      <c r="E4377" s="17"/>
      <c r="F4377" s="17"/>
      <c r="G4377" s="13"/>
      <c r="H4377" s="17"/>
      <c r="I4377" s="17"/>
      <c r="J4377" s="17"/>
      <c r="K4377" s="10"/>
      <c r="L4377" s="17">
        <v>31.5</v>
      </c>
      <c r="M4377" s="15"/>
      <c r="N4377" s="18"/>
      <c r="O4377" s="14"/>
      <c r="P4377" s="17"/>
      <c r="Q4377" s="19">
        <v>0</v>
      </c>
      <c r="R4377" s="14" t="e">
        <v>#N/A</v>
      </c>
      <c r="S4377" s="19" t="e">
        <v>#N/A</v>
      </c>
      <c r="T4377" s="17">
        <v>4</v>
      </c>
      <c r="U4377" s="17" t="s">
        <v>57</v>
      </c>
      <c r="V4377" s="17" t="s">
        <v>56</v>
      </c>
      <c r="W4377" s="4">
        <v>126</v>
      </c>
      <c r="X4377" s="17"/>
      <c r="Y4377" s="4">
        <v>126</v>
      </c>
      <c r="Z4377" s="17"/>
      <c r="AA4377" s="17"/>
      <c r="AB4377" s="17">
        <v>7</v>
      </c>
      <c r="AC4377" s="14"/>
      <c r="AD4377" s="14"/>
      <c r="AE4377" s="17"/>
      <c r="AF4377" s="14"/>
      <c r="AG4377" s="54"/>
      <c r="AH4377" s="11"/>
      <c r="AI4377" s="14"/>
      <c r="AJ4377" s="19">
        <v>0</v>
      </c>
      <c r="AK4377" s="23">
        <v>7</v>
      </c>
      <c r="AL4377" s="11"/>
      <c r="AM4377" s="19">
        <v>0</v>
      </c>
      <c r="AN4377" s="19" t="e">
        <v>#N/A</v>
      </c>
      <c r="AO4377" s="14"/>
      <c r="AP4377" s="14" t="e">
        <v>#N/A</v>
      </c>
      <c r="AQ4377" s="12"/>
      <c r="AS4377" s="26"/>
    </row>
    <row r="4378" spans="1:45" s="19" customFormat="1" ht="63" x14ac:dyDescent="0.2">
      <c r="A4378" s="2"/>
      <c r="B4378" s="13"/>
      <c r="C4378" s="17"/>
      <c r="D4378" s="17"/>
      <c r="E4378" s="17"/>
      <c r="F4378" s="17"/>
      <c r="G4378" s="13"/>
      <c r="H4378" s="17"/>
      <c r="I4378" s="17"/>
      <c r="J4378" s="17"/>
      <c r="K4378" s="10"/>
      <c r="L4378" s="17">
        <v>31.88</v>
      </c>
      <c r="M4378" s="15"/>
      <c r="N4378" s="18"/>
      <c r="O4378" s="14"/>
      <c r="P4378" s="17"/>
      <c r="Q4378" s="19">
        <v>0</v>
      </c>
      <c r="R4378" s="14" t="e">
        <v>#N/A</v>
      </c>
      <c r="S4378" s="19" t="e">
        <v>#N/A</v>
      </c>
      <c r="T4378" s="17">
        <v>5</v>
      </c>
      <c r="U4378" s="17" t="s">
        <v>57</v>
      </c>
      <c r="V4378" s="17" t="s">
        <v>56</v>
      </c>
      <c r="W4378" s="4">
        <v>127.5</v>
      </c>
      <c r="X4378" s="17"/>
      <c r="Y4378" s="4">
        <v>127.5</v>
      </c>
      <c r="Z4378" s="17"/>
      <c r="AA4378" s="17"/>
      <c r="AB4378" s="17">
        <v>19</v>
      </c>
      <c r="AC4378" s="14"/>
      <c r="AD4378" s="14"/>
      <c r="AE4378" s="17"/>
      <c r="AF4378" s="14"/>
      <c r="AG4378" s="54"/>
      <c r="AH4378" s="11"/>
      <c r="AI4378" s="14"/>
      <c r="AJ4378" s="19">
        <v>0</v>
      </c>
      <c r="AK4378" s="23">
        <v>19</v>
      </c>
      <c r="AL4378" s="11"/>
      <c r="AM4378" s="19">
        <v>0</v>
      </c>
      <c r="AN4378" s="19" t="e">
        <v>#N/A</v>
      </c>
      <c r="AO4378" s="14"/>
      <c r="AP4378" s="14" t="e">
        <v>#N/A</v>
      </c>
      <c r="AQ4378" s="12"/>
      <c r="AS4378" s="26"/>
    </row>
    <row r="4379" spans="1:45" s="19" customFormat="1" ht="63" x14ac:dyDescent="0.2">
      <c r="A4379" s="2"/>
      <c r="B4379" s="13"/>
      <c r="C4379" s="17"/>
      <c r="D4379" s="17"/>
      <c r="E4379" s="17"/>
      <c r="F4379" s="17"/>
      <c r="G4379" s="13"/>
      <c r="H4379" s="17"/>
      <c r="I4379" s="17"/>
      <c r="J4379" s="17"/>
      <c r="K4379" s="10"/>
      <c r="L4379" s="17">
        <v>7</v>
      </c>
      <c r="M4379" s="15"/>
      <c r="N4379" s="18"/>
      <c r="O4379" s="14"/>
      <c r="P4379" s="17"/>
      <c r="Q4379" s="19">
        <v>0</v>
      </c>
      <c r="R4379" s="14" t="e">
        <v>#N/A</v>
      </c>
      <c r="S4379" s="19" t="e">
        <v>#N/A</v>
      </c>
      <c r="T4379" s="17">
        <v>6</v>
      </c>
      <c r="U4379" s="17" t="s">
        <v>57</v>
      </c>
      <c r="V4379" s="17" t="s">
        <v>88</v>
      </c>
      <c r="W4379" s="4">
        <v>28</v>
      </c>
      <c r="X4379" s="17"/>
      <c r="Y4379" s="4">
        <v>28</v>
      </c>
      <c r="Z4379" s="17"/>
      <c r="AA4379" s="17"/>
      <c r="AB4379" s="17">
        <v>6</v>
      </c>
      <c r="AC4379" s="14"/>
      <c r="AD4379" s="14"/>
      <c r="AE4379" s="17"/>
      <c r="AF4379" s="14"/>
      <c r="AG4379" s="54"/>
      <c r="AH4379" s="11"/>
      <c r="AI4379" s="14"/>
      <c r="AJ4379" s="19">
        <v>0</v>
      </c>
      <c r="AK4379" s="23">
        <v>6</v>
      </c>
      <c r="AL4379" s="11"/>
      <c r="AM4379" s="19">
        <v>0</v>
      </c>
      <c r="AN4379" s="19" t="e">
        <v>#N/A</v>
      </c>
      <c r="AO4379" s="14"/>
      <c r="AP4379" s="14" t="e">
        <v>#N/A</v>
      </c>
      <c r="AQ4379" s="12"/>
      <c r="AS4379" s="26"/>
    </row>
    <row r="4380" spans="1:45" s="19" customFormat="1" x14ac:dyDescent="0.2">
      <c r="A4380" s="2">
        <v>3712</v>
      </c>
      <c r="B4380" s="13">
        <v>1</v>
      </c>
      <c r="C4380" s="17" t="s">
        <v>65</v>
      </c>
      <c r="D4380" s="17">
        <v>1689</v>
      </c>
      <c r="E4380" s="17">
        <v>9</v>
      </c>
      <c r="F4380" s="17"/>
      <c r="G4380" s="13"/>
      <c r="H4380" s="17">
        <v>0</v>
      </c>
      <c r="I4380" s="17">
        <v>3</v>
      </c>
      <c r="J4380" s="17">
        <v>50</v>
      </c>
      <c r="K4380" s="10">
        <v>350</v>
      </c>
      <c r="L4380" s="17"/>
      <c r="M4380" s="15"/>
      <c r="N4380" s="18"/>
      <c r="O4380" s="14"/>
      <c r="P4380" s="17">
        <v>1</v>
      </c>
      <c r="Q4380" s="19">
        <v>350</v>
      </c>
      <c r="R4380" s="14">
        <v>160</v>
      </c>
      <c r="S4380" s="19">
        <v>56000</v>
      </c>
      <c r="T4380" s="17"/>
      <c r="U4380" s="17"/>
      <c r="V4380" s="17"/>
      <c r="W4380" s="4"/>
      <c r="X4380" s="17"/>
      <c r="Y4380" s="4"/>
      <c r="Z4380" s="17"/>
      <c r="AA4380" s="17"/>
      <c r="AB4380" s="17"/>
      <c r="AC4380" s="14"/>
      <c r="AD4380" s="14"/>
      <c r="AE4380" s="17"/>
      <c r="AF4380" s="14"/>
      <c r="AG4380" s="54"/>
      <c r="AH4380" s="11"/>
      <c r="AI4380" s="14"/>
      <c r="AJ4380" s="19">
        <v>0</v>
      </c>
      <c r="AK4380" s="23">
        <v>0</v>
      </c>
      <c r="AL4380" s="11"/>
      <c r="AM4380" s="19">
        <v>0</v>
      </c>
      <c r="AN4380" s="19">
        <v>56000</v>
      </c>
      <c r="AO4380" s="14"/>
      <c r="AP4380" s="14">
        <v>56000</v>
      </c>
      <c r="AQ4380" s="12">
        <v>1E-4</v>
      </c>
      <c r="AS4380" s="26"/>
    </row>
    <row r="4381" spans="1:45" s="19" customFormat="1" ht="63" x14ac:dyDescent="0.2">
      <c r="A4381" s="2">
        <f>+A4380+1</f>
        <v>3713</v>
      </c>
      <c r="B4381" s="13">
        <v>2</v>
      </c>
      <c r="C4381" s="17" t="s">
        <v>65</v>
      </c>
      <c r="D4381" s="17">
        <v>2142</v>
      </c>
      <c r="E4381" s="17">
        <v>151</v>
      </c>
      <c r="F4381" s="17"/>
      <c r="G4381" s="13"/>
      <c r="H4381" s="17">
        <v>1</v>
      </c>
      <c r="I4381" s="17">
        <v>0</v>
      </c>
      <c r="J4381" s="17">
        <v>90</v>
      </c>
      <c r="K4381" s="10"/>
      <c r="L4381" s="17">
        <v>490</v>
      </c>
      <c r="M4381" s="15"/>
      <c r="N4381" s="18"/>
      <c r="O4381" s="14"/>
      <c r="P4381" s="17">
        <v>2</v>
      </c>
      <c r="Q4381" s="19">
        <v>490</v>
      </c>
      <c r="R4381" s="14">
        <v>250</v>
      </c>
      <c r="S4381" s="19">
        <v>122500</v>
      </c>
      <c r="T4381" s="17"/>
      <c r="U4381" s="17" t="s">
        <v>57</v>
      </c>
      <c r="V4381" s="17" t="s">
        <v>56</v>
      </c>
      <c r="W4381" s="4">
        <v>90</v>
      </c>
      <c r="X4381" s="17"/>
      <c r="Y4381" s="4">
        <v>90</v>
      </c>
      <c r="Z4381" s="17"/>
      <c r="AA4381" s="17"/>
      <c r="AB4381" s="17">
        <v>15</v>
      </c>
      <c r="AC4381" s="14"/>
      <c r="AD4381" s="14"/>
      <c r="AE4381" s="17"/>
      <c r="AF4381" s="14"/>
      <c r="AG4381" s="54"/>
      <c r="AH4381" s="11"/>
      <c r="AI4381" s="14"/>
      <c r="AJ4381" s="19">
        <v>0</v>
      </c>
      <c r="AK4381" s="23">
        <v>15</v>
      </c>
      <c r="AL4381" s="11"/>
      <c r="AM4381" s="19">
        <v>0</v>
      </c>
      <c r="AN4381" s="19">
        <v>122500</v>
      </c>
      <c r="AO4381" s="14"/>
      <c r="AP4381" s="14">
        <v>122500</v>
      </c>
      <c r="AQ4381" s="12">
        <v>1E-4</v>
      </c>
      <c r="AS4381" s="26"/>
    </row>
    <row r="4382" spans="1:45" s="19" customFormat="1" x14ac:dyDescent="0.2">
      <c r="A4382" s="121">
        <f t="shared" ref="A4382:A4387" si="524">+A4381+1</f>
        <v>3714</v>
      </c>
      <c r="B4382" s="13">
        <v>1</v>
      </c>
      <c r="C4382" s="17" t="s">
        <v>65</v>
      </c>
      <c r="D4382" s="17">
        <v>3561</v>
      </c>
      <c r="E4382" s="17">
        <v>39</v>
      </c>
      <c r="F4382" s="17"/>
      <c r="G4382" s="13"/>
      <c r="H4382" s="17">
        <v>0</v>
      </c>
      <c r="I4382" s="17">
        <v>1</v>
      </c>
      <c r="J4382" s="17">
        <v>40</v>
      </c>
      <c r="K4382" s="10">
        <v>140</v>
      </c>
      <c r="L4382" s="17"/>
      <c r="M4382" s="15"/>
      <c r="N4382" s="18"/>
      <c r="O4382" s="14"/>
      <c r="P4382" s="17">
        <v>1</v>
      </c>
      <c r="Q4382" s="19">
        <v>140</v>
      </c>
      <c r="R4382" s="14">
        <v>1100</v>
      </c>
      <c r="S4382" s="19">
        <v>154000</v>
      </c>
      <c r="T4382" s="17"/>
      <c r="U4382" s="17"/>
      <c r="V4382" s="17"/>
      <c r="W4382" s="4"/>
      <c r="X4382" s="17"/>
      <c r="Y4382" s="4"/>
      <c r="Z4382" s="17"/>
      <c r="AA4382" s="17"/>
      <c r="AB4382" s="17"/>
      <c r="AC4382" s="14"/>
      <c r="AD4382" s="14"/>
      <c r="AE4382" s="17"/>
      <c r="AF4382" s="14"/>
      <c r="AG4382" s="54"/>
      <c r="AH4382" s="11"/>
      <c r="AI4382" s="14"/>
      <c r="AJ4382" s="19">
        <v>0</v>
      </c>
      <c r="AK4382" s="23">
        <v>0</v>
      </c>
      <c r="AL4382" s="11"/>
      <c r="AM4382" s="19">
        <v>0</v>
      </c>
      <c r="AN4382" s="19">
        <v>154000</v>
      </c>
      <c r="AO4382" s="14"/>
      <c r="AP4382" s="14">
        <v>154000</v>
      </c>
      <c r="AQ4382" s="12">
        <v>1E-4</v>
      </c>
      <c r="AS4382" s="26"/>
    </row>
    <row r="4383" spans="1:45" s="19" customFormat="1" x14ac:dyDescent="0.2">
      <c r="A4383" s="121">
        <f t="shared" si="524"/>
        <v>3715</v>
      </c>
      <c r="B4383" s="13">
        <v>2</v>
      </c>
      <c r="C4383" s="17" t="s">
        <v>65</v>
      </c>
      <c r="D4383" s="17">
        <v>3562</v>
      </c>
      <c r="E4383" s="17">
        <v>40</v>
      </c>
      <c r="F4383" s="17"/>
      <c r="G4383" s="13"/>
      <c r="H4383" s="17">
        <v>0</v>
      </c>
      <c r="I4383" s="17">
        <v>1</v>
      </c>
      <c r="J4383" s="17">
        <v>47</v>
      </c>
      <c r="K4383" s="10">
        <v>147</v>
      </c>
      <c r="L4383" s="17"/>
      <c r="M4383" s="15"/>
      <c r="N4383" s="18"/>
      <c r="O4383" s="14"/>
      <c r="P4383" s="17">
        <v>1</v>
      </c>
      <c r="Q4383" s="19">
        <v>147</v>
      </c>
      <c r="R4383" s="14">
        <v>1100</v>
      </c>
      <c r="S4383" s="19">
        <v>161700</v>
      </c>
      <c r="T4383" s="17"/>
      <c r="U4383" s="17"/>
      <c r="V4383" s="17"/>
      <c r="W4383" s="4"/>
      <c r="X4383" s="17"/>
      <c r="Y4383" s="4"/>
      <c r="Z4383" s="17"/>
      <c r="AA4383" s="17"/>
      <c r="AB4383" s="17"/>
      <c r="AC4383" s="14"/>
      <c r="AD4383" s="14"/>
      <c r="AE4383" s="17"/>
      <c r="AF4383" s="14"/>
      <c r="AG4383" s="54"/>
      <c r="AH4383" s="11"/>
      <c r="AI4383" s="14"/>
      <c r="AJ4383" s="19">
        <v>0</v>
      </c>
      <c r="AK4383" s="23">
        <v>0</v>
      </c>
      <c r="AL4383" s="11"/>
      <c r="AM4383" s="19">
        <v>0</v>
      </c>
      <c r="AN4383" s="19">
        <v>161700</v>
      </c>
      <c r="AO4383" s="14"/>
      <c r="AP4383" s="14">
        <v>161700</v>
      </c>
      <c r="AQ4383" s="12">
        <v>1E-4</v>
      </c>
      <c r="AS4383" s="26"/>
    </row>
    <row r="4384" spans="1:45" s="19" customFormat="1" x14ac:dyDescent="0.2">
      <c r="A4384" s="121">
        <f t="shared" si="524"/>
        <v>3716</v>
      </c>
      <c r="B4384" s="13">
        <v>1</v>
      </c>
      <c r="C4384" s="17" t="s">
        <v>65</v>
      </c>
      <c r="D4384" s="17">
        <v>3564</v>
      </c>
      <c r="E4384" s="17">
        <v>42</v>
      </c>
      <c r="F4384" s="17"/>
      <c r="G4384" s="13"/>
      <c r="H4384" s="17">
        <v>0</v>
      </c>
      <c r="I4384" s="17">
        <v>1</v>
      </c>
      <c r="J4384" s="17">
        <v>61</v>
      </c>
      <c r="K4384" s="10">
        <v>161</v>
      </c>
      <c r="L4384" s="17"/>
      <c r="M4384" s="15"/>
      <c r="N4384" s="18"/>
      <c r="O4384" s="14"/>
      <c r="P4384" s="17">
        <v>1</v>
      </c>
      <c r="Q4384" s="19">
        <v>161</v>
      </c>
      <c r="R4384" s="14">
        <v>1100</v>
      </c>
      <c r="S4384" s="19">
        <v>177100</v>
      </c>
      <c r="T4384" s="17"/>
      <c r="U4384" s="17"/>
      <c r="V4384" s="17"/>
      <c r="W4384" s="4"/>
      <c r="X4384" s="17"/>
      <c r="Y4384" s="4"/>
      <c r="Z4384" s="17"/>
      <c r="AA4384" s="17"/>
      <c r="AB4384" s="17"/>
      <c r="AC4384" s="14"/>
      <c r="AD4384" s="14"/>
      <c r="AE4384" s="17"/>
      <c r="AF4384" s="14"/>
      <c r="AG4384" s="54"/>
      <c r="AH4384" s="11"/>
      <c r="AI4384" s="14"/>
      <c r="AJ4384" s="19">
        <v>0</v>
      </c>
      <c r="AK4384" s="23">
        <v>0</v>
      </c>
      <c r="AL4384" s="11"/>
      <c r="AM4384" s="19">
        <v>0</v>
      </c>
      <c r="AN4384" s="19">
        <v>177100</v>
      </c>
      <c r="AO4384" s="14"/>
      <c r="AP4384" s="14">
        <v>177100</v>
      </c>
      <c r="AQ4384" s="12">
        <v>1E-4</v>
      </c>
      <c r="AS4384" s="26"/>
    </row>
    <row r="4385" spans="1:45" x14ac:dyDescent="0.2">
      <c r="A4385" s="121">
        <f t="shared" si="524"/>
        <v>3717</v>
      </c>
      <c r="B4385" s="13">
        <v>1</v>
      </c>
      <c r="C4385" s="17" t="s">
        <v>65</v>
      </c>
      <c r="D4385" s="17">
        <v>3560</v>
      </c>
      <c r="E4385" s="17">
        <v>38</v>
      </c>
      <c r="H4385" s="17">
        <v>0</v>
      </c>
      <c r="I4385" s="17">
        <v>1</v>
      </c>
      <c r="J4385" s="17">
        <v>33</v>
      </c>
      <c r="K4385" s="10">
        <v>133</v>
      </c>
      <c r="P4385" s="17">
        <v>1</v>
      </c>
      <c r="Q4385" s="19">
        <v>133</v>
      </c>
      <c r="R4385" s="14">
        <v>1100</v>
      </c>
      <c r="S4385" s="19">
        <v>146300</v>
      </c>
      <c r="AJ4385" s="19">
        <v>0</v>
      </c>
      <c r="AK4385" s="23">
        <v>0</v>
      </c>
      <c r="AM4385" s="19">
        <v>0</v>
      </c>
      <c r="AN4385" s="19">
        <v>146300</v>
      </c>
      <c r="AP4385" s="14">
        <v>146300</v>
      </c>
      <c r="AQ4385" s="12">
        <v>1E-4</v>
      </c>
      <c r="AS4385" s="26">
        <v>2</v>
      </c>
    </row>
    <row r="4386" spans="1:45" ht="42" x14ac:dyDescent="0.2">
      <c r="A4386" s="121">
        <f t="shared" si="524"/>
        <v>3718</v>
      </c>
      <c r="B4386" s="13">
        <v>1</v>
      </c>
      <c r="C4386" s="17" t="s">
        <v>65</v>
      </c>
      <c r="D4386" s="17">
        <v>3566</v>
      </c>
      <c r="E4386" s="17">
        <v>44</v>
      </c>
      <c r="H4386" s="17">
        <v>0</v>
      </c>
      <c r="I4386" s="17">
        <v>1</v>
      </c>
      <c r="J4386" s="17">
        <v>78</v>
      </c>
      <c r="K4386" s="10">
        <v>178</v>
      </c>
      <c r="P4386" s="17">
        <v>1</v>
      </c>
      <c r="Q4386" s="19">
        <v>178</v>
      </c>
      <c r="R4386" s="14">
        <v>1100</v>
      </c>
      <c r="S4386" s="19">
        <v>195800</v>
      </c>
      <c r="AJ4386" s="19">
        <v>0</v>
      </c>
      <c r="AK4386" s="23">
        <v>0</v>
      </c>
      <c r="AM4386" s="19">
        <v>0</v>
      </c>
      <c r="AN4386" s="19">
        <v>195800</v>
      </c>
      <c r="AP4386" s="14">
        <v>195800</v>
      </c>
      <c r="AQ4386" s="12">
        <v>1E-4</v>
      </c>
      <c r="AS4386" s="26" t="s">
        <v>388</v>
      </c>
    </row>
    <row r="4387" spans="1:45" x14ac:dyDescent="0.2">
      <c r="A4387" s="121">
        <f t="shared" si="524"/>
        <v>3719</v>
      </c>
      <c r="B4387" s="13">
        <v>1</v>
      </c>
      <c r="C4387" s="17" t="s">
        <v>65</v>
      </c>
      <c r="D4387" s="17">
        <v>3602</v>
      </c>
      <c r="E4387" s="17">
        <v>46</v>
      </c>
      <c r="H4387" s="17">
        <v>2</v>
      </c>
      <c r="I4387" s="17">
        <v>0</v>
      </c>
      <c r="J4387" s="17">
        <v>37</v>
      </c>
      <c r="K4387" s="10">
        <v>837</v>
      </c>
      <c r="Q4387" s="19">
        <v>837</v>
      </c>
      <c r="R4387" s="14">
        <v>250</v>
      </c>
      <c r="S4387" s="19">
        <v>209250</v>
      </c>
      <c r="AE4387" s="17" t="s">
        <v>94</v>
      </c>
      <c r="AJ4387" s="19">
        <v>0</v>
      </c>
      <c r="AK4387" s="23">
        <v>0</v>
      </c>
      <c r="AM4387" s="19">
        <v>0</v>
      </c>
      <c r="AN4387" s="19">
        <v>209250</v>
      </c>
      <c r="AP4387" s="14">
        <v>209250</v>
      </c>
      <c r="AQ4387" s="12">
        <v>1E-4</v>
      </c>
    </row>
    <row r="4388" spans="1:45" x14ac:dyDescent="0.2">
      <c r="B4388" s="13">
        <v>2</v>
      </c>
      <c r="C4388" s="17" t="s">
        <v>65</v>
      </c>
      <c r="D4388" s="17">
        <v>3889</v>
      </c>
      <c r="E4388" s="17">
        <v>50</v>
      </c>
      <c r="H4388" s="17">
        <v>0</v>
      </c>
      <c r="I4388" s="17">
        <v>0</v>
      </c>
      <c r="J4388" s="17">
        <v>69</v>
      </c>
      <c r="N4388" s="18">
        <v>69</v>
      </c>
      <c r="Q4388" s="19">
        <v>69</v>
      </c>
      <c r="R4388" s="14" t="e">
        <v>#N/A</v>
      </c>
      <c r="S4388" s="19" t="e">
        <v>#N/A</v>
      </c>
      <c r="AE4388" s="17" t="s">
        <v>95</v>
      </c>
      <c r="AJ4388" s="19">
        <v>0</v>
      </c>
      <c r="AK4388" s="23">
        <v>0</v>
      </c>
      <c r="AM4388" s="19">
        <v>0</v>
      </c>
      <c r="AN4388" s="19" t="e">
        <v>#N/A</v>
      </c>
      <c r="AP4388" s="14" t="e">
        <v>#N/A</v>
      </c>
      <c r="AQ4388" s="12">
        <v>3.0000000000000001E-3</v>
      </c>
    </row>
    <row r="4389" spans="1:45" x14ac:dyDescent="0.2">
      <c r="B4389" s="13">
        <v>3</v>
      </c>
      <c r="C4389" s="17" t="s">
        <v>65</v>
      </c>
      <c r="D4389" s="17">
        <v>3891</v>
      </c>
      <c r="E4389" s="17">
        <v>52</v>
      </c>
      <c r="H4389" s="17">
        <v>0</v>
      </c>
      <c r="I4389" s="17">
        <v>0</v>
      </c>
      <c r="J4389" s="17">
        <v>77</v>
      </c>
      <c r="N4389" s="18">
        <v>77</v>
      </c>
      <c r="Q4389" s="19">
        <v>77</v>
      </c>
      <c r="R4389" s="14" t="e">
        <v>#N/A</v>
      </c>
      <c r="S4389" s="19" t="e">
        <v>#N/A</v>
      </c>
      <c r="AE4389" s="17" t="s">
        <v>95</v>
      </c>
      <c r="AJ4389" s="19">
        <v>0</v>
      </c>
      <c r="AK4389" s="23">
        <v>0</v>
      </c>
      <c r="AM4389" s="19">
        <v>0</v>
      </c>
      <c r="AN4389" s="19" t="e">
        <v>#N/A</v>
      </c>
      <c r="AP4389" s="14" t="e">
        <v>#N/A</v>
      </c>
      <c r="AQ4389" s="12">
        <v>3.0000000000000001E-3</v>
      </c>
    </row>
    <row r="4390" spans="1:45" x14ac:dyDescent="0.2">
      <c r="R4390" s="14" t="e">
        <v>#N/A</v>
      </c>
    </row>
    <row r="4391" spans="1:45" x14ac:dyDescent="0.2">
      <c r="R4391" s="14" t="e">
        <v>#N/A</v>
      </c>
    </row>
    <row r="4392" spans="1:45" x14ac:dyDescent="0.2">
      <c r="B4392" s="13">
        <v>1</v>
      </c>
      <c r="C4392" s="17" t="s">
        <v>65</v>
      </c>
      <c r="D4392" s="17">
        <v>1546</v>
      </c>
      <c r="E4392" s="17">
        <v>14</v>
      </c>
      <c r="H4392" s="17">
        <v>20</v>
      </c>
      <c r="I4392" s="17">
        <v>3</v>
      </c>
      <c r="J4392" s="17">
        <v>0</v>
      </c>
      <c r="K4392" s="10">
        <v>8300</v>
      </c>
      <c r="P4392" s="17">
        <v>1</v>
      </c>
      <c r="Q4392" s="19">
        <v>8300</v>
      </c>
      <c r="S4392" s="19">
        <v>0</v>
      </c>
      <c r="AJ4392" s="19">
        <v>0</v>
      </c>
      <c r="AK4392" s="23">
        <v>0</v>
      </c>
      <c r="AM4392" s="19">
        <v>0</v>
      </c>
      <c r="AN4392" s="19">
        <v>0</v>
      </c>
      <c r="AP4392" s="14">
        <v>0</v>
      </c>
      <c r="AQ4392" s="12">
        <v>1E-4</v>
      </c>
    </row>
    <row r="4393" spans="1:45" ht="63" x14ac:dyDescent="0.2">
      <c r="A4393" s="2">
        <v>3720</v>
      </c>
      <c r="B4393" s="13">
        <v>1</v>
      </c>
      <c r="C4393" s="17" t="s">
        <v>52</v>
      </c>
      <c r="D4393" s="17">
        <v>18427</v>
      </c>
      <c r="E4393" s="17">
        <v>24</v>
      </c>
      <c r="F4393" s="17">
        <v>4315</v>
      </c>
      <c r="G4393" s="13">
        <v>5</v>
      </c>
      <c r="H4393" s="17">
        <v>3</v>
      </c>
      <c r="I4393" s="17">
        <v>1</v>
      </c>
      <c r="J4393" s="17">
        <v>89</v>
      </c>
      <c r="K4393" s="10">
        <v>1374</v>
      </c>
      <c r="L4393" s="17">
        <v>15</v>
      </c>
      <c r="P4393" s="17">
        <v>5</v>
      </c>
      <c r="Q4393" s="19">
        <v>1389</v>
      </c>
      <c r="R4393" s="14">
        <v>750</v>
      </c>
      <c r="S4393" s="19">
        <v>1041750</v>
      </c>
      <c r="T4393" s="17">
        <v>1</v>
      </c>
      <c r="U4393" s="17" t="s">
        <v>57</v>
      </c>
      <c r="V4393" s="17" t="s">
        <v>56</v>
      </c>
      <c r="W4393" s="4">
        <v>60</v>
      </c>
      <c r="Y4393" s="4">
        <v>60</v>
      </c>
      <c r="AB4393" s="17">
        <v>21</v>
      </c>
      <c r="AJ4393" s="19">
        <v>0</v>
      </c>
      <c r="AK4393" s="23">
        <v>21</v>
      </c>
      <c r="AM4393" s="19">
        <v>0</v>
      </c>
      <c r="AN4393" s="19">
        <v>1041750</v>
      </c>
      <c r="AP4393" s="14">
        <v>1041750</v>
      </c>
    </row>
    <row r="4394" spans="1:45" x14ac:dyDescent="0.2">
      <c r="A4394" s="2">
        <f>+A4393+1</f>
        <v>3721</v>
      </c>
      <c r="B4394" s="13">
        <v>2</v>
      </c>
      <c r="C4394" s="17" t="s">
        <v>52</v>
      </c>
      <c r="D4394" s="17">
        <v>20615</v>
      </c>
      <c r="E4394" s="17">
        <v>35</v>
      </c>
      <c r="F4394" s="17">
        <v>4594</v>
      </c>
      <c r="G4394" s="13">
        <v>5</v>
      </c>
      <c r="H4394" s="17">
        <v>0</v>
      </c>
      <c r="I4394" s="17">
        <v>0</v>
      </c>
      <c r="J4394" s="17">
        <v>62</v>
      </c>
      <c r="N4394" s="18">
        <v>62</v>
      </c>
      <c r="P4394" s="17">
        <v>4</v>
      </c>
      <c r="Q4394" s="19">
        <v>62</v>
      </c>
      <c r="R4394" s="14">
        <v>375</v>
      </c>
      <c r="S4394" s="19">
        <v>23250</v>
      </c>
      <c r="AJ4394" s="19">
        <v>0</v>
      </c>
      <c r="AK4394" s="23">
        <v>0</v>
      </c>
      <c r="AM4394" s="19">
        <v>0</v>
      </c>
      <c r="AN4394" s="19">
        <v>23250</v>
      </c>
      <c r="AP4394" s="14">
        <v>23250</v>
      </c>
      <c r="AQ4394" s="12">
        <v>3.0000000000000001E-3</v>
      </c>
    </row>
    <row r="4395" spans="1:45" x14ac:dyDescent="0.2">
      <c r="A4395" s="121">
        <f t="shared" ref="A4395:A4396" si="525">+A4394+1</f>
        <v>3722</v>
      </c>
      <c r="B4395" s="13">
        <v>1</v>
      </c>
      <c r="C4395" s="17" t="s">
        <v>65</v>
      </c>
      <c r="D4395" s="17">
        <v>1558</v>
      </c>
      <c r="E4395" s="17">
        <v>26</v>
      </c>
      <c r="H4395" s="17">
        <v>4</v>
      </c>
      <c r="I4395" s="17">
        <v>3</v>
      </c>
      <c r="J4395" s="17">
        <v>98</v>
      </c>
      <c r="K4395" s="10">
        <v>1998</v>
      </c>
      <c r="Q4395" s="19">
        <v>1998</v>
      </c>
      <c r="R4395" s="14">
        <v>160</v>
      </c>
      <c r="S4395" s="19">
        <v>319680</v>
      </c>
      <c r="AE4395" s="17" t="s">
        <v>94</v>
      </c>
      <c r="AJ4395" s="19">
        <v>0</v>
      </c>
      <c r="AK4395" s="23">
        <v>0</v>
      </c>
      <c r="AM4395" s="19">
        <v>0</v>
      </c>
      <c r="AN4395" s="19">
        <v>319680</v>
      </c>
      <c r="AP4395" s="14">
        <v>319680</v>
      </c>
    </row>
    <row r="4396" spans="1:45" x14ac:dyDescent="0.2">
      <c r="A4396" s="121">
        <f t="shared" si="525"/>
        <v>3723</v>
      </c>
      <c r="B4396" s="13">
        <v>1</v>
      </c>
      <c r="C4396" s="17" t="s">
        <v>52</v>
      </c>
      <c r="D4396" s="17">
        <v>18388</v>
      </c>
      <c r="E4396" s="17">
        <v>31</v>
      </c>
      <c r="F4396" s="17">
        <v>4297</v>
      </c>
      <c r="G4396" s="13">
        <v>5</v>
      </c>
      <c r="H4396" s="17">
        <v>26</v>
      </c>
      <c r="I4396" s="17">
        <v>1</v>
      </c>
      <c r="J4396" s="17">
        <v>84</v>
      </c>
      <c r="K4396" s="10">
        <v>10537.69</v>
      </c>
      <c r="L4396" s="17">
        <v>44.06</v>
      </c>
      <c r="M4396" s="15">
        <v>2.25</v>
      </c>
      <c r="P4396" s="17">
        <v>5</v>
      </c>
      <c r="Q4396" s="19">
        <v>10584</v>
      </c>
      <c r="R4396" s="14">
        <v>375</v>
      </c>
      <c r="S4396" s="19">
        <v>3969000</v>
      </c>
      <c r="AS4396" s="26">
        <v>140</v>
      </c>
    </row>
    <row r="4397" spans="1:45" x14ac:dyDescent="0.2">
      <c r="Q4397" s="19">
        <v>10484</v>
      </c>
      <c r="R4397" s="14">
        <v>375</v>
      </c>
      <c r="S4397" s="19">
        <v>3931500</v>
      </c>
    </row>
    <row r="4398" spans="1:45" ht="63" x14ac:dyDescent="0.2">
      <c r="Q4398" s="19">
        <v>100</v>
      </c>
      <c r="R4398" s="14">
        <v>375</v>
      </c>
      <c r="S4398" s="19">
        <v>37500</v>
      </c>
      <c r="T4398" s="17">
        <v>1</v>
      </c>
      <c r="U4398" s="17" t="s">
        <v>57</v>
      </c>
      <c r="V4398" s="17" t="s">
        <v>56</v>
      </c>
    </row>
    <row r="4399" spans="1:45" ht="63" x14ac:dyDescent="0.2">
      <c r="T4399" s="17">
        <v>2</v>
      </c>
      <c r="U4399" s="17" t="s">
        <v>57</v>
      </c>
      <c r="V4399" s="17" t="s">
        <v>56</v>
      </c>
      <c r="W4399" s="4">
        <v>185.25</v>
      </c>
      <c r="Y4399" s="4">
        <v>176.25</v>
      </c>
      <c r="AB4399" s="17">
        <v>25</v>
      </c>
      <c r="AE4399" s="17">
        <v>4.8582995951417005E-2</v>
      </c>
      <c r="AF4399" s="14">
        <v>2</v>
      </c>
      <c r="AG4399" s="54">
        <v>185.25</v>
      </c>
      <c r="AH4399" s="11">
        <v>0.95</v>
      </c>
      <c r="AI4399" s="14">
        <v>7250</v>
      </c>
      <c r="AJ4399" s="19">
        <v>1275909.3749999998</v>
      </c>
      <c r="AK4399" s="23">
        <v>25</v>
      </c>
      <c r="AM4399" s="19">
        <v>1275909.3749999998</v>
      </c>
      <c r="AN4399" s="19">
        <v>1294659.3749999998</v>
      </c>
      <c r="AP4399" s="14">
        <v>1294659.3749999998</v>
      </c>
    </row>
    <row r="4400" spans="1:45" x14ac:dyDescent="0.2">
      <c r="Z4400" s="17">
        <v>9</v>
      </c>
      <c r="AF4400" s="14">
        <v>3</v>
      </c>
      <c r="AG4400" s="54">
        <v>185.25</v>
      </c>
      <c r="AH4400" s="11">
        <v>0.05</v>
      </c>
      <c r="AI4400" s="14">
        <v>7250</v>
      </c>
      <c r="AJ4400" s="19">
        <v>67153.125000000015</v>
      </c>
      <c r="AK4400" s="23">
        <v>0</v>
      </c>
      <c r="AM4400" s="19">
        <v>67153.125000000015</v>
      </c>
      <c r="AN4400" s="19">
        <v>85903.125000000015</v>
      </c>
      <c r="AP4400" s="14">
        <v>85903.125000000015</v>
      </c>
      <c r="AQ4400" s="12">
        <v>3.0000000000000001E-3</v>
      </c>
    </row>
    <row r="4401" spans="1:45" x14ac:dyDescent="0.2">
      <c r="A4401" s="2">
        <v>3724</v>
      </c>
      <c r="B4401" s="13">
        <v>2</v>
      </c>
      <c r="C4401" s="17" t="s">
        <v>65</v>
      </c>
      <c r="D4401" s="17">
        <v>1550</v>
      </c>
      <c r="E4401" s="17">
        <v>18</v>
      </c>
      <c r="H4401" s="17">
        <v>23</v>
      </c>
      <c r="I4401" s="17">
        <v>3</v>
      </c>
      <c r="J4401" s="17">
        <v>60</v>
      </c>
      <c r="K4401" s="10">
        <v>9560</v>
      </c>
      <c r="Q4401" s="19">
        <v>9560</v>
      </c>
      <c r="R4401" s="14">
        <v>375</v>
      </c>
      <c r="S4401" s="19">
        <v>3585000</v>
      </c>
      <c r="AJ4401" s="19">
        <v>0</v>
      </c>
      <c r="AK4401" s="23">
        <v>0</v>
      </c>
      <c r="AM4401" s="19">
        <v>0</v>
      </c>
      <c r="AN4401" s="19">
        <v>3585000</v>
      </c>
      <c r="AP4401" s="14">
        <v>3585000</v>
      </c>
      <c r="AQ4401" s="12">
        <v>1E-4</v>
      </c>
    </row>
    <row r="4402" spans="1:45" ht="63" x14ac:dyDescent="0.2">
      <c r="A4402" s="2">
        <v>3725</v>
      </c>
      <c r="B4402" s="13">
        <v>1</v>
      </c>
      <c r="C4402" s="17" t="s">
        <v>52</v>
      </c>
      <c r="D4402" s="17">
        <v>29840</v>
      </c>
      <c r="E4402" s="17">
        <v>39</v>
      </c>
      <c r="F4402" s="17">
        <v>5523</v>
      </c>
      <c r="G4402" s="13">
        <v>5</v>
      </c>
      <c r="H4402" s="17">
        <v>5</v>
      </c>
      <c r="I4402" s="17">
        <v>0</v>
      </c>
      <c r="J4402" s="17">
        <v>35.03</v>
      </c>
      <c r="K4402" s="10">
        <v>2035.03</v>
      </c>
      <c r="P4402" s="17">
        <v>1</v>
      </c>
      <c r="Q4402" s="19">
        <v>2035.03</v>
      </c>
      <c r="R4402" s="14">
        <v>375</v>
      </c>
      <c r="S4402" s="19">
        <v>763136.25</v>
      </c>
      <c r="AJ4402" s="19">
        <v>0</v>
      </c>
      <c r="AK4402" s="23">
        <v>0</v>
      </c>
      <c r="AM4402" s="19">
        <v>0</v>
      </c>
      <c r="AN4402" s="19">
        <v>763136.25</v>
      </c>
      <c r="AP4402" s="14">
        <v>763136.25</v>
      </c>
      <c r="AR4402" s="19">
        <v>28</v>
      </c>
      <c r="AS4402" s="26">
        <v>298</v>
      </c>
    </row>
    <row r="4403" spans="1:45" ht="63" x14ac:dyDescent="0.2">
      <c r="Q4403" s="19">
        <v>0</v>
      </c>
      <c r="R4403" s="14" t="e">
        <v>#N/A</v>
      </c>
      <c r="AR4403" s="19">
        <v>270</v>
      </c>
    </row>
    <row r="4404" spans="1:45" x14ac:dyDescent="0.2">
      <c r="A4404" s="2">
        <v>3726</v>
      </c>
      <c r="B4404" s="13">
        <v>1</v>
      </c>
      <c r="C4404" s="17" t="s">
        <v>52</v>
      </c>
      <c r="D4404" s="17">
        <v>5954</v>
      </c>
      <c r="E4404" s="17">
        <v>38</v>
      </c>
      <c r="F4404" s="17">
        <v>2990</v>
      </c>
      <c r="G4404" s="13">
        <v>5</v>
      </c>
      <c r="H4404" s="17">
        <v>0</v>
      </c>
      <c r="I4404" s="17">
        <v>1</v>
      </c>
      <c r="J4404" s="17">
        <v>83</v>
      </c>
      <c r="L4404" s="17">
        <v>183</v>
      </c>
      <c r="P4404" s="17">
        <v>2</v>
      </c>
      <c r="Q4404" s="19">
        <v>183</v>
      </c>
      <c r="R4404" s="14">
        <v>250</v>
      </c>
      <c r="S4404" s="19">
        <v>45750</v>
      </c>
      <c r="AE4404" s="17" t="s">
        <v>390</v>
      </c>
      <c r="AJ4404" s="19">
        <v>0</v>
      </c>
      <c r="AK4404" s="23">
        <v>0</v>
      </c>
      <c r="AM4404" s="19">
        <v>0</v>
      </c>
      <c r="AN4404" s="19">
        <v>45750</v>
      </c>
      <c r="AP4404" s="14">
        <v>45750</v>
      </c>
    </row>
    <row r="4405" spans="1:45" ht="63" x14ac:dyDescent="0.2">
      <c r="A4405" s="2">
        <f>+A4404+1</f>
        <v>3727</v>
      </c>
      <c r="B4405" s="13">
        <v>1</v>
      </c>
      <c r="C4405" s="17" t="s">
        <v>52</v>
      </c>
      <c r="D4405" s="17">
        <v>406</v>
      </c>
      <c r="E4405" s="17">
        <v>509</v>
      </c>
      <c r="F4405" s="17">
        <v>8</v>
      </c>
      <c r="G4405" s="13">
        <v>2</v>
      </c>
      <c r="H4405" s="17">
        <v>0</v>
      </c>
      <c r="I4405" s="17">
        <v>0</v>
      </c>
      <c r="J4405" s="17">
        <v>40.090000000000003</v>
      </c>
      <c r="L4405" s="17">
        <v>40.090000000000003</v>
      </c>
      <c r="P4405" s="17">
        <v>2</v>
      </c>
      <c r="Q4405" s="19">
        <v>40.090000000000003</v>
      </c>
      <c r="R4405" s="14">
        <v>2000</v>
      </c>
      <c r="S4405" s="19">
        <v>80180</v>
      </c>
      <c r="T4405" s="17">
        <v>1</v>
      </c>
      <c r="U4405" s="17" t="s">
        <v>57</v>
      </c>
      <c r="V4405" s="17" t="s">
        <v>56</v>
      </c>
      <c r="W4405" s="4">
        <v>120</v>
      </c>
      <c r="Y4405" s="4">
        <v>120</v>
      </c>
      <c r="AB4405" s="17">
        <v>20</v>
      </c>
      <c r="AJ4405" s="19">
        <v>0</v>
      </c>
      <c r="AK4405" s="23">
        <v>20</v>
      </c>
      <c r="AM4405" s="19">
        <v>0</v>
      </c>
      <c r="AN4405" s="19">
        <v>80180</v>
      </c>
      <c r="AP4405" s="14">
        <v>80180</v>
      </c>
      <c r="AR4405" s="19">
        <v>143</v>
      </c>
      <c r="AS4405" s="26">
        <v>2393</v>
      </c>
    </row>
    <row r="4406" spans="1:45" ht="63" x14ac:dyDescent="0.2">
      <c r="A4406" s="121">
        <f t="shared" ref="A4406:A4416" si="526">+A4405+1</f>
        <v>3728</v>
      </c>
      <c r="B4406" s="13">
        <v>2</v>
      </c>
      <c r="C4406" s="17" t="s">
        <v>52</v>
      </c>
      <c r="D4406" s="17">
        <v>1540</v>
      </c>
      <c r="E4406" s="17">
        <v>30</v>
      </c>
      <c r="F4406" s="17">
        <v>456</v>
      </c>
      <c r="G4406" s="13">
        <v>2</v>
      </c>
      <c r="H4406" s="17">
        <v>1</v>
      </c>
      <c r="I4406" s="17">
        <v>0</v>
      </c>
      <c r="J4406" s="17">
        <v>58</v>
      </c>
      <c r="K4406" s="10">
        <v>458</v>
      </c>
      <c r="P4406" s="17">
        <v>1</v>
      </c>
      <c r="Q4406" s="19">
        <v>458</v>
      </c>
      <c r="R4406" s="14">
        <v>1500</v>
      </c>
      <c r="S4406" s="19">
        <v>687000</v>
      </c>
      <c r="AJ4406" s="19">
        <v>0</v>
      </c>
      <c r="AK4406" s="23">
        <v>0</v>
      </c>
      <c r="AM4406" s="19">
        <v>0</v>
      </c>
      <c r="AN4406" s="19">
        <v>687000</v>
      </c>
      <c r="AP4406" s="14">
        <v>687000</v>
      </c>
      <c r="AR4406" s="19">
        <v>2250</v>
      </c>
    </row>
    <row r="4407" spans="1:45" x14ac:dyDescent="0.2">
      <c r="A4407" s="121">
        <f t="shared" si="526"/>
        <v>3729</v>
      </c>
      <c r="B4407" s="13">
        <v>3</v>
      </c>
      <c r="C4407" s="17" t="s">
        <v>65</v>
      </c>
      <c r="D4407" s="17">
        <v>158</v>
      </c>
      <c r="E4407" s="17">
        <v>61</v>
      </c>
      <c r="H4407" s="17">
        <v>2</v>
      </c>
      <c r="I4407" s="17">
        <v>0</v>
      </c>
      <c r="J4407" s="17">
        <v>70</v>
      </c>
      <c r="K4407" s="10">
        <v>870</v>
      </c>
      <c r="P4407" s="17">
        <v>1</v>
      </c>
      <c r="Q4407" s="19">
        <v>870</v>
      </c>
      <c r="R4407" s="14">
        <v>160</v>
      </c>
      <c r="S4407" s="19">
        <v>139200</v>
      </c>
      <c r="AJ4407" s="19">
        <v>0</v>
      </c>
      <c r="AK4407" s="23">
        <v>0</v>
      </c>
      <c r="AM4407" s="19">
        <v>0</v>
      </c>
      <c r="AN4407" s="19">
        <v>139200</v>
      </c>
      <c r="AP4407" s="14">
        <v>139200</v>
      </c>
      <c r="AQ4407" s="12">
        <v>1E-4</v>
      </c>
    </row>
    <row r="4408" spans="1:45" x14ac:dyDescent="0.2">
      <c r="A4408" s="121">
        <f t="shared" si="526"/>
        <v>3730</v>
      </c>
      <c r="B4408" s="13">
        <v>4</v>
      </c>
      <c r="C4408" s="17" t="s">
        <v>97</v>
      </c>
      <c r="D4408" s="17">
        <v>396</v>
      </c>
      <c r="G4408" s="13">
        <v>2</v>
      </c>
      <c r="H4408" s="17">
        <v>0</v>
      </c>
      <c r="I4408" s="17">
        <v>1</v>
      </c>
      <c r="J4408" s="17">
        <v>72</v>
      </c>
      <c r="K4408" s="10">
        <v>172</v>
      </c>
      <c r="P4408" s="17">
        <v>1</v>
      </c>
      <c r="Q4408" s="19">
        <v>172</v>
      </c>
      <c r="R4408" s="14">
        <v>160</v>
      </c>
      <c r="S4408" s="19">
        <v>27520</v>
      </c>
      <c r="AJ4408" s="19">
        <v>0</v>
      </c>
      <c r="AK4408" s="23">
        <v>0</v>
      </c>
      <c r="AM4408" s="19">
        <v>0</v>
      </c>
      <c r="AN4408" s="19">
        <v>27520</v>
      </c>
      <c r="AP4408" s="14">
        <v>27520</v>
      </c>
      <c r="AQ4408" s="12">
        <v>1E-4</v>
      </c>
    </row>
    <row r="4409" spans="1:45" x14ac:dyDescent="0.2">
      <c r="A4409" s="121">
        <f t="shared" si="526"/>
        <v>3731</v>
      </c>
      <c r="B4409" s="13">
        <v>5</v>
      </c>
      <c r="C4409" s="17" t="s">
        <v>65</v>
      </c>
      <c r="D4409" s="17">
        <v>1733</v>
      </c>
      <c r="E4409" s="17">
        <v>54</v>
      </c>
      <c r="H4409" s="17">
        <v>11</v>
      </c>
      <c r="I4409" s="17">
        <v>0</v>
      </c>
      <c r="J4409" s="17">
        <v>76</v>
      </c>
      <c r="K4409" s="10">
        <v>4476</v>
      </c>
      <c r="P4409" s="17">
        <v>1</v>
      </c>
      <c r="Q4409" s="19">
        <v>4476</v>
      </c>
      <c r="R4409" s="14">
        <v>375</v>
      </c>
      <c r="S4409" s="19">
        <v>1678500</v>
      </c>
      <c r="AJ4409" s="19">
        <v>0</v>
      </c>
      <c r="AK4409" s="23">
        <v>0</v>
      </c>
      <c r="AM4409" s="19">
        <v>0</v>
      </c>
      <c r="AN4409" s="19">
        <v>1678500</v>
      </c>
      <c r="AP4409" s="14">
        <v>1678500</v>
      </c>
      <c r="AQ4409" s="12">
        <v>1E-4</v>
      </c>
    </row>
    <row r="4410" spans="1:45" ht="63" x14ac:dyDescent="0.2">
      <c r="A4410" s="121">
        <f t="shared" si="526"/>
        <v>3732</v>
      </c>
      <c r="B4410" s="13">
        <v>6</v>
      </c>
      <c r="C4410" s="17" t="s">
        <v>65</v>
      </c>
      <c r="D4410" s="17">
        <v>2393</v>
      </c>
      <c r="E4410" s="17">
        <v>255</v>
      </c>
      <c r="H4410" s="17">
        <v>0</v>
      </c>
      <c r="I4410" s="17">
        <v>3</v>
      </c>
      <c r="J4410" s="17">
        <v>95</v>
      </c>
      <c r="L4410" s="17">
        <v>395</v>
      </c>
      <c r="P4410" s="17">
        <v>2</v>
      </c>
      <c r="Q4410" s="19">
        <v>395</v>
      </c>
      <c r="R4410" s="14">
        <v>250</v>
      </c>
      <c r="S4410" s="19">
        <v>98750</v>
      </c>
      <c r="T4410" s="17">
        <v>1</v>
      </c>
      <c r="U4410" s="17" t="s">
        <v>57</v>
      </c>
      <c r="V4410" s="17" t="s">
        <v>56</v>
      </c>
      <c r="W4410" s="4">
        <v>80</v>
      </c>
      <c r="Z4410" s="17">
        <v>80</v>
      </c>
      <c r="AB4410" s="17">
        <v>10</v>
      </c>
      <c r="AE4410" s="17">
        <v>80</v>
      </c>
      <c r="AF4410" s="14">
        <v>3</v>
      </c>
      <c r="AG4410" s="54">
        <v>80</v>
      </c>
      <c r="AH4410" s="11">
        <v>1</v>
      </c>
      <c r="AI4410" s="14">
        <v>8100</v>
      </c>
      <c r="AJ4410" s="19">
        <v>648000</v>
      </c>
      <c r="AK4410" s="23">
        <v>10</v>
      </c>
      <c r="AL4410" s="11">
        <v>0.1</v>
      </c>
      <c r="AM4410" s="19">
        <v>583200</v>
      </c>
      <c r="AN4410" s="19">
        <v>681950</v>
      </c>
      <c r="AP4410" s="14">
        <v>681950</v>
      </c>
      <c r="AQ4410" s="12">
        <v>3.0000000000000001E-3</v>
      </c>
    </row>
    <row r="4411" spans="1:45" x14ac:dyDescent="0.2">
      <c r="A4411" s="121">
        <f>+A4410+1</f>
        <v>3733</v>
      </c>
      <c r="B4411" s="13">
        <v>7</v>
      </c>
      <c r="C4411" s="17" t="s">
        <v>65</v>
      </c>
      <c r="D4411" s="17">
        <v>2521</v>
      </c>
      <c r="E4411" s="17">
        <v>294</v>
      </c>
      <c r="H4411" s="17">
        <v>0</v>
      </c>
      <c r="I4411" s="17">
        <v>3</v>
      </c>
      <c r="J4411" s="17">
        <v>80</v>
      </c>
      <c r="K4411" s="10">
        <v>380</v>
      </c>
      <c r="P4411" s="17">
        <v>1</v>
      </c>
      <c r="Q4411" s="19">
        <v>380</v>
      </c>
      <c r="R4411" s="14">
        <v>160</v>
      </c>
      <c r="S4411" s="19">
        <v>60800</v>
      </c>
      <c r="AJ4411" s="19">
        <v>0</v>
      </c>
      <c r="AK4411" s="23">
        <v>0</v>
      </c>
      <c r="AM4411" s="19">
        <v>0</v>
      </c>
      <c r="AN4411" s="19">
        <v>60800</v>
      </c>
      <c r="AP4411" s="14">
        <v>60800</v>
      </c>
      <c r="AQ4411" s="12">
        <v>1E-4</v>
      </c>
    </row>
    <row r="4412" spans="1:45" x14ac:dyDescent="0.2">
      <c r="A4412" s="121">
        <f t="shared" si="526"/>
        <v>3734</v>
      </c>
      <c r="B4412" s="13">
        <v>1</v>
      </c>
      <c r="C4412" s="17" t="s">
        <v>52</v>
      </c>
      <c r="D4412" s="17">
        <v>26661</v>
      </c>
      <c r="E4412" s="17">
        <v>33</v>
      </c>
      <c r="F4412" s="17">
        <v>4965</v>
      </c>
      <c r="G4412" s="13">
        <v>5</v>
      </c>
      <c r="H4412" s="17">
        <v>0</v>
      </c>
      <c r="I4412" s="17">
        <v>1</v>
      </c>
      <c r="J4412" s="17">
        <v>4</v>
      </c>
      <c r="K4412" s="10">
        <v>104</v>
      </c>
      <c r="P4412" s="17">
        <v>1</v>
      </c>
      <c r="Q4412" s="19">
        <v>104</v>
      </c>
      <c r="R4412" s="14">
        <v>250</v>
      </c>
      <c r="S4412" s="19">
        <v>26000</v>
      </c>
      <c r="AJ4412" s="19">
        <v>0</v>
      </c>
      <c r="AK4412" s="23">
        <v>0</v>
      </c>
      <c r="AM4412" s="19">
        <v>0</v>
      </c>
      <c r="AN4412" s="19">
        <v>26000</v>
      </c>
      <c r="AP4412" s="14">
        <v>26000</v>
      </c>
    </row>
    <row r="4413" spans="1:45" x14ac:dyDescent="0.2">
      <c r="A4413" s="121">
        <f t="shared" si="526"/>
        <v>3735</v>
      </c>
      <c r="B4413" s="13">
        <v>1</v>
      </c>
      <c r="C4413" s="17" t="s">
        <v>52</v>
      </c>
      <c r="D4413" s="17">
        <v>18386</v>
      </c>
      <c r="E4413" s="17">
        <v>29</v>
      </c>
      <c r="F4413" s="17">
        <v>4295</v>
      </c>
      <c r="G4413" s="13">
        <v>5</v>
      </c>
      <c r="H4413" s="17">
        <v>18</v>
      </c>
      <c r="I4413" s="17">
        <v>2</v>
      </c>
      <c r="J4413" s="17">
        <v>90</v>
      </c>
      <c r="K4413" s="10">
        <v>7490</v>
      </c>
      <c r="P4413" s="17">
        <v>1</v>
      </c>
      <c r="Q4413" s="19">
        <v>7490</v>
      </c>
      <c r="R4413" s="14">
        <v>375</v>
      </c>
      <c r="S4413" s="19">
        <v>2808750</v>
      </c>
      <c r="AJ4413" s="19">
        <v>0</v>
      </c>
      <c r="AK4413" s="23">
        <v>0</v>
      </c>
      <c r="AM4413" s="19">
        <v>0</v>
      </c>
      <c r="AN4413" s="19">
        <v>2808750</v>
      </c>
      <c r="AP4413" s="14">
        <v>2808750</v>
      </c>
    </row>
    <row r="4414" spans="1:45" x14ac:dyDescent="0.2">
      <c r="A4414" s="121">
        <f t="shared" si="526"/>
        <v>3736</v>
      </c>
      <c r="B4414" s="13">
        <v>2</v>
      </c>
      <c r="C4414" s="17" t="s">
        <v>65</v>
      </c>
      <c r="D4414" s="17">
        <v>1548</v>
      </c>
      <c r="E4414" s="17">
        <v>16</v>
      </c>
      <c r="H4414" s="17">
        <v>20</v>
      </c>
      <c r="I4414" s="17">
        <v>0</v>
      </c>
      <c r="J4414" s="17">
        <v>38</v>
      </c>
      <c r="K4414" s="10">
        <v>8038</v>
      </c>
      <c r="Q4414" s="19">
        <v>8038</v>
      </c>
      <c r="R4414" s="14">
        <v>200</v>
      </c>
      <c r="S4414" s="19">
        <v>1607600</v>
      </c>
      <c r="AE4414" s="17" t="s">
        <v>94</v>
      </c>
      <c r="AJ4414" s="19">
        <v>0</v>
      </c>
      <c r="AK4414" s="23">
        <v>0</v>
      </c>
      <c r="AM4414" s="19">
        <v>0</v>
      </c>
      <c r="AN4414" s="19">
        <v>1607600</v>
      </c>
      <c r="AP4414" s="14">
        <v>1607600</v>
      </c>
      <c r="AQ4414" s="12">
        <v>1E-4</v>
      </c>
    </row>
    <row r="4415" spans="1:45" x14ac:dyDescent="0.2">
      <c r="A4415" s="121">
        <f t="shared" si="526"/>
        <v>3737</v>
      </c>
      <c r="B4415" s="13">
        <v>1</v>
      </c>
      <c r="C4415" s="17" t="s">
        <v>52</v>
      </c>
      <c r="D4415" s="17">
        <v>18392</v>
      </c>
      <c r="E4415" s="17">
        <v>4</v>
      </c>
      <c r="F4415" s="17">
        <v>4301</v>
      </c>
      <c r="G4415" s="13">
        <v>5</v>
      </c>
      <c r="H4415" s="17">
        <v>17</v>
      </c>
      <c r="I4415" s="17">
        <v>2</v>
      </c>
      <c r="J4415" s="17">
        <v>42</v>
      </c>
      <c r="K4415" s="10">
        <v>7042</v>
      </c>
      <c r="P4415" s="17">
        <v>1</v>
      </c>
      <c r="Q4415" s="19">
        <v>7042</v>
      </c>
      <c r="R4415" s="14">
        <v>200</v>
      </c>
      <c r="S4415" s="19">
        <v>1408400</v>
      </c>
      <c r="AJ4415" s="19">
        <v>0</v>
      </c>
      <c r="AK4415" s="23">
        <v>0</v>
      </c>
      <c r="AM4415" s="19">
        <v>0</v>
      </c>
      <c r="AN4415" s="19">
        <v>1408400</v>
      </c>
      <c r="AP4415" s="14">
        <v>1408400</v>
      </c>
    </row>
    <row r="4416" spans="1:45" x14ac:dyDescent="0.2">
      <c r="A4416" s="121">
        <f t="shared" si="526"/>
        <v>3738</v>
      </c>
      <c r="B4416" s="13">
        <v>2</v>
      </c>
      <c r="C4416" s="17" t="s">
        <v>52</v>
      </c>
      <c r="D4416" s="17">
        <v>29841</v>
      </c>
      <c r="E4416" s="17">
        <v>40</v>
      </c>
      <c r="F4416" s="17">
        <v>5524</v>
      </c>
      <c r="G4416" s="13">
        <v>5</v>
      </c>
      <c r="H4416" s="17">
        <v>9</v>
      </c>
      <c r="I4416" s="17">
        <v>2</v>
      </c>
      <c r="J4416" s="17">
        <v>9.08</v>
      </c>
      <c r="K4416" s="10">
        <v>3809.08</v>
      </c>
      <c r="P4416" s="17">
        <v>1</v>
      </c>
      <c r="Q4416" s="19">
        <v>3809.08</v>
      </c>
      <c r="R4416" s="14">
        <v>160</v>
      </c>
      <c r="S4416" s="19">
        <v>609452.80000000005</v>
      </c>
      <c r="AJ4416" s="19">
        <v>0</v>
      </c>
      <c r="AK4416" s="23">
        <v>0</v>
      </c>
      <c r="AM4416" s="19">
        <v>0</v>
      </c>
      <c r="AN4416" s="19">
        <v>609452.80000000005</v>
      </c>
      <c r="AP4416" s="14">
        <v>609452.80000000005</v>
      </c>
    </row>
    <row r="4417" spans="1:45" x14ac:dyDescent="0.2">
      <c r="B4417" s="13">
        <v>3</v>
      </c>
      <c r="C4417" s="17" t="s">
        <v>65</v>
      </c>
      <c r="D4417" s="17">
        <v>2115</v>
      </c>
      <c r="E4417" s="17">
        <v>7</v>
      </c>
      <c r="H4417" s="17">
        <v>16</v>
      </c>
      <c r="I4417" s="17">
        <v>0</v>
      </c>
      <c r="J4417" s="17">
        <v>86</v>
      </c>
      <c r="K4417" s="10">
        <v>6486</v>
      </c>
      <c r="P4417" s="17">
        <v>1</v>
      </c>
      <c r="Q4417" s="19">
        <v>6486</v>
      </c>
      <c r="S4417" s="19">
        <v>0</v>
      </c>
      <c r="AJ4417" s="19">
        <v>0</v>
      </c>
      <c r="AK4417" s="23">
        <v>0</v>
      </c>
      <c r="AM4417" s="19">
        <v>0</v>
      </c>
      <c r="AN4417" s="19">
        <v>0</v>
      </c>
      <c r="AP4417" s="14">
        <v>0</v>
      </c>
      <c r="AQ4417" s="12">
        <v>1E-4</v>
      </c>
    </row>
    <row r="4418" spans="1:45" x14ac:dyDescent="0.2">
      <c r="A4418" s="2">
        <v>3739</v>
      </c>
      <c r="B4418" s="13">
        <v>1</v>
      </c>
      <c r="C4418" s="17" t="s">
        <v>52</v>
      </c>
      <c r="D4418" s="17">
        <v>412</v>
      </c>
      <c r="E4418" s="17">
        <v>501</v>
      </c>
      <c r="F4418" s="17">
        <v>1</v>
      </c>
      <c r="G4418" s="13">
        <v>2</v>
      </c>
      <c r="H4418" s="17">
        <v>0</v>
      </c>
      <c r="I4418" s="17">
        <v>0</v>
      </c>
      <c r="J4418" s="17">
        <v>49.01</v>
      </c>
      <c r="K4418" s="10" t="s">
        <v>392</v>
      </c>
      <c r="P4418" s="17">
        <v>1</v>
      </c>
      <c r="Q4418" s="19">
        <v>49.01</v>
      </c>
      <c r="R4418" s="14">
        <v>4500</v>
      </c>
      <c r="S4418" s="19">
        <v>220545</v>
      </c>
      <c r="AJ4418" s="19">
        <v>0</v>
      </c>
      <c r="AK4418" s="23">
        <v>0</v>
      </c>
      <c r="AM4418" s="19">
        <v>0</v>
      </c>
      <c r="AN4418" s="19">
        <v>220545</v>
      </c>
      <c r="AP4418" s="14">
        <v>220545</v>
      </c>
    </row>
    <row r="4419" spans="1:45" x14ac:dyDescent="0.2">
      <c r="A4419" s="2">
        <f>+A4418+1</f>
        <v>3740</v>
      </c>
      <c r="B4419" s="13">
        <v>2</v>
      </c>
      <c r="C4419" s="17" t="s">
        <v>52</v>
      </c>
      <c r="D4419" s="17">
        <v>26662</v>
      </c>
      <c r="E4419" s="17">
        <v>34</v>
      </c>
      <c r="F4419" s="17">
        <v>4966</v>
      </c>
      <c r="G4419" s="13">
        <v>5</v>
      </c>
      <c r="H4419" s="17">
        <v>15</v>
      </c>
      <c r="I4419" s="17">
        <v>1</v>
      </c>
      <c r="J4419" s="17">
        <v>84</v>
      </c>
      <c r="K4419" s="10">
        <v>6184</v>
      </c>
      <c r="P4419" s="17">
        <v>1</v>
      </c>
      <c r="Q4419" s="19">
        <v>6184</v>
      </c>
      <c r="R4419" s="14">
        <v>750</v>
      </c>
      <c r="S4419" s="19">
        <v>4638000</v>
      </c>
      <c r="AJ4419" s="19">
        <v>0</v>
      </c>
      <c r="AK4419" s="23">
        <v>0</v>
      </c>
      <c r="AM4419" s="19">
        <v>0</v>
      </c>
      <c r="AN4419" s="19">
        <v>4638000</v>
      </c>
      <c r="AP4419" s="14">
        <v>4638000</v>
      </c>
    </row>
    <row r="4420" spans="1:45" x14ac:dyDescent="0.2">
      <c r="A4420" s="121">
        <f t="shared" ref="A4420:A4422" si="527">+A4419+1</f>
        <v>3741</v>
      </c>
      <c r="B4420" s="13">
        <v>1</v>
      </c>
      <c r="C4420" s="17" t="s">
        <v>52</v>
      </c>
      <c r="D4420" s="17">
        <v>18391</v>
      </c>
      <c r="E4420" s="17">
        <v>3</v>
      </c>
      <c r="F4420" s="17">
        <v>4300</v>
      </c>
      <c r="G4420" s="13">
        <v>5</v>
      </c>
      <c r="H4420" s="17">
        <v>17</v>
      </c>
      <c r="I4420" s="17">
        <v>2</v>
      </c>
      <c r="J4420" s="17">
        <v>41</v>
      </c>
      <c r="K4420" s="10">
        <v>7041</v>
      </c>
      <c r="P4420" s="17">
        <v>1</v>
      </c>
      <c r="Q4420" s="19">
        <v>7041</v>
      </c>
      <c r="R4420" s="14">
        <v>200</v>
      </c>
      <c r="S4420" s="19">
        <v>1408200</v>
      </c>
      <c r="AJ4420" s="19">
        <v>0</v>
      </c>
      <c r="AK4420" s="23">
        <v>0</v>
      </c>
      <c r="AM4420" s="19">
        <v>0</v>
      </c>
      <c r="AN4420" s="19">
        <v>1408200</v>
      </c>
      <c r="AP4420" s="14">
        <v>1408200</v>
      </c>
    </row>
    <row r="4421" spans="1:45" x14ac:dyDescent="0.2">
      <c r="A4421" s="121">
        <f t="shared" si="527"/>
        <v>3742</v>
      </c>
      <c r="B4421" s="13">
        <v>1</v>
      </c>
      <c r="C4421" s="17" t="s">
        <v>65</v>
      </c>
      <c r="D4421" s="17">
        <v>2869</v>
      </c>
      <c r="E4421" s="17">
        <v>284</v>
      </c>
      <c r="H4421" s="17">
        <v>0</v>
      </c>
      <c r="I4421" s="17">
        <v>0</v>
      </c>
      <c r="J4421" s="17">
        <v>5</v>
      </c>
      <c r="N4421" s="18">
        <v>5</v>
      </c>
      <c r="Q4421" s="19">
        <v>5</v>
      </c>
      <c r="R4421" s="14" t="e">
        <v>#N/A</v>
      </c>
      <c r="S4421" s="19" t="e">
        <v>#N/A</v>
      </c>
      <c r="AE4421" s="17" t="s">
        <v>95</v>
      </c>
      <c r="AJ4421" s="19">
        <v>0</v>
      </c>
      <c r="AK4421" s="23">
        <v>0</v>
      </c>
      <c r="AM4421" s="19">
        <v>0</v>
      </c>
      <c r="AN4421" s="19" t="e">
        <v>#N/A</v>
      </c>
      <c r="AP4421" s="14" t="e">
        <v>#N/A</v>
      </c>
      <c r="AQ4421" s="12">
        <v>3.0000000000000001E-3</v>
      </c>
    </row>
    <row r="4422" spans="1:45" ht="63" x14ac:dyDescent="0.2">
      <c r="A4422" s="121">
        <f t="shared" si="527"/>
        <v>3743</v>
      </c>
      <c r="B4422" s="13">
        <v>1</v>
      </c>
      <c r="C4422" s="17" t="s">
        <v>52</v>
      </c>
      <c r="D4422" s="17">
        <v>4808</v>
      </c>
      <c r="E4422" s="17">
        <v>26</v>
      </c>
      <c r="F4422" s="17">
        <v>2680</v>
      </c>
      <c r="G4422" s="13">
        <v>7</v>
      </c>
      <c r="H4422" s="17">
        <v>31</v>
      </c>
      <c r="I4422" s="17">
        <v>2</v>
      </c>
      <c r="J4422" s="17">
        <v>50</v>
      </c>
      <c r="K4422" s="10">
        <v>12613.25</v>
      </c>
      <c r="L4422" s="17">
        <v>12</v>
      </c>
      <c r="P4422" s="17">
        <v>5</v>
      </c>
      <c r="Q4422" s="19">
        <v>12650</v>
      </c>
      <c r="R4422" s="14">
        <v>200</v>
      </c>
      <c r="S4422" s="19">
        <v>2530000</v>
      </c>
      <c r="T4422" s="17">
        <v>1</v>
      </c>
      <c r="U4422" s="17" t="s">
        <v>57</v>
      </c>
      <c r="V4422" s="17" t="s">
        <v>88</v>
      </c>
      <c r="W4422" s="4">
        <v>48</v>
      </c>
      <c r="Y4422" s="4">
        <v>48</v>
      </c>
      <c r="AB4422" s="17">
        <v>23</v>
      </c>
      <c r="AJ4422" s="19">
        <v>0</v>
      </c>
      <c r="AK4422" s="23">
        <v>23</v>
      </c>
      <c r="AM4422" s="19">
        <v>0</v>
      </c>
      <c r="AN4422" s="19">
        <v>2530000</v>
      </c>
      <c r="AP4422" s="14">
        <v>2530000</v>
      </c>
      <c r="AS4422" s="26">
        <v>168</v>
      </c>
    </row>
    <row r="4423" spans="1:45" ht="63" x14ac:dyDescent="0.2">
      <c r="L4423" s="17">
        <v>24.75</v>
      </c>
      <c r="Q4423" s="19">
        <v>0</v>
      </c>
      <c r="R4423" s="14" t="e">
        <v>#N/A</v>
      </c>
      <c r="S4423" s="19" t="e">
        <v>#N/A</v>
      </c>
      <c r="T4423" s="17">
        <v>2</v>
      </c>
      <c r="U4423" s="17" t="s">
        <v>57</v>
      </c>
      <c r="V4423" s="17" t="s">
        <v>56</v>
      </c>
      <c r="W4423" s="4">
        <v>99</v>
      </c>
      <c r="Y4423" s="4">
        <v>99</v>
      </c>
      <c r="AB4423" s="17">
        <v>13</v>
      </c>
      <c r="AJ4423" s="19">
        <v>0</v>
      </c>
      <c r="AK4423" s="23">
        <v>13</v>
      </c>
      <c r="AM4423" s="19">
        <v>0</v>
      </c>
      <c r="AN4423" s="19" t="e">
        <v>#N/A</v>
      </c>
      <c r="AP4423" s="14" t="e">
        <v>#N/A</v>
      </c>
    </row>
    <row r="4424" spans="1:45" ht="63" x14ac:dyDescent="0.2">
      <c r="A4424" s="2">
        <v>3744</v>
      </c>
      <c r="B4424" s="13">
        <v>2</v>
      </c>
      <c r="C4424" s="17" t="s">
        <v>52</v>
      </c>
      <c r="D4424" s="17">
        <v>5053</v>
      </c>
      <c r="E4424" s="17">
        <v>2</v>
      </c>
      <c r="F4424" s="17">
        <v>2835</v>
      </c>
      <c r="G4424" s="13">
        <v>7</v>
      </c>
      <c r="H4424" s="17">
        <v>26</v>
      </c>
      <c r="I4424" s="17">
        <v>3</v>
      </c>
      <c r="J4424" s="17">
        <v>28</v>
      </c>
      <c r="K4424" s="10">
        <v>10693</v>
      </c>
      <c r="L4424" s="17">
        <v>35</v>
      </c>
      <c r="P4424" s="17">
        <v>5</v>
      </c>
      <c r="Q4424" s="19">
        <v>10728</v>
      </c>
      <c r="R4424" s="14">
        <v>160</v>
      </c>
      <c r="S4424" s="19">
        <v>1716480</v>
      </c>
      <c r="T4424" s="17">
        <v>1</v>
      </c>
      <c r="U4424" s="17" t="s">
        <v>57</v>
      </c>
      <c r="V4424" s="17" t="s">
        <v>56</v>
      </c>
      <c r="W4424" s="4">
        <v>140</v>
      </c>
      <c r="Y4424" s="4">
        <v>140</v>
      </c>
      <c r="AB4424" s="17">
        <v>22</v>
      </c>
      <c r="AJ4424" s="19">
        <v>0</v>
      </c>
      <c r="AK4424" s="23">
        <v>22</v>
      </c>
      <c r="AM4424" s="19">
        <v>0</v>
      </c>
      <c r="AN4424" s="19">
        <v>1716480</v>
      </c>
      <c r="AP4424" s="14">
        <v>1716480</v>
      </c>
    </row>
    <row r="4425" spans="1:45" x14ac:dyDescent="0.2">
      <c r="A4425" s="2">
        <f>+A4424+1</f>
        <v>3745</v>
      </c>
      <c r="B4425" s="13">
        <v>1</v>
      </c>
      <c r="C4425" s="17" t="s">
        <v>52</v>
      </c>
      <c r="D4425" s="17">
        <v>5055</v>
      </c>
      <c r="E4425" s="17">
        <v>4</v>
      </c>
      <c r="F4425" s="17">
        <v>2837</v>
      </c>
      <c r="G4425" s="13">
        <v>7</v>
      </c>
      <c r="H4425" s="17">
        <v>27</v>
      </c>
      <c r="I4425" s="17">
        <v>3</v>
      </c>
      <c r="J4425" s="17">
        <v>44</v>
      </c>
      <c r="K4425" s="10">
        <v>11144</v>
      </c>
      <c r="P4425" s="17">
        <v>1</v>
      </c>
      <c r="Q4425" s="19">
        <v>11144</v>
      </c>
      <c r="R4425" s="14">
        <v>160</v>
      </c>
      <c r="S4425" s="19">
        <v>1783040</v>
      </c>
      <c r="AJ4425" s="19">
        <v>0</v>
      </c>
      <c r="AK4425" s="23">
        <v>0</v>
      </c>
      <c r="AM4425" s="19">
        <v>0</v>
      </c>
      <c r="AN4425" s="19">
        <v>1783040</v>
      </c>
      <c r="AP4425" s="14">
        <v>1783040</v>
      </c>
    </row>
    <row r="4426" spans="1:45" x14ac:dyDescent="0.2">
      <c r="A4426" s="121">
        <f t="shared" ref="A4426:A4438" si="528">+A4425+1</f>
        <v>3746</v>
      </c>
      <c r="B4426" s="13">
        <v>2</v>
      </c>
      <c r="C4426" s="17" t="s">
        <v>52</v>
      </c>
      <c r="D4426" s="17">
        <v>25443</v>
      </c>
      <c r="E4426" s="17">
        <v>128</v>
      </c>
      <c r="F4426" s="17">
        <v>4931</v>
      </c>
      <c r="G4426" s="13">
        <v>7</v>
      </c>
      <c r="H4426" s="17">
        <v>0</v>
      </c>
      <c r="I4426" s="17">
        <v>0</v>
      </c>
      <c r="J4426" s="17">
        <v>17</v>
      </c>
      <c r="N4426" s="18">
        <v>17</v>
      </c>
      <c r="P4426" s="17">
        <v>4</v>
      </c>
      <c r="Q4426" s="19">
        <v>17</v>
      </c>
      <c r="R4426" s="14">
        <v>160</v>
      </c>
      <c r="S4426" s="19">
        <v>2720</v>
      </c>
      <c r="AJ4426" s="19">
        <v>0</v>
      </c>
      <c r="AK4426" s="23">
        <v>0</v>
      </c>
      <c r="AM4426" s="19">
        <v>0</v>
      </c>
      <c r="AN4426" s="19">
        <v>2720</v>
      </c>
      <c r="AP4426" s="14">
        <v>2720</v>
      </c>
      <c r="AQ4426" s="12">
        <v>3.0000000000000001E-3</v>
      </c>
    </row>
    <row r="4427" spans="1:45" x14ac:dyDescent="0.2">
      <c r="A4427" s="121">
        <f t="shared" si="528"/>
        <v>3747</v>
      </c>
      <c r="B4427" s="13">
        <v>1</v>
      </c>
      <c r="C4427" s="17" t="s">
        <v>52</v>
      </c>
      <c r="D4427" s="17">
        <v>5054</v>
      </c>
      <c r="E4427" s="17">
        <v>3</v>
      </c>
      <c r="F4427" s="17">
        <v>2836</v>
      </c>
      <c r="G4427" s="13">
        <v>7</v>
      </c>
      <c r="H4427" s="17">
        <v>21</v>
      </c>
      <c r="I4427" s="17">
        <v>1</v>
      </c>
      <c r="J4427" s="17">
        <v>75</v>
      </c>
      <c r="K4427" s="10">
        <v>8575</v>
      </c>
      <c r="P4427" s="17">
        <v>1</v>
      </c>
      <c r="Q4427" s="19">
        <v>8575</v>
      </c>
      <c r="R4427" s="14">
        <v>160</v>
      </c>
      <c r="S4427" s="19">
        <v>1372000</v>
      </c>
      <c r="AJ4427" s="19">
        <v>0</v>
      </c>
      <c r="AK4427" s="23">
        <v>0</v>
      </c>
      <c r="AM4427" s="19">
        <v>0</v>
      </c>
      <c r="AN4427" s="19">
        <v>1372000</v>
      </c>
      <c r="AP4427" s="14">
        <v>1372000</v>
      </c>
      <c r="AS4427" s="26">
        <v>64</v>
      </c>
    </row>
    <row r="4428" spans="1:45" x14ac:dyDescent="0.2">
      <c r="A4428" s="121">
        <f t="shared" si="528"/>
        <v>3748</v>
      </c>
      <c r="B4428" s="13">
        <v>1</v>
      </c>
      <c r="C4428" s="17" t="s">
        <v>52</v>
      </c>
      <c r="D4428" s="17">
        <v>4915</v>
      </c>
      <c r="E4428" s="17">
        <v>47</v>
      </c>
      <c r="F4428" s="17">
        <v>2791</v>
      </c>
      <c r="G4428" s="13">
        <v>7</v>
      </c>
      <c r="H4428" s="17">
        <v>2</v>
      </c>
      <c r="I4428" s="17">
        <v>3</v>
      </c>
      <c r="J4428" s="17">
        <v>31</v>
      </c>
      <c r="K4428" s="10">
        <v>1131</v>
      </c>
      <c r="P4428" s="17">
        <v>1</v>
      </c>
      <c r="Q4428" s="19">
        <v>1131</v>
      </c>
      <c r="R4428" s="14">
        <v>160</v>
      </c>
      <c r="S4428" s="19">
        <v>180960</v>
      </c>
      <c r="AJ4428" s="19">
        <v>0</v>
      </c>
      <c r="AK4428" s="23">
        <v>0</v>
      </c>
      <c r="AM4428" s="19">
        <v>0</v>
      </c>
      <c r="AN4428" s="19">
        <v>180960</v>
      </c>
      <c r="AP4428" s="14">
        <v>180960</v>
      </c>
      <c r="AS4428" s="26">
        <v>8</v>
      </c>
    </row>
    <row r="4429" spans="1:45" x14ac:dyDescent="0.2">
      <c r="A4429" s="121">
        <f t="shared" si="528"/>
        <v>3749</v>
      </c>
      <c r="B4429" s="13">
        <v>1</v>
      </c>
      <c r="C4429" s="17" t="s">
        <v>52</v>
      </c>
      <c r="D4429" s="17">
        <v>4838</v>
      </c>
      <c r="E4429" s="17">
        <v>42</v>
      </c>
      <c r="F4429" s="17">
        <v>2728</v>
      </c>
      <c r="G4429" s="13">
        <v>7</v>
      </c>
      <c r="H4429" s="17">
        <v>4</v>
      </c>
      <c r="I4429" s="17">
        <v>3</v>
      </c>
      <c r="J4429" s="17">
        <v>86</v>
      </c>
      <c r="K4429" s="10">
        <v>1986</v>
      </c>
      <c r="P4429" s="17">
        <v>1</v>
      </c>
      <c r="Q4429" s="19">
        <v>1986</v>
      </c>
      <c r="R4429" s="14">
        <v>160</v>
      </c>
      <c r="S4429" s="19">
        <v>317760</v>
      </c>
      <c r="AJ4429" s="19">
        <v>0</v>
      </c>
      <c r="AK4429" s="23">
        <v>0</v>
      </c>
      <c r="AM4429" s="19">
        <v>0</v>
      </c>
      <c r="AN4429" s="19">
        <v>317760</v>
      </c>
      <c r="AP4429" s="14">
        <v>317760</v>
      </c>
      <c r="AS4429" s="26">
        <v>15</v>
      </c>
    </row>
    <row r="4430" spans="1:45" x14ac:dyDescent="0.2">
      <c r="A4430" s="121">
        <f t="shared" si="528"/>
        <v>3750</v>
      </c>
      <c r="B4430" s="13">
        <v>1</v>
      </c>
      <c r="C4430" s="17" t="s">
        <v>52</v>
      </c>
      <c r="D4430" s="17">
        <v>4910</v>
      </c>
      <c r="E4430" s="17">
        <v>60</v>
      </c>
      <c r="F4430" s="17">
        <v>2786</v>
      </c>
      <c r="G4430" s="13">
        <v>7</v>
      </c>
      <c r="H4430" s="17">
        <v>4</v>
      </c>
      <c r="I4430" s="17">
        <v>3</v>
      </c>
      <c r="J4430" s="17">
        <v>11</v>
      </c>
      <c r="K4430" s="10">
        <v>1911</v>
      </c>
      <c r="P4430" s="17">
        <v>1</v>
      </c>
      <c r="Q4430" s="19">
        <v>1911</v>
      </c>
      <c r="R4430" s="14">
        <v>160</v>
      </c>
      <c r="S4430" s="19">
        <v>305760</v>
      </c>
      <c r="AJ4430" s="19">
        <v>0</v>
      </c>
      <c r="AK4430" s="23">
        <v>0</v>
      </c>
      <c r="AM4430" s="19">
        <v>0</v>
      </c>
      <c r="AN4430" s="19">
        <v>305760</v>
      </c>
      <c r="AP4430" s="14">
        <v>305760</v>
      </c>
      <c r="AS4430" s="26">
        <v>14</v>
      </c>
    </row>
    <row r="4431" spans="1:45" x14ac:dyDescent="0.2">
      <c r="A4431" s="121">
        <f t="shared" si="528"/>
        <v>3751</v>
      </c>
      <c r="B4431" s="13">
        <v>1</v>
      </c>
      <c r="C4431" s="17" t="s">
        <v>52</v>
      </c>
      <c r="D4431" s="17">
        <v>4837</v>
      </c>
      <c r="E4431" s="17">
        <v>41</v>
      </c>
      <c r="F4431" s="17">
        <v>2727</v>
      </c>
      <c r="G4431" s="13">
        <v>7</v>
      </c>
      <c r="H4431" s="17">
        <v>4</v>
      </c>
      <c r="I4431" s="17">
        <v>2</v>
      </c>
      <c r="J4431" s="17">
        <v>12</v>
      </c>
      <c r="K4431" s="10">
        <v>1812</v>
      </c>
      <c r="P4431" s="17">
        <v>1</v>
      </c>
      <c r="Q4431" s="19">
        <v>1812</v>
      </c>
      <c r="R4431" s="14">
        <v>160</v>
      </c>
      <c r="S4431" s="19">
        <v>289920</v>
      </c>
      <c r="AJ4431" s="19">
        <v>0</v>
      </c>
      <c r="AK4431" s="23">
        <v>0</v>
      </c>
      <c r="AM4431" s="19">
        <v>0</v>
      </c>
      <c r="AN4431" s="19">
        <v>289920</v>
      </c>
      <c r="AP4431" s="14">
        <v>289920</v>
      </c>
      <c r="AS4431" s="26">
        <v>14</v>
      </c>
    </row>
    <row r="4432" spans="1:45" x14ac:dyDescent="0.2">
      <c r="A4432" s="121">
        <f t="shared" si="528"/>
        <v>3752</v>
      </c>
      <c r="B4432" s="13">
        <v>2</v>
      </c>
      <c r="C4432" s="17" t="s">
        <v>52</v>
      </c>
      <c r="D4432" s="17">
        <v>4911</v>
      </c>
      <c r="E4432" s="17">
        <v>55</v>
      </c>
      <c r="F4432" s="17">
        <v>2787</v>
      </c>
      <c r="G4432" s="13">
        <v>7</v>
      </c>
      <c r="H4432" s="17">
        <v>0</v>
      </c>
      <c r="I4432" s="17">
        <v>2</v>
      </c>
      <c r="J4432" s="17">
        <v>22</v>
      </c>
      <c r="N4432" s="18">
        <v>222</v>
      </c>
      <c r="P4432" s="17">
        <v>4</v>
      </c>
      <c r="Q4432" s="19">
        <v>222</v>
      </c>
      <c r="R4432" s="14">
        <v>160</v>
      </c>
      <c r="S4432" s="19">
        <v>35520</v>
      </c>
      <c r="AJ4432" s="19">
        <v>0</v>
      </c>
      <c r="AK4432" s="23">
        <v>0</v>
      </c>
      <c r="AM4432" s="19">
        <v>0</v>
      </c>
      <c r="AN4432" s="19">
        <v>35520</v>
      </c>
      <c r="AP4432" s="14">
        <v>35520</v>
      </c>
      <c r="AQ4432" s="12">
        <v>3.0000000000000001E-3</v>
      </c>
    </row>
    <row r="4433" spans="1:45" x14ac:dyDescent="0.2">
      <c r="A4433" s="121">
        <f t="shared" si="528"/>
        <v>3753</v>
      </c>
      <c r="B4433" s="13">
        <v>1</v>
      </c>
      <c r="C4433" s="17" t="s">
        <v>52</v>
      </c>
      <c r="D4433" s="17">
        <v>4916</v>
      </c>
      <c r="E4433" s="17">
        <v>46</v>
      </c>
      <c r="F4433" s="17">
        <v>2792</v>
      </c>
      <c r="G4433" s="13">
        <v>7</v>
      </c>
      <c r="H4433" s="17">
        <v>5</v>
      </c>
      <c r="I4433" s="17">
        <v>3</v>
      </c>
      <c r="J4433" s="17">
        <v>32</v>
      </c>
      <c r="K4433" s="10">
        <v>2332</v>
      </c>
      <c r="P4433" s="17">
        <v>1</v>
      </c>
      <c r="Q4433" s="19">
        <v>2332</v>
      </c>
      <c r="R4433" s="14">
        <v>470</v>
      </c>
      <c r="S4433" s="19">
        <v>1096040</v>
      </c>
      <c r="AJ4433" s="19">
        <v>0</v>
      </c>
      <c r="AK4433" s="23">
        <v>0</v>
      </c>
      <c r="AM4433" s="19">
        <v>0</v>
      </c>
      <c r="AN4433" s="19">
        <v>1096040</v>
      </c>
      <c r="AP4433" s="14">
        <v>1096040</v>
      </c>
      <c r="AS4433" s="26">
        <v>32</v>
      </c>
    </row>
    <row r="4434" spans="1:45" ht="63" x14ac:dyDescent="0.2">
      <c r="A4434" s="121">
        <f t="shared" si="528"/>
        <v>3754</v>
      </c>
      <c r="B4434" s="13">
        <v>1</v>
      </c>
      <c r="C4434" s="17" t="s">
        <v>52</v>
      </c>
      <c r="D4434" s="17">
        <v>5029</v>
      </c>
      <c r="E4434" s="17">
        <v>30</v>
      </c>
      <c r="F4434" s="17">
        <v>2811</v>
      </c>
      <c r="G4434" s="13">
        <v>7</v>
      </c>
      <c r="H4434" s="17">
        <v>2</v>
      </c>
      <c r="I4434" s="17">
        <v>0</v>
      </c>
      <c r="J4434" s="17">
        <v>38</v>
      </c>
      <c r="K4434" s="10">
        <v>811.75</v>
      </c>
      <c r="L4434" s="17">
        <v>26.25</v>
      </c>
      <c r="P4434" s="17">
        <v>5</v>
      </c>
      <c r="Q4434" s="19">
        <v>838</v>
      </c>
      <c r="R4434" s="14">
        <v>880</v>
      </c>
      <c r="S4434" s="19">
        <v>737440</v>
      </c>
      <c r="T4434" s="17">
        <v>1</v>
      </c>
      <c r="U4434" s="17" t="s">
        <v>57</v>
      </c>
      <c r="V4434" s="17" t="s">
        <v>56</v>
      </c>
      <c r="W4434" s="4">
        <v>105</v>
      </c>
      <c r="Y4434" s="4">
        <v>105</v>
      </c>
      <c r="AB4434" s="17">
        <v>15</v>
      </c>
      <c r="AJ4434" s="19">
        <v>0</v>
      </c>
      <c r="AK4434" s="23">
        <v>15</v>
      </c>
      <c r="AM4434" s="19">
        <v>0</v>
      </c>
      <c r="AN4434" s="19">
        <v>737440</v>
      </c>
      <c r="AP4434" s="14">
        <v>737440</v>
      </c>
    </row>
    <row r="4435" spans="1:45" x14ac:dyDescent="0.2">
      <c r="A4435" s="121">
        <f t="shared" si="528"/>
        <v>3755</v>
      </c>
      <c r="B4435" s="13">
        <v>2</v>
      </c>
      <c r="C4435" s="17" t="s">
        <v>52</v>
      </c>
      <c r="D4435" s="17">
        <v>11803</v>
      </c>
      <c r="E4435" s="17">
        <v>121</v>
      </c>
      <c r="F4435" s="17">
        <v>3217</v>
      </c>
      <c r="G4435" s="13">
        <v>7</v>
      </c>
      <c r="H4435" s="17">
        <v>0</v>
      </c>
      <c r="I4435" s="17">
        <v>0</v>
      </c>
      <c r="J4435" s="17">
        <v>40</v>
      </c>
      <c r="L4435" s="17">
        <v>40</v>
      </c>
      <c r="P4435" s="17">
        <v>2</v>
      </c>
      <c r="Q4435" s="19">
        <v>40</v>
      </c>
      <c r="R4435" s="14">
        <v>1000</v>
      </c>
      <c r="S4435" s="19">
        <v>40000</v>
      </c>
      <c r="AJ4435" s="19">
        <v>0</v>
      </c>
      <c r="AK4435" s="23">
        <v>0</v>
      </c>
      <c r="AM4435" s="19">
        <v>0</v>
      </c>
      <c r="AN4435" s="19">
        <v>40000</v>
      </c>
      <c r="AP4435" s="14">
        <v>40000</v>
      </c>
    </row>
    <row r="4436" spans="1:45" x14ac:dyDescent="0.2">
      <c r="A4436" s="121">
        <f t="shared" si="528"/>
        <v>3756</v>
      </c>
      <c r="B4436" s="13">
        <v>3</v>
      </c>
      <c r="C4436" s="17" t="s">
        <v>52</v>
      </c>
      <c r="D4436" s="17">
        <v>12550</v>
      </c>
      <c r="E4436" s="17">
        <v>123</v>
      </c>
      <c r="F4436" s="17">
        <v>3250</v>
      </c>
      <c r="G4436" s="13">
        <v>7</v>
      </c>
      <c r="H4436" s="17">
        <v>0</v>
      </c>
      <c r="I4436" s="17">
        <v>0</v>
      </c>
      <c r="J4436" s="17">
        <v>17</v>
      </c>
      <c r="K4436" s="10" t="s">
        <v>393</v>
      </c>
      <c r="P4436" s="17">
        <v>1</v>
      </c>
      <c r="Q4436" s="19">
        <v>17</v>
      </c>
      <c r="R4436" s="14">
        <v>1000</v>
      </c>
      <c r="S4436" s="19">
        <v>17000</v>
      </c>
      <c r="AJ4436" s="19">
        <v>0</v>
      </c>
      <c r="AK4436" s="23">
        <v>0</v>
      </c>
      <c r="AM4436" s="19">
        <v>0</v>
      </c>
      <c r="AN4436" s="19">
        <v>17000</v>
      </c>
      <c r="AP4436" s="14">
        <v>17000</v>
      </c>
    </row>
    <row r="4437" spans="1:45" x14ac:dyDescent="0.2">
      <c r="A4437" s="121">
        <f t="shared" si="528"/>
        <v>3757</v>
      </c>
      <c r="B4437" s="13">
        <v>4</v>
      </c>
      <c r="C4437" s="17" t="s">
        <v>52</v>
      </c>
      <c r="D4437" s="17">
        <v>12551</v>
      </c>
      <c r="E4437" s="17">
        <v>124</v>
      </c>
      <c r="F4437" s="17">
        <v>3251</v>
      </c>
      <c r="G4437" s="13">
        <v>7</v>
      </c>
      <c r="H4437" s="17">
        <v>1</v>
      </c>
      <c r="I4437" s="17">
        <v>2</v>
      </c>
      <c r="J4437" s="17">
        <v>21</v>
      </c>
      <c r="K4437" s="10">
        <v>621</v>
      </c>
      <c r="P4437" s="17">
        <v>1</v>
      </c>
      <c r="Q4437" s="19">
        <v>621</v>
      </c>
      <c r="R4437" s="14">
        <v>880</v>
      </c>
      <c r="S4437" s="19">
        <v>546480</v>
      </c>
      <c r="AJ4437" s="19">
        <v>0</v>
      </c>
      <c r="AK4437" s="23">
        <v>0</v>
      </c>
      <c r="AM4437" s="19">
        <v>0</v>
      </c>
      <c r="AN4437" s="19">
        <v>546480</v>
      </c>
      <c r="AP4437" s="14">
        <v>546480</v>
      </c>
    </row>
    <row r="4438" spans="1:45" ht="63" x14ac:dyDescent="0.2">
      <c r="A4438" s="121">
        <f t="shared" si="528"/>
        <v>3758</v>
      </c>
      <c r="B4438" s="13">
        <v>1</v>
      </c>
      <c r="C4438" s="17" t="s">
        <v>52</v>
      </c>
      <c r="D4438" s="17">
        <v>4799</v>
      </c>
      <c r="E4438" s="17">
        <v>18</v>
      </c>
      <c r="F4438" s="17">
        <v>2671</v>
      </c>
      <c r="G4438" s="13">
        <v>7</v>
      </c>
      <c r="H4438" s="17">
        <v>0</v>
      </c>
      <c r="I4438" s="17">
        <v>3</v>
      </c>
      <c r="J4438" s="17">
        <v>93</v>
      </c>
      <c r="K4438" s="10">
        <v>354</v>
      </c>
      <c r="L4438" s="17">
        <v>16.5</v>
      </c>
      <c r="P4438" s="17">
        <v>5</v>
      </c>
      <c r="Q4438" s="19">
        <v>393</v>
      </c>
      <c r="R4438" s="14">
        <v>1000</v>
      </c>
      <c r="S4438" s="19">
        <v>393000</v>
      </c>
      <c r="T4438" s="17">
        <v>1</v>
      </c>
      <c r="U4438" s="17" t="s">
        <v>57</v>
      </c>
      <c r="V4438" s="17" t="s">
        <v>56</v>
      </c>
      <c r="W4438" s="4">
        <v>66</v>
      </c>
      <c r="Y4438" s="4">
        <v>66</v>
      </c>
      <c r="AB4438" s="17">
        <v>21</v>
      </c>
      <c r="AJ4438" s="19">
        <v>0</v>
      </c>
      <c r="AK4438" s="23">
        <v>21</v>
      </c>
      <c r="AM4438" s="19">
        <v>0</v>
      </c>
      <c r="AN4438" s="19">
        <v>393000</v>
      </c>
      <c r="AP4438" s="14">
        <v>393000</v>
      </c>
    </row>
    <row r="4439" spans="1:45" ht="63" x14ac:dyDescent="0.2">
      <c r="L4439" s="17">
        <v>22.5</v>
      </c>
      <c r="Q4439" s="19">
        <v>0</v>
      </c>
      <c r="R4439" s="14" t="e">
        <v>#N/A</v>
      </c>
      <c r="S4439" s="19" t="e">
        <v>#N/A</v>
      </c>
      <c r="T4439" s="17">
        <v>2</v>
      </c>
      <c r="U4439" s="17" t="s">
        <v>57</v>
      </c>
      <c r="V4439" s="17" t="s">
        <v>56</v>
      </c>
      <c r="W4439" s="4">
        <v>90</v>
      </c>
      <c r="Y4439" s="4">
        <v>90</v>
      </c>
      <c r="AB4439" s="17">
        <v>7</v>
      </c>
      <c r="AJ4439" s="19">
        <v>0</v>
      </c>
      <c r="AK4439" s="23">
        <v>7</v>
      </c>
      <c r="AM4439" s="19">
        <v>0</v>
      </c>
      <c r="AN4439" s="19" t="e">
        <v>#N/A</v>
      </c>
      <c r="AP4439" s="14" t="e">
        <v>#N/A</v>
      </c>
    </row>
    <row r="4440" spans="1:45" x14ac:dyDescent="0.2">
      <c r="A4440" s="2">
        <v>3759</v>
      </c>
      <c r="B4440" s="13">
        <v>1</v>
      </c>
      <c r="C4440" s="17" t="s">
        <v>52</v>
      </c>
      <c r="D4440" s="17">
        <v>4805</v>
      </c>
      <c r="E4440" s="17">
        <v>24</v>
      </c>
      <c r="F4440" s="17">
        <v>2677</v>
      </c>
      <c r="G4440" s="13">
        <v>7</v>
      </c>
      <c r="H4440" s="17">
        <v>29</v>
      </c>
      <c r="I4440" s="17">
        <v>0</v>
      </c>
      <c r="J4440" s="17">
        <v>15</v>
      </c>
      <c r="K4440" s="10">
        <v>11615</v>
      </c>
      <c r="P4440" s="17">
        <v>1</v>
      </c>
      <c r="Q4440" s="19">
        <v>11615</v>
      </c>
      <c r="R4440" s="14">
        <v>540</v>
      </c>
      <c r="S4440" s="19">
        <v>6272100</v>
      </c>
      <c r="AJ4440" s="19">
        <v>0</v>
      </c>
      <c r="AK4440" s="23">
        <v>0</v>
      </c>
      <c r="AM4440" s="19">
        <v>0</v>
      </c>
      <c r="AN4440" s="19">
        <v>6272100</v>
      </c>
      <c r="AP4440" s="14">
        <v>6272100</v>
      </c>
      <c r="AS4440" s="26">
        <v>306</v>
      </c>
    </row>
    <row r="4441" spans="1:45" x14ac:dyDescent="0.2">
      <c r="A4441" s="2">
        <f>+A4440+1</f>
        <v>3760</v>
      </c>
      <c r="B4441" s="13">
        <v>2</v>
      </c>
      <c r="C4441" s="17" t="s">
        <v>52</v>
      </c>
      <c r="D4441" s="17">
        <v>5051</v>
      </c>
      <c r="E4441" s="17">
        <v>30</v>
      </c>
      <c r="F4441" s="17">
        <v>2833</v>
      </c>
      <c r="G4441" s="13">
        <v>7</v>
      </c>
      <c r="H4441" s="17">
        <v>21</v>
      </c>
      <c r="I4441" s="17">
        <v>3</v>
      </c>
      <c r="J4441" s="17">
        <v>69</v>
      </c>
      <c r="K4441" s="10">
        <v>8769</v>
      </c>
      <c r="P4441" s="17">
        <v>1</v>
      </c>
      <c r="Q4441" s="19">
        <v>8769</v>
      </c>
      <c r="R4441" s="14">
        <v>160</v>
      </c>
      <c r="S4441" s="19">
        <v>1403040</v>
      </c>
      <c r="AJ4441" s="19">
        <v>0</v>
      </c>
      <c r="AK4441" s="23">
        <v>0</v>
      </c>
      <c r="AM4441" s="19">
        <v>0</v>
      </c>
      <c r="AN4441" s="19">
        <v>1403040</v>
      </c>
      <c r="AP4441" s="14">
        <v>1403040</v>
      </c>
    </row>
    <row r="4442" spans="1:45" ht="42" x14ac:dyDescent="0.2">
      <c r="A4442" s="121">
        <f t="shared" ref="A4442:A4455" si="529">+A4441+1</f>
        <v>3761</v>
      </c>
      <c r="B4442" s="13">
        <v>1</v>
      </c>
      <c r="C4442" s="17" t="s">
        <v>52</v>
      </c>
      <c r="D4442" s="17">
        <v>4971</v>
      </c>
      <c r="E4442" s="17">
        <v>30</v>
      </c>
      <c r="F4442" s="17">
        <v>2587</v>
      </c>
      <c r="G4442" s="13">
        <v>7</v>
      </c>
      <c r="H4442" s="17">
        <v>0</v>
      </c>
      <c r="I4442" s="17">
        <v>1</v>
      </c>
      <c r="J4442" s="17">
        <v>14</v>
      </c>
      <c r="L4442" s="17">
        <v>114</v>
      </c>
      <c r="P4442" s="17">
        <v>2</v>
      </c>
      <c r="Q4442" s="19">
        <v>114</v>
      </c>
      <c r="R4442" s="14">
        <v>4500</v>
      </c>
      <c r="S4442" s="19">
        <v>513000</v>
      </c>
      <c r="AE4442" s="17" t="s">
        <v>394</v>
      </c>
      <c r="AJ4442" s="19">
        <v>0</v>
      </c>
      <c r="AK4442" s="23">
        <v>0</v>
      </c>
      <c r="AM4442" s="19">
        <v>0</v>
      </c>
      <c r="AN4442" s="19">
        <v>513000</v>
      </c>
      <c r="AP4442" s="14">
        <v>513000</v>
      </c>
      <c r="AQ4442" s="12">
        <v>3.0000000000000001E-3</v>
      </c>
      <c r="AS4442" s="26" t="s">
        <v>66</v>
      </c>
    </row>
    <row r="4443" spans="1:45" ht="63" x14ac:dyDescent="0.2">
      <c r="A4443" s="121">
        <f t="shared" si="529"/>
        <v>3762</v>
      </c>
      <c r="B4443" s="13">
        <v>1</v>
      </c>
      <c r="C4443" s="17" t="s">
        <v>52</v>
      </c>
      <c r="D4443" s="17">
        <v>4933</v>
      </c>
      <c r="E4443" s="17">
        <v>85</v>
      </c>
      <c r="F4443" s="17">
        <v>2809</v>
      </c>
      <c r="G4443" s="13">
        <v>7</v>
      </c>
      <c r="H4443" s="17">
        <v>2</v>
      </c>
      <c r="I4443" s="17">
        <v>3</v>
      </c>
      <c r="J4443" s="17">
        <v>51</v>
      </c>
      <c r="K4443" s="10">
        <v>1151</v>
      </c>
      <c r="L4443" s="17">
        <v>31.5</v>
      </c>
      <c r="P4443" s="17">
        <v>5</v>
      </c>
      <c r="Q4443" s="19">
        <v>1151</v>
      </c>
      <c r="R4443" s="14">
        <v>160</v>
      </c>
      <c r="S4443" s="19">
        <v>184160</v>
      </c>
      <c r="T4443" s="17">
        <v>1</v>
      </c>
      <c r="U4443" s="17" t="s">
        <v>57</v>
      </c>
      <c r="V4443" s="17" t="s">
        <v>88</v>
      </c>
      <c r="W4443" s="4">
        <v>126</v>
      </c>
      <c r="Y4443" s="4">
        <v>126</v>
      </c>
      <c r="AB4443" s="17">
        <v>20</v>
      </c>
      <c r="AJ4443" s="19">
        <v>0</v>
      </c>
      <c r="AK4443" s="23">
        <v>20</v>
      </c>
      <c r="AM4443" s="19">
        <v>0</v>
      </c>
      <c r="AN4443" s="19">
        <v>184160</v>
      </c>
      <c r="AP4443" s="14">
        <v>184160</v>
      </c>
    </row>
    <row r="4444" spans="1:45" x14ac:dyDescent="0.2">
      <c r="A4444" s="121">
        <f t="shared" si="529"/>
        <v>3763</v>
      </c>
      <c r="B4444" s="13">
        <v>1</v>
      </c>
      <c r="C4444" s="17" t="s">
        <v>52</v>
      </c>
      <c r="D4444" s="17">
        <v>4775</v>
      </c>
      <c r="E4444" s="17">
        <v>84</v>
      </c>
      <c r="F4444" s="17">
        <v>2645</v>
      </c>
      <c r="G4444" s="13">
        <v>7</v>
      </c>
      <c r="H4444" s="17">
        <v>6</v>
      </c>
      <c r="I4444" s="17">
        <v>1</v>
      </c>
      <c r="J4444" s="17">
        <v>60</v>
      </c>
      <c r="K4444" s="10">
        <v>2560</v>
      </c>
      <c r="P4444" s="17">
        <v>1</v>
      </c>
      <c r="Q4444" s="19">
        <v>2560</v>
      </c>
      <c r="R4444" s="14">
        <v>160</v>
      </c>
      <c r="S4444" s="19">
        <v>409600</v>
      </c>
      <c r="AJ4444" s="19">
        <v>0</v>
      </c>
      <c r="AK4444" s="23">
        <v>0</v>
      </c>
      <c r="AM4444" s="19">
        <v>0</v>
      </c>
      <c r="AN4444" s="19">
        <v>409600</v>
      </c>
      <c r="AP4444" s="14">
        <v>409600</v>
      </c>
      <c r="AS4444" s="26">
        <v>19</v>
      </c>
    </row>
    <row r="4445" spans="1:45" x14ac:dyDescent="0.2">
      <c r="A4445" s="121">
        <f t="shared" si="529"/>
        <v>3764</v>
      </c>
      <c r="B4445" s="13">
        <v>2</v>
      </c>
      <c r="C4445" s="17" t="s">
        <v>52</v>
      </c>
      <c r="D4445" s="17">
        <v>21258</v>
      </c>
      <c r="E4445" s="17">
        <v>102</v>
      </c>
      <c r="F4445" s="17">
        <v>4705</v>
      </c>
      <c r="G4445" s="13">
        <v>7</v>
      </c>
      <c r="H4445" s="17">
        <v>0</v>
      </c>
      <c r="I4445" s="17">
        <v>2</v>
      </c>
      <c r="J4445" s="17">
        <v>12</v>
      </c>
      <c r="Q4445" s="19">
        <v>212</v>
      </c>
      <c r="R4445" s="14">
        <v>160</v>
      </c>
      <c r="S4445" s="19">
        <v>33920</v>
      </c>
      <c r="AJ4445" s="19">
        <v>0</v>
      </c>
      <c r="AK4445" s="23">
        <v>0</v>
      </c>
      <c r="AM4445" s="19">
        <v>0</v>
      </c>
      <c r="AN4445" s="19">
        <v>33920</v>
      </c>
      <c r="AP4445" s="14">
        <v>33920</v>
      </c>
    </row>
    <row r="4446" spans="1:45" ht="63" x14ac:dyDescent="0.2">
      <c r="A4446" s="121">
        <f t="shared" si="529"/>
        <v>3765</v>
      </c>
      <c r="B4446" s="13">
        <v>1</v>
      </c>
      <c r="C4446" s="17" t="s">
        <v>52</v>
      </c>
      <c r="D4446" s="17">
        <v>21256</v>
      </c>
      <c r="E4446" s="17">
        <v>100</v>
      </c>
      <c r="F4446" s="17">
        <v>4703</v>
      </c>
      <c r="G4446" s="13">
        <v>7</v>
      </c>
      <c r="H4446" s="17">
        <v>1</v>
      </c>
      <c r="I4446" s="17">
        <v>1</v>
      </c>
      <c r="J4446" s="17">
        <v>68</v>
      </c>
      <c r="L4446" s="17">
        <v>568</v>
      </c>
      <c r="P4446" s="17">
        <v>2</v>
      </c>
      <c r="Q4446" s="19">
        <v>568</v>
      </c>
      <c r="R4446" s="14">
        <v>160</v>
      </c>
      <c r="S4446" s="19">
        <v>90880</v>
      </c>
      <c r="T4446" s="17">
        <v>1</v>
      </c>
      <c r="U4446" s="17" t="s">
        <v>57</v>
      </c>
      <c r="V4446" s="17" t="s">
        <v>56</v>
      </c>
      <c r="W4446" s="4">
        <v>77</v>
      </c>
      <c r="Y4446" s="4">
        <v>77</v>
      </c>
      <c r="AB4446" s="17">
        <v>21</v>
      </c>
      <c r="AJ4446" s="19">
        <v>0</v>
      </c>
      <c r="AK4446" s="23">
        <v>21</v>
      </c>
      <c r="AM4446" s="19">
        <v>0</v>
      </c>
      <c r="AN4446" s="19">
        <v>90880</v>
      </c>
      <c r="AP4446" s="14">
        <v>90880</v>
      </c>
      <c r="AS4446" s="26">
        <v>2</v>
      </c>
    </row>
    <row r="4447" spans="1:45" x14ac:dyDescent="0.2">
      <c r="A4447" s="121">
        <f t="shared" si="529"/>
        <v>3766</v>
      </c>
      <c r="B4447" s="13">
        <v>1</v>
      </c>
      <c r="C4447" s="17" t="s">
        <v>52</v>
      </c>
      <c r="D4447" s="17">
        <v>21257</v>
      </c>
      <c r="E4447" s="17">
        <v>101</v>
      </c>
      <c r="F4447" s="17">
        <v>4704</v>
      </c>
      <c r="G4447" s="13">
        <v>7</v>
      </c>
      <c r="H4447" s="17">
        <v>2</v>
      </c>
      <c r="I4447" s="17">
        <v>0</v>
      </c>
      <c r="J4447" s="17">
        <v>37</v>
      </c>
      <c r="Q4447" s="19">
        <v>837</v>
      </c>
      <c r="R4447" s="14">
        <v>160</v>
      </c>
      <c r="S4447" s="19">
        <v>133920</v>
      </c>
      <c r="AJ4447" s="19">
        <v>0</v>
      </c>
      <c r="AK4447" s="23">
        <v>0</v>
      </c>
      <c r="AM4447" s="19">
        <v>0</v>
      </c>
      <c r="AN4447" s="19">
        <v>133920</v>
      </c>
      <c r="AP4447" s="14">
        <v>133920</v>
      </c>
    </row>
    <row r="4448" spans="1:45" ht="42" x14ac:dyDescent="0.2">
      <c r="A4448" s="121">
        <f t="shared" si="529"/>
        <v>3767</v>
      </c>
      <c r="B4448" s="13">
        <v>1</v>
      </c>
      <c r="C4448" s="17" t="s">
        <v>52</v>
      </c>
      <c r="D4448" s="17">
        <v>4909</v>
      </c>
      <c r="E4448" s="17">
        <v>61</v>
      </c>
      <c r="F4448" s="17">
        <v>2785</v>
      </c>
      <c r="G4448" s="13">
        <v>7</v>
      </c>
      <c r="H4448" s="17">
        <v>5</v>
      </c>
      <c r="I4448" s="17">
        <v>0</v>
      </c>
      <c r="J4448" s="17">
        <v>65</v>
      </c>
      <c r="K4448" s="10">
        <v>2065</v>
      </c>
      <c r="P4448" s="17">
        <v>1</v>
      </c>
      <c r="Q4448" s="19">
        <v>2065</v>
      </c>
      <c r="R4448" s="14">
        <v>160</v>
      </c>
      <c r="S4448" s="19">
        <v>330400</v>
      </c>
      <c r="AJ4448" s="19">
        <v>0</v>
      </c>
      <c r="AK4448" s="23">
        <v>0</v>
      </c>
      <c r="AM4448" s="19">
        <v>0</v>
      </c>
      <c r="AN4448" s="19">
        <v>330400</v>
      </c>
      <c r="AP4448" s="14">
        <v>330400</v>
      </c>
      <c r="AS4448" s="26" t="s">
        <v>395</v>
      </c>
    </row>
    <row r="4449" spans="1:45" ht="63" x14ac:dyDescent="0.2">
      <c r="A4449" s="121">
        <f t="shared" si="529"/>
        <v>3768</v>
      </c>
      <c r="B4449" s="13">
        <v>1</v>
      </c>
      <c r="C4449" s="17" t="s">
        <v>52</v>
      </c>
      <c r="D4449" s="17">
        <v>4795</v>
      </c>
      <c r="E4449" s="17">
        <v>104</v>
      </c>
      <c r="F4449" s="17">
        <v>2667</v>
      </c>
      <c r="G4449" s="13">
        <v>7</v>
      </c>
      <c r="H4449" s="17">
        <v>26</v>
      </c>
      <c r="I4449" s="17">
        <v>2</v>
      </c>
      <c r="J4449" s="17">
        <v>77</v>
      </c>
      <c r="K4449" s="10">
        <v>10649</v>
      </c>
      <c r="L4449" s="17">
        <v>28</v>
      </c>
      <c r="P4449" s="17">
        <v>5</v>
      </c>
      <c r="Q4449" s="19">
        <v>10677</v>
      </c>
      <c r="R4449" s="14">
        <v>200</v>
      </c>
      <c r="S4449" s="19">
        <v>2135400</v>
      </c>
      <c r="T4449" s="17">
        <v>1</v>
      </c>
      <c r="U4449" s="17" t="s">
        <v>57</v>
      </c>
      <c r="V4449" s="17" t="s">
        <v>56</v>
      </c>
      <c r="W4449" s="4">
        <v>112</v>
      </c>
      <c r="Y4449" s="4">
        <v>112</v>
      </c>
      <c r="AB4449" s="17">
        <v>18</v>
      </c>
      <c r="AJ4449" s="19">
        <v>0</v>
      </c>
      <c r="AK4449" s="23">
        <v>18</v>
      </c>
      <c r="AM4449" s="19">
        <v>0</v>
      </c>
      <c r="AN4449" s="19">
        <v>2135400</v>
      </c>
      <c r="AP4449" s="14">
        <v>2135400</v>
      </c>
      <c r="AS4449" s="26">
        <v>147</v>
      </c>
    </row>
    <row r="4450" spans="1:45" ht="63" x14ac:dyDescent="0.2">
      <c r="A4450" s="121">
        <f t="shared" si="529"/>
        <v>3769</v>
      </c>
      <c r="B4450" s="13">
        <v>1</v>
      </c>
      <c r="C4450" s="17" t="s">
        <v>52</v>
      </c>
      <c r="D4450" s="17">
        <v>5037</v>
      </c>
      <c r="E4450" s="17">
        <v>38</v>
      </c>
      <c r="F4450" s="17">
        <v>2819</v>
      </c>
      <c r="G4450" s="13">
        <v>7</v>
      </c>
      <c r="H4450" s="17">
        <v>0</v>
      </c>
      <c r="I4450" s="17">
        <v>1</v>
      </c>
      <c r="J4450" s="17">
        <v>55</v>
      </c>
      <c r="L4450" s="17">
        <v>155</v>
      </c>
      <c r="P4450" s="17">
        <v>2</v>
      </c>
      <c r="Q4450" s="19">
        <v>155</v>
      </c>
      <c r="R4450" s="14">
        <v>1000</v>
      </c>
      <c r="S4450" s="19">
        <v>155000</v>
      </c>
      <c r="T4450" s="17">
        <v>1</v>
      </c>
      <c r="U4450" s="17" t="s">
        <v>57</v>
      </c>
      <c r="V4450" s="17" t="s">
        <v>56</v>
      </c>
      <c r="W4450" s="4">
        <v>180</v>
      </c>
      <c r="Y4450" s="4">
        <v>180</v>
      </c>
      <c r="AB4450" s="17">
        <v>11</v>
      </c>
      <c r="AJ4450" s="19">
        <v>0</v>
      </c>
      <c r="AK4450" s="23">
        <v>11</v>
      </c>
      <c r="AM4450" s="19">
        <v>0</v>
      </c>
      <c r="AN4450" s="19">
        <v>155000</v>
      </c>
      <c r="AP4450" s="14">
        <v>155000</v>
      </c>
      <c r="AS4450" s="26">
        <v>16</v>
      </c>
    </row>
    <row r="4451" spans="1:45" x14ac:dyDescent="0.2">
      <c r="A4451" s="121">
        <f t="shared" si="529"/>
        <v>3770</v>
      </c>
      <c r="B4451" s="13">
        <v>1</v>
      </c>
      <c r="C4451" s="17" t="s">
        <v>52</v>
      </c>
      <c r="D4451" s="17">
        <v>4806</v>
      </c>
      <c r="E4451" s="17">
        <v>14</v>
      </c>
      <c r="F4451" s="17">
        <v>2678</v>
      </c>
      <c r="G4451" s="13">
        <v>7</v>
      </c>
      <c r="H4451" s="17">
        <v>26</v>
      </c>
      <c r="I4451" s="17">
        <v>3</v>
      </c>
      <c r="J4451" s="17">
        <v>84</v>
      </c>
      <c r="K4451" s="10">
        <v>10784</v>
      </c>
      <c r="P4451" s="17">
        <v>1</v>
      </c>
      <c r="Q4451" s="19">
        <v>10784</v>
      </c>
      <c r="R4451" s="14">
        <v>200</v>
      </c>
      <c r="S4451" s="19">
        <v>2156800</v>
      </c>
      <c r="AJ4451" s="19">
        <v>0</v>
      </c>
      <c r="AK4451" s="23">
        <v>0</v>
      </c>
      <c r="AM4451" s="19">
        <v>0</v>
      </c>
      <c r="AN4451" s="19">
        <v>2156800</v>
      </c>
      <c r="AP4451" s="14">
        <v>2156800</v>
      </c>
      <c r="AS4451" s="26">
        <v>234</v>
      </c>
    </row>
    <row r="4452" spans="1:45" x14ac:dyDescent="0.2">
      <c r="A4452" s="121">
        <f t="shared" si="529"/>
        <v>3771</v>
      </c>
      <c r="B4452" s="13">
        <v>2</v>
      </c>
      <c r="C4452" s="17" t="s">
        <v>52</v>
      </c>
      <c r="D4452" s="17">
        <v>5047</v>
      </c>
      <c r="E4452" s="17">
        <v>26</v>
      </c>
      <c r="F4452" s="17">
        <v>2829</v>
      </c>
      <c r="G4452" s="13">
        <v>7</v>
      </c>
      <c r="H4452" s="17">
        <v>15</v>
      </c>
      <c r="I4452" s="17">
        <v>2</v>
      </c>
      <c r="J4452" s="17">
        <v>62</v>
      </c>
      <c r="K4452" s="10">
        <v>6262</v>
      </c>
      <c r="P4452" s="17">
        <v>1</v>
      </c>
      <c r="Q4452" s="19">
        <v>6262</v>
      </c>
      <c r="R4452" s="14">
        <v>160</v>
      </c>
      <c r="S4452" s="19">
        <v>1001920</v>
      </c>
      <c r="AJ4452" s="19">
        <v>0</v>
      </c>
      <c r="AK4452" s="23">
        <v>0</v>
      </c>
      <c r="AM4452" s="19">
        <v>0</v>
      </c>
      <c r="AN4452" s="19">
        <v>1001920</v>
      </c>
      <c r="AP4452" s="14">
        <v>1001920</v>
      </c>
    </row>
    <row r="4453" spans="1:45" x14ac:dyDescent="0.2">
      <c r="A4453" s="121">
        <f t="shared" si="529"/>
        <v>3772</v>
      </c>
      <c r="B4453" s="13">
        <v>1</v>
      </c>
      <c r="C4453" s="17" t="s">
        <v>52</v>
      </c>
      <c r="D4453" s="17">
        <v>5035</v>
      </c>
      <c r="E4453" s="17">
        <v>36</v>
      </c>
      <c r="F4453" s="17">
        <v>2817</v>
      </c>
      <c r="G4453" s="13">
        <v>7</v>
      </c>
      <c r="H4453" s="17">
        <v>0</v>
      </c>
      <c r="I4453" s="17">
        <v>1</v>
      </c>
      <c r="J4453" s="17">
        <v>69</v>
      </c>
      <c r="K4453" s="10">
        <v>169</v>
      </c>
      <c r="P4453" s="17">
        <v>1</v>
      </c>
      <c r="Q4453" s="19">
        <v>169</v>
      </c>
      <c r="R4453" s="14">
        <v>160</v>
      </c>
      <c r="S4453" s="19">
        <v>27040</v>
      </c>
      <c r="AJ4453" s="19">
        <v>0</v>
      </c>
      <c r="AK4453" s="23">
        <v>0</v>
      </c>
      <c r="AM4453" s="19">
        <v>0</v>
      </c>
      <c r="AN4453" s="19">
        <v>27040</v>
      </c>
      <c r="AP4453" s="14">
        <v>27040</v>
      </c>
      <c r="AS4453" s="26">
        <v>92</v>
      </c>
    </row>
    <row r="4454" spans="1:45" x14ac:dyDescent="0.2">
      <c r="A4454" s="121">
        <f t="shared" si="529"/>
        <v>3773</v>
      </c>
      <c r="B4454" s="13">
        <v>2</v>
      </c>
      <c r="C4454" s="17" t="s">
        <v>52</v>
      </c>
      <c r="D4454" s="17">
        <v>5036</v>
      </c>
      <c r="E4454" s="17">
        <v>37</v>
      </c>
      <c r="F4454" s="17">
        <v>2818</v>
      </c>
      <c r="G4454" s="13">
        <v>7</v>
      </c>
      <c r="H4454" s="17">
        <v>2</v>
      </c>
      <c r="I4454" s="17">
        <v>1</v>
      </c>
      <c r="J4454" s="17">
        <v>57</v>
      </c>
      <c r="K4454" s="10">
        <v>957</v>
      </c>
      <c r="P4454" s="17">
        <v>1</v>
      </c>
      <c r="Q4454" s="19">
        <v>957</v>
      </c>
      <c r="R4454" s="14">
        <v>160</v>
      </c>
      <c r="S4454" s="19">
        <v>153120</v>
      </c>
      <c r="AJ4454" s="19">
        <v>0</v>
      </c>
      <c r="AK4454" s="23">
        <v>0</v>
      </c>
      <c r="AM4454" s="19">
        <v>0</v>
      </c>
      <c r="AN4454" s="19">
        <v>153120</v>
      </c>
      <c r="AP4454" s="14">
        <v>153120</v>
      </c>
    </row>
    <row r="4455" spans="1:45" x14ac:dyDescent="0.2">
      <c r="A4455" s="121">
        <f t="shared" si="529"/>
        <v>3774</v>
      </c>
      <c r="B4455" s="13">
        <v>3</v>
      </c>
      <c r="C4455" s="17" t="s">
        <v>52</v>
      </c>
      <c r="D4455" s="17">
        <v>5038</v>
      </c>
      <c r="E4455" s="17">
        <v>39</v>
      </c>
      <c r="F4455" s="17">
        <v>2820</v>
      </c>
      <c r="G4455" s="13">
        <v>7</v>
      </c>
      <c r="H4455" s="17">
        <v>13</v>
      </c>
      <c r="I4455" s="17">
        <v>3</v>
      </c>
      <c r="J4455" s="17">
        <v>33</v>
      </c>
      <c r="K4455" s="10">
        <v>5491</v>
      </c>
      <c r="L4455" s="17">
        <v>42</v>
      </c>
      <c r="P4455" s="17">
        <v>5</v>
      </c>
      <c r="Q4455" s="19">
        <v>5533</v>
      </c>
      <c r="R4455" s="14">
        <v>630</v>
      </c>
      <c r="S4455" s="19">
        <v>3485790</v>
      </c>
    </row>
    <row r="4456" spans="1:45" x14ac:dyDescent="0.2">
      <c r="P4456" s="17">
        <v>1</v>
      </c>
      <c r="Q4456" s="19">
        <v>5091</v>
      </c>
      <c r="R4456" s="14">
        <v>630</v>
      </c>
      <c r="S4456" s="19">
        <v>3207330</v>
      </c>
      <c r="AE4456" s="17">
        <v>5091</v>
      </c>
    </row>
    <row r="4457" spans="1:45" ht="63" x14ac:dyDescent="0.2">
      <c r="P4457" s="17">
        <v>2</v>
      </c>
      <c r="Q4457" s="19">
        <v>200</v>
      </c>
      <c r="R4457" s="14">
        <v>630</v>
      </c>
      <c r="S4457" s="19">
        <v>126000</v>
      </c>
      <c r="T4457" s="17">
        <v>1</v>
      </c>
      <c r="U4457" s="17" t="s">
        <v>57</v>
      </c>
      <c r="V4457" s="17" t="s">
        <v>56</v>
      </c>
      <c r="W4457" s="4">
        <v>168</v>
      </c>
      <c r="Y4457" s="4">
        <v>168</v>
      </c>
      <c r="AB4457" s="17">
        <v>21</v>
      </c>
      <c r="AF4457" s="14">
        <v>2</v>
      </c>
      <c r="AG4457" s="54">
        <v>168</v>
      </c>
      <c r="AH4457" s="11">
        <v>1</v>
      </c>
      <c r="AI4457" s="14">
        <v>7250</v>
      </c>
      <c r="AJ4457" s="19">
        <v>1218000</v>
      </c>
      <c r="AK4457" s="23">
        <v>21</v>
      </c>
      <c r="AL4457" s="11">
        <v>0.32</v>
      </c>
      <c r="AM4457" s="19">
        <v>828240</v>
      </c>
      <c r="AN4457" s="19">
        <v>954240</v>
      </c>
      <c r="AP4457" s="14">
        <v>954240</v>
      </c>
    </row>
    <row r="4458" spans="1:45" ht="63" x14ac:dyDescent="0.2">
      <c r="P4458" s="17">
        <v>2</v>
      </c>
      <c r="Q4458" s="19">
        <v>200</v>
      </c>
      <c r="R4458" s="14">
        <v>630</v>
      </c>
      <c r="S4458" s="19">
        <v>126000</v>
      </c>
      <c r="T4458" s="17">
        <v>2</v>
      </c>
      <c r="U4458" s="17" t="s">
        <v>57</v>
      </c>
      <c r="V4458" s="17" t="s">
        <v>56</v>
      </c>
      <c r="W4458" s="4">
        <v>126</v>
      </c>
      <c r="Y4458" s="4" t="s">
        <v>396</v>
      </c>
      <c r="AB4458" s="17">
        <v>15</v>
      </c>
      <c r="AF4458" s="14">
        <v>2</v>
      </c>
      <c r="AG4458" s="54">
        <v>126</v>
      </c>
      <c r="AH4458" s="11">
        <v>0.83</v>
      </c>
      <c r="AI4458" s="14">
        <v>7250</v>
      </c>
      <c r="AJ4458" s="19">
        <v>758205</v>
      </c>
      <c r="AK4458" s="23">
        <v>15</v>
      </c>
      <c r="AL4458" s="11">
        <v>0.2</v>
      </c>
      <c r="AM4458" s="19">
        <v>606564</v>
      </c>
      <c r="AN4458" s="19">
        <v>711144</v>
      </c>
      <c r="AP4458" s="14">
        <v>711144</v>
      </c>
    </row>
    <row r="4459" spans="1:45" x14ac:dyDescent="0.2">
      <c r="Z4459" s="17">
        <v>21</v>
      </c>
      <c r="AF4459" s="14">
        <v>3</v>
      </c>
      <c r="AG4459" s="54">
        <v>126</v>
      </c>
      <c r="AH4459" s="11">
        <v>0.17</v>
      </c>
      <c r="AI4459" s="14">
        <v>7250</v>
      </c>
      <c r="AJ4459" s="19">
        <v>155295</v>
      </c>
      <c r="AK4459" s="23">
        <v>15</v>
      </c>
      <c r="AL4459" s="11">
        <v>0.2</v>
      </c>
      <c r="AM4459" s="19">
        <v>124236</v>
      </c>
      <c r="AN4459" s="19">
        <v>145656</v>
      </c>
      <c r="AP4459" s="14">
        <v>145656</v>
      </c>
      <c r="AQ4459" s="12">
        <v>3.0000000000000001E-3</v>
      </c>
    </row>
    <row r="4460" spans="1:45" ht="63" x14ac:dyDescent="0.2">
      <c r="A4460" s="2">
        <v>3775</v>
      </c>
      <c r="B4460" s="13">
        <v>1</v>
      </c>
      <c r="C4460" s="17" t="s">
        <v>52</v>
      </c>
      <c r="D4460" s="17">
        <v>4794</v>
      </c>
      <c r="E4460" s="17">
        <v>103</v>
      </c>
      <c r="F4460" s="17">
        <v>2666</v>
      </c>
      <c r="G4460" s="13">
        <v>7</v>
      </c>
      <c r="H4460" s="17">
        <v>1</v>
      </c>
      <c r="I4460" s="17">
        <v>0</v>
      </c>
      <c r="J4460" s="17">
        <v>69</v>
      </c>
      <c r="K4460" s="10">
        <v>454</v>
      </c>
      <c r="L4460" s="17">
        <v>15</v>
      </c>
      <c r="P4460" s="17">
        <v>5</v>
      </c>
      <c r="Q4460" s="19">
        <v>469</v>
      </c>
      <c r="R4460" s="14">
        <v>200</v>
      </c>
      <c r="S4460" s="19">
        <v>93800</v>
      </c>
      <c r="T4460" s="17">
        <v>1</v>
      </c>
      <c r="U4460" s="17" t="s">
        <v>57</v>
      </c>
      <c r="V4460" s="17" t="s">
        <v>56</v>
      </c>
      <c r="W4460" s="4">
        <v>60</v>
      </c>
      <c r="Y4460" s="4">
        <v>60</v>
      </c>
      <c r="AB4460" s="17">
        <v>28</v>
      </c>
      <c r="AJ4460" s="19">
        <v>0</v>
      </c>
      <c r="AK4460" s="23">
        <v>28</v>
      </c>
      <c r="AM4460" s="19">
        <v>0</v>
      </c>
      <c r="AN4460" s="19">
        <v>93800</v>
      </c>
      <c r="AP4460" s="14">
        <v>93800</v>
      </c>
    </row>
    <row r="4461" spans="1:45" x14ac:dyDescent="0.2">
      <c r="A4461" s="2">
        <f>+A4460+1</f>
        <v>3776</v>
      </c>
      <c r="B4461" s="13">
        <v>1</v>
      </c>
      <c r="C4461" s="17" t="s">
        <v>52</v>
      </c>
      <c r="D4461" s="17">
        <v>5031</v>
      </c>
      <c r="E4461" s="17">
        <v>32</v>
      </c>
      <c r="F4461" s="17">
        <v>2813</v>
      </c>
      <c r="G4461" s="13">
        <v>7</v>
      </c>
      <c r="H4461" s="17">
        <v>0</v>
      </c>
      <c r="I4461" s="17">
        <v>2</v>
      </c>
      <c r="J4461" s="17">
        <v>3</v>
      </c>
      <c r="K4461" s="10">
        <v>203</v>
      </c>
      <c r="P4461" s="17">
        <v>1</v>
      </c>
      <c r="Q4461" s="19">
        <v>203</v>
      </c>
      <c r="R4461" s="14">
        <v>160</v>
      </c>
      <c r="S4461" s="19">
        <v>32480</v>
      </c>
      <c r="AJ4461" s="19">
        <v>0</v>
      </c>
      <c r="AK4461" s="23">
        <v>0</v>
      </c>
      <c r="AM4461" s="19">
        <v>0</v>
      </c>
      <c r="AN4461" s="19">
        <v>32480</v>
      </c>
      <c r="AP4461" s="14">
        <v>32480</v>
      </c>
    </row>
    <row r="4462" spans="1:45" x14ac:dyDescent="0.2">
      <c r="A4462" s="121">
        <f t="shared" ref="A4462:A4494" si="530">+A4461+1</f>
        <v>3777</v>
      </c>
      <c r="B4462" s="13">
        <v>1</v>
      </c>
      <c r="C4462" s="17" t="s">
        <v>52</v>
      </c>
      <c r="D4462" s="17">
        <v>4769</v>
      </c>
      <c r="E4462" s="17">
        <v>79</v>
      </c>
      <c r="F4462" s="17">
        <v>2638</v>
      </c>
      <c r="G4462" s="13">
        <v>7</v>
      </c>
      <c r="H4462" s="17">
        <v>4</v>
      </c>
      <c r="I4462" s="17">
        <v>1</v>
      </c>
      <c r="J4462" s="17">
        <v>61</v>
      </c>
      <c r="K4462" s="10">
        <v>1761</v>
      </c>
      <c r="P4462" s="17">
        <v>1</v>
      </c>
      <c r="Q4462" s="19">
        <v>1761</v>
      </c>
      <c r="R4462" s="14">
        <v>160</v>
      </c>
      <c r="S4462" s="19">
        <v>281760</v>
      </c>
      <c r="AJ4462" s="19">
        <v>0</v>
      </c>
      <c r="AK4462" s="23">
        <v>0</v>
      </c>
      <c r="AM4462" s="19">
        <v>0</v>
      </c>
      <c r="AN4462" s="19">
        <v>281760</v>
      </c>
      <c r="AP4462" s="14">
        <v>281760</v>
      </c>
      <c r="AS4462" s="26">
        <v>16</v>
      </c>
    </row>
    <row r="4463" spans="1:45" ht="63" x14ac:dyDescent="0.2">
      <c r="A4463" s="121">
        <f t="shared" si="530"/>
        <v>3778</v>
      </c>
      <c r="B4463" s="13">
        <v>2</v>
      </c>
      <c r="C4463" s="17" t="s">
        <v>52</v>
      </c>
      <c r="D4463" s="17">
        <v>5032</v>
      </c>
      <c r="E4463" s="17">
        <v>33</v>
      </c>
      <c r="F4463" s="17">
        <v>2814</v>
      </c>
      <c r="G4463" s="13">
        <v>7</v>
      </c>
      <c r="H4463" s="17">
        <v>0</v>
      </c>
      <c r="I4463" s="17">
        <v>2</v>
      </c>
      <c r="J4463" s="17">
        <v>15</v>
      </c>
      <c r="K4463" s="10">
        <v>203.75</v>
      </c>
      <c r="L4463" s="17">
        <v>11.25</v>
      </c>
      <c r="P4463" s="17">
        <v>5</v>
      </c>
      <c r="Q4463" s="19">
        <v>215</v>
      </c>
      <c r="R4463" s="14">
        <v>160</v>
      </c>
      <c r="S4463" s="19">
        <v>34400</v>
      </c>
      <c r="T4463" s="17">
        <v>1</v>
      </c>
      <c r="U4463" s="17" t="s">
        <v>57</v>
      </c>
      <c r="V4463" s="17" t="s">
        <v>88</v>
      </c>
      <c r="W4463" s="4">
        <v>45</v>
      </c>
      <c r="Y4463" s="4">
        <v>45</v>
      </c>
      <c r="AB4463" s="17">
        <v>18</v>
      </c>
      <c r="AJ4463" s="19">
        <v>0</v>
      </c>
      <c r="AK4463" s="23">
        <v>18</v>
      </c>
      <c r="AM4463" s="19">
        <v>0</v>
      </c>
      <c r="AN4463" s="19">
        <v>34400</v>
      </c>
      <c r="AP4463" s="14">
        <v>34400</v>
      </c>
    </row>
    <row r="4464" spans="1:45" x14ac:dyDescent="0.2">
      <c r="A4464" s="121">
        <f t="shared" si="530"/>
        <v>3779</v>
      </c>
      <c r="B4464" s="13">
        <v>1</v>
      </c>
      <c r="C4464" s="17" t="s">
        <v>52</v>
      </c>
      <c r="D4464" s="17">
        <v>4770</v>
      </c>
      <c r="E4464" s="17">
        <v>80</v>
      </c>
      <c r="F4464" s="17">
        <v>2639</v>
      </c>
      <c r="G4464" s="13">
        <v>7</v>
      </c>
      <c r="H4464" s="17">
        <v>4</v>
      </c>
      <c r="I4464" s="17">
        <v>3</v>
      </c>
      <c r="J4464" s="17">
        <v>71</v>
      </c>
      <c r="K4464" s="10">
        <v>1971</v>
      </c>
      <c r="P4464" s="17">
        <v>1</v>
      </c>
      <c r="Q4464" s="19">
        <v>1971</v>
      </c>
      <c r="R4464" s="14">
        <v>160</v>
      </c>
      <c r="S4464" s="19">
        <v>315360</v>
      </c>
      <c r="AJ4464" s="19">
        <v>0</v>
      </c>
      <c r="AK4464" s="23">
        <v>0</v>
      </c>
      <c r="AM4464" s="19">
        <v>0</v>
      </c>
      <c r="AN4464" s="19">
        <v>315360</v>
      </c>
      <c r="AP4464" s="14">
        <v>315360</v>
      </c>
      <c r="AS4464" s="26">
        <v>18</v>
      </c>
    </row>
    <row r="4465" spans="1:45" x14ac:dyDescent="0.2">
      <c r="A4465" s="121">
        <f t="shared" si="530"/>
        <v>3780</v>
      </c>
      <c r="B4465" s="13">
        <v>2</v>
      </c>
      <c r="C4465" s="17" t="s">
        <v>52</v>
      </c>
      <c r="D4465" s="17">
        <v>5033</v>
      </c>
      <c r="E4465" s="17">
        <v>34</v>
      </c>
      <c r="F4465" s="17">
        <v>2815</v>
      </c>
      <c r="G4465" s="13">
        <v>7</v>
      </c>
      <c r="H4465" s="17">
        <v>0</v>
      </c>
      <c r="I4465" s="17">
        <v>2</v>
      </c>
      <c r="J4465" s="17">
        <v>3</v>
      </c>
      <c r="K4465" s="10">
        <v>203</v>
      </c>
      <c r="P4465" s="17">
        <v>1</v>
      </c>
      <c r="Q4465" s="19">
        <v>203</v>
      </c>
      <c r="R4465" s="14">
        <v>160</v>
      </c>
      <c r="S4465" s="19">
        <v>32480</v>
      </c>
      <c r="AJ4465" s="19">
        <v>0</v>
      </c>
      <c r="AK4465" s="23">
        <v>0</v>
      </c>
      <c r="AM4465" s="19">
        <v>0</v>
      </c>
      <c r="AN4465" s="19">
        <v>32480</v>
      </c>
      <c r="AP4465" s="14">
        <v>32480</v>
      </c>
    </row>
    <row r="4466" spans="1:45" x14ac:dyDescent="0.2">
      <c r="A4466" s="121">
        <f t="shared" si="530"/>
        <v>3781</v>
      </c>
      <c r="B4466" s="13">
        <v>1</v>
      </c>
      <c r="C4466" s="17" t="s">
        <v>52</v>
      </c>
      <c r="D4466" s="17">
        <v>4920</v>
      </c>
      <c r="E4466" s="17">
        <v>52</v>
      </c>
      <c r="F4466" s="17">
        <v>2796</v>
      </c>
      <c r="G4466" s="13">
        <v>7</v>
      </c>
      <c r="H4466" s="17">
        <v>4</v>
      </c>
      <c r="I4466" s="17">
        <v>2</v>
      </c>
      <c r="J4466" s="17">
        <v>97</v>
      </c>
      <c r="K4466" s="10">
        <v>1897</v>
      </c>
      <c r="P4466" s="17">
        <v>1</v>
      </c>
      <c r="Q4466" s="19">
        <v>1897</v>
      </c>
      <c r="R4466" s="14">
        <v>540</v>
      </c>
      <c r="S4466" s="19">
        <v>1024380</v>
      </c>
      <c r="AJ4466" s="19">
        <v>0</v>
      </c>
      <c r="AK4466" s="23">
        <v>0</v>
      </c>
      <c r="AM4466" s="19">
        <v>0</v>
      </c>
      <c r="AN4466" s="19">
        <v>1024380</v>
      </c>
      <c r="AP4466" s="14">
        <v>1024380</v>
      </c>
    </row>
    <row r="4467" spans="1:45" x14ac:dyDescent="0.2">
      <c r="A4467" s="121">
        <f t="shared" si="530"/>
        <v>3782</v>
      </c>
      <c r="B4467" s="13">
        <v>2</v>
      </c>
      <c r="C4467" s="17" t="s">
        <v>52</v>
      </c>
      <c r="D4467" s="17">
        <v>32205</v>
      </c>
      <c r="E4467" s="17">
        <v>106</v>
      </c>
      <c r="F4467" s="17">
        <v>6245</v>
      </c>
      <c r="G4467" s="13">
        <v>7</v>
      </c>
      <c r="H4467" s="17">
        <v>0</v>
      </c>
      <c r="I4467" s="17">
        <v>1</v>
      </c>
      <c r="J4467" s="17">
        <v>10</v>
      </c>
      <c r="K4467" s="10">
        <v>110</v>
      </c>
      <c r="P4467" s="17">
        <v>1</v>
      </c>
      <c r="Q4467" s="19">
        <v>110</v>
      </c>
      <c r="R4467" s="14">
        <v>250</v>
      </c>
      <c r="S4467" s="19">
        <v>27500</v>
      </c>
      <c r="AJ4467" s="19">
        <v>0</v>
      </c>
      <c r="AK4467" s="23">
        <v>0</v>
      </c>
      <c r="AM4467" s="19">
        <v>0</v>
      </c>
      <c r="AN4467" s="19">
        <v>27500</v>
      </c>
      <c r="AP4467" s="14">
        <v>27500</v>
      </c>
    </row>
    <row r="4468" spans="1:45" x14ac:dyDescent="0.2">
      <c r="A4468" s="121">
        <f t="shared" si="530"/>
        <v>3783</v>
      </c>
      <c r="B4468" s="13">
        <v>3</v>
      </c>
      <c r="C4468" s="17" t="s">
        <v>52</v>
      </c>
      <c r="D4468" s="17">
        <v>32206</v>
      </c>
      <c r="E4468" s="17">
        <v>107</v>
      </c>
      <c r="F4468" s="17">
        <v>6246</v>
      </c>
      <c r="G4468" s="13">
        <v>7</v>
      </c>
      <c r="H4468" s="17">
        <v>0</v>
      </c>
      <c r="I4468" s="17">
        <v>1</v>
      </c>
      <c r="J4468" s="17">
        <v>11</v>
      </c>
      <c r="K4468" s="10">
        <v>111</v>
      </c>
      <c r="P4468" s="17">
        <v>1</v>
      </c>
      <c r="Q4468" s="19">
        <v>111</v>
      </c>
      <c r="R4468" s="14">
        <v>250</v>
      </c>
      <c r="S4468" s="19">
        <v>27750</v>
      </c>
      <c r="AJ4468" s="19">
        <v>0</v>
      </c>
      <c r="AK4468" s="23">
        <v>0</v>
      </c>
      <c r="AM4468" s="19">
        <v>0</v>
      </c>
      <c r="AN4468" s="19">
        <v>27750</v>
      </c>
      <c r="AP4468" s="14">
        <v>27750</v>
      </c>
    </row>
    <row r="4469" spans="1:45" x14ac:dyDescent="0.2">
      <c r="A4469" s="121">
        <f t="shared" si="530"/>
        <v>3784</v>
      </c>
      <c r="B4469" s="13">
        <v>1</v>
      </c>
      <c r="C4469" s="17" t="s">
        <v>52</v>
      </c>
      <c r="D4469" s="17">
        <v>5028</v>
      </c>
      <c r="E4469" s="17">
        <v>43</v>
      </c>
      <c r="F4469" s="17">
        <v>2783</v>
      </c>
      <c r="G4469" s="13">
        <v>7</v>
      </c>
      <c r="H4469" s="17">
        <v>7</v>
      </c>
      <c r="I4469" s="17">
        <v>0</v>
      </c>
      <c r="J4469" s="17">
        <v>29</v>
      </c>
      <c r="K4469" s="10">
        <v>2829</v>
      </c>
      <c r="P4469" s="17">
        <v>1</v>
      </c>
      <c r="Q4469" s="19">
        <v>2829</v>
      </c>
      <c r="R4469" s="14">
        <v>160</v>
      </c>
      <c r="S4469" s="19">
        <v>452640</v>
      </c>
      <c r="AJ4469" s="19">
        <v>0</v>
      </c>
      <c r="AK4469" s="23">
        <v>0</v>
      </c>
      <c r="AM4469" s="19">
        <v>0</v>
      </c>
      <c r="AN4469" s="19">
        <v>452640</v>
      </c>
      <c r="AP4469" s="14">
        <v>452640</v>
      </c>
      <c r="AS4469" s="26">
        <v>39</v>
      </c>
    </row>
    <row r="4470" spans="1:45" x14ac:dyDescent="0.2">
      <c r="A4470" s="121">
        <f t="shared" si="530"/>
        <v>3785</v>
      </c>
      <c r="B4470" s="13">
        <v>1</v>
      </c>
      <c r="C4470" s="17" t="s">
        <v>52</v>
      </c>
      <c r="D4470" s="17">
        <v>5079</v>
      </c>
      <c r="E4470" s="17">
        <v>44</v>
      </c>
      <c r="F4470" s="17">
        <v>2851</v>
      </c>
      <c r="G4470" s="13">
        <v>7</v>
      </c>
      <c r="H4470" s="17">
        <v>6</v>
      </c>
      <c r="I4470" s="17">
        <v>1</v>
      </c>
      <c r="J4470" s="17">
        <v>28</v>
      </c>
      <c r="K4470" s="10">
        <v>2528</v>
      </c>
      <c r="P4470" s="17">
        <v>1</v>
      </c>
      <c r="Q4470" s="19">
        <v>2528</v>
      </c>
      <c r="R4470" s="14">
        <v>160</v>
      </c>
      <c r="S4470" s="19">
        <v>404480</v>
      </c>
      <c r="AJ4470" s="19">
        <v>0</v>
      </c>
      <c r="AK4470" s="23">
        <v>0</v>
      </c>
      <c r="AM4470" s="19">
        <v>0</v>
      </c>
      <c r="AN4470" s="19">
        <v>404480</v>
      </c>
      <c r="AP4470" s="14">
        <v>404480</v>
      </c>
      <c r="AS4470" s="26">
        <v>35</v>
      </c>
    </row>
    <row r="4471" spans="1:45" ht="63" x14ac:dyDescent="0.2">
      <c r="A4471" s="121">
        <f t="shared" si="530"/>
        <v>3786</v>
      </c>
      <c r="B4471" s="13">
        <v>1</v>
      </c>
      <c r="C4471" s="17" t="s">
        <v>52</v>
      </c>
      <c r="D4471" s="17">
        <v>20596</v>
      </c>
      <c r="E4471" s="17">
        <v>183</v>
      </c>
      <c r="F4471" s="17">
        <v>4614</v>
      </c>
      <c r="G4471" s="13">
        <v>1</v>
      </c>
      <c r="H4471" s="17">
        <v>0</v>
      </c>
      <c r="I4471" s="17">
        <v>1</v>
      </c>
      <c r="J4471" s="17">
        <v>46</v>
      </c>
      <c r="L4471" s="17">
        <v>146</v>
      </c>
      <c r="P4471" s="17">
        <v>2</v>
      </c>
      <c r="Q4471" s="19">
        <v>146</v>
      </c>
      <c r="R4471" s="14">
        <v>750</v>
      </c>
      <c r="S4471" s="19">
        <v>109500</v>
      </c>
      <c r="T4471" s="17">
        <v>1</v>
      </c>
      <c r="U4471" s="17" t="s">
        <v>57</v>
      </c>
      <c r="V4471" s="17" t="s">
        <v>56</v>
      </c>
      <c r="W4471" s="4">
        <v>100</v>
      </c>
      <c r="Y4471" s="4">
        <v>100</v>
      </c>
      <c r="AB4471" s="17">
        <v>20</v>
      </c>
      <c r="AJ4471" s="19">
        <v>0</v>
      </c>
      <c r="AK4471" s="23">
        <v>20</v>
      </c>
      <c r="AM4471" s="19">
        <v>0</v>
      </c>
      <c r="AN4471" s="19">
        <v>109500</v>
      </c>
      <c r="AP4471" s="14">
        <v>109500</v>
      </c>
    </row>
    <row r="4472" spans="1:45" ht="63" x14ac:dyDescent="0.2">
      <c r="A4472" s="121">
        <f t="shared" si="530"/>
        <v>3787</v>
      </c>
      <c r="B4472" s="13">
        <v>1</v>
      </c>
      <c r="C4472" s="17" t="s">
        <v>52</v>
      </c>
      <c r="D4472" s="17">
        <v>35711</v>
      </c>
      <c r="E4472" s="17">
        <v>85</v>
      </c>
      <c r="F4472" s="17">
        <v>7049</v>
      </c>
      <c r="G4472" s="13">
        <v>6</v>
      </c>
      <c r="H4472" s="17">
        <v>0</v>
      </c>
      <c r="I4472" s="17">
        <v>1</v>
      </c>
      <c r="J4472" s="17">
        <v>3</v>
      </c>
      <c r="L4472" s="17">
        <v>103</v>
      </c>
      <c r="P4472" s="17">
        <v>2</v>
      </c>
      <c r="Q4472" s="19">
        <v>103</v>
      </c>
      <c r="R4472" s="14">
        <v>250</v>
      </c>
      <c r="S4472" s="19">
        <v>25750</v>
      </c>
      <c r="T4472" s="17">
        <v>1</v>
      </c>
      <c r="U4472" s="17" t="s">
        <v>57</v>
      </c>
      <c r="V4472" s="17" t="s">
        <v>56</v>
      </c>
      <c r="W4472" s="4">
        <v>234</v>
      </c>
      <c r="Y4472" s="4">
        <v>234</v>
      </c>
      <c r="AB4472" s="17">
        <v>18</v>
      </c>
      <c r="AJ4472" s="19">
        <v>0</v>
      </c>
      <c r="AK4472" s="23">
        <v>18</v>
      </c>
      <c r="AM4472" s="19">
        <v>0</v>
      </c>
      <c r="AN4472" s="19">
        <v>25750</v>
      </c>
      <c r="AP4472" s="14">
        <v>25750</v>
      </c>
    </row>
    <row r="4473" spans="1:45" x14ac:dyDescent="0.2">
      <c r="A4473" s="121">
        <f t="shared" si="530"/>
        <v>3788</v>
      </c>
      <c r="B4473" s="13">
        <v>1</v>
      </c>
      <c r="C4473" s="17" t="s">
        <v>52</v>
      </c>
      <c r="D4473" s="17">
        <v>802</v>
      </c>
      <c r="E4473" s="17">
        <v>10</v>
      </c>
      <c r="F4473" s="17">
        <v>269</v>
      </c>
      <c r="G4473" s="13">
        <v>6</v>
      </c>
      <c r="H4473" s="17">
        <v>2</v>
      </c>
      <c r="I4473" s="17">
        <v>0</v>
      </c>
      <c r="J4473" s="17">
        <v>39</v>
      </c>
      <c r="K4473" s="10">
        <v>839</v>
      </c>
      <c r="P4473" s="17">
        <v>1</v>
      </c>
      <c r="Q4473" s="19">
        <v>839</v>
      </c>
      <c r="R4473" s="14">
        <v>160</v>
      </c>
      <c r="S4473" s="19">
        <v>134240</v>
      </c>
      <c r="AJ4473" s="19">
        <v>0</v>
      </c>
      <c r="AK4473" s="23">
        <v>0</v>
      </c>
      <c r="AM4473" s="19">
        <v>0</v>
      </c>
      <c r="AN4473" s="19">
        <v>134240</v>
      </c>
      <c r="AP4473" s="14">
        <v>134240</v>
      </c>
    </row>
    <row r="4474" spans="1:45" x14ac:dyDescent="0.2">
      <c r="A4474" s="121">
        <f t="shared" si="530"/>
        <v>3789</v>
      </c>
      <c r="B4474" s="13">
        <v>2</v>
      </c>
      <c r="C4474" s="17" t="s">
        <v>52</v>
      </c>
      <c r="D4474" s="17">
        <v>1237</v>
      </c>
      <c r="E4474" s="17">
        <v>9</v>
      </c>
      <c r="F4474" s="17">
        <v>264</v>
      </c>
      <c r="G4474" s="13">
        <v>6</v>
      </c>
      <c r="H4474" s="17">
        <v>2</v>
      </c>
      <c r="I4474" s="17">
        <v>1</v>
      </c>
      <c r="J4474" s="17">
        <v>9</v>
      </c>
      <c r="K4474" s="10">
        <v>909</v>
      </c>
      <c r="P4474" s="17">
        <v>1</v>
      </c>
      <c r="Q4474" s="19">
        <v>909</v>
      </c>
      <c r="R4474" s="14">
        <v>160</v>
      </c>
      <c r="S4474" s="19">
        <v>145440</v>
      </c>
      <c r="AJ4474" s="19">
        <v>0</v>
      </c>
      <c r="AK4474" s="23">
        <v>0</v>
      </c>
      <c r="AM4474" s="19">
        <v>0</v>
      </c>
      <c r="AN4474" s="19">
        <v>145440</v>
      </c>
      <c r="AP4474" s="14">
        <v>145440</v>
      </c>
    </row>
    <row r="4475" spans="1:45" x14ac:dyDescent="0.2">
      <c r="A4475" s="121">
        <f t="shared" si="530"/>
        <v>3790</v>
      </c>
      <c r="B4475" s="13">
        <v>3</v>
      </c>
      <c r="C4475" s="17" t="s">
        <v>52</v>
      </c>
      <c r="D4475" s="17">
        <v>1244</v>
      </c>
      <c r="E4475" s="17">
        <v>16</v>
      </c>
      <c r="F4475" s="17">
        <v>273</v>
      </c>
      <c r="G4475" s="13">
        <v>6</v>
      </c>
      <c r="H4475" s="17">
        <v>3</v>
      </c>
      <c r="I4475" s="17">
        <v>1</v>
      </c>
      <c r="J4475" s="17">
        <v>44</v>
      </c>
      <c r="K4475" s="10">
        <v>1344</v>
      </c>
      <c r="P4475" s="17">
        <v>1</v>
      </c>
      <c r="Q4475" s="19">
        <v>1344</v>
      </c>
      <c r="R4475" s="14">
        <v>160</v>
      </c>
      <c r="S4475" s="19">
        <v>215040</v>
      </c>
      <c r="AJ4475" s="19">
        <v>0</v>
      </c>
      <c r="AK4475" s="23">
        <v>0</v>
      </c>
      <c r="AM4475" s="19">
        <v>0</v>
      </c>
      <c r="AN4475" s="19">
        <v>215040</v>
      </c>
      <c r="AP4475" s="14">
        <v>215040</v>
      </c>
    </row>
    <row r="4476" spans="1:45" x14ac:dyDescent="0.2">
      <c r="A4476" s="121">
        <f t="shared" si="530"/>
        <v>3791</v>
      </c>
      <c r="B4476" s="13">
        <v>1</v>
      </c>
      <c r="C4476" s="17" t="s">
        <v>52</v>
      </c>
      <c r="D4476" s="17">
        <v>4834</v>
      </c>
      <c r="E4476" s="17">
        <v>44</v>
      </c>
      <c r="F4476" s="17">
        <v>2724</v>
      </c>
      <c r="G4476" s="13">
        <v>7</v>
      </c>
      <c r="H4476" s="17">
        <v>0</v>
      </c>
      <c r="I4476" s="17">
        <v>2</v>
      </c>
      <c r="J4476" s="17">
        <v>74</v>
      </c>
      <c r="K4476" s="10">
        <v>274</v>
      </c>
      <c r="P4476" s="17">
        <v>1</v>
      </c>
      <c r="Q4476" s="19">
        <v>274</v>
      </c>
      <c r="R4476" s="14">
        <v>750</v>
      </c>
      <c r="S4476" s="19">
        <v>205500</v>
      </c>
      <c r="AJ4476" s="19">
        <v>0</v>
      </c>
      <c r="AK4476" s="23">
        <v>0</v>
      </c>
      <c r="AM4476" s="19">
        <v>0</v>
      </c>
      <c r="AN4476" s="19">
        <v>205500</v>
      </c>
      <c r="AP4476" s="14">
        <v>205500</v>
      </c>
      <c r="AS4476" s="26">
        <v>3</v>
      </c>
    </row>
    <row r="4477" spans="1:45" ht="63" x14ac:dyDescent="0.2">
      <c r="A4477" s="121">
        <f t="shared" si="530"/>
        <v>3792</v>
      </c>
      <c r="B4477" s="13">
        <v>1</v>
      </c>
      <c r="C4477" s="17" t="s">
        <v>52</v>
      </c>
      <c r="D4477" s="17">
        <v>11822</v>
      </c>
      <c r="E4477" s="17">
        <v>96</v>
      </c>
      <c r="F4477" s="17">
        <v>3222</v>
      </c>
      <c r="G4477" s="13">
        <v>7</v>
      </c>
      <c r="H4477" s="17">
        <v>0</v>
      </c>
      <c r="I4477" s="17">
        <v>1</v>
      </c>
      <c r="J4477" s="17">
        <v>89.07</v>
      </c>
      <c r="L4477" s="17">
        <v>189.07</v>
      </c>
      <c r="P4477" s="17">
        <v>2</v>
      </c>
      <c r="Q4477" s="19">
        <v>189.07</v>
      </c>
      <c r="R4477" s="14">
        <v>1000</v>
      </c>
      <c r="S4477" s="19">
        <v>189070</v>
      </c>
      <c r="T4477" s="17">
        <v>1</v>
      </c>
      <c r="U4477" s="17" t="s">
        <v>57</v>
      </c>
      <c r="V4477" s="17" t="s">
        <v>56</v>
      </c>
      <c r="W4477" s="4">
        <v>276</v>
      </c>
      <c r="Y4477" s="4">
        <v>276</v>
      </c>
      <c r="AB4477" s="17">
        <v>20</v>
      </c>
      <c r="AJ4477" s="19">
        <v>0</v>
      </c>
      <c r="AK4477" s="23">
        <v>20</v>
      </c>
      <c r="AM4477" s="19">
        <v>0</v>
      </c>
      <c r="AN4477" s="19">
        <v>189070</v>
      </c>
      <c r="AP4477" s="14">
        <v>189070</v>
      </c>
    </row>
    <row r="4478" spans="1:45" ht="63" x14ac:dyDescent="0.2">
      <c r="A4478" s="121">
        <f t="shared" si="530"/>
        <v>3793</v>
      </c>
      <c r="B4478" s="13">
        <v>1</v>
      </c>
      <c r="C4478" s="17" t="s">
        <v>52</v>
      </c>
      <c r="D4478" s="17">
        <v>4928</v>
      </c>
      <c r="E4478" s="17">
        <v>65</v>
      </c>
      <c r="F4478" s="17">
        <v>2804</v>
      </c>
      <c r="G4478" s="13">
        <v>7</v>
      </c>
      <c r="H4478" s="17">
        <v>5</v>
      </c>
      <c r="I4478" s="17">
        <v>2</v>
      </c>
      <c r="J4478" s="17">
        <v>68</v>
      </c>
      <c r="K4478" s="10">
        <v>2268</v>
      </c>
      <c r="P4478" s="17">
        <v>1</v>
      </c>
      <c r="Q4478" s="19">
        <v>2268</v>
      </c>
      <c r="R4478" s="14">
        <v>410</v>
      </c>
      <c r="S4478" s="19">
        <v>929880</v>
      </c>
      <c r="AJ4478" s="19">
        <v>0</v>
      </c>
      <c r="AK4478" s="23">
        <v>0</v>
      </c>
      <c r="AM4478" s="19">
        <v>0</v>
      </c>
      <c r="AN4478" s="19">
        <v>929880</v>
      </c>
      <c r="AP4478" s="14">
        <v>929880</v>
      </c>
      <c r="AR4478" s="19">
        <v>31</v>
      </c>
      <c r="AS4478" s="26">
        <v>751</v>
      </c>
    </row>
    <row r="4479" spans="1:45" ht="63" x14ac:dyDescent="0.2">
      <c r="A4479" s="121">
        <f t="shared" si="530"/>
        <v>3794</v>
      </c>
      <c r="B4479" s="13">
        <v>2</v>
      </c>
      <c r="C4479" s="17" t="s">
        <v>52</v>
      </c>
      <c r="D4479" s="17">
        <v>11823</v>
      </c>
      <c r="E4479" s="17">
        <v>97</v>
      </c>
      <c r="F4479" s="17">
        <v>3223</v>
      </c>
      <c r="G4479" s="13">
        <v>7</v>
      </c>
      <c r="H4479" s="17">
        <v>0</v>
      </c>
      <c r="I4479" s="17">
        <v>1</v>
      </c>
      <c r="J4479" s="17">
        <v>84.05</v>
      </c>
      <c r="L4479" s="17">
        <v>184.05</v>
      </c>
      <c r="P4479" s="17">
        <v>2</v>
      </c>
      <c r="Q4479" s="19">
        <v>184.05</v>
      </c>
      <c r="R4479" s="14">
        <v>1000</v>
      </c>
      <c r="S4479" s="19">
        <v>184050</v>
      </c>
      <c r="U4479" s="17" t="s">
        <v>63</v>
      </c>
      <c r="V4479" s="17" t="s">
        <v>56</v>
      </c>
      <c r="W4479" s="4">
        <v>286</v>
      </c>
      <c r="Y4479" s="4" t="s">
        <v>397</v>
      </c>
      <c r="AB4479" s="17">
        <v>21</v>
      </c>
      <c r="AE4479" s="17">
        <v>254</v>
      </c>
      <c r="AF4479" s="14">
        <v>2</v>
      </c>
      <c r="AG4479" s="54">
        <v>286</v>
      </c>
      <c r="AH4479" s="11">
        <v>0.88</v>
      </c>
      <c r="AI4479" s="14">
        <v>8100</v>
      </c>
      <c r="AJ4479" s="19">
        <v>2038608</v>
      </c>
      <c r="AK4479" s="23">
        <v>21</v>
      </c>
      <c r="AL4479" s="11">
        <v>0.32</v>
      </c>
      <c r="AM4479" s="19">
        <v>1386253.44</v>
      </c>
      <c r="AN4479" s="19">
        <v>1570303.44</v>
      </c>
      <c r="AP4479" s="14">
        <v>1570303.44</v>
      </c>
      <c r="AR4479" s="19">
        <v>720</v>
      </c>
    </row>
    <row r="4480" spans="1:45" x14ac:dyDescent="0.2">
      <c r="A4480" s="121">
        <f t="shared" si="530"/>
        <v>3795</v>
      </c>
      <c r="R4480" s="14" t="e">
        <v>#N/A</v>
      </c>
      <c r="Z4480" s="17">
        <v>32</v>
      </c>
      <c r="AF4480" s="14">
        <v>3</v>
      </c>
      <c r="AG4480" s="54">
        <v>286</v>
      </c>
      <c r="AH4480" s="11">
        <v>0.12</v>
      </c>
      <c r="AI4480" s="14">
        <v>8100</v>
      </c>
      <c r="AJ4480" s="19">
        <v>277992</v>
      </c>
      <c r="AK4480" s="23">
        <v>0</v>
      </c>
      <c r="AL4480" s="11">
        <v>0.32</v>
      </c>
      <c r="AM4480" s="19">
        <v>189034.56</v>
      </c>
      <c r="AN4480" s="19">
        <v>211120.56</v>
      </c>
      <c r="AP4480" s="14">
        <v>211120.56</v>
      </c>
      <c r="AQ4480" s="12">
        <v>3.0000000000000001E-3</v>
      </c>
    </row>
    <row r="4481" spans="1:45" ht="63" x14ac:dyDescent="0.2">
      <c r="A4481" s="121">
        <f t="shared" si="530"/>
        <v>3796</v>
      </c>
      <c r="B4481" s="13">
        <v>1</v>
      </c>
      <c r="C4481" s="17" t="s">
        <v>52</v>
      </c>
      <c r="D4481" s="17">
        <v>4931</v>
      </c>
      <c r="E4481" s="17">
        <v>83</v>
      </c>
      <c r="F4481" s="17">
        <v>2807</v>
      </c>
      <c r="G4481" s="13">
        <v>7</v>
      </c>
      <c r="H4481" s="17">
        <v>1</v>
      </c>
      <c r="I4481" s="17">
        <v>0</v>
      </c>
      <c r="J4481" s="17">
        <v>54</v>
      </c>
      <c r="K4481" s="10">
        <v>424.25</v>
      </c>
      <c r="L4481" s="17">
        <v>29.75</v>
      </c>
      <c r="P4481" s="17">
        <v>5</v>
      </c>
      <c r="Q4481" s="19">
        <v>454</v>
      </c>
      <c r="R4481" s="14">
        <v>880</v>
      </c>
      <c r="S4481" s="19">
        <v>399520</v>
      </c>
      <c r="T4481" s="17">
        <v>1</v>
      </c>
      <c r="U4481" s="17" t="s">
        <v>57</v>
      </c>
      <c r="V4481" s="17" t="s">
        <v>56</v>
      </c>
      <c r="W4481" s="4">
        <v>119</v>
      </c>
      <c r="Y4481" s="4">
        <v>118</v>
      </c>
      <c r="AB4481" s="17">
        <v>17</v>
      </c>
      <c r="AJ4481" s="19">
        <v>0</v>
      </c>
      <c r="AK4481" s="23">
        <v>17</v>
      </c>
      <c r="AM4481" s="19">
        <v>0</v>
      </c>
      <c r="AN4481" s="19">
        <v>399520</v>
      </c>
      <c r="AP4481" s="14">
        <v>399520</v>
      </c>
      <c r="AS4481" s="26">
        <v>13</v>
      </c>
    </row>
    <row r="4482" spans="1:45" x14ac:dyDescent="0.2">
      <c r="A4482" s="121">
        <f t="shared" si="530"/>
        <v>3797</v>
      </c>
      <c r="B4482" s="13">
        <v>2</v>
      </c>
      <c r="C4482" s="17" t="s">
        <v>52</v>
      </c>
      <c r="D4482" s="17">
        <v>4932</v>
      </c>
      <c r="E4482" s="17">
        <v>84</v>
      </c>
      <c r="F4482" s="17">
        <v>2808</v>
      </c>
      <c r="G4482" s="13">
        <v>7</v>
      </c>
      <c r="H4482" s="17">
        <v>1</v>
      </c>
      <c r="I4482" s="17">
        <v>1</v>
      </c>
      <c r="J4482" s="17">
        <v>5.01</v>
      </c>
      <c r="K4482" s="10">
        <v>505.01</v>
      </c>
      <c r="P4482" s="17">
        <v>1</v>
      </c>
      <c r="Q4482" s="19">
        <v>505.01</v>
      </c>
      <c r="R4482" s="14">
        <v>660</v>
      </c>
      <c r="S4482" s="19">
        <v>333306.59999999998</v>
      </c>
      <c r="AJ4482" s="19">
        <v>0</v>
      </c>
      <c r="AK4482" s="23">
        <v>0</v>
      </c>
      <c r="AM4482" s="19">
        <v>0</v>
      </c>
      <c r="AN4482" s="19">
        <v>333306.59999999998</v>
      </c>
      <c r="AP4482" s="14">
        <v>333306.59999999998</v>
      </c>
    </row>
    <row r="4483" spans="1:45" x14ac:dyDescent="0.2">
      <c r="A4483" s="121">
        <f t="shared" si="530"/>
        <v>3798</v>
      </c>
      <c r="B4483" s="13">
        <v>3</v>
      </c>
      <c r="C4483" s="17" t="s">
        <v>52</v>
      </c>
      <c r="D4483" s="17">
        <v>5111</v>
      </c>
      <c r="E4483" s="17">
        <v>69</v>
      </c>
      <c r="F4483" s="17">
        <v>2881</v>
      </c>
      <c r="G4483" s="13">
        <v>7</v>
      </c>
      <c r="H4483" s="17">
        <v>3</v>
      </c>
      <c r="I4483" s="17">
        <v>0</v>
      </c>
      <c r="J4483" s="17">
        <v>99</v>
      </c>
      <c r="K4483" s="10">
        <v>1299</v>
      </c>
      <c r="P4483" s="17">
        <v>1</v>
      </c>
      <c r="Q4483" s="19">
        <v>1299</v>
      </c>
      <c r="R4483" s="14">
        <v>160</v>
      </c>
      <c r="S4483" s="19">
        <v>207840</v>
      </c>
      <c r="AJ4483" s="19">
        <v>0</v>
      </c>
      <c r="AK4483" s="23">
        <v>0</v>
      </c>
      <c r="AM4483" s="19">
        <v>0</v>
      </c>
      <c r="AN4483" s="19">
        <v>207840</v>
      </c>
      <c r="AP4483" s="14">
        <v>207840</v>
      </c>
    </row>
    <row r="4484" spans="1:45" x14ac:dyDescent="0.2">
      <c r="A4484" s="121">
        <f t="shared" si="530"/>
        <v>3799</v>
      </c>
      <c r="B4484" s="13">
        <v>4</v>
      </c>
      <c r="C4484" s="17" t="s">
        <v>52</v>
      </c>
      <c r="D4484" s="17">
        <v>21254</v>
      </c>
      <c r="E4484" s="17">
        <v>98</v>
      </c>
      <c r="F4484" s="17">
        <v>4701</v>
      </c>
      <c r="G4484" s="13">
        <v>7</v>
      </c>
      <c r="H4484" s="17">
        <v>1</v>
      </c>
      <c r="I4484" s="17">
        <v>0</v>
      </c>
      <c r="J4484" s="17">
        <v>34</v>
      </c>
      <c r="Q4484" s="19">
        <v>434</v>
      </c>
      <c r="R4484" s="14">
        <v>160</v>
      </c>
      <c r="S4484" s="19">
        <v>69440</v>
      </c>
      <c r="AJ4484" s="19">
        <v>0</v>
      </c>
      <c r="AK4484" s="23">
        <v>0</v>
      </c>
      <c r="AM4484" s="19">
        <v>0</v>
      </c>
      <c r="AN4484" s="19">
        <v>69440</v>
      </c>
      <c r="AP4484" s="14">
        <v>69440</v>
      </c>
    </row>
    <row r="4485" spans="1:45" x14ac:dyDescent="0.2">
      <c r="A4485" s="121">
        <f t="shared" si="530"/>
        <v>3800</v>
      </c>
      <c r="B4485" s="13">
        <v>1</v>
      </c>
      <c r="C4485" s="17" t="s">
        <v>52</v>
      </c>
      <c r="D4485" s="17">
        <v>4853</v>
      </c>
      <c r="E4485" s="17">
        <v>2</v>
      </c>
      <c r="F4485" s="17">
        <v>2538</v>
      </c>
      <c r="G4485" s="13">
        <v>7</v>
      </c>
      <c r="H4485" s="17">
        <v>0</v>
      </c>
      <c r="I4485" s="17">
        <v>3</v>
      </c>
      <c r="J4485" s="17">
        <v>52</v>
      </c>
      <c r="L4485" s="17">
        <v>352</v>
      </c>
      <c r="P4485" s="17">
        <v>2</v>
      </c>
      <c r="Q4485" s="19">
        <v>352</v>
      </c>
      <c r="R4485" s="14">
        <v>750</v>
      </c>
      <c r="S4485" s="19">
        <v>264000</v>
      </c>
      <c r="AJ4485" s="19">
        <v>0</v>
      </c>
      <c r="AK4485" s="23">
        <v>0</v>
      </c>
      <c r="AM4485" s="19">
        <v>0</v>
      </c>
      <c r="AN4485" s="19">
        <v>264000</v>
      </c>
      <c r="AP4485" s="14">
        <v>264000</v>
      </c>
    </row>
    <row r="4486" spans="1:45" ht="63" x14ac:dyDescent="0.2">
      <c r="A4486" s="121">
        <f t="shared" si="530"/>
        <v>3801</v>
      </c>
      <c r="B4486" s="13">
        <v>2</v>
      </c>
      <c r="C4486" s="17" t="s">
        <v>52</v>
      </c>
      <c r="D4486" s="17">
        <v>4945</v>
      </c>
      <c r="E4486" s="17">
        <v>3</v>
      </c>
      <c r="F4486" s="17">
        <v>2549</v>
      </c>
      <c r="G4486" s="13">
        <v>7</v>
      </c>
      <c r="H4486" s="17">
        <v>0</v>
      </c>
      <c r="I4486" s="17">
        <v>1</v>
      </c>
      <c r="J4486" s="17">
        <v>82</v>
      </c>
      <c r="L4486" s="17">
        <v>182</v>
      </c>
      <c r="P4486" s="17">
        <v>2</v>
      </c>
      <c r="Q4486" s="19">
        <v>182</v>
      </c>
      <c r="R4486" s="14">
        <v>3400</v>
      </c>
      <c r="S4486" s="19">
        <v>618800</v>
      </c>
      <c r="T4486" s="17">
        <v>1</v>
      </c>
      <c r="U4486" s="17" t="s">
        <v>63</v>
      </c>
      <c r="V4486" s="17" t="s">
        <v>56</v>
      </c>
      <c r="W4486" s="4">
        <v>105</v>
      </c>
      <c r="Y4486" s="4">
        <v>105</v>
      </c>
      <c r="AB4486" s="17">
        <v>31</v>
      </c>
      <c r="AJ4486" s="19">
        <v>0</v>
      </c>
      <c r="AK4486" s="23">
        <v>31</v>
      </c>
      <c r="AM4486" s="19">
        <v>0</v>
      </c>
      <c r="AN4486" s="19">
        <v>618800</v>
      </c>
      <c r="AP4486" s="14">
        <v>618800</v>
      </c>
    </row>
    <row r="4487" spans="1:45" ht="63" x14ac:dyDescent="0.2">
      <c r="A4487" s="121">
        <f t="shared" si="530"/>
        <v>3802</v>
      </c>
      <c r="B4487" s="13">
        <v>1</v>
      </c>
      <c r="C4487" s="17" t="s">
        <v>52</v>
      </c>
      <c r="D4487" s="17">
        <v>4947</v>
      </c>
      <c r="E4487" s="17">
        <v>5</v>
      </c>
      <c r="F4487" s="17">
        <v>2551</v>
      </c>
      <c r="G4487" s="13">
        <v>7</v>
      </c>
      <c r="H4487" s="17">
        <v>1</v>
      </c>
      <c r="I4487" s="17">
        <v>1</v>
      </c>
      <c r="J4487" s="17">
        <v>48</v>
      </c>
      <c r="L4487" s="17">
        <v>548</v>
      </c>
      <c r="P4487" s="17">
        <v>2</v>
      </c>
      <c r="Q4487" s="19">
        <v>548</v>
      </c>
      <c r="R4487" s="14">
        <v>3400</v>
      </c>
      <c r="S4487" s="19">
        <v>1863200</v>
      </c>
      <c r="T4487" s="17">
        <v>1</v>
      </c>
      <c r="U4487" s="17" t="s">
        <v>63</v>
      </c>
      <c r="V4487" s="17" t="s">
        <v>56</v>
      </c>
      <c r="W4487" s="4">
        <v>413.25</v>
      </c>
      <c r="Y4487" s="4">
        <v>413.25</v>
      </c>
      <c r="AB4487" s="17">
        <v>18</v>
      </c>
      <c r="AJ4487" s="19">
        <v>0</v>
      </c>
      <c r="AK4487" s="23">
        <v>18</v>
      </c>
      <c r="AM4487" s="19">
        <v>0</v>
      </c>
      <c r="AN4487" s="19">
        <v>1863200</v>
      </c>
      <c r="AP4487" s="14">
        <v>1863200</v>
      </c>
    </row>
    <row r="4488" spans="1:45" x14ac:dyDescent="0.2">
      <c r="A4488" s="121">
        <f t="shared" si="530"/>
        <v>3803</v>
      </c>
      <c r="B4488" s="13">
        <v>1</v>
      </c>
      <c r="C4488" s="17" t="s">
        <v>52</v>
      </c>
      <c r="D4488" s="17">
        <v>4908</v>
      </c>
      <c r="E4488" s="17">
        <v>71</v>
      </c>
      <c r="F4488" s="17">
        <v>2784</v>
      </c>
      <c r="G4488" s="13">
        <v>7</v>
      </c>
      <c r="H4488" s="17">
        <v>26</v>
      </c>
      <c r="I4488" s="17">
        <v>2</v>
      </c>
      <c r="J4488" s="17">
        <v>52</v>
      </c>
      <c r="K4488" s="10">
        <v>10652</v>
      </c>
      <c r="P4488" s="17">
        <v>1</v>
      </c>
      <c r="Q4488" s="19">
        <v>10652</v>
      </c>
      <c r="R4488" s="14">
        <v>160</v>
      </c>
      <c r="S4488" s="19">
        <v>1704320</v>
      </c>
      <c r="AJ4488" s="19">
        <v>0</v>
      </c>
      <c r="AK4488" s="23">
        <v>0</v>
      </c>
      <c r="AM4488" s="19">
        <v>0</v>
      </c>
      <c r="AN4488" s="19">
        <v>1704320</v>
      </c>
      <c r="AP4488" s="14">
        <v>1704320</v>
      </c>
      <c r="AS4488" s="26">
        <v>81</v>
      </c>
    </row>
    <row r="4489" spans="1:45" x14ac:dyDescent="0.2">
      <c r="A4489" s="121">
        <f t="shared" si="530"/>
        <v>3804</v>
      </c>
      <c r="B4489" s="13">
        <v>1</v>
      </c>
      <c r="C4489" s="17" t="s">
        <v>52</v>
      </c>
      <c r="D4489" s="17">
        <v>4927</v>
      </c>
      <c r="E4489" s="17">
        <v>64</v>
      </c>
      <c r="F4489" s="17">
        <v>2803</v>
      </c>
      <c r="G4489" s="13">
        <v>7</v>
      </c>
      <c r="H4489" s="17">
        <v>17</v>
      </c>
      <c r="I4489" s="17">
        <v>0</v>
      </c>
      <c r="J4489" s="17">
        <v>43</v>
      </c>
      <c r="K4489" s="10">
        <v>6843</v>
      </c>
      <c r="P4489" s="17">
        <v>1</v>
      </c>
      <c r="Q4489" s="19">
        <v>6843</v>
      </c>
      <c r="R4489" s="14">
        <v>410</v>
      </c>
      <c r="S4489" s="19">
        <v>2805630</v>
      </c>
      <c r="AJ4489" s="19">
        <v>0</v>
      </c>
      <c r="AK4489" s="23">
        <v>0</v>
      </c>
      <c r="AM4489" s="19">
        <v>0</v>
      </c>
      <c r="AN4489" s="19">
        <v>2805630</v>
      </c>
      <c r="AP4489" s="14">
        <v>2805630</v>
      </c>
      <c r="AS4489" s="26">
        <v>94</v>
      </c>
    </row>
    <row r="4490" spans="1:45" ht="63" x14ac:dyDescent="0.2">
      <c r="A4490" s="121">
        <f t="shared" si="530"/>
        <v>3805</v>
      </c>
      <c r="B4490" s="13">
        <v>1</v>
      </c>
      <c r="C4490" s="17" t="s">
        <v>52</v>
      </c>
      <c r="D4490" s="17">
        <v>4926</v>
      </c>
      <c r="E4490" s="17">
        <v>63</v>
      </c>
      <c r="F4490" s="17">
        <v>2802</v>
      </c>
      <c r="G4490" s="13">
        <v>7</v>
      </c>
      <c r="H4490" s="17">
        <v>11</v>
      </c>
      <c r="I4490" s="17">
        <v>2</v>
      </c>
      <c r="J4490" s="17">
        <v>85</v>
      </c>
      <c r="K4490" s="10">
        <v>4637.5600000000004</v>
      </c>
      <c r="L4490" s="17">
        <v>47.44</v>
      </c>
      <c r="P4490" s="17">
        <v>5</v>
      </c>
      <c r="Q4490" s="19">
        <v>4685</v>
      </c>
      <c r="R4490" s="14">
        <v>470</v>
      </c>
      <c r="S4490" s="19">
        <v>2201950</v>
      </c>
      <c r="T4490" s="17">
        <v>1</v>
      </c>
      <c r="U4490" s="17" t="s">
        <v>63</v>
      </c>
      <c r="V4490" s="17" t="s">
        <v>56</v>
      </c>
      <c r="W4490" s="4">
        <v>189.75</v>
      </c>
      <c r="Y4490" s="4">
        <v>189.75</v>
      </c>
      <c r="AB4490" s="17">
        <v>20</v>
      </c>
      <c r="AJ4490" s="19">
        <v>0</v>
      </c>
      <c r="AK4490" s="23">
        <v>20</v>
      </c>
      <c r="AM4490" s="19">
        <v>0</v>
      </c>
      <c r="AN4490" s="19">
        <v>2201950</v>
      </c>
      <c r="AP4490" s="14">
        <v>2201950</v>
      </c>
      <c r="AS4490" s="26">
        <v>59</v>
      </c>
    </row>
    <row r="4491" spans="1:45" ht="63" x14ac:dyDescent="0.2">
      <c r="A4491" s="121">
        <f t="shared" si="530"/>
        <v>3806</v>
      </c>
      <c r="B4491" s="13">
        <v>1</v>
      </c>
      <c r="C4491" s="17" t="s">
        <v>52</v>
      </c>
      <c r="D4491" s="17">
        <v>4925</v>
      </c>
      <c r="E4491" s="17">
        <v>62</v>
      </c>
      <c r="F4491" s="17">
        <v>2801</v>
      </c>
      <c r="G4491" s="13">
        <v>7</v>
      </c>
      <c r="H4491" s="17">
        <v>13</v>
      </c>
      <c r="I4491" s="17">
        <v>2</v>
      </c>
      <c r="J4491" s="17">
        <v>43</v>
      </c>
      <c r="K4491" s="10">
        <v>5383.5</v>
      </c>
      <c r="L4491" s="17">
        <v>59.5</v>
      </c>
      <c r="P4491" s="17">
        <v>5</v>
      </c>
      <c r="Q4491" s="19">
        <v>5443</v>
      </c>
      <c r="R4491" s="14">
        <v>540</v>
      </c>
      <c r="S4491" s="19">
        <v>2939220</v>
      </c>
      <c r="T4491" s="17">
        <v>1</v>
      </c>
      <c r="U4491" s="17" t="s">
        <v>63</v>
      </c>
      <c r="V4491" s="17" t="s">
        <v>56</v>
      </c>
      <c r="W4491" s="4">
        <v>238</v>
      </c>
      <c r="Y4491" s="4">
        <v>238</v>
      </c>
      <c r="AB4491" s="17">
        <v>19</v>
      </c>
      <c r="AJ4491" s="19">
        <v>0</v>
      </c>
      <c r="AK4491" s="23">
        <v>19</v>
      </c>
      <c r="AM4491" s="19">
        <v>0</v>
      </c>
      <c r="AN4491" s="19">
        <v>2939220</v>
      </c>
      <c r="AP4491" s="14">
        <v>2939220</v>
      </c>
      <c r="AS4491" s="26">
        <v>69</v>
      </c>
    </row>
    <row r="4492" spans="1:45" x14ac:dyDescent="0.2">
      <c r="A4492" s="121">
        <f t="shared" si="530"/>
        <v>3807</v>
      </c>
      <c r="B4492" s="13">
        <v>2</v>
      </c>
      <c r="C4492" s="17" t="s">
        <v>52</v>
      </c>
      <c r="D4492" s="17">
        <v>33512</v>
      </c>
      <c r="E4492" s="17">
        <v>69</v>
      </c>
      <c r="F4492" s="17">
        <v>6708</v>
      </c>
      <c r="G4492" s="13">
        <v>7</v>
      </c>
      <c r="H4492" s="17">
        <v>0</v>
      </c>
      <c r="I4492" s="17">
        <v>1</v>
      </c>
      <c r="J4492" s="17">
        <v>64</v>
      </c>
      <c r="K4492" s="10">
        <v>164</v>
      </c>
      <c r="P4492" s="17">
        <v>1</v>
      </c>
      <c r="Q4492" s="19">
        <v>164</v>
      </c>
      <c r="R4492" s="14">
        <v>250</v>
      </c>
      <c r="S4492" s="19">
        <v>41000</v>
      </c>
      <c r="AJ4492" s="19">
        <v>0</v>
      </c>
      <c r="AK4492" s="23">
        <v>0</v>
      </c>
      <c r="AM4492" s="19">
        <v>0</v>
      </c>
      <c r="AN4492" s="19">
        <v>41000</v>
      </c>
      <c r="AP4492" s="14">
        <v>41000</v>
      </c>
    </row>
    <row r="4493" spans="1:45" x14ac:dyDescent="0.2">
      <c r="A4493" s="121">
        <f t="shared" si="530"/>
        <v>3808</v>
      </c>
      <c r="B4493" s="13">
        <v>1</v>
      </c>
      <c r="C4493" s="17" t="s">
        <v>52</v>
      </c>
      <c r="D4493" s="17">
        <v>4934</v>
      </c>
      <c r="E4493" s="17">
        <v>87</v>
      </c>
      <c r="F4493" s="17">
        <v>2810</v>
      </c>
      <c r="G4493" s="13">
        <v>7</v>
      </c>
      <c r="H4493" s="17">
        <v>22</v>
      </c>
      <c r="I4493" s="17">
        <v>3</v>
      </c>
      <c r="J4493" s="17">
        <v>33</v>
      </c>
      <c r="K4493" s="10">
        <v>9133</v>
      </c>
      <c r="P4493" s="17">
        <v>1</v>
      </c>
      <c r="Q4493" s="19">
        <v>9133</v>
      </c>
      <c r="R4493" s="14">
        <v>410</v>
      </c>
      <c r="S4493" s="19">
        <v>3744530</v>
      </c>
      <c r="AJ4493" s="19">
        <v>0</v>
      </c>
      <c r="AK4493" s="23">
        <v>0</v>
      </c>
      <c r="AM4493" s="19">
        <v>0</v>
      </c>
      <c r="AN4493" s="19">
        <v>3744530</v>
      </c>
      <c r="AP4493" s="14">
        <v>3744530</v>
      </c>
      <c r="AS4493" s="26">
        <v>126</v>
      </c>
    </row>
    <row r="4494" spans="1:45" ht="63" x14ac:dyDescent="0.2">
      <c r="A4494" s="121">
        <f t="shared" si="530"/>
        <v>3809</v>
      </c>
      <c r="B4494" s="13">
        <v>1</v>
      </c>
      <c r="C4494" s="17" t="s">
        <v>52</v>
      </c>
      <c r="D4494" s="17">
        <v>4924</v>
      </c>
      <c r="E4494" s="17">
        <v>57</v>
      </c>
      <c r="F4494" s="17">
        <v>2800</v>
      </c>
      <c r="G4494" s="13">
        <v>7</v>
      </c>
      <c r="H4494" s="17">
        <v>3</v>
      </c>
      <c r="I4494" s="17">
        <v>2</v>
      </c>
      <c r="J4494" s="17">
        <v>35</v>
      </c>
      <c r="K4494" s="10">
        <v>1366.75</v>
      </c>
      <c r="L4494" s="17">
        <v>66</v>
      </c>
      <c r="M4494" s="15">
        <v>2.25</v>
      </c>
      <c r="P4494" s="17">
        <v>5</v>
      </c>
      <c r="Q4494" s="19">
        <v>1435</v>
      </c>
      <c r="R4494" s="14">
        <v>750</v>
      </c>
      <c r="S4494" s="19">
        <v>1076250</v>
      </c>
      <c r="T4494" s="17">
        <v>1</v>
      </c>
      <c r="U4494" s="17" t="s">
        <v>57</v>
      </c>
      <c r="V4494" s="17" t="s">
        <v>56</v>
      </c>
      <c r="W4494" s="4">
        <v>273</v>
      </c>
      <c r="Y4494" s="4">
        <v>264</v>
      </c>
      <c r="AB4494" s="17">
        <v>25</v>
      </c>
      <c r="AE4494" s="17">
        <v>3.2967032967032968E-2</v>
      </c>
      <c r="AF4494" s="14">
        <v>2</v>
      </c>
      <c r="AG4494" s="54">
        <v>273</v>
      </c>
      <c r="AH4494" s="11">
        <v>0.97</v>
      </c>
      <c r="AI4494" s="14">
        <v>7250</v>
      </c>
      <c r="AJ4494" s="19">
        <v>1919872.5</v>
      </c>
      <c r="AK4494" s="23">
        <v>25</v>
      </c>
      <c r="AL4494" s="11">
        <v>0.4</v>
      </c>
      <c r="AM4494" s="19">
        <v>1151923.5</v>
      </c>
      <c r="AN4494" s="19">
        <v>2228173.5</v>
      </c>
      <c r="AP4494" s="14">
        <v>2228173.5</v>
      </c>
      <c r="AR4494" s="19">
        <v>14</v>
      </c>
      <c r="AS4494" s="26">
        <v>284</v>
      </c>
    </row>
    <row r="4495" spans="1:45" ht="63" x14ac:dyDescent="0.2">
      <c r="Q4495" s="19">
        <v>0</v>
      </c>
      <c r="R4495" s="14" t="e">
        <v>#N/A</v>
      </c>
      <c r="Z4495" s="17">
        <v>9</v>
      </c>
      <c r="AF4495" s="14">
        <v>3</v>
      </c>
      <c r="AG4495" s="54">
        <v>273</v>
      </c>
      <c r="AH4495" s="11">
        <v>0.03</v>
      </c>
      <c r="AI4495" s="14">
        <v>7250</v>
      </c>
      <c r="AJ4495" s="19">
        <v>59377.5</v>
      </c>
      <c r="AK4495" s="23">
        <v>25</v>
      </c>
      <c r="AL4495" s="11">
        <v>0.4</v>
      </c>
      <c r="AM4495" s="19">
        <v>35626.5</v>
      </c>
      <c r="AN4495" s="19">
        <v>67914</v>
      </c>
      <c r="AP4495" s="14">
        <v>67914</v>
      </c>
      <c r="AQ4495" s="12">
        <v>3.0000000000000001E-3</v>
      </c>
      <c r="AR4495" s="19">
        <v>270</v>
      </c>
    </row>
    <row r="4496" spans="1:45" x14ac:dyDescent="0.2">
      <c r="A4496" s="2">
        <v>3810</v>
      </c>
      <c r="B4496" s="13">
        <v>1</v>
      </c>
      <c r="C4496" s="17" t="s">
        <v>52</v>
      </c>
      <c r="D4496" s="17">
        <v>5114</v>
      </c>
      <c r="E4496" s="17">
        <v>81</v>
      </c>
      <c r="F4496" s="17">
        <v>2884</v>
      </c>
      <c r="G4496" s="13">
        <v>7</v>
      </c>
      <c r="H4496" s="17">
        <v>9</v>
      </c>
      <c r="I4496" s="17">
        <v>3</v>
      </c>
      <c r="J4496" s="17">
        <v>27</v>
      </c>
      <c r="K4496" s="10">
        <v>3927</v>
      </c>
      <c r="P4496" s="17">
        <v>1</v>
      </c>
      <c r="Q4496" s="19">
        <v>3927</v>
      </c>
      <c r="R4496" s="14">
        <v>160</v>
      </c>
      <c r="S4496" s="19">
        <v>628320</v>
      </c>
      <c r="AJ4496" s="19">
        <v>0</v>
      </c>
      <c r="AK4496" s="23">
        <v>0</v>
      </c>
      <c r="AM4496" s="19">
        <v>0</v>
      </c>
      <c r="AN4496" s="19">
        <v>628320</v>
      </c>
      <c r="AP4496" s="14">
        <v>628320</v>
      </c>
      <c r="AS4496" s="26">
        <v>29</v>
      </c>
    </row>
    <row r="4497" spans="1:45" x14ac:dyDescent="0.2">
      <c r="B4497" s="13">
        <v>1</v>
      </c>
      <c r="C4497" s="17" t="s">
        <v>52</v>
      </c>
      <c r="D4497" s="17">
        <v>40850</v>
      </c>
      <c r="E4497" s="17">
        <v>1</v>
      </c>
      <c r="F4497" s="17">
        <v>8096</v>
      </c>
      <c r="H4497" s="17">
        <v>10</v>
      </c>
      <c r="I4497" s="17">
        <v>1</v>
      </c>
      <c r="J4497" s="17">
        <v>35.71</v>
      </c>
      <c r="P4497" s="17">
        <v>1</v>
      </c>
      <c r="Q4497" s="19">
        <v>4135.71</v>
      </c>
    </row>
    <row r="4498" spans="1:45" x14ac:dyDescent="0.2">
      <c r="A4498" s="2">
        <v>3811</v>
      </c>
      <c r="B4498" s="13">
        <v>1</v>
      </c>
      <c r="C4498" s="17" t="s">
        <v>65</v>
      </c>
      <c r="D4498" s="17">
        <v>2093</v>
      </c>
      <c r="E4498" s="17">
        <v>33</v>
      </c>
      <c r="H4498" s="17">
        <v>11</v>
      </c>
      <c r="I4498" s="17">
        <v>0</v>
      </c>
      <c r="J4498" s="17">
        <v>69</v>
      </c>
      <c r="K4498" s="10">
        <v>4469</v>
      </c>
      <c r="P4498" s="17">
        <v>1</v>
      </c>
      <c r="Q4498" s="19">
        <v>4469</v>
      </c>
      <c r="R4498" s="14">
        <v>160</v>
      </c>
      <c r="S4498" s="19">
        <v>715040</v>
      </c>
      <c r="AJ4498" s="19">
        <v>0</v>
      </c>
      <c r="AK4498" s="23">
        <v>0</v>
      </c>
      <c r="AM4498" s="19">
        <v>0</v>
      </c>
      <c r="AN4498" s="19">
        <v>715040</v>
      </c>
      <c r="AP4498" s="14">
        <v>715040</v>
      </c>
      <c r="AQ4498" s="12">
        <v>1E-4</v>
      </c>
      <c r="AS4498" s="26">
        <v>34</v>
      </c>
    </row>
    <row r="4499" spans="1:45" x14ac:dyDescent="0.2">
      <c r="A4499" s="2">
        <f>+A4498+1</f>
        <v>3812</v>
      </c>
      <c r="B4499" s="13">
        <v>1</v>
      </c>
      <c r="C4499" s="17" t="s">
        <v>52</v>
      </c>
      <c r="D4499" s="17">
        <v>4780</v>
      </c>
      <c r="E4499" s="17">
        <v>82</v>
      </c>
      <c r="F4499" s="17">
        <v>2650</v>
      </c>
      <c r="G4499" s="13">
        <v>7</v>
      </c>
      <c r="H4499" s="17">
        <v>12</v>
      </c>
      <c r="I4499" s="17">
        <v>2</v>
      </c>
      <c r="J4499" s="17">
        <v>47</v>
      </c>
      <c r="K4499" s="10">
        <v>5047</v>
      </c>
      <c r="P4499" s="17">
        <v>1</v>
      </c>
      <c r="Q4499" s="19">
        <v>5047</v>
      </c>
      <c r="R4499" s="14">
        <v>160</v>
      </c>
      <c r="S4499" s="19">
        <v>807520</v>
      </c>
      <c r="AJ4499" s="19">
        <v>0</v>
      </c>
      <c r="AK4499" s="23">
        <v>0</v>
      </c>
      <c r="AM4499" s="19">
        <v>0</v>
      </c>
      <c r="AN4499" s="19">
        <v>807520</v>
      </c>
      <c r="AP4499" s="14">
        <v>807520</v>
      </c>
      <c r="AS4499" s="26">
        <v>78</v>
      </c>
    </row>
    <row r="4500" spans="1:45" x14ac:dyDescent="0.2">
      <c r="A4500" s="121">
        <f t="shared" ref="A4500:A4517" si="531">+A4499+1</f>
        <v>3813</v>
      </c>
      <c r="B4500" s="13">
        <v>1</v>
      </c>
      <c r="C4500" s="17" t="s">
        <v>52</v>
      </c>
      <c r="D4500" s="17">
        <v>4824</v>
      </c>
      <c r="E4500" s="17">
        <v>37</v>
      </c>
      <c r="F4500" s="17">
        <v>2714</v>
      </c>
      <c r="G4500" s="13">
        <v>7</v>
      </c>
      <c r="H4500" s="17">
        <v>3</v>
      </c>
      <c r="I4500" s="17">
        <v>0</v>
      </c>
      <c r="J4500" s="17">
        <v>17</v>
      </c>
      <c r="K4500" s="10">
        <v>1217</v>
      </c>
      <c r="P4500" s="17">
        <v>1</v>
      </c>
      <c r="Q4500" s="19">
        <v>1217</v>
      </c>
      <c r="R4500" s="14">
        <v>160</v>
      </c>
      <c r="S4500" s="19">
        <v>194720</v>
      </c>
      <c r="AJ4500" s="19">
        <v>0</v>
      </c>
      <c r="AK4500" s="23">
        <v>0</v>
      </c>
      <c r="AM4500" s="19">
        <v>0</v>
      </c>
      <c r="AN4500" s="19">
        <v>194720</v>
      </c>
      <c r="AP4500" s="14">
        <v>194720</v>
      </c>
    </row>
    <row r="4501" spans="1:45" x14ac:dyDescent="0.2">
      <c r="A4501" s="121">
        <f t="shared" si="531"/>
        <v>3814</v>
      </c>
      <c r="B4501" s="13">
        <v>1</v>
      </c>
      <c r="C4501" s="17" t="s">
        <v>52</v>
      </c>
      <c r="D4501" s="17">
        <v>4797</v>
      </c>
      <c r="E4501" s="17">
        <v>15</v>
      </c>
      <c r="F4501" s="17">
        <v>2669</v>
      </c>
      <c r="G4501" s="13">
        <v>7</v>
      </c>
      <c r="H4501" s="17">
        <v>8</v>
      </c>
      <c r="I4501" s="17">
        <v>3</v>
      </c>
      <c r="J4501" s="17">
        <v>0</v>
      </c>
      <c r="K4501" s="10">
        <v>3500</v>
      </c>
      <c r="P4501" s="17">
        <v>1</v>
      </c>
      <c r="Q4501" s="19">
        <v>3500</v>
      </c>
      <c r="R4501" s="14">
        <v>200</v>
      </c>
      <c r="S4501" s="19">
        <v>700000</v>
      </c>
      <c r="AJ4501" s="19">
        <v>0</v>
      </c>
      <c r="AK4501" s="23">
        <v>0</v>
      </c>
      <c r="AM4501" s="19">
        <v>0</v>
      </c>
      <c r="AN4501" s="19">
        <v>700000</v>
      </c>
      <c r="AP4501" s="14">
        <v>700000</v>
      </c>
    </row>
    <row r="4502" spans="1:45" ht="63" x14ac:dyDescent="0.2">
      <c r="A4502" s="121">
        <f t="shared" si="531"/>
        <v>3815</v>
      </c>
      <c r="B4502" s="13">
        <v>1</v>
      </c>
      <c r="C4502" s="17" t="s">
        <v>52</v>
      </c>
      <c r="D4502" s="17">
        <v>4904</v>
      </c>
      <c r="E4502" s="17">
        <v>86</v>
      </c>
      <c r="F4502" s="17">
        <v>2778</v>
      </c>
      <c r="G4502" s="13">
        <v>7</v>
      </c>
      <c r="H4502" s="17">
        <v>20</v>
      </c>
      <c r="I4502" s="17">
        <v>2</v>
      </c>
      <c r="J4502" s="17">
        <v>20</v>
      </c>
      <c r="K4502" s="10">
        <v>8184.37</v>
      </c>
      <c r="L4502" s="17">
        <v>35.630000000000003</v>
      </c>
      <c r="P4502" s="17">
        <v>5</v>
      </c>
      <c r="Q4502" s="19">
        <v>8220</v>
      </c>
      <c r="R4502" s="14">
        <v>160</v>
      </c>
      <c r="S4502" s="19">
        <v>1315200</v>
      </c>
      <c r="T4502" s="17">
        <v>1</v>
      </c>
      <c r="U4502" s="17" t="s">
        <v>57</v>
      </c>
      <c r="V4502" s="17" t="s">
        <v>56</v>
      </c>
      <c r="W4502" s="4">
        <v>142.5</v>
      </c>
      <c r="Y4502" s="4">
        <v>142.5</v>
      </c>
      <c r="AB4502" s="17">
        <v>27</v>
      </c>
      <c r="AJ4502" s="19">
        <v>0</v>
      </c>
      <c r="AK4502" s="23">
        <v>27</v>
      </c>
      <c r="AM4502" s="19">
        <v>0</v>
      </c>
      <c r="AN4502" s="19">
        <v>1315200</v>
      </c>
      <c r="AP4502" s="14">
        <v>1315200</v>
      </c>
      <c r="AS4502" s="26">
        <v>90</v>
      </c>
    </row>
    <row r="4503" spans="1:45" x14ac:dyDescent="0.2">
      <c r="A4503" s="121">
        <f t="shared" si="531"/>
        <v>3816</v>
      </c>
      <c r="B4503" s="13">
        <v>2</v>
      </c>
      <c r="C4503" s="17" t="s">
        <v>52</v>
      </c>
      <c r="D4503" s="17">
        <v>5027</v>
      </c>
      <c r="E4503" s="17">
        <v>42</v>
      </c>
      <c r="F4503" s="17">
        <v>2782</v>
      </c>
      <c r="G4503" s="13">
        <v>7</v>
      </c>
      <c r="H4503" s="17">
        <v>10</v>
      </c>
      <c r="I4503" s="17">
        <v>2</v>
      </c>
      <c r="J4503" s="17">
        <v>45</v>
      </c>
      <c r="K4503" s="10">
        <v>4245</v>
      </c>
      <c r="P4503" s="17">
        <v>1</v>
      </c>
      <c r="Q4503" s="19">
        <v>4245</v>
      </c>
      <c r="R4503" s="14">
        <v>160</v>
      </c>
      <c r="S4503" s="19">
        <v>679200</v>
      </c>
      <c r="AJ4503" s="19">
        <v>0</v>
      </c>
      <c r="AK4503" s="23">
        <v>0</v>
      </c>
      <c r="AM4503" s="19">
        <v>0</v>
      </c>
      <c r="AN4503" s="19">
        <v>679200</v>
      </c>
      <c r="AP4503" s="14">
        <v>679200</v>
      </c>
    </row>
    <row r="4504" spans="1:45" x14ac:dyDescent="0.2">
      <c r="A4504" s="121">
        <f t="shared" si="531"/>
        <v>3817</v>
      </c>
      <c r="B4504" s="13">
        <v>1</v>
      </c>
      <c r="C4504" s="17" t="s">
        <v>52</v>
      </c>
      <c r="D4504" s="17">
        <v>29662</v>
      </c>
      <c r="E4504" s="17">
        <v>141</v>
      </c>
      <c r="F4504" s="17">
        <v>5496</v>
      </c>
      <c r="G4504" s="13">
        <v>3</v>
      </c>
      <c r="H4504" s="17">
        <v>0</v>
      </c>
      <c r="I4504" s="17">
        <v>0</v>
      </c>
      <c r="J4504" s="17">
        <v>62</v>
      </c>
      <c r="K4504" s="10">
        <v>62</v>
      </c>
      <c r="P4504" s="17">
        <v>1</v>
      </c>
      <c r="Q4504" s="19">
        <v>62</v>
      </c>
      <c r="R4504" s="14">
        <v>160</v>
      </c>
      <c r="S4504" s="19">
        <v>9920</v>
      </c>
      <c r="AJ4504" s="19">
        <v>0</v>
      </c>
      <c r="AK4504" s="23">
        <v>0</v>
      </c>
      <c r="AM4504" s="19">
        <v>0</v>
      </c>
      <c r="AN4504" s="19">
        <v>9920</v>
      </c>
      <c r="AP4504" s="14">
        <v>9920</v>
      </c>
    </row>
    <row r="4505" spans="1:45" x14ac:dyDescent="0.2">
      <c r="A4505" s="121">
        <f t="shared" si="531"/>
        <v>3818</v>
      </c>
      <c r="B4505" s="13">
        <v>1</v>
      </c>
      <c r="C4505" s="17" t="s">
        <v>52</v>
      </c>
      <c r="D4505" s="17">
        <v>29898</v>
      </c>
      <c r="E4505" s="17">
        <v>72</v>
      </c>
      <c r="F4505" s="17">
        <v>5738</v>
      </c>
      <c r="G4505" s="13">
        <v>6</v>
      </c>
      <c r="H4505" s="17">
        <v>0</v>
      </c>
      <c r="I4505" s="17">
        <v>1</v>
      </c>
      <c r="J4505" s="17">
        <v>8.09</v>
      </c>
      <c r="N4505" s="18">
        <v>108.09</v>
      </c>
      <c r="P4505" s="17">
        <v>4</v>
      </c>
      <c r="Q4505" s="19">
        <v>108.09</v>
      </c>
      <c r="R4505" s="14">
        <v>160</v>
      </c>
      <c r="S4505" s="19">
        <v>17294.400000000001</v>
      </c>
      <c r="AJ4505" s="19">
        <v>0</v>
      </c>
      <c r="AK4505" s="23">
        <v>0</v>
      </c>
      <c r="AM4505" s="19">
        <v>0</v>
      </c>
      <c r="AN4505" s="19">
        <v>17294.400000000001</v>
      </c>
      <c r="AP4505" s="14">
        <v>17294.400000000001</v>
      </c>
      <c r="AQ4505" s="12">
        <v>3.0000000000000001E-3</v>
      </c>
    </row>
    <row r="4506" spans="1:45" x14ac:dyDescent="0.2">
      <c r="A4506" s="121">
        <f t="shared" si="531"/>
        <v>3819</v>
      </c>
      <c r="B4506" s="13">
        <v>1</v>
      </c>
      <c r="C4506" s="17" t="s">
        <v>52</v>
      </c>
      <c r="D4506" s="17">
        <v>10475</v>
      </c>
      <c r="E4506" s="17">
        <v>284</v>
      </c>
      <c r="F4506" s="17">
        <v>3100</v>
      </c>
      <c r="G4506" s="13">
        <v>2</v>
      </c>
      <c r="H4506" s="17">
        <v>0</v>
      </c>
      <c r="I4506" s="17">
        <v>2</v>
      </c>
      <c r="J4506" s="17">
        <v>67.010000000000005</v>
      </c>
      <c r="N4506" s="18">
        <v>267.01</v>
      </c>
      <c r="P4506" s="17">
        <v>4</v>
      </c>
      <c r="Q4506" s="19">
        <v>267.01</v>
      </c>
      <c r="R4506" s="14">
        <v>250</v>
      </c>
      <c r="S4506" s="19">
        <v>66752.5</v>
      </c>
      <c r="AJ4506" s="19">
        <v>0</v>
      </c>
      <c r="AK4506" s="23">
        <v>0</v>
      </c>
      <c r="AM4506" s="19">
        <v>0</v>
      </c>
      <c r="AN4506" s="19">
        <v>66752.5</v>
      </c>
      <c r="AP4506" s="14">
        <v>66752.5</v>
      </c>
      <c r="AQ4506" s="12">
        <v>3.0000000000000001E-3</v>
      </c>
    </row>
    <row r="4507" spans="1:45" x14ac:dyDescent="0.2">
      <c r="A4507" s="121">
        <f t="shared" si="531"/>
        <v>3820</v>
      </c>
      <c r="B4507" s="13">
        <v>2</v>
      </c>
      <c r="C4507" s="17" t="s">
        <v>52</v>
      </c>
      <c r="D4507" s="17">
        <v>1870</v>
      </c>
      <c r="E4507" s="17">
        <v>111</v>
      </c>
      <c r="F4507" s="17">
        <v>1260</v>
      </c>
      <c r="H4507" s="17">
        <v>1</v>
      </c>
      <c r="I4507" s="17">
        <v>1</v>
      </c>
      <c r="J4507" s="17">
        <v>25.07</v>
      </c>
      <c r="K4507" s="10">
        <v>525.07000000000005</v>
      </c>
      <c r="P4507" s="17">
        <v>1</v>
      </c>
      <c r="Q4507" s="19">
        <v>525.07000000000005</v>
      </c>
      <c r="R4507" s="14">
        <v>160</v>
      </c>
      <c r="S4507" s="19">
        <v>84011.200000000012</v>
      </c>
      <c r="AJ4507" s="19">
        <v>0</v>
      </c>
      <c r="AK4507" s="23">
        <v>0</v>
      </c>
      <c r="AM4507" s="19">
        <v>0</v>
      </c>
      <c r="AN4507" s="19">
        <v>84011.200000000012</v>
      </c>
      <c r="AP4507" s="14">
        <v>84011.200000000012</v>
      </c>
    </row>
    <row r="4508" spans="1:45" x14ac:dyDescent="0.2">
      <c r="A4508" s="121">
        <f t="shared" si="531"/>
        <v>3821</v>
      </c>
      <c r="B4508" s="13">
        <v>3</v>
      </c>
      <c r="C4508" s="17" t="s">
        <v>52</v>
      </c>
      <c r="D4508" s="17">
        <v>35025</v>
      </c>
      <c r="E4508" s="17">
        <v>264</v>
      </c>
      <c r="F4508" s="17">
        <v>6872</v>
      </c>
      <c r="H4508" s="17">
        <v>0</v>
      </c>
      <c r="I4508" s="17">
        <v>0</v>
      </c>
      <c r="J4508" s="17">
        <v>53.06</v>
      </c>
      <c r="K4508" s="10">
        <v>53.06</v>
      </c>
      <c r="P4508" s="17">
        <v>1</v>
      </c>
      <c r="Q4508" s="19">
        <v>53.06</v>
      </c>
      <c r="R4508" s="14">
        <v>200</v>
      </c>
      <c r="S4508" s="19">
        <v>10612</v>
      </c>
      <c r="AJ4508" s="19">
        <v>0</v>
      </c>
      <c r="AK4508" s="23">
        <v>0</v>
      </c>
      <c r="AM4508" s="19">
        <v>0</v>
      </c>
      <c r="AN4508" s="19">
        <v>10612</v>
      </c>
      <c r="AP4508" s="14">
        <v>10612</v>
      </c>
    </row>
    <row r="4509" spans="1:45" x14ac:dyDescent="0.2">
      <c r="A4509" s="121">
        <f t="shared" si="531"/>
        <v>3822</v>
      </c>
      <c r="B4509" s="13">
        <v>4</v>
      </c>
      <c r="C4509" s="17" t="s">
        <v>52</v>
      </c>
      <c r="D4509" s="17">
        <v>35026</v>
      </c>
      <c r="E4509" s="17">
        <v>265</v>
      </c>
      <c r="F4509" s="17">
        <v>6873</v>
      </c>
      <c r="H4509" s="17">
        <v>3</v>
      </c>
      <c r="I4509" s="17">
        <v>0</v>
      </c>
      <c r="J4509" s="17">
        <v>49.01</v>
      </c>
      <c r="K4509" s="10">
        <v>1249.01</v>
      </c>
      <c r="P4509" s="17">
        <v>1</v>
      </c>
      <c r="Q4509" s="19">
        <v>1249.01</v>
      </c>
      <c r="R4509" s="14">
        <v>200</v>
      </c>
      <c r="S4509" s="19">
        <v>249802</v>
      </c>
      <c r="AJ4509" s="19">
        <v>0</v>
      </c>
      <c r="AK4509" s="23">
        <v>0</v>
      </c>
      <c r="AM4509" s="19">
        <v>0</v>
      </c>
      <c r="AN4509" s="19">
        <v>249802</v>
      </c>
      <c r="AP4509" s="14">
        <v>249802</v>
      </c>
    </row>
    <row r="4510" spans="1:45" x14ac:dyDescent="0.2">
      <c r="A4510" s="121">
        <f t="shared" si="531"/>
        <v>3823</v>
      </c>
      <c r="B4510" s="13">
        <v>1</v>
      </c>
      <c r="C4510" s="17" t="s">
        <v>52</v>
      </c>
      <c r="D4510" s="17">
        <v>2990</v>
      </c>
      <c r="E4510" s="17">
        <v>14</v>
      </c>
      <c r="F4510" s="17">
        <v>2058</v>
      </c>
      <c r="G4510" s="13">
        <v>2</v>
      </c>
      <c r="H4510" s="17">
        <v>5</v>
      </c>
      <c r="I4510" s="17">
        <v>1</v>
      </c>
      <c r="J4510" s="17">
        <v>95</v>
      </c>
      <c r="K4510" s="10">
        <v>2195</v>
      </c>
      <c r="P4510" s="17">
        <v>1</v>
      </c>
      <c r="Q4510" s="19">
        <v>2195</v>
      </c>
      <c r="R4510" s="14">
        <v>160</v>
      </c>
      <c r="S4510" s="19">
        <v>351200</v>
      </c>
      <c r="AJ4510" s="19">
        <v>0</v>
      </c>
      <c r="AK4510" s="23">
        <v>0</v>
      </c>
      <c r="AM4510" s="19">
        <v>0</v>
      </c>
      <c r="AN4510" s="19">
        <v>351200</v>
      </c>
      <c r="AP4510" s="14">
        <v>351200</v>
      </c>
    </row>
    <row r="4511" spans="1:45" x14ac:dyDescent="0.2">
      <c r="A4511" s="121">
        <f t="shared" si="531"/>
        <v>3824</v>
      </c>
      <c r="B4511" s="13">
        <v>1</v>
      </c>
      <c r="C4511" s="17" t="s">
        <v>52</v>
      </c>
      <c r="D4511" s="17">
        <v>3180</v>
      </c>
      <c r="E4511" s="17">
        <v>43</v>
      </c>
      <c r="F4511" s="17">
        <v>2109</v>
      </c>
      <c r="G4511" s="13">
        <v>2</v>
      </c>
      <c r="H4511" s="17">
        <v>4</v>
      </c>
      <c r="I4511" s="17">
        <v>3</v>
      </c>
      <c r="J4511" s="17">
        <v>16</v>
      </c>
      <c r="K4511" s="10">
        <v>1916</v>
      </c>
      <c r="P4511" s="17">
        <v>1</v>
      </c>
      <c r="Q4511" s="19">
        <v>1916</v>
      </c>
      <c r="R4511" s="14">
        <v>200</v>
      </c>
      <c r="S4511" s="19">
        <v>383200</v>
      </c>
      <c r="AJ4511" s="19">
        <v>0</v>
      </c>
      <c r="AK4511" s="23">
        <v>0</v>
      </c>
      <c r="AM4511" s="19">
        <v>0</v>
      </c>
      <c r="AN4511" s="19">
        <v>383200</v>
      </c>
      <c r="AP4511" s="14">
        <v>383200</v>
      </c>
    </row>
    <row r="4512" spans="1:45" x14ac:dyDescent="0.2">
      <c r="A4512" s="121">
        <f t="shared" si="531"/>
        <v>3825</v>
      </c>
      <c r="B4512" s="13">
        <v>1</v>
      </c>
      <c r="C4512" s="17" t="s">
        <v>52</v>
      </c>
      <c r="D4512" s="17">
        <v>5069</v>
      </c>
      <c r="E4512" s="17">
        <v>80</v>
      </c>
      <c r="F4512" s="17">
        <v>2496</v>
      </c>
      <c r="G4512" s="13">
        <v>1</v>
      </c>
      <c r="H4512" s="17">
        <v>5</v>
      </c>
      <c r="I4512" s="17">
        <v>1</v>
      </c>
      <c r="J4512" s="17">
        <v>27</v>
      </c>
      <c r="K4512" s="10">
        <v>2127</v>
      </c>
      <c r="P4512" s="17">
        <v>1</v>
      </c>
      <c r="Q4512" s="19">
        <v>2127</v>
      </c>
      <c r="R4512" s="14">
        <v>160</v>
      </c>
      <c r="S4512" s="19">
        <v>340320</v>
      </c>
      <c r="AJ4512" s="19">
        <v>0</v>
      </c>
      <c r="AK4512" s="23">
        <v>0</v>
      </c>
      <c r="AM4512" s="19">
        <v>0</v>
      </c>
      <c r="AN4512" s="19">
        <v>340320</v>
      </c>
      <c r="AP4512" s="14">
        <v>340320</v>
      </c>
    </row>
    <row r="4513" spans="1:45" s="19" customFormat="1" x14ac:dyDescent="0.2">
      <c r="A4513" s="121">
        <f t="shared" si="531"/>
        <v>3826</v>
      </c>
      <c r="B4513" s="13">
        <v>2</v>
      </c>
      <c r="C4513" s="17" t="s">
        <v>52</v>
      </c>
      <c r="D4513" s="17">
        <v>29171</v>
      </c>
      <c r="E4513" s="17">
        <v>267</v>
      </c>
      <c r="F4513" s="17">
        <v>5366</v>
      </c>
      <c r="G4513" s="13">
        <v>1</v>
      </c>
      <c r="H4513" s="17">
        <v>0</v>
      </c>
      <c r="I4513" s="17">
        <v>0</v>
      </c>
      <c r="J4513" s="17">
        <v>67</v>
      </c>
      <c r="K4513" s="10">
        <v>67</v>
      </c>
      <c r="L4513" s="17"/>
      <c r="M4513" s="15"/>
      <c r="N4513" s="18"/>
      <c r="O4513" s="14"/>
      <c r="P4513" s="17">
        <v>1</v>
      </c>
      <c r="Q4513" s="19">
        <v>67</v>
      </c>
      <c r="R4513" s="14">
        <v>200</v>
      </c>
      <c r="S4513" s="19">
        <v>13400</v>
      </c>
      <c r="T4513" s="17"/>
      <c r="U4513" s="17"/>
      <c r="V4513" s="17"/>
      <c r="W4513" s="4"/>
      <c r="X4513" s="17"/>
      <c r="Y4513" s="4"/>
      <c r="Z4513" s="17"/>
      <c r="AA4513" s="17"/>
      <c r="AB4513" s="17"/>
      <c r="AC4513" s="14"/>
      <c r="AD4513" s="14"/>
      <c r="AE4513" s="17"/>
      <c r="AF4513" s="14"/>
      <c r="AG4513" s="54"/>
      <c r="AH4513" s="11"/>
      <c r="AI4513" s="14"/>
      <c r="AJ4513" s="19">
        <v>0</v>
      </c>
      <c r="AK4513" s="23">
        <v>0</v>
      </c>
      <c r="AL4513" s="11"/>
      <c r="AM4513" s="19">
        <v>0</v>
      </c>
      <c r="AN4513" s="19">
        <v>13400</v>
      </c>
      <c r="AO4513" s="14"/>
      <c r="AP4513" s="14">
        <v>13400</v>
      </c>
      <c r="AQ4513" s="12"/>
      <c r="AS4513" s="26"/>
    </row>
    <row r="4514" spans="1:45" s="19" customFormat="1" ht="63" x14ac:dyDescent="0.2">
      <c r="A4514" s="121">
        <f t="shared" si="531"/>
        <v>3827</v>
      </c>
      <c r="B4514" s="13">
        <v>3</v>
      </c>
      <c r="C4514" s="17" t="s">
        <v>52</v>
      </c>
      <c r="D4514" s="17">
        <v>2418</v>
      </c>
      <c r="E4514" s="17">
        <v>74</v>
      </c>
      <c r="F4514" s="17">
        <v>417</v>
      </c>
      <c r="G4514" s="13">
        <v>2</v>
      </c>
      <c r="H4514" s="17">
        <v>0</v>
      </c>
      <c r="I4514" s="17">
        <v>0</v>
      </c>
      <c r="J4514" s="17">
        <v>67</v>
      </c>
      <c r="K4514" s="10"/>
      <c r="L4514" s="17">
        <v>67</v>
      </c>
      <c r="M4514" s="15"/>
      <c r="N4514" s="18"/>
      <c r="O4514" s="14"/>
      <c r="P4514" s="17">
        <v>2</v>
      </c>
      <c r="Q4514" s="19">
        <v>67</v>
      </c>
      <c r="R4514" s="14">
        <v>4500</v>
      </c>
      <c r="S4514" s="19">
        <v>301500</v>
      </c>
      <c r="T4514" s="17">
        <v>1</v>
      </c>
      <c r="U4514" s="17" t="s">
        <v>57</v>
      </c>
      <c r="V4514" s="17" t="s">
        <v>56</v>
      </c>
      <c r="W4514" s="4">
        <v>225</v>
      </c>
      <c r="X4514" s="17"/>
      <c r="Y4514" s="4">
        <v>225</v>
      </c>
      <c r="Z4514" s="17"/>
      <c r="AA4514" s="17"/>
      <c r="AB4514" s="17">
        <v>25</v>
      </c>
      <c r="AC4514" s="14"/>
      <c r="AD4514" s="14"/>
      <c r="AE4514" s="17"/>
      <c r="AF4514" s="14"/>
      <c r="AG4514" s="54"/>
      <c r="AH4514" s="11"/>
      <c r="AI4514" s="14"/>
      <c r="AJ4514" s="19">
        <v>0</v>
      </c>
      <c r="AK4514" s="23">
        <v>25</v>
      </c>
      <c r="AL4514" s="11"/>
      <c r="AM4514" s="19">
        <v>0</v>
      </c>
      <c r="AN4514" s="19">
        <v>301500</v>
      </c>
      <c r="AO4514" s="14"/>
      <c r="AP4514" s="14">
        <v>301500</v>
      </c>
      <c r="AQ4514" s="12"/>
      <c r="AS4514" s="26"/>
    </row>
    <row r="4515" spans="1:45" s="19" customFormat="1" x14ac:dyDescent="0.2">
      <c r="A4515" s="121">
        <f t="shared" si="531"/>
        <v>3828</v>
      </c>
      <c r="B4515" s="13">
        <v>4</v>
      </c>
      <c r="C4515" s="17" t="s">
        <v>52</v>
      </c>
      <c r="D4515" s="17">
        <v>2423</v>
      </c>
      <c r="E4515" s="17">
        <v>67</v>
      </c>
      <c r="F4515" s="17">
        <v>424</v>
      </c>
      <c r="G4515" s="13">
        <v>2</v>
      </c>
      <c r="H4515" s="17">
        <v>0</v>
      </c>
      <c r="I4515" s="17">
        <v>0</v>
      </c>
      <c r="J4515" s="17">
        <v>56</v>
      </c>
      <c r="K4515" s="10"/>
      <c r="L4515" s="17">
        <v>56</v>
      </c>
      <c r="M4515" s="15"/>
      <c r="N4515" s="18"/>
      <c r="O4515" s="14"/>
      <c r="P4515" s="17">
        <v>2</v>
      </c>
      <c r="Q4515" s="19">
        <v>56</v>
      </c>
      <c r="R4515" s="14">
        <v>4500</v>
      </c>
      <c r="S4515" s="19">
        <v>252000</v>
      </c>
      <c r="T4515" s="17"/>
      <c r="U4515" s="17"/>
      <c r="V4515" s="17"/>
      <c r="W4515" s="4"/>
      <c r="X4515" s="17"/>
      <c r="Y4515" s="4"/>
      <c r="Z4515" s="17"/>
      <c r="AA4515" s="17"/>
      <c r="AB4515" s="17"/>
      <c r="AC4515" s="14"/>
      <c r="AD4515" s="14"/>
      <c r="AE4515" s="17"/>
      <c r="AF4515" s="14"/>
      <c r="AG4515" s="54"/>
      <c r="AH4515" s="11"/>
      <c r="AI4515" s="14"/>
      <c r="AJ4515" s="19">
        <v>0</v>
      </c>
      <c r="AK4515" s="23">
        <v>0</v>
      </c>
      <c r="AL4515" s="11"/>
      <c r="AM4515" s="19">
        <v>0</v>
      </c>
      <c r="AN4515" s="19">
        <v>252000</v>
      </c>
      <c r="AO4515" s="14"/>
      <c r="AP4515" s="14">
        <v>252000</v>
      </c>
      <c r="AQ4515" s="12"/>
      <c r="AS4515" s="26"/>
    </row>
    <row r="4516" spans="1:45" s="19" customFormat="1" x14ac:dyDescent="0.2">
      <c r="A4516" s="121">
        <f t="shared" si="531"/>
        <v>3829</v>
      </c>
      <c r="B4516" s="13">
        <v>5</v>
      </c>
      <c r="C4516" s="17" t="s">
        <v>65</v>
      </c>
      <c r="D4516" s="17">
        <v>3428</v>
      </c>
      <c r="E4516" s="17">
        <v>412</v>
      </c>
      <c r="F4516" s="17"/>
      <c r="G4516" s="13"/>
      <c r="H4516" s="17">
        <v>0</v>
      </c>
      <c r="I4516" s="17">
        <v>0</v>
      </c>
      <c r="J4516" s="17">
        <v>71</v>
      </c>
      <c r="K4516" s="10"/>
      <c r="L4516" s="17"/>
      <c r="M4516" s="15"/>
      <c r="N4516" s="18">
        <v>71</v>
      </c>
      <c r="O4516" s="14"/>
      <c r="P4516" s="17">
        <v>4</v>
      </c>
      <c r="Q4516" s="19">
        <v>71</v>
      </c>
      <c r="R4516" s="14">
        <v>200</v>
      </c>
      <c r="S4516" s="19">
        <v>14200</v>
      </c>
      <c r="T4516" s="17"/>
      <c r="U4516" s="17"/>
      <c r="V4516" s="17"/>
      <c r="W4516" s="4"/>
      <c r="X4516" s="17"/>
      <c r="Y4516" s="4"/>
      <c r="Z4516" s="17"/>
      <c r="AA4516" s="17"/>
      <c r="AB4516" s="17"/>
      <c r="AC4516" s="14"/>
      <c r="AD4516" s="14"/>
      <c r="AE4516" s="17"/>
      <c r="AF4516" s="14"/>
      <c r="AG4516" s="54"/>
      <c r="AH4516" s="11"/>
      <c r="AI4516" s="14"/>
      <c r="AJ4516" s="19">
        <v>0</v>
      </c>
      <c r="AK4516" s="23">
        <v>0</v>
      </c>
      <c r="AL4516" s="11"/>
      <c r="AM4516" s="19">
        <v>0</v>
      </c>
      <c r="AN4516" s="19">
        <v>14200</v>
      </c>
      <c r="AO4516" s="14"/>
      <c r="AP4516" s="14">
        <v>14200</v>
      </c>
      <c r="AQ4516" s="12">
        <v>3.0000000000000001E-3</v>
      </c>
      <c r="AS4516" s="26"/>
    </row>
    <row r="4517" spans="1:45" s="19" customFormat="1" x14ac:dyDescent="0.2">
      <c r="A4517" s="121">
        <f t="shared" si="531"/>
        <v>3830</v>
      </c>
      <c r="B4517" s="13">
        <v>1</v>
      </c>
      <c r="C4517" s="17" t="s">
        <v>52</v>
      </c>
      <c r="D4517" s="17">
        <v>2420</v>
      </c>
      <c r="E4517" s="17">
        <v>71</v>
      </c>
      <c r="F4517" s="17">
        <v>420</v>
      </c>
      <c r="G4517" s="13">
        <v>2</v>
      </c>
      <c r="H4517" s="17">
        <v>0</v>
      </c>
      <c r="I4517" s="17">
        <v>0</v>
      </c>
      <c r="J4517" s="17">
        <v>72</v>
      </c>
      <c r="K4517" s="10"/>
      <c r="L4517" s="17">
        <v>63</v>
      </c>
      <c r="M4517" s="15">
        <v>9</v>
      </c>
      <c r="N4517" s="18"/>
      <c r="O4517" s="14"/>
      <c r="P4517" s="17">
        <v>5</v>
      </c>
      <c r="Q4517" s="19">
        <v>72</v>
      </c>
      <c r="R4517" s="14">
        <v>4500</v>
      </c>
      <c r="S4517" s="19">
        <v>324000</v>
      </c>
      <c r="T4517" s="17"/>
      <c r="U4517" s="17"/>
      <c r="V4517" s="17"/>
      <c r="W4517" s="4"/>
      <c r="X4517" s="17"/>
      <c r="Y4517" s="4"/>
      <c r="Z4517" s="17"/>
      <c r="AA4517" s="17"/>
      <c r="AB4517" s="17"/>
      <c r="AC4517" s="14"/>
      <c r="AD4517" s="14"/>
      <c r="AE4517" s="17" t="s">
        <v>398</v>
      </c>
      <c r="AF4517" s="14"/>
      <c r="AG4517" s="54"/>
      <c r="AH4517" s="11"/>
      <c r="AI4517" s="14"/>
      <c r="AJ4517" s="19">
        <v>0</v>
      </c>
      <c r="AK4517" s="23">
        <v>0</v>
      </c>
      <c r="AL4517" s="11"/>
      <c r="AM4517" s="19">
        <v>0</v>
      </c>
      <c r="AN4517" s="19">
        <v>324000</v>
      </c>
      <c r="AO4517" s="14"/>
      <c r="AP4517" s="14">
        <v>324000</v>
      </c>
      <c r="AQ4517" s="12"/>
      <c r="AS4517" s="26"/>
    </row>
    <row r="4518" spans="1:45" s="19" customFormat="1" ht="105" x14ac:dyDescent="0.2">
      <c r="A4518" s="2"/>
      <c r="B4518" s="13"/>
      <c r="C4518" s="17"/>
      <c r="D4518" s="17"/>
      <c r="E4518" s="17"/>
      <c r="F4518" s="17"/>
      <c r="G4518" s="13"/>
      <c r="H4518" s="17"/>
      <c r="I4518" s="17"/>
      <c r="J4518" s="17"/>
      <c r="K4518" s="10"/>
      <c r="L4518" s="17"/>
      <c r="M4518" s="15"/>
      <c r="N4518" s="18"/>
      <c r="O4518" s="14"/>
      <c r="P4518" s="17">
        <v>2</v>
      </c>
      <c r="R4518" s="14" t="e">
        <v>#N/A</v>
      </c>
      <c r="S4518" s="19" t="e">
        <v>#N/A</v>
      </c>
      <c r="T4518" s="17">
        <v>1</v>
      </c>
      <c r="U4518" s="17" t="s">
        <v>174</v>
      </c>
      <c r="V4518" s="17" t="s">
        <v>56</v>
      </c>
      <c r="W4518" s="4">
        <v>108</v>
      </c>
      <c r="X4518" s="17"/>
      <c r="Y4518" s="4" t="s">
        <v>399</v>
      </c>
      <c r="Z4518" s="17">
        <v>72</v>
      </c>
      <c r="AA4518" s="17"/>
      <c r="AB4518" s="17">
        <v>2</v>
      </c>
      <c r="AC4518" s="14"/>
      <c r="AD4518" s="14"/>
      <c r="AE4518" s="17"/>
      <c r="AF4518" s="14">
        <v>2</v>
      </c>
      <c r="AG4518" s="54">
        <v>108</v>
      </c>
      <c r="AH4518" s="11">
        <v>0.33339999999999997</v>
      </c>
      <c r="AI4518" s="14">
        <v>5800</v>
      </c>
      <c r="AJ4518" s="19">
        <v>208841.75999999998</v>
      </c>
      <c r="AK4518" s="23">
        <v>2</v>
      </c>
      <c r="AL4518" s="11">
        <v>0.02</v>
      </c>
      <c r="AM4518" s="19">
        <v>204664.92479999998</v>
      </c>
      <c r="AN4518" s="19">
        <v>312686.52479999996</v>
      </c>
      <c r="AO4518" s="14"/>
      <c r="AP4518" s="14">
        <v>312686.52479999996</v>
      </c>
      <c r="AQ4518" s="12">
        <v>2.0000000000000001E-4</v>
      </c>
      <c r="AS4518" s="26"/>
    </row>
    <row r="4519" spans="1:45" s="19" customFormat="1" x14ac:dyDescent="0.2">
      <c r="A4519" s="2"/>
      <c r="B4519" s="13"/>
      <c r="C4519" s="17"/>
      <c r="D4519" s="17"/>
      <c r="E4519" s="17"/>
      <c r="F4519" s="17"/>
      <c r="G4519" s="13"/>
      <c r="H4519" s="17"/>
      <c r="I4519" s="17"/>
      <c r="J4519" s="17"/>
      <c r="K4519" s="10"/>
      <c r="L4519" s="17"/>
      <c r="M4519" s="15"/>
      <c r="N4519" s="18"/>
      <c r="O4519" s="14"/>
      <c r="P4519" s="17">
        <v>3</v>
      </c>
      <c r="R4519" s="14" t="e">
        <v>#N/A</v>
      </c>
      <c r="S4519" s="19" t="e">
        <v>#N/A</v>
      </c>
      <c r="T4519" s="17"/>
      <c r="U4519" s="17"/>
      <c r="V4519" s="17"/>
      <c r="W4519" s="4"/>
      <c r="X4519" s="17"/>
      <c r="Y4519" s="4"/>
      <c r="Z4519" s="17"/>
      <c r="AA4519" s="17"/>
      <c r="AB4519" s="17"/>
      <c r="AC4519" s="14"/>
      <c r="AD4519" s="14"/>
      <c r="AE4519" s="17"/>
      <c r="AF4519" s="14">
        <v>3</v>
      </c>
      <c r="AG4519" s="54">
        <v>108</v>
      </c>
      <c r="AH4519" s="11">
        <v>0.66659999999999997</v>
      </c>
      <c r="AI4519" s="14">
        <v>5800</v>
      </c>
      <c r="AJ4519" s="19">
        <v>417558.24</v>
      </c>
      <c r="AK4519" s="23">
        <v>0</v>
      </c>
      <c r="AL4519" s="11">
        <v>0.02</v>
      </c>
      <c r="AM4519" s="19">
        <v>409207.07519999996</v>
      </c>
      <c r="AN4519" s="19">
        <v>625185.47519999999</v>
      </c>
      <c r="AO4519" s="14"/>
      <c r="AP4519" s="14">
        <v>625185.47519999999</v>
      </c>
      <c r="AQ4519" s="12">
        <v>3.0000000000000001E-3</v>
      </c>
      <c r="AS4519" s="26"/>
    </row>
    <row r="4520" spans="1:45" s="19" customFormat="1" x14ac:dyDescent="0.2">
      <c r="A4520" s="2">
        <v>3831</v>
      </c>
      <c r="B4520" s="13">
        <v>2</v>
      </c>
      <c r="C4520" s="17" t="s">
        <v>52</v>
      </c>
      <c r="D4520" s="17">
        <v>2429</v>
      </c>
      <c r="E4520" s="17">
        <v>100</v>
      </c>
      <c r="F4520" s="17">
        <v>431</v>
      </c>
      <c r="G4520" s="13">
        <v>2</v>
      </c>
      <c r="H4520" s="17">
        <v>0</v>
      </c>
      <c r="I4520" s="17">
        <v>0</v>
      </c>
      <c r="J4520" s="17">
        <v>88</v>
      </c>
      <c r="K4520" s="10" t="s">
        <v>252</v>
      </c>
      <c r="L4520" s="17"/>
      <c r="M4520" s="15"/>
      <c r="N4520" s="18"/>
      <c r="O4520" s="14"/>
      <c r="P4520" s="17">
        <v>1</v>
      </c>
      <c r="Q4520" s="19">
        <v>88</v>
      </c>
      <c r="R4520" s="14">
        <v>250</v>
      </c>
      <c r="S4520" s="19">
        <v>22000</v>
      </c>
      <c r="T4520" s="17"/>
      <c r="U4520" s="17"/>
      <c r="V4520" s="17"/>
      <c r="W4520" s="4"/>
      <c r="X4520" s="17"/>
      <c r="Y4520" s="4"/>
      <c r="Z4520" s="17"/>
      <c r="AA4520" s="17"/>
      <c r="AB4520" s="17"/>
      <c r="AC4520" s="14"/>
      <c r="AD4520" s="14"/>
      <c r="AE4520" s="17"/>
      <c r="AF4520" s="14"/>
      <c r="AG4520" s="54"/>
      <c r="AH4520" s="11"/>
      <c r="AI4520" s="14"/>
      <c r="AJ4520" s="19">
        <v>0</v>
      </c>
      <c r="AK4520" s="23">
        <v>0</v>
      </c>
      <c r="AL4520" s="11"/>
      <c r="AM4520" s="19">
        <v>0</v>
      </c>
      <c r="AN4520" s="19">
        <v>22000</v>
      </c>
      <c r="AO4520" s="14"/>
      <c r="AP4520" s="14">
        <v>22000</v>
      </c>
      <c r="AQ4520" s="12"/>
      <c r="AS4520" s="26"/>
    </row>
    <row r="4521" spans="1:45" s="19" customFormat="1" ht="63" x14ac:dyDescent="0.2">
      <c r="A4521" s="2">
        <f>+A4520+1</f>
        <v>3832</v>
      </c>
      <c r="B4521" s="13">
        <v>3</v>
      </c>
      <c r="C4521" s="17" t="s">
        <v>52</v>
      </c>
      <c r="D4521" s="17">
        <v>25632</v>
      </c>
      <c r="E4521" s="17">
        <v>176</v>
      </c>
      <c r="F4521" s="17">
        <v>4925</v>
      </c>
      <c r="G4521" s="13">
        <v>2</v>
      </c>
      <c r="H4521" s="17">
        <v>1</v>
      </c>
      <c r="I4521" s="17">
        <v>3</v>
      </c>
      <c r="J4521" s="17">
        <v>68</v>
      </c>
      <c r="K4521" s="10"/>
      <c r="L4521" s="17">
        <v>768</v>
      </c>
      <c r="M4521" s="15"/>
      <c r="N4521" s="18"/>
      <c r="O4521" s="14"/>
      <c r="P4521" s="17">
        <v>2</v>
      </c>
      <c r="Q4521" s="19">
        <v>768</v>
      </c>
      <c r="R4521" s="14">
        <v>250</v>
      </c>
      <c r="S4521" s="19">
        <v>192000</v>
      </c>
      <c r="T4521" s="17">
        <v>1</v>
      </c>
      <c r="U4521" s="17" t="s">
        <v>57</v>
      </c>
      <c r="V4521" s="17" t="s">
        <v>56</v>
      </c>
      <c r="W4521" s="4">
        <v>119</v>
      </c>
      <c r="X4521" s="17"/>
      <c r="Y4521" s="4">
        <v>119</v>
      </c>
      <c r="Z4521" s="17"/>
      <c r="AA4521" s="17"/>
      <c r="AB4521" s="17">
        <v>21</v>
      </c>
      <c r="AC4521" s="14"/>
      <c r="AD4521" s="14"/>
      <c r="AE4521" s="17"/>
      <c r="AF4521" s="14"/>
      <c r="AG4521" s="54"/>
      <c r="AH4521" s="11"/>
      <c r="AI4521" s="14"/>
      <c r="AJ4521" s="19">
        <v>0</v>
      </c>
      <c r="AK4521" s="23">
        <v>21</v>
      </c>
      <c r="AL4521" s="11"/>
      <c r="AM4521" s="19">
        <v>0</v>
      </c>
      <c r="AN4521" s="19">
        <v>192000</v>
      </c>
      <c r="AO4521" s="14"/>
      <c r="AP4521" s="14">
        <v>192000</v>
      </c>
      <c r="AQ4521" s="12"/>
      <c r="AS4521" s="26"/>
    </row>
    <row r="4522" spans="1:45" s="19" customFormat="1" x14ac:dyDescent="0.2">
      <c r="A4522" s="121">
        <f t="shared" ref="A4522:A4529" si="532">+A4521+1</f>
        <v>3833</v>
      </c>
      <c r="B4522" s="13">
        <v>4</v>
      </c>
      <c r="C4522" s="17" t="s">
        <v>52</v>
      </c>
      <c r="D4522" s="17">
        <v>25634</v>
      </c>
      <c r="E4522" s="17">
        <v>275</v>
      </c>
      <c r="F4522" s="17">
        <v>6445</v>
      </c>
      <c r="G4522" s="13">
        <v>2</v>
      </c>
      <c r="H4522" s="17">
        <v>3</v>
      </c>
      <c r="I4522" s="17">
        <v>2</v>
      </c>
      <c r="J4522" s="17">
        <v>25</v>
      </c>
      <c r="K4522" s="10"/>
      <c r="L4522" s="17"/>
      <c r="M4522" s="15"/>
      <c r="N4522" s="18"/>
      <c r="O4522" s="14"/>
      <c r="P4522" s="17"/>
      <c r="Q4522" s="19">
        <v>1425</v>
      </c>
      <c r="R4522" s="14">
        <v>160</v>
      </c>
      <c r="S4522" s="19">
        <v>228000</v>
      </c>
      <c r="T4522" s="17"/>
      <c r="U4522" s="17"/>
      <c r="V4522" s="17"/>
      <c r="W4522" s="4"/>
      <c r="X4522" s="17"/>
      <c r="Y4522" s="4"/>
      <c r="Z4522" s="17"/>
      <c r="AA4522" s="17"/>
      <c r="AB4522" s="17"/>
      <c r="AC4522" s="14"/>
      <c r="AD4522" s="14"/>
      <c r="AE4522" s="17"/>
      <c r="AF4522" s="14"/>
      <c r="AG4522" s="54"/>
      <c r="AH4522" s="11"/>
      <c r="AI4522" s="14"/>
      <c r="AJ4522" s="19">
        <v>0</v>
      </c>
      <c r="AK4522" s="23">
        <v>0</v>
      </c>
      <c r="AL4522" s="11"/>
      <c r="AM4522" s="19">
        <v>0</v>
      </c>
      <c r="AN4522" s="19">
        <v>228000</v>
      </c>
      <c r="AO4522" s="14"/>
      <c r="AP4522" s="14">
        <v>228000</v>
      </c>
      <c r="AQ4522" s="12"/>
      <c r="AS4522" s="26"/>
    </row>
    <row r="4523" spans="1:45" s="19" customFormat="1" x14ac:dyDescent="0.2">
      <c r="A4523" s="121">
        <f t="shared" si="532"/>
        <v>3834</v>
      </c>
      <c r="B4523" s="13">
        <v>5</v>
      </c>
      <c r="C4523" s="17" t="s">
        <v>52</v>
      </c>
      <c r="D4523" s="17">
        <v>25635</v>
      </c>
      <c r="E4523" s="17">
        <v>276</v>
      </c>
      <c r="F4523" s="17">
        <v>6446</v>
      </c>
      <c r="G4523" s="13">
        <v>2</v>
      </c>
      <c r="H4523" s="17">
        <v>3</v>
      </c>
      <c r="I4523" s="17">
        <v>2</v>
      </c>
      <c r="J4523" s="17">
        <v>58</v>
      </c>
      <c r="K4523" s="10"/>
      <c r="L4523" s="17"/>
      <c r="M4523" s="15"/>
      <c r="N4523" s="18"/>
      <c r="O4523" s="14"/>
      <c r="P4523" s="17"/>
      <c r="Q4523" s="19">
        <v>1458</v>
      </c>
      <c r="R4523" s="14">
        <v>160</v>
      </c>
      <c r="S4523" s="19">
        <v>233280</v>
      </c>
      <c r="T4523" s="17"/>
      <c r="U4523" s="17"/>
      <c r="V4523" s="17"/>
      <c r="W4523" s="4"/>
      <c r="X4523" s="17"/>
      <c r="Y4523" s="4"/>
      <c r="Z4523" s="17"/>
      <c r="AA4523" s="17"/>
      <c r="AB4523" s="17"/>
      <c r="AC4523" s="14"/>
      <c r="AD4523" s="14"/>
      <c r="AE4523" s="17"/>
      <c r="AF4523" s="14"/>
      <c r="AG4523" s="54"/>
      <c r="AH4523" s="11"/>
      <c r="AI4523" s="14"/>
      <c r="AJ4523" s="19">
        <v>0</v>
      </c>
      <c r="AK4523" s="23">
        <v>0</v>
      </c>
      <c r="AL4523" s="11"/>
      <c r="AM4523" s="19">
        <v>0</v>
      </c>
      <c r="AN4523" s="19">
        <v>233280</v>
      </c>
      <c r="AO4523" s="14"/>
      <c r="AP4523" s="14">
        <v>233280</v>
      </c>
      <c r="AQ4523" s="12"/>
      <c r="AS4523" s="26"/>
    </row>
    <row r="4524" spans="1:45" s="19" customFormat="1" x14ac:dyDescent="0.2">
      <c r="A4524" s="121">
        <f t="shared" si="532"/>
        <v>3835</v>
      </c>
      <c r="B4524" s="13">
        <v>6</v>
      </c>
      <c r="C4524" s="17" t="s">
        <v>52</v>
      </c>
      <c r="D4524" s="17">
        <v>25637</v>
      </c>
      <c r="E4524" s="17">
        <v>254</v>
      </c>
      <c r="F4524" s="17">
        <v>6448</v>
      </c>
      <c r="G4524" s="13">
        <v>2</v>
      </c>
      <c r="H4524" s="17">
        <v>0</v>
      </c>
      <c r="I4524" s="17">
        <v>1</v>
      </c>
      <c r="J4524" s="17">
        <v>83</v>
      </c>
      <c r="K4524" s="10" t="s">
        <v>400</v>
      </c>
      <c r="L4524" s="17"/>
      <c r="M4524" s="15"/>
      <c r="N4524" s="18"/>
      <c r="O4524" s="14"/>
      <c r="P4524" s="17">
        <v>1</v>
      </c>
      <c r="Q4524" s="19">
        <v>183</v>
      </c>
      <c r="R4524" s="14">
        <v>250</v>
      </c>
      <c r="S4524" s="19">
        <v>45750</v>
      </c>
      <c r="T4524" s="17"/>
      <c r="U4524" s="17"/>
      <c r="V4524" s="17"/>
      <c r="W4524" s="4"/>
      <c r="X4524" s="17"/>
      <c r="Y4524" s="4"/>
      <c r="Z4524" s="17"/>
      <c r="AA4524" s="17"/>
      <c r="AB4524" s="17"/>
      <c r="AC4524" s="14"/>
      <c r="AD4524" s="14"/>
      <c r="AE4524" s="17"/>
      <c r="AF4524" s="14"/>
      <c r="AG4524" s="54"/>
      <c r="AH4524" s="11"/>
      <c r="AI4524" s="14"/>
      <c r="AJ4524" s="19">
        <v>0</v>
      </c>
      <c r="AK4524" s="23">
        <v>0</v>
      </c>
      <c r="AL4524" s="11"/>
      <c r="AM4524" s="19">
        <v>0</v>
      </c>
      <c r="AN4524" s="19">
        <v>45750</v>
      </c>
      <c r="AO4524" s="14"/>
      <c r="AP4524" s="14">
        <v>45750</v>
      </c>
      <c r="AQ4524" s="12"/>
      <c r="AS4524" s="26"/>
    </row>
    <row r="4525" spans="1:45" s="19" customFormat="1" x14ac:dyDescent="0.2">
      <c r="A4525" s="121">
        <f t="shared" si="532"/>
        <v>3836</v>
      </c>
      <c r="B4525" s="13">
        <v>1</v>
      </c>
      <c r="C4525" s="17" t="s">
        <v>52</v>
      </c>
      <c r="D4525" s="17">
        <v>29172</v>
      </c>
      <c r="E4525" s="17">
        <v>268</v>
      </c>
      <c r="F4525" s="17">
        <v>5367</v>
      </c>
      <c r="G4525" s="13">
        <v>1</v>
      </c>
      <c r="H4525" s="17">
        <v>0</v>
      </c>
      <c r="I4525" s="17">
        <v>0</v>
      </c>
      <c r="J4525" s="17">
        <v>66</v>
      </c>
      <c r="K4525" s="10">
        <v>66</v>
      </c>
      <c r="L4525" s="17"/>
      <c r="M4525" s="15"/>
      <c r="N4525" s="18"/>
      <c r="O4525" s="14"/>
      <c r="P4525" s="17">
        <v>1</v>
      </c>
      <c r="Q4525" s="19">
        <v>66</v>
      </c>
      <c r="R4525" s="14">
        <v>200</v>
      </c>
      <c r="S4525" s="19">
        <v>13200</v>
      </c>
      <c r="T4525" s="17"/>
      <c r="U4525" s="17"/>
      <c r="V4525" s="17"/>
      <c r="W4525" s="4"/>
      <c r="X4525" s="17"/>
      <c r="Y4525" s="4"/>
      <c r="Z4525" s="17"/>
      <c r="AA4525" s="17"/>
      <c r="AB4525" s="17"/>
      <c r="AC4525" s="14"/>
      <c r="AD4525" s="14"/>
      <c r="AE4525" s="17"/>
      <c r="AF4525" s="14"/>
      <c r="AG4525" s="54"/>
      <c r="AH4525" s="11"/>
      <c r="AI4525" s="14"/>
      <c r="AJ4525" s="19">
        <v>0</v>
      </c>
      <c r="AK4525" s="23">
        <v>0</v>
      </c>
      <c r="AL4525" s="11"/>
      <c r="AM4525" s="19">
        <v>0</v>
      </c>
      <c r="AN4525" s="19">
        <v>13200</v>
      </c>
      <c r="AO4525" s="14"/>
      <c r="AP4525" s="14">
        <v>13200</v>
      </c>
      <c r="AQ4525" s="12"/>
      <c r="AS4525" s="26"/>
    </row>
    <row r="4526" spans="1:45" s="19" customFormat="1" x14ac:dyDescent="0.2">
      <c r="A4526" s="121">
        <f t="shared" si="532"/>
        <v>3837</v>
      </c>
      <c r="B4526" s="13">
        <v>2</v>
      </c>
      <c r="C4526" s="17" t="s">
        <v>52</v>
      </c>
      <c r="D4526" s="17">
        <v>2421</v>
      </c>
      <c r="E4526" s="17">
        <v>70</v>
      </c>
      <c r="F4526" s="17">
        <v>421</v>
      </c>
      <c r="G4526" s="13">
        <v>2</v>
      </c>
      <c r="H4526" s="17">
        <v>0</v>
      </c>
      <c r="I4526" s="17">
        <v>0</v>
      </c>
      <c r="J4526" s="17">
        <v>79</v>
      </c>
      <c r="K4526" s="10"/>
      <c r="L4526" s="17"/>
      <c r="M4526" s="15"/>
      <c r="N4526" s="18">
        <v>79</v>
      </c>
      <c r="O4526" s="14"/>
      <c r="P4526" s="17">
        <v>4</v>
      </c>
      <c r="Q4526" s="19">
        <v>79</v>
      </c>
      <c r="R4526" s="14">
        <v>4500</v>
      </c>
      <c r="S4526" s="19">
        <v>355500</v>
      </c>
      <c r="T4526" s="17"/>
      <c r="U4526" s="17"/>
      <c r="V4526" s="17"/>
      <c r="W4526" s="4"/>
      <c r="X4526" s="17"/>
      <c r="Y4526" s="4"/>
      <c r="Z4526" s="17"/>
      <c r="AA4526" s="17"/>
      <c r="AB4526" s="17"/>
      <c r="AC4526" s="14"/>
      <c r="AD4526" s="14"/>
      <c r="AE4526" s="17"/>
      <c r="AF4526" s="14"/>
      <c r="AG4526" s="54"/>
      <c r="AH4526" s="11"/>
      <c r="AI4526" s="14"/>
      <c r="AJ4526" s="19">
        <v>0</v>
      </c>
      <c r="AK4526" s="23">
        <v>0</v>
      </c>
      <c r="AL4526" s="11"/>
      <c r="AM4526" s="19">
        <v>0</v>
      </c>
      <c r="AN4526" s="19">
        <v>355500</v>
      </c>
      <c r="AO4526" s="14"/>
      <c r="AP4526" s="14">
        <v>355500</v>
      </c>
      <c r="AQ4526" s="12">
        <v>3.0000000000000001E-3</v>
      </c>
      <c r="AS4526" s="26"/>
    </row>
    <row r="4527" spans="1:45" s="19" customFormat="1" x14ac:dyDescent="0.2">
      <c r="A4527" s="121">
        <f t="shared" si="532"/>
        <v>3838</v>
      </c>
      <c r="B4527" s="13">
        <v>1</v>
      </c>
      <c r="C4527" s="17" t="s">
        <v>52</v>
      </c>
      <c r="D4527" s="17">
        <v>5071</v>
      </c>
      <c r="E4527" s="17">
        <v>82</v>
      </c>
      <c r="F4527" s="17">
        <v>2498</v>
      </c>
      <c r="G4527" s="13">
        <v>1</v>
      </c>
      <c r="H4527" s="17">
        <v>5</v>
      </c>
      <c r="I4527" s="17">
        <v>2</v>
      </c>
      <c r="J4527" s="17">
        <v>1</v>
      </c>
      <c r="K4527" s="10">
        <v>2201</v>
      </c>
      <c r="L4527" s="17"/>
      <c r="M4527" s="15"/>
      <c r="N4527" s="18"/>
      <c r="O4527" s="14"/>
      <c r="P4527" s="17">
        <v>1</v>
      </c>
      <c r="Q4527" s="19">
        <v>2201</v>
      </c>
      <c r="R4527" s="14">
        <v>160</v>
      </c>
      <c r="S4527" s="19">
        <v>352160</v>
      </c>
      <c r="T4527" s="17"/>
      <c r="U4527" s="17"/>
      <c r="V4527" s="17"/>
      <c r="W4527" s="4"/>
      <c r="X4527" s="17"/>
      <c r="Y4527" s="4"/>
      <c r="Z4527" s="17"/>
      <c r="AA4527" s="17"/>
      <c r="AB4527" s="17"/>
      <c r="AC4527" s="14"/>
      <c r="AD4527" s="14"/>
      <c r="AE4527" s="17"/>
      <c r="AF4527" s="14"/>
      <c r="AG4527" s="54"/>
      <c r="AH4527" s="11"/>
      <c r="AI4527" s="14"/>
      <c r="AJ4527" s="19">
        <v>0</v>
      </c>
      <c r="AK4527" s="23">
        <v>0</v>
      </c>
      <c r="AL4527" s="11"/>
      <c r="AM4527" s="19">
        <v>0</v>
      </c>
      <c r="AN4527" s="19">
        <v>352160</v>
      </c>
      <c r="AO4527" s="14"/>
      <c r="AP4527" s="14">
        <v>352160</v>
      </c>
      <c r="AQ4527" s="12"/>
      <c r="AS4527" s="26"/>
    </row>
    <row r="4528" spans="1:45" s="19" customFormat="1" ht="63" x14ac:dyDescent="0.2">
      <c r="A4528" s="121">
        <f t="shared" si="532"/>
        <v>3839</v>
      </c>
      <c r="B4528" s="13">
        <v>2</v>
      </c>
      <c r="C4528" s="17" t="s">
        <v>52</v>
      </c>
      <c r="D4528" s="17">
        <v>1774</v>
      </c>
      <c r="E4528" s="17">
        <v>72</v>
      </c>
      <c r="F4528" s="17">
        <v>419</v>
      </c>
      <c r="G4528" s="13">
        <v>2</v>
      </c>
      <c r="H4528" s="17">
        <v>0</v>
      </c>
      <c r="I4528" s="17">
        <v>0</v>
      </c>
      <c r="J4528" s="17">
        <v>71</v>
      </c>
      <c r="K4528" s="10"/>
      <c r="L4528" s="17">
        <v>71</v>
      </c>
      <c r="M4528" s="15"/>
      <c r="N4528" s="18"/>
      <c r="O4528" s="14"/>
      <c r="P4528" s="17">
        <v>2</v>
      </c>
      <c r="Q4528" s="19">
        <v>71</v>
      </c>
      <c r="R4528" s="14">
        <v>4500</v>
      </c>
      <c r="S4528" s="19">
        <v>319500</v>
      </c>
      <c r="T4528" s="17">
        <v>1</v>
      </c>
      <c r="U4528" s="17" t="s">
        <v>57</v>
      </c>
      <c r="V4528" s="17" t="s">
        <v>56</v>
      </c>
      <c r="W4528" s="4">
        <v>75</v>
      </c>
      <c r="X4528" s="17"/>
      <c r="Y4528" s="4">
        <v>75</v>
      </c>
      <c r="Z4528" s="17"/>
      <c r="AA4528" s="17"/>
      <c r="AB4528" s="17">
        <v>20</v>
      </c>
      <c r="AC4528" s="14"/>
      <c r="AD4528" s="14"/>
      <c r="AE4528" s="17"/>
      <c r="AF4528" s="14"/>
      <c r="AG4528" s="54"/>
      <c r="AH4528" s="11"/>
      <c r="AI4528" s="14"/>
      <c r="AJ4528" s="19">
        <v>0</v>
      </c>
      <c r="AK4528" s="23">
        <v>20</v>
      </c>
      <c r="AL4528" s="11"/>
      <c r="AM4528" s="19">
        <v>0</v>
      </c>
      <c r="AN4528" s="19">
        <v>319500</v>
      </c>
      <c r="AO4528" s="14"/>
      <c r="AP4528" s="14">
        <v>319500</v>
      </c>
      <c r="AQ4528" s="12"/>
      <c r="AS4528" s="26"/>
    </row>
    <row r="4529" spans="1:45" s="19" customFormat="1" ht="63" x14ac:dyDescent="0.2">
      <c r="A4529" s="121">
        <f t="shared" si="532"/>
        <v>3840</v>
      </c>
      <c r="B4529" s="13">
        <v>3</v>
      </c>
      <c r="C4529" s="17" t="s">
        <v>52</v>
      </c>
      <c r="D4529" s="17">
        <v>2442</v>
      </c>
      <c r="E4529" s="17">
        <v>75</v>
      </c>
      <c r="F4529" s="17">
        <v>416</v>
      </c>
      <c r="G4529" s="13">
        <v>2</v>
      </c>
      <c r="H4529" s="17">
        <v>0</v>
      </c>
      <c r="I4529" s="17">
        <v>0</v>
      </c>
      <c r="J4529" s="17">
        <v>65</v>
      </c>
      <c r="K4529" s="10"/>
      <c r="L4529" s="17">
        <v>36.869999999999997</v>
      </c>
      <c r="M4529" s="15"/>
      <c r="N4529" s="18"/>
      <c r="O4529" s="14"/>
      <c r="P4529" s="17">
        <v>2</v>
      </c>
      <c r="Q4529" s="19">
        <v>65</v>
      </c>
      <c r="R4529" s="14">
        <v>4500</v>
      </c>
      <c r="S4529" s="19">
        <v>292500</v>
      </c>
      <c r="T4529" s="17">
        <v>1</v>
      </c>
      <c r="U4529" s="17" t="s">
        <v>87</v>
      </c>
      <c r="V4529" s="17" t="s">
        <v>56</v>
      </c>
      <c r="W4529" s="4">
        <v>112.5</v>
      </c>
      <c r="X4529" s="17"/>
      <c r="Y4529" s="4">
        <v>112.5</v>
      </c>
      <c r="Z4529" s="17"/>
      <c r="AA4529" s="17"/>
      <c r="AB4529" s="17">
        <v>21</v>
      </c>
      <c r="AC4529" s="14"/>
      <c r="AD4529" s="14"/>
      <c r="AE4529" s="17"/>
      <c r="AF4529" s="14"/>
      <c r="AG4529" s="54"/>
      <c r="AH4529" s="11"/>
      <c r="AI4529" s="14"/>
      <c r="AJ4529" s="19">
        <v>0</v>
      </c>
      <c r="AK4529" s="23">
        <v>21</v>
      </c>
      <c r="AL4529" s="11"/>
      <c r="AM4529" s="19">
        <v>0</v>
      </c>
      <c r="AN4529" s="19">
        <v>292500</v>
      </c>
      <c r="AO4529" s="14"/>
      <c r="AP4529" s="14">
        <v>292500</v>
      </c>
      <c r="AQ4529" s="12"/>
      <c r="AS4529" s="26"/>
    </row>
    <row r="4530" spans="1:45" s="19" customFormat="1" ht="63" x14ac:dyDescent="0.2">
      <c r="A4530" s="2"/>
      <c r="B4530" s="13"/>
      <c r="C4530" s="17"/>
      <c r="D4530" s="17"/>
      <c r="E4530" s="17"/>
      <c r="F4530" s="17"/>
      <c r="G4530" s="13"/>
      <c r="H4530" s="17"/>
      <c r="I4530" s="17"/>
      <c r="J4530" s="17"/>
      <c r="K4530" s="10"/>
      <c r="L4530" s="17">
        <v>28.13</v>
      </c>
      <c r="M4530" s="15"/>
      <c r="N4530" s="18"/>
      <c r="O4530" s="14"/>
      <c r="P4530" s="17">
        <v>2</v>
      </c>
      <c r="Q4530" s="19">
        <v>0</v>
      </c>
      <c r="R4530" s="14" t="e">
        <v>#N/A</v>
      </c>
      <c r="S4530" s="19" t="e">
        <v>#N/A</v>
      </c>
      <c r="T4530" s="17">
        <v>2</v>
      </c>
      <c r="U4530" s="17" t="s">
        <v>87</v>
      </c>
      <c r="V4530" s="17" t="s">
        <v>56</v>
      </c>
      <c r="W4530" s="4">
        <v>112.5</v>
      </c>
      <c r="X4530" s="17"/>
      <c r="Y4530" s="4">
        <v>112.5</v>
      </c>
      <c r="Z4530" s="17"/>
      <c r="AA4530" s="17"/>
      <c r="AB4530" s="17">
        <v>21</v>
      </c>
      <c r="AC4530" s="14"/>
      <c r="AD4530" s="14"/>
      <c r="AE4530" s="17"/>
      <c r="AF4530" s="14"/>
      <c r="AG4530" s="54"/>
      <c r="AH4530" s="11"/>
      <c r="AI4530" s="14"/>
      <c r="AJ4530" s="19">
        <v>0</v>
      </c>
      <c r="AK4530" s="23">
        <v>21</v>
      </c>
      <c r="AL4530" s="11"/>
      <c r="AM4530" s="19">
        <v>0</v>
      </c>
      <c r="AN4530" s="19" t="e">
        <v>#N/A</v>
      </c>
      <c r="AO4530" s="14"/>
      <c r="AP4530" s="14" t="e">
        <v>#N/A</v>
      </c>
      <c r="AQ4530" s="12"/>
      <c r="AS4530" s="26"/>
    </row>
    <row r="4531" spans="1:45" s="19" customFormat="1" x14ac:dyDescent="0.2">
      <c r="A4531" s="2">
        <v>3841</v>
      </c>
      <c r="B4531" s="13">
        <v>1</v>
      </c>
      <c r="C4531" s="17" t="s">
        <v>52</v>
      </c>
      <c r="D4531" s="17">
        <v>2419</v>
      </c>
      <c r="E4531" s="17">
        <v>73</v>
      </c>
      <c r="F4531" s="17">
        <v>418</v>
      </c>
      <c r="G4531" s="13">
        <v>2</v>
      </c>
      <c r="H4531" s="17">
        <v>0</v>
      </c>
      <c r="I4531" s="17">
        <v>0</v>
      </c>
      <c r="J4531" s="17">
        <v>56</v>
      </c>
      <c r="K4531" s="10"/>
      <c r="L4531" s="17"/>
      <c r="M4531" s="15"/>
      <c r="N4531" s="18">
        <v>56</v>
      </c>
      <c r="O4531" s="14"/>
      <c r="P4531" s="17">
        <v>4</v>
      </c>
      <c r="Q4531" s="19">
        <v>56</v>
      </c>
      <c r="R4531" s="14">
        <v>4500</v>
      </c>
      <c r="S4531" s="19">
        <v>252000</v>
      </c>
      <c r="T4531" s="17"/>
      <c r="U4531" s="17"/>
      <c r="V4531" s="17"/>
      <c r="W4531" s="4"/>
      <c r="X4531" s="17"/>
      <c r="Y4531" s="4"/>
      <c r="Z4531" s="17"/>
      <c r="AA4531" s="17"/>
      <c r="AB4531" s="17"/>
      <c r="AC4531" s="14"/>
      <c r="AD4531" s="14"/>
      <c r="AE4531" s="17"/>
      <c r="AF4531" s="14"/>
      <c r="AG4531" s="54"/>
      <c r="AH4531" s="11"/>
      <c r="AI4531" s="14"/>
      <c r="AJ4531" s="19">
        <v>0</v>
      </c>
      <c r="AK4531" s="23">
        <v>0</v>
      </c>
      <c r="AL4531" s="11"/>
      <c r="AM4531" s="19">
        <v>0</v>
      </c>
      <c r="AN4531" s="19">
        <v>252000</v>
      </c>
      <c r="AO4531" s="14"/>
      <c r="AP4531" s="14">
        <v>252000</v>
      </c>
      <c r="AQ4531" s="12">
        <v>3.0000000000000001E-3</v>
      </c>
      <c r="AS4531" s="26"/>
    </row>
    <row r="4532" spans="1:45" s="19" customFormat="1" x14ac:dyDescent="0.2">
      <c r="A4532" s="2">
        <f>+A4531+1</f>
        <v>3842</v>
      </c>
      <c r="B4532" s="13">
        <v>2</v>
      </c>
      <c r="C4532" s="17" t="s">
        <v>52</v>
      </c>
      <c r="D4532" s="17">
        <v>10473</v>
      </c>
      <c r="E4532" s="17">
        <v>282</v>
      </c>
      <c r="F4532" s="17">
        <v>3098</v>
      </c>
      <c r="G4532" s="13">
        <v>2</v>
      </c>
      <c r="H4532" s="17">
        <v>0</v>
      </c>
      <c r="I4532" s="17">
        <v>1</v>
      </c>
      <c r="J4532" s="17">
        <v>44.01</v>
      </c>
      <c r="K4532" s="10">
        <v>144.01</v>
      </c>
      <c r="L4532" s="17"/>
      <c r="M4532" s="15"/>
      <c r="N4532" s="18"/>
      <c r="O4532" s="14"/>
      <c r="P4532" s="17">
        <v>1</v>
      </c>
      <c r="Q4532" s="19">
        <v>144.01</v>
      </c>
      <c r="R4532" s="14">
        <v>250</v>
      </c>
      <c r="S4532" s="19">
        <v>36002.5</v>
      </c>
      <c r="T4532" s="17"/>
      <c r="U4532" s="17"/>
      <c r="V4532" s="17"/>
      <c r="W4532" s="4"/>
      <c r="X4532" s="17"/>
      <c r="Y4532" s="4"/>
      <c r="Z4532" s="17"/>
      <c r="AA4532" s="17"/>
      <c r="AB4532" s="17"/>
      <c r="AC4532" s="14"/>
      <c r="AD4532" s="14"/>
      <c r="AE4532" s="17" t="s">
        <v>401</v>
      </c>
      <c r="AF4532" s="14"/>
      <c r="AG4532" s="54">
        <v>0</v>
      </c>
      <c r="AH4532" s="11"/>
      <c r="AI4532" s="14"/>
      <c r="AJ4532" s="19">
        <v>0</v>
      </c>
      <c r="AK4532" s="23"/>
      <c r="AL4532" s="11"/>
      <c r="AM4532" s="19">
        <v>0</v>
      </c>
      <c r="AN4532" s="19">
        <v>36002.5</v>
      </c>
      <c r="AO4532" s="14"/>
      <c r="AP4532" s="14">
        <v>36002.5</v>
      </c>
      <c r="AQ4532" s="12"/>
      <c r="AS4532" s="26"/>
    </row>
    <row r="4533" spans="1:45" s="19" customFormat="1" x14ac:dyDescent="0.2">
      <c r="A4533" s="121">
        <f t="shared" ref="A4533:A4538" si="533">+A4532+1</f>
        <v>3843</v>
      </c>
      <c r="B4533" s="13">
        <v>3</v>
      </c>
      <c r="C4533" s="17" t="s">
        <v>52</v>
      </c>
      <c r="D4533" s="17">
        <v>25631</v>
      </c>
      <c r="E4533" s="17">
        <v>175</v>
      </c>
      <c r="F4533" s="17">
        <v>4924</v>
      </c>
      <c r="G4533" s="13">
        <v>2</v>
      </c>
      <c r="H4533" s="17">
        <v>0</v>
      </c>
      <c r="I4533" s="17">
        <v>2</v>
      </c>
      <c r="J4533" s="17">
        <v>70</v>
      </c>
      <c r="K4533" s="10"/>
      <c r="L4533" s="17"/>
      <c r="M4533" s="15"/>
      <c r="N4533" s="18">
        <v>270</v>
      </c>
      <c r="O4533" s="14"/>
      <c r="P4533" s="17">
        <v>1</v>
      </c>
      <c r="Q4533" s="19">
        <v>270</v>
      </c>
      <c r="R4533" s="14">
        <v>250</v>
      </c>
      <c r="S4533" s="19">
        <v>67500</v>
      </c>
      <c r="T4533" s="17"/>
      <c r="U4533" s="17"/>
      <c r="V4533" s="17"/>
      <c r="W4533" s="4"/>
      <c r="X4533" s="17"/>
      <c r="Y4533" s="4"/>
      <c r="Z4533" s="17"/>
      <c r="AA4533" s="17"/>
      <c r="AB4533" s="17"/>
      <c r="AC4533" s="14"/>
      <c r="AD4533" s="14"/>
      <c r="AE4533" s="17"/>
      <c r="AF4533" s="14"/>
      <c r="AG4533" s="54"/>
      <c r="AH4533" s="11"/>
      <c r="AI4533" s="14"/>
      <c r="AJ4533" s="19">
        <v>0</v>
      </c>
      <c r="AK4533" s="23">
        <v>0</v>
      </c>
      <c r="AL4533" s="11"/>
      <c r="AM4533" s="19">
        <v>0</v>
      </c>
      <c r="AN4533" s="19">
        <v>67500</v>
      </c>
      <c r="AO4533" s="14"/>
      <c r="AP4533" s="14">
        <v>67500</v>
      </c>
      <c r="AQ4533" s="12"/>
      <c r="AS4533" s="26"/>
    </row>
    <row r="4534" spans="1:45" s="19" customFormat="1" x14ac:dyDescent="0.2">
      <c r="A4534" s="121">
        <f t="shared" si="533"/>
        <v>3844</v>
      </c>
      <c r="B4534" s="13">
        <v>4</v>
      </c>
      <c r="C4534" s="17" t="s">
        <v>52</v>
      </c>
      <c r="D4534" s="17">
        <v>25636</v>
      </c>
      <c r="E4534" s="17">
        <v>277</v>
      </c>
      <c r="F4534" s="17">
        <v>6447</v>
      </c>
      <c r="G4534" s="13">
        <v>2</v>
      </c>
      <c r="H4534" s="17">
        <v>3</v>
      </c>
      <c r="I4534" s="17">
        <v>1</v>
      </c>
      <c r="J4534" s="17">
        <v>87</v>
      </c>
      <c r="K4534" s="10"/>
      <c r="L4534" s="17"/>
      <c r="M4534" s="15"/>
      <c r="N4534" s="18"/>
      <c r="O4534" s="14"/>
      <c r="P4534" s="17"/>
      <c r="Q4534" s="19">
        <v>1387</v>
      </c>
      <c r="R4534" s="14">
        <v>160</v>
      </c>
      <c r="S4534" s="19">
        <v>221920</v>
      </c>
      <c r="T4534" s="17"/>
      <c r="U4534" s="17"/>
      <c r="V4534" s="17"/>
      <c r="W4534" s="4"/>
      <c r="X4534" s="17"/>
      <c r="Y4534" s="4"/>
      <c r="Z4534" s="17"/>
      <c r="AA4534" s="17"/>
      <c r="AB4534" s="17"/>
      <c r="AC4534" s="14"/>
      <c r="AD4534" s="14"/>
      <c r="AE4534" s="17"/>
      <c r="AF4534" s="14"/>
      <c r="AG4534" s="54"/>
      <c r="AH4534" s="11"/>
      <c r="AI4534" s="14"/>
      <c r="AJ4534" s="19">
        <v>0</v>
      </c>
      <c r="AK4534" s="23">
        <v>0</v>
      </c>
      <c r="AL4534" s="11"/>
      <c r="AM4534" s="19">
        <v>0</v>
      </c>
      <c r="AN4534" s="19">
        <v>221920</v>
      </c>
      <c r="AO4534" s="14"/>
      <c r="AP4534" s="14">
        <v>221920</v>
      </c>
      <c r="AQ4534" s="12"/>
      <c r="AS4534" s="26"/>
    </row>
    <row r="4535" spans="1:45" s="19" customFormat="1" x14ac:dyDescent="0.2">
      <c r="A4535" s="121">
        <f t="shared" si="533"/>
        <v>3845</v>
      </c>
      <c r="B4535" s="13">
        <v>1</v>
      </c>
      <c r="C4535" s="17" t="s">
        <v>52</v>
      </c>
      <c r="D4535" s="17">
        <v>10472</v>
      </c>
      <c r="E4535" s="17">
        <v>281</v>
      </c>
      <c r="F4535" s="17">
        <v>3097</v>
      </c>
      <c r="G4535" s="13">
        <v>2</v>
      </c>
      <c r="H4535" s="17">
        <v>0</v>
      </c>
      <c r="I4535" s="17">
        <v>1</v>
      </c>
      <c r="J4535" s="17">
        <v>22.05</v>
      </c>
      <c r="K4535" s="10"/>
      <c r="L4535" s="17"/>
      <c r="M4535" s="15"/>
      <c r="N4535" s="18">
        <v>122.05</v>
      </c>
      <c r="O4535" s="14"/>
      <c r="P4535" s="17">
        <v>4</v>
      </c>
      <c r="Q4535" s="19">
        <v>122.05</v>
      </c>
      <c r="R4535" s="14">
        <v>250</v>
      </c>
      <c r="S4535" s="19">
        <v>30512.5</v>
      </c>
      <c r="T4535" s="17"/>
      <c r="U4535" s="17"/>
      <c r="V4535" s="17"/>
      <c r="W4535" s="4"/>
      <c r="X4535" s="17"/>
      <c r="Y4535" s="4"/>
      <c r="Z4535" s="17"/>
      <c r="AA4535" s="17"/>
      <c r="AB4535" s="17"/>
      <c r="AC4535" s="14"/>
      <c r="AD4535" s="14"/>
      <c r="AE4535" s="17"/>
      <c r="AF4535" s="14"/>
      <c r="AG4535" s="54"/>
      <c r="AH4535" s="11"/>
      <c r="AI4535" s="14"/>
      <c r="AJ4535" s="19">
        <v>0</v>
      </c>
      <c r="AK4535" s="23">
        <v>0</v>
      </c>
      <c r="AL4535" s="11"/>
      <c r="AM4535" s="19">
        <v>0</v>
      </c>
      <c r="AN4535" s="19">
        <v>30512.5</v>
      </c>
      <c r="AO4535" s="14"/>
      <c r="AP4535" s="14">
        <v>30512.5</v>
      </c>
      <c r="AQ4535" s="12">
        <v>3.0000000000000001E-3</v>
      </c>
      <c r="AS4535" s="26"/>
    </row>
    <row r="4536" spans="1:45" s="19" customFormat="1" ht="63" x14ac:dyDescent="0.2">
      <c r="A4536" s="121">
        <f t="shared" si="533"/>
        <v>3846</v>
      </c>
      <c r="B4536" s="13">
        <v>1</v>
      </c>
      <c r="C4536" s="17" t="s">
        <v>52</v>
      </c>
      <c r="D4536" s="17">
        <v>25633</v>
      </c>
      <c r="E4536" s="17">
        <v>177</v>
      </c>
      <c r="F4536" s="17">
        <v>4926</v>
      </c>
      <c r="G4536" s="13">
        <v>2</v>
      </c>
      <c r="H4536" s="17">
        <v>1</v>
      </c>
      <c r="I4536" s="17">
        <v>3</v>
      </c>
      <c r="J4536" s="17">
        <v>32</v>
      </c>
      <c r="K4536" s="10"/>
      <c r="L4536" s="17">
        <v>732</v>
      </c>
      <c r="M4536" s="15"/>
      <c r="N4536" s="18"/>
      <c r="O4536" s="14"/>
      <c r="P4536" s="17">
        <v>2</v>
      </c>
      <c r="Q4536" s="19">
        <v>732</v>
      </c>
      <c r="R4536" s="14">
        <v>250</v>
      </c>
      <c r="S4536" s="19">
        <v>183000</v>
      </c>
      <c r="T4536" s="17">
        <v>1</v>
      </c>
      <c r="U4536" s="17" t="s">
        <v>57</v>
      </c>
      <c r="V4536" s="17" t="s">
        <v>56</v>
      </c>
      <c r="W4536" s="4">
        <v>96</v>
      </c>
      <c r="X4536" s="17"/>
      <c r="Y4536" s="4">
        <v>96</v>
      </c>
      <c r="Z4536" s="17"/>
      <c r="AA4536" s="17"/>
      <c r="AB4536" s="17">
        <v>9</v>
      </c>
      <c r="AC4536" s="14"/>
      <c r="AD4536" s="14"/>
      <c r="AE4536" s="17"/>
      <c r="AF4536" s="14"/>
      <c r="AG4536" s="54"/>
      <c r="AH4536" s="11"/>
      <c r="AI4536" s="14"/>
      <c r="AJ4536" s="19">
        <v>0</v>
      </c>
      <c r="AK4536" s="23">
        <v>9</v>
      </c>
      <c r="AL4536" s="11"/>
      <c r="AM4536" s="19">
        <v>0</v>
      </c>
      <c r="AN4536" s="19">
        <v>183000</v>
      </c>
      <c r="AO4536" s="14"/>
      <c r="AP4536" s="14">
        <v>183000</v>
      </c>
      <c r="AQ4536" s="12"/>
      <c r="AS4536" s="26"/>
    </row>
    <row r="4537" spans="1:45" s="19" customFormat="1" x14ac:dyDescent="0.2">
      <c r="A4537" s="121">
        <f t="shared" si="533"/>
        <v>3847</v>
      </c>
      <c r="B4537" s="13">
        <v>1</v>
      </c>
      <c r="C4537" s="17" t="s">
        <v>52</v>
      </c>
      <c r="D4537" s="17">
        <v>2428</v>
      </c>
      <c r="E4537" s="17">
        <v>61</v>
      </c>
      <c r="F4537" s="17">
        <v>429</v>
      </c>
      <c r="G4537" s="13">
        <v>2</v>
      </c>
      <c r="H4537" s="17">
        <v>0</v>
      </c>
      <c r="I4537" s="17">
        <v>3</v>
      </c>
      <c r="J4537" s="17">
        <v>41</v>
      </c>
      <c r="K4537" s="10" t="s">
        <v>402</v>
      </c>
      <c r="L4537" s="17"/>
      <c r="M4537" s="15"/>
      <c r="N4537" s="18"/>
      <c r="O4537" s="14"/>
      <c r="P4537" s="17">
        <v>1</v>
      </c>
      <c r="Q4537" s="19">
        <v>341</v>
      </c>
      <c r="R4537" s="14">
        <v>3350</v>
      </c>
      <c r="S4537" s="19">
        <v>1142350</v>
      </c>
      <c r="T4537" s="17"/>
      <c r="U4537" s="17"/>
      <c r="V4537" s="17"/>
      <c r="W4537" s="4"/>
      <c r="X4537" s="17"/>
      <c r="Y4537" s="4"/>
      <c r="Z4537" s="17"/>
      <c r="AA4537" s="17"/>
      <c r="AB4537" s="17"/>
      <c r="AC4537" s="14"/>
      <c r="AD4537" s="14"/>
      <c r="AE4537" s="17"/>
      <c r="AF4537" s="14"/>
      <c r="AG4537" s="54"/>
      <c r="AH4537" s="11"/>
      <c r="AI4537" s="14"/>
      <c r="AJ4537" s="19">
        <v>0</v>
      </c>
      <c r="AK4537" s="23">
        <v>0</v>
      </c>
      <c r="AL4537" s="11"/>
      <c r="AM4537" s="19">
        <v>0</v>
      </c>
      <c r="AN4537" s="19">
        <v>1142350</v>
      </c>
      <c r="AO4537" s="14"/>
      <c r="AP4537" s="14">
        <v>1142350</v>
      </c>
      <c r="AQ4537" s="12"/>
      <c r="AS4537" s="26"/>
    </row>
    <row r="4538" spans="1:45" s="19" customFormat="1" ht="63" x14ac:dyDescent="0.2">
      <c r="A4538" s="121">
        <f t="shared" si="533"/>
        <v>3848</v>
      </c>
      <c r="B4538" s="13">
        <v>1</v>
      </c>
      <c r="C4538" s="17" t="s">
        <v>52</v>
      </c>
      <c r="D4538" s="17">
        <v>2426</v>
      </c>
      <c r="E4538" s="17">
        <v>63</v>
      </c>
      <c r="F4538" s="17">
        <v>427</v>
      </c>
      <c r="G4538" s="13">
        <v>2</v>
      </c>
      <c r="H4538" s="17">
        <v>0</v>
      </c>
      <c r="I4538" s="17">
        <v>1</v>
      </c>
      <c r="J4538" s="17">
        <v>35</v>
      </c>
      <c r="K4538" s="10"/>
      <c r="L4538" s="17"/>
      <c r="M4538" s="15">
        <v>135</v>
      </c>
      <c r="N4538" s="18"/>
      <c r="O4538" s="14"/>
      <c r="P4538" s="17">
        <v>3</v>
      </c>
      <c r="Q4538" s="19">
        <v>135</v>
      </c>
      <c r="R4538" s="14">
        <v>4500</v>
      </c>
      <c r="S4538" s="19">
        <v>607500</v>
      </c>
      <c r="T4538" s="17">
        <v>1</v>
      </c>
      <c r="U4538" s="17" t="s">
        <v>57</v>
      </c>
      <c r="V4538" s="17" t="s">
        <v>56</v>
      </c>
      <c r="W4538" s="4">
        <v>75</v>
      </c>
      <c r="X4538" s="17"/>
      <c r="Y4538" s="4" t="s">
        <v>403</v>
      </c>
      <c r="Z4538" s="17"/>
      <c r="AA4538" s="17"/>
      <c r="AB4538" s="17">
        <v>30</v>
      </c>
      <c r="AC4538" s="14"/>
      <c r="AD4538" s="14"/>
      <c r="AE4538" s="17">
        <v>0.33333333333333331</v>
      </c>
      <c r="AF4538" s="14">
        <v>2</v>
      </c>
      <c r="AG4538" s="54">
        <v>75</v>
      </c>
      <c r="AH4538" s="11">
        <v>0.67</v>
      </c>
      <c r="AI4538" s="14">
        <v>7250</v>
      </c>
      <c r="AJ4538" s="19">
        <v>364312.5</v>
      </c>
      <c r="AK4538" s="23">
        <v>30</v>
      </c>
      <c r="AL4538" s="11">
        <v>0.5</v>
      </c>
      <c r="AM4538" s="19">
        <v>182156.25</v>
      </c>
      <c r="AN4538" s="19">
        <v>789656.25</v>
      </c>
      <c r="AO4538" s="14"/>
      <c r="AP4538" s="14">
        <v>789656.25</v>
      </c>
      <c r="AQ4538" s="12">
        <v>2.0000000000000001E-4</v>
      </c>
      <c r="AS4538" s="26"/>
    </row>
    <row r="4539" spans="1:45" s="19" customFormat="1" x14ac:dyDescent="0.2">
      <c r="A4539" s="2"/>
      <c r="B4539" s="13"/>
      <c r="C4539" s="17"/>
      <c r="D4539" s="17"/>
      <c r="E4539" s="17"/>
      <c r="F4539" s="17"/>
      <c r="G4539" s="13"/>
      <c r="H4539" s="17"/>
      <c r="I4539" s="17"/>
      <c r="J4539" s="17"/>
      <c r="K4539" s="10"/>
      <c r="L4539" s="17"/>
      <c r="M4539" s="15"/>
      <c r="N4539" s="18"/>
      <c r="O4539" s="14"/>
      <c r="P4539" s="17"/>
      <c r="R4539" s="14"/>
      <c r="T4539" s="17"/>
      <c r="U4539" s="17"/>
      <c r="V4539" s="17"/>
      <c r="W4539" s="4"/>
      <c r="X4539" s="17"/>
      <c r="Y4539" s="4"/>
      <c r="Z4539" s="17">
        <v>25</v>
      </c>
      <c r="AA4539" s="17"/>
      <c r="AB4539" s="17"/>
      <c r="AC4539" s="14"/>
      <c r="AD4539" s="14"/>
      <c r="AE4539" s="17">
        <v>0.66666666666666663</v>
      </c>
      <c r="AF4539" s="14">
        <v>3</v>
      </c>
      <c r="AG4539" s="54">
        <v>75</v>
      </c>
      <c r="AH4539" s="11">
        <v>0.33</v>
      </c>
      <c r="AI4539" s="14">
        <v>7250</v>
      </c>
      <c r="AJ4539" s="19">
        <v>179437.5</v>
      </c>
      <c r="AK4539" s="23">
        <v>30</v>
      </c>
      <c r="AL4539" s="11">
        <v>0.5</v>
      </c>
      <c r="AM4539" s="19">
        <v>89718.75</v>
      </c>
      <c r="AN4539" s="19">
        <v>290193.75</v>
      </c>
      <c r="AO4539" s="14"/>
      <c r="AP4539" s="14">
        <v>290193.75</v>
      </c>
      <c r="AQ4539" s="12">
        <v>3.0000000000000001E-3</v>
      </c>
      <c r="AS4539" s="26"/>
    </row>
    <row r="4540" spans="1:45" s="19" customFormat="1" ht="63" x14ac:dyDescent="0.2">
      <c r="A4540" s="2">
        <v>3849</v>
      </c>
      <c r="B4540" s="13">
        <v>1</v>
      </c>
      <c r="C4540" s="17" t="s">
        <v>52</v>
      </c>
      <c r="D4540" s="17">
        <v>1526</v>
      </c>
      <c r="E4540" s="17">
        <v>68</v>
      </c>
      <c r="F4540" s="17">
        <v>441</v>
      </c>
      <c r="G4540" s="13">
        <v>2</v>
      </c>
      <c r="H4540" s="17">
        <v>7</v>
      </c>
      <c r="I4540" s="17">
        <v>1</v>
      </c>
      <c r="J4540" s="17">
        <v>82</v>
      </c>
      <c r="K4540" s="10">
        <v>2932.75</v>
      </c>
      <c r="L4540" s="17">
        <v>13.5</v>
      </c>
      <c r="M4540" s="15"/>
      <c r="N4540" s="18"/>
      <c r="O4540" s="14"/>
      <c r="P4540" s="17">
        <v>1</v>
      </c>
      <c r="Q4540" s="19">
        <v>2982</v>
      </c>
      <c r="R4540" s="14">
        <v>200</v>
      </c>
      <c r="S4540" s="19">
        <v>596400</v>
      </c>
      <c r="T4540" s="17">
        <v>1</v>
      </c>
      <c r="U4540" s="17" t="s">
        <v>57</v>
      </c>
      <c r="V4540" s="17" t="s">
        <v>84</v>
      </c>
      <c r="W4540" s="4">
        <v>54</v>
      </c>
      <c r="X4540" s="17"/>
      <c r="Y4540" s="4">
        <v>54</v>
      </c>
      <c r="Z4540" s="17"/>
      <c r="AA4540" s="17"/>
      <c r="AB4540" s="17">
        <v>25</v>
      </c>
      <c r="AC4540" s="14"/>
      <c r="AD4540" s="14"/>
      <c r="AE4540" s="17"/>
      <c r="AF4540" s="14"/>
      <c r="AG4540" s="54"/>
      <c r="AH4540" s="11"/>
      <c r="AI4540" s="14"/>
      <c r="AJ4540" s="19">
        <v>0</v>
      </c>
      <c r="AK4540" s="23">
        <v>25</v>
      </c>
      <c r="AL4540" s="11"/>
      <c r="AM4540" s="19">
        <v>0</v>
      </c>
      <c r="AN4540" s="19">
        <v>596400</v>
      </c>
      <c r="AO4540" s="14"/>
      <c r="AP4540" s="14">
        <v>596400</v>
      </c>
      <c r="AQ4540" s="12"/>
      <c r="AS4540" s="26"/>
    </row>
    <row r="4541" spans="1:45" s="19" customFormat="1" ht="63" x14ac:dyDescent="0.2">
      <c r="A4541" s="2"/>
      <c r="B4541" s="13"/>
      <c r="C4541" s="17"/>
      <c r="D4541" s="17"/>
      <c r="E4541" s="17"/>
      <c r="F4541" s="17"/>
      <c r="G4541" s="13"/>
      <c r="H4541" s="17"/>
      <c r="I4541" s="17"/>
      <c r="J4541" s="17"/>
      <c r="K4541" s="10"/>
      <c r="L4541" s="17">
        <v>35.75</v>
      </c>
      <c r="M4541" s="15"/>
      <c r="N4541" s="18"/>
      <c r="O4541" s="14"/>
      <c r="P4541" s="17">
        <v>2</v>
      </c>
      <c r="Q4541" s="19">
        <v>0</v>
      </c>
      <c r="R4541" s="14">
        <v>200</v>
      </c>
      <c r="S4541" s="19">
        <v>0</v>
      </c>
      <c r="T4541" s="17">
        <v>2</v>
      </c>
      <c r="U4541" s="17" t="s">
        <v>57</v>
      </c>
      <c r="V4541" s="17" t="s">
        <v>84</v>
      </c>
      <c r="W4541" s="4">
        <v>143</v>
      </c>
      <c r="X4541" s="17"/>
      <c r="Y4541" s="4">
        <v>143</v>
      </c>
      <c r="Z4541" s="17"/>
      <c r="AA4541" s="17"/>
      <c r="AB4541" s="17">
        <v>16</v>
      </c>
      <c r="AC4541" s="14"/>
      <c r="AD4541" s="14"/>
      <c r="AE4541" s="17"/>
      <c r="AF4541" s="14"/>
      <c r="AG4541" s="54"/>
      <c r="AH4541" s="11"/>
      <c r="AI4541" s="14"/>
      <c r="AJ4541" s="19">
        <v>0</v>
      </c>
      <c r="AK4541" s="23">
        <v>16</v>
      </c>
      <c r="AL4541" s="11"/>
      <c r="AM4541" s="19">
        <v>0</v>
      </c>
      <c r="AN4541" s="19">
        <v>0</v>
      </c>
      <c r="AO4541" s="14"/>
      <c r="AP4541" s="14">
        <v>0</v>
      </c>
      <c r="AQ4541" s="12"/>
      <c r="AS4541" s="26"/>
    </row>
    <row r="4542" spans="1:45" s="19" customFormat="1" x14ac:dyDescent="0.2">
      <c r="A4542" s="2">
        <v>3850</v>
      </c>
      <c r="B4542" s="13">
        <v>2</v>
      </c>
      <c r="C4542" s="17" t="s">
        <v>52</v>
      </c>
      <c r="D4542" s="17">
        <v>1527</v>
      </c>
      <c r="E4542" s="17">
        <v>69</v>
      </c>
      <c r="F4542" s="17">
        <v>442</v>
      </c>
      <c r="G4542" s="13">
        <v>2</v>
      </c>
      <c r="H4542" s="17">
        <v>0</v>
      </c>
      <c r="I4542" s="17">
        <v>2</v>
      </c>
      <c r="J4542" s="17">
        <v>46</v>
      </c>
      <c r="K4542" s="10">
        <v>246</v>
      </c>
      <c r="L4542" s="17"/>
      <c r="M4542" s="15"/>
      <c r="N4542" s="18"/>
      <c r="O4542" s="14"/>
      <c r="P4542" s="17">
        <v>1</v>
      </c>
      <c r="Q4542" s="19">
        <v>246</v>
      </c>
      <c r="R4542" s="14">
        <v>250</v>
      </c>
      <c r="S4542" s="19">
        <v>61500</v>
      </c>
      <c r="T4542" s="17"/>
      <c r="U4542" s="17"/>
      <c r="V4542" s="17"/>
      <c r="W4542" s="4"/>
      <c r="X4542" s="17"/>
      <c r="Y4542" s="4"/>
      <c r="Z4542" s="17"/>
      <c r="AA4542" s="17"/>
      <c r="AB4542" s="17"/>
      <c r="AC4542" s="14"/>
      <c r="AD4542" s="14"/>
      <c r="AE4542" s="17"/>
      <c r="AF4542" s="14"/>
      <c r="AG4542" s="54"/>
      <c r="AH4542" s="11"/>
      <c r="AI4542" s="14"/>
      <c r="AJ4542" s="19">
        <v>0</v>
      </c>
      <c r="AK4542" s="23">
        <v>0</v>
      </c>
      <c r="AL4542" s="11"/>
      <c r="AM4542" s="19">
        <v>0</v>
      </c>
      <c r="AN4542" s="19">
        <v>61500</v>
      </c>
      <c r="AO4542" s="14"/>
      <c r="AP4542" s="14">
        <v>61500</v>
      </c>
      <c r="AQ4542" s="12"/>
      <c r="AS4542" s="26"/>
    </row>
    <row r="4543" spans="1:45" s="19" customFormat="1" x14ac:dyDescent="0.2">
      <c r="A4543" s="2">
        <f>+A4542+1</f>
        <v>3851</v>
      </c>
      <c r="B4543" s="13">
        <v>3</v>
      </c>
      <c r="C4543" s="17" t="s">
        <v>69</v>
      </c>
      <c r="D4543" s="17"/>
      <c r="E4543" s="17">
        <v>161</v>
      </c>
      <c r="F4543" s="17">
        <v>1</v>
      </c>
      <c r="G4543" s="13">
        <v>2</v>
      </c>
      <c r="H4543" s="17">
        <v>12</v>
      </c>
      <c r="I4543" s="17">
        <v>2</v>
      </c>
      <c r="J4543" s="17">
        <v>65</v>
      </c>
      <c r="K4543" s="10">
        <v>5065</v>
      </c>
      <c r="L4543" s="17"/>
      <c r="M4543" s="15"/>
      <c r="N4543" s="18"/>
      <c r="O4543" s="14"/>
      <c r="P4543" s="17">
        <v>1</v>
      </c>
      <c r="Q4543" s="19">
        <v>5065</v>
      </c>
      <c r="R4543" s="14">
        <v>160</v>
      </c>
      <c r="S4543" s="19">
        <v>810400</v>
      </c>
      <c r="T4543" s="17"/>
      <c r="U4543" s="17"/>
      <c r="V4543" s="17"/>
      <c r="W4543" s="4"/>
      <c r="X4543" s="17"/>
      <c r="Y4543" s="4"/>
      <c r="Z4543" s="17"/>
      <c r="AA4543" s="17"/>
      <c r="AB4543" s="17"/>
      <c r="AC4543" s="14"/>
      <c r="AD4543" s="14"/>
      <c r="AE4543" s="17"/>
      <c r="AF4543" s="14"/>
      <c r="AG4543" s="54"/>
      <c r="AH4543" s="11"/>
      <c r="AI4543" s="14"/>
      <c r="AJ4543" s="19">
        <v>0</v>
      </c>
      <c r="AK4543" s="23">
        <v>0</v>
      </c>
      <c r="AL4543" s="11"/>
      <c r="AM4543" s="19">
        <v>0</v>
      </c>
      <c r="AN4543" s="19">
        <v>810400</v>
      </c>
      <c r="AO4543" s="14"/>
      <c r="AP4543" s="14">
        <v>810400</v>
      </c>
      <c r="AQ4543" s="12">
        <v>1E-4</v>
      </c>
      <c r="AS4543" s="26"/>
    </row>
    <row r="4544" spans="1:45" s="19" customFormat="1" x14ac:dyDescent="0.2">
      <c r="A4544" s="121">
        <f t="shared" ref="A4544:A4547" si="534">+A4543+1</f>
        <v>3852</v>
      </c>
      <c r="B4544" s="13">
        <v>1</v>
      </c>
      <c r="C4544" s="17" t="s">
        <v>52</v>
      </c>
      <c r="D4544" s="17">
        <v>2485</v>
      </c>
      <c r="E4544" s="17">
        <v>37</v>
      </c>
      <c r="F4544" s="17">
        <v>1489</v>
      </c>
      <c r="G4544" s="13">
        <v>2</v>
      </c>
      <c r="H4544" s="17">
        <v>4</v>
      </c>
      <c r="I4544" s="17">
        <v>0</v>
      </c>
      <c r="J4544" s="17">
        <v>98</v>
      </c>
      <c r="K4544" s="10">
        <v>1698</v>
      </c>
      <c r="L4544" s="17"/>
      <c r="M4544" s="15"/>
      <c r="N4544" s="18"/>
      <c r="O4544" s="14"/>
      <c r="P4544" s="17">
        <v>1</v>
      </c>
      <c r="Q4544" s="19">
        <v>1698</v>
      </c>
      <c r="R4544" s="14">
        <v>160</v>
      </c>
      <c r="S4544" s="19">
        <v>271680</v>
      </c>
      <c r="T4544" s="17"/>
      <c r="U4544" s="17"/>
      <c r="V4544" s="17"/>
      <c r="W4544" s="4"/>
      <c r="X4544" s="17"/>
      <c r="Y4544" s="4"/>
      <c r="Z4544" s="17"/>
      <c r="AA4544" s="17"/>
      <c r="AB4544" s="17"/>
      <c r="AC4544" s="14"/>
      <c r="AD4544" s="14"/>
      <c r="AE4544" s="17"/>
      <c r="AF4544" s="14"/>
      <c r="AG4544" s="54"/>
      <c r="AH4544" s="11"/>
      <c r="AI4544" s="14"/>
      <c r="AJ4544" s="19">
        <v>0</v>
      </c>
      <c r="AK4544" s="23">
        <v>0</v>
      </c>
      <c r="AL4544" s="11"/>
      <c r="AM4544" s="19">
        <v>0</v>
      </c>
      <c r="AN4544" s="19">
        <v>271680</v>
      </c>
      <c r="AO4544" s="14"/>
      <c r="AP4544" s="14">
        <v>271680</v>
      </c>
      <c r="AQ4544" s="12"/>
      <c r="AS4544" s="26"/>
    </row>
    <row r="4545" spans="1:45" s="19" customFormat="1" ht="63" x14ac:dyDescent="0.2">
      <c r="A4545" s="121">
        <f t="shared" si="534"/>
        <v>3853</v>
      </c>
      <c r="B4545" s="13">
        <v>2</v>
      </c>
      <c r="C4545" s="17" t="s">
        <v>52</v>
      </c>
      <c r="D4545" s="17">
        <v>2495</v>
      </c>
      <c r="E4545" s="17">
        <v>47</v>
      </c>
      <c r="F4545" s="17">
        <v>1499</v>
      </c>
      <c r="G4545" s="13">
        <v>2</v>
      </c>
      <c r="H4545" s="17">
        <v>0</v>
      </c>
      <c r="I4545" s="17">
        <v>0</v>
      </c>
      <c r="J4545" s="17">
        <v>67</v>
      </c>
      <c r="K4545" s="10"/>
      <c r="L4545" s="17">
        <v>67</v>
      </c>
      <c r="M4545" s="15"/>
      <c r="N4545" s="18"/>
      <c r="O4545" s="14"/>
      <c r="P4545" s="17">
        <v>2</v>
      </c>
      <c r="Q4545" s="19">
        <v>67</v>
      </c>
      <c r="R4545" s="14">
        <v>4500</v>
      </c>
      <c r="S4545" s="19">
        <v>301500</v>
      </c>
      <c r="T4545" s="17">
        <v>1</v>
      </c>
      <c r="U4545" s="17" t="s">
        <v>57</v>
      </c>
      <c r="V4545" s="17" t="s">
        <v>84</v>
      </c>
      <c r="W4545" s="4">
        <v>128</v>
      </c>
      <c r="X4545" s="17"/>
      <c r="Y4545" s="4">
        <v>128</v>
      </c>
      <c r="Z4545" s="17"/>
      <c r="AA4545" s="17"/>
      <c r="AB4545" s="17">
        <v>26</v>
      </c>
      <c r="AC4545" s="14"/>
      <c r="AD4545" s="14"/>
      <c r="AE4545" s="17"/>
      <c r="AF4545" s="14"/>
      <c r="AG4545" s="54"/>
      <c r="AH4545" s="11"/>
      <c r="AI4545" s="14"/>
      <c r="AJ4545" s="19">
        <v>0</v>
      </c>
      <c r="AK4545" s="23">
        <v>26</v>
      </c>
      <c r="AL4545" s="11"/>
      <c r="AM4545" s="19">
        <v>0</v>
      </c>
      <c r="AN4545" s="19">
        <v>301500</v>
      </c>
      <c r="AO4545" s="14"/>
      <c r="AP4545" s="14">
        <v>301500</v>
      </c>
      <c r="AQ4545" s="12"/>
      <c r="AS4545" s="26"/>
    </row>
    <row r="4546" spans="1:45" s="19" customFormat="1" x14ac:dyDescent="0.2">
      <c r="A4546" s="121">
        <f t="shared" si="534"/>
        <v>3854</v>
      </c>
      <c r="B4546" s="13">
        <v>3</v>
      </c>
      <c r="C4546" s="17" t="s">
        <v>52</v>
      </c>
      <c r="D4546" s="17">
        <v>31899</v>
      </c>
      <c r="E4546" s="17">
        <v>252</v>
      </c>
      <c r="F4546" s="17">
        <v>6126</v>
      </c>
      <c r="G4546" s="13">
        <v>2</v>
      </c>
      <c r="H4546" s="17">
        <v>4</v>
      </c>
      <c r="I4546" s="17">
        <v>3</v>
      </c>
      <c r="J4546" s="17">
        <v>40.07</v>
      </c>
      <c r="K4546" s="10">
        <v>1940.07</v>
      </c>
      <c r="L4546" s="17"/>
      <c r="M4546" s="15"/>
      <c r="N4546" s="18"/>
      <c r="O4546" s="14"/>
      <c r="P4546" s="17">
        <v>1</v>
      </c>
      <c r="Q4546" s="19">
        <v>1940.07</v>
      </c>
      <c r="R4546" s="14">
        <v>160</v>
      </c>
      <c r="S4546" s="19">
        <v>310411.2</v>
      </c>
      <c r="T4546" s="17"/>
      <c r="U4546" s="17"/>
      <c r="V4546" s="17"/>
      <c r="W4546" s="4"/>
      <c r="X4546" s="17"/>
      <c r="Y4546" s="4"/>
      <c r="Z4546" s="17"/>
      <c r="AA4546" s="17"/>
      <c r="AB4546" s="17"/>
      <c r="AC4546" s="14"/>
      <c r="AD4546" s="14"/>
      <c r="AE4546" s="17"/>
      <c r="AF4546" s="14"/>
      <c r="AG4546" s="54"/>
      <c r="AH4546" s="11"/>
      <c r="AI4546" s="14"/>
      <c r="AJ4546" s="19">
        <v>0</v>
      </c>
      <c r="AK4546" s="23">
        <v>0</v>
      </c>
      <c r="AL4546" s="11"/>
      <c r="AM4546" s="19">
        <v>0</v>
      </c>
      <c r="AN4546" s="19">
        <v>310411.2</v>
      </c>
      <c r="AO4546" s="14"/>
      <c r="AP4546" s="14">
        <v>310411.2</v>
      </c>
      <c r="AQ4546" s="12"/>
      <c r="AS4546" s="26"/>
    </row>
    <row r="4547" spans="1:45" s="19" customFormat="1" ht="63" x14ac:dyDescent="0.2">
      <c r="A4547" s="121">
        <f t="shared" si="534"/>
        <v>3855</v>
      </c>
      <c r="B4547" s="13">
        <v>4</v>
      </c>
      <c r="C4547" s="17" t="s">
        <v>52</v>
      </c>
      <c r="D4547" s="17">
        <v>2487</v>
      </c>
      <c r="E4547" s="17">
        <v>48</v>
      </c>
      <c r="F4547" s="17">
        <v>1491</v>
      </c>
      <c r="G4547" s="13">
        <v>2</v>
      </c>
      <c r="H4547" s="17">
        <v>3</v>
      </c>
      <c r="I4547" s="17">
        <v>1</v>
      </c>
      <c r="J4547" s="17">
        <v>36</v>
      </c>
      <c r="K4547" s="10">
        <v>1294</v>
      </c>
      <c r="L4547" s="17">
        <v>42</v>
      </c>
      <c r="M4547" s="15"/>
      <c r="N4547" s="18"/>
      <c r="O4547" s="14"/>
      <c r="P4547" s="17">
        <v>5</v>
      </c>
      <c r="Q4547" s="19">
        <v>1336</v>
      </c>
      <c r="R4547" s="14">
        <v>2250</v>
      </c>
      <c r="S4547" s="19">
        <v>3006000</v>
      </c>
      <c r="T4547" s="17">
        <v>1</v>
      </c>
      <c r="U4547" s="17" t="s">
        <v>57</v>
      </c>
      <c r="V4547" s="17" t="s">
        <v>56</v>
      </c>
      <c r="W4547" s="4">
        <v>168</v>
      </c>
      <c r="X4547" s="17"/>
      <c r="Y4547" s="4">
        <v>168</v>
      </c>
      <c r="Z4547" s="17"/>
      <c r="AA4547" s="17"/>
      <c r="AB4547" s="17">
        <v>26</v>
      </c>
      <c r="AC4547" s="14"/>
      <c r="AD4547" s="14"/>
      <c r="AE4547" s="17"/>
      <c r="AF4547" s="14"/>
      <c r="AG4547" s="54"/>
      <c r="AH4547" s="11"/>
      <c r="AI4547" s="14"/>
      <c r="AJ4547" s="19">
        <v>0</v>
      </c>
      <c r="AK4547" s="23">
        <v>26</v>
      </c>
      <c r="AL4547" s="11"/>
      <c r="AM4547" s="19">
        <v>0</v>
      </c>
      <c r="AN4547" s="19">
        <v>3006000</v>
      </c>
      <c r="AO4547" s="14"/>
      <c r="AP4547" s="14">
        <v>3006000</v>
      </c>
      <c r="AQ4547" s="12"/>
      <c r="AS4547" s="26"/>
    </row>
    <row r="4548" spans="1:45" s="19" customFormat="1" x14ac:dyDescent="0.2">
      <c r="A4548" s="2"/>
      <c r="B4548" s="13">
        <v>5</v>
      </c>
      <c r="C4548" s="17" t="s">
        <v>65</v>
      </c>
      <c r="D4548" s="17">
        <v>175</v>
      </c>
      <c r="E4548" s="17">
        <v>41</v>
      </c>
      <c r="F4548" s="17"/>
      <c r="G4548" s="13"/>
      <c r="H4548" s="17">
        <v>5</v>
      </c>
      <c r="I4548" s="17">
        <v>2</v>
      </c>
      <c r="J4548" s="17">
        <v>61</v>
      </c>
      <c r="K4548" s="10">
        <v>2261</v>
      </c>
      <c r="L4548" s="17"/>
      <c r="M4548" s="15"/>
      <c r="N4548" s="18"/>
      <c r="O4548" s="14"/>
      <c r="P4548" s="17"/>
      <c r="Q4548" s="19">
        <v>2261</v>
      </c>
      <c r="R4548" s="14" t="e">
        <v>#N/A</v>
      </c>
      <c r="S4548" s="19" t="e">
        <v>#N/A</v>
      </c>
      <c r="T4548" s="17"/>
      <c r="U4548" s="17"/>
      <c r="V4548" s="17"/>
      <c r="W4548" s="4"/>
      <c r="X4548" s="17"/>
      <c r="Y4548" s="4"/>
      <c r="Z4548" s="17"/>
      <c r="AA4548" s="17"/>
      <c r="AB4548" s="17"/>
      <c r="AC4548" s="14"/>
      <c r="AD4548" s="14"/>
      <c r="AE4548" s="17"/>
      <c r="AF4548" s="14"/>
      <c r="AG4548" s="54"/>
      <c r="AH4548" s="11"/>
      <c r="AI4548" s="14"/>
      <c r="AJ4548" s="19">
        <v>0</v>
      </c>
      <c r="AK4548" s="23">
        <v>0</v>
      </c>
      <c r="AL4548" s="11"/>
      <c r="AM4548" s="19">
        <v>0</v>
      </c>
      <c r="AN4548" s="19" t="e">
        <v>#N/A</v>
      </c>
      <c r="AO4548" s="14"/>
      <c r="AP4548" s="14" t="e">
        <v>#N/A</v>
      </c>
      <c r="AQ4548" s="12">
        <v>1E-4</v>
      </c>
      <c r="AS4548" s="26"/>
    </row>
    <row r="4549" spans="1:45" s="19" customFormat="1" x14ac:dyDescent="0.2">
      <c r="A4549" s="2">
        <v>3856</v>
      </c>
      <c r="B4549" s="13">
        <v>6</v>
      </c>
      <c r="C4549" s="17" t="s">
        <v>65</v>
      </c>
      <c r="D4549" s="17">
        <v>858</v>
      </c>
      <c r="E4549" s="17">
        <v>129</v>
      </c>
      <c r="F4549" s="17"/>
      <c r="G4549" s="13"/>
      <c r="H4549" s="17">
        <v>30</v>
      </c>
      <c r="I4549" s="17">
        <v>1</v>
      </c>
      <c r="J4549" s="17">
        <v>60</v>
      </c>
      <c r="K4549" s="10">
        <v>12160</v>
      </c>
      <c r="L4549" s="17"/>
      <c r="M4549" s="15"/>
      <c r="N4549" s="18"/>
      <c r="O4549" s="14"/>
      <c r="P4549" s="17"/>
      <c r="Q4549" s="19">
        <v>12160</v>
      </c>
      <c r="R4549" s="14">
        <v>250</v>
      </c>
      <c r="S4549" s="19">
        <v>3040000</v>
      </c>
      <c r="T4549" s="17"/>
      <c r="U4549" s="17"/>
      <c r="V4549" s="17"/>
      <c r="W4549" s="4"/>
      <c r="X4549" s="17"/>
      <c r="Y4549" s="4"/>
      <c r="Z4549" s="17"/>
      <c r="AA4549" s="17"/>
      <c r="AB4549" s="17"/>
      <c r="AC4549" s="14"/>
      <c r="AD4549" s="14"/>
      <c r="AE4549" s="17" t="s">
        <v>94</v>
      </c>
      <c r="AF4549" s="14"/>
      <c r="AG4549" s="54"/>
      <c r="AH4549" s="11"/>
      <c r="AI4549" s="14"/>
      <c r="AJ4549" s="19">
        <v>0</v>
      </c>
      <c r="AK4549" s="23">
        <v>0</v>
      </c>
      <c r="AL4549" s="11"/>
      <c r="AM4549" s="19">
        <v>0</v>
      </c>
      <c r="AN4549" s="19">
        <v>3040000</v>
      </c>
      <c r="AO4549" s="14"/>
      <c r="AP4549" s="14">
        <v>3040000</v>
      </c>
      <c r="AQ4549" s="12">
        <v>1E-4</v>
      </c>
      <c r="AS4549" s="26"/>
    </row>
    <row r="4550" spans="1:45" s="19" customFormat="1" x14ac:dyDescent="0.2">
      <c r="A4550" s="2">
        <f>+A4549+1</f>
        <v>3857</v>
      </c>
      <c r="B4550" s="13">
        <v>7</v>
      </c>
      <c r="C4550" s="17" t="s">
        <v>65</v>
      </c>
      <c r="D4550" s="17">
        <v>860</v>
      </c>
      <c r="E4550" s="17">
        <v>131</v>
      </c>
      <c r="F4550" s="17"/>
      <c r="G4550" s="13"/>
      <c r="H4550" s="17">
        <v>12</v>
      </c>
      <c r="I4550" s="17">
        <v>0</v>
      </c>
      <c r="J4550" s="17">
        <v>53</v>
      </c>
      <c r="K4550" s="10">
        <v>4853</v>
      </c>
      <c r="L4550" s="17"/>
      <c r="M4550" s="15"/>
      <c r="N4550" s="18"/>
      <c r="O4550" s="14"/>
      <c r="P4550" s="17"/>
      <c r="Q4550" s="19">
        <v>4853</v>
      </c>
      <c r="R4550" s="14">
        <v>200</v>
      </c>
      <c r="S4550" s="19">
        <v>970600</v>
      </c>
      <c r="T4550" s="17"/>
      <c r="U4550" s="17"/>
      <c r="V4550" s="17"/>
      <c r="W4550" s="4"/>
      <c r="X4550" s="17"/>
      <c r="Y4550" s="4"/>
      <c r="Z4550" s="17"/>
      <c r="AA4550" s="17"/>
      <c r="AB4550" s="17"/>
      <c r="AC4550" s="14"/>
      <c r="AD4550" s="14"/>
      <c r="AE4550" s="17" t="s">
        <v>94</v>
      </c>
      <c r="AF4550" s="14"/>
      <c r="AG4550" s="54"/>
      <c r="AH4550" s="11"/>
      <c r="AI4550" s="14"/>
      <c r="AJ4550" s="19">
        <v>0</v>
      </c>
      <c r="AK4550" s="23">
        <v>0</v>
      </c>
      <c r="AL4550" s="11"/>
      <c r="AM4550" s="19">
        <v>0</v>
      </c>
      <c r="AN4550" s="19">
        <v>970600</v>
      </c>
      <c r="AO4550" s="14"/>
      <c r="AP4550" s="14">
        <v>970600</v>
      </c>
      <c r="AQ4550" s="12">
        <v>1E-4</v>
      </c>
      <c r="AS4550" s="26"/>
    </row>
    <row r="4551" spans="1:45" s="19" customFormat="1" x14ac:dyDescent="0.2">
      <c r="A4551" s="121">
        <f t="shared" ref="A4551:A4554" si="535">+A4550+1</f>
        <v>3858</v>
      </c>
      <c r="B4551" s="13">
        <v>1</v>
      </c>
      <c r="C4551" s="17" t="s">
        <v>52</v>
      </c>
      <c r="D4551" s="17">
        <v>2492</v>
      </c>
      <c r="E4551" s="17">
        <v>44</v>
      </c>
      <c r="F4551" s="17">
        <v>1496</v>
      </c>
      <c r="G4551" s="13">
        <v>2</v>
      </c>
      <c r="H4551" s="17">
        <v>0</v>
      </c>
      <c r="I4551" s="17">
        <v>0</v>
      </c>
      <c r="J4551" s="17">
        <v>52</v>
      </c>
      <c r="K4551" s="10" t="s">
        <v>404</v>
      </c>
      <c r="L4551" s="17"/>
      <c r="M4551" s="15"/>
      <c r="N4551" s="18"/>
      <c r="O4551" s="14"/>
      <c r="P4551" s="17">
        <v>1</v>
      </c>
      <c r="Q4551" s="19">
        <v>52</v>
      </c>
      <c r="R4551" s="14">
        <v>4500</v>
      </c>
      <c r="S4551" s="19">
        <v>234000</v>
      </c>
      <c r="T4551" s="17"/>
      <c r="U4551" s="17"/>
      <c r="V4551" s="17"/>
      <c r="W4551" s="4"/>
      <c r="X4551" s="17"/>
      <c r="Y4551" s="4"/>
      <c r="Z4551" s="17"/>
      <c r="AA4551" s="17"/>
      <c r="AB4551" s="17"/>
      <c r="AC4551" s="14"/>
      <c r="AD4551" s="14"/>
      <c r="AE4551" s="17"/>
      <c r="AF4551" s="14"/>
      <c r="AG4551" s="54"/>
      <c r="AH4551" s="11"/>
      <c r="AI4551" s="14"/>
      <c r="AJ4551" s="19">
        <v>0</v>
      </c>
      <c r="AK4551" s="23">
        <v>0</v>
      </c>
      <c r="AL4551" s="11"/>
      <c r="AM4551" s="19">
        <v>0</v>
      </c>
      <c r="AN4551" s="19">
        <v>234000</v>
      </c>
      <c r="AO4551" s="14"/>
      <c r="AP4551" s="14">
        <v>234000</v>
      </c>
      <c r="AQ4551" s="12"/>
      <c r="AS4551" s="26"/>
    </row>
    <row r="4552" spans="1:45" s="19" customFormat="1" x14ac:dyDescent="0.2">
      <c r="A4552" s="121">
        <f t="shared" si="535"/>
        <v>3859</v>
      </c>
      <c r="B4552" s="13">
        <v>2</v>
      </c>
      <c r="C4552" s="17" t="s">
        <v>52</v>
      </c>
      <c r="D4552" s="17">
        <v>3743</v>
      </c>
      <c r="E4552" s="17">
        <v>109</v>
      </c>
      <c r="F4552" s="17">
        <v>2263</v>
      </c>
      <c r="G4552" s="13">
        <v>2</v>
      </c>
      <c r="H4552" s="17">
        <v>2</v>
      </c>
      <c r="I4552" s="17">
        <v>2</v>
      </c>
      <c r="J4552" s="17">
        <v>24</v>
      </c>
      <c r="K4552" s="10">
        <v>1024</v>
      </c>
      <c r="L4552" s="17"/>
      <c r="M4552" s="15"/>
      <c r="N4552" s="18"/>
      <c r="O4552" s="14"/>
      <c r="P4552" s="17">
        <v>1</v>
      </c>
      <c r="Q4552" s="19">
        <v>1024</v>
      </c>
      <c r="R4552" s="14">
        <v>160</v>
      </c>
      <c r="S4552" s="19">
        <v>163840</v>
      </c>
      <c r="T4552" s="17"/>
      <c r="U4552" s="17"/>
      <c r="V4552" s="17"/>
      <c r="W4552" s="4"/>
      <c r="X4552" s="17"/>
      <c r="Y4552" s="4"/>
      <c r="Z4552" s="17"/>
      <c r="AA4552" s="17"/>
      <c r="AB4552" s="17"/>
      <c r="AC4552" s="14"/>
      <c r="AD4552" s="14"/>
      <c r="AE4552" s="17"/>
      <c r="AF4552" s="14"/>
      <c r="AG4552" s="54"/>
      <c r="AH4552" s="11"/>
      <c r="AI4552" s="14"/>
      <c r="AJ4552" s="19">
        <v>0</v>
      </c>
      <c r="AK4552" s="23">
        <v>0</v>
      </c>
      <c r="AL4552" s="11"/>
      <c r="AM4552" s="19">
        <v>0</v>
      </c>
      <c r="AN4552" s="19">
        <v>163840</v>
      </c>
      <c r="AO4552" s="14"/>
      <c r="AP4552" s="14">
        <v>163840</v>
      </c>
      <c r="AQ4552" s="12"/>
      <c r="AS4552" s="26"/>
    </row>
    <row r="4553" spans="1:45" s="19" customFormat="1" x14ac:dyDescent="0.2">
      <c r="A4553" s="121">
        <f t="shared" si="535"/>
        <v>3860</v>
      </c>
      <c r="B4553" s="13">
        <v>3</v>
      </c>
      <c r="C4553" s="17" t="s">
        <v>52</v>
      </c>
      <c r="D4553" s="17">
        <v>3744</v>
      </c>
      <c r="E4553" s="17">
        <v>110</v>
      </c>
      <c r="F4553" s="17">
        <v>2264</v>
      </c>
      <c r="G4553" s="13">
        <v>2</v>
      </c>
      <c r="H4553" s="17">
        <v>3</v>
      </c>
      <c r="I4553" s="17">
        <v>2</v>
      </c>
      <c r="J4553" s="17">
        <v>79</v>
      </c>
      <c r="K4553" s="10">
        <v>1479</v>
      </c>
      <c r="L4553" s="17"/>
      <c r="M4553" s="15"/>
      <c r="N4553" s="18"/>
      <c r="O4553" s="14"/>
      <c r="P4553" s="17">
        <v>1</v>
      </c>
      <c r="Q4553" s="19">
        <v>1479</v>
      </c>
      <c r="R4553" s="14">
        <v>160</v>
      </c>
      <c r="S4553" s="19">
        <v>236640</v>
      </c>
      <c r="T4553" s="17"/>
      <c r="U4553" s="17"/>
      <c r="V4553" s="17"/>
      <c r="W4553" s="4"/>
      <c r="X4553" s="17"/>
      <c r="Y4553" s="4"/>
      <c r="Z4553" s="17"/>
      <c r="AA4553" s="17"/>
      <c r="AB4553" s="17"/>
      <c r="AC4553" s="14"/>
      <c r="AD4553" s="14"/>
      <c r="AE4553" s="17"/>
      <c r="AF4553" s="14"/>
      <c r="AG4553" s="54"/>
      <c r="AH4553" s="11"/>
      <c r="AI4553" s="14"/>
      <c r="AJ4553" s="19">
        <v>0</v>
      </c>
      <c r="AK4553" s="23">
        <v>0</v>
      </c>
      <c r="AL4553" s="11"/>
      <c r="AM4553" s="19">
        <v>0</v>
      </c>
      <c r="AN4553" s="19">
        <v>236640</v>
      </c>
      <c r="AO4553" s="14"/>
      <c r="AP4553" s="14">
        <v>236640</v>
      </c>
      <c r="AQ4553" s="12"/>
      <c r="AS4553" s="26"/>
    </row>
    <row r="4554" spans="1:45" s="19" customFormat="1" x14ac:dyDescent="0.2">
      <c r="A4554" s="121">
        <f t="shared" si="535"/>
        <v>3861</v>
      </c>
      <c r="B4554" s="13">
        <v>4</v>
      </c>
      <c r="C4554" s="17" t="s">
        <v>52</v>
      </c>
      <c r="D4554" s="17">
        <v>30956</v>
      </c>
      <c r="E4554" s="17">
        <v>86</v>
      </c>
      <c r="F4554" s="17">
        <v>5908</v>
      </c>
      <c r="G4554" s="13">
        <v>2</v>
      </c>
      <c r="H4554" s="17">
        <v>4</v>
      </c>
      <c r="I4554" s="17">
        <v>0</v>
      </c>
      <c r="J4554" s="17">
        <v>42.09</v>
      </c>
      <c r="K4554" s="10">
        <v>1642.09</v>
      </c>
      <c r="L4554" s="17"/>
      <c r="M4554" s="15"/>
      <c r="N4554" s="18"/>
      <c r="O4554" s="14"/>
      <c r="P4554" s="17">
        <v>1</v>
      </c>
      <c r="Q4554" s="19">
        <v>1642.09</v>
      </c>
      <c r="R4554" s="14">
        <v>160</v>
      </c>
      <c r="S4554" s="19">
        <v>262734.39999999997</v>
      </c>
      <c r="T4554" s="17"/>
      <c r="U4554" s="17"/>
      <c r="V4554" s="17"/>
      <c r="W4554" s="4"/>
      <c r="X4554" s="17"/>
      <c r="Y4554" s="4"/>
      <c r="Z4554" s="17"/>
      <c r="AA4554" s="17"/>
      <c r="AB4554" s="17"/>
      <c r="AC4554" s="14"/>
      <c r="AD4554" s="14"/>
      <c r="AE4554" s="17"/>
      <c r="AF4554" s="14"/>
      <c r="AG4554" s="54"/>
      <c r="AH4554" s="11"/>
      <c r="AI4554" s="14"/>
      <c r="AJ4554" s="19">
        <v>0</v>
      </c>
      <c r="AK4554" s="23">
        <v>0</v>
      </c>
      <c r="AL4554" s="11"/>
      <c r="AM4554" s="19">
        <v>0</v>
      </c>
      <c r="AN4554" s="19">
        <v>262734.39999999997</v>
      </c>
      <c r="AO4554" s="14"/>
      <c r="AP4554" s="14">
        <v>262734.39999999997</v>
      </c>
      <c r="AQ4554" s="12"/>
      <c r="AS4554" s="26"/>
    </row>
    <row r="4555" spans="1:45" s="19" customFormat="1" x14ac:dyDescent="0.2">
      <c r="A4555" s="2"/>
      <c r="B4555" s="13">
        <v>5</v>
      </c>
      <c r="C4555" s="17"/>
      <c r="D4555" s="17">
        <v>40705</v>
      </c>
      <c r="E4555" s="17">
        <v>334</v>
      </c>
      <c r="F4555" s="17">
        <v>8053</v>
      </c>
      <c r="G4555" s="13"/>
      <c r="H4555" s="17">
        <v>0</v>
      </c>
      <c r="I4555" s="17">
        <v>1</v>
      </c>
      <c r="J4555" s="17">
        <v>85</v>
      </c>
      <c r="K4555" s="10"/>
      <c r="L4555" s="17"/>
      <c r="M4555" s="15"/>
      <c r="N4555" s="18"/>
      <c r="O4555" s="14"/>
      <c r="P4555" s="17"/>
      <c r="Q4555" s="19">
        <v>185</v>
      </c>
      <c r="R4555" s="14" t="e">
        <v>#N/A</v>
      </c>
      <c r="T4555" s="17"/>
      <c r="U4555" s="17"/>
      <c r="V4555" s="17"/>
      <c r="W4555" s="4"/>
      <c r="X4555" s="17"/>
      <c r="Y4555" s="4"/>
      <c r="Z4555" s="17"/>
      <c r="AA4555" s="17"/>
      <c r="AB4555" s="17"/>
      <c r="AC4555" s="14"/>
      <c r="AD4555" s="14"/>
      <c r="AE4555" s="17"/>
      <c r="AF4555" s="14"/>
      <c r="AG4555" s="54"/>
      <c r="AH4555" s="11"/>
      <c r="AI4555" s="14"/>
      <c r="AK4555" s="23"/>
      <c r="AL4555" s="11"/>
      <c r="AO4555" s="14"/>
      <c r="AP4555" s="14"/>
      <c r="AQ4555" s="12"/>
      <c r="AS4555" s="26"/>
    </row>
    <row r="4556" spans="1:45" s="19" customFormat="1" x14ac:dyDescent="0.2">
      <c r="A4556" s="2">
        <v>3862</v>
      </c>
      <c r="B4556" s="13">
        <v>1</v>
      </c>
      <c r="C4556" s="17" t="s">
        <v>52</v>
      </c>
      <c r="D4556" s="17">
        <v>3618</v>
      </c>
      <c r="E4556" s="17">
        <v>99</v>
      </c>
      <c r="F4556" s="17">
        <v>2249</v>
      </c>
      <c r="G4556" s="13">
        <v>2</v>
      </c>
      <c r="H4556" s="17">
        <v>4</v>
      </c>
      <c r="I4556" s="17">
        <v>2</v>
      </c>
      <c r="J4556" s="17">
        <v>45</v>
      </c>
      <c r="K4556" s="10">
        <v>1845</v>
      </c>
      <c r="L4556" s="17"/>
      <c r="M4556" s="15"/>
      <c r="N4556" s="18"/>
      <c r="O4556" s="14"/>
      <c r="P4556" s="17">
        <v>1</v>
      </c>
      <c r="Q4556" s="19">
        <v>1845</v>
      </c>
      <c r="R4556" s="14">
        <v>160</v>
      </c>
      <c r="S4556" s="19">
        <v>295200</v>
      </c>
      <c r="T4556" s="17"/>
      <c r="U4556" s="17"/>
      <c r="V4556" s="17"/>
      <c r="W4556" s="4"/>
      <c r="X4556" s="17"/>
      <c r="Y4556" s="4"/>
      <c r="Z4556" s="17"/>
      <c r="AA4556" s="17"/>
      <c r="AB4556" s="17"/>
      <c r="AC4556" s="14"/>
      <c r="AD4556" s="14"/>
      <c r="AE4556" s="17"/>
      <c r="AF4556" s="14"/>
      <c r="AG4556" s="54"/>
      <c r="AH4556" s="11"/>
      <c r="AI4556" s="14"/>
      <c r="AJ4556" s="19">
        <v>0</v>
      </c>
      <c r="AK4556" s="23">
        <v>0</v>
      </c>
      <c r="AL4556" s="11"/>
      <c r="AM4556" s="19">
        <v>0</v>
      </c>
      <c r="AN4556" s="19">
        <v>295200</v>
      </c>
      <c r="AO4556" s="14"/>
      <c r="AP4556" s="14">
        <v>295200</v>
      </c>
      <c r="AQ4556" s="12"/>
      <c r="AS4556" s="26"/>
    </row>
    <row r="4557" spans="1:45" s="19" customFormat="1" x14ac:dyDescent="0.2">
      <c r="A4557" s="2">
        <f>+A4556+1</f>
        <v>3863</v>
      </c>
      <c r="B4557" s="13">
        <v>2</v>
      </c>
      <c r="C4557" s="17" t="s">
        <v>52</v>
      </c>
      <c r="D4557" s="17">
        <v>3740</v>
      </c>
      <c r="E4557" s="17">
        <v>106</v>
      </c>
      <c r="F4557" s="17">
        <v>2260</v>
      </c>
      <c r="G4557" s="13">
        <v>2</v>
      </c>
      <c r="H4557" s="17">
        <v>5</v>
      </c>
      <c r="I4557" s="17">
        <v>3</v>
      </c>
      <c r="J4557" s="17">
        <v>76</v>
      </c>
      <c r="K4557" s="10">
        <v>2337.04</v>
      </c>
      <c r="L4557" s="17"/>
      <c r="M4557" s="15"/>
      <c r="N4557" s="18"/>
      <c r="O4557" s="14"/>
      <c r="P4557" s="17">
        <v>1</v>
      </c>
      <c r="Q4557" s="19">
        <v>2376</v>
      </c>
      <c r="R4557" s="14">
        <v>200</v>
      </c>
      <c r="S4557" s="19">
        <v>475200</v>
      </c>
      <c r="T4557" s="17"/>
      <c r="U4557" s="17"/>
      <c r="V4557" s="17"/>
      <c r="W4557" s="4"/>
      <c r="X4557" s="17"/>
      <c r="Y4557" s="4"/>
      <c r="Z4557" s="17"/>
      <c r="AA4557" s="17"/>
      <c r="AB4557" s="17"/>
      <c r="AC4557" s="14"/>
      <c r="AD4557" s="14"/>
      <c r="AE4557" s="17"/>
      <c r="AF4557" s="14"/>
      <c r="AG4557" s="54"/>
      <c r="AH4557" s="11"/>
      <c r="AI4557" s="14"/>
      <c r="AJ4557" s="19">
        <v>0</v>
      </c>
      <c r="AK4557" s="23">
        <v>0</v>
      </c>
      <c r="AL4557" s="11"/>
      <c r="AM4557" s="19">
        <v>0</v>
      </c>
      <c r="AN4557" s="19">
        <v>475200</v>
      </c>
      <c r="AO4557" s="14"/>
      <c r="AP4557" s="14">
        <v>475200</v>
      </c>
      <c r="AQ4557" s="12"/>
      <c r="AS4557" s="26"/>
    </row>
    <row r="4558" spans="1:45" s="19" customFormat="1" x14ac:dyDescent="0.2">
      <c r="A4558" s="121">
        <f t="shared" ref="A4558:A4559" si="536">+A4557+1</f>
        <v>3864</v>
      </c>
      <c r="B4558" s="13">
        <v>3</v>
      </c>
      <c r="C4558" s="17" t="s">
        <v>52</v>
      </c>
      <c r="D4558" s="17">
        <v>30927</v>
      </c>
      <c r="E4558" s="17">
        <v>186</v>
      </c>
      <c r="F4558" s="17">
        <v>5879</v>
      </c>
      <c r="G4558" s="13">
        <v>2</v>
      </c>
      <c r="H4558" s="17">
        <v>9</v>
      </c>
      <c r="I4558" s="17">
        <v>3</v>
      </c>
      <c r="J4558" s="17">
        <v>37.04</v>
      </c>
      <c r="K4558" s="10"/>
      <c r="L4558" s="17"/>
      <c r="M4558" s="15"/>
      <c r="N4558" s="18"/>
      <c r="O4558" s="14"/>
      <c r="P4558" s="17"/>
      <c r="Q4558" s="19">
        <v>3937.04</v>
      </c>
      <c r="R4558" s="14">
        <v>200</v>
      </c>
      <c r="S4558" s="19">
        <v>787408</v>
      </c>
      <c r="T4558" s="17"/>
      <c r="U4558" s="17"/>
      <c r="V4558" s="17"/>
      <c r="W4558" s="4"/>
      <c r="X4558" s="17"/>
      <c r="Y4558" s="4"/>
      <c r="Z4558" s="17"/>
      <c r="AA4558" s="17"/>
      <c r="AB4558" s="17"/>
      <c r="AC4558" s="14"/>
      <c r="AD4558" s="14"/>
      <c r="AE4558" s="17"/>
      <c r="AF4558" s="14"/>
      <c r="AG4558" s="54"/>
      <c r="AH4558" s="11"/>
      <c r="AI4558" s="14"/>
      <c r="AJ4558" s="19">
        <v>0</v>
      </c>
      <c r="AK4558" s="23">
        <v>0</v>
      </c>
      <c r="AL4558" s="11"/>
      <c r="AM4558" s="19">
        <v>0</v>
      </c>
      <c r="AN4558" s="19">
        <v>787408</v>
      </c>
      <c r="AO4558" s="14"/>
      <c r="AP4558" s="14">
        <v>787408</v>
      </c>
      <c r="AQ4558" s="12"/>
      <c r="AS4558" s="26"/>
    </row>
    <row r="4559" spans="1:45" s="19" customFormat="1" x14ac:dyDescent="0.2">
      <c r="A4559" s="121">
        <f t="shared" si="536"/>
        <v>3865</v>
      </c>
      <c r="B4559" s="13">
        <v>4</v>
      </c>
      <c r="C4559" s="17" t="s">
        <v>52</v>
      </c>
      <c r="D4559" s="17">
        <v>30957</v>
      </c>
      <c r="E4559" s="17">
        <v>85</v>
      </c>
      <c r="F4559" s="17">
        <v>5909</v>
      </c>
      <c r="G4559" s="13">
        <v>2</v>
      </c>
      <c r="H4559" s="17">
        <v>4</v>
      </c>
      <c r="I4559" s="17">
        <v>0</v>
      </c>
      <c r="J4559" s="17">
        <v>86.01</v>
      </c>
      <c r="K4559" s="10">
        <v>1686.01</v>
      </c>
      <c r="L4559" s="17"/>
      <c r="M4559" s="15"/>
      <c r="N4559" s="18"/>
      <c r="O4559" s="14"/>
      <c r="P4559" s="17">
        <v>1</v>
      </c>
      <c r="Q4559" s="19">
        <v>1686.01</v>
      </c>
      <c r="R4559" s="14">
        <v>160</v>
      </c>
      <c r="S4559" s="19">
        <v>269761.59999999998</v>
      </c>
      <c r="T4559" s="17"/>
      <c r="U4559" s="17"/>
      <c r="V4559" s="17"/>
      <c r="W4559" s="4"/>
      <c r="X4559" s="17"/>
      <c r="Y4559" s="4"/>
      <c r="Z4559" s="17"/>
      <c r="AA4559" s="17"/>
      <c r="AB4559" s="17"/>
      <c r="AC4559" s="14"/>
      <c r="AD4559" s="14"/>
      <c r="AE4559" s="17"/>
      <c r="AF4559" s="14"/>
      <c r="AG4559" s="54"/>
      <c r="AH4559" s="11"/>
      <c r="AI4559" s="14"/>
      <c r="AJ4559" s="19">
        <v>0</v>
      </c>
      <c r="AK4559" s="23">
        <v>0</v>
      </c>
      <c r="AL4559" s="11"/>
      <c r="AM4559" s="19">
        <v>0</v>
      </c>
      <c r="AN4559" s="19">
        <v>269761.59999999998</v>
      </c>
      <c r="AO4559" s="14"/>
      <c r="AP4559" s="14">
        <v>269761.59999999998</v>
      </c>
      <c r="AQ4559" s="12"/>
      <c r="AS4559" s="26"/>
    </row>
    <row r="4560" spans="1:45" s="19" customFormat="1" x14ac:dyDescent="0.2">
      <c r="A4560" s="2"/>
      <c r="B4560" s="13">
        <v>5</v>
      </c>
      <c r="C4560" s="17" t="s">
        <v>52</v>
      </c>
      <c r="D4560" s="17">
        <v>40706</v>
      </c>
      <c r="E4560" s="17">
        <v>335</v>
      </c>
      <c r="F4560" s="17">
        <v>8054</v>
      </c>
      <c r="G4560" s="13"/>
      <c r="H4560" s="17">
        <v>0</v>
      </c>
      <c r="I4560" s="17">
        <v>0</v>
      </c>
      <c r="J4560" s="17">
        <v>61</v>
      </c>
      <c r="K4560" s="10" t="s">
        <v>406</v>
      </c>
      <c r="L4560" s="17"/>
      <c r="M4560" s="15"/>
      <c r="N4560" s="18"/>
      <c r="O4560" s="14"/>
      <c r="P4560" s="17">
        <v>1</v>
      </c>
      <c r="Q4560" s="19">
        <v>61</v>
      </c>
      <c r="R4560" s="14" t="e">
        <v>#N/A</v>
      </c>
      <c r="T4560" s="17"/>
      <c r="U4560" s="17"/>
      <c r="V4560" s="17"/>
      <c r="W4560" s="4"/>
      <c r="X4560" s="17"/>
      <c r="Y4560" s="4"/>
      <c r="Z4560" s="17"/>
      <c r="AA4560" s="17"/>
      <c r="AB4560" s="17"/>
      <c r="AC4560" s="14"/>
      <c r="AD4560" s="14"/>
      <c r="AE4560" s="17"/>
      <c r="AF4560" s="14"/>
      <c r="AG4560" s="54"/>
      <c r="AH4560" s="11"/>
      <c r="AI4560" s="14"/>
      <c r="AK4560" s="23"/>
      <c r="AL4560" s="11"/>
      <c r="AO4560" s="14"/>
      <c r="AP4560" s="14"/>
      <c r="AQ4560" s="12"/>
      <c r="AS4560" s="26"/>
    </row>
    <row r="4561" spans="1:45" x14ac:dyDescent="0.2">
      <c r="A4561" s="2">
        <v>3866</v>
      </c>
      <c r="B4561" s="13">
        <v>1</v>
      </c>
      <c r="C4561" s="17" t="s">
        <v>52</v>
      </c>
      <c r="D4561" s="17">
        <v>3745</v>
      </c>
      <c r="E4561" s="17">
        <v>111</v>
      </c>
      <c r="F4561" s="17">
        <v>2265</v>
      </c>
      <c r="G4561" s="13">
        <v>2</v>
      </c>
      <c r="H4561" s="17">
        <v>1</v>
      </c>
      <c r="I4561" s="17">
        <v>1</v>
      </c>
      <c r="J4561" s="17">
        <v>31</v>
      </c>
      <c r="K4561" s="10">
        <v>531</v>
      </c>
      <c r="P4561" s="17">
        <v>1</v>
      </c>
      <c r="Q4561" s="19">
        <v>531</v>
      </c>
      <c r="R4561" s="14">
        <v>160</v>
      </c>
      <c r="S4561" s="19">
        <v>84960</v>
      </c>
      <c r="AJ4561" s="19">
        <v>0</v>
      </c>
      <c r="AK4561" s="23">
        <v>0</v>
      </c>
      <c r="AM4561" s="19">
        <v>0</v>
      </c>
      <c r="AN4561" s="19">
        <v>84960</v>
      </c>
      <c r="AP4561" s="14">
        <v>84960</v>
      </c>
    </row>
    <row r="4562" spans="1:45" x14ac:dyDescent="0.2">
      <c r="A4562" s="2">
        <v>3867</v>
      </c>
      <c r="B4562" s="13">
        <v>2</v>
      </c>
      <c r="C4562" s="17" t="s">
        <v>52</v>
      </c>
      <c r="D4562" s="17">
        <v>3746</v>
      </c>
      <c r="E4562" s="17">
        <v>113</v>
      </c>
      <c r="F4562" s="17">
        <v>2267</v>
      </c>
      <c r="G4562" s="13">
        <v>2</v>
      </c>
      <c r="H4562" s="17">
        <v>1</v>
      </c>
      <c r="I4562" s="17">
        <v>2</v>
      </c>
      <c r="J4562" s="17">
        <v>22</v>
      </c>
      <c r="K4562" s="10">
        <v>622</v>
      </c>
      <c r="P4562" s="17">
        <v>1</v>
      </c>
      <c r="Q4562" s="19">
        <v>622</v>
      </c>
      <c r="R4562" s="14">
        <v>160</v>
      </c>
      <c r="S4562" s="19">
        <v>99520</v>
      </c>
      <c r="AJ4562" s="19">
        <v>0</v>
      </c>
      <c r="AK4562" s="23">
        <v>0</v>
      </c>
      <c r="AM4562" s="19">
        <v>0</v>
      </c>
      <c r="AN4562" s="19">
        <v>99520</v>
      </c>
      <c r="AP4562" s="14">
        <v>99520</v>
      </c>
    </row>
    <row r="4563" spans="1:45" x14ac:dyDescent="0.2">
      <c r="D4563" s="17">
        <v>40708</v>
      </c>
      <c r="E4563" s="17">
        <v>337</v>
      </c>
      <c r="F4563" s="17">
        <v>8056</v>
      </c>
      <c r="H4563" s="17">
        <v>0</v>
      </c>
      <c r="I4563" s="17">
        <v>0</v>
      </c>
      <c r="J4563" s="17">
        <v>71</v>
      </c>
      <c r="Q4563" s="19">
        <v>71</v>
      </c>
      <c r="R4563" s="14" t="e">
        <v>#N/A</v>
      </c>
    </row>
    <row r="4564" spans="1:45" x14ac:dyDescent="0.2">
      <c r="B4564" s="13">
        <v>3</v>
      </c>
      <c r="C4564" s="17" t="s">
        <v>65</v>
      </c>
      <c r="D4564" s="17">
        <v>2944</v>
      </c>
      <c r="E4564" s="17">
        <v>413</v>
      </c>
      <c r="H4564" s="17">
        <v>0</v>
      </c>
      <c r="I4564" s="17">
        <v>0</v>
      </c>
      <c r="J4564" s="17">
        <v>31</v>
      </c>
      <c r="N4564" s="18">
        <v>31</v>
      </c>
      <c r="Q4564" s="19">
        <v>31</v>
      </c>
      <c r="R4564" s="14" t="e">
        <v>#N/A</v>
      </c>
      <c r="S4564" s="19" t="e">
        <v>#N/A</v>
      </c>
      <c r="AE4564" s="17" t="s">
        <v>95</v>
      </c>
      <c r="AJ4564" s="19">
        <v>0</v>
      </c>
      <c r="AK4564" s="23">
        <v>0</v>
      </c>
      <c r="AM4564" s="19">
        <v>0</v>
      </c>
      <c r="AN4564" s="19" t="e">
        <v>#N/A</v>
      </c>
      <c r="AP4564" s="14" t="e">
        <v>#N/A</v>
      </c>
      <c r="AQ4564" s="12">
        <v>3.0000000000000001E-3</v>
      </c>
    </row>
    <row r="4565" spans="1:45" x14ac:dyDescent="0.2">
      <c r="A4565" s="2">
        <v>3868</v>
      </c>
      <c r="B4565" s="13">
        <v>4</v>
      </c>
      <c r="C4565" s="17" t="s">
        <v>65</v>
      </c>
      <c r="D4565" s="17">
        <v>2972</v>
      </c>
      <c r="E4565" s="17">
        <v>137</v>
      </c>
      <c r="H4565" s="17">
        <v>3</v>
      </c>
      <c r="I4565" s="17">
        <v>2</v>
      </c>
      <c r="J4565" s="17">
        <v>52</v>
      </c>
      <c r="K4565" s="10">
        <v>1452</v>
      </c>
      <c r="Q4565" s="19">
        <v>1452</v>
      </c>
      <c r="R4565" s="14">
        <v>200</v>
      </c>
      <c r="S4565" s="19">
        <v>290400</v>
      </c>
      <c r="AE4565" s="17" t="s">
        <v>94</v>
      </c>
      <c r="AJ4565" s="19">
        <v>0</v>
      </c>
      <c r="AK4565" s="23">
        <v>0</v>
      </c>
      <c r="AM4565" s="19">
        <v>0</v>
      </c>
      <c r="AN4565" s="19">
        <v>290400</v>
      </c>
      <c r="AP4565" s="14">
        <v>290400</v>
      </c>
      <c r="AQ4565" s="12">
        <v>1E-4</v>
      </c>
    </row>
    <row r="4566" spans="1:45" x14ac:dyDescent="0.2">
      <c r="A4566" s="2">
        <f>+A4565+1</f>
        <v>3869</v>
      </c>
      <c r="B4566" s="13">
        <v>1</v>
      </c>
      <c r="C4566" s="17" t="s">
        <v>52</v>
      </c>
      <c r="D4566" s="17">
        <v>2494</v>
      </c>
      <c r="E4566" s="17">
        <v>46</v>
      </c>
      <c r="F4566" s="17">
        <v>1498</v>
      </c>
      <c r="G4566" s="13">
        <v>2</v>
      </c>
      <c r="H4566" s="17">
        <v>0</v>
      </c>
      <c r="I4566" s="17">
        <v>0</v>
      </c>
      <c r="J4566" s="17">
        <v>55</v>
      </c>
      <c r="N4566" s="18">
        <v>55</v>
      </c>
      <c r="P4566" s="17">
        <v>4</v>
      </c>
      <c r="Q4566" s="19">
        <v>55</v>
      </c>
      <c r="R4566" s="14">
        <v>4500</v>
      </c>
      <c r="S4566" s="19">
        <v>247500</v>
      </c>
      <c r="AJ4566" s="19">
        <v>0</v>
      </c>
      <c r="AK4566" s="23">
        <v>0</v>
      </c>
      <c r="AM4566" s="19">
        <v>0</v>
      </c>
      <c r="AN4566" s="19">
        <v>247500</v>
      </c>
      <c r="AP4566" s="14">
        <v>247500</v>
      </c>
      <c r="AS4566" s="26">
        <v>33</v>
      </c>
    </row>
    <row r="4567" spans="1:45" x14ac:dyDescent="0.2">
      <c r="A4567" s="121">
        <f>+A4566+1</f>
        <v>3870</v>
      </c>
      <c r="B4567" s="13">
        <v>2</v>
      </c>
      <c r="C4567" s="17" t="s">
        <v>52</v>
      </c>
      <c r="D4567" s="17">
        <v>30924</v>
      </c>
      <c r="E4567" s="17">
        <v>183</v>
      </c>
      <c r="F4567" s="17">
        <v>5876</v>
      </c>
      <c r="G4567" s="13">
        <v>2</v>
      </c>
      <c r="H4567" s="17">
        <v>10</v>
      </c>
      <c r="I4567" s="17">
        <v>3</v>
      </c>
      <c r="J4567" s="17">
        <v>23.01</v>
      </c>
      <c r="K4567" s="10">
        <v>4323.01</v>
      </c>
      <c r="P4567" s="17">
        <v>1</v>
      </c>
      <c r="Q4567" s="19">
        <v>4323.01</v>
      </c>
      <c r="R4567" s="14">
        <v>160</v>
      </c>
      <c r="S4567" s="19">
        <v>691681.60000000009</v>
      </c>
      <c r="AJ4567" s="19">
        <v>0</v>
      </c>
      <c r="AK4567" s="23">
        <v>0</v>
      </c>
      <c r="AM4567" s="19">
        <v>0</v>
      </c>
      <c r="AN4567" s="19">
        <v>691681.60000000009</v>
      </c>
      <c r="AP4567" s="14">
        <v>691681.60000000009</v>
      </c>
    </row>
    <row r="4568" spans="1:45" x14ac:dyDescent="0.2">
      <c r="C4568" s="17" t="s">
        <v>52</v>
      </c>
      <c r="D4568" s="17">
        <v>40707</v>
      </c>
      <c r="E4568" s="17">
        <v>336</v>
      </c>
      <c r="F4568" s="17">
        <v>8055</v>
      </c>
      <c r="H4568" s="17">
        <v>0</v>
      </c>
      <c r="I4568" s="17">
        <v>0</v>
      </c>
      <c r="J4568" s="17">
        <v>56</v>
      </c>
      <c r="K4568" s="10" t="s">
        <v>407</v>
      </c>
      <c r="P4568" s="17">
        <v>1</v>
      </c>
      <c r="Q4568" s="19">
        <v>56</v>
      </c>
      <c r="R4568" s="14" t="e">
        <v>#N/A</v>
      </c>
    </row>
    <row r="4569" spans="1:45" x14ac:dyDescent="0.2">
      <c r="A4569" s="2">
        <v>3871</v>
      </c>
      <c r="B4569" s="13">
        <v>1</v>
      </c>
      <c r="C4569" s="17" t="s">
        <v>52</v>
      </c>
      <c r="D4569" s="17">
        <v>2736</v>
      </c>
      <c r="E4569" s="17">
        <v>9</v>
      </c>
      <c r="F4569" s="17">
        <v>1908</v>
      </c>
      <c r="G4569" s="13">
        <v>1</v>
      </c>
      <c r="H4569" s="17">
        <v>7</v>
      </c>
      <c r="I4569" s="17">
        <v>0</v>
      </c>
      <c r="J4569" s="17">
        <v>28</v>
      </c>
      <c r="K4569" s="10">
        <v>2828</v>
      </c>
      <c r="P4569" s="17">
        <v>1</v>
      </c>
      <c r="Q4569" s="19">
        <v>2828</v>
      </c>
      <c r="R4569" s="14">
        <v>200</v>
      </c>
      <c r="S4569" s="19">
        <v>565600</v>
      </c>
      <c r="AJ4569" s="19">
        <v>0</v>
      </c>
      <c r="AK4569" s="23">
        <v>0</v>
      </c>
      <c r="AM4569" s="19">
        <v>0</v>
      </c>
      <c r="AN4569" s="19">
        <v>565600</v>
      </c>
      <c r="AP4569" s="14">
        <v>565600</v>
      </c>
      <c r="AS4569" s="26">
        <v>50</v>
      </c>
    </row>
    <row r="4570" spans="1:45" x14ac:dyDescent="0.2">
      <c r="A4570" s="2">
        <f>+A4569+1</f>
        <v>3872</v>
      </c>
      <c r="B4570" s="13">
        <v>1</v>
      </c>
      <c r="C4570" s="17" t="s">
        <v>52</v>
      </c>
      <c r="D4570" s="17">
        <v>2735</v>
      </c>
      <c r="E4570" s="17">
        <v>8</v>
      </c>
      <c r="F4570" s="17">
        <v>1907</v>
      </c>
      <c r="G4570" s="13">
        <v>1</v>
      </c>
      <c r="H4570" s="17">
        <v>12</v>
      </c>
      <c r="I4570" s="17">
        <v>0</v>
      </c>
      <c r="J4570" s="17">
        <v>69</v>
      </c>
      <c r="K4570" s="10">
        <v>4869</v>
      </c>
      <c r="P4570" s="17">
        <v>1</v>
      </c>
      <c r="Q4570" s="19">
        <v>4869</v>
      </c>
      <c r="R4570" s="14">
        <v>200</v>
      </c>
      <c r="S4570" s="19">
        <v>973800</v>
      </c>
      <c r="AJ4570" s="19">
        <v>0</v>
      </c>
      <c r="AK4570" s="23">
        <v>0</v>
      </c>
      <c r="AM4570" s="19">
        <v>0</v>
      </c>
      <c r="AN4570" s="19">
        <v>973800</v>
      </c>
      <c r="AP4570" s="14">
        <v>973800</v>
      </c>
      <c r="AS4570" s="26">
        <v>66</v>
      </c>
    </row>
    <row r="4571" spans="1:45" x14ac:dyDescent="0.2">
      <c r="A4571" s="121">
        <f t="shared" ref="A4571:A4579" si="537">+A4570+1</f>
        <v>3873</v>
      </c>
      <c r="B4571" s="13">
        <v>1</v>
      </c>
      <c r="C4571" s="17" t="s">
        <v>52</v>
      </c>
      <c r="D4571" s="17">
        <v>4673</v>
      </c>
      <c r="E4571" s="17">
        <v>87</v>
      </c>
      <c r="F4571" s="17">
        <v>2503</v>
      </c>
      <c r="G4571" s="13">
        <v>1</v>
      </c>
      <c r="H4571" s="17">
        <v>7</v>
      </c>
      <c r="I4571" s="17">
        <v>1</v>
      </c>
      <c r="J4571" s="17">
        <v>88</v>
      </c>
      <c r="K4571" s="10">
        <v>2988</v>
      </c>
      <c r="P4571" s="17">
        <v>1</v>
      </c>
      <c r="Q4571" s="19">
        <v>2988</v>
      </c>
      <c r="R4571" s="14">
        <v>160</v>
      </c>
      <c r="S4571" s="19">
        <v>478080</v>
      </c>
      <c r="AJ4571" s="19">
        <v>0</v>
      </c>
      <c r="AK4571" s="23">
        <v>0</v>
      </c>
      <c r="AM4571" s="19">
        <v>0</v>
      </c>
      <c r="AN4571" s="19">
        <v>478080</v>
      </c>
      <c r="AP4571" s="14">
        <v>478080</v>
      </c>
    </row>
    <row r="4572" spans="1:45" x14ac:dyDescent="0.2">
      <c r="A4572" s="121">
        <f t="shared" si="537"/>
        <v>3874</v>
      </c>
      <c r="B4572" s="13">
        <v>1</v>
      </c>
      <c r="C4572" s="17" t="s">
        <v>52</v>
      </c>
      <c r="D4572" s="17">
        <v>2484</v>
      </c>
      <c r="E4572" s="17">
        <v>36</v>
      </c>
      <c r="F4572" s="17">
        <v>1488</v>
      </c>
      <c r="G4572" s="13">
        <v>2</v>
      </c>
      <c r="H4572" s="17">
        <v>1</v>
      </c>
      <c r="I4572" s="17">
        <v>3</v>
      </c>
      <c r="J4572" s="17">
        <v>32</v>
      </c>
      <c r="K4572" s="10">
        <v>732</v>
      </c>
      <c r="P4572" s="17">
        <v>1</v>
      </c>
      <c r="Q4572" s="19">
        <v>732</v>
      </c>
      <c r="R4572" s="14">
        <v>160</v>
      </c>
      <c r="S4572" s="19">
        <v>117120</v>
      </c>
      <c r="AJ4572" s="19">
        <v>0</v>
      </c>
      <c r="AK4572" s="23">
        <v>0</v>
      </c>
      <c r="AM4572" s="19">
        <v>0</v>
      </c>
      <c r="AN4572" s="19">
        <v>117120</v>
      </c>
      <c r="AP4572" s="14">
        <v>117120</v>
      </c>
      <c r="AS4572" s="26">
        <v>10</v>
      </c>
    </row>
    <row r="4573" spans="1:45" x14ac:dyDescent="0.2">
      <c r="A4573" s="121">
        <f t="shared" si="537"/>
        <v>3875</v>
      </c>
      <c r="B4573" s="13">
        <v>2</v>
      </c>
      <c r="C4573" s="17" t="s">
        <v>52</v>
      </c>
      <c r="D4573" s="17">
        <v>3398</v>
      </c>
      <c r="E4573" s="17">
        <v>35</v>
      </c>
      <c r="F4573" s="17">
        <v>2185</v>
      </c>
      <c r="G4573" s="13">
        <v>2</v>
      </c>
      <c r="H4573" s="17">
        <v>3</v>
      </c>
      <c r="I4573" s="17">
        <v>1</v>
      </c>
      <c r="J4573" s="17">
        <v>35</v>
      </c>
      <c r="K4573" s="10">
        <v>1335</v>
      </c>
      <c r="P4573" s="17">
        <v>1</v>
      </c>
      <c r="Q4573" s="19">
        <v>1335</v>
      </c>
      <c r="R4573" s="14">
        <v>160</v>
      </c>
      <c r="S4573" s="19">
        <v>213600</v>
      </c>
      <c r="AJ4573" s="19">
        <v>0</v>
      </c>
      <c r="AK4573" s="23">
        <v>0</v>
      </c>
      <c r="AM4573" s="19">
        <v>0</v>
      </c>
      <c r="AN4573" s="19">
        <v>213600</v>
      </c>
      <c r="AP4573" s="14">
        <v>213600</v>
      </c>
    </row>
    <row r="4574" spans="1:45" x14ac:dyDescent="0.2">
      <c r="A4574" s="121">
        <f t="shared" si="537"/>
        <v>3876</v>
      </c>
      <c r="B4574" s="13">
        <v>3</v>
      </c>
      <c r="C4574" s="17" t="s">
        <v>52</v>
      </c>
      <c r="D4574" s="17">
        <v>4671</v>
      </c>
      <c r="E4574" s="17">
        <v>85</v>
      </c>
      <c r="F4574" s="17">
        <v>2501</v>
      </c>
      <c r="G4574" s="13">
        <v>1</v>
      </c>
      <c r="H4574" s="17">
        <v>3</v>
      </c>
      <c r="I4574" s="17">
        <v>1</v>
      </c>
      <c r="J4574" s="17">
        <v>16</v>
      </c>
      <c r="K4574" s="10">
        <v>1316</v>
      </c>
      <c r="P4574" s="17">
        <v>1</v>
      </c>
      <c r="Q4574" s="19">
        <v>1316</v>
      </c>
      <c r="R4574" s="14">
        <v>200</v>
      </c>
      <c r="S4574" s="19">
        <v>263200</v>
      </c>
      <c r="AJ4574" s="19">
        <v>0</v>
      </c>
      <c r="AK4574" s="23">
        <v>0</v>
      </c>
      <c r="AM4574" s="19">
        <v>0</v>
      </c>
      <c r="AN4574" s="19">
        <v>263200</v>
      </c>
      <c r="AP4574" s="14">
        <v>263200</v>
      </c>
    </row>
    <row r="4575" spans="1:45" x14ac:dyDescent="0.2">
      <c r="A4575" s="121">
        <f t="shared" si="537"/>
        <v>3877</v>
      </c>
      <c r="B4575" s="13">
        <v>4</v>
      </c>
      <c r="C4575" s="17" t="s">
        <v>52</v>
      </c>
      <c r="D4575" s="17">
        <v>20541</v>
      </c>
      <c r="E4575" s="17">
        <v>148</v>
      </c>
      <c r="F4575" s="17">
        <v>4388</v>
      </c>
      <c r="G4575" s="13">
        <v>2</v>
      </c>
      <c r="H4575" s="17">
        <v>0</v>
      </c>
      <c r="I4575" s="17">
        <v>0</v>
      </c>
      <c r="J4575" s="17">
        <v>36</v>
      </c>
      <c r="N4575" s="18">
        <v>36</v>
      </c>
      <c r="P4575" s="17">
        <v>4</v>
      </c>
      <c r="Q4575" s="19">
        <v>36</v>
      </c>
      <c r="R4575" s="14">
        <v>250</v>
      </c>
      <c r="S4575" s="19">
        <v>9000</v>
      </c>
      <c r="AJ4575" s="19">
        <v>0</v>
      </c>
      <c r="AK4575" s="23">
        <v>0</v>
      </c>
      <c r="AM4575" s="19">
        <v>0</v>
      </c>
      <c r="AN4575" s="19">
        <v>9000</v>
      </c>
      <c r="AP4575" s="14">
        <v>9000</v>
      </c>
    </row>
    <row r="4576" spans="1:45" x14ac:dyDescent="0.2">
      <c r="A4576" s="121">
        <f t="shared" si="537"/>
        <v>3878</v>
      </c>
      <c r="B4576" s="13">
        <v>1</v>
      </c>
      <c r="C4576" s="17" t="s">
        <v>52</v>
      </c>
      <c r="D4576" s="17">
        <v>2503</v>
      </c>
      <c r="E4576" s="17">
        <v>55</v>
      </c>
      <c r="F4576" s="17">
        <v>1508</v>
      </c>
      <c r="G4576" s="13">
        <v>2</v>
      </c>
      <c r="H4576" s="17">
        <v>0</v>
      </c>
      <c r="I4576" s="17">
        <v>2</v>
      </c>
      <c r="J4576" s="17">
        <v>39</v>
      </c>
      <c r="K4576" s="10">
        <v>239</v>
      </c>
      <c r="P4576" s="17">
        <v>1</v>
      </c>
      <c r="Q4576" s="19">
        <v>239</v>
      </c>
      <c r="R4576" s="14">
        <v>160</v>
      </c>
      <c r="S4576" s="19">
        <v>38240</v>
      </c>
      <c r="AJ4576" s="19">
        <v>0</v>
      </c>
      <c r="AK4576" s="23">
        <v>0</v>
      </c>
      <c r="AM4576" s="19">
        <v>0</v>
      </c>
      <c r="AN4576" s="19">
        <v>38240</v>
      </c>
      <c r="AP4576" s="14">
        <v>38240</v>
      </c>
    </row>
    <row r="4577" spans="1:45" s="19" customFormat="1" x14ac:dyDescent="0.2">
      <c r="A4577" s="121">
        <f t="shared" si="537"/>
        <v>3879</v>
      </c>
      <c r="B4577" s="13">
        <v>2</v>
      </c>
      <c r="C4577" s="17" t="s">
        <v>52</v>
      </c>
      <c r="D4577" s="17">
        <v>2993</v>
      </c>
      <c r="E4577" s="17">
        <v>7</v>
      </c>
      <c r="F4577" s="17">
        <v>2061</v>
      </c>
      <c r="G4577" s="13">
        <v>2</v>
      </c>
      <c r="H4577" s="17">
        <v>0</v>
      </c>
      <c r="I4577" s="17">
        <v>3</v>
      </c>
      <c r="J4577" s="17">
        <v>97</v>
      </c>
      <c r="K4577" s="10">
        <v>397</v>
      </c>
      <c r="L4577" s="17"/>
      <c r="M4577" s="15"/>
      <c r="N4577" s="18"/>
      <c r="O4577" s="14"/>
      <c r="P4577" s="17">
        <v>1</v>
      </c>
      <c r="Q4577" s="19">
        <v>397</v>
      </c>
      <c r="R4577" s="14">
        <v>250</v>
      </c>
      <c r="S4577" s="19">
        <v>99250</v>
      </c>
      <c r="T4577" s="17"/>
      <c r="U4577" s="17"/>
      <c r="V4577" s="17"/>
      <c r="W4577" s="4"/>
      <c r="X4577" s="17"/>
      <c r="Y4577" s="4"/>
      <c r="Z4577" s="17"/>
      <c r="AA4577" s="17"/>
      <c r="AB4577" s="17"/>
      <c r="AC4577" s="14"/>
      <c r="AD4577" s="14"/>
      <c r="AE4577" s="17"/>
      <c r="AF4577" s="14"/>
      <c r="AG4577" s="54"/>
      <c r="AH4577" s="11"/>
      <c r="AI4577" s="14"/>
      <c r="AJ4577" s="19">
        <v>0</v>
      </c>
      <c r="AK4577" s="23">
        <v>0</v>
      </c>
      <c r="AL4577" s="11"/>
      <c r="AM4577" s="19">
        <v>0</v>
      </c>
      <c r="AN4577" s="19">
        <v>99250</v>
      </c>
      <c r="AO4577" s="14"/>
      <c r="AP4577" s="14">
        <v>99250</v>
      </c>
      <c r="AQ4577" s="12"/>
      <c r="AS4577" s="26"/>
    </row>
    <row r="4578" spans="1:45" s="19" customFormat="1" x14ac:dyDescent="0.2">
      <c r="A4578" s="121">
        <f t="shared" si="537"/>
        <v>3880</v>
      </c>
      <c r="B4578" s="13">
        <v>3</v>
      </c>
      <c r="C4578" s="17" t="s">
        <v>52</v>
      </c>
      <c r="D4578" s="17">
        <v>2996</v>
      </c>
      <c r="E4578" s="17">
        <v>4</v>
      </c>
      <c r="F4578" s="17">
        <v>2064</v>
      </c>
      <c r="G4578" s="13">
        <v>2</v>
      </c>
      <c r="H4578" s="17">
        <v>0</v>
      </c>
      <c r="I4578" s="17">
        <v>1</v>
      </c>
      <c r="J4578" s="17">
        <v>34</v>
      </c>
      <c r="K4578" s="10">
        <v>134</v>
      </c>
      <c r="L4578" s="17"/>
      <c r="M4578" s="15"/>
      <c r="N4578" s="18"/>
      <c r="O4578" s="14"/>
      <c r="P4578" s="17">
        <v>1</v>
      </c>
      <c r="Q4578" s="19">
        <v>134</v>
      </c>
      <c r="R4578" s="14">
        <v>250</v>
      </c>
      <c r="S4578" s="19">
        <v>33500</v>
      </c>
      <c r="T4578" s="17"/>
      <c r="U4578" s="17"/>
      <c r="V4578" s="17"/>
      <c r="W4578" s="4"/>
      <c r="X4578" s="17"/>
      <c r="Y4578" s="4"/>
      <c r="Z4578" s="17"/>
      <c r="AA4578" s="17"/>
      <c r="AB4578" s="17"/>
      <c r="AC4578" s="14"/>
      <c r="AD4578" s="14"/>
      <c r="AE4578" s="17"/>
      <c r="AF4578" s="14"/>
      <c r="AG4578" s="54"/>
      <c r="AH4578" s="11"/>
      <c r="AI4578" s="14"/>
      <c r="AJ4578" s="19">
        <v>0</v>
      </c>
      <c r="AK4578" s="23">
        <v>0</v>
      </c>
      <c r="AL4578" s="11"/>
      <c r="AM4578" s="19">
        <v>0</v>
      </c>
      <c r="AN4578" s="19">
        <v>33500</v>
      </c>
      <c r="AO4578" s="14"/>
      <c r="AP4578" s="14">
        <v>33500</v>
      </c>
      <c r="AQ4578" s="12"/>
      <c r="AS4578" s="26"/>
    </row>
    <row r="4579" spans="1:45" s="19" customFormat="1" ht="63" x14ac:dyDescent="0.2">
      <c r="A4579" s="121">
        <f t="shared" si="537"/>
        <v>3881</v>
      </c>
      <c r="B4579" s="13">
        <v>4</v>
      </c>
      <c r="C4579" s="17" t="s">
        <v>52</v>
      </c>
      <c r="D4579" s="17">
        <v>3004</v>
      </c>
      <c r="E4579" s="17">
        <v>21</v>
      </c>
      <c r="F4579" s="17">
        <v>2072</v>
      </c>
      <c r="G4579" s="13">
        <v>2</v>
      </c>
      <c r="H4579" s="17">
        <v>5</v>
      </c>
      <c r="I4579" s="17">
        <v>2</v>
      </c>
      <c r="J4579" s="17">
        <v>61</v>
      </c>
      <c r="K4579" s="10">
        <v>2007.25</v>
      </c>
      <c r="L4579" s="17">
        <v>61</v>
      </c>
      <c r="M4579" s="15">
        <v>9</v>
      </c>
      <c r="N4579" s="18"/>
      <c r="O4579" s="14"/>
      <c r="P4579" s="17">
        <v>5</v>
      </c>
      <c r="Q4579" s="19">
        <v>2261</v>
      </c>
      <c r="R4579" s="14">
        <v>200</v>
      </c>
      <c r="S4579" s="19">
        <v>452200</v>
      </c>
      <c r="T4579" s="17">
        <v>1</v>
      </c>
      <c r="U4579" s="17" t="s">
        <v>57</v>
      </c>
      <c r="V4579" s="17" t="s">
        <v>56</v>
      </c>
      <c r="W4579" s="4">
        <v>280</v>
      </c>
      <c r="X4579" s="17"/>
      <c r="Y4579" s="4">
        <v>244</v>
      </c>
      <c r="Z4579" s="17">
        <v>36</v>
      </c>
      <c r="AA4579" s="17"/>
      <c r="AB4579" s="17">
        <v>21</v>
      </c>
      <c r="AC4579" s="14"/>
      <c r="AD4579" s="14"/>
      <c r="AE4579" s="17"/>
      <c r="AF4579" s="14">
        <v>2</v>
      </c>
      <c r="AG4579" s="54">
        <v>280</v>
      </c>
      <c r="AH4579" s="11">
        <v>0.87142857142857144</v>
      </c>
      <c r="AI4579" s="14">
        <v>7250</v>
      </c>
      <c r="AJ4579" s="19">
        <v>1769000</v>
      </c>
      <c r="AK4579" s="23">
        <v>21</v>
      </c>
      <c r="AL4579" s="11">
        <v>0.32</v>
      </c>
      <c r="AM4579" s="19">
        <v>1202920</v>
      </c>
      <c r="AN4579" s="19">
        <v>1655120</v>
      </c>
      <c r="AO4579" s="14"/>
      <c r="AP4579" s="14">
        <v>1655120</v>
      </c>
      <c r="AQ4579" s="12"/>
      <c r="AS4579" s="26"/>
    </row>
    <row r="4580" spans="1:45" s="19" customFormat="1" x14ac:dyDescent="0.2">
      <c r="A4580" s="2"/>
      <c r="B4580" s="13"/>
      <c r="C4580" s="17"/>
      <c r="D4580" s="17"/>
      <c r="E4580" s="17"/>
      <c r="F4580" s="17"/>
      <c r="G4580" s="13"/>
      <c r="H4580" s="17"/>
      <c r="I4580" s="17"/>
      <c r="J4580" s="17"/>
      <c r="K4580" s="10"/>
      <c r="L4580" s="17"/>
      <c r="M4580" s="15"/>
      <c r="N4580" s="18"/>
      <c r="O4580" s="14"/>
      <c r="P4580" s="17"/>
      <c r="R4580" s="14"/>
      <c r="T4580" s="17"/>
      <c r="U4580" s="17"/>
      <c r="V4580" s="17"/>
      <c r="W4580" s="4"/>
      <c r="X4580" s="17"/>
      <c r="Y4580" s="4"/>
      <c r="Z4580" s="17"/>
      <c r="AA4580" s="17"/>
      <c r="AB4580" s="17"/>
      <c r="AC4580" s="14"/>
      <c r="AD4580" s="14"/>
      <c r="AE4580" s="17"/>
      <c r="AF4580" s="14">
        <v>3</v>
      </c>
      <c r="AG4580" s="54">
        <v>280</v>
      </c>
      <c r="AH4580" s="11">
        <v>0.12857142857142856</v>
      </c>
      <c r="AI4580" s="14">
        <v>7250</v>
      </c>
      <c r="AJ4580" s="19">
        <v>261000</v>
      </c>
      <c r="AK4580" s="23">
        <v>21</v>
      </c>
      <c r="AL4580" s="11">
        <v>0.32</v>
      </c>
      <c r="AM4580" s="19">
        <v>177480</v>
      </c>
      <c r="AN4580" s="19">
        <v>235620</v>
      </c>
      <c r="AO4580" s="14"/>
      <c r="AP4580" s="14">
        <v>235620</v>
      </c>
      <c r="AQ4580" s="12">
        <v>3.0000000000000001E-3</v>
      </c>
      <c r="AS4580" s="26"/>
    </row>
    <row r="4581" spans="1:45" s="19" customFormat="1" x14ac:dyDescent="0.2">
      <c r="A4581" s="2">
        <v>3882</v>
      </c>
      <c r="B4581" s="13">
        <v>5</v>
      </c>
      <c r="C4581" s="17" t="s">
        <v>52</v>
      </c>
      <c r="D4581" s="17">
        <v>3191</v>
      </c>
      <c r="E4581" s="17">
        <v>16</v>
      </c>
      <c r="F4581" s="17">
        <v>2123</v>
      </c>
      <c r="G4581" s="13">
        <v>2</v>
      </c>
      <c r="H4581" s="17">
        <v>5</v>
      </c>
      <c r="I4581" s="17">
        <v>1</v>
      </c>
      <c r="J4581" s="17">
        <v>58</v>
      </c>
      <c r="K4581" s="10">
        <v>2158</v>
      </c>
      <c r="L4581" s="17"/>
      <c r="M4581" s="15"/>
      <c r="N4581" s="18"/>
      <c r="O4581" s="14"/>
      <c r="P4581" s="17">
        <v>1</v>
      </c>
      <c r="Q4581" s="19">
        <v>2158</v>
      </c>
      <c r="R4581" s="14">
        <v>160</v>
      </c>
      <c r="S4581" s="19">
        <v>345280</v>
      </c>
      <c r="T4581" s="17"/>
      <c r="U4581" s="17"/>
      <c r="V4581" s="17"/>
      <c r="W4581" s="4"/>
      <c r="X4581" s="17"/>
      <c r="Y4581" s="4"/>
      <c r="Z4581" s="17"/>
      <c r="AA4581" s="17"/>
      <c r="AB4581" s="17"/>
      <c r="AC4581" s="14"/>
      <c r="AD4581" s="14"/>
      <c r="AE4581" s="17"/>
      <c r="AF4581" s="14"/>
      <c r="AG4581" s="54"/>
      <c r="AH4581" s="11"/>
      <c r="AI4581" s="14"/>
      <c r="AJ4581" s="19">
        <v>0</v>
      </c>
      <c r="AK4581" s="23">
        <v>0</v>
      </c>
      <c r="AL4581" s="11"/>
      <c r="AM4581" s="19">
        <v>0</v>
      </c>
      <c r="AN4581" s="19">
        <v>345280</v>
      </c>
      <c r="AO4581" s="14"/>
      <c r="AP4581" s="14">
        <v>345280</v>
      </c>
      <c r="AQ4581" s="12"/>
      <c r="AS4581" s="26"/>
    </row>
    <row r="4582" spans="1:45" s="19" customFormat="1" x14ac:dyDescent="0.2">
      <c r="A4582" s="2">
        <f>+A4581+1</f>
        <v>3883</v>
      </c>
      <c r="B4582" s="13">
        <v>6</v>
      </c>
      <c r="C4582" s="17" t="s">
        <v>52</v>
      </c>
      <c r="D4582" s="17">
        <v>3418</v>
      </c>
      <c r="E4582" s="17">
        <v>15</v>
      </c>
      <c r="F4582" s="17">
        <v>2192</v>
      </c>
      <c r="G4582" s="13">
        <v>2</v>
      </c>
      <c r="H4582" s="17">
        <v>1</v>
      </c>
      <c r="I4582" s="17">
        <v>2</v>
      </c>
      <c r="J4582" s="17">
        <v>88</v>
      </c>
      <c r="K4582" s="10">
        <v>688</v>
      </c>
      <c r="L4582" s="17"/>
      <c r="M4582" s="15"/>
      <c r="N4582" s="18"/>
      <c r="O4582" s="14"/>
      <c r="P4582" s="17">
        <v>1</v>
      </c>
      <c r="Q4582" s="19">
        <v>688</v>
      </c>
      <c r="R4582" s="14">
        <v>200</v>
      </c>
      <c r="S4582" s="19">
        <v>137600</v>
      </c>
      <c r="T4582" s="17"/>
      <c r="U4582" s="17"/>
      <c r="V4582" s="17"/>
      <c r="W4582" s="4"/>
      <c r="X4582" s="17"/>
      <c r="Y4582" s="4"/>
      <c r="Z4582" s="17"/>
      <c r="AA4582" s="17"/>
      <c r="AB4582" s="17"/>
      <c r="AC4582" s="14"/>
      <c r="AD4582" s="14"/>
      <c r="AE4582" s="17"/>
      <c r="AF4582" s="14"/>
      <c r="AG4582" s="54"/>
      <c r="AH4582" s="11"/>
      <c r="AI4582" s="14"/>
      <c r="AJ4582" s="19">
        <v>0</v>
      </c>
      <c r="AK4582" s="23">
        <v>0</v>
      </c>
      <c r="AL4582" s="11"/>
      <c r="AM4582" s="19">
        <v>0</v>
      </c>
      <c r="AN4582" s="19">
        <v>137600</v>
      </c>
      <c r="AO4582" s="14"/>
      <c r="AP4582" s="14">
        <v>137600</v>
      </c>
      <c r="AQ4582" s="12"/>
      <c r="AS4582" s="26"/>
    </row>
    <row r="4583" spans="1:45" s="19" customFormat="1" x14ac:dyDescent="0.2">
      <c r="A4583" s="121">
        <f t="shared" ref="A4583:A4594" si="538">+A4582+1</f>
        <v>3884</v>
      </c>
      <c r="B4583" s="13">
        <v>7</v>
      </c>
      <c r="C4583" s="17" t="s">
        <v>52</v>
      </c>
      <c r="D4583" s="17">
        <v>3596</v>
      </c>
      <c r="E4583" s="17">
        <v>54</v>
      </c>
      <c r="F4583" s="17">
        <v>2227</v>
      </c>
      <c r="G4583" s="13">
        <v>2</v>
      </c>
      <c r="H4583" s="17">
        <v>9</v>
      </c>
      <c r="I4583" s="17">
        <v>3</v>
      </c>
      <c r="J4583" s="17">
        <v>5</v>
      </c>
      <c r="K4583" s="10">
        <v>3905</v>
      </c>
      <c r="L4583" s="17"/>
      <c r="M4583" s="15"/>
      <c r="N4583" s="18"/>
      <c r="O4583" s="14"/>
      <c r="P4583" s="17">
        <v>1</v>
      </c>
      <c r="Q4583" s="19">
        <v>3905</v>
      </c>
      <c r="R4583" s="14">
        <v>200</v>
      </c>
      <c r="S4583" s="19">
        <v>781000</v>
      </c>
      <c r="T4583" s="17"/>
      <c r="U4583" s="17"/>
      <c r="V4583" s="17"/>
      <c r="W4583" s="4"/>
      <c r="X4583" s="17"/>
      <c r="Y4583" s="4"/>
      <c r="Z4583" s="17"/>
      <c r="AA4583" s="17"/>
      <c r="AB4583" s="17"/>
      <c r="AC4583" s="14"/>
      <c r="AD4583" s="14"/>
      <c r="AE4583" s="17"/>
      <c r="AF4583" s="14"/>
      <c r="AG4583" s="54"/>
      <c r="AH4583" s="11"/>
      <c r="AI4583" s="14"/>
      <c r="AJ4583" s="19">
        <v>0</v>
      </c>
      <c r="AK4583" s="23">
        <v>0</v>
      </c>
      <c r="AL4583" s="11"/>
      <c r="AM4583" s="19">
        <v>0</v>
      </c>
      <c r="AN4583" s="19">
        <v>781000</v>
      </c>
      <c r="AO4583" s="14"/>
      <c r="AP4583" s="14">
        <v>781000</v>
      </c>
      <c r="AQ4583" s="12"/>
      <c r="AS4583" s="26"/>
    </row>
    <row r="4584" spans="1:45" s="19" customFormat="1" x14ac:dyDescent="0.2">
      <c r="A4584" s="121">
        <f t="shared" si="538"/>
        <v>3885</v>
      </c>
      <c r="B4584" s="13">
        <v>8</v>
      </c>
      <c r="C4584" s="17" t="s">
        <v>52</v>
      </c>
      <c r="D4584" s="17">
        <v>4160</v>
      </c>
      <c r="E4584" s="17">
        <v>55</v>
      </c>
      <c r="F4584" s="17">
        <v>2184</v>
      </c>
      <c r="G4584" s="13">
        <v>2</v>
      </c>
      <c r="H4584" s="17">
        <v>10</v>
      </c>
      <c r="I4584" s="17">
        <v>1</v>
      </c>
      <c r="J4584" s="17">
        <v>65</v>
      </c>
      <c r="K4584" s="10">
        <v>4165</v>
      </c>
      <c r="L4584" s="17"/>
      <c r="M4584" s="15"/>
      <c r="N4584" s="18"/>
      <c r="O4584" s="14"/>
      <c r="P4584" s="17">
        <v>1</v>
      </c>
      <c r="Q4584" s="19">
        <v>4165</v>
      </c>
      <c r="R4584" s="14">
        <v>160</v>
      </c>
      <c r="S4584" s="19">
        <v>666400</v>
      </c>
      <c r="T4584" s="17"/>
      <c r="U4584" s="17"/>
      <c r="V4584" s="17"/>
      <c r="W4584" s="4"/>
      <c r="X4584" s="17"/>
      <c r="Y4584" s="4"/>
      <c r="Z4584" s="17"/>
      <c r="AA4584" s="17"/>
      <c r="AB4584" s="17"/>
      <c r="AC4584" s="14"/>
      <c r="AD4584" s="14"/>
      <c r="AE4584" s="17"/>
      <c r="AF4584" s="14"/>
      <c r="AG4584" s="54"/>
      <c r="AH4584" s="11"/>
      <c r="AI4584" s="14"/>
      <c r="AJ4584" s="19">
        <v>0</v>
      </c>
      <c r="AK4584" s="23">
        <v>0</v>
      </c>
      <c r="AL4584" s="11"/>
      <c r="AM4584" s="19">
        <v>0</v>
      </c>
      <c r="AN4584" s="19">
        <v>666400</v>
      </c>
      <c r="AO4584" s="14"/>
      <c r="AP4584" s="14">
        <v>666400</v>
      </c>
      <c r="AQ4584" s="12"/>
      <c r="AS4584" s="26"/>
    </row>
    <row r="4585" spans="1:45" s="19" customFormat="1" x14ac:dyDescent="0.2">
      <c r="A4585" s="121">
        <f t="shared" si="538"/>
        <v>3886</v>
      </c>
      <c r="B4585" s="13">
        <v>9</v>
      </c>
      <c r="C4585" s="17" t="s">
        <v>52</v>
      </c>
      <c r="D4585" s="17">
        <v>31107</v>
      </c>
      <c r="E4585" s="17">
        <v>226</v>
      </c>
      <c r="F4585" s="17">
        <v>6057</v>
      </c>
      <c r="G4585" s="13">
        <v>2</v>
      </c>
      <c r="H4585" s="17">
        <v>0</v>
      </c>
      <c r="I4585" s="17">
        <v>1</v>
      </c>
      <c r="J4585" s="17">
        <v>72.040000000000006</v>
      </c>
      <c r="K4585" s="10">
        <v>172.04</v>
      </c>
      <c r="L4585" s="17"/>
      <c r="M4585" s="15"/>
      <c r="N4585" s="18"/>
      <c r="O4585" s="14"/>
      <c r="P4585" s="17">
        <v>1</v>
      </c>
      <c r="Q4585" s="19">
        <v>172.04000000000002</v>
      </c>
      <c r="R4585" s="14">
        <v>250</v>
      </c>
      <c r="S4585" s="19">
        <v>43010.000000000007</v>
      </c>
      <c r="T4585" s="17"/>
      <c r="U4585" s="17"/>
      <c r="V4585" s="17"/>
      <c r="W4585" s="4"/>
      <c r="X4585" s="17"/>
      <c r="Y4585" s="4"/>
      <c r="Z4585" s="17"/>
      <c r="AA4585" s="17"/>
      <c r="AB4585" s="17"/>
      <c r="AC4585" s="14"/>
      <c r="AD4585" s="14"/>
      <c r="AE4585" s="17"/>
      <c r="AF4585" s="14"/>
      <c r="AG4585" s="54"/>
      <c r="AH4585" s="11"/>
      <c r="AI4585" s="14"/>
      <c r="AJ4585" s="19">
        <v>0</v>
      </c>
      <c r="AK4585" s="23">
        <v>0</v>
      </c>
      <c r="AL4585" s="11"/>
      <c r="AM4585" s="19">
        <v>0</v>
      </c>
      <c r="AN4585" s="19">
        <v>43010.000000000007</v>
      </c>
      <c r="AO4585" s="14"/>
      <c r="AP4585" s="14">
        <v>43010.000000000007</v>
      </c>
      <c r="AQ4585" s="12"/>
      <c r="AS4585" s="26"/>
    </row>
    <row r="4586" spans="1:45" s="19" customFormat="1" x14ac:dyDescent="0.2">
      <c r="A4586" s="121">
        <f t="shared" si="538"/>
        <v>3887</v>
      </c>
      <c r="B4586" s="13">
        <v>10</v>
      </c>
      <c r="C4586" s="17" t="s">
        <v>52</v>
      </c>
      <c r="D4586" s="17">
        <v>31108</v>
      </c>
      <c r="E4586" s="17">
        <v>227</v>
      </c>
      <c r="F4586" s="17">
        <v>6058</v>
      </c>
      <c r="G4586" s="13">
        <v>2</v>
      </c>
      <c r="H4586" s="17">
        <v>0</v>
      </c>
      <c r="I4586" s="17">
        <v>1</v>
      </c>
      <c r="J4586" s="17">
        <v>76.09</v>
      </c>
      <c r="K4586" s="10">
        <v>176.09</v>
      </c>
      <c r="L4586" s="17"/>
      <c r="M4586" s="15"/>
      <c r="N4586" s="18"/>
      <c r="O4586" s="14"/>
      <c r="P4586" s="17">
        <v>1</v>
      </c>
      <c r="Q4586" s="19">
        <v>176.09</v>
      </c>
      <c r="R4586" s="14">
        <v>250</v>
      </c>
      <c r="S4586" s="19">
        <v>44022.5</v>
      </c>
      <c r="T4586" s="17"/>
      <c r="U4586" s="17"/>
      <c r="V4586" s="17"/>
      <c r="W4586" s="4"/>
      <c r="X4586" s="17"/>
      <c r="Y4586" s="4"/>
      <c r="Z4586" s="17"/>
      <c r="AA4586" s="17"/>
      <c r="AB4586" s="17"/>
      <c r="AC4586" s="14"/>
      <c r="AD4586" s="14"/>
      <c r="AE4586" s="17"/>
      <c r="AF4586" s="14"/>
      <c r="AG4586" s="54"/>
      <c r="AH4586" s="11"/>
      <c r="AI4586" s="14"/>
      <c r="AJ4586" s="19">
        <v>0</v>
      </c>
      <c r="AK4586" s="23">
        <v>0</v>
      </c>
      <c r="AL4586" s="11"/>
      <c r="AM4586" s="19">
        <v>0</v>
      </c>
      <c r="AN4586" s="19">
        <v>44022.5</v>
      </c>
      <c r="AO4586" s="14"/>
      <c r="AP4586" s="14">
        <v>44022.5</v>
      </c>
      <c r="AQ4586" s="12"/>
      <c r="AS4586" s="26"/>
    </row>
    <row r="4587" spans="1:45" s="19" customFormat="1" x14ac:dyDescent="0.2">
      <c r="A4587" s="121">
        <f t="shared" si="538"/>
        <v>3888</v>
      </c>
      <c r="B4587" s="13">
        <v>11</v>
      </c>
      <c r="C4587" s="17" t="s">
        <v>52</v>
      </c>
      <c r="D4587" s="17">
        <v>31109</v>
      </c>
      <c r="E4587" s="17">
        <v>228</v>
      </c>
      <c r="F4587" s="17">
        <v>6059</v>
      </c>
      <c r="G4587" s="13">
        <v>2</v>
      </c>
      <c r="H4587" s="17">
        <v>0</v>
      </c>
      <c r="I4587" s="17">
        <v>1</v>
      </c>
      <c r="J4587" s="17">
        <v>73.06</v>
      </c>
      <c r="K4587" s="10">
        <v>173.06</v>
      </c>
      <c r="L4587" s="17"/>
      <c r="M4587" s="15"/>
      <c r="N4587" s="18"/>
      <c r="O4587" s="14"/>
      <c r="P4587" s="17">
        <v>1</v>
      </c>
      <c r="Q4587" s="19">
        <v>173.06</v>
      </c>
      <c r="R4587" s="14">
        <v>250</v>
      </c>
      <c r="S4587" s="19">
        <v>43265</v>
      </c>
      <c r="T4587" s="17"/>
      <c r="U4587" s="17"/>
      <c r="V4587" s="17"/>
      <c r="W4587" s="4"/>
      <c r="X4587" s="17"/>
      <c r="Y4587" s="4"/>
      <c r="Z4587" s="17"/>
      <c r="AA4587" s="17"/>
      <c r="AB4587" s="17"/>
      <c r="AC4587" s="14"/>
      <c r="AD4587" s="14"/>
      <c r="AE4587" s="17"/>
      <c r="AF4587" s="14"/>
      <c r="AG4587" s="54"/>
      <c r="AH4587" s="11"/>
      <c r="AI4587" s="14"/>
      <c r="AJ4587" s="19">
        <v>0</v>
      </c>
      <c r="AK4587" s="23">
        <v>0</v>
      </c>
      <c r="AL4587" s="11"/>
      <c r="AM4587" s="19">
        <v>0</v>
      </c>
      <c r="AN4587" s="19">
        <v>43265</v>
      </c>
      <c r="AO4587" s="14"/>
      <c r="AP4587" s="14">
        <v>43265</v>
      </c>
      <c r="AQ4587" s="12"/>
      <c r="AS4587" s="26"/>
    </row>
    <row r="4588" spans="1:45" s="19" customFormat="1" x14ac:dyDescent="0.2">
      <c r="A4588" s="121">
        <f t="shared" si="538"/>
        <v>3889</v>
      </c>
      <c r="B4588" s="13">
        <v>12</v>
      </c>
      <c r="C4588" s="17" t="s">
        <v>52</v>
      </c>
      <c r="D4588" s="17">
        <v>31110</v>
      </c>
      <c r="E4588" s="17">
        <v>229</v>
      </c>
      <c r="F4588" s="17">
        <v>6060</v>
      </c>
      <c r="G4588" s="13">
        <v>2</v>
      </c>
      <c r="H4588" s="17">
        <v>0</v>
      </c>
      <c r="I4588" s="17">
        <v>1</v>
      </c>
      <c r="J4588" s="17">
        <v>66.05</v>
      </c>
      <c r="K4588" s="10">
        <v>166.05</v>
      </c>
      <c r="L4588" s="17"/>
      <c r="M4588" s="15"/>
      <c r="N4588" s="18"/>
      <c r="O4588" s="14"/>
      <c r="P4588" s="17">
        <v>1</v>
      </c>
      <c r="Q4588" s="19">
        <v>166.05</v>
      </c>
      <c r="R4588" s="14">
        <v>250</v>
      </c>
      <c r="S4588" s="19">
        <v>41512.5</v>
      </c>
      <c r="T4588" s="17"/>
      <c r="U4588" s="17"/>
      <c r="V4588" s="17"/>
      <c r="W4588" s="4"/>
      <c r="X4588" s="17"/>
      <c r="Y4588" s="4"/>
      <c r="Z4588" s="17"/>
      <c r="AA4588" s="17"/>
      <c r="AB4588" s="17"/>
      <c r="AC4588" s="14"/>
      <c r="AD4588" s="14"/>
      <c r="AE4588" s="17"/>
      <c r="AF4588" s="14"/>
      <c r="AG4588" s="54"/>
      <c r="AH4588" s="11"/>
      <c r="AI4588" s="14"/>
      <c r="AJ4588" s="19">
        <v>0</v>
      </c>
      <c r="AK4588" s="23">
        <v>0</v>
      </c>
      <c r="AL4588" s="11"/>
      <c r="AM4588" s="19">
        <v>0</v>
      </c>
      <c r="AN4588" s="19">
        <v>41512.5</v>
      </c>
      <c r="AO4588" s="14"/>
      <c r="AP4588" s="14">
        <v>41512.5</v>
      </c>
      <c r="AQ4588" s="12"/>
      <c r="AS4588" s="26"/>
    </row>
    <row r="4589" spans="1:45" s="19" customFormat="1" x14ac:dyDescent="0.2">
      <c r="A4589" s="121">
        <f t="shared" si="538"/>
        <v>3890</v>
      </c>
      <c r="B4589" s="13">
        <v>13</v>
      </c>
      <c r="C4589" s="17" t="s">
        <v>52</v>
      </c>
      <c r="D4589" s="17">
        <v>31111</v>
      </c>
      <c r="E4589" s="17">
        <v>230</v>
      </c>
      <c r="F4589" s="17">
        <v>6061</v>
      </c>
      <c r="G4589" s="13">
        <v>2</v>
      </c>
      <c r="H4589" s="17">
        <v>0</v>
      </c>
      <c r="I4589" s="17">
        <v>0</v>
      </c>
      <c r="J4589" s="17">
        <v>83.07</v>
      </c>
      <c r="K4589" s="10">
        <v>83.07</v>
      </c>
      <c r="L4589" s="17"/>
      <c r="M4589" s="15"/>
      <c r="N4589" s="18"/>
      <c r="O4589" s="14"/>
      <c r="P4589" s="17">
        <v>1</v>
      </c>
      <c r="Q4589" s="19">
        <v>83.07</v>
      </c>
      <c r="R4589" s="14">
        <v>250</v>
      </c>
      <c r="S4589" s="19">
        <v>20767.5</v>
      </c>
      <c r="T4589" s="17"/>
      <c r="U4589" s="17"/>
      <c r="V4589" s="17"/>
      <c r="W4589" s="4"/>
      <c r="X4589" s="17"/>
      <c r="Y4589" s="4"/>
      <c r="Z4589" s="17"/>
      <c r="AA4589" s="17"/>
      <c r="AB4589" s="17"/>
      <c r="AC4589" s="14"/>
      <c r="AD4589" s="14"/>
      <c r="AE4589" s="17"/>
      <c r="AF4589" s="14"/>
      <c r="AG4589" s="54"/>
      <c r="AH4589" s="11"/>
      <c r="AI4589" s="14"/>
      <c r="AJ4589" s="19">
        <v>0</v>
      </c>
      <c r="AK4589" s="23">
        <v>0</v>
      </c>
      <c r="AL4589" s="11"/>
      <c r="AM4589" s="19">
        <v>0</v>
      </c>
      <c r="AN4589" s="19">
        <v>20767.5</v>
      </c>
      <c r="AO4589" s="14"/>
      <c r="AP4589" s="14">
        <v>20767.5</v>
      </c>
      <c r="AQ4589" s="12"/>
      <c r="AS4589" s="26"/>
    </row>
    <row r="4590" spans="1:45" s="19" customFormat="1" x14ac:dyDescent="0.2">
      <c r="A4590" s="121">
        <f t="shared" si="538"/>
        <v>3891</v>
      </c>
      <c r="B4590" s="13">
        <v>14</v>
      </c>
      <c r="C4590" s="17" t="s">
        <v>52</v>
      </c>
      <c r="D4590" s="17">
        <v>31112</v>
      </c>
      <c r="E4590" s="17">
        <v>231</v>
      </c>
      <c r="F4590" s="17">
        <v>6062</v>
      </c>
      <c r="G4590" s="13">
        <v>2</v>
      </c>
      <c r="H4590" s="17">
        <v>0</v>
      </c>
      <c r="I4590" s="17">
        <v>0</v>
      </c>
      <c r="J4590" s="17">
        <v>91.08</v>
      </c>
      <c r="K4590" s="10">
        <v>91.08</v>
      </c>
      <c r="L4590" s="17"/>
      <c r="M4590" s="15"/>
      <c r="N4590" s="18"/>
      <c r="O4590" s="14"/>
      <c r="P4590" s="17">
        <v>1</v>
      </c>
      <c r="Q4590" s="19">
        <v>91.08</v>
      </c>
      <c r="R4590" s="14">
        <v>250</v>
      </c>
      <c r="S4590" s="19">
        <v>22770</v>
      </c>
      <c r="T4590" s="17"/>
      <c r="U4590" s="17"/>
      <c r="V4590" s="17"/>
      <c r="W4590" s="4"/>
      <c r="X4590" s="17"/>
      <c r="Y4590" s="4"/>
      <c r="Z4590" s="17"/>
      <c r="AA4590" s="17"/>
      <c r="AB4590" s="17"/>
      <c r="AC4590" s="14"/>
      <c r="AD4590" s="14"/>
      <c r="AE4590" s="17"/>
      <c r="AF4590" s="14"/>
      <c r="AG4590" s="54"/>
      <c r="AH4590" s="11"/>
      <c r="AI4590" s="14"/>
      <c r="AJ4590" s="19">
        <v>0</v>
      </c>
      <c r="AK4590" s="23">
        <v>0</v>
      </c>
      <c r="AL4590" s="11"/>
      <c r="AM4590" s="19">
        <v>0</v>
      </c>
      <c r="AN4590" s="19">
        <v>22770</v>
      </c>
      <c r="AO4590" s="14"/>
      <c r="AP4590" s="14">
        <v>22770</v>
      </c>
      <c r="AQ4590" s="12"/>
      <c r="AS4590" s="26"/>
    </row>
    <row r="4591" spans="1:45" s="19" customFormat="1" x14ac:dyDescent="0.2">
      <c r="A4591" s="121">
        <f t="shared" si="538"/>
        <v>3892</v>
      </c>
      <c r="B4591" s="13">
        <v>15</v>
      </c>
      <c r="C4591" s="17" t="s">
        <v>52</v>
      </c>
      <c r="D4591" s="17">
        <v>31113</v>
      </c>
      <c r="E4591" s="17">
        <v>232</v>
      </c>
      <c r="F4591" s="17">
        <v>6063</v>
      </c>
      <c r="G4591" s="13">
        <v>2</v>
      </c>
      <c r="H4591" s="17">
        <v>0</v>
      </c>
      <c r="I4591" s="17">
        <v>0</v>
      </c>
      <c r="J4591" s="17">
        <v>88.09</v>
      </c>
      <c r="K4591" s="10">
        <v>88.09</v>
      </c>
      <c r="L4591" s="17"/>
      <c r="M4591" s="15"/>
      <c r="N4591" s="18"/>
      <c r="O4591" s="14"/>
      <c r="P4591" s="17">
        <v>1</v>
      </c>
      <c r="Q4591" s="19">
        <v>88.09</v>
      </c>
      <c r="R4591" s="14">
        <v>250</v>
      </c>
      <c r="S4591" s="19">
        <v>22022.5</v>
      </c>
      <c r="T4591" s="17"/>
      <c r="U4591" s="17"/>
      <c r="V4591" s="17"/>
      <c r="W4591" s="4"/>
      <c r="X4591" s="17"/>
      <c r="Y4591" s="4"/>
      <c r="Z4591" s="17"/>
      <c r="AA4591" s="17"/>
      <c r="AB4591" s="17"/>
      <c r="AC4591" s="14"/>
      <c r="AD4591" s="14"/>
      <c r="AE4591" s="17"/>
      <c r="AF4591" s="14"/>
      <c r="AG4591" s="54"/>
      <c r="AH4591" s="11"/>
      <c r="AI4591" s="14"/>
      <c r="AJ4591" s="19">
        <v>0</v>
      </c>
      <c r="AK4591" s="23">
        <v>0</v>
      </c>
      <c r="AL4591" s="11"/>
      <c r="AM4591" s="19">
        <v>0</v>
      </c>
      <c r="AN4591" s="19">
        <v>22022.5</v>
      </c>
      <c r="AO4591" s="14"/>
      <c r="AP4591" s="14">
        <v>22022.5</v>
      </c>
      <c r="AQ4591" s="12"/>
      <c r="AS4591" s="26"/>
    </row>
    <row r="4592" spans="1:45" s="19" customFormat="1" x14ac:dyDescent="0.2">
      <c r="A4592" s="121">
        <f t="shared" si="538"/>
        <v>3893</v>
      </c>
      <c r="B4592" s="13">
        <v>16</v>
      </c>
      <c r="C4592" s="17" t="s">
        <v>52</v>
      </c>
      <c r="D4592" s="17">
        <v>31114</v>
      </c>
      <c r="E4592" s="17">
        <v>233</v>
      </c>
      <c r="F4592" s="17">
        <v>6064</v>
      </c>
      <c r="G4592" s="13">
        <v>2</v>
      </c>
      <c r="H4592" s="17">
        <v>0</v>
      </c>
      <c r="I4592" s="17">
        <v>0</v>
      </c>
      <c r="J4592" s="17">
        <v>89.09</v>
      </c>
      <c r="K4592" s="10">
        <v>89.09</v>
      </c>
      <c r="L4592" s="17"/>
      <c r="M4592" s="15"/>
      <c r="N4592" s="18"/>
      <c r="O4592" s="14"/>
      <c r="P4592" s="17">
        <v>1</v>
      </c>
      <c r="Q4592" s="19">
        <v>89.09</v>
      </c>
      <c r="R4592" s="14">
        <v>250</v>
      </c>
      <c r="S4592" s="19">
        <v>22272.5</v>
      </c>
      <c r="T4592" s="17"/>
      <c r="U4592" s="17"/>
      <c r="V4592" s="17"/>
      <c r="W4592" s="4"/>
      <c r="X4592" s="17"/>
      <c r="Y4592" s="4"/>
      <c r="Z4592" s="17"/>
      <c r="AA4592" s="17"/>
      <c r="AB4592" s="17"/>
      <c r="AC4592" s="14"/>
      <c r="AD4592" s="14"/>
      <c r="AE4592" s="17"/>
      <c r="AF4592" s="14"/>
      <c r="AG4592" s="54"/>
      <c r="AH4592" s="11"/>
      <c r="AI4592" s="14"/>
      <c r="AJ4592" s="19">
        <v>0</v>
      </c>
      <c r="AK4592" s="23">
        <v>0</v>
      </c>
      <c r="AL4592" s="11"/>
      <c r="AM4592" s="19">
        <v>0</v>
      </c>
      <c r="AN4592" s="19">
        <v>22272.5</v>
      </c>
      <c r="AO4592" s="14"/>
      <c r="AP4592" s="14">
        <v>22272.5</v>
      </c>
      <c r="AQ4592" s="12"/>
      <c r="AS4592" s="26"/>
    </row>
    <row r="4593" spans="1:45" s="19" customFormat="1" x14ac:dyDescent="0.2">
      <c r="A4593" s="121">
        <f t="shared" si="538"/>
        <v>3894</v>
      </c>
      <c r="B4593" s="13">
        <v>17</v>
      </c>
      <c r="C4593" s="17" t="s">
        <v>52</v>
      </c>
      <c r="D4593" s="17">
        <v>31115</v>
      </c>
      <c r="E4593" s="17">
        <v>234</v>
      </c>
      <c r="F4593" s="17">
        <v>6065</v>
      </c>
      <c r="G4593" s="13">
        <v>2</v>
      </c>
      <c r="H4593" s="17">
        <v>0</v>
      </c>
      <c r="I4593" s="17">
        <v>1</v>
      </c>
      <c r="J4593" s="17">
        <v>63.06</v>
      </c>
      <c r="K4593" s="10">
        <v>163.06</v>
      </c>
      <c r="L4593" s="17"/>
      <c r="M4593" s="15"/>
      <c r="N4593" s="18"/>
      <c r="O4593" s="14"/>
      <c r="P4593" s="17">
        <v>1</v>
      </c>
      <c r="Q4593" s="19">
        <v>163.06</v>
      </c>
      <c r="R4593" s="14">
        <v>250</v>
      </c>
      <c r="S4593" s="19">
        <v>40765</v>
      </c>
      <c r="T4593" s="17"/>
      <c r="U4593" s="17"/>
      <c r="V4593" s="17"/>
      <c r="W4593" s="4"/>
      <c r="X4593" s="17"/>
      <c r="Y4593" s="4"/>
      <c r="Z4593" s="17"/>
      <c r="AA4593" s="17"/>
      <c r="AB4593" s="17"/>
      <c r="AC4593" s="14"/>
      <c r="AD4593" s="14"/>
      <c r="AE4593" s="17"/>
      <c r="AF4593" s="14"/>
      <c r="AG4593" s="54"/>
      <c r="AH4593" s="11"/>
      <c r="AI4593" s="14"/>
      <c r="AJ4593" s="19">
        <v>0</v>
      </c>
      <c r="AK4593" s="23">
        <v>0</v>
      </c>
      <c r="AL4593" s="11"/>
      <c r="AM4593" s="19">
        <v>0</v>
      </c>
      <c r="AN4593" s="19">
        <v>40765</v>
      </c>
      <c r="AO4593" s="14"/>
      <c r="AP4593" s="14">
        <v>40765</v>
      </c>
      <c r="AQ4593" s="12"/>
      <c r="AS4593" s="26"/>
    </row>
    <row r="4594" spans="1:45" s="19" customFormat="1" ht="63" x14ac:dyDescent="0.2">
      <c r="A4594" s="121">
        <f t="shared" si="538"/>
        <v>3895</v>
      </c>
      <c r="B4594" s="13">
        <v>18</v>
      </c>
      <c r="C4594" s="17" t="s">
        <v>52</v>
      </c>
      <c r="D4594" s="17">
        <v>31150</v>
      </c>
      <c r="E4594" s="17">
        <v>211</v>
      </c>
      <c r="F4594" s="17">
        <v>6095</v>
      </c>
      <c r="G4594" s="13">
        <v>2</v>
      </c>
      <c r="H4594" s="17">
        <v>0</v>
      </c>
      <c r="I4594" s="17">
        <v>0</v>
      </c>
      <c r="J4594" s="17">
        <v>46.01</v>
      </c>
      <c r="K4594" s="10"/>
      <c r="L4594" s="17">
        <v>46.01</v>
      </c>
      <c r="M4594" s="15"/>
      <c r="N4594" s="18"/>
      <c r="O4594" s="14"/>
      <c r="P4594" s="17">
        <v>2</v>
      </c>
      <c r="Q4594" s="19">
        <v>46.01</v>
      </c>
      <c r="R4594" s="14">
        <v>3350</v>
      </c>
      <c r="S4594" s="19">
        <v>154133.5</v>
      </c>
      <c r="T4594" s="17">
        <v>1</v>
      </c>
      <c r="U4594" s="17" t="s">
        <v>57</v>
      </c>
      <c r="V4594" s="17" t="s">
        <v>56</v>
      </c>
      <c r="W4594" s="4">
        <v>100</v>
      </c>
      <c r="X4594" s="17"/>
      <c r="Y4594" s="4">
        <v>100</v>
      </c>
      <c r="Z4594" s="17"/>
      <c r="AA4594" s="17"/>
      <c r="AB4594" s="17">
        <v>26</v>
      </c>
      <c r="AC4594" s="14"/>
      <c r="AD4594" s="14"/>
      <c r="AE4594" s="17"/>
      <c r="AF4594" s="14"/>
      <c r="AG4594" s="54"/>
      <c r="AH4594" s="11"/>
      <c r="AI4594" s="14"/>
      <c r="AJ4594" s="19">
        <v>0</v>
      </c>
      <c r="AK4594" s="23">
        <v>26</v>
      </c>
      <c r="AL4594" s="11"/>
      <c r="AM4594" s="19">
        <v>0</v>
      </c>
      <c r="AN4594" s="19">
        <v>154133.5</v>
      </c>
      <c r="AO4594" s="14"/>
      <c r="AP4594" s="14">
        <v>154133.5</v>
      </c>
      <c r="AQ4594" s="12"/>
      <c r="AS4594" s="26"/>
    </row>
    <row r="4595" spans="1:45" s="19" customFormat="1" x14ac:dyDescent="0.2">
      <c r="A4595" s="2"/>
      <c r="B4595" s="13">
        <v>19</v>
      </c>
      <c r="C4595" s="17" t="s">
        <v>65</v>
      </c>
      <c r="D4595" s="17">
        <v>214</v>
      </c>
      <c r="E4595" s="17">
        <v>125</v>
      </c>
      <c r="F4595" s="17"/>
      <c r="G4595" s="13"/>
      <c r="H4595" s="17">
        <v>3</v>
      </c>
      <c r="I4595" s="17">
        <v>2</v>
      </c>
      <c r="J4595" s="17">
        <v>53</v>
      </c>
      <c r="K4595" s="10">
        <v>1453</v>
      </c>
      <c r="L4595" s="17"/>
      <c r="M4595" s="15"/>
      <c r="N4595" s="18"/>
      <c r="O4595" s="14"/>
      <c r="P4595" s="17"/>
      <c r="Q4595" s="19">
        <v>1453</v>
      </c>
      <c r="R4595" s="14" t="e">
        <v>#N/A</v>
      </c>
      <c r="S4595" s="19" t="e">
        <v>#N/A</v>
      </c>
      <c r="T4595" s="17"/>
      <c r="U4595" s="17"/>
      <c r="V4595" s="17"/>
      <c r="W4595" s="4"/>
      <c r="X4595" s="17"/>
      <c r="Y4595" s="4"/>
      <c r="Z4595" s="17"/>
      <c r="AA4595" s="17"/>
      <c r="AB4595" s="17"/>
      <c r="AC4595" s="14"/>
      <c r="AD4595" s="14"/>
      <c r="AE4595" s="17" t="s">
        <v>164</v>
      </c>
      <c r="AF4595" s="14"/>
      <c r="AG4595" s="54"/>
      <c r="AH4595" s="11"/>
      <c r="AI4595" s="14"/>
      <c r="AJ4595" s="19">
        <v>0</v>
      </c>
      <c r="AK4595" s="23">
        <v>0</v>
      </c>
      <c r="AL4595" s="11"/>
      <c r="AM4595" s="19">
        <v>0</v>
      </c>
      <c r="AN4595" s="19" t="e">
        <v>#N/A</v>
      </c>
      <c r="AO4595" s="14"/>
      <c r="AP4595" s="14" t="e">
        <v>#N/A</v>
      </c>
      <c r="AQ4595" s="12">
        <v>1E-4</v>
      </c>
      <c r="AS4595" s="26"/>
    </row>
    <row r="4596" spans="1:45" s="19" customFormat="1" x14ac:dyDescent="0.2">
      <c r="A4596" s="2">
        <v>3896</v>
      </c>
      <c r="B4596" s="13">
        <v>1</v>
      </c>
      <c r="C4596" s="17" t="s">
        <v>52</v>
      </c>
      <c r="D4596" s="17">
        <v>3789</v>
      </c>
      <c r="E4596" s="17">
        <v>60</v>
      </c>
      <c r="F4596" s="17">
        <v>2344</v>
      </c>
      <c r="G4596" s="13">
        <v>2</v>
      </c>
      <c r="H4596" s="17">
        <v>20</v>
      </c>
      <c r="I4596" s="17">
        <v>1</v>
      </c>
      <c r="J4596" s="17">
        <v>3</v>
      </c>
      <c r="K4596" s="10">
        <v>8103</v>
      </c>
      <c r="L4596" s="17"/>
      <c r="M4596" s="15"/>
      <c r="N4596" s="18"/>
      <c r="O4596" s="14"/>
      <c r="P4596" s="17">
        <v>1</v>
      </c>
      <c r="Q4596" s="19">
        <v>8103</v>
      </c>
      <c r="R4596" s="14">
        <v>200</v>
      </c>
      <c r="S4596" s="19">
        <v>1620600</v>
      </c>
      <c r="T4596" s="17"/>
      <c r="U4596" s="17"/>
      <c r="V4596" s="17"/>
      <c r="W4596" s="4"/>
      <c r="X4596" s="17"/>
      <c r="Y4596" s="4"/>
      <c r="Z4596" s="17"/>
      <c r="AA4596" s="17"/>
      <c r="AB4596" s="17"/>
      <c r="AC4596" s="14"/>
      <c r="AD4596" s="14"/>
      <c r="AE4596" s="17"/>
      <c r="AF4596" s="14"/>
      <c r="AG4596" s="54"/>
      <c r="AH4596" s="11"/>
      <c r="AI4596" s="14"/>
      <c r="AJ4596" s="19">
        <v>0</v>
      </c>
      <c r="AK4596" s="23">
        <v>0</v>
      </c>
      <c r="AL4596" s="11"/>
      <c r="AM4596" s="19">
        <v>0</v>
      </c>
      <c r="AN4596" s="19">
        <v>1620600</v>
      </c>
      <c r="AO4596" s="14"/>
      <c r="AP4596" s="14">
        <v>1620600</v>
      </c>
      <c r="AQ4596" s="12"/>
      <c r="AS4596" s="26"/>
    </row>
    <row r="4597" spans="1:45" s="19" customFormat="1" x14ac:dyDescent="0.2">
      <c r="A4597" s="2"/>
      <c r="B4597" s="13">
        <v>1</v>
      </c>
      <c r="C4597" s="17" t="s">
        <v>69</v>
      </c>
      <c r="D4597" s="17"/>
      <c r="E4597" s="17">
        <v>152</v>
      </c>
      <c r="F4597" s="17">
        <v>12</v>
      </c>
      <c r="G4597" s="13">
        <v>2</v>
      </c>
      <c r="H4597" s="17">
        <v>12</v>
      </c>
      <c r="I4597" s="17">
        <v>1</v>
      </c>
      <c r="J4597" s="17">
        <v>43</v>
      </c>
      <c r="K4597" s="10">
        <v>4943</v>
      </c>
      <c r="L4597" s="17"/>
      <c r="M4597" s="15"/>
      <c r="N4597" s="18"/>
      <c r="O4597" s="14"/>
      <c r="P4597" s="17">
        <v>1</v>
      </c>
      <c r="Q4597" s="19">
        <v>4943</v>
      </c>
      <c r="R4597" s="14" t="e">
        <v>#N/A</v>
      </c>
      <c r="S4597" s="19" t="e">
        <v>#N/A</v>
      </c>
      <c r="T4597" s="17"/>
      <c r="U4597" s="17"/>
      <c r="V4597" s="17"/>
      <c r="W4597" s="4"/>
      <c r="X4597" s="17"/>
      <c r="Y4597" s="4"/>
      <c r="Z4597" s="17"/>
      <c r="AA4597" s="17"/>
      <c r="AB4597" s="17"/>
      <c r="AC4597" s="14"/>
      <c r="AD4597" s="14"/>
      <c r="AE4597" s="17"/>
      <c r="AF4597" s="14"/>
      <c r="AG4597" s="54"/>
      <c r="AH4597" s="11"/>
      <c r="AI4597" s="14"/>
      <c r="AJ4597" s="19">
        <v>0</v>
      </c>
      <c r="AK4597" s="23">
        <v>0</v>
      </c>
      <c r="AL4597" s="11"/>
      <c r="AM4597" s="19">
        <v>0</v>
      </c>
      <c r="AN4597" s="19" t="e">
        <v>#N/A</v>
      </c>
      <c r="AO4597" s="14"/>
      <c r="AP4597" s="14" t="e">
        <v>#N/A</v>
      </c>
      <c r="AQ4597" s="12">
        <v>1E-4</v>
      </c>
      <c r="AS4597" s="26"/>
    </row>
    <row r="4598" spans="1:45" s="19" customFormat="1" x14ac:dyDescent="0.2">
      <c r="A4598" s="2"/>
      <c r="B4598" s="13">
        <v>1</v>
      </c>
      <c r="C4598" s="17" t="s">
        <v>65</v>
      </c>
      <c r="D4598" s="17">
        <v>3538</v>
      </c>
      <c r="E4598" s="17">
        <v>635</v>
      </c>
      <c r="F4598" s="17"/>
      <c r="G4598" s="13"/>
      <c r="H4598" s="17">
        <v>0</v>
      </c>
      <c r="I4598" s="17">
        <v>0</v>
      </c>
      <c r="J4598" s="17">
        <v>59</v>
      </c>
      <c r="K4598" s="10"/>
      <c r="L4598" s="17"/>
      <c r="M4598" s="15"/>
      <c r="N4598" s="18">
        <v>59</v>
      </c>
      <c r="O4598" s="14"/>
      <c r="P4598" s="17"/>
      <c r="Q4598" s="19">
        <v>59</v>
      </c>
      <c r="R4598" s="14" t="e">
        <v>#N/A</v>
      </c>
      <c r="S4598" s="19" t="e">
        <v>#N/A</v>
      </c>
      <c r="T4598" s="17"/>
      <c r="U4598" s="17"/>
      <c r="V4598" s="17"/>
      <c r="W4598" s="4"/>
      <c r="X4598" s="17"/>
      <c r="Y4598" s="4"/>
      <c r="Z4598" s="17"/>
      <c r="AA4598" s="17"/>
      <c r="AB4598" s="17"/>
      <c r="AC4598" s="14"/>
      <c r="AD4598" s="14"/>
      <c r="AE4598" s="17" t="s">
        <v>95</v>
      </c>
      <c r="AF4598" s="14"/>
      <c r="AG4598" s="54"/>
      <c r="AH4598" s="11"/>
      <c r="AI4598" s="14"/>
      <c r="AJ4598" s="19">
        <v>0</v>
      </c>
      <c r="AK4598" s="23">
        <v>0</v>
      </c>
      <c r="AL4598" s="11"/>
      <c r="AM4598" s="19">
        <v>0</v>
      </c>
      <c r="AN4598" s="19" t="e">
        <v>#N/A</v>
      </c>
      <c r="AO4598" s="14"/>
      <c r="AP4598" s="14" t="e">
        <v>#N/A</v>
      </c>
      <c r="AQ4598" s="12">
        <v>3.0000000000000001E-3</v>
      </c>
      <c r="AS4598" s="26"/>
    </row>
    <row r="4599" spans="1:45" s="19" customFormat="1" x14ac:dyDescent="0.2">
      <c r="A4599" s="2">
        <v>3897</v>
      </c>
      <c r="B4599" s="13">
        <v>1</v>
      </c>
      <c r="C4599" s="17" t="s">
        <v>65</v>
      </c>
      <c r="D4599" s="17">
        <v>888</v>
      </c>
      <c r="E4599" s="17">
        <v>110</v>
      </c>
      <c r="F4599" s="17"/>
      <c r="G4599" s="13"/>
      <c r="H4599" s="17">
        <v>4</v>
      </c>
      <c r="I4599" s="17">
        <v>3</v>
      </c>
      <c r="J4599" s="17">
        <v>3</v>
      </c>
      <c r="K4599" s="10">
        <v>1903</v>
      </c>
      <c r="L4599" s="17"/>
      <c r="M4599" s="15"/>
      <c r="N4599" s="18"/>
      <c r="O4599" s="14"/>
      <c r="P4599" s="17"/>
      <c r="Q4599" s="19">
        <v>1903</v>
      </c>
      <c r="R4599" s="14">
        <v>200</v>
      </c>
      <c r="S4599" s="19">
        <v>380600</v>
      </c>
      <c r="T4599" s="17"/>
      <c r="U4599" s="17"/>
      <c r="V4599" s="17"/>
      <c r="W4599" s="4"/>
      <c r="X4599" s="17"/>
      <c r="Y4599" s="4"/>
      <c r="Z4599" s="17"/>
      <c r="AA4599" s="17"/>
      <c r="AB4599" s="17"/>
      <c r="AC4599" s="14"/>
      <c r="AD4599" s="14"/>
      <c r="AE4599" s="17" t="s">
        <v>160</v>
      </c>
      <c r="AF4599" s="14"/>
      <c r="AG4599" s="54"/>
      <c r="AH4599" s="11"/>
      <c r="AI4599" s="14"/>
      <c r="AJ4599" s="19">
        <v>0</v>
      </c>
      <c r="AK4599" s="23">
        <v>0</v>
      </c>
      <c r="AL4599" s="11"/>
      <c r="AM4599" s="19">
        <v>0</v>
      </c>
      <c r="AN4599" s="19">
        <v>380600</v>
      </c>
      <c r="AO4599" s="14"/>
      <c r="AP4599" s="14">
        <v>380600</v>
      </c>
      <c r="AQ4599" s="12">
        <v>1E-4</v>
      </c>
      <c r="AS4599" s="26"/>
    </row>
    <row r="4600" spans="1:45" s="19" customFormat="1" x14ac:dyDescent="0.2">
      <c r="A4600" s="2">
        <f>+A4599+1</f>
        <v>3898</v>
      </c>
      <c r="B4600" s="13">
        <v>2</v>
      </c>
      <c r="C4600" s="17" t="s">
        <v>65</v>
      </c>
      <c r="D4600" s="17">
        <v>3606</v>
      </c>
      <c r="E4600" s="17">
        <v>646</v>
      </c>
      <c r="F4600" s="17"/>
      <c r="G4600" s="13"/>
      <c r="H4600" s="17">
        <v>7</v>
      </c>
      <c r="I4600" s="17">
        <v>1</v>
      </c>
      <c r="J4600" s="17">
        <v>49</v>
      </c>
      <c r="K4600" s="10">
        <v>2949</v>
      </c>
      <c r="L4600" s="17"/>
      <c r="M4600" s="15"/>
      <c r="N4600" s="18"/>
      <c r="O4600" s="14"/>
      <c r="P4600" s="17"/>
      <c r="Q4600" s="19">
        <v>2949</v>
      </c>
      <c r="R4600" s="14">
        <v>200</v>
      </c>
      <c r="S4600" s="19">
        <v>589800</v>
      </c>
      <c r="T4600" s="17"/>
      <c r="U4600" s="17"/>
      <c r="V4600" s="17"/>
      <c r="W4600" s="4"/>
      <c r="X4600" s="17"/>
      <c r="Y4600" s="4"/>
      <c r="Z4600" s="17"/>
      <c r="AA4600" s="17"/>
      <c r="AB4600" s="17"/>
      <c r="AC4600" s="14"/>
      <c r="AD4600" s="14"/>
      <c r="AE4600" s="17"/>
      <c r="AF4600" s="14"/>
      <c r="AG4600" s="54"/>
      <c r="AH4600" s="11"/>
      <c r="AI4600" s="14"/>
      <c r="AJ4600" s="19">
        <v>0</v>
      </c>
      <c r="AK4600" s="23">
        <v>0</v>
      </c>
      <c r="AL4600" s="11"/>
      <c r="AM4600" s="19">
        <v>0</v>
      </c>
      <c r="AN4600" s="19">
        <v>589800</v>
      </c>
      <c r="AO4600" s="14"/>
      <c r="AP4600" s="14">
        <v>589800</v>
      </c>
      <c r="AQ4600" s="12">
        <v>1E-4</v>
      </c>
      <c r="AS4600" s="26"/>
    </row>
    <row r="4601" spans="1:45" s="19" customFormat="1" x14ac:dyDescent="0.2">
      <c r="A4601" s="121">
        <f t="shared" ref="A4601:A4603" si="539">+A4600+1</f>
        <v>3899</v>
      </c>
      <c r="B4601" s="13">
        <v>3</v>
      </c>
      <c r="C4601" s="17" t="s">
        <v>65</v>
      </c>
      <c r="D4601" s="17">
        <v>3607</v>
      </c>
      <c r="E4601" s="17">
        <v>647</v>
      </c>
      <c r="F4601" s="17"/>
      <c r="G4601" s="13"/>
      <c r="H4601" s="17">
        <v>3</v>
      </c>
      <c r="I4601" s="17">
        <v>2</v>
      </c>
      <c r="J4601" s="17">
        <v>73</v>
      </c>
      <c r="K4601" s="10">
        <v>1473</v>
      </c>
      <c r="L4601" s="17"/>
      <c r="M4601" s="15"/>
      <c r="N4601" s="18"/>
      <c r="O4601" s="14"/>
      <c r="P4601" s="17"/>
      <c r="Q4601" s="19">
        <v>1473</v>
      </c>
      <c r="R4601" s="14">
        <v>200</v>
      </c>
      <c r="S4601" s="19">
        <v>294600</v>
      </c>
      <c r="T4601" s="17"/>
      <c r="U4601" s="17"/>
      <c r="V4601" s="17"/>
      <c r="W4601" s="4"/>
      <c r="X4601" s="17"/>
      <c r="Y4601" s="4"/>
      <c r="Z4601" s="17"/>
      <c r="AA4601" s="17"/>
      <c r="AB4601" s="17"/>
      <c r="AC4601" s="14"/>
      <c r="AD4601" s="14"/>
      <c r="AE4601" s="17"/>
      <c r="AF4601" s="14"/>
      <c r="AG4601" s="54"/>
      <c r="AH4601" s="11"/>
      <c r="AI4601" s="14"/>
      <c r="AJ4601" s="19">
        <v>0</v>
      </c>
      <c r="AK4601" s="23">
        <v>0</v>
      </c>
      <c r="AL4601" s="11"/>
      <c r="AM4601" s="19">
        <v>0</v>
      </c>
      <c r="AN4601" s="19">
        <v>294600</v>
      </c>
      <c r="AO4601" s="14"/>
      <c r="AP4601" s="14">
        <v>294600</v>
      </c>
      <c r="AQ4601" s="12">
        <v>1E-4</v>
      </c>
      <c r="AS4601" s="26"/>
    </row>
    <row r="4602" spans="1:45" s="19" customFormat="1" x14ac:dyDescent="0.2">
      <c r="A4602" s="121">
        <f t="shared" si="539"/>
        <v>3900</v>
      </c>
      <c r="B4602" s="13">
        <v>1</v>
      </c>
      <c r="C4602" s="17" t="s">
        <v>52</v>
      </c>
      <c r="D4602" s="17">
        <v>4939</v>
      </c>
      <c r="E4602" s="17">
        <v>95</v>
      </c>
      <c r="F4602" s="17">
        <v>2308</v>
      </c>
      <c r="G4602" s="13">
        <v>2</v>
      </c>
      <c r="H4602" s="17">
        <v>6</v>
      </c>
      <c r="I4602" s="17">
        <v>3</v>
      </c>
      <c r="J4602" s="17">
        <v>94</v>
      </c>
      <c r="K4602" s="10">
        <v>2794</v>
      </c>
      <c r="L4602" s="17"/>
      <c r="M4602" s="15"/>
      <c r="N4602" s="18"/>
      <c r="O4602" s="14"/>
      <c r="P4602" s="17">
        <v>1</v>
      </c>
      <c r="Q4602" s="19">
        <v>2794</v>
      </c>
      <c r="R4602" s="14">
        <v>160</v>
      </c>
      <c r="S4602" s="19">
        <v>447040</v>
      </c>
      <c r="T4602" s="17"/>
      <c r="U4602" s="17"/>
      <c r="V4602" s="17"/>
      <c r="W4602" s="4"/>
      <c r="X4602" s="17"/>
      <c r="Y4602" s="4"/>
      <c r="Z4602" s="17"/>
      <c r="AA4602" s="17"/>
      <c r="AB4602" s="17"/>
      <c r="AC4602" s="14"/>
      <c r="AD4602" s="14"/>
      <c r="AE4602" s="17"/>
      <c r="AF4602" s="14"/>
      <c r="AG4602" s="54"/>
      <c r="AH4602" s="11"/>
      <c r="AI4602" s="14"/>
      <c r="AJ4602" s="19">
        <v>0</v>
      </c>
      <c r="AK4602" s="23">
        <v>0</v>
      </c>
      <c r="AL4602" s="11"/>
      <c r="AM4602" s="19">
        <v>0</v>
      </c>
      <c r="AN4602" s="19">
        <v>447040</v>
      </c>
      <c r="AO4602" s="14"/>
      <c r="AP4602" s="14">
        <v>447040</v>
      </c>
      <c r="AQ4602" s="12"/>
      <c r="AS4602" s="26"/>
    </row>
    <row r="4603" spans="1:45" s="19" customFormat="1" ht="63" x14ac:dyDescent="0.2">
      <c r="A4603" s="121">
        <f t="shared" si="539"/>
        <v>3901</v>
      </c>
      <c r="B4603" s="13">
        <v>2</v>
      </c>
      <c r="C4603" s="17" t="s">
        <v>52</v>
      </c>
      <c r="D4603" s="17">
        <v>31121</v>
      </c>
      <c r="E4603" s="17">
        <v>221</v>
      </c>
      <c r="F4603" s="17">
        <v>6066</v>
      </c>
      <c r="G4603" s="13">
        <v>2</v>
      </c>
      <c r="H4603" s="17">
        <v>0</v>
      </c>
      <c r="I4603" s="17">
        <v>1</v>
      </c>
      <c r="J4603" s="17">
        <v>4.07</v>
      </c>
      <c r="K4603" s="10"/>
      <c r="L4603" s="17">
        <v>104.07</v>
      </c>
      <c r="M4603" s="15"/>
      <c r="N4603" s="18"/>
      <c r="O4603" s="14"/>
      <c r="P4603" s="17">
        <v>2</v>
      </c>
      <c r="Q4603" s="19">
        <v>104.07</v>
      </c>
      <c r="R4603" s="14">
        <v>3350</v>
      </c>
      <c r="S4603" s="19">
        <v>348634.5</v>
      </c>
      <c r="T4603" s="17">
        <v>1</v>
      </c>
      <c r="U4603" s="17" t="s">
        <v>57</v>
      </c>
      <c r="V4603" s="17" t="s">
        <v>56</v>
      </c>
      <c r="W4603" s="4">
        <v>60</v>
      </c>
      <c r="X4603" s="17"/>
      <c r="Y4603" s="4">
        <v>60</v>
      </c>
      <c r="Z4603" s="17"/>
      <c r="AA4603" s="17"/>
      <c r="AB4603" s="17">
        <v>11</v>
      </c>
      <c r="AC4603" s="14"/>
      <c r="AD4603" s="14"/>
      <c r="AE4603" s="17"/>
      <c r="AF4603" s="14"/>
      <c r="AG4603" s="54"/>
      <c r="AH4603" s="11"/>
      <c r="AI4603" s="14"/>
      <c r="AJ4603" s="19">
        <v>0</v>
      </c>
      <c r="AK4603" s="23">
        <v>11</v>
      </c>
      <c r="AL4603" s="11"/>
      <c r="AM4603" s="19">
        <v>0</v>
      </c>
      <c r="AN4603" s="19">
        <v>348634.5</v>
      </c>
      <c r="AO4603" s="14"/>
      <c r="AP4603" s="14">
        <v>348634.5</v>
      </c>
      <c r="AQ4603" s="12"/>
      <c r="AS4603" s="26"/>
    </row>
    <row r="4604" spans="1:45" s="19" customFormat="1" ht="63" x14ac:dyDescent="0.2">
      <c r="A4604" s="121">
        <f>+A4603+1</f>
        <v>3902</v>
      </c>
      <c r="B4604" s="13">
        <v>3</v>
      </c>
      <c r="C4604" s="17" t="s">
        <v>52</v>
      </c>
      <c r="D4604" s="17">
        <v>31122</v>
      </c>
      <c r="E4604" s="17">
        <v>222</v>
      </c>
      <c r="F4604" s="17">
        <v>6067</v>
      </c>
      <c r="G4604" s="13">
        <v>2</v>
      </c>
      <c r="H4604" s="17">
        <v>0</v>
      </c>
      <c r="I4604" s="17">
        <v>1</v>
      </c>
      <c r="J4604" s="17">
        <v>27</v>
      </c>
      <c r="K4604" s="10"/>
      <c r="L4604" s="17">
        <v>127</v>
      </c>
      <c r="M4604" s="15"/>
      <c r="N4604" s="18"/>
      <c r="O4604" s="14"/>
      <c r="P4604" s="17">
        <v>2</v>
      </c>
      <c r="Q4604" s="19">
        <v>127</v>
      </c>
      <c r="R4604" s="14">
        <v>3350</v>
      </c>
      <c r="S4604" s="19">
        <v>425450</v>
      </c>
      <c r="T4604" s="17">
        <v>1</v>
      </c>
      <c r="U4604" s="17" t="s">
        <v>57</v>
      </c>
      <c r="V4604" s="17" t="s">
        <v>56</v>
      </c>
      <c r="W4604" s="4">
        <v>216</v>
      </c>
      <c r="X4604" s="17"/>
      <c r="Y4604" s="4">
        <v>216</v>
      </c>
      <c r="Z4604" s="17"/>
      <c r="AA4604" s="17"/>
      <c r="AB4604" s="17">
        <v>19</v>
      </c>
      <c r="AC4604" s="14"/>
      <c r="AD4604" s="14"/>
      <c r="AE4604" s="17"/>
      <c r="AF4604" s="14"/>
      <c r="AG4604" s="54"/>
      <c r="AH4604" s="11"/>
      <c r="AI4604" s="14"/>
      <c r="AJ4604" s="19">
        <v>0</v>
      </c>
      <c r="AK4604" s="23">
        <v>19</v>
      </c>
      <c r="AL4604" s="11"/>
      <c r="AM4604" s="19">
        <v>0</v>
      </c>
      <c r="AN4604" s="19">
        <v>425450</v>
      </c>
      <c r="AO4604" s="14"/>
      <c r="AP4604" s="14">
        <v>425450</v>
      </c>
      <c r="AQ4604" s="12"/>
      <c r="AS4604" s="26"/>
    </row>
    <row r="4605" spans="1:45" s="19" customFormat="1" x14ac:dyDescent="0.2">
      <c r="A4605" s="2"/>
      <c r="B4605" s="13">
        <v>4</v>
      </c>
      <c r="C4605" s="17" t="s">
        <v>65</v>
      </c>
      <c r="D4605" s="17">
        <v>3537</v>
      </c>
      <c r="E4605" s="17">
        <v>634</v>
      </c>
      <c r="F4605" s="17"/>
      <c r="G4605" s="13"/>
      <c r="H4605" s="17">
        <v>0</v>
      </c>
      <c r="I4605" s="17">
        <v>2</v>
      </c>
      <c r="J4605" s="17">
        <v>27</v>
      </c>
      <c r="K4605" s="10">
        <v>227</v>
      </c>
      <c r="L4605" s="17"/>
      <c r="M4605" s="15"/>
      <c r="N4605" s="18"/>
      <c r="O4605" s="14"/>
      <c r="P4605" s="17"/>
      <c r="Q4605" s="19">
        <v>227</v>
      </c>
      <c r="R4605" s="14" t="e">
        <v>#N/A</v>
      </c>
      <c r="S4605" s="19" t="e">
        <v>#N/A</v>
      </c>
      <c r="T4605" s="17"/>
      <c r="U4605" s="17"/>
      <c r="V4605" s="17"/>
      <c r="W4605" s="4"/>
      <c r="X4605" s="17"/>
      <c r="Y4605" s="4"/>
      <c r="Z4605" s="17"/>
      <c r="AA4605" s="17"/>
      <c r="AB4605" s="17"/>
      <c r="AC4605" s="14"/>
      <c r="AD4605" s="14"/>
      <c r="AE4605" s="17" t="s">
        <v>94</v>
      </c>
      <c r="AF4605" s="14"/>
      <c r="AG4605" s="54"/>
      <c r="AH4605" s="11"/>
      <c r="AI4605" s="14"/>
      <c r="AJ4605" s="19">
        <v>0</v>
      </c>
      <c r="AK4605" s="23">
        <v>0</v>
      </c>
      <c r="AL4605" s="11"/>
      <c r="AM4605" s="19">
        <v>0</v>
      </c>
      <c r="AN4605" s="19" t="e">
        <v>#N/A</v>
      </c>
      <c r="AO4605" s="14"/>
      <c r="AP4605" s="14" t="e">
        <v>#N/A</v>
      </c>
      <c r="AQ4605" s="12">
        <v>1E-4</v>
      </c>
      <c r="AS4605" s="26"/>
    </row>
    <row r="4606" spans="1:45" s="19" customFormat="1" ht="63" x14ac:dyDescent="0.2">
      <c r="A4606" s="2">
        <v>3903</v>
      </c>
      <c r="B4606" s="13">
        <v>1</v>
      </c>
      <c r="C4606" s="17" t="s">
        <v>52</v>
      </c>
      <c r="D4606" s="17">
        <v>31084</v>
      </c>
      <c r="E4606" s="17">
        <v>223</v>
      </c>
      <c r="F4606" s="17">
        <v>6034</v>
      </c>
      <c r="G4606" s="13">
        <v>2</v>
      </c>
      <c r="H4606" s="17">
        <v>0</v>
      </c>
      <c r="I4606" s="17">
        <v>0</v>
      </c>
      <c r="J4606" s="17">
        <v>50</v>
      </c>
      <c r="K4606" s="10"/>
      <c r="L4606" s="17">
        <v>43.75</v>
      </c>
      <c r="M4606" s="15"/>
      <c r="N4606" s="18"/>
      <c r="O4606" s="14"/>
      <c r="P4606" s="17">
        <v>2</v>
      </c>
      <c r="Q4606" s="19">
        <v>50</v>
      </c>
      <c r="R4606" s="14">
        <v>4500</v>
      </c>
      <c r="S4606" s="19">
        <v>225000</v>
      </c>
      <c r="T4606" s="17">
        <v>1</v>
      </c>
      <c r="U4606" s="17" t="s">
        <v>57</v>
      </c>
      <c r="V4606" s="17" t="s">
        <v>56</v>
      </c>
      <c r="W4606" s="4">
        <v>39</v>
      </c>
      <c r="X4606" s="17"/>
      <c r="Y4606" s="4">
        <v>39</v>
      </c>
      <c r="Z4606" s="17"/>
      <c r="AA4606" s="17"/>
      <c r="AB4606" s="17">
        <v>11</v>
      </c>
      <c r="AC4606" s="14"/>
      <c r="AD4606" s="14"/>
      <c r="AE4606" s="17" t="s">
        <v>408</v>
      </c>
      <c r="AF4606" s="14"/>
      <c r="AG4606" s="54"/>
      <c r="AH4606" s="11"/>
      <c r="AI4606" s="14"/>
      <c r="AJ4606" s="19">
        <v>0</v>
      </c>
      <c r="AK4606" s="23">
        <v>11</v>
      </c>
      <c r="AL4606" s="11"/>
      <c r="AM4606" s="19">
        <v>0</v>
      </c>
      <c r="AN4606" s="19">
        <v>225000</v>
      </c>
      <c r="AO4606" s="14"/>
      <c r="AP4606" s="14">
        <v>225000</v>
      </c>
      <c r="AQ4606" s="12"/>
      <c r="AS4606" s="26"/>
    </row>
    <row r="4607" spans="1:45" s="19" customFormat="1" ht="63" x14ac:dyDescent="0.2">
      <c r="A4607" s="2"/>
      <c r="B4607" s="13"/>
      <c r="C4607" s="17"/>
      <c r="D4607" s="17"/>
      <c r="E4607" s="17"/>
      <c r="F4607" s="17"/>
      <c r="G4607" s="13"/>
      <c r="H4607" s="17"/>
      <c r="I4607" s="17"/>
      <c r="J4607" s="17"/>
      <c r="K4607" s="10"/>
      <c r="L4607" s="17">
        <v>6.25</v>
      </c>
      <c r="M4607" s="15"/>
      <c r="N4607" s="18"/>
      <c r="O4607" s="14"/>
      <c r="P4607" s="17">
        <v>2</v>
      </c>
      <c r="Q4607" s="19">
        <v>0</v>
      </c>
      <c r="R4607" s="14" t="e">
        <v>#N/A</v>
      </c>
      <c r="S4607" s="19" t="e">
        <v>#N/A</v>
      </c>
      <c r="T4607" s="17">
        <v>2</v>
      </c>
      <c r="U4607" s="17" t="s">
        <v>57</v>
      </c>
      <c r="V4607" s="17" t="s">
        <v>84</v>
      </c>
      <c r="W4607" s="4">
        <v>25</v>
      </c>
      <c r="X4607" s="17"/>
      <c r="Y4607" s="4">
        <v>25</v>
      </c>
      <c r="Z4607" s="17"/>
      <c r="AA4607" s="17"/>
      <c r="AB4607" s="17">
        <v>41</v>
      </c>
      <c r="AC4607" s="14"/>
      <c r="AD4607" s="14"/>
      <c r="AE4607" s="17"/>
      <c r="AF4607" s="14"/>
      <c r="AG4607" s="54"/>
      <c r="AH4607" s="11"/>
      <c r="AI4607" s="14"/>
      <c r="AJ4607" s="19">
        <v>0</v>
      </c>
      <c r="AK4607" s="23">
        <v>41</v>
      </c>
      <c r="AL4607" s="11"/>
      <c r="AM4607" s="19">
        <v>0</v>
      </c>
      <c r="AN4607" s="19" t="e">
        <v>#N/A</v>
      </c>
      <c r="AO4607" s="14"/>
      <c r="AP4607" s="14" t="e">
        <v>#N/A</v>
      </c>
      <c r="AQ4607" s="12"/>
      <c r="AS4607" s="26"/>
    </row>
    <row r="4608" spans="1:45" s="19" customFormat="1" x14ac:dyDescent="0.2">
      <c r="A4608" s="2"/>
      <c r="B4608" s="13">
        <v>1</v>
      </c>
      <c r="C4608" s="17" t="s">
        <v>65</v>
      </c>
      <c r="D4608" s="17">
        <v>3542</v>
      </c>
      <c r="E4608" s="17">
        <v>639</v>
      </c>
      <c r="F4608" s="17"/>
      <c r="G4608" s="13"/>
      <c r="H4608" s="17">
        <v>0</v>
      </c>
      <c r="I4608" s="17">
        <v>0</v>
      </c>
      <c r="J4608" s="17">
        <v>52</v>
      </c>
      <c r="K4608" s="10">
        <v>52</v>
      </c>
      <c r="L4608" s="17"/>
      <c r="M4608" s="15"/>
      <c r="N4608" s="18"/>
      <c r="O4608" s="14"/>
      <c r="P4608" s="17"/>
      <c r="Q4608" s="19">
        <v>52</v>
      </c>
      <c r="R4608" s="14" t="e">
        <v>#N/A</v>
      </c>
      <c r="S4608" s="19" t="e">
        <v>#N/A</v>
      </c>
      <c r="T4608" s="17"/>
      <c r="U4608" s="17"/>
      <c r="V4608" s="17"/>
      <c r="W4608" s="4"/>
      <c r="X4608" s="17"/>
      <c r="Y4608" s="4"/>
      <c r="Z4608" s="17"/>
      <c r="AA4608" s="17"/>
      <c r="AB4608" s="17"/>
      <c r="AC4608" s="14"/>
      <c r="AD4608" s="14"/>
      <c r="AE4608" s="17" t="s">
        <v>160</v>
      </c>
      <c r="AF4608" s="14"/>
      <c r="AG4608" s="54"/>
      <c r="AH4608" s="11"/>
      <c r="AI4608" s="14"/>
      <c r="AJ4608" s="19">
        <v>0</v>
      </c>
      <c r="AK4608" s="23">
        <v>0</v>
      </c>
      <c r="AL4608" s="11"/>
      <c r="AM4608" s="19">
        <v>0</v>
      </c>
      <c r="AN4608" s="19" t="e">
        <v>#N/A</v>
      </c>
      <c r="AO4608" s="14"/>
      <c r="AP4608" s="14" t="e">
        <v>#N/A</v>
      </c>
      <c r="AQ4608" s="12">
        <v>1E-4</v>
      </c>
      <c r="AS4608" s="26"/>
    </row>
    <row r="4609" spans="1:45" x14ac:dyDescent="0.2">
      <c r="A4609" s="2">
        <v>3904</v>
      </c>
      <c r="B4609" s="13">
        <v>1</v>
      </c>
      <c r="C4609" s="17" t="s">
        <v>52</v>
      </c>
      <c r="D4609" s="17">
        <v>31895</v>
      </c>
      <c r="E4609" s="17">
        <v>248</v>
      </c>
      <c r="F4609" s="17">
        <v>6122</v>
      </c>
      <c r="G4609" s="13">
        <v>2</v>
      </c>
      <c r="H4609" s="17">
        <v>4</v>
      </c>
      <c r="I4609" s="17">
        <v>0</v>
      </c>
      <c r="J4609" s="17">
        <v>65.069999999999993</v>
      </c>
      <c r="K4609" s="10">
        <v>1665.07</v>
      </c>
      <c r="P4609" s="17">
        <v>1</v>
      </c>
      <c r="Q4609" s="19">
        <v>1665.07</v>
      </c>
      <c r="R4609" s="14">
        <v>200</v>
      </c>
      <c r="S4609" s="19">
        <v>333014</v>
      </c>
      <c r="AJ4609" s="19">
        <v>0</v>
      </c>
      <c r="AK4609" s="23">
        <v>0</v>
      </c>
      <c r="AM4609" s="19">
        <v>0</v>
      </c>
      <c r="AN4609" s="19">
        <v>333014</v>
      </c>
      <c r="AP4609" s="14">
        <v>333014</v>
      </c>
      <c r="AS4609" s="26">
        <v>12</v>
      </c>
    </row>
    <row r="4610" spans="1:45" x14ac:dyDescent="0.2">
      <c r="A4610" s="2">
        <f>+A4609+1</f>
        <v>3905</v>
      </c>
      <c r="B4610" s="13">
        <v>1</v>
      </c>
      <c r="C4610" s="17" t="s">
        <v>52</v>
      </c>
      <c r="D4610" s="17">
        <v>31863</v>
      </c>
      <c r="E4610" s="17">
        <v>111</v>
      </c>
      <c r="F4610" s="17">
        <v>6254</v>
      </c>
      <c r="G4610" s="13">
        <v>2</v>
      </c>
      <c r="H4610" s="17">
        <v>3</v>
      </c>
      <c r="I4610" s="17">
        <v>3</v>
      </c>
      <c r="J4610" s="17">
        <v>56</v>
      </c>
      <c r="K4610" s="10">
        <v>1556</v>
      </c>
      <c r="P4610" s="17">
        <v>1</v>
      </c>
      <c r="Q4610" s="19">
        <v>1556</v>
      </c>
      <c r="R4610" s="14">
        <v>160</v>
      </c>
      <c r="S4610" s="19">
        <v>248960</v>
      </c>
      <c r="AJ4610" s="19">
        <v>0</v>
      </c>
      <c r="AK4610" s="23">
        <v>0</v>
      </c>
      <c r="AM4610" s="19">
        <v>0</v>
      </c>
      <c r="AN4610" s="19">
        <v>248960</v>
      </c>
      <c r="AP4610" s="14">
        <v>248960</v>
      </c>
    </row>
    <row r="4611" spans="1:45" x14ac:dyDescent="0.2">
      <c r="A4611" s="121">
        <f t="shared" ref="A4611:A4616" si="540">+A4610+1</f>
        <v>3906</v>
      </c>
      <c r="B4611" s="13">
        <v>1</v>
      </c>
      <c r="C4611" s="17" t="s">
        <v>52</v>
      </c>
      <c r="D4611" s="17">
        <v>2953</v>
      </c>
      <c r="E4611" s="17">
        <v>139</v>
      </c>
      <c r="F4611" s="17">
        <v>2017</v>
      </c>
      <c r="G4611" s="13">
        <v>2</v>
      </c>
      <c r="H4611" s="17">
        <v>3</v>
      </c>
      <c r="I4611" s="17">
        <v>0</v>
      </c>
      <c r="J4611" s="17">
        <v>37</v>
      </c>
      <c r="K4611" s="10">
        <v>1237</v>
      </c>
      <c r="P4611" s="17">
        <v>1</v>
      </c>
      <c r="Q4611" s="19">
        <v>1237</v>
      </c>
      <c r="R4611" s="14">
        <v>4500</v>
      </c>
      <c r="S4611" s="19">
        <v>5566500</v>
      </c>
      <c r="AJ4611" s="19">
        <v>0</v>
      </c>
      <c r="AK4611" s="23">
        <v>0</v>
      </c>
      <c r="AM4611" s="19">
        <v>0</v>
      </c>
      <c r="AN4611" s="19">
        <v>5566500</v>
      </c>
      <c r="AP4611" s="14">
        <v>5566500</v>
      </c>
    </row>
    <row r="4612" spans="1:45" x14ac:dyDescent="0.2">
      <c r="A4612" s="121">
        <f t="shared" si="540"/>
        <v>3907</v>
      </c>
      <c r="B4612" s="13">
        <v>1</v>
      </c>
      <c r="C4612" s="17" t="s">
        <v>52</v>
      </c>
      <c r="D4612" s="17">
        <v>2952</v>
      </c>
      <c r="E4612" s="17">
        <v>137</v>
      </c>
      <c r="F4612" s="17">
        <v>2016</v>
      </c>
      <c r="G4612" s="13">
        <v>2</v>
      </c>
      <c r="H4612" s="17">
        <v>2</v>
      </c>
      <c r="I4612" s="17">
        <v>1</v>
      </c>
      <c r="J4612" s="17">
        <v>70</v>
      </c>
      <c r="K4612" s="10">
        <v>970</v>
      </c>
      <c r="P4612" s="17">
        <v>1</v>
      </c>
      <c r="Q4612" s="19">
        <v>970</v>
      </c>
      <c r="R4612" s="14">
        <v>4500</v>
      </c>
      <c r="S4612" s="19">
        <v>4365000</v>
      </c>
      <c r="AJ4612" s="19">
        <v>0</v>
      </c>
      <c r="AK4612" s="23">
        <v>0</v>
      </c>
      <c r="AM4612" s="19">
        <v>0</v>
      </c>
      <c r="AN4612" s="19">
        <v>4365000</v>
      </c>
      <c r="AP4612" s="14">
        <v>4365000</v>
      </c>
    </row>
    <row r="4613" spans="1:45" ht="63" x14ac:dyDescent="0.2">
      <c r="A4613" s="121">
        <f t="shared" si="540"/>
        <v>3908</v>
      </c>
      <c r="B4613" s="13">
        <v>2</v>
      </c>
      <c r="C4613" s="17" t="s">
        <v>52</v>
      </c>
      <c r="D4613" s="17">
        <v>31951</v>
      </c>
      <c r="E4613" s="17">
        <v>240</v>
      </c>
      <c r="F4613" s="17">
        <v>6171</v>
      </c>
      <c r="G4613" s="13">
        <v>2</v>
      </c>
      <c r="H4613" s="17">
        <v>0</v>
      </c>
      <c r="I4613" s="17">
        <v>3</v>
      </c>
      <c r="J4613" s="17">
        <v>75.069999999999993</v>
      </c>
      <c r="L4613" s="17">
        <v>375.07</v>
      </c>
      <c r="P4613" s="17">
        <v>2</v>
      </c>
      <c r="Q4613" s="19">
        <v>375.07</v>
      </c>
      <c r="R4613" s="14">
        <v>160</v>
      </c>
      <c r="S4613" s="19">
        <v>60011.199999999997</v>
      </c>
      <c r="T4613" s="17">
        <v>1</v>
      </c>
      <c r="U4613" s="17" t="s">
        <v>57</v>
      </c>
      <c r="V4613" s="17" t="s">
        <v>84</v>
      </c>
      <c r="W4613" s="4">
        <v>56</v>
      </c>
      <c r="Y4613" s="4">
        <v>56</v>
      </c>
      <c r="AB4613" s="17">
        <v>41</v>
      </c>
      <c r="AJ4613" s="19">
        <v>0</v>
      </c>
      <c r="AK4613" s="23">
        <v>41</v>
      </c>
      <c r="AM4613" s="19">
        <v>0</v>
      </c>
      <c r="AN4613" s="19">
        <v>60011.199999999997</v>
      </c>
      <c r="AP4613" s="14">
        <v>60011.199999999997</v>
      </c>
    </row>
    <row r="4614" spans="1:45" x14ac:dyDescent="0.2">
      <c r="A4614" s="121">
        <f t="shared" si="540"/>
        <v>3909</v>
      </c>
      <c r="B4614" s="13">
        <v>3</v>
      </c>
      <c r="C4614" s="17" t="s">
        <v>52</v>
      </c>
      <c r="D4614" s="17">
        <v>31952</v>
      </c>
      <c r="E4614" s="17">
        <v>239</v>
      </c>
      <c r="F4614" s="17">
        <v>6172</v>
      </c>
      <c r="G4614" s="13">
        <v>2</v>
      </c>
      <c r="H4614" s="17">
        <v>0</v>
      </c>
      <c r="I4614" s="17">
        <v>1</v>
      </c>
      <c r="J4614" s="17">
        <v>70.069999999999993</v>
      </c>
      <c r="N4614" s="18">
        <v>170.07</v>
      </c>
      <c r="P4614" s="17">
        <v>4</v>
      </c>
      <c r="Q4614" s="19">
        <v>170.07</v>
      </c>
      <c r="R4614" s="14">
        <v>160</v>
      </c>
      <c r="S4614" s="19">
        <v>27211.199999999997</v>
      </c>
      <c r="AJ4614" s="19">
        <v>0</v>
      </c>
      <c r="AK4614" s="23">
        <v>0</v>
      </c>
      <c r="AM4614" s="19">
        <v>0</v>
      </c>
      <c r="AN4614" s="19">
        <v>27211.199999999997</v>
      </c>
      <c r="AP4614" s="14">
        <v>27211.199999999997</v>
      </c>
      <c r="AQ4614" s="12">
        <v>3.0000000000000001E-3</v>
      </c>
    </row>
    <row r="4615" spans="1:45" x14ac:dyDescent="0.2">
      <c r="A4615" s="121">
        <f t="shared" si="540"/>
        <v>3910</v>
      </c>
      <c r="B4615" s="13">
        <v>4</v>
      </c>
      <c r="C4615" s="17" t="s">
        <v>52</v>
      </c>
      <c r="D4615" s="17">
        <v>31953</v>
      </c>
      <c r="E4615" s="17">
        <v>238</v>
      </c>
      <c r="F4615" s="17">
        <v>6173</v>
      </c>
      <c r="G4615" s="13">
        <v>2</v>
      </c>
      <c r="H4615" s="17">
        <v>0</v>
      </c>
      <c r="I4615" s="17">
        <v>3</v>
      </c>
      <c r="J4615" s="17">
        <v>45.09</v>
      </c>
      <c r="K4615" s="10">
        <v>345.09</v>
      </c>
      <c r="P4615" s="17">
        <v>1</v>
      </c>
      <c r="Q4615" s="19">
        <v>345.09000000000003</v>
      </c>
      <c r="R4615" s="14">
        <v>160</v>
      </c>
      <c r="S4615" s="19">
        <v>55214.400000000009</v>
      </c>
      <c r="AJ4615" s="19">
        <v>0</v>
      </c>
      <c r="AK4615" s="23">
        <v>0</v>
      </c>
      <c r="AM4615" s="19">
        <v>0</v>
      </c>
      <c r="AN4615" s="19">
        <v>55214.400000000009</v>
      </c>
      <c r="AP4615" s="14">
        <v>55214.400000000009</v>
      </c>
    </row>
    <row r="4616" spans="1:45" x14ac:dyDescent="0.2">
      <c r="A4616" s="121">
        <f t="shared" si="540"/>
        <v>3911</v>
      </c>
      <c r="B4616" s="13">
        <v>5</v>
      </c>
      <c r="C4616" s="17" t="s">
        <v>52</v>
      </c>
      <c r="D4616" s="17">
        <v>31954</v>
      </c>
      <c r="E4616" s="17">
        <v>237</v>
      </c>
      <c r="F4616" s="17">
        <v>6174</v>
      </c>
      <c r="G4616" s="13">
        <v>2</v>
      </c>
      <c r="H4616" s="17">
        <v>0</v>
      </c>
      <c r="I4616" s="17">
        <v>3</v>
      </c>
      <c r="J4616" s="17">
        <v>73.05</v>
      </c>
      <c r="K4616" s="10">
        <v>373.05</v>
      </c>
      <c r="P4616" s="17">
        <v>1</v>
      </c>
      <c r="Q4616" s="19">
        <v>373.05</v>
      </c>
      <c r="R4616" s="14">
        <v>160</v>
      </c>
      <c r="S4616" s="19">
        <v>59688</v>
      </c>
      <c r="AJ4616" s="19">
        <v>0</v>
      </c>
      <c r="AK4616" s="23">
        <v>0</v>
      </c>
      <c r="AM4616" s="19">
        <v>0</v>
      </c>
      <c r="AN4616" s="19">
        <v>59688</v>
      </c>
      <c r="AP4616" s="14">
        <v>59688</v>
      </c>
    </row>
    <row r="4617" spans="1:45" x14ac:dyDescent="0.2">
      <c r="B4617" s="13">
        <v>6</v>
      </c>
      <c r="C4617" s="17" t="s">
        <v>65</v>
      </c>
      <c r="D4617" s="17">
        <v>219</v>
      </c>
      <c r="E4617" s="17">
        <v>130</v>
      </c>
      <c r="H4617" s="17">
        <v>0</v>
      </c>
      <c r="I4617" s="17">
        <v>3</v>
      </c>
      <c r="J4617" s="17">
        <v>54</v>
      </c>
      <c r="K4617" s="10">
        <v>354</v>
      </c>
      <c r="Q4617" s="19">
        <v>354</v>
      </c>
      <c r="R4617" s="14" t="e">
        <v>#N/A</v>
      </c>
      <c r="S4617" s="19" t="e">
        <v>#N/A</v>
      </c>
      <c r="AE4617" s="17" t="s">
        <v>95</v>
      </c>
      <c r="AJ4617" s="19">
        <v>0</v>
      </c>
      <c r="AK4617" s="23">
        <v>0</v>
      </c>
      <c r="AM4617" s="19">
        <v>0</v>
      </c>
      <c r="AN4617" s="19" t="e">
        <v>#N/A</v>
      </c>
      <c r="AP4617" s="14" t="e">
        <v>#N/A</v>
      </c>
      <c r="AQ4617" s="12">
        <v>1E-4</v>
      </c>
    </row>
    <row r="4618" spans="1:45" x14ac:dyDescent="0.2">
      <c r="B4618" s="13">
        <v>7</v>
      </c>
      <c r="C4618" s="17" t="s">
        <v>65</v>
      </c>
      <c r="D4618" s="17">
        <v>3658</v>
      </c>
      <c r="E4618" s="17">
        <v>642</v>
      </c>
      <c r="H4618" s="17">
        <v>0</v>
      </c>
      <c r="I4618" s="17">
        <v>3</v>
      </c>
      <c r="J4618" s="17">
        <v>79</v>
      </c>
      <c r="K4618" s="10">
        <v>379</v>
      </c>
      <c r="Q4618" s="19">
        <v>379</v>
      </c>
      <c r="R4618" s="14" t="e">
        <v>#N/A</v>
      </c>
      <c r="S4618" s="19" t="e">
        <v>#N/A</v>
      </c>
      <c r="AJ4618" s="19">
        <v>0</v>
      </c>
      <c r="AK4618" s="23">
        <v>0</v>
      </c>
      <c r="AM4618" s="19">
        <v>0</v>
      </c>
      <c r="AN4618" s="19" t="e">
        <v>#N/A</v>
      </c>
      <c r="AP4618" s="14" t="e">
        <v>#N/A</v>
      </c>
      <c r="AQ4618" s="12">
        <v>1E-4</v>
      </c>
    </row>
    <row r="4619" spans="1:45" x14ac:dyDescent="0.2">
      <c r="B4619" s="13">
        <v>8</v>
      </c>
      <c r="C4619" s="17" t="s">
        <v>65</v>
      </c>
      <c r="D4619" s="17">
        <v>3657</v>
      </c>
      <c r="E4619" s="17">
        <v>641</v>
      </c>
      <c r="H4619" s="17">
        <v>0</v>
      </c>
      <c r="I4619" s="17">
        <v>3</v>
      </c>
      <c r="J4619" s="17">
        <v>93</v>
      </c>
      <c r="K4619" s="10">
        <v>393</v>
      </c>
      <c r="Q4619" s="19">
        <v>393</v>
      </c>
      <c r="R4619" s="14" t="e">
        <v>#N/A</v>
      </c>
      <c r="S4619" s="19" t="e">
        <v>#N/A</v>
      </c>
      <c r="AE4619" s="17" t="s">
        <v>95</v>
      </c>
      <c r="AJ4619" s="19">
        <v>0</v>
      </c>
      <c r="AK4619" s="23">
        <v>0</v>
      </c>
      <c r="AM4619" s="19">
        <v>0</v>
      </c>
      <c r="AN4619" s="19" t="e">
        <v>#N/A</v>
      </c>
      <c r="AP4619" s="14" t="e">
        <v>#N/A</v>
      </c>
      <c r="AQ4619" s="12">
        <v>1E-4</v>
      </c>
    </row>
    <row r="4620" spans="1:45" x14ac:dyDescent="0.2">
      <c r="B4620" s="13">
        <v>9</v>
      </c>
      <c r="C4620" s="17" t="s">
        <v>65</v>
      </c>
      <c r="D4620" s="17">
        <v>3659</v>
      </c>
      <c r="E4620" s="17">
        <v>643</v>
      </c>
      <c r="H4620" s="17">
        <v>0</v>
      </c>
      <c r="I4620" s="17">
        <v>1</v>
      </c>
      <c r="J4620" s="17">
        <v>69</v>
      </c>
      <c r="K4620" s="10">
        <v>169</v>
      </c>
      <c r="P4620" s="17">
        <v>2</v>
      </c>
      <c r="Q4620" s="19">
        <v>169</v>
      </c>
      <c r="R4620" s="14" t="e">
        <v>#N/A</v>
      </c>
      <c r="S4620" s="19" t="e">
        <v>#N/A</v>
      </c>
      <c r="AE4620" s="17" t="s">
        <v>95</v>
      </c>
      <c r="AJ4620" s="19">
        <v>0</v>
      </c>
      <c r="AK4620" s="23">
        <v>0</v>
      </c>
      <c r="AM4620" s="19">
        <v>0</v>
      </c>
      <c r="AN4620" s="19" t="e">
        <v>#N/A</v>
      </c>
      <c r="AP4620" s="14" t="e">
        <v>#N/A</v>
      </c>
      <c r="AQ4620" s="12">
        <v>1E-4</v>
      </c>
    </row>
    <row r="4621" spans="1:45" ht="63" x14ac:dyDescent="0.2">
      <c r="A4621" s="2">
        <v>3912</v>
      </c>
      <c r="B4621" s="13">
        <v>1</v>
      </c>
      <c r="C4621" s="17" t="s">
        <v>52</v>
      </c>
      <c r="D4621" s="17">
        <v>11666</v>
      </c>
      <c r="E4621" s="17">
        <v>160</v>
      </c>
      <c r="F4621" s="17">
        <v>3171</v>
      </c>
      <c r="G4621" s="13">
        <v>2</v>
      </c>
      <c r="H4621" s="17">
        <v>0</v>
      </c>
      <c r="I4621" s="17">
        <v>2</v>
      </c>
      <c r="J4621" s="17">
        <v>59</v>
      </c>
      <c r="L4621" s="17">
        <v>259</v>
      </c>
      <c r="Q4621" s="19">
        <v>259</v>
      </c>
      <c r="R4621" s="14">
        <v>250</v>
      </c>
      <c r="S4621" s="19">
        <v>64750</v>
      </c>
      <c r="T4621" s="17">
        <v>1</v>
      </c>
      <c r="U4621" s="17" t="s">
        <v>57</v>
      </c>
      <c r="V4621" s="17" t="s">
        <v>56</v>
      </c>
      <c r="W4621" s="4">
        <v>94.5</v>
      </c>
      <c r="Y4621" s="4">
        <v>94.5</v>
      </c>
      <c r="AB4621" s="17">
        <v>35</v>
      </c>
      <c r="AJ4621" s="19">
        <v>0</v>
      </c>
      <c r="AK4621" s="23">
        <v>35</v>
      </c>
      <c r="AM4621" s="19">
        <v>0</v>
      </c>
      <c r="AN4621" s="19">
        <v>64750</v>
      </c>
      <c r="AP4621" s="14">
        <v>64750</v>
      </c>
    </row>
    <row r="4622" spans="1:45" x14ac:dyDescent="0.2">
      <c r="A4622" s="2">
        <f>+A4621+1</f>
        <v>3913</v>
      </c>
      <c r="B4622" s="13">
        <v>1</v>
      </c>
      <c r="C4622" s="17" t="s">
        <v>65</v>
      </c>
      <c r="D4622" s="17">
        <v>1147</v>
      </c>
      <c r="E4622" s="17">
        <v>2</v>
      </c>
      <c r="H4622" s="17">
        <v>7</v>
      </c>
      <c r="I4622" s="17">
        <v>0</v>
      </c>
      <c r="J4622" s="17">
        <v>40</v>
      </c>
      <c r="K4622" s="10">
        <v>2840</v>
      </c>
      <c r="Q4622" s="19">
        <v>2840</v>
      </c>
      <c r="R4622" s="14">
        <v>160</v>
      </c>
      <c r="S4622" s="19">
        <v>454400</v>
      </c>
      <c r="AE4622" s="17" t="s">
        <v>94</v>
      </c>
      <c r="AJ4622" s="19">
        <v>0</v>
      </c>
      <c r="AK4622" s="23">
        <v>0</v>
      </c>
      <c r="AM4622" s="19">
        <v>0</v>
      </c>
      <c r="AN4622" s="19">
        <v>454400</v>
      </c>
      <c r="AP4622" s="14">
        <v>454400</v>
      </c>
      <c r="AQ4622" s="12">
        <v>1E-4</v>
      </c>
    </row>
    <row r="4623" spans="1:45" x14ac:dyDescent="0.2">
      <c r="A4623" s="121">
        <f t="shared" ref="A4623:A4633" si="541">+A4622+1</f>
        <v>3914</v>
      </c>
      <c r="B4623" s="13">
        <v>1</v>
      </c>
      <c r="C4623" s="17" t="s">
        <v>52</v>
      </c>
      <c r="D4623" s="17">
        <v>3775</v>
      </c>
      <c r="E4623" s="17">
        <v>104</v>
      </c>
      <c r="F4623" s="17">
        <v>2302</v>
      </c>
      <c r="G4623" s="13">
        <v>2</v>
      </c>
      <c r="H4623" s="17">
        <v>9</v>
      </c>
      <c r="I4623" s="17">
        <v>1</v>
      </c>
      <c r="J4623" s="17">
        <v>44</v>
      </c>
      <c r="K4623" s="10">
        <v>3744</v>
      </c>
      <c r="P4623" s="17">
        <v>1</v>
      </c>
      <c r="Q4623" s="19">
        <v>3744</v>
      </c>
      <c r="R4623" s="14">
        <v>200</v>
      </c>
      <c r="S4623" s="19">
        <v>748800</v>
      </c>
      <c r="AJ4623" s="19">
        <v>0</v>
      </c>
      <c r="AK4623" s="23">
        <v>0</v>
      </c>
      <c r="AM4623" s="19">
        <v>0</v>
      </c>
      <c r="AN4623" s="19">
        <v>748800</v>
      </c>
      <c r="AP4623" s="14">
        <v>748800</v>
      </c>
    </row>
    <row r="4624" spans="1:45" ht="63" x14ac:dyDescent="0.2">
      <c r="A4624" s="121">
        <f t="shared" si="541"/>
        <v>3915</v>
      </c>
      <c r="B4624" s="13">
        <v>1</v>
      </c>
      <c r="C4624" s="17" t="s">
        <v>52</v>
      </c>
      <c r="D4624" s="17">
        <v>3781</v>
      </c>
      <c r="E4624" s="17">
        <v>98</v>
      </c>
      <c r="F4624" s="17">
        <v>2310</v>
      </c>
      <c r="G4624" s="13">
        <v>2</v>
      </c>
      <c r="H4624" s="17">
        <v>5</v>
      </c>
      <c r="I4624" s="17">
        <v>2</v>
      </c>
      <c r="J4624" s="17">
        <v>35</v>
      </c>
      <c r="K4624" s="10">
        <v>2217.5</v>
      </c>
      <c r="L4624" s="17">
        <v>17.5</v>
      </c>
      <c r="P4624" s="17">
        <v>5</v>
      </c>
      <c r="Q4624" s="19">
        <v>2235</v>
      </c>
      <c r="R4624" s="14">
        <v>200</v>
      </c>
      <c r="S4624" s="19">
        <v>447000</v>
      </c>
      <c r="T4624" s="17">
        <v>1</v>
      </c>
      <c r="U4624" s="17" t="s">
        <v>57</v>
      </c>
      <c r="V4624" s="17" t="s">
        <v>56</v>
      </c>
      <c r="W4624" s="4">
        <v>70</v>
      </c>
      <c r="Y4624" s="4">
        <v>70</v>
      </c>
      <c r="AB4624" s="17">
        <v>41</v>
      </c>
      <c r="AJ4624" s="19">
        <v>0</v>
      </c>
      <c r="AK4624" s="23">
        <v>41</v>
      </c>
      <c r="AM4624" s="19">
        <v>0</v>
      </c>
      <c r="AN4624" s="19">
        <v>447000</v>
      </c>
      <c r="AP4624" s="14">
        <v>447000</v>
      </c>
    </row>
    <row r="4625" spans="1:49" x14ac:dyDescent="0.2">
      <c r="A4625" s="121">
        <f t="shared" si="541"/>
        <v>3916</v>
      </c>
      <c r="B4625" s="13">
        <v>1</v>
      </c>
      <c r="C4625" s="17" t="s">
        <v>52</v>
      </c>
      <c r="D4625" s="17">
        <v>3183</v>
      </c>
      <c r="E4625" s="17">
        <v>142</v>
      </c>
      <c r="F4625" s="17">
        <v>2112</v>
      </c>
      <c r="G4625" s="13">
        <v>2</v>
      </c>
      <c r="H4625" s="17">
        <v>15</v>
      </c>
      <c r="I4625" s="17">
        <v>1</v>
      </c>
      <c r="J4625" s="17">
        <v>3</v>
      </c>
      <c r="K4625" s="10">
        <v>6103</v>
      </c>
      <c r="P4625" s="17">
        <v>1</v>
      </c>
      <c r="Q4625" s="19">
        <v>6103</v>
      </c>
      <c r="R4625" s="14">
        <v>160</v>
      </c>
      <c r="S4625" s="19">
        <v>976480</v>
      </c>
      <c r="AJ4625" s="19">
        <v>0</v>
      </c>
      <c r="AK4625" s="23">
        <v>0</v>
      </c>
      <c r="AM4625" s="19">
        <v>0</v>
      </c>
      <c r="AN4625" s="19">
        <v>976480</v>
      </c>
      <c r="AP4625" s="14">
        <v>976480</v>
      </c>
    </row>
    <row r="4626" spans="1:49" x14ac:dyDescent="0.2">
      <c r="A4626" s="121">
        <f t="shared" si="541"/>
        <v>3917</v>
      </c>
      <c r="B4626" s="13">
        <v>2</v>
      </c>
      <c r="C4626" s="17" t="s">
        <v>52</v>
      </c>
      <c r="D4626" s="17">
        <v>31970</v>
      </c>
      <c r="E4626" s="17">
        <v>244</v>
      </c>
      <c r="F4626" s="17">
        <v>6289</v>
      </c>
      <c r="G4626" s="13">
        <v>2</v>
      </c>
      <c r="H4626" s="17">
        <v>2</v>
      </c>
      <c r="I4626" s="17">
        <v>2</v>
      </c>
      <c r="J4626" s="17">
        <v>51.07</v>
      </c>
      <c r="K4626" s="10">
        <v>1051.07</v>
      </c>
      <c r="P4626" s="17">
        <v>1</v>
      </c>
      <c r="Q4626" s="19">
        <v>1051.07</v>
      </c>
      <c r="R4626" s="14">
        <v>160</v>
      </c>
      <c r="S4626" s="19">
        <v>168171.19999999998</v>
      </c>
      <c r="AJ4626" s="19">
        <v>0</v>
      </c>
      <c r="AK4626" s="23">
        <v>0</v>
      </c>
      <c r="AM4626" s="19">
        <v>0</v>
      </c>
      <c r="AN4626" s="19">
        <v>168171.19999999998</v>
      </c>
      <c r="AP4626" s="14">
        <v>168171.19999999998</v>
      </c>
    </row>
    <row r="4627" spans="1:49" ht="63" x14ac:dyDescent="0.2">
      <c r="A4627" s="121">
        <f t="shared" si="541"/>
        <v>3918</v>
      </c>
      <c r="B4627" s="13">
        <v>1</v>
      </c>
      <c r="C4627" s="17" t="s">
        <v>52</v>
      </c>
      <c r="D4627" s="17">
        <v>29871</v>
      </c>
      <c r="E4627" s="17">
        <v>3</v>
      </c>
      <c r="F4627" s="17">
        <v>5461</v>
      </c>
      <c r="G4627" s="13">
        <v>2</v>
      </c>
      <c r="H4627" s="17">
        <v>0</v>
      </c>
      <c r="I4627" s="17">
        <v>2</v>
      </c>
      <c r="J4627" s="17">
        <v>94</v>
      </c>
      <c r="L4627" s="17">
        <v>294</v>
      </c>
      <c r="P4627" s="17">
        <v>2</v>
      </c>
      <c r="Q4627" s="19">
        <v>294</v>
      </c>
      <c r="R4627" s="14">
        <v>160</v>
      </c>
      <c r="S4627" s="19">
        <v>47040</v>
      </c>
      <c r="T4627" s="17">
        <v>1</v>
      </c>
      <c r="U4627" s="17" t="s">
        <v>57</v>
      </c>
      <c r="V4627" s="17" t="s">
        <v>56</v>
      </c>
      <c r="W4627" s="4">
        <v>90</v>
      </c>
      <c r="Y4627" s="4">
        <v>90</v>
      </c>
      <c r="AB4627" s="17">
        <v>4</v>
      </c>
      <c r="AJ4627" s="19">
        <v>0</v>
      </c>
      <c r="AK4627" s="23">
        <v>4</v>
      </c>
      <c r="AM4627" s="19">
        <v>0</v>
      </c>
      <c r="AN4627" s="19">
        <v>47040</v>
      </c>
      <c r="AP4627" s="14">
        <v>47040</v>
      </c>
    </row>
    <row r="4628" spans="1:49" x14ac:dyDescent="0.2">
      <c r="A4628" s="121">
        <f t="shared" si="541"/>
        <v>3919</v>
      </c>
      <c r="B4628" s="13">
        <v>2</v>
      </c>
      <c r="C4628" s="17" t="s">
        <v>52</v>
      </c>
      <c r="D4628" s="17">
        <v>29874</v>
      </c>
      <c r="E4628" s="17">
        <v>6</v>
      </c>
      <c r="F4628" s="17">
        <v>5464</v>
      </c>
      <c r="G4628" s="13">
        <v>2</v>
      </c>
      <c r="H4628" s="17">
        <v>0</v>
      </c>
      <c r="I4628" s="17">
        <v>1</v>
      </c>
      <c r="J4628" s="17">
        <v>92</v>
      </c>
      <c r="N4628" s="18">
        <v>192</v>
      </c>
      <c r="P4628" s="17">
        <v>4</v>
      </c>
      <c r="Q4628" s="19">
        <v>192</v>
      </c>
      <c r="R4628" s="14">
        <v>160</v>
      </c>
      <c r="S4628" s="19">
        <v>30720</v>
      </c>
      <c r="AJ4628" s="19">
        <v>0</v>
      </c>
      <c r="AK4628" s="23">
        <v>0</v>
      </c>
      <c r="AM4628" s="19">
        <v>0</v>
      </c>
      <c r="AN4628" s="19">
        <v>30720</v>
      </c>
      <c r="AP4628" s="14">
        <v>30720</v>
      </c>
      <c r="AQ4628" s="12">
        <v>3.0000000000000001E-3</v>
      </c>
    </row>
    <row r="4629" spans="1:49" x14ac:dyDescent="0.2">
      <c r="A4629" s="121">
        <f t="shared" si="541"/>
        <v>3920</v>
      </c>
      <c r="B4629" s="13">
        <v>3</v>
      </c>
      <c r="C4629" s="17" t="s">
        <v>52</v>
      </c>
      <c r="D4629" s="17">
        <v>31971</v>
      </c>
      <c r="E4629" s="17">
        <v>245</v>
      </c>
      <c r="F4629" s="17">
        <v>6290</v>
      </c>
      <c r="G4629" s="13">
        <v>2</v>
      </c>
      <c r="H4629" s="17">
        <v>2</v>
      </c>
      <c r="I4629" s="17">
        <v>3</v>
      </c>
      <c r="J4629" s="17">
        <v>59.04</v>
      </c>
      <c r="K4629" s="10">
        <v>1159.04</v>
      </c>
      <c r="P4629" s="17">
        <v>1</v>
      </c>
      <c r="Q4629" s="19">
        <v>1159.04</v>
      </c>
      <c r="R4629" s="14">
        <v>160</v>
      </c>
      <c r="S4629" s="19">
        <v>185446.39999999999</v>
      </c>
      <c r="AJ4629" s="19">
        <v>0</v>
      </c>
      <c r="AK4629" s="23">
        <v>0</v>
      </c>
      <c r="AM4629" s="19">
        <v>0</v>
      </c>
      <c r="AN4629" s="19">
        <v>185446.39999999999</v>
      </c>
      <c r="AP4629" s="14">
        <v>185446.39999999999</v>
      </c>
    </row>
    <row r="4630" spans="1:49" x14ac:dyDescent="0.2">
      <c r="A4630" s="121">
        <f t="shared" si="541"/>
        <v>3921</v>
      </c>
      <c r="B4630" s="13">
        <v>1</v>
      </c>
      <c r="C4630" s="17" t="s">
        <v>52</v>
      </c>
      <c r="D4630" s="17">
        <v>25111</v>
      </c>
      <c r="E4630" s="17">
        <v>146</v>
      </c>
      <c r="F4630" s="17">
        <v>4968</v>
      </c>
      <c r="G4630" s="13">
        <v>2</v>
      </c>
      <c r="H4630" s="17">
        <v>3</v>
      </c>
      <c r="I4630" s="17">
        <v>1</v>
      </c>
      <c r="J4630" s="17">
        <v>25</v>
      </c>
      <c r="K4630" s="10">
        <v>1325</v>
      </c>
      <c r="P4630" s="17">
        <v>1</v>
      </c>
      <c r="Q4630" s="19">
        <v>1325</v>
      </c>
      <c r="R4630" s="14">
        <v>160</v>
      </c>
      <c r="S4630" s="19">
        <v>212000</v>
      </c>
      <c r="AJ4630" s="19">
        <v>0</v>
      </c>
      <c r="AK4630" s="23">
        <v>0</v>
      </c>
      <c r="AM4630" s="19">
        <v>0</v>
      </c>
      <c r="AN4630" s="19">
        <v>212000</v>
      </c>
      <c r="AP4630" s="14">
        <v>212000</v>
      </c>
      <c r="AS4630" s="26">
        <v>42</v>
      </c>
    </row>
    <row r="4631" spans="1:49" x14ac:dyDescent="0.2">
      <c r="A4631" s="121">
        <f t="shared" si="541"/>
        <v>3922</v>
      </c>
      <c r="B4631" s="13">
        <v>2</v>
      </c>
      <c r="C4631" s="17" t="s">
        <v>52</v>
      </c>
      <c r="D4631" s="17">
        <v>25112</v>
      </c>
      <c r="E4631" s="17">
        <v>147</v>
      </c>
      <c r="F4631" s="17">
        <v>4969</v>
      </c>
      <c r="G4631" s="13">
        <v>2</v>
      </c>
      <c r="H4631" s="17">
        <v>2</v>
      </c>
      <c r="I4631" s="17">
        <v>3</v>
      </c>
      <c r="J4631" s="17">
        <v>94</v>
      </c>
      <c r="K4631" s="10">
        <v>1194</v>
      </c>
      <c r="P4631" s="17">
        <v>1</v>
      </c>
      <c r="Q4631" s="19">
        <v>1194</v>
      </c>
      <c r="R4631" s="14">
        <v>160</v>
      </c>
      <c r="S4631" s="19">
        <v>191040</v>
      </c>
      <c r="AJ4631" s="19">
        <v>0</v>
      </c>
      <c r="AK4631" s="23">
        <v>0</v>
      </c>
      <c r="AM4631" s="19">
        <v>0</v>
      </c>
      <c r="AN4631" s="19">
        <v>191040</v>
      </c>
      <c r="AP4631" s="14">
        <v>191040</v>
      </c>
    </row>
    <row r="4632" spans="1:49" x14ac:dyDescent="0.2">
      <c r="A4632" s="121">
        <f t="shared" si="541"/>
        <v>3923</v>
      </c>
      <c r="B4632" s="13">
        <v>3</v>
      </c>
      <c r="C4632" s="17" t="s">
        <v>52</v>
      </c>
      <c r="D4632" s="17">
        <v>31955</v>
      </c>
      <c r="E4632" s="17">
        <v>243</v>
      </c>
      <c r="F4632" s="17">
        <v>6175</v>
      </c>
      <c r="G4632" s="13">
        <v>2</v>
      </c>
      <c r="H4632" s="17">
        <v>3</v>
      </c>
      <c r="I4632" s="17">
        <v>0</v>
      </c>
      <c r="J4632" s="17">
        <v>79.05</v>
      </c>
      <c r="K4632" s="10">
        <v>1279.05</v>
      </c>
      <c r="P4632" s="17">
        <v>1</v>
      </c>
      <c r="Q4632" s="19">
        <v>1279.05</v>
      </c>
      <c r="R4632" s="14">
        <v>160</v>
      </c>
      <c r="S4632" s="19">
        <v>204648</v>
      </c>
      <c r="AJ4632" s="19">
        <v>0</v>
      </c>
      <c r="AK4632" s="23">
        <v>0</v>
      </c>
      <c r="AM4632" s="19">
        <v>0</v>
      </c>
      <c r="AN4632" s="19">
        <v>204648</v>
      </c>
      <c r="AP4632" s="14">
        <v>204648</v>
      </c>
    </row>
    <row r="4633" spans="1:49" ht="63" x14ac:dyDescent="0.2">
      <c r="A4633" s="121">
        <f t="shared" si="541"/>
        <v>3924</v>
      </c>
      <c r="B4633" s="13">
        <v>4</v>
      </c>
      <c r="C4633" s="17" t="s">
        <v>52</v>
      </c>
      <c r="D4633" s="17">
        <v>31981</v>
      </c>
      <c r="E4633" s="17">
        <v>205</v>
      </c>
      <c r="F4633" s="17">
        <v>6300</v>
      </c>
      <c r="G4633" s="13">
        <v>2</v>
      </c>
      <c r="H4633" s="17">
        <v>0</v>
      </c>
      <c r="I4633" s="17">
        <v>1</v>
      </c>
      <c r="J4633" s="17">
        <v>50.02</v>
      </c>
      <c r="L4633" s="17">
        <v>150.02000000000001</v>
      </c>
      <c r="P4633" s="17">
        <v>2</v>
      </c>
      <c r="Q4633" s="19">
        <v>150.02000000000001</v>
      </c>
      <c r="R4633" s="14">
        <v>250</v>
      </c>
      <c r="S4633" s="19">
        <v>37505</v>
      </c>
      <c r="T4633" s="17">
        <v>1</v>
      </c>
      <c r="U4633" s="17" t="s">
        <v>57</v>
      </c>
      <c r="V4633" s="17" t="s">
        <v>56</v>
      </c>
      <c r="W4633" s="4">
        <v>90</v>
      </c>
      <c r="Y4633" s="4">
        <v>90</v>
      </c>
      <c r="AB4633" s="17">
        <v>14</v>
      </c>
      <c r="AJ4633" s="19">
        <v>0</v>
      </c>
      <c r="AK4633" s="23">
        <v>14</v>
      </c>
      <c r="AM4633" s="19">
        <v>0</v>
      </c>
      <c r="AN4633" s="19">
        <v>37505</v>
      </c>
      <c r="AP4633" s="14">
        <v>37505</v>
      </c>
    </row>
    <row r="4634" spans="1:49" x14ac:dyDescent="0.2">
      <c r="B4634" s="13">
        <v>5</v>
      </c>
      <c r="C4634" s="17" t="s">
        <v>65</v>
      </c>
      <c r="D4634" s="17">
        <v>625</v>
      </c>
      <c r="E4634" s="17">
        <v>131</v>
      </c>
      <c r="H4634" s="17">
        <v>4</v>
      </c>
      <c r="I4634" s="17">
        <v>3</v>
      </c>
      <c r="J4634" s="17">
        <v>83</v>
      </c>
      <c r="K4634" s="10">
        <v>1983</v>
      </c>
      <c r="Q4634" s="19">
        <v>1983</v>
      </c>
      <c r="R4634" s="14" t="e">
        <v>#N/A</v>
      </c>
      <c r="S4634" s="19" t="e">
        <v>#N/A</v>
      </c>
      <c r="AE4634" s="17" t="s">
        <v>220</v>
      </c>
      <c r="AJ4634" s="19">
        <v>0</v>
      </c>
      <c r="AK4634" s="23">
        <v>0</v>
      </c>
      <c r="AM4634" s="19">
        <v>0</v>
      </c>
      <c r="AN4634" s="19" t="e">
        <v>#N/A</v>
      </c>
      <c r="AP4634" s="14" t="e">
        <v>#N/A</v>
      </c>
      <c r="AQ4634" s="12">
        <v>1E-4</v>
      </c>
      <c r="AW4634" s="14" t="s">
        <v>409</v>
      </c>
    </row>
    <row r="4635" spans="1:49" ht="63" x14ac:dyDescent="0.2">
      <c r="A4635" s="2">
        <v>3925</v>
      </c>
      <c r="B4635" s="13">
        <v>1</v>
      </c>
      <c r="C4635" s="17" t="s">
        <v>52</v>
      </c>
      <c r="D4635" s="17">
        <v>31982</v>
      </c>
      <c r="E4635" s="17">
        <v>206</v>
      </c>
      <c r="F4635" s="17">
        <v>6301</v>
      </c>
      <c r="G4635" s="13">
        <v>2</v>
      </c>
      <c r="H4635" s="17">
        <v>0</v>
      </c>
      <c r="I4635" s="17">
        <v>2</v>
      </c>
      <c r="J4635" s="17">
        <v>33.03</v>
      </c>
      <c r="L4635" s="17">
        <v>233.03</v>
      </c>
      <c r="P4635" s="17">
        <v>2</v>
      </c>
      <c r="Q4635" s="19">
        <v>233.03</v>
      </c>
      <c r="R4635" s="14">
        <v>250</v>
      </c>
      <c r="S4635" s="19">
        <v>58257.5</v>
      </c>
      <c r="T4635" s="17">
        <v>1</v>
      </c>
      <c r="U4635" s="17" t="s">
        <v>57</v>
      </c>
      <c r="V4635" s="17" t="s">
        <v>56</v>
      </c>
      <c r="W4635" s="4">
        <v>173.25</v>
      </c>
      <c r="Y4635" s="4">
        <v>173.25</v>
      </c>
      <c r="AB4635" s="17">
        <v>29</v>
      </c>
      <c r="AJ4635" s="19">
        <v>0</v>
      </c>
      <c r="AK4635" s="23">
        <v>29</v>
      </c>
      <c r="AM4635" s="19">
        <v>0</v>
      </c>
      <c r="AN4635" s="19">
        <v>58257.5</v>
      </c>
      <c r="AP4635" s="14">
        <v>58257.5</v>
      </c>
      <c r="AS4635" s="26" t="s">
        <v>410</v>
      </c>
    </row>
    <row r="4636" spans="1:49" x14ac:dyDescent="0.2">
      <c r="B4636" s="13">
        <v>2</v>
      </c>
      <c r="C4636" s="17" t="s">
        <v>97</v>
      </c>
      <c r="D4636" s="17">
        <v>121</v>
      </c>
      <c r="G4636" s="13">
        <v>2</v>
      </c>
      <c r="H4636" s="17">
        <v>3</v>
      </c>
      <c r="I4636" s="17">
        <v>2</v>
      </c>
      <c r="J4636" s="17">
        <v>6</v>
      </c>
      <c r="K4636" s="10">
        <v>1406</v>
      </c>
      <c r="P4636" s="17">
        <v>1</v>
      </c>
      <c r="Q4636" s="19">
        <v>1406</v>
      </c>
      <c r="R4636" s="14" t="e">
        <v>#N/A</v>
      </c>
      <c r="S4636" s="19" t="e">
        <v>#N/A</v>
      </c>
      <c r="AJ4636" s="19">
        <v>0</v>
      </c>
      <c r="AK4636" s="23">
        <v>0</v>
      </c>
      <c r="AM4636" s="19">
        <v>0</v>
      </c>
      <c r="AN4636" s="19" t="e">
        <v>#N/A</v>
      </c>
      <c r="AP4636" s="14" t="e">
        <v>#N/A</v>
      </c>
    </row>
    <row r="4637" spans="1:49" x14ac:dyDescent="0.2">
      <c r="A4637" s="2">
        <v>3926</v>
      </c>
      <c r="B4637" s="13">
        <v>1</v>
      </c>
      <c r="C4637" s="17" t="s">
        <v>52</v>
      </c>
      <c r="D4637" s="17">
        <v>1812</v>
      </c>
      <c r="E4637" s="17">
        <v>116</v>
      </c>
      <c r="F4637" s="17">
        <v>1196</v>
      </c>
      <c r="G4637" s="13">
        <v>2</v>
      </c>
      <c r="H4637" s="17">
        <v>2</v>
      </c>
      <c r="I4637" s="17">
        <v>1</v>
      </c>
      <c r="J4637" s="17">
        <v>56</v>
      </c>
      <c r="K4637" s="10">
        <v>956</v>
      </c>
      <c r="P4637" s="17">
        <v>1</v>
      </c>
      <c r="Q4637" s="19">
        <v>956</v>
      </c>
      <c r="R4637" s="14">
        <v>160</v>
      </c>
      <c r="S4637" s="19">
        <v>152960</v>
      </c>
      <c r="AJ4637" s="19">
        <v>0</v>
      </c>
      <c r="AK4637" s="23">
        <v>0</v>
      </c>
      <c r="AM4637" s="19">
        <v>0</v>
      </c>
      <c r="AN4637" s="19">
        <v>152960</v>
      </c>
      <c r="AP4637" s="14">
        <v>152960</v>
      </c>
      <c r="AS4637" s="26">
        <v>125</v>
      </c>
    </row>
    <row r="4638" spans="1:49" x14ac:dyDescent="0.2">
      <c r="A4638" s="2">
        <f>+A4637+1</f>
        <v>3927</v>
      </c>
      <c r="B4638" s="13">
        <v>2</v>
      </c>
      <c r="C4638" s="17" t="s">
        <v>52</v>
      </c>
      <c r="D4638" s="17">
        <v>3367</v>
      </c>
      <c r="E4638" s="17">
        <v>19</v>
      </c>
      <c r="F4638" s="17">
        <v>2153</v>
      </c>
      <c r="G4638" s="13">
        <v>2</v>
      </c>
      <c r="H4638" s="17">
        <v>7</v>
      </c>
      <c r="I4638" s="17">
        <v>2</v>
      </c>
      <c r="J4638" s="17">
        <v>32</v>
      </c>
      <c r="K4638" s="10">
        <v>3032</v>
      </c>
      <c r="P4638" s="17">
        <v>1</v>
      </c>
      <c r="Q4638" s="19">
        <v>3032</v>
      </c>
      <c r="R4638" s="14">
        <v>200</v>
      </c>
      <c r="S4638" s="19">
        <v>606400</v>
      </c>
      <c r="AJ4638" s="19">
        <v>0</v>
      </c>
      <c r="AK4638" s="23">
        <v>0</v>
      </c>
      <c r="AM4638" s="19">
        <v>0</v>
      </c>
      <c r="AN4638" s="19">
        <v>606400</v>
      </c>
      <c r="AP4638" s="14">
        <v>606400</v>
      </c>
    </row>
    <row r="4639" spans="1:49" x14ac:dyDescent="0.2">
      <c r="A4639" s="121">
        <f t="shared" ref="A4639:A4642" si="542">+A4638+1</f>
        <v>3928</v>
      </c>
      <c r="B4639" s="13">
        <v>3</v>
      </c>
      <c r="C4639" s="17" t="s">
        <v>52</v>
      </c>
      <c r="D4639" s="17">
        <v>3769</v>
      </c>
      <c r="E4639" s="17">
        <v>1</v>
      </c>
      <c r="F4639" s="17">
        <v>2294</v>
      </c>
      <c r="G4639" s="13">
        <v>2</v>
      </c>
      <c r="H4639" s="17">
        <v>13</v>
      </c>
      <c r="I4639" s="17">
        <v>3</v>
      </c>
      <c r="J4639" s="17">
        <v>95</v>
      </c>
      <c r="K4639" s="10">
        <v>5595</v>
      </c>
      <c r="P4639" s="17">
        <v>1</v>
      </c>
      <c r="Q4639" s="19">
        <v>5595</v>
      </c>
      <c r="R4639" s="14">
        <v>200</v>
      </c>
      <c r="S4639" s="19">
        <v>1119000</v>
      </c>
      <c r="AJ4639" s="19">
        <v>0</v>
      </c>
      <c r="AK4639" s="23">
        <v>0</v>
      </c>
      <c r="AM4639" s="19">
        <v>0</v>
      </c>
      <c r="AN4639" s="19">
        <v>1119000</v>
      </c>
      <c r="AP4639" s="14">
        <v>1119000</v>
      </c>
    </row>
    <row r="4640" spans="1:49" ht="63" x14ac:dyDescent="0.2">
      <c r="A4640" s="121">
        <f t="shared" si="542"/>
        <v>3929</v>
      </c>
      <c r="B4640" s="13">
        <v>1</v>
      </c>
      <c r="C4640" s="17" t="s">
        <v>52</v>
      </c>
      <c r="D4640" s="17">
        <v>31980</v>
      </c>
      <c r="E4640" s="17">
        <v>204</v>
      </c>
      <c r="F4640" s="17">
        <v>6299</v>
      </c>
      <c r="G4640" s="13">
        <v>2</v>
      </c>
      <c r="H4640" s="17">
        <v>0</v>
      </c>
      <c r="I4640" s="17">
        <v>1</v>
      </c>
      <c r="J4640" s="17">
        <v>16.05</v>
      </c>
      <c r="L4640" s="17">
        <v>116.05</v>
      </c>
      <c r="P4640" s="17">
        <v>2</v>
      </c>
      <c r="Q4640" s="19">
        <v>116.05</v>
      </c>
      <c r="R4640" s="14">
        <v>250</v>
      </c>
      <c r="S4640" s="19">
        <v>29012.5</v>
      </c>
      <c r="T4640" s="17">
        <v>1</v>
      </c>
      <c r="U4640" s="17" t="s">
        <v>57</v>
      </c>
      <c r="V4640" s="17" t="s">
        <v>56</v>
      </c>
      <c r="W4640" s="4">
        <v>80</v>
      </c>
      <c r="Y4640" s="4">
        <v>80</v>
      </c>
      <c r="AB4640" s="17">
        <v>9</v>
      </c>
      <c r="AJ4640" s="19">
        <v>0</v>
      </c>
      <c r="AK4640" s="23">
        <v>9</v>
      </c>
      <c r="AM4640" s="19">
        <v>0</v>
      </c>
      <c r="AN4640" s="19">
        <v>29012.5</v>
      </c>
      <c r="AP4640" s="14">
        <v>29012.5</v>
      </c>
    </row>
    <row r="4641" spans="1:45" x14ac:dyDescent="0.2">
      <c r="A4641" s="121">
        <f t="shared" si="542"/>
        <v>3930</v>
      </c>
      <c r="B4641" s="13">
        <v>2</v>
      </c>
      <c r="C4641" s="17" t="s">
        <v>65</v>
      </c>
      <c r="D4641" s="17">
        <v>1252</v>
      </c>
      <c r="E4641" s="17">
        <v>107</v>
      </c>
      <c r="H4641" s="17">
        <v>7</v>
      </c>
      <c r="I4641" s="17">
        <v>1</v>
      </c>
      <c r="J4641" s="17">
        <v>40</v>
      </c>
      <c r="K4641" s="10">
        <v>2940</v>
      </c>
      <c r="P4641" s="17">
        <v>1</v>
      </c>
      <c r="Q4641" s="19">
        <v>2940</v>
      </c>
      <c r="R4641" s="14">
        <v>160</v>
      </c>
      <c r="S4641" s="19">
        <v>470400</v>
      </c>
      <c r="AJ4641" s="19">
        <v>0</v>
      </c>
      <c r="AK4641" s="23">
        <v>0</v>
      </c>
      <c r="AM4641" s="19">
        <v>0</v>
      </c>
      <c r="AN4641" s="19">
        <v>470400</v>
      </c>
      <c r="AP4641" s="14">
        <v>470400</v>
      </c>
      <c r="AQ4641" s="12">
        <v>1E-4</v>
      </c>
    </row>
    <row r="4642" spans="1:45" ht="63" x14ac:dyDescent="0.2">
      <c r="A4642" s="121">
        <f t="shared" si="542"/>
        <v>3931</v>
      </c>
      <c r="B4642" s="13">
        <v>1</v>
      </c>
      <c r="C4642" s="17" t="s">
        <v>52</v>
      </c>
      <c r="D4642" s="17">
        <v>1903</v>
      </c>
      <c r="E4642" s="17">
        <v>78</v>
      </c>
      <c r="F4642" s="17">
        <v>489</v>
      </c>
      <c r="G4642" s="13">
        <v>2</v>
      </c>
      <c r="H4642" s="17">
        <v>0</v>
      </c>
      <c r="I4642" s="17">
        <v>3</v>
      </c>
      <c r="J4642" s="17">
        <v>51</v>
      </c>
      <c r="M4642" s="15">
        <v>255</v>
      </c>
      <c r="P4642" s="17">
        <v>5</v>
      </c>
      <c r="Q4642" s="19">
        <v>351</v>
      </c>
      <c r="R4642" s="14">
        <v>4500</v>
      </c>
      <c r="S4642" s="19">
        <v>1579500</v>
      </c>
      <c r="AR4642" s="19">
        <v>92</v>
      </c>
      <c r="AS4642" s="26">
        <v>7592</v>
      </c>
    </row>
    <row r="4643" spans="1:45" ht="63" x14ac:dyDescent="0.2">
      <c r="M4643" s="15">
        <v>35</v>
      </c>
      <c r="R4643" s="14" t="e">
        <v>#N/A</v>
      </c>
      <c r="T4643" s="17">
        <v>1</v>
      </c>
      <c r="U4643" s="17" t="s">
        <v>57</v>
      </c>
      <c r="V4643" s="17" t="s">
        <v>56</v>
      </c>
      <c r="W4643" s="4">
        <v>56</v>
      </c>
      <c r="Z4643" s="17">
        <v>56</v>
      </c>
      <c r="AB4643" s="17">
        <v>22</v>
      </c>
      <c r="AD4643" s="14">
        <v>12.7</v>
      </c>
      <c r="AE4643" s="17" t="s">
        <v>411</v>
      </c>
      <c r="AG4643" s="54">
        <v>56</v>
      </c>
      <c r="AH4643" s="11">
        <v>1</v>
      </c>
      <c r="AI4643" s="14">
        <v>7250</v>
      </c>
      <c r="AJ4643" s="19">
        <v>406000</v>
      </c>
      <c r="AK4643" s="23">
        <v>22</v>
      </c>
      <c r="AL4643" s="11">
        <v>0.34</v>
      </c>
      <c r="AM4643" s="19">
        <v>267960</v>
      </c>
      <c r="AN4643" s="19">
        <v>267960</v>
      </c>
      <c r="AP4643" s="14">
        <v>267960</v>
      </c>
      <c r="AQ4643" s="12">
        <v>3.0000000000000001E-3</v>
      </c>
      <c r="AR4643" s="19">
        <v>7500</v>
      </c>
    </row>
    <row r="4644" spans="1:45" ht="63" x14ac:dyDescent="0.2">
      <c r="M4644" s="15">
        <v>16</v>
      </c>
      <c r="R4644" s="14" t="e">
        <v>#N/A</v>
      </c>
      <c r="T4644" s="17">
        <v>2</v>
      </c>
      <c r="U4644" s="17" t="s">
        <v>57</v>
      </c>
      <c r="V4644" s="17" t="s">
        <v>56</v>
      </c>
      <c r="W4644" s="4">
        <v>140</v>
      </c>
      <c r="Z4644" s="17">
        <v>140</v>
      </c>
      <c r="AB4644" s="17">
        <v>32</v>
      </c>
      <c r="AD4644" s="14">
        <v>31.8</v>
      </c>
      <c r="AE4644" s="17" t="s">
        <v>412</v>
      </c>
      <c r="AF4644" s="14">
        <v>2</v>
      </c>
      <c r="AG4644" s="54">
        <v>140</v>
      </c>
      <c r="AH4644" s="11">
        <v>1</v>
      </c>
      <c r="AI4644" s="14">
        <v>7250</v>
      </c>
      <c r="AJ4644" s="19">
        <v>1015000</v>
      </c>
      <c r="AK4644" s="23">
        <v>32</v>
      </c>
      <c r="AL4644" s="11">
        <v>0.54</v>
      </c>
      <c r="AM4644" s="19">
        <v>466900</v>
      </c>
      <c r="AN4644" s="19">
        <v>466900</v>
      </c>
      <c r="AP4644" s="14">
        <v>466900</v>
      </c>
      <c r="AQ4644" s="12">
        <v>2.0000000000000001E-4</v>
      </c>
    </row>
    <row r="4645" spans="1:45" ht="63" x14ac:dyDescent="0.2">
      <c r="M4645" s="15">
        <v>22.5</v>
      </c>
      <c r="R4645" s="14" t="e">
        <v>#N/A</v>
      </c>
      <c r="T4645" s="17">
        <v>3</v>
      </c>
      <c r="U4645" s="17" t="s">
        <v>63</v>
      </c>
      <c r="V4645" s="17" t="s">
        <v>56</v>
      </c>
      <c r="W4645" s="4">
        <v>64</v>
      </c>
      <c r="Z4645" s="17">
        <v>64</v>
      </c>
      <c r="AB4645" s="17">
        <v>32</v>
      </c>
      <c r="AD4645" s="14">
        <v>14.5</v>
      </c>
      <c r="AE4645" s="17" t="s">
        <v>346</v>
      </c>
      <c r="AF4645" s="14">
        <v>2</v>
      </c>
      <c r="AG4645" s="54">
        <v>64</v>
      </c>
      <c r="AH4645" s="11">
        <v>1</v>
      </c>
      <c r="AI4645" s="14">
        <v>8100</v>
      </c>
      <c r="AJ4645" s="19">
        <v>518400</v>
      </c>
      <c r="AK4645" s="23">
        <v>32</v>
      </c>
      <c r="AL4645" s="11">
        <v>0.54</v>
      </c>
      <c r="AM4645" s="19">
        <v>238464</v>
      </c>
      <c r="AN4645" s="19">
        <v>238464</v>
      </c>
      <c r="AP4645" s="14">
        <v>238464</v>
      </c>
      <c r="AQ4645" s="12">
        <v>2.0000000000000001E-4</v>
      </c>
    </row>
    <row r="4646" spans="1:45" ht="63" x14ac:dyDescent="0.2">
      <c r="M4646" s="15">
        <v>22.5</v>
      </c>
      <c r="R4646" s="14" t="e">
        <v>#N/A</v>
      </c>
      <c r="T4646" s="17">
        <v>4</v>
      </c>
      <c r="U4646" s="17" t="s">
        <v>63</v>
      </c>
      <c r="V4646" s="17" t="s">
        <v>56</v>
      </c>
      <c r="W4646" s="4">
        <v>90</v>
      </c>
      <c r="Z4646" s="17">
        <v>90</v>
      </c>
      <c r="AB4646" s="17">
        <v>32</v>
      </c>
      <c r="AD4646" s="14">
        <v>20.5</v>
      </c>
      <c r="AE4646" s="17" t="s">
        <v>413</v>
      </c>
      <c r="AF4646" s="14">
        <v>2</v>
      </c>
      <c r="AG4646" s="54">
        <v>90</v>
      </c>
      <c r="AH4646" s="11">
        <v>1</v>
      </c>
      <c r="AI4646" s="14">
        <v>8100</v>
      </c>
      <c r="AJ4646" s="19">
        <v>729000</v>
      </c>
      <c r="AK4646" s="23">
        <v>32</v>
      </c>
      <c r="AL4646" s="11">
        <v>0.54</v>
      </c>
      <c r="AM4646" s="19">
        <v>335340</v>
      </c>
      <c r="AN4646" s="19">
        <v>335340</v>
      </c>
      <c r="AP4646" s="14">
        <v>335340</v>
      </c>
      <c r="AQ4646" s="12">
        <v>2.0000000000000001E-4</v>
      </c>
    </row>
    <row r="4647" spans="1:45" ht="63" x14ac:dyDescent="0.2">
      <c r="R4647" s="14" t="e">
        <v>#N/A</v>
      </c>
      <c r="T4647" s="17">
        <v>5</v>
      </c>
      <c r="U4647" s="17" t="s">
        <v>63</v>
      </c>
      <c r="V4647" s="17" t="s">
        <v>56</v>
      </c>
      <c r="W4647" s="4">
        <v>90</v>
      </c>
      <c r="Y4647" s="4" t="s">
        <v>414</v>
      </c>
      <c r="AB4647" s="17">
        <v>32</v>
      </c>
      <c r="AD4647" s="14">
        <v>20.5</v>
      </c>
      <c r="AE4647" s="17" t="s">
        <v>415</v>
      </c>
      <c r="AF4647" s="14">
        <v>2</v>
      </c>
      <c r="AG4647" s="54">
        <v>90</v>
      </c>
      <c r="AH4647" s="11">
        <v>0.72</v>
      </c>
      <c r="AI4647" s="14">
        <v>8100</v>
      </c>
      <c r="AJ4647" s="19">
        <v>524880</v>
      </c>
      <c r="AK4647" s="23">
        <v>32</v>
      </c>
      <c r="AL4647" s="11">
        <v>0.54</v>
      </c>
      <c r="AM4647" s="19">
        <v>241444.8</v>
      </c>
      <c r="AN4647" s="19">
        <v>474579</v>
      </c>
      <c r="AP4647" s="14">
        <v>474579</v>
      </c>
      <c r="AQ4647" s="12">
        <v>2.0000000000000001E-4</v>
      </c>
    </row>
    <row r="4648" spans="1:45" x14ac:dyDescent="0.2">
      <c r="R4648" s="14" t="e">
        <v>#N/A</v>
      </c>
      <c r="Z4648" s="17">
        <v>25</v>
      </c>
      <c r="AF4648" s="14">
        <v>3</v>
      </c>
      <c r="AG4648" s="54">
        <v>90</v>
      </c>
      <c r="AH4648" s="11">
        <v>0.28000000000000003</v>
      </c>
      <c r="AI4648" s="14">
        <v>8100</v>
      </c>
      <c r="AJ4648" s="19">
        <v>204120.00000000003</v>
      </c>
      <c r="AK4648" s="23">
        <v>32</v>
      </c>
      <c r="AL4648" s="11">
        <v>0.54</v>
      </c>
      <c r="AM4648" s="19">
        <v>93895.200000000012</v>
      </c>
      <c r="AN4648" s="19">
        <v>184558.5</v>
      </c>
      <c r="AP4648" s="14">
        <v>184558.5</v>
      </c>
      <c r="AQ4648" s="12">
        <v>3.0000000000000001E-3</v>
      </c>
    </row>
    <row r="4649" spans="1:45" x14ac:dyDescent="0.2">
      <c r="A4649" s="2">
        <v>3931</v>
      </c>
      <c r="B4649" s="13">
        <v>2</v>
      </c>
      <c r="C4649" s="17" t="s">
        <v>52</v>
      </c>
      <c r="D4649" s="17">
        <v>3830</v>
      </c>
      <c r="E4649" s="17">
        <v>103</v>
      </c>
      <c r="F4649" s="17">
        <v>2300</v>
      </c>
      <c r="G4649" s="13">
        <v>2</v>
      </c>
      <c r="H4649" s="17">
        <v>14</v>
      </c>
      <c r="I4649" s="17">
        <v>1</v>
      </c>
      <c r="J4649" s="17">
        <v>19</v>
      </c>
      <c r="K4649" s="10">
        <v>5719</v>
      </c>
      <c r="P4649" s="17">
        <v>1</v>
      </c>
      <c r="Q4649" s="19">
        <v>5719</v>
      </c>
      <c r="R4649" s="14">
        <v>200</v>
      </c>
      <c r="S4649" s="19">
        <v>1143800</v>
      </c>
      <c r="AJ4649" s="19">
        <v>0</v>
      </c>
      <c r="AK4649" s="23">
        <v>0</v>
      </c>
      <c r="AM4649" s="19">
        <v>0</v>
      </c>
      <c r="AN4649" s="19">
        <v>1143800</v>
      </c>
      <c r="AP4649" s="14">
        <v>1143800</v>
      </c>
    </row>
    <row r="4650" spans="1:45" x14ac:dyDescent="0.2">
      <c r="A4650" s="2">
        <v>3932</v>
      </c>
      <c r="B4650" s="13">
        <v>3</v>
      </c>
      <c r="C4650" s="17" t="s">
        <v>52</v>
      </c>
      <c r="D4650" s="17">
        <v>31081</v>
      </c>
      <c r="E4650" s="17">
        <v>217</v>
      </c>
      <c r="F4650" s="17">
        <v>6031</v>
      </c>
      <c r="G4650" s="13">
        <v>2</v>
      </c>
      <c r="H4650" s="17">
        <v>0</v>
      </c>
      <c r="I4650" s="17">
        <v>0</v>
      </c>
      <c r="J4650" s="17">
        <v>69.05</v>
      </c>
      <c r="N4650" s="18">
        <v>69.05</v>
      </c>
      <c r="P4650" s="17">
        <v>4</v>
      </c>
      <c r="Q4650" s="19">
        <v>69.05</v>
      </c>
      <c r="R4650" s="14">
        <v>3350</v>
      </c>
      <c r="S4650" s="19">
        <v>231317.5</v>
      </c>
      <c r="AJ4650" s="19">
        <v>0</v>
      </c>
      <c r="AK4650" s="23">
        <v>0</v>
      </c>
      <c r="AM4650" s="19">
        <v>0</v>
      </c>
      <c r="AN4650" s="19">
        <v>231317.5</v>
      </c>
      <c r="AP4650" s="14">
        <v>231317.5</v>
      </c>
      <c r="AQ4650" s="12">
        <v>3.0000000000000001E-3</v>
      </c>
    </row>
    <row r="4651" spans="1:45" ht="105" x14ac:dyDescent="0.2">
      <c r="A4651" s="2">
        <v>3933</v>
      </c>
      <c r="B4651" s="13">
        <v>4</v>
      </c>
      <c r="C4651" s="17" t="s">
        <v>52</v>
      </c>
      <c r="D4651" s="17">
        <v>31082</v>
      </c>
      <c r="E4651" s="17">
        <v>218</v>
      </c>
      <c r="F4651" s="17">
        <v>6032</v>
      </c>
      <c r="G4651" s="13">
        <v>2</v>
      </c>
      <c r="H4651" s="17">
        <v>0</v>
      </c>
      <c r="I4651" s="17">
        <v>0</v>
      </c>
      <c r="J4651" s="17">
        <v>73.040000000000006</v>
      </c>
      <c r="M4651" s="15" t="s">
        <v>416</v>
      </c>
      <c r="P4651" s="17">
        <v>3</v>
      </c>
      <c r="Q4651" s="19">
        <v>73.040000000000006</v>
      </c>
      <c r="R4651" s="14">
        <v>3350</v>
      </c>
      <c r="S4651" s="19">
        <v>244684.00000000003</v>
      </c>
      <c r="U4651" s="17" t="s">
        <v>174</v>
      </c>
      <c r="V4651" s="17" t="s">
        <v>56</v>
      </c>
      <c r="W4651" s="4">
        <v>87.5</v>
      </c>
      <c r="Z4651" s="17">
        <v>87.5</v>
      </c>
      <c r="AB4651" s="17">
        <v>22</v>
      </c>
      <c r="AF4651" s="14">
        <v>3</v>
      </c>
      <c r="AG4651" s="54">
        <v>87.5</v>
      </c>
      <c r="AH4651" s="11">
        <v>1</v>
      </c>
      <c r="AI4651" s="14">
        <v>5800</v>
      </c>
      <c r="AJ4651" s="19">
        <v>507500</v>
      </c>
      <c r="AK4651" s="23">
        <v>22</v>
      </c>
      <c r="AL4651" s="11">
        <v>0.34</v>
      </c>
      <c r="AM4651" s="19">
        <v>334950</v>
      </c>
      <c r="AN4651" s="19">
        <v>579634</v>
      </c>
      <c r="AP4651" s="14">
        <v>579634</v>
      </c>
      <c r="AQ4651" s="12">
        <v>3.0000000000000001E-3</v>
      </c>
    </row>
    <row r="4652" spans="1:45" ht="105" x14ac:dyDescent="0.2">
      <c r="A4652" s="2">
        <f>+A4651+1</f>
        <v>3934</v>
      </c>
      <c r="B4652" s="13">
        <v>5</v>
      </c>
      <c r="C4652" s="17" t="s">
        <v>52</v>
      </c>
      <c r="D4652" s="17">
        <v>31083</v>
      </c>
      <c r="E4652" s="17">
        <v>219</v>
      </c>
      <c r="F4652" s="17">
        <v>6033</v>
      </c>
      <c r="G4652" s="13">
        <v>2</v>
      </c>
      <c r="H4652" s="17">
        <v>0</v>
      </c>
      <c r="I4652" s="17">
        <v>0</v>
      </c>
      <c r="J4652" s="17">
        <v>74.02</v>
      </c>
      <c r="M4652" s="15" t="s">
        <v>417</v>
      </c>
      <c r="P4652" s="17">
        <v>3</v>
      </c>
      <c r="Q4652" s="19">
        <v>74.02</v>
      </c>
      <c r="R4652" s="14">
        <v>3350</v>
      </c>
      <c r="S4652" s="19">
        <v>247967</v>
      </c>
      <c r="U4652" s="17" t="s">
        <v>174</v>
      </c>
      <c r="V4652" s="17" t="s">
        <v>56</v>
      </c>
      <c r="W4652" s="4">
        <v>87.5</v>
      </c>
      <c r="Z4652" s="17">
        <v>87.5</v>
      </c>
      <c r="AB4652" s="17">
        <v>22</v>
      </c>
      <c r="AF4652" s="14">
        <v>3</v>
      </c>
      <c r="AG4652" s="54">
        <v>87.5</v>
      </c>
      <c r="AH4652" s="11">
        <v>1</v>
      </c>
      <c r="AI4652" s="14">
        <v>5800</v>
      </c>
      <c r="AJ4652" s="19">
        <v>507500</v>
      </c>
      <c r="AK4652" s="23">
        <v>22</v>
      </c>
      <c r="AL4652" s="11">
        <v>0.34</v>
      </c>
      <c r="AM4652" s="19">
        <v>334950</v>
      </c>
      <c r="AN4652" s="19">
        <v>582917</v>
      </c>
      <c r="AP4652" s="14">
        <v>582917</v>
      </c>
      <c r="AQ4652" s="12">
        <v>3.0000000000000001E-3</v>
      </c>
    </row>
    <row r="4653" spans="1:45" ht="63" x14ac:dyDescent="0.2">
      <c r="A4653" s="121">
        <f t="shared" ref="A4653:A4654" si="543">+A4652+1</f>
        <v>3935</v>
      </c>
      <c r="B4653" s="13">
        <v>6</v>
      </c>
      <c r="C4653" s="17" t="s">
        <v>52</v>
      </c>
      <c r="D4653" s="17">
        <v>31986</v>
      </c>
      <c r="E4653" s="17">
        <v>210</v>
      </c>
      <c r="F4653" s="17">
        <v>6305</v>
      </c>
      <c r="G4653" s="13">
        <v>2</v>
      </c>
      <c r="H4653" s="17">
        <v>0</v>
      </c>
      <c r="I4653" s="17">
        <v>2</v>
      </c>
      <c r="J4653" s="17">
        <v>49.06</v>
      </c>
      <c r="L4653" s="17">
        <v>249.06</v>
      </c>
      <c r="P4653" s="17">
        <v>2</v>
      </c>
      <c r="Q4653" s="19">
        <v>249.06</v>
      </c>
      <c r="R4653" s="14">
        <v>200</v>
      </c>
      <c r="S4653" s="19">
        <v>49812</v>
      </c>
      <c r="T4653" s="17">
        <v>1</v>
      </c>
      <c r="U4653" s="17" t="s">
        <v>57</v>
      </c>
      <c r="V4653" s="17" t="s">
        <v>56</v>
      </c>
      <c r="W4653" s="4">
        <v>174</v>
      </c>
      <c r="Y4653" s="4">
        <v>174</v>
      </c>
      <c r="AB4653" s="17">
        <v>19</v>
      </c>
      <c r="AJ4653" s="19">
        <v>0</v>
      </c>
      <c r="AK4653" s="23">
        <v>19</v>
      </c>
      <c r="AM4653" s="19">
        <v>0</v>
      </c>
      <c r="AN4653" s="19">
        <v>49812</v>
      </c>
      <c r="AP4653" s="14">
        <v>49812</v>
      </c>
    </row>
    <row r="4654" spans="1:45" ht="63" x14ac:dyDescent="0.2">
      <c r="A4654" s="121">
        <f t="shared" si="543"/>
        <v>3936</v>
      </c>
      <c r="B4654" s="13">
        <v>7</v>
      </c>
      <c r="C4654" s="17" t="s">
        <v>52</v>
      </c>
      <c r="D4654" s="17">
        <v>31987</v>
      </c>
      <c r="E4654" s="17">
        <v>211</v>
      </c>
      <c r="F4654" s="17">
        <v>6306</v>
      </c>
      <c r="G4654" s="13">
        <v>2</v>
      </c>
      <c r="H4654" s="17">
        <v>0</v>
      </c>
      <c r="I4654" s="17">
        <v>2</v>
      </c>
      <c r="J4654" s="17">
        <v>87</v>
      </c>
      <c r="L4654" s="17">
        <v>287</v>
      </c>
      <c r="P4654" s="17">
        <v>2</v>
      </c>
      <c r="Q4654" s="19">
        <v>287</v>
      </c>
      <c r="R4654" s="14">
        <v>250</v>
      </c>
      <c r="S4654" s="19">
        <v>71750</v>
      </c>
      <c r="T4654" s="17">
        <v>1</v>
      </c>
      <c r="U4654" s="17" t="s">
        <v>57</v>
      </c>
      <c r="V4654" s="17" t="s">
        <v>56</v>
      </c>
      <c r="W4654" s="4">
        <v>180</v>
      </c>
      <c r="Y4654" s="4">
        <v>156</v>
      </c>
      <c r="AB4654" s="17">
        <v>29</v>
      </c>
      <c r="AF4654" s="14">
        <v>2</v>
      </c>
      <c r="AG4654" s="54">
        <v>180</v>
      </c>
      <c r="AH4654" s="11">
        <v>0.81</v>
      </c>
      <c r="AI4654" s="14">
        <v>7250</v>
      </c>
      <c r="AJ4654" s="19">
        <v>1057050</v>
      </c>
      <c r="AK4654" s="23">
        <v>29</v>
      </c>
      <c r="AL4654" s="11">
        <v>0.48</v>
      </c>
      <c r="AM4654" s="19">
        <v>549666</v>
      </c>
      <c r="AN4654" s="19">
        <v>621416</v>
      </c>
      <c r="AP4654" s="14">
        <v>621416</v>
      </c>
    </row>
    <row r="4655" spans="1:45" x14ac:dyDescent="0.2">
      <c r="R4655" s="14" t="e">
        <v>#N/A</v>
      </c>
      <c r="T4655" s="17">
        <v>2</v>
      </c>
      <c r="Z4655" s="17">
        <v>30</v>
      </c>
      <c r="AF4655" s="14">
        <v>3</v>
      </c>
      <c r="AG4655" s="54">
        <v>180</v>
      </c>
      <c r="AH4655" s="11">
        <v>0.19</v>
      </c>
      <c r="AI4655" s="14">
        <v>7250</v>
      </c>
      <c r="AJ4655" s="19">
        <v>247950.00000000003</v>
      </c>
      <c r="AK4655" s="23">
        <v>29</v>
      </c>
      <c r="AL4655" s="11">
        <v>0.48</v>
      </c>
      <c r="AM4655" s="19">
        <v>128934.00000000001</v>
      </c>
      <c r="AN4655" s="19">
        <v>142566.5</v>
      </c>
      <c r="AP4655" s="14">
        <v>142566.5</v>
      </c>
      <c r="AQ4655" s="12">
        <v>3.0000000000000001E-3</v>
      </c>
    </row>
    <row r="4656" spans="1:45" ht="63" x14ac:dyDescent="0.2">
      <c r="A4656" s="2">
        <v>3937</v>
      </c>
      <c r="B4656" s="13">
        <v>8</v>
      </c>
      <c r="C4656" s="17" t="s">
        <v>52</v>
      </c>
      <c r="D4656" s="17">
        <v>31988</v>
      </c>
      <c r="E4656" s="17">
        <v>212</v>
      </c>
      <c r="F4656" s="17">
        <v>6307</v>
      </c>
      <c r="G4656" s="13">
        <v>2</v>
      </c>
      <c r="H4656" s="17">
        <v>0</v>
      </c>
      <c r="I4656" s="17">
        <v>2</v>
      </c>
      <c r="J4656" s="17">
        <v>84.07</v>
      </c>
      <c r="L4656" s="17">
        <v>256.57</v>
      </c>
      <c r="P4656" s="17">
        <v>2</v>
      </c>
      <c r="Q4656" s="19">
        <v>284.07</v>
      </c>
      <c r="R4656" s="14">
        <v>160</v>
      </c>
      <c r="S4656" s="19">
        <v>45451.199999999997</v>
      </c>
      <c r="T4656" s="17">
        <v>1</v>
      </c>
      <c r="U4656" s="17" t="s">
        <v>57</v>
      </c>
      <c r="V4656" s="17" t="s">
        <v>56</v>
      </c>
      <c r="W4656" s="4">
        <v>246.5</v>
      </c>
      <c r="Y4656" s="4">
        <v>246.5</v>
      </c>
      <c r="AB4656" s="17">
        <v>27</v>
      </c>
      <c r="AJ4656" s="19">
        <v>0</v>
      </c>
      <c r="AK4656" s="23">
        <v>27</v>
      </c>
      <c r="AM4656" s="19">
        <v>0</v>
      </c>
      <c r="AN4656" s="19">
        <v>45451.199999999997</v>
      </c>
      <c r="AP4656" s="14">
        <v>45451.199999999997</v>
      </c>
    </row>
    <row r="4657" spans="1:45" ht="63" x14ac:dyDescent="0.2">
      <c r="L4657" s="17">
        <v>27.5</v>
      </c>
      <c r="P4657" s="17">
        <v>2</v>
      </c>
      <c r="Q4657" s="19">
        <v>0</v>
      </c>
      <c r="R4657" s="14" t="e">
        <v>#N/A</v>
      </c>
      <c r="S4657" s="19" t="e">
        <v>#N/A</v>
      </c>
      <c r="T4657" s="17">
        <v>2</v>
      </c>
      <c r="U4657" s="17" t="s">
        <v>57</v>
      </c>
      <c r="V4657" s="17" t="s">
        <v>56</v>
      </c>
      <c r="W4657" s="4">
        <v>110</v>
      </c>
      <c r="Y4657" s="4">
        <v>110</v>
      </c>
      <c r="AB4657" s="17">
        <v>9</v>
      </c>
      <c r="AJ4657" s="19">
        <v>0</v>
      </c>
      <c r="AK4657" s="23">
        <v>9</v>
      </c>
      <c r="AM4657" s="19">
        <v>0</v>
      </c>
      <c r="AN4657" s="19" t="e">
        <v>#N/A</v>
      </c>
      <c r="AP4657" s="14" t="e">
        <v>#N/A</v>
      </c>
    </row>
    <row r="4658" spans="1:45" x14ac:dyDescent="0.2">
      <c r="B4658" s="13">
        <v>10</v>
      </c>
      <c r="C4658" s="17" t="s">
        <v>65</v>
      </c>
      <c r="D4658" s="17">
        <v>679</v>
      </c>
      <c r="E4658" s="17">
        <v>211</v>
      </c>
      <c r="H4658" s="17">
        <v>1</v>
      </c>
      <c r="I4658" s="17">
        <v>1</v>
      </c>
      <c r="J4658" s="17">
        <v>70</v>
      </c>
      <c r="K4658" s="10">
        <v>570</v>
      </c>
      <c r="P4658" s="17">
        <v>1</v>
      </c>
      <c r="Q4658" s="19">
        <v>570</v>
      </c>
      <c r="R4658" s="14" t="e">
        <v>#N/A</v>
      </c>
      <c r="S4658" s="19" t="e">
        <v>#N/A</v>
      </c>
      <c r="AJ4658" s="19">
        <v>0</v>
      </c>
      <c r="AK4658" s="23">
        <v>0</v>
      </c>
      <c r="AM4658" s="19">
        <v>0</v>
      </c>
      <c r="AN4658" s="19" t="e">
        <v>#N/A</v>
      </c>
      <c r="AP4658" s="14" t="e">
        <v>#N/A</v>
      </c>
      <c r="AQ4658" s="12">
        <v>1E-4</v>
      </c>
    </row>
    <row r="4659" spans="1:45" x14ac:dyDescent="0.2">
      <c r="B4659" s="13">
        <v>9</v>
      </c>
      <c r="C4659" s="17" t="s">
        <v>65</v>
      </c>
      <c r="D4659" s="17">
        <v>3656</v>
      </c>
      <c r="E4659" s="17">
        <v>647</v>
      </c>
      <c r="H4659" s="17">
        <v>0</v>
      </c>
      <c r="I4659" s="17">
        <v>2</v>
      </c>
      <c r="J4659" s="17">
        <v>84</v>
      </c>
      <c r="K4659" s="10">
        <v>284</v>
      </c>
      <c r="Q4659" s="19">
        <v>284</v>
      </c>
      <c r="R4659" s="14" t="e">
        <v>#N/A</v>
      </c>
      <c r="S4659" s="19" t="e">
        <v>#N/A</v>
      </c>
      <c r="AE4659" s="17" t="s">
        <v>418</v>
      </c>
      <c r="AJ4659" s="19">
        <v>0</v>
      </c>
      <c r="AK4659" s="23">
        <v>0</v>
      </c>
      <c r="AM4659" s="19">
        <v>0</v>
      </c>
      <c r="AN4659" s="19" t="e">
        <v>#N/A</v>
      </c>
      <c r="AP4659" s="14" t="e">
        <v>#N/A</v>
      </c>
      <c r="AQ4659" s="12">
        <v>1E-4</v>
      </c>
    </row>
    <row r="4660" spans="1:45" x14ac:dyDescent="0.2">
      <c r="B4660" s="13">
        <v>11</v>
      </c>
      <c r="C4660" s="17" t="s">
        <v>65</v>
      </c>
      <c r="D4660" s="17">
        <v>3541</v>
      </c>
      <c r="E4660" s="17">
        <v>638</v>
      </c>
      <c r="H4660" s="17">
        <v>0</v>
      </c>
      <c r="I4660" s="17">
        <v>2</v>
      </c>
      <c r="J4660" s="17">
        <v>17</v>
      </c>
      <c r="K4660" s="10">
        <v>217</v>
      </c>
      <c r="Q4660" s="19">
        <v>217</v>
      </c>
      <c r="R4660" s="14" t="e">
        <v>#N/A</v>
      </c>
      <c r="S4660" s="19" t="e">
        <v>#N/A</v>
      </c>
      <c r="AE4660" s="17" t="s">
        <v>418</v>
      </c>
      <c r="AJ4660" s="19">
        <v>0</v>
      </c>
      <c r="AK4660" s="23">
        <v>0</v>
      </c>
      <c r="AM4660" s="19">
        <v>0</v>
      </c>
      <c r="AN4660" s="19" t="e">
        <v>#N/A</v>
      </c>
      <c r="AP4660" s="14" t="e">
        <v>#N/A</v>
      </c>
      <c r="AQ4660" s="12">
        <v>1E-4</v>
      </c>
    </row>
    <row r="4661" spans="1:45" x14ac:dyDescent="0.2">
      <c r="B4661" s="13">
        <v>12</v>
      </c>
      <c r="C4661" s="17" t="s">
        <v>65</v>
      </c>
      <c r="D4661" s="17">
        <v>3655</v>
      </c>
      <c r="E4661" s="17">
        <v>646</v>
      </c>
      <c r="H4661" s="17">
        <v>0</v>
      </c>
      <c r="I4661" s="17">
        <v>2</v>
      </c>
      <c r="J4661" s="17">
        <v>83</v>
      </c>
      <c r="K4661" s="10">
        <v>283</v>
      </c>
      <c r="Q4661" s="19">
        <v>283</v>
      </c>
      <c r="R4661" s="14" t="e">
        <v>#N/A</v>
      </c>
      <c r="S4661" s="19" t="e">
        <v>#N/A</v>
      </c>
      <c r="AE4661" s="17" t="s">
        <v>418</v>
      </c>
      <c r="AJ4661" s="19">
        <v>0</v>
      </c>
      <c r="AK4661" s="23">
        <v>0</v>
      </c>
      <c r="AM4661" s="19">
        <v>0</v>
      </c>
      <c r="AN4661" s="19" t="e">
        <v>#N/A</v>
      </c>
      <c r="AP4661" s="14" t="e">
        <v>#N/A</v>
      </c>
    </row>
    <row r="4662" spans="1:45" x14ac:dyDescent="0.2">
      <c r="A4662" s="2">
        <v>3937</v>
      </c>
      <c r="B4662" s="13">
        <v>1</v>
      </c>
      <c r="C4662" s="17" t="s">
        <v>52</v>
      </c>
      <c r="D4662" s="17">
        <v>3831</v>
      </c>
      <c r="E4662" s="17">
        <v>4</v>
      </c>
      <c r="F4662" s="17">
        <v>2301</v>
      </c>
      <c r="G4662" s="13">
        <v>2</v>
      </c>
      <c r="H4662" s="17">
        <v>11</v>
      </c>
      <c r="I4662" s="17">
        <v>0</v>
      </c>
      <c r="J4662" s="17">
        <v>64</v>
      </c>
      <c r="K4662" s="10">
        <v>4464</v>
      </c>
      <c r="P4662" s="17">
        <v>1</v>
      </c>
      <c r="Q4662" s="19">
        <v>4464</v>
      </c>
      <c r="R4662" s="14">
        <v>200</v>
      </c>
      <c r="S4662" s="19">
        <v>892800</v>
      </c>
      <c r="AJ4662" s="19">
        <v>0</v>
      </c>
      <c r="AK4662" s="23">
        <v>0</v>
      </c>
      <c r="AM4662" s="19">
        <v>0</v>
      </c>
      <c r="AN4662" s="19">
        <v>892800</v>
      </c>
      <c r="AP4662" s="14">
        <v>892800</v>
      </c>
      <c r="AS4662" s="26">
        <v>61</v>
      </c>
    </row>
    <row r="4663" spans="1:45" x14ac:dyDescent="0.2">
      <c r="A4663" s="2">
        <f>+A4662+1</f>
        <v>3938</v>
      </c>
      <c r="B4663" s="13">
        <v>1</v>
      </c>
      <c r="C4663" s="17" t="s">
        <v>52</v>
      </c>
      <c r="D4663" s="17">
        <v>3774</v>
      </c>
      <c r="E4663" s="17">
        <v>102</v>
      </c>
      <c r="F4663" s="17">
        <v>2299</v>
      </c>
      <c r="G4663" s="13">
        <v>2</v>
      </c>
      <c r="H4663" s="17">
        <v>3</v>
      </c>
      <c r="I4663" s="17">
        <v>2</v>
      </c>
      <c r="J4663" s="17">
        <v>65</v>
      </c>
      <c r="K4663" s="10">
        <v>1465</v>
      </c>
      <c r="P4663" s="17">
        <v>1</v>
      </c>
      <c r="Q4663" s="19">
        <v>1465</v>
      </c>
      <c r="R4663" s="14">
        <v>200</v>
      </c>
      <c r="S4663" s="19">
        <v>293000</v>
      </c>
      <c r="AJ4663" s="19">
        <v>0</v>
      </c>
      <c r="AK4663" s="23">
        <v>0</v>
      </c>
      <c r="AM4663" s="19">
        <v>0</v>
      </c>
      <c r="AN4663" s="19">
        <v>293000</v>
      </c>
      <c r="AP4663" s="14">
        <v>293000</v>
      </c>
      <c r="AS4663" s="26">
        <v>20</v>
      </c>
    </row>
    <row r="4664" spans="1:45" ht="63" x14ac:dyDescent="0.2">
      <c r="A4664" s="121">
        <f t="shared" ref="A4664:A4669" si="544">+A4663+1</f>
        <v>3939</v>
      </c>
      <c r="B4664" s="13">
        <v>1</v>
      </c>
      <c r="C4664" s="17" t="s">
        <v>52</v>
      </c>
      <c r="D4664" s="17">
        <v>3755</v>
      </c>
      <c r="E4664" s="17">
        <v>22</v>
      </c>
      <c r="F4664" s="17">
        <v>2277</v>
      </c>
      <c r="G4664" s="13">
        <v>2</v>
      </c>
      <c r="H4664" s="17">
        <v>15</v>
      </c>
      <c r="I4664" s="17">
        <v>1</v>
      </c>
      <c r="J4664" s="17">
        <v>55</v>
      </c>
      <c r="K4664" s="10">
        <v>6155</v>
      </c>
      <c r="P4664" s="17">
        <v>1</v>
      </c>
      <c r="Q4664" s="19">
        <v>6155</v>
      </c>
      <c r="R4664" s="14">
        <v>160</v>
      </c>
      <c r="S4664" s="19">
        <v>984800</v>
      </c>
      <c r="AJ4664" s="19">
        <v>0</v>
      </c>
      <c r="AK4664" s="23">
        <v>0</v>
      </c>
      <c r="AM4664" s="19">
        <v>0</v>
      </c>
      <c r="AN4664" s="19">
        <v>984800</v>
      </c>
      <c r="AP4664" s="14">
        <v>984800</v>
      </c>
      <c r="AR4664" s="19">
        <v>46</v>
      </c>
      <c r="AS4664" s="26">
        <v>766</v>
      </c>
    </row>
    <row r="4665" spans="1:45" ht="63" x14ac:dyDescent="0.2">
      <c r="A4665" s="121">
        <f t="shared" si="544"/>
        <v>3940</v>
      </c>
      <c r="B4665" s="13">
        <v>2</v>
      </c>
      <c r="C4665" s="17" t="s">
        <v>52</v>
      </c>
      <c r="D4665" s="17">
        <v>31080</v>
      </c>
      <c r="E4665" s="17">
        <v>216</v>
      </c>
      <c r="F4665" s="17">
        <v>6030</v>
      </c>
      <c r="G4665" s="13">
        <v>2</v>
      </c>
      <c r="H4665" s="17">
        <v>0</v>
      </c>
      <c r="I4665" s="17">
        <v>1</v>
      </c>
      <c r="J4665" s="17">
        <v>38</v>
      </c>
      <c r="L4665" s="17">
        <v>138</v>
      </c>
      <c r="P4665" s="17">
        <v>2</v>
      </c>
      <c r="Q4665" s="19">
        <v>138</v>
      </c>
      <c r="R4665" s="14">
        <v>3350</v>
      </c>
      <c r="S4665" s="19">
        <v>462300</v>
      </c>
      <c r="AJ4665" s="19">
        <v>0</v>
      </c>
      <c r="AK4665" s="23">
        <v>0</v>
      </c>
      <c r="AM4665" s="19">
        <v>0</v>
      </c>
      <c r="AN4665" s="19">
        <v>462300</v>
      </c>
      <c r="AP4665" s="14">
        <v>462300</v>
      </c>
      <c r="AR4665" s="19">
        <v>720</v>
      </c>
    </row>
    <row r="4666" spans="1:45" x14ac:dyDescent="0.2">
      <c r="A4666" s="121">
        <f t="shared" si="544"/>
        <v>3941</v>
      </c>
      <c r="B4666" s="13">
        <v>3</v>
      </c>
      <c r="C4666" s="17" t="s">
        <v>65</v>
      </c>
      <c r="D4666" s="17">
        <v>3540</v>
      </c>
      <c r="E4666" s="17">
        <v>637</v>
      </c>
      <c r="G4666" s="13">
        <v>2</v>
      </c>
      <c r="H4666" s="17">
        <v>0</v>
      </c>
      <c r="I4666" s="17">
        <v>1</v>
      </c>
      <c r="J4666" s="17">
        <v>41</v>
      </c>
      <c r="K4666" s="10">
        <v>141</v>
      </c>
      <c r="P4666" s="17">
        <v>1</v>
      </c>
      <c r="Q4666" s="19">
        <v>141</v>
      </c>
      <c r="R4666" s="14">
        <v>4500</v>
      </c>
      <c r="S4666" s="19">
        <v>634500</v>
      </c>
      <c r="AJ4666" s="19">
        <v>0</v>
      </c>
      <c r="AK4666" s="23">
        <v>0</v>
      </c>
      <c r="AM4666" s="19">
        <v>0</v>
      </c>
      <c r="AN4666" s="19">
        <v>634500</v>
      </c>
      <c r="AP4666" s="14">
        <v>634500</v>
      </c>
      <c r="AQ4666" s="12">
        <v>2.0000000000000001E-4</v>
      </c>
    </row>
    <row r="4667" spans="1:45" x14ac:dyDescent="0.2">
      <c r="A4667" s="121">
        <f t="shared" si="544"/>
        <v>3942</v>
      </c>
      <c r="B4667" s="13">
        <v>1</v>
      </c>
      <c r="C4667" s="17" t="s">
        <v>69</v>
      </c>
      <c r="E4667" s="17">
        <v>155</v>
      </c>
      <c r="F4667" s="17">
        <v>6</v>
      </c>
      <c r="G4667" s="13">
        <v>2</v>
      </c>
      <c r="H4667" s="17">
        <v>13</v>
      </c>
      <c r="I4667" s="17">
        <v>1</v>
      </c>
      <c r="J4667" s="17">
        <v>82</v>
      </c>
      <c r="K4667" s="10">
        <v>5382</v>
      </c>
      <c r="P4667" s="17">
        <v>1</v>
      </c>
      <c r="Q4667" s="19">
        <v>5382</v>
      </c>
      <c r="R4667" s="14">
        <v>160</v>
      </c>
      <c r="S4667" s="19">
        <v>861120</v>
      </c>
      <c r="AJ4667" s="19">
        <v>0</v>
      </c>
      <c r="AK4667" s="23">
        <v>0</v>
      </c>
      <c r="AM4667" s="19">
        <v>0</v>
      </c>
      <c r="AN4667" s="19">
        <v>861120</v>
      </c>
      <c r="AP4667" s="14">
        <v>861120</v>
      </c>
      <c r="AQ4667" s="12">
        <v>1E-4</v>
      </c>
    </row>
    <row r="4668" spans="1:45" x14ac:dyDescent="0.2">
      <c r="A4668" s="121">
        <f t="shared" si="544"/>
        <v>3943</v>
      </c>
      <c r="B4668" s="13">
        <v>2</v>
      </c>
      <c r="C4668" s="17" t="s">
        <v>69</v>
      </c>
      <c r="E4668" s="17">
        <v>155</v>
      </c>
      <c r="F4668" s="17">
        <v>7</v>
      </c>
      <c r="G4668" s="13">
        <v>2</v>
      </c>
      <c r="H4668" s="17">
        <v>4</v>
      </c>
      <c r="I4668" s="17">
        <v>0</v>
      </c>
      <c r="J4668" s="17">
        <v>77</v>
      </c>
      <c r="K4668" s="10">
        <v>1677</v>
      </c>
      <c r="P4668" s="17">
        <v>1</v>
      </c>
      <c r="Q4668" s="19">
        <v>1677</v>
      </c>
      <c r="R4668" s="14">
        <v>160</v>
      </c>
      <c r="S4668" s="19">
        <v>268320</v>
      </c>
      <c r="AJ4668" s="19">
        <v>0</v>
      </c>
      <c r="AK4668" s="23">
        <v>0</v>
      </c>
      <c r="AM4668" s="19">
        <v>0</v>
      </c>
      <c r="AN4668" s="19">
        <v>268320</v>
      </c>
      <c r="AP4668" s="14">
        <v>268320</v>
      </c>
      <c r="AQ4668" s="12">
        <v>1E-4</v>
      </c>
    </row>
    <row r="4669" spans="1:45" ht="63" x14ac:dyDescent="0.2">
      <c r="A4669" s="121">
        <f t="shared" si="544"/>
        <v>3944</v>
      </c>
      <c r="B4669" s="13">
        <v>1</v>
      </c>
      <c r="C4669" s="17" t="s">
        <v>52</v>
      </c>
      <c r="D4669" s="17">
        <v>3208</v>
      </c>
      <c r="E4669" s="17">
        <v>84</v>
      </c>
      <c r="F4669" s="17">
        <v>2141</v>
      </c>
      <c r="G4669" s="13">
        <v>2</v>
      </c>
      <c r="H4669" s="17">
        <v>3</v>
      </c>
      <c r="I4669" s="17">
        <v>2</v>
      </c>
      <c r="J4669" s="17">
        <v>97</v>
      </c>
      <c r="K4669" s="10">
        <v>1443.87</v>
      </c>
      <c r="L4669" s="17">
        <v>19.38</v>
      </c>
      <c r="P4669" s="17">
        <v>5</v>
      </c>
      <c r="Q4669" s="19">
        <v>1497</v>
      </c>
      <c r="R4669" s="14">
        <v>200</v>
      </c>
      <c r="S4669" s="19">
        <v>299400</v>
      </c>
      <c r="T4669" s="17">
        <v>1</v>
      </c>
      <c r="U4669" s="17" t="s">
        <v>57</v>
      </c>
      <c r="V4669" s="17" t="s">
        <v>56</v>
      </c>
      <c r="W4669" s="4">
        <v>77.5</v>
      </c>
      <c r="Y4669" s="4">
        <v>77.5</v>
      </c>
      <c r="AB4669" s="17">
        <v>7</v>
      </c>
      <c r="AJ4669" s="19">
        <v>0</v>
      </c>
      <c r="AK4669" s="23">
        <v>7</v>
      </c>
      <c r="AM4669" s="19">
        <v>0</v>
      </c>
      <c r="AN4669" s="19">
        <v>299400</v>
      </c>
      <c r="AP4669" s="14">
        <v>299400</v>
      </c>
    </row>
    <row r="4670" spans="1:45" ht="63" x14ac:dyDescent="0.2">
      <c r="L4670" s="17">
        <v>3</v>
      </c>
      <c r="Q4670" s="19">
        <v>0</v>
      </c>
      <c r="R4670" s="14" t="e">
        <v>#N/A</v>
      </c>
      <c r="S4670" s="19" t="e">
        <v>#N/A</v>
      </c>
      <c r="T4670" s="17">
        <v>2</v>
      </c>
      <c r="U4670" s="17" t="s">
        <v>57</v>
      </c>
      <c r="V4670" s="17" t="s">
        <v>88</v>
      </c>
      <c r="W4670" s="4">
        <v>12</v>
      </c>
      <c r="Y4670" s="4">
        <v>12</v>
      </c>
      <c r="AB4670" s="17">
        <v>17</v>
      </c>
      <c r="AJ4670" s="19">
        <v>0</v>
      </c>
      <c r="AK4670" s="23">
        <v>17</v>
      </c>
      <c r="AM4670" s="19">
        <v>0</v>
      </c>
      <c r="AN4670" s="19" t="e">
        <v>#N/A</v>
      </c>
      <c r="AP4670" s="14" t="e">
        <v>#N/A</v>
      </c>
    </row>
    <row r="4671" spans="1:45" ht="63" x14ac:dyDescent="0.2">
      <c r="L4671" s="17">
        <v>18.75</v>
      </c>
      <c r="Q4671" s="19">
        <v>0</v>
      </c>
      <c r="R4671" s="14" t="e">
        <v>#N/A</v>
      </c>
      <c r="S4671" s="19" t="e">
        <v>#N/A</v>
      </c>
      <c r="T4671" s="17">
        <v>3</v>
      </c>
      <c r="U4671" s="17" t="s">
        <v>57</v>
      </c>
      <c r="V4671" s="17" t="s">
        <v>56</v>
      </c>
      <c r="W4671" s="4">
        <v>75</v>
      </c>
      <c r="Y4671" s="4">
        <v>75</v>
      </c>
      <c r="AB4671" s="17">
        <v>21</v>
      </c>
      <c r="AJ4671" s="19">
        <v>0</v>
      </c>
      <c r="AK4671" s="23">
        <v>21</v>
      </c>
      <c r="AM4671" s="19">
        <v>0</v>
      </c>
      <c r="AN4671" s="19" t="e">
        <v>#N/A</v>
      </c>
      <c r="AP4671" s="14" t="e">
        <v>#N/A</v>
      </c>
    </row>
    <row r="4672" spans="1:45" ht="63" x14ac:dyDescent="0.2">
      <c r="L4672" s="17">
        <v>12</v>
      </c>
      <c r="Q4672" s="19">
        <v>0</v>
      </c>
      <c r="R4672" s="14" t="e">
        <v>#N/A</v>
      </c>
      <c r="S4672" s="19" t="e">
        <v>#N/A</v>
      </c>
      <c r="T4672" s="17">
        <v>4</v>
      </c>
      <c r="U4672" s="17" t="s">
        <v>57</v>
      </c>
      <c r="V4672" s="17" t="s">
        <v>56</v>
      </c>
      <c r="W4672" s="4">
        <v>48</v>
      </c>
      <c r="Y4672" s="4">
        <v>48</v>
      </c>
      <c r="AB4672" s="17">
        <v>21</v>
      </c>
      <c r="AJ4672" s="19">
        <v>0</v>
      </c>
      <c r="AK4672" s="23">
        <v>21</v>
      </c>
      <c r="AM4672" s="19">
        <v>0</v>
      </c>
      <c r="AN4672" s="19" t="e">
        <v>#N/A</v>
      </c>
      <c r="AP4672" s="14" t="e">
        <v>#N/A</v>
      </c>
    </row>
    <row r="4673" spans="1:45" s="19" customFormat="1" x14ac:dyDescent="0.2">
      <c r="A4673" s="2">
        <v>3945</v>
      </c>
      <c r="B4673" s="13">
        <v>1</v>
      </c>
      <c r="C4673" s="17" t="s">
        <v>52</v>
      </c>
      <c r="D4673" s="17">
        <v>2982</v>
      </c>
      <c r="E4673" s="17">
        <v>9</v>
      </c>
      <c r="F4673" s="17">
        <v>2050</v>
      </c>
      <c r="G4673" s="13">
        <v>2</v>
      </c>
      <c r="H4673" s="17">
        <v>0</v>
      </c>
      <c r="I4673" s="17">
        <v>0</v>
      </c>
      <c r="J4673" s="17">
        <v>71</v>
      </c>
      <c r="K4673" s="10">
        <v>71</v>
      </c>
      <c r="L4673" s="17"/>
      <c r="M4673" s="15"/>
      <c r="N4673" s="18"/>
      <c r="O4673" s="14"/>
      <c r="P4673" s="17">
        <v>1</v>
      </c>
      <c r="Q4673" s="19">
        <v>71</v>
      </c>
      <c r="R4673" s="14">
        <v>250</v>
      </c>
      <c r="S4673" s="19">
        <v>17750</v>
      </c>
      <c r="T4673" s="17"/>
      <c r="U4673" s="17"/>
      <c r="V4673" s="17"/>
      <c r="W4673" s="4"/>
      <c r="X4673" s="17"/>
      <c r="Y4673" s="4"/>
      <c r="Z4673" s="17"/>
      <c r="AA4673" s="17"/>
      <c r="AB4673" s="17"/>
      <c r="AC4673" s="14"/>
      <c r="AD4673" s="14"/>
      <c r="AE4673" s="17"/>
      <c r="AF4673" s="14"/>
      <c r="AG4673" s="54"/>
      <c r="AH4673" s="11"/>
      <c r="AI4673" s="14"/>
      <c r="AJ4673" s="19">
        <v>0</v>
      </c>
      <c r="AK4673" s="23">
        <v>0</v>
      </c>
      <c r="AL4673" s="11"/>
      <c r="AM4673" s="19">
        <v>0</v>
      </c>
      <c r="AN4673" s="19">
        <v>17750</v>
      </c>
      <c r="AO4673" s="14"/>
      <c r="AP4673" s="14">
        <v>17750</v>
      </c>
      <c r="AQ4673" s="12"/>
      <c r="AS4673" s="26"/>
    </row>
    <row r="4674" spans="1:45" s="19" customFormat="1" x14ac:dyDescent="0.2">
      <c r="A4674" s="2">
        <f>+A4673+1</f>
        <v>3946</v>
      </c>
      <c r="B4674" s="13">
        <v>1</v>
      </c>
      <c r="C4674" s="17" t="s">
        <v>52</v>
      </c>
      <c r="D4674" s="17">
        <v>2984</v>
      </c>
      <c r="E4674" s="17">
        <v>11</v>
      </c>
      <c r="F4674" s="17">
        <v>2052</v>
      </c>
      <c r="G4674" s="13">
        <v>2</v>
      </c>
      <c r="H4674" s="17">
        <v>0</v>
      </c>
      <c r="I4674" s="17">
        <v>0</v>
      </c>
      <c r="J4674" s="17">
        <v>85</v>
      </c>
      <c r="K4674" s="10">
        <v>85</v>
      </c>
      <c r="L4674" s="17"/>
      <c r="M4674" s="15"/>
      <c r="N4674" s="18"/>
      <c r="O4674" s="14"/>
      <c r="P4674" s="17">
        <v>1</v>
      </c>
      <c r="Q4674" s="19">
        <v>85</v>
      </c>
      <c r="R4674" s="14">
        <v>250</v>
      </c>
      <c r="S4674" s="19">
        <v>21250</v>
      </c>
      <c r="T4674" s="17"/>
      <c r="U4674" s="17"/>
      <c r="V4674" s="17"/>
      <c r="W4674" s="4"/>
      <c r="X4674" s="17"/>
      <c r="Y4674" s="4"/>
      <c r="Z4674" s="17"/>
      <c r="AA4674" s="17"/>
      <c r="AB4674" s="17"/>
      <c r="AC4674" s="14"/>
      <c r="AD4674" s="14"/>
      <c r="AE4674" s="17"/>
      <c r="AF4674" s="14"/>
      <c r="AG4674" s="54"/>
      <c r="AH4674" s="11"/>
      <c r="AI4674" s="14"/>
      <c r="AJ4674" s="19">
        <v>0</v>
      </c>
      <c r="AK4674" s="23">
        <v>0</v>
      </c>
      <c r="AL4674" s="11"/>
      <c r="AM4674" s="19">
        <v>0</v>
      </c>
      <c r="AN4674" s="19">
        <v>21250</v>
      </c>
      <c r="AO4674" s="14"/>
      <c r="AP4674" s="14">
        <v>21250</v>
      </c>
      <c r="AQ4674" s="12"/>
      <c r="AS4674" s="26"/>
    </row>
    <row r="4675" spans="1:45" s="19" customFormat="1" x14ac:dyDescent="0.2">
      <c r="A4675" s="121">
        <f t="shared" ref="A4675:A4676" si="545">+A4674+1</f>
        <v>3947</v>
      </c>
      <c r="B4675" s="13">
        <v>2</v>
      </c>
      <c r="C4675" s="17" t="s">
        <v>52</v>
      </c>
      <c r="D4675" s="17">
        <v>3756</v>
      </c>
      <c r="E4675" s="17">
        <v>26</v>
      </c>
      <c r="F4675" s="17">
        <v>2278</v>
      </c>
      <c r="G4675" s="13">
        <v>2</v>
      </c>
      <c r="H4675" s="17">
        <v>5</v>
      </c>
      <c r="I4675" s="17">
        <v>1</v>
      </c>
      <c r="J4675" s="17">
        <v>74</v>
      </c>
      <c r="K4675" s="10">
        <v>2174</v>
      </c>
      <c r="L4675" s="17"/>
      <c r="M4675" s="15"/>
      <c r="N4675" s="18"/>
      <c r="O4675" s="14"/>
      <c r="P4675" s="17">
        <v>1</v>
      </c>
      <c r="Q4675" s="19">
        <v>2174</v>
      </c>
      <c r="R4675" s="14">
        <v>160</v>
      </c>
      <c r="S4675" s="19">
        <v>347840</v>
      </c>
      <c r="T4675" s="17"/>
      <c r="U4675" s="17"/>
      <c r="V4675" s="17"/>
      <c r="W4675" s="4"/>
      <c r="X4675" s="17"/>
      <c r="Y4675" s="4"/>
      <c r="Z4675" s="17"/>
      <c r="AA4675" s="17"/>
      <c r="AB4675" s="17"/>
      <c r="AC4675" s="14"/>
      <c r="AD4675" s="14"/>
      <c r="AE4675" s="17"/>
      <c r="AF4675" s="14"/>
      <c r="AG4675" s="54"/>
      <c r="AH4675" s="11"/>
      <c r="AI4675" s="14"/>
      <c r="AJ4675" s="19">
        <v>0</v>
      </c>
      <c r="AK4675" s="23">
        <v>0</v>
      </c>
      <c r="AL4675" s="11"/>
      <c r="AM4675" s="19">
        <v>0</v>
      </c>
      <c r="AN4675" s="19">
        <v>347840</v>
      </c>
      <c r="AO4675" s="14"/>
      <c r="AP4675" s="14">
        <v>347840</v>
      </c>
      <c r="AQ4675" s="12"/>
      <c r="AS4675" s="26"/>
    </row>
    <row r="4676" spans="1:45" s="19" customFormat="1" ht="63" x14ac:dyDescent="0.2">
      <c r="A4676" s="121">
        <f t="shared" si="545"/>
        <v>3948</v>
      </c>
      <c r="B4676" s="13">
        <v>3</v>
      </c>
      <c r="C4676" s="17" t="s">
        <v>52</v>
      </c>
      <c r="D4676" s="17">
        <v>31983</v>
      </c>
      <c r="E4676" s="17">
        <v>208</v>
      </c>
      <c r="F4676" s="17">
        <v>6302</v>
      </c>
      <c r="G4676" s="13">
        <v>2</v>
      </c>
      <c r="H4676" s="17">
        <v>0</v>
      </c>
      <c r="I4676" s="17">
        <v>2</v>
      </c>
      <c r="J4676" s="17">
        <v>2.02</v>
      </c>
      <c r="K4676" s="10"/>
      <c r="L4676" s="17">
        <v>194.52</v>
      </c>
      <c r="M4676" s="15"/>
      <c r="N4676" s="18"/>
      <c r="O4676" s="14"/>
      <c r="P4676" s="17">
        <v>2</v>
      </c>
      <c r="Q4676" s="19">
        <v>202.02</v>
      </c>
      <c r="R4676" s="14">
        <v>250</v>
      </c>
      <c r="S4676" s="19">
        <v>50505</v>
      </c>
      <c r="T4676" s="17">
        <v>1</v>
      </c>
      <c r="U4676" s="17" t="s">
        <v>57</v>
      </c>
      <c r="V4676" s="17" t="s">
        <v>56</v>
      </c>
      <c r="W4676" s="4">
        <v>168</v>
      </c>
      <c r="X4676" s="17"/>
      <c r="Y4676" s="4">
        <v>168</v>
      </c>
      <c r="Z4676" s="17"/>
      <c r="AA4676" s="17"/>
      <c r="AB4676" s="17">
        <v>31</v>
      </c>
      <c r="AC4676" s="14"/>
      <c r="AD4676" s="14"/>
      <c r="AE4676" s="17"/>
      <c r="AF4676" s="14"/>
      <c r="AG4676" s="54"/>
      <c r="AH4676" s="11"/>
      <c r="AI4676" s="14"/>
      <c r="AJ4676" s="19">
        <v>0</v>
      </c>
      <c r="AK4676" s="23">
        <v>31</v>
      </c>
      <c r="AL4676" s="11"/>
      <c r="AM4676" s="19">
        <v>0</v>
      </c>
      <c r="AN4676" s="19">
        <v>50505</v>
      </c>
      <c r="AO4676" s="14"/>
      <c r="AP4676" s="14">
        <v>50505</v>
      </c>
      <c r="AQ4676" s="12"/>
      <c r="AS4676" s="26"/>
    </row>
    <row r="4677" spans="1:45" s="19" customFormat="1" ht="63" x14ac:dyDescent="0.2">
      <c r="A4677" s="2"/>
      <c r="B4677" s="13"/>
      <c r="C4677" s="17"/>
      <c r="D4677" s="17"/>
      <c r="E4677" s="17"/>
      <c r="F4677" s="17"/>
      <c r="G4677" s="13"/>
      <c r="H4677" s="17"/>
      <c r="I4677" s="17"/>
      <c r="J4677" s="17"/>
      <c r="K4677" s="10"/>
      <c r="L4677" s="17">
        <v>7.5</v>
      </c>
      <c r="M4677" s="15"/>
      <c r="N4677" s="18"/>
      <c r="O4677" s="14"/>
      <c r="P4677" s="17"/>
      <c r="Q4677" s="19">
        <v>0</v>
      </c>
      <c r="R4677" s="14" t="e">
        <v>#N/A</v>
      </c>
      <c r="S4677" s="19" t="e">
        <v>#N/A</v>
      </c>
      <c r="T4677" s="17">
        <v>2</v>
      </c>
      <c r="U4677" s="17" t="s">
        <v>57</v>
      </c>
      <c r="V4677" s="17" t="s">
        <v>88</v>
      </c>
      <c r="W4677" s="4">
        <v>30</v>
      </c>
      <c r="X4677" s="17"/>
      <c r="Y4677" s="4">
        <v>30</v>
      </c>
      <c r="Z4677" s="17"/>
      <c r="AA4677" s="17"/>
      <c r="AB4677" s="17">
        <v>8</v>
      </c>
      <c r="AC4677" s="14"/>
      <c r="AD4677" s="14"/>
      <c r="AE4677" s="17"/>
      <c r="AF4677" s="14"/>
      <c r="AG4677" s="54"/>
      <c r="AH4677" s="11"/>
      <c r="AI4677" s="14"/>
      <c r="AJ4677" s="19">
        <v>0</v>
      </c>
      <c r="AK4677" s="23">
        <v>8</v>
      </c>
      <c r="AL4677" s="11"/>
      <c r="AM4677" s="19">
        <v>0</v>
      </c>
      <c r="AN4677" s="19" t="e">
        <v>#N/A</v>
      </c>
      <c r="AO4677" s="14"/>
      <c r="AP4677" s="14" t="e">
        <v>#N/A</v>
      </c>
      <c r="AQ4677" s="12"/>
      <c r="AS4677" s="26"/>
    </row>
    <row r="4678" spans="1:45" s="19" customFormat="1" x14ac:dyDescent="0.2">
      <c r="A4678" s="2">
        <v>3949</v>
      </c>
      <c r="B4678" s="13">
        <v>4</v>
      </c>
      <c r="C4678" s="17" t="s">
        <v>52</v>
      </c>
      <c r="D4678" s="17">
        <v>31984</v>
      </c>
      <c r="E4678" s="17">
        <v>209</v>
      </c>
      <c r="F4678" s="17">
        <v>6303</v>
      </c>
      <c r="G4678" s="13">
        <v>2</v>
      </c>
      <c r="H4678" s="17">
        <v>0</v>
      </c>
      <c r="I4678" s="17">
        <v>1</v>
      </c>
      <c r="J4678" s="17">
        <v>23.06</v>
      </c>
      <c r="K4678" s="10"/>
      <c r="L4678" s="17"/>
      <c r="M4678" s="15"/>
      <c r="N4678" s="18">
        <v>123.06</v>
      </c>
      <c r="O4678" s="14"/>
      <c r="P4678" s="17">
        <v>4</v>
      </c>
      <c r="Q4678" s="19">
        <v>123.06</v>
      </c>
      <c r="R4678" s="14">
        <v>250</v>
      </c>
      <c r="S4678" s="19">
        <v>30765</v>
      </c>
      <c r="T4678" s="17"/>
      <c r="U4678" s="17"/>
      <c r="V4678" s="17"/>
      <c r="W4678" s="4"/>
      <c r="X4678" s="17"/>
      <c r="Y4678" s="4"/>
      <c r="Z4678" s="17"/>
      <c r="AA4678" s="17"/>
      <c r="AB4678" s="17"/>
      <c r="AC4678" s="14"/>
      <c r="AD4678" s="14"/>
      <c r="AE4678" s="17"/>
      <c r="AF4678" s="14"/>
      <c r="AG4678" s="54"/>
      <c r="AH4678" s="11"/>
      <c r="AI4678" s="14"/>
      <c r="AJ4678" s="19">
        <v>0</v>
      </c>
      <c r="AK4678" s="23">
        <v>0</v>
      </c>
      <c r="AL4678" s="11"/>
      <c r="AM4678" s="19">
        <v>0</v>
      </c>
      <c r="AN4678" s="19">
        <v>30765</v>
      </c>
      <c r="AO4678" s="14"/>
      <c r="AP4678" s="14">
        <v>30765</v>
      </c>
      <c r="AQ4678" s="12">
        <v>3.0000000000000001E-3</v>
      </c>
      <c r="AS4678" s="26"/>
    </row>
    <row r="4679" spans="1:45" s="19" customFormat="1" x14ac:dyDescent="0.2">
      <c r="A4679" s="2">
        <f>+A4678+1</f>
        <v>3950</v>
      </c>
      <c r="B4679" s="13">
        <v>5</v>
      </c>
      <c r="C4679" s="17" t="s">
        <v>52</v>
      </c>
      <c r="D4679" s="17">
        <v>31985</v>
      </c>
      <c r="E4679" s="17">
        <v>207</v>
      </c>
      <c r="F4679" s="17">
        <v>6304</v>
      </c>
      <c r="G4679" s="13">
        <v>2</v>
      </c>
      <c r="H4679" s="17">
        <v>1</v>
      </c>
      <c r="I4679" s="17">
        <v>0</v>
      </c>
      <c r="J4679" s="17">
        <v>7.03</v>
      </c>
      <c r="K4679" s="10">
        <v>407.03</v>
      </c>
      <c r="L4679" s="17"/>
      <c r="M4679" s="15"/>
      <c r="N4679" s="18"/>
      <c r="O4679" s="14"/>
      <c r="P4679" s="17">
        <v>1</v>
      </c>
      <c r="Q4679" s="19">
        <v>407.03</v>
      </c>
      <c r="R4679" s="14">
        <v>160</v>
      </c>
      <c r="S4679" s="19">
        <v>65124.799999999996</v>
      </c>
      <c r="T4679" s="17"/>
      <c r="U4679" s="17"/>
      <c r="V4679" s="17"/>
      <c r="W4679" s="4"/>
      <c r="X4679" s="17"/>
      <c r="Y4679" s="4"/>
      <c r="Z4679" s="17"/>
      <c r="AA4679" s="17"/>
      <c r="AB4679" s="17"/>
      <c r="AC4679" s="14"/>
      <c r="AD4679" s="14"/>
      <c r="AE4679" s="17"/>
      <c r="AF4679" s="14"/>
      <c r="AG4679" s="54"/>
      <c r="AH4679" s="11"/>
      <c r="AI4679" s="14"/>
      <c r="AJ4679" s="19">
        <v>0</v>
      </c>
      <c r="AK4679" s="23">
        <v>0</v>
      </c>
      <c r="AL4679" s="11"/>
      <c r="AM4679" s="19">
        <v>0</v>
      </c>
      <c r="AN4679" s="19">
        <v>65124.799999999996</v>
      </c>
      <c r="AO4679" s="14"/>
      <c r="AP4679" s="14">
        <v>65124.799999999996</v>
      </c>
      <c r="AQ4679" s="12"/>
      <c r="AS4679" s="26"/>
    </row>
    <row r="4680" spans="1:45" s="19" customFormat="1" x14ac:dyDescent="0.2">
      <c r="A4680" s="121">
        <f>+A4679+1</f>
        <v>3951</v>
      </c>
      <c r="B4680" s="13">
        <v>6</v>
      </c>
      <c r="C4680" s="17" t="s">
        <v>69</v>
      </c>
      <c r="D4680" s="17"/>
      <c r="E4680" s="17">
        <v>155</v>
      </c>
      <c r="F4680" s="17">
        <v>12</v>
      </c>
      <c r="G4680" s="13">
        <v>2</v>
      </c>
      <c r="H4680" s="17">
        <v>4</v>
      </c>
      <c r="I4680" s="17">
        <v>2</v>
      </c>
      <c r="J4680" s="17">
        <v>24</v>
      </c>
      <c r="K4680" s="10">
        <v>1824</v>
      </c>
      <c r="L4680" s="17"/>
      <c r="M4680" s="15"/>
      <c r="N4680" s="18"/>
      <c r="O4680" s="14"/>
      <c r="P4680" s="17">
        <v>1</v>
      </c>
      <c r="Q4680" s="19">
        <v>1824</v>
      </c>
      <c r="R4680" s="14">
        <v>160</v>
      </c>
      <c r="S4680" s="19">
        <v>291840</v>
      </c>
      <c r="T4680" s="17"/>
      <c r="U4680" s="17"/>
      <c r="V4680" s="17"/>
      <c r="W4680" s="4"/>
      <c r="X4680" s="17"/>
      <c r="Y4680" s="4"/>
      <c r="Z4680" s="17"/>
      <c r="AA4680" s="17"/>
      <c r="AB4680" s="17"/>
      <c r="AC4680" s="14"/>
      <c r="AD4680" s="14"/>
      <c r="AE4680" s="17"/>
      <c r="AF4680" s="14"/>
      <c r="AG4680" s="54"/>
      <c r="AH4680" s="11"/>
      <c r="AI4680" s="14"/>
      <c r="AJ4680" s="19">
        <v>0</v>
      </c>
      <c r="AK4680" s="23">
        <v>0</v>
      </c>
      <c r="AL4680" s="11"/>
      <c r="AM4680" s="19">
        <v>0</v>
      </c>
      <c r="AN4680" s="19">
        <v>291840</v>
      </c>
      <c r="AO4680" s="14"/>
      <c r="AP4680" s="14">
        <v>291840</v>
      </c>
      <c r="AQ4680" s="12">
        <v>1E-4</v>
      </c>
      <c r="AS4680" s="26"/>
    </row>
    <row r="4681" spans="1:45" s="19" customFormat="1" x14ac:dyDescent="0.2">
      <c r="A4681" s="2"/>
      <c r="B4681" s="13">
        <v>6</v>
      </c>
      <c r="C4681" s="17" t="s">
        <v>65</v>
      </c>
      <c r="D4681" s="17">
        <v>674</v>
      </c>
      <c r="E4681" s="17">
        <v>202</v>
      </c>
      <c r="F4681" s="17"/>
      <c r="G4681" s="13"/>
      <c r="H4681" s="17">
        <v>1</v>
      </c>
      <c r="I4681" s="17">
        <v>3</v>
      </c>
      <c r="J4681" s="17">
        <v>76</v>
      </c>
      <c r="K4681" s="10">
        <v>776</v>
      </c>
      <c r="L4681" s="17"/>
      <c r="M4681" s="15"/>
      <c r="N4681" s="18"/>
      <c r="O4681" s="14"/>
      <c r="P4681" s="17"/>
      <c r="Q4681" s="19">
        <v>776</v>
      </c>
      <c r="R4681" s="14" t="e">
        <v>#N/A</v>
      </c>
      <c r="S4681" s="19" t="e">
        <v>#N/A</v>
      </c>
      <c r="T4681" s="17"/>
      <c r="U4681" s="17"/>
      <c r="V4681" s="17"/>
      <c r="W4681" s="4"/>
      <c r="X4681" s="17"/>
      <c r="Y4681" s="4"/>
      <c r="Z4681" s="17"/>
      <c r="AA4681" s="17"/>
      <c r="AB4681" s="17"/>
      <c r="AC4681" s="14"/>
      <c r="AD4681" s="14"/>
      <c r="AE4681" s="17" t="s">
        <v>94</v>
      </c>
      <c r="AF4681" s="14"/>
      <c r="AG4681" s="54"/>
      <c r="AH4681" s="11"/>
      <c r="AI4681" s="14"/>
      <c r="AJ4681" s="19">
        <v>0</v>
      </c>
      <c r="AK4681" s="23">
        <v>0</v>
      </c>
      <c r="AL4681" s="11"/>
      <c r="AM4681" s="19">
        <v>0</v>
      </c>
      <c r="AN4681" s="19" t="e">
        <v>#N/A</v>
      </c>
      <c r="AO4681" s="14"/>
      <c r="AP4681" s="14" t="e">
        <v>#N/A</v>
      </c>
      <c r="AQ4681" s="12">
        <v>1E-4</v>
      </c>
      <c r="AS4681" s="26"/>
    </row>
    <row r="4682" spans="1:45" s="19" customFormat="1" x14ac:dyDescent="0.2">
      <c r="A4682" s="2">
        <v>3952</v>
      </c>
      <c r="B4682" s="13">
        <v>1</v>
      </c>
      <c r="C4682" s="17" t="s">
        <v>52</v>
      </c>
      <c r="D4682" s="17">
        <v>2989</v>
      </c>
      <c r="E4682" s="17">
        <v>13</v>
      </c>
      <c r="F4682" s="17">
        <v>2057</v>
      </c>
      <c r="G4682" s="13">
        <v>2</v>
      </c>
      <c r="H4682" s="17">
        <v>6</v>
      </c>
      <c r="I4682" s="17">
        <v>0</v>
      </c>
      <c r="J4682" s="17">
        <v>38</v>
      </c>
      <c r="K4682" s="10">
        <v>2438</v>
      </c>
      <c r="L4682" s="17"/>
      <c r="M4682" s="15"/>
      <c r="N4682" s="18"/>
      <c r="O4682" s="14"/>
      <c r="P4682" s="17">
        <v>1</v>
      </c>
      <c r="Q4682" s="19">
        <v>2438</v>
      </c>
      <c r="R4682" s="14">
        <v>200</v>
      </c>
      <c r="S4682" s="19">
        <v>487600</v>
      </c>
      <c r="T4682" s="17"/>
      <c r="U4682" s="17"/>
      <c r="V4682" s="17"/>
      <c r="W4682" s="4"/>
      <c r="X4682" s="17"/>
      <c r="Y4682" s="4"/>
      <c r="Z4682" s="17"/>
      <c r="AA4682" s="17"/>
      <c r="AB4682" s="17"/>
      <c r="AC4682" s="14"/>
      <c r="AD4682" s="14"/>
      <c r="AE4682" s="17"/>
      <c r="AF4682" s="14"/>
      <c r="AG4682" s="54"/>
      <c r="AH4682" s="11"/>
      <c r="AI4682" s="14"/>
      <c r="AJ4682" s="19">
        <v>0</v>
      </c>
      <c r="AK4682" s="23">
        <v>0</v>
      </c>
      <c r="AL4682" s="11"/>
      <c r="AM4682" s="19">
        <v>0</v>
      </c>
      <c r="AN4682" s="19">
        <v>487600</v>
      </c>
      <c r="AO4682" s="14"/>
      <c r="AP4682" s="14">
        <v>487600</v>
      </c>
      <c r="AQ4682" s="12"/>
      <c r="AS4682" s="26"/>
    </row>
    <row r="4683" spans="1:45" s="19" customFormat="1" x14ac:dyDescent="0.2">
      <c r="A4683" s="2">
        <f>+A4682+1</f>
        <v>3953</v>
      </c>
      <c r="B4683" s="13">
        <v>2</v>
      </c>
      <c r="C4683" s="17" t="s">
        <v>65</v>
      </c>
      <c r="D4683" s="17">
        <v>1200</v>
      </c>
      <c r="E4683" s="17">
        <v>55</v>
      </c>
      <c r="F4683" s="17"/>
      <c r="G4683" s="13"/>
      <c r="H4683" s="17">
        <v>3</v>
      </c>
      <c r="I4683" s="17">
        <v>3</v>
      </c>
      <c r="J4683" s="17">
        <v>49</v>
      </c>
      <c r="K4683" s="10">
        <v>1549</v>
      </c>
      <c r="L4683" s="17"/>
      <c r="M4683" s="15"/>
      <c r="N4683" s="18"/>
      <c r="O4683" s="14"/>
      <c r="P4683" s="17"/>
      <c r="Q4683" s="19">
        <v>1549</v>
      </c>
      <c r="R4683" s="14">
        <v>500</v>
      </c>
      <c r="S4683" s="19">
        <v>774500</v>
      </c>
      <c r="T4683" s="17"/>
      <c r="U4683" s="17"/>
      <c r="V4683" s="17"/>
      <c r="W4683" s="4"/>
      <c r="X4683" s="17"/>
      <c r="Y4683" s="4"/>
      <c r="Z4683" s="17"/>
      <c r="AA4683" s="17"/>
      <c r="AB4683" s="17"/>
      <c r="AC4683" s="14"/>
      <c r="AD4683" s="14"/>
      <c r="AE4683" s="17" t="s">
        <v>94</v>
      </c>
      <c r="AF4683" s="14"/>
      <c r="AG4683" s="54"/>
      <c r="AH4683" s="11"/>
      <c r="AI4683" s="14"/>
      <c r="AJ4683" s="19">
        <v>0</v>
      </c>
      <c r="AK4683" s="23">
        <v>0</v>
      </c>
      <c r="AL4683" s="11"/>
      <c r="AM4683" s="19">
        <v>0</v>
      </c>
      <c r="AN4683" s="19">
        <v>774500</v>
      </c>
      <c r="AO4683" s="14"/>
      <c r="AP4683" s="14">
        <v>774500</v>
      </c>
      <c r="AQ4683" s="12">
        <v>1E-4</v>
      </c>
      <c r="AS4683" s="26"/>
    </row>
    <row r="4684" spans="1:45" s="19" customFormat="1" x14ac:dyDescent="0.2">
      <c r="A4684" s="121">
        <f t="shared" ref="A4684:A4687" si="546">+A4683+1</f>
        <v>3954</v>
      </c>
      <c r="B4684" s="13">
        <v>1</v>
      </c>
      <c r="C4684" s="17" t="s">
        <v>65</v>
      </c>
      <c r="D4684" s="17">
        <v>2593</v>
      </c>
      <c r="E4684" s="17">
        <v>307</v>
      </c>
      <c r="F4684" s="17"/>
      <c r="G4684" s="13"/>
      <c r="H4684" s="17">
        <v>0</v>
      </c>
      <c r="I4684" s="17">
        <v>1</v>
      </c>
      <c r="J4684" s="17">
        <v>70</v>
      </c>
      <c r="K4684" s="10">
        <v>170</v>
      </c>
      <c r="L4684" s="17"/>
      <c r="M4684" s="15"/>
      <c r="N4684" s="18"/>
      <c r="O4684" s="14"/>
      <c r="P4684" s="17">
        <v>1</v>
      </c>
      <c r="Q4684" s="19">
        <v>170</v>
      </c>
      <c r="R4684" s="14">
        <v>250</v>
      </c>
      <c r="S4684" s="19">
        <v>42500</v>
      </c>
      <c r="T4684" s="17"/>
      <c r="U4684" s="17"/>
      <c r="V4684" s="17"/>
      <c r="W4684" s="4"/>
      <c r="X4684" s="17"/>
      <c r="Y4684" s="4"/>
      <c r="Z4684" s="17"/>
      <c r="AA4684" s="17"/>
      <c r="AB4684" s="17"/>
      <c r="AC4684" s="14"/>
      <c r="AD4684" s="14"/>
      <c r="AE4684" s="17"/>
      <c r="AF4684" s="14"/>
      <c r="AG4684" s="54"/>
      <c r="AH4684" s="11"/>
      <c r="AI4684" s="14"/>
      <c r="AJ4684" s="19">
        <v>0</v>
      </c>
      <c r="AK4684" s="23">
        <v>0</v>
      </c>
      <c r="AL4684" s="11"/>
      <c r="AM4684" s="19">
        <v>0</v>
      </c>
      <c r="AN4684" s="19">
        <v>42500</v>
      </c>
      <c r="AO4684" s="14"/>
      <c r="AP4684" s="14">
        <v>42500</v>
      </c>
      <c r="AQ4684" s="12">
        <v>1E-4</v>
      </c>
      <c r="AS4684" s="26"/>
    </row>
    <row r="4685" spans="1:45" s="19" customFormat="1" x14ac:dyDescent="0.2">
      <c r="A4685" s="121">
        <f t="shared" si="546"/>
        <v>3955</v>
      </c>
      <c r="B4685" s="13">
        <v>1</v>
      </c>
      <c r="C4685" s="17" t="s">
        <v>65</v>
      </c>
      <c r="D4685" s="17">
        <v>2700</v>
      </c>
      <c r="E4685" s="17">
        <v>343</v>
      </c>
      <c r="F4685" s="17"/>
      <c r="G4685" s="13"/>
      <c r="H4685" s="17">
        <v>1</v>
      </c>
      <c r="I4685" s="17">
        <v>2</v>
      </c>
      <c r="J4685" s="17">
        <v>25</v>
      </c>
      <c r="K4685" s="10">
        <v>625</v>
      </c>
      <c r="L4685" s="17"/>
      <c r="M4685" s="15"/>
      <c r="N4685" s="18"/>
      <c r="O4685" s="14"/>
      <c r="P4685" s="17">
        <v>1</v>
      </c>
      <c r="Q4685" s="19">
        <v>625</v>
      </c>
      <c r="R4685" s="14">
        <v>250</v>
      </c>
      <c r="S4685" s="19">
        <v>156250</v>
      </c>
      <c r="T4685" s="17"/>
      <c r="U4685" s="17"/>
      <c r="V4685" s="17"/>
      <c r="W4685" s="4"/>
      <c r="X4685" s="17"/>
      <c r="Y4685" s="4"/>
      <c r="Z4685" s="17"/>
      <c r="AA4685" s="17"/>
      <c r="AB4685" s="17"/>
      <c r="AC4685" s="14"/>
      <c r="AD4685" s="14"/>
      <c r="AE4685" s="17"/>
      <c r="AF4685" s="14"/>
      <c r="AG4685" s="54"/>
      <c r="AH4685" s="11"/>
      <c r="AI4685" s="14"/>
      <c r="AJ4685" s="19">
        <v>0</v>
      </c>
      <c r="AK4685" s="23">
        <v>0</v>
      </c>
      <c r="AL4685" s="11"/>
      <c r="AM4685" s="19">
        <v>0</v>
      </c>
      <c r="AN4685" s="19">
        <v>156250</v>
      </c>
      <c r="AO4685" s="14"/>
      <c r="AP4685" s="14">
        <v>156250</v>
      </c>
      <c r="AQ4685" s="12">
        <v>1E-4</v>
      </c>
      <c r="AS4685" s="26"/>
    </row>
    <row r="4686" spans="1:45" s="19" customFormat="1" x14ac:dyDescent="0.2">
      <c r="A4686" s="121">
        <f t="shared" si="546"/>
        <v>3956</v>
      </c>
      <c r="B4686" s="13">
        <v>2</v>
      </c>
      <c r="C4686" s="17" t="s">
        <v>65</v>
      </c>
      <c r="D4686" s="17">
        <v>2702</v>
      </c>
      <c r="E4686" s="17">
        <v>345</v>
      </c>
      <c r="F4686" s="17"/>
      <c r="G4686" s="13"/>
      <c r="H4686" s="17">
        <v>0</v>
      </c>
      <c r="I4686" s="17">
        <v>0</v>
      </c>
      <c r="J4686" s="17">
        <v>91</v>
      </c>
      <c r="K4686" s="10"/>
      <c r="L4686" s="17"/>
      <c r="M4686" s="15"/>
      <c r="N4686" s="18">
        <v>91</v>
      </c>
      <c r="O4686" s="14"/>
      <c r="P4686" s="17">
        <v>4</v>
      </c>
      <c r="Q4686" s="19">
        <v>91</v>
      </c>
      <c r="R4686" s="14">
        <v>250</v>
      </c>
      <c r="S4686" s="19">
        <v>22750</v>
      </c>
      <c r="T4686" s="17"/>
      <c r="U4686" s="17"/>
      <c r="V4686" s="17"/>
      <c r="W4686" s="4"/>
      <c r="X4686" s="17"/>
      <c r="Y4686" s="4"/>
      <c r="Z4686" s="17"/>
      <c r="AA4686" s="17"/>
      <c r="AB4686" s="17"/>
      <c r="AC4686" s="14"/>
      <c r="AD4686" s="14"/>
      <c r="AE4686" s="17"/>
      <c r="AF4686" s="14"/>
      <c r="AG4686" s="54"/>
      <c r="AH4686" s="11"/>
      <c r="AI4686" s="14"/>
      <c r="AJ4686" s="19">
        <v>0</v>
      </c>
      <c r="AK4686" s="23">
        <v>0</v>
      </c>
      <c r="AL4686" s="11"/>
      <c r="AM4686" s="19">
        <v>0</v>
      </c>
      <c r="AN4686" s="19">
        <v>22750</v>
      </c>
      <c r="AO4686" s="14"/>
      <c r="AP4686" s="14">
        <v>22750</v>
      </c>
      <c r="AQ4686" s="12">
        <v>3.0000000000000001E-3</v>
      </c>
      <c r="AS4686" s="26"/>
    </row>
    <row r="4687" spans="1:45" s="19" customFormat="1" x14ac:dyDescent="0.2">
      <c r="A4687" s="121">
        <f t="shared" si="546"/>
        <v>3957</v>
      </c>
      <c r="B4687" s="13">
        <v>1</v>
      </c>
      <c r="C4687" s="17" t="s">
        <v>65</v>
      </c>
      <c r="D4687" s="17">
        <v>2619</v>
      </c>
      <c r="E4687" s="17">
        <v>318</v>
      </c>
      <c r="F4687" s="17"/>
      <c r="G4687" s="13"/>
      <c r="H4687" s="17">
        <v>0</v>
      </c>
      <c r="I4687" s="17">
        <v>2</v>
      </c>
      <c r="J4687" s="17">
        <v>8</v>
      </c>
      <c r="K4687" s="10">
        <v>208</v>
      </c>
      <c r="L4687" s="17"/>
      <c r="M4687" s="15"/>
      <c r="N4687" s="18"/>
      <c r="O4687" s="14"/>
      <c r="P4687" s="17"/>
      <c r="Q4687" s="19">
        <v>208</v>
      </c>
      <c r="R4687" s="14">
        <v>160</v>
      </c>
      <c r="S4687" s="19">
        <v>33280</v>
      </c>
      <c r="T4687" s="17"/>
      <c r="U4687" s="17"/>
      <c r="V4687" s="17"/>
      <c r="W4687" s="4"/>
      <c r="X4687" s="17"/>
      <c r="Y4687" s="4"/>
      <c r="Z4687" s="17"/>
      <c r="AA4687" s="17"/>
      <c r="AB4687" s="17"/>
      <c r="AC4687" s="14"/>
      <c r="AD4687" s="14"/>
      <c r="AE4687" s="17" t="s">
        <v>95</v>
      </c>
      <c r="AF4687" s="14"/>
      <c r="AG4687" s="54"/>
      <c r="AH4687" s="11"/>
      <c r="AI4687" s="14"/>
      <c r="AJ4687" s="19">
        <v>0</v>
      </c>
      <c r="AK4687" s="23">
        <v>0</v>
      </c>
      <c r="AL4687" s="11"/>
      <c r="AM4687" s="19">
        <v>0</v>
      </c>
      <c r="AN4687" s="19">
        <v>33280</v>
      </c>
      <c r="AO4687" s="14"/>
      <c r="AP4687" s="14">
        <v>33280</v>
      </c>
      <c r="AQ4687" s="12">
        <v>1E-4</v>
      </c>
      <c r="AS4687" s="26"/>
    </row>
    <row r="4688" spans="1:45" s="19" customFormat="1" ht="63" x14ac:dyDescent="0.2">
      <c r="A4688" s="2"/>
      <c r="B4688" s="13">
        <v>1</v>
      </c>
      <c r="C4688" s="17" t="s">
        <v>52</v>
      </c>
      <c r="D4688" s="17"/>
      <c r="E4688" s="17">
        <v>56</v>
      </c>
      <c r="F4688" s="17">
        <v>2148</v>
      </c>
      <c r="G4688" s="13"/>
      <c r="H4688" s="17">
        <v>6</v>
      </c>
      <c r="I4688" s="17">
        <v>3</v>
      </c>
      <c r="J4688" s="17">
        <v>66</v>
      </c>
      <c r="K4688" s="10">
        <v>2604.5</v>
      </c>
      <c r="L4688" s="17">
        <v>75</v>
      </c>
      <c r="M4688" s="15"/>
      <c r="N4688" s="18"/>
      <c r="O4688" s="14"/>
      <c r="P4688" s="17">
        <v>5</v>
      </c>
      <c r="Q4688" s="19">
        <v>2766</v>
      </c>
      <c r="R4688" s="14" t="e">
        <v>#N/A</v>
      </c>
      <c r="S4688" s="19" t="e">
        <v>#N/A</v>
      </c>
      <c r="T4688" s="17">
        <v>1</v>
      </c>
      <c r="U4688" s="17" t="s">
        <v>57</v>
      </c>
      <c r="V4688" s="17" t="s">
        <v>56</v>
      </c>
      <c r="W4688" s="4">
        <v>300</v>
      </c>
      <c r="X4688" s="17"/>
      <c r="Y4688" s="4">
        <v>300</v>
      </c>
      <c r="Z4688" s="17"/>
      <c r="AA4688" s="17"/>
      <c r="AB4688" s="17">
        <v>3</v>
      </c>
      <c r="AC4688" s="14"/>
      <c r="AD4688" s="14"/>
      <c r="AE4688" s="17" t="s">
        <v>94</v>
      </c>
      <c r="AF4688" s="14"/>
      <c r="AG4688" s="54"/>
      <c r="AH4688" s="11"/>
      <c r="AI4688" s="14"/>
      <c r="AJ4688" s="19">
        <v>0</v>
      </c>
      <c r="AK4688" s="23">
        <v>3</v>
      </c>
      <c r="AL4688" s="11"/>
      <c r="AM4688" s="19">
        <v>0</v>
      </c>
      <c r="AN4688" s="19" t="e">
        <v>#N/A</v>
      </c>
      <c r="AO4688" s="14"/>
      <c r="AP4688" s="14" t="e">
        <v>#N/A</v>
      </c>
      <c r="AQ4688" s="12">
        <v>1E-4</v>
      </c>
      <c r="AS4688" s="26"/>
    </row>
    <row r="4689" spans="1:45" s="19" customFormat="1" ht="63" x14ac:dyDescent="0.2">
      <c r="A4689" s="2"/>
      <c r="B4689" s="13"/>
      <c r="C4689" s="17"/>
      <c r="D4689" s="17"/>
      <c r="E4689" s="17"/>
      <c r="F4689" s="17"/>
      <c r="G4689" s="13"/>
      <c r="H4689" s="17"/>
      <c r="I4689" s="17"/>
      <c r="J4689" s="17"/>
      <c r="K4689" s="10"/>
      <c r="L4689" s="17">
        <v>29.25</v>
      </c>
      <c r="M4689" s="15"/>
      <c r="N4689" s="18"/>
      <c r="O4689" s="14"/>
      <c r="P4689" s="17"/>
      <c r="Q4689" s="19">
        <v>0</v>
      </c>
      <c r="R4689" s="14" t="e">
        <v>#N/A</v>
      </c>
      <c r="S4689" s="19" t="e">
        <v>#N/A</v>
      </c>
      <c r="T4689" s="17">
        <v>2</v>
      </c>
      <c r="U4689" s="17" t="s">
        <v>57</v>
      </c>
      <c r="V4689" s="17" t="s">
        <v>56</v>
      </c>
      <c r="W4689" s="4">
        <v>117</v>
      </c>
      <c r="X4689" s="17"/>
      <c r="Y4689" s="4">
        <v>117</v>
      </c>
      <c r="Z4689" s="17"/>
      <c r="AA4689" s="17"/>
      <c r="AB4689" s="17">
        <v>11</v>
      </c>
      <c r="AC4689" s="14"/>
      <c r="AD4689" s="14"/>
      <c r="AE4689" s="17"/>
      <c r="AF4689" s="14"/>
      <c r="AG4689" s="54"/>
      <c r="AH4689" s="11"/>
      <c r="AI4689" s="14"/>
      <c r="AJ4689" s="19">
        <v>0</v>
      </c>
      <c r="AK4689" s="23">
        <v>11</v>
      </c>
      <c r="AL4689" s="11"/>
      <c r="AM4689" s="19">
        <v>0</v>
      </c>
      <c r="AN4689" s="19" t="e">
        <v>#N/A</v>
      </c>
      <c r="AO4689" s="14"/>
      <c r="AP4689" s="14" t="e">
        <v>#N/A</v>
      </c>
      <c r="AQ4689" s="12"/>
      <c r="AS4689" s="26"/>
    </row>
    <row r="4690" spans="1:45" s="19" customFormat="1" ht="63" x14ac:dyDescent="0.2">
      <c r="A4690" s="2"/>
      <c r="B4690" s="13"/>
      <c r="C4690" s="17"/>
      <c r="D4690" s="17"/>
      <c r="E4690" s="17"/>
      <c r="F4690" s="17"/>
      <c r="G4690" s="13"/>
      <c r="H4690" s="17"/>
      <c r="I4690" s="17"/>
      <c r="J4690" s="17"/>
      <c r="K4690" s="10"/>
      <c r="L4690" s="17">
        <v>29.25</v>
      </c>
      <c r="M4690" s="15"/>
      <c r="N4690" s="18"/>
      <c r="O4690" s="14"/>
      <c r="P4690" s="17"/>
      <c r="Q4690" s="19">
        <v>0</v>
      </c>
      <c r="R4690" s="14" t="e">
        <v>#N/A</v>
      </c>
      <c r="S4690" s="19" t="e">
        <v>#N/A</v>
      </c>
      <c r="T4690" s="17">
        <v>3</v>
      </c>
      <c r="U4690" s="17" t="s">
        <v>57</v>
      </c>
      <c r="V4690" s="17" t="s">
        <v>56</v>
      </c>
      <c r="W4690" s="4">
        <v>117</v>
      </c>
      <c r="X4690" s="17"/>
      <c r="Y4690" s="4">
        <v>117</v>
      </c>
      <c r="Z4690" s="17"/>
      <c r="AA4690" s="17"/>
      <c r="AB4690" s="17">
        <v>11</v>
      </c>
      <c r="AC4690" s="14"/>
      <c r="AD4690" s="14"/>
      <c r="AE4690" s="17"/>
      <c r="AF4690" s="14"/>
      <c r="AG4690" s="54"/>
      <c r="AH4690" s="11"/>
      <c r="AI4690" s="14"/>
      <c r="AJ4690" s="19">
        <v>0</v>
      </c>
      <c r="AK4690" s="23">
        <v>11</v>
      </c>
      <c r="AL4690" s="11"/>
      <c r="AM4690" s="19">
        <v>0</v>
      </c>
      <c r="AN4690" s="19" t="e">
        <v>#N/A</v>
      </c>
      <c r="AO4690" s="14"/>
      <c r="AP4690" s="14" t="e">
        <v>#N/A</v>
      </c>
      <c r="AQ4690" s="12"/>
      <c r="AS4690" s="26"/>
    </row>
    <row r="4691" spans="1:45" s="19" customFormat="1" ht="63" x14ac:dyDescent="0.2">
      <c r="A4691" s="2"/>
      <c r="B4691" s="13"/>
      <c r="C4691" s="17"/>
      <c r="D4691" s="17"/>
      <c r="E4691" s="17"/>
      <c r="F4691" s="17"/>
      <c r="G4691" s="13"/>
      <c r="H4691" s="17"/>
      <c r="I4691" s="17"/>
      <c r="J4691" s="17"/>
      <c r="K4691" s="10"/>
      <c r="L4691" s="17">
        <v>28</v>
      </c>
      <c r="M4691" s="15"/>
      <c r="N4691" s="18"/>
      <c r="O4691" s="14"/>
      <c r="P4691" s="17"/>
      <c r="Q4691" s="19">
        <v>0</v>
      </c>
      <c r="R4691" s="14" t="e">
        <v>#N/A</v>
      </c>
      <c r="S4691" s="19" t="e">
        <v>#N/A</v>
      </c>
      <c r="T4691" s="17">
        <v>4</v>
      </c>
      <c r="U4691" s="17" t="s">
        <v>57</v>
      </c>
      <c r="V4691" s="17" t="s">
        <v>56</v>
      </c>
      <c r="W4691" s="4">
        <v>112</v>
      </c>
      <c r="X4691" s="17"/>
      <c r="Y4691" s="4">
        <v>112</v>
      </c>
      <c r="Z4691" s="17"/>
      <c r="AA4691" s="17"/>
      <c r="AB4691" s="17">
        <v>3</v>
      </c>
      <c r="AC4691" s="14"/>
      <c r="AD4691" s="14"/>
      <c r="AE4691" s="17"/>
      <c r="AF4691" s="14"/>
      <c r="AG4691" s="54"/>
      <c r="AH4691" s="11"/>
      <c r="AI4691" s="14"/>
      <c r="AJ4691" s="19">
        <v>0</v>
      </c>
      <c r="AK4691" s="23">
        <v>3</v>
      </c>
      <c r="AL4691" s="11"/>
      <c r="AM4691" s="19">
        <v>0</v>
      </c>
      <c r="AN4691" s="19" t="e">
        <v>#N/A</v>
      </c>
      <c r="AO4691" s="14"/>
      <c r="AP4691" s="14" t="e">
        <v>#N/A</v>
      </c>
      <c r="AQ4691" s="12"/>
      <c r="AS4691" s="26"/>
    </row>
    <row r="4692" spans="1:45" s="19" customFormat="1" x14ac:dyDescent="0.2">
      <c r="A4692" s="2">
        <v>3958</v>
      </c>
      <c r="B4692" s="13">
        <v>1</v>
      </c>
      <c r="C4692" s="17" t="s">
        <v>52</v>
      </c>
      <c r="D4692" s="17">
        <v>3766</v>
      </c>
      <c r="E4692" s="17">
        <v>32</v>
      </c>
      <c r="F4692" s="17">
        <v>2290</v>
      </c>
      <c r="G4692" s="13">
        <v>2</v>
      </c>
      <c r="H4692" s="17">
        <v>10</v>
      </c>
      <c r="I4692" s="17">
        <v>1</v>
      </c>
      <c r="J4692" s="17">
        <v>59</v>
      </c>
      <c r="K4692" s="10">
        <v>4159</v>
      </c>
      <c r="L4692" s="17"/>
      <c r="M4692" s="15"/>
      <c r="N4692" s="18"/>
      <c r="O4692" s="14"/>
      <c r="P4692" s="17">
        <v>1</v>
      </c>
      <c r="Q4692" s="19">
        <v>4159</v>
      </c>
      <c r="R4692" s="14">
        <v>160</v>
      </c>
      <c r="S4692" s="19">
        <v>665440</v>
      </c>
      <c r="T4692" s="17"/>
      <c r="U4692" s="17"/>
      <c r="V4692" s="17"/>
      <c r="W4692" s="4"/>
      <c r="X4692" s="17"/>
      <c r="Y4692" s="4"/>
      <c r="Z4692" s="17"/>
      <c r="AA4692" s="17"/>
      <c r="AB4692" s="17"/>
      <c r="AC4692" s="14"/>
      <c r="AD4692" s="14"/>
      <c r="AE4692" s="17"/>
      <c r="AF4692" s="14"/>
      <c r="AG4692" s="54"/>
      <c r="AH4692" s="11"/>
      <c r="AI4692" s="14"/>
      <c r="AJ4692" s="19">
        <v>0</v>
      </c>
      <c r="AK4692" s="23">
        <v>0</v>
      </c>
      <c r="AL4692" s="11"/>
      <c r="AM4692" s="19">
        <v>0</v>
      </c>
      <c r="AN4692" s="19">
        <v>665440</v>
      </c>
      <c r="AO4692" s="14"/>
      <c r="AP4692" s="14">
        <v>665440</v>
      </c>
      <c r="AQ4692" s="12"/>
      <c r="AS4692" s="26"/>
    </row>
    <row r="4693" spans="1:45" s="19" customFormat="1" x14ac:dyDescent="0.2">
      <c r="A4693" s="2">
        <v>3959</v>
      </c>
      <c r="B4693" s="13">
        <v>2</v>
      </c>
      <c r="C4693" s="17" t="s">
        <v>69</v>
      </c>
      <c r="D4693" s="17"/>
      <c r="E4693" s="17">
        <v>1470</v>
      </c>
      <c r="F4693" s="17">
        <v>2</v>
      </c>
      <c r="G4693" s="13">
        <v>2</v>
      </c>
      <c r="H4693" s="17">
        <v>17</v>
      </c>
      <c r="I4693" s="17">
        <v>0</v>
      </c>
      <c r="J4693" s="17">
        <v>93</v>
      </c>
      <c r="K4693" s="10">
        <v>6893</v>
      </c>
      <c r="L4693" s="17"/>
      <c r="M4693" s="15"/>
      <c r="N4693" s="18"/>
      <c r="O4693" s="14"/>
      <c r="P4693" s="17">
        <v>1</v>
      </c>
      <c r="Q4693" s="19">
        <v>6893</v>
      </c>
      <c r="R4693" s="14">
        <v>200</v>
      </c>
      <c r="S4693" s="19">
        <v>1378600</v>
      </c>
      <c r="T4693" s="17"/>
      <c r="U4693" s="17"/>
      <c r="V4693" s="17"/>
      <c r="W4693" s="4"/>
      <c r="X4693" s="17"/>
      <c r="Y4693" s="4"/>
      <c r="Z4693" s="17"/>
      <c r="AA4693" s="17"/>
      <c r="AB4693" s="17"/>
      <c r="AC4693" s="14"/>
      <c r="AD4693" s="14"/>
      <c r="AE4693" s="17"/>
      <c r="AF4693" s="14"/>
      <c r="AG4693" s="54"/>
      <c r="AH4693" s="11"/>
      <c r="AI4693" s="14"/>
      <c r="AJ4693" s="19">
        <v>0</v>
      </c>
      <c r="AK4693" s="23">
        <v>0</v>
      </c>
      <c r="AL4693" s="11"/>
      <c r="AM4693" s="19">
        <v>0</v>
      </c>
      <c r="AN4693" s="19">
        <v>1378600</v>
      </c>
      <c r="AO4693" s="14"/>
      <c r="AP4693" s="14">
        <v>1378600</v>
      </c>
      <c r="AQ4693" s="12">
        <v>1E-4</v>
      </c>
      <c r="AS4693" s="26"/>
    </row>
    <row r="4694" spans="1:45" s="19" customFormat="1" ht="63" x14ac:dyDescent="0.2">
      <c r="A4694" s="2">
        <v>3960</v>
      </c>
      <c r="B4694" s="13">
        <v>1</v>
      </c>
      <c r="C4694" s="17" t="s">
        <v>52</v>
      </c>
      <c r="D4694" s="17">
        <v>3742</v>
      </c>
      <c r="E4694" s="17">
        <v>108</v>
      </c>
      <c r="F4694" s="17">
        <v>2262</v>
      </c>
      <c r="G4694" s="13">
        <v>2</v>
      </c>
      <c r="H4694" s="17">
        <v>11</v>
      </c>
      <c r="I4694" s="17">
        <v>1</v>
      </c>
      <c r="J4694" s="17">
        <v>83</v>
      </c>
      <c r="K4694" s="10">
        <v>4495.84</v>
      </c>
      <c r="L4694" s="17">
        <v>32.25</v>
      </c>
      <c r="M4694" s="15"/>
      <c r="N4694" s="18"/>
      <c r="O4694" s="14"/>
      <c r="P4694" s="17">
        <v>5</v>
      </c>
      <c r="Q4694" s="19">
        <v>4583</v>
      </c>
      <c r="R4694" s="14">
        <v>200</v>
      </c>
      <c r="S4694" s="19">
        <v>916600</v>
      </c>
      <c r="T4694" s="17">
        <v>1</v>
      </c>
      <c r="U4694" s="17" t="s">
        <v>57</v>
      </c>
      <c r="V4694" s="17" t="s">
        <v>56</v>
      </c>
      <c r="W4694" s="4">
        <v>129</v>
      </c>
      <c r="X4694" s="17"/>
      <c r="Y4694" s="4">
        <v>129</v>
      </c>
      <c r="Z4694" s="17"/>
      <c r="AA4694" s="17"/>
      <c r="AB4694" s="17">
        <v>5</v>
      </c>
      <c r="AC4694" s="14"/>
      <c r="AD4694" s="14"/>
      <c r="AE4694" s="17"/>
      <c r="AF4694" s="14"/>
      <c r="AG4694" s="54"/>
      <c r="AH4694" s="11"/>
      <c r="AI4694" s="14"/>
      <c r="AJ4694" s="19">
        <v>0</v>
      </c>
      <c r="AK4694" s="23">
        <v>5</v>
      </c>
      <c r="AL4694" s="11"/>
      <c r="AM4694" s="19">
        <v>0</v>
      </c>
      <c r="AN4694" s="19">
        <v>916600</v>
      </c>
      <c r="AO4694" s="14"/>
      <c r="AP4694" s="14">
        <v>916600</v>
      </c>
      <c r="AQ4694" s="12"/>
      <c r="AS4694" s="26"/>
    </row>
    <row r="4695" spans="1:45" s="19" customFormat="1" ht="63" x14ac:dyDescent="0.2">
      <c r="A4695" s="2"/>
      <c r="B4695" s="13"/>
      <c r="C4695" s="17"/>
      <c r="D4695" s="17"/>
      <c r="E4695" s="17"/>
      <c r="F4695" s="17"/>
      <c r="G4695" s="13"/>
      <c r="H4695" s="17"/>
      <c r="I4695" s="17"/>
      <c r="J4695" s="17"/>
      <c r="K4695" s="10"/>
      <c r="L4695" s="17">
        <v>18.75</v>
      </c>
      <c r="M4695" s="15"/>
      <c r="N4695" s="18"/>
      <c r="O4695" s="14"/>
      <c r="P4695" s="17"/>
      <c r="Q4695" s="19">
        <v>0</v>
      </c>
      <c r="R4695" s="14" t="e">
        <v>#N/A</v>
      </c>
      <c r="S4695" s="19" t="e">
        <v>#N/A</v>
      </c>
      <c r="T4695" s="17">
        <v>2</v>
      </c>
      <c r="U4695" s="17" t="s">
        <v>57</v>
      </c>
      <c r="V4695" s="17" t="s">
        <v>56</v>
      </c>
      <c r="W4695" s="4">
        <v>75</v>
      </c>
      <c r="X4695" s="17"/>
      <c r="Y4695" s="4">
        <v>75</v>
      </c>
      <c r="Z4695" s="17"/>
      <c r="AA4695" s="17"/>
      <c r="AB4695" s="17">
        <v>4</v>
      </c>
      <c r="AC4695" s="14"/>
      <c r="AD4695" s="14"/>
      <c r="AE4695" s="17"/>
      <c r="AF4695" s="14"/>
      <c r="AG4695" s="54"/>
      <c r="AH4695" s="11"/>
      <c r="AI4695" s="14"/>
      <c r="AJ4695" s="19">
        <v>0</v>
      </c>
      <c r="AK4695" s="23">
        <v>4</v>
      </c>
      <c r="AL4695" s="11"/>
      <c r="AM4695" s="19">
        <v>0</v>
      </c>
      <c r="AN4695" s="19" t="e">
        <v>#N/A</v>
      </c>
      <c r="AO4695" s="14"/>
      <c r="AP4695" s="14" t="e">
        <v>#N/A</v>
      </c>
      <c r="AQ4695" s="12"/>
      <c r="AS4695" s="26"/>
    </row>
    <row r="4696" spans="1:45" s="19" customFormat="1" ht="63" x14ac:dyDescent="0.2">
      <c r="A4696" s="2"/>
      <c r="B4696" s="13"/>
      <c r="C4696" s="17"/>
      <c r="D4696" s="17"/>
      <c r="E4696" s="17"/>
      <c r="F4696" s="17"/>
      <c r="G4696" s="13"/>
      <c r="H4696" s="17"/>
      <c r="I4696" s="17"/>
      <c r="J4696" s="17"/>
      <c r="K4696" s="10"/>
      <c r="L4696" s="17">
        <v>19.16</v>
      </c>
      <c r="M4696" s="15"/>
      <c r="N4696" s="18"/>
      <c r="O4696" s="14"/>
      <c r="P4696" s="17"/>
      <c r="Q4696" s="19">
        <v>0</v>
      </c>
      <c r="R4696" s="14" t="e">
        <v>#N/A</v>
      </c>
      <c r="S4696" s="19" t="e">
        <v>#N/A</v>
      </c>
      <c r="T4696" s="17">
        <v>3</v>
      </c>
      <c r="U4696" s="17" t="s">
        <v>57</v>
      </c>
      <c r="V4696" s="17" t="s">
        <v>56</v>
      </c>
      <c r="W4696" s="4">
        <v>76.5</v>
      </c>
      <c r="X4696" s="17"/>
      <c r="Y4696" s="4">
        <v>76.5</v>
      </c>
      <c r="Z4696" s="17"/>
      <c r="AA4696" s="17"/>
      <c r="AB4696" s="17">
        <v>4</v>
      </c>
      <c r="AC4696" s="14"/>
      <c r="AD4696" s="14"/>
      <c r="AE4696" s="17"/>
      <c r="AF4696" s="14"/>
      <c r="AG4696" s="54"/>
      <c r="AH4696" s="11"/>
      <c r="AI4696" s="14"/>
      <c r="AJ4696" s="19">
        <v>0</v>
      </c>
      <c r="AK4696" s="23">
        <v>4</v>
      </c>
      <c r="AL4696" s="11"/>
      <c r="AM4696" s="19">
        <v>0</v>
      </c>
      <c r="AN4696" s="19" t="e">
        <v>#N/A</v>
      </c>
      <c r="AO4696" s="14"/>
      <c r="AP4696" s="14" t="e">
        <v>#N/A</v>
      </c>
      <c r="AQ4696" s="12"/>
      <c r="AS4696" s="26"/>
    </row>
    <row r="4697" spans="1:45" s="19" customFormat="1" ht="63" x14ac:dyDescent="0.2">
      <c r="A4697" s="2"/>
      <c r="B4697" s="13"/>
      <c r="C4697" s="17"/>
      <c r="D4697" s="17"/>
      <c r="E4697" s="17"/>
      <c r="F4697" s="17"/>
      <c r="G4697" s="13"/>
      <c r="H4697" s="17"/>
      <c r="I4697" s="17"/>
      <c r="J4697" s="17"/>
      <c r="K4697" s="10"/>
      <c r="L4697" s="17">
        <v>17</v>
      </c>
      <c r="M4697" s="15"/>
      <c r="N4697" s="18"/>
      <c r="O4697" s="14"/>
      <c r="P4697" s="17"/>
      <c r="Q4697" s="19">
        <v>0</v>
      </c>
      <c r="R4697" s="14" t="e">
        <v>#N/A</v>
      </c>
      <c r="S4697" s="19" t="e">
        <v>#N/A</v>
      </c>
      <c r="T4697" s="17">
        <v>4</v>
      </c>
      <c r="U4697" s="17" t="s">
        <v>57</v>
      </c>
      <c r="V4697" s="17" t="s">
        <v>56</v>
      </c>
      <c r="W4697" s="4">
        <v>68</v>
      </c>
      <c r="X4697" s="17"/>
      <c r="Y4697" s="4">
        <v>68</v>
      </c>
      <c r="Z4697" s="17"/>
      <c r="AA4697" s="17"/>
      <c r="AB4697" s="17">
        <v>3</v>
      </c>
      <c r="AC4697" s="14"/>
      <c r="AD4697" s="14"/>
      <c r="AE4697" s="17"/>
      <c r="AF4697" s="14"/>
      <c r="AG4697" s="54"/>
      <c r="AH4697" s="11"/>
      <c r="AI4697" s="14"/>
      <c r="AJ4697" s="19">
        <v>0</v>
      </c>
      <c r="AK4697" s="23">
        <v>3</v>
      </c>
      <c r="AL4697" s="11"/>
      <c r="AM4697" s="19">
        <v>0</v>
      </c>
      <c r="AN4697" s="19" t="e">
        <v>#N/A</v>
      </c>
      <c r="AO4697" s="14"/>
      <c r="AP4697" s="14" t="e">
        <v>#N/A</v>
      </c>
      <c r="AQ4697" s="12"/>
      <c r="AS4697" s="26"/>
    </row>
    <row r="4698" spans="1:45" s="19" customFormat="1" x14ac:dyDescent="0.2">
      <c r="A4698" s="2">
        <v>3961</v>
      </c>
      <c r="B4698" s="13">
        <v>1</v>
      </c>
      <c r="C4698" s="17" t="s">
        <v>52</v>
      </c>
      <c r="D4698" s="17">
        <v>3782</v>
      </c>
      <c r="E4698" s="17">
        <v>85</v>
      </c>
      <c r="F4698" s="17">
        <v>2336</v>
      </c>
      <c r="G4698" s="13">
        <v>2</v>
      </c>
      <c r="H4698" s="17">
        <v>1</v>
      </c>
      <c r="I4698" s="17">
        <v>1</v>
      </c>
      <c r="J4698" s="17">
        <v>80</v>
      </c>
      <c r="K4698" s="10">
        <v>580</v>
      </c>
      <c r="L4698" s="17"/>
      <c r="M4698" s="15"/>
      <c r="N4698" s="18"/>
      <c r="O4698" s="14"/>
      <c r="P4698" s="17">
        <v>1</v>
      </c>
      <c r="Q4698" s="19">
        <v>580</v>
      </c>
      <c r="R4698" s="14">
        <v>200</v>
      </c>
      <c r="S4698" s="19">
        <v>116000</v>
      </c>
      <c r="T4698" s="17"/>
      <c r="U4698" s="17"/>
      <c r="V4698" s="17"/>
      <c r="W4698" s="4"/>
      <c r="X4698" s="17"/>
      <c r="Y4698" s="4"/>
      <c r="Z4698" s="17"/>
      <c r="AA4698" s="17"/>
      <c r="AB4698" s="17"/>
      <c r="AC4698" s="14"/>
      <c r="AD4698" s="14"/>
      <c r="AE4698" s="17"/>
      <c r="AF4698" s="14"/>
      <c r="AG4698" s="54"/>
      <c r="AH4698" s="11"/>
      <c r="AI4698" s="14"/>
      <c r="AJ4698" s="19">
        <v>0</v>
      </c>
      <c r="AK4698" s="23">
        <v>0</v>
      </c>
      <c r="AL4698" s="11"/>
      <c r="AM4698" s="19">
        <v>0</v>
      </c>
      <c r="AN4698" s="19">
        <v>116000</v>
      </c>
      <c r="AO4698" s="14"/>
      <c r="AP4698" s="14">
        <v>116000</v>
      </c>
      <c r="AQ4698" s="12"/>
      <c r="AS4698" s="26"/>
    </row>
    <row r="4699" spans="1:45" s="19" customFormat="1" x14ac:dyDescent="0.2">
      <c r="A4699" s="2">
        <f>+A4698+1</f>
        <v>3962</v>
      </c>
      <c r="B4699" s="13">
        <v>1</v>
      </c>
      <c r="C4699" s="17" t="s">
        <v>52</v>
      </c>
      <c r="D4699" s="17">
        <v>28799</v>
      </c>
      <c r="E4699" s="17">
        <v>146</v>
      </c>
      <c r="F4699" s="17">
        <v>5452</v>
      </c>
      <c r="G4699" s="13">
        <v>2</v>
      </c>
      <c r="H4699" s="17">
        <v>0</v>
      </c>
      <c r="I4699" s="17">
        <v>0</v>
      </c>
      <c r="J4699" s="17">
        <v>71</v>
      </c>
      <c r="K4699" s="10"/>
      <c r="L4699" s="17"/>
      <c r="M4699" s="15"/>
      <c r="N4699" s="18"/>
      <c r="O4699" s="14"/>
      <c r="P4699" s="17"/>
      <c r="Q4699" s="19">
        <v>71</v>
      </c>
      <c r="R4699" s="14">
        <v>250</v>
      </c>
      <c r="S4699" s="19">
        <v>17750</v>
      </c>
      <c r="T4699" s="17"/>
      <c r="U4699" s="17"/>
      <c r="V4699" s="17"/>
      <c r="W4699" s="4"/>
      <c r="X4699" s="17"/>
      <c r="Y4699" s="4"/>
      <c r="Z4699" s="17"/>
      <c r="AA4699" s="17"/>
      <c r="AB4699" s="17"/>
      <c r="AC4699" s="14"/>
      <c r="AD4699" s="14"/>
      <c r="AE4699" s="17"/>
      <c r="AF4699" s="14"/>
      <c r="AG4699" s="54"/>
      <c r="AH4699" s="11"/>
      <c r="AI4699" s="14"/>
      <c r="AJ4699" s="19">
        <v>0</v>
      </c>
      <c r="AK4699" s="23">
        <v>0</v>
      </c>
      <c r="AL4699" s="11"/>
      <c r="AM4699" s="19">
        <v>0</v>
      </c>
      <c r="AN4699" s="19">
        <v>17750</v>
      </c>
      <c r="AO4699" s="14"/>
      <c r="AP4699" s="14">
        <v>17750</v>
      </c>
      <c r="AQ4699" s="12"/>
      <c r="AS4699" s="26"/>
    </row>
    <row r="4700" spans="1:45" s="19" customFormat="1" x14ac:dyDescent="0.2">
      <c r="A4700" s="121">
        <f t="shared" ref="A4700:A4711" si="547">+A4699+1</f>
        <v>3963</v>
      </c>
      <c r="B4700" s="13">
        <v>1</v>
      </c>
      <c r="C4700" s="17" t="s">
        <v>52</v>
      </c>
      <c r="D4700" s="17">
        <v>4050</v>
      </c>
      <c r="E4700" s="17">
        <v>67</v>
      </c>
      <c r="F4700" s="17">
        <v>2319</v>
      </c>
      <c r="G4700" s="13">
        <v>2</v>
      </c>
      <c r="H4700" s="17">
        <v>0</v>
      </c>
      <c r="I4700" s="17">
        <v>1</v>
      </c>
      <c r="J4700" s="17">
        <v>47</v>
      </c>
      <c r="K4700" s="10"/>
      <c r="L4700" s="17"/>
      <c r="M4700" s="15"/>
      <c r="N4700" s="18">
        <v>147</v>
      </c>
      <c r="O4700" s="14"/>
      <c r="P4700" s="17">
        <v>4</v>
      </c>
      <c r="Q4700" s="19">
        <v>147</v>
      </c>
      <c r="R4700" s="14">
        <v>1200</v>
      </c>
      <c r="S4700" s="19">
        <v>176400</v>
      </c>
      <c r="T4700" s="17"/>
      <c r="U4700" s="17"/>
      <c r="V4700" s="17"/>
      <c r="W4700" s="4"/>
      <c r="X4700" s="17"/>
      <c r="Y4700" s="4"/>
      <c r="Z4700" s="17"/>
      <c r="AA4700" s="17"/>
      <c r="AB4700" s="17"/>
      <c r="AC4700" s="14"/>
      <c r="AD4700" s="14"/>
      <c r="AE4700" s="17"/>
      <c r="AF4700" s="14"/>
      <c r="AG4700" s="54"/>
      <c r="AH4700" s="11"/>
      <c r="AI4700" s="14"/>
      <c r="AJ4700" s="19">
        <v>0</v>
      </c>
      <c r="AK4700" s="23">
        <v>0</v>
      </c>
      <c r="AL4700" s="11"/>
      <c r="AM4700" s="19">
        <v>0</v>
      </c>
      <c r="AN4700" s="19">
        <v>176400</v>
      </c>
      <c r="AO4700" s="14"/>
      <c r="AP4700" s="14">
        <v>176400</v>
      </c>
      <c r="AQ4700" s="12">
        <v>3.0000000000000001E-3</v>
      </c>
      <c r="AS4700" s="26"/>
    </row>
    <row r="4701" spans="1:45" s="19" customFormat="1" ht="63" x14ac:dyDescent="0.2">
      <c r="A4701" s="121">
        <f t="shared" si="547"/>
        <v>3964</v>
      </c>
      <c r="B4701" s="13">
        <v>2</v>
      </c>
      <c r="C4701" s="17" t="s">
        <v>52</v>
      </c>
      <c r="D4701" s="17">
        <v>4051</v>
      </c>
      <c r="E4701" s="17">
        <v>68</v>
      </c>
      <c r="F4701" s="17">
        <v>2320</v>
      </c>
      <c r="G4701" s="13">
        <v>2</v>
      </c>
      <c r="H4701" s="17">
        <v>0</v>
      </c>
      <c r="I4701" s="17">
        <v>1</v>
      </c>
      <c r="J4701" s="17">
        <v>95</v>
      </c>
      <c r="K4701" s="10"/>
      <c r="L4701" s="17">
        <v>195</v>
      </c>
      <c r="M4701" s="15"/>
      <c r="N4701" s="18"/>
      <c r="O4701" s="14"/>
      <c r="P4701" s="17">
        <v>2</v>
      </c>
      <c r="Q4701" s="19">
        <v>195</v>
      </c>
      <c r="R4701" s="14">
        <v>1200</v>
      </c>
      <c r="S4701" s="19">
        <v>234000</v>
      </c>
      <c r="T4701" s="17">
        <v>1</v>
      </c>
      <c r="U4701" s="17" t="s">
        <v>57</v>
      </c>
      <c r="V4701" s="17" t="s">
        <v>56</v>
      </c>
      <c r="W4701" s="4">
        <v>112.5</v>
      </c>
      <c r="X4701" s="17"/>
      <c r="Y4701" s="4">
        <v>112.5</v>
      </c>
      <c r="Z4701" s="17"/>
      <c r="AA4701" s="17"/>
      <c r="AB4701" s="17">
        <v>19</v>
      </c>
      <c r="AC4701" s="14"/>
      <c r="AD4701" s="14"/>
      <c r="AE4701" s="17"/>
      <c r="AF4701" s="14"/>
      <c r="AG4701" s="54"/>
      <c r="AH4701" s="11"/>
      <c r="AI4701" s="14"/>
      <c r="AJ4701" s="19">
        <v>0</v>
      </c>
      <c r="AK4701" s="23">
        <v>19</v>
      </c>
      <c r="AL4701" s="11"/>
      <c r="AM4701" s="19">
        <v>0</v>
      </c>
      <c r="AN4701" s="19">
        <v>234000</v>
      </c>
      <c r="AO4701" s="14"/>
      <c r="AP4701" s="14">
        <v>234000</v>
      </c>
      <c r="AQ4701" s="12"/>
      <c r="AS4701" s="26"/>
    </row>
    <row r="4702" spans="1:45" s="19" customFormat="1" x14ac:dyDescent="0.2">
      <c r="A4702" s="121">
        <f t="shared" si="547"/>
        <v>3965</v>
      </c>
      <c r="B4702" s="13">
        <v>3</v>
      </c>
      <c r="C4702" s="17" t="s">
        <v>52</v>
      </c>
      <c r="D4702" s="17">
        <v>35910</v>
      </c>
      <c r="E4702" s="17">
        <v>220</v>
      </c>
      <c r="F4702" s="17">
        <v>7079</v>
      </c>
      <c r="G4702" s="13"/>
      <c r="H4702" s="17">
        <v>0</v>
      </c>
      <c r="I4702" s="17">
        <v>3</v>
      </c>
      <c r="J4702" s="17">
        <v>1</v>
      </c>
      <c r="K4702" s="10"/>
      <c r="L4702" s="17"/>
      <c r="M4702" s="15"/>
      <c r="N4702" s="18"/>
      <c r="O4702" s="14"/>
      <c r="P4702" s="17"/>
      <c r="Q4702" s="19">
        <v>301</v>
      </c>
      <c r="R4702" s="14">
        <v>250</v>
      </c>
      <c r="S4702" s="19">
        <v>75250</v>
      </c>
      <c r="T4702" s="17"/>
      <c r="U4702" s="17"/>
      <c r="V4702" s="17"/>
      <c r="W4702" s="4"/>
      <c r="X4702" s="17"/>
      <c r="Y4702" s="4"/>
      <c r="Z4702" s="17"/>
      <c r="AA4702" s="17"/>
      <c r="AB4702" s="17"/>
      <c r="AC4702" s="14"/>
      <c r="AD4702" s="14"/>
      <c r="AE4702" s="17"/>
      <c r="AF4702" s="14"/>
      <c r="AG4702" s="54"/>
      <c r="AH4702" s="11"/>
      <c r="AI4702" s="14"/>
      <c r="AJ4702" s="19">
        <v>0</v>
      </c>
      <c r="AK4702" s="23">
        <v>0</v>
      </c>
      <c r="AL4702" s="11"/>
      <c r="AM4702" s="19">
        <v>0</v>
      </c>
      <c r="AN4702" s="19">
        <v>75250</v>
      </c>
      <c r="AO4702" s="14"/>
      <c r="AP4702" s="14">
        <v>75250</v>
      </c>
      <c r="AQ4702" s="12"/>
      <c r="AS4702" s="26"/>
    </row>
    <row r="4703" spans="1:45" s="19" customFormat="1" x14ac:dyDescent="0.2">
      <c r="A4703" s="121">
        <f t="shared" si="547"/>
        <v>3966</v>
      </c>
      <c r="B4703" s="13">
        <v>1</v>
      </c>
      <c r="C4703" s="17" t="s">
        <v>65</v>
      </c>
      <c r="D4703" s="17">
        <v>615</v>
      </c>
      <c r="E4703" s="17">
        <v>100</v>
      </c>
      <c r="F4703" s="17"/>
      <c r="G4703" s="13"/>
      <c r="H4703" s="17">
        <v>2</v>
      </c>
      <c r="I4703" s="17">
        <v>0</v>
      </c>
      <c r="J4703" s="17">
        <v>60</v>
      </c>
      <c r="K4703" s="10">
        <v>860</v>
      </c>
      <c r="L4703" s="17"/>
      <c r="M4703" s="15"/>
      <c r="N4703" s="18"/>
      <c r="O4703" s="14"/>
      <c r="P4703" s="17">
        <v>1</v>
      </c>
      <c r="Q4703" s="19">
        <v>860</v>
      </c>
      <c r="R4703" s="14">
        <v>250</v>
      </c>
      <c r="S4703" s="19">
        <v>215000</v>
      </c>
      <c r="T4703" s="17"/>
      <c r="U4703" s="17"/>
      <c r="V4703" s="17"/>
      <c r="W4703" s="4"/>
      <c r="X4703" s="17"/>
      <c r="Y4703" s="4"/>
      <c r="Z4703" s="17"/>
      <c r="AA4703" s="17"/>
      <c r="AB4703" s="17"/>
      <c r="AC4703" s="14"/>
      <c r="AD4703" s="14"/>
      <c r="AE4703" s="17"/>
      <c r="AF4703" s="14"/>
      <c r="AG4703" s="54"/>
      <c r="AH4703" s="11"/>
      <c r="AI4703" s="14"/>
      <c r="AJ4703" s="19">
        <v>0</v>
      </c>
      <c r="AK4703" s="23">
        <v>0</v>
      </c>
      <c r="AL4703" s="11"/>
      <c r="AM4703" s="19">
        <v>0</v>
      </c>
      <c r="AN4703" s="19">
        <v>215000</v>
      </c>
      <c r="AO4703" s="14"/>
      <c r="AP4703" s="14">
        <v>215000</v>
      </c>
      <c r="AQ4703" s="12">
        <v>1E-4</v>
      </c>
      <c r="AS4703" s="26"/>
    </row>
    <row r="4704" spans="1:45" s="19" customFormat="1" ht="63" x14ac:dyDescent="0.2">
      <c r="A4704" s="121">
        <f t="shared" si="547"/>
        <v>3967</v>
      </c>
      <c r="B4704" s="13">
        <v>1</v>
      </c>
      <c r="C4704" s="17" t="s">
        <v>52</v>
      </c>
      <c r="D4704" s="17">
        <v>3010</v>
      </c>
      <c r="E4704" s="17">
        <v>57</v>
      </c>
      <c r="F4704" s="17">
        <v>2078</v>
      </c>
      <c r="G4704" s="13">
        <v>2</v>
      </c>
      <c r="H4704" s="17">
        <v>0</v>
      </c>
      <c r="I4704" s="17">
        <v>0</v>
      </c>
      <c r="J4704" s="17">
        <v>27</v>
      </c>
      <c r="K4704" s="10"/>
      <c r="L4704" s="17">
        <v>27</v>
      </c>
      <c r="M4704" s="15"/>
      <c r="N4704" s="18"/>
      <c r="O4704" s="14"/>
      <c r="P4704" s="17">
        <v>2</v>
      </c>
      <c r="Q4704" s="19">
        <v>27</v>
      </c>
      <c r="R4704" s="14">
        <v>250</v>
      </c>
      <c r="S4704" s="19">
        <v>6750</v>
      </c>
      <c r="T4704" s="17">
        <v>1</v>
      </c>
      <c r="U4704" s="17" t="s">
        <v>57</v>
      </c>
      <c r="V4704" s="17" t="s">
        <v>56</v>
      </c>
      <c r="W4704" s="4">
        <v>85</v>
      </c>
      <c r="X4704" s="17"/>
      <c r="Y4704" s="4">
        <v>85</v>
      </c>
      <c r="Z4704" s="17"/>
      <c r="AA4704" s="17"/>
      <c r="AB4704" s="17">
        <v>11</v>
      </c>
      <c r="AC4704" s="14"/>
      <c r="AD4704" s="14"/>
      <c r="AE4704" s="17" t="s">
        <v>419</v>
      </c>
      <c r="AF4704" s="14"/>
      <c r="AG4704" s="54"/>
      <c r="AH4704" s="11"/>
      <c r="AI4704" s="14"/>
      <c r="AJ4704" s="19">
        <v>0</v>
      </c>
      <c r="AK4704" s="23">
        <v>11</v>
      </c>
      <c r="AL4704" s="11"/>
      <c r="AM4704" s="19">
        <v>0</v>
      </c>
      <c r="AN4704" s="19">
        <v>6750</v>
      </c>
      <c r="AO4704" s="14"/>
      <c r="AP4704" s="14">
        <v>6750</v>
      </c>
      <c r="AQ4704" s="12"/>
      <c r="AS4704" s="26"/>
    </row>
    <row r="4705" spans="1:45" s="19" customFormat="1" x14ac:dyDescent="0.2">
      <c r="A4705" s="121">
        <f t="shared" si="547"/>
        <v>3968</v>
      </c>
      <c r="B4705" s="13">
        <v>2</v>
      </c>
      <c r="C4705" s="17" t="s">
        <v>52</v>
      </c>
      <c r="D4705" s="17">
        <v>14081</v>
      </c>
      <c r="E4705" s="17">
        <v>131</v>
      </c>
      <c r="F4705" s="17">
        <v>3322</v>
      </c>
      <c r="G4705" s="13">
        <v>2</v>
      </c>
      <c r="H4705" s="17">
        <v>0</v>
      </c>
      <c r="I4705" s="17">
        <v>0</v>
      </c>
      <c r="J4705" s="17">
        <v>7</v>
      </c>
      <c r="K4705" s="10"/>
      <c r="L4705" s="17">
        <v>7</v>
      </c>
      <c r="M4705" s="15"/>
      <c r="N4705" s="18"/>
      <c r="O4705" s="14"/>
      <c r="P4705" s="17">
        <v>2</v>
      </c>
      <c r="Q4705" s="19">
        <v>7</v>
      </c>
      <c r="R4705" s="14">
        <v>160</v>
      </c>
      <c r="S4705" s="19">
        <v>1120</v>
      </c>
      <c r="T4705" s="17"/>
      <c r="U4705" s="17"/>
      <c r="V4705" s="17"/>
      <c r="W4705" s="4"/>
      <c r="X4705" s="17"/>
      <c r="Y4705" s="4"/>
      <c r="Z4705" s="17"/>
      <c r="AA4705" s="17"/>
      <c r="AB4705" s="17"/>
      <c r="AC4705" s="14"/>
      <c r="AD4705" s="14"/>
      <c r="AE4705" s="17" t="s">
        <v>419</v>
      </c>
      <c r="AF4705" s="14"/>
      <c r="AG4705" s="54"/>
      <c r="AH4705" s="11"/>
      <c r="AI4705" s="14"/>
      <c r="AJ4705" s="19">
        <v>0</v>
      </c>
      <c r="AK4705" s="23">
        <v>0</v>
      </c>
      <c r="AL4705" s="11"/>
      <c r="AM4705" s="19">
        <v>0</v>
      </c>
      <c r="AN4705" s="19">
        <v>1120</v>
      </c>
      <c r="AO4705" s="14"/>
      <c r="AP4705" s="14">
        <v>1120</v>
      </c>
      <c r="AQ4705" s="12"/>
      <c r="AS4705" s="26"/>
    </row>
    <row r="4706" spans="1:45" s="19" customFormat="1" ht="63" x14ac:dyDescent="0.2">
      <c r="A4706" s="121">
        <f t="shared" si="547"/>
        <v>3969</v>
      </c>
      <c r="B4706" s="13">
        <v>1</v>
      </c>
      <c r="C4706" s="17" t="s">
        <v>52</v>
      </c>
      <c r="D4706" s="17">
        <v>23482</v>
      </c>
      <c r="E4706" s="17">
        <v>168</v>
      </c>
      <c r="F4706" s="17">
        <v>4851</v>
      </c>
      <c r="G4706" s="13">
        <v>2</v>
      </c>
      <c r="H4706" s="17">
        <v>0</v>
      </c>
      <c r="I4706" s="17">
        <v>0</v>
      </c>
      <c r="J4706" s="17">
        <v>49</v>
      </c>
      <c r="K4706" s="10"/>
      <c r="L4706" s="17">
        <v>49</v>
      </c>
      <c r="M4706" s="15"/>
      <c r="N4706" s="18"/>
      <c r="O4706" s="14"/>
      <c r="P4706" s="17">
        <v>2</v>
      </c>
      <c r="Q4706" s="19">
        <v>49</v>
      </c>
      <c r="R4706" s="14">
        <v>250</v>
      </c>
      <c r="S4706" s="19">
        <v>12250</v>
      </c>
      <c r="T4706" s="17">
        <v>1</v>
      </c>
      <c r="U4706" s="17" t="s">
        <v>57</v>
      </c>
      <c r="V4706" s="17" t="s">
        <v>56</v>
      </c>
      <c r="W4706" s="4">
        <v>48</v>
      </c>
      <c r="X4706" s="17"/>
      <c r="Y4706" s="4">
        <v>48</v>
      </c>
      <c r="Z4706" s="17"/>
      <c r="AA4706" s="17"/>
      <c r="AB4706" s="17">
        <v>16</v>
      </c>
      <c r="AC4706" s="14"/>
      <c r="AD4706" s="14"/>
      <c r="AE4706" s="17"/>
      <c r="AF4706" s="14"/>
      <c r="AG4706" s="54"/>
      <c r="AH4706" s="11"/>
      <c r="AI4706" s="14"/>
      <c r="AJ4706" s="19">
        <v>0</v>
      </c>
      <c r="AK4706" s="23">
        <v>16</v>
      </c>
      <c r="AL4706" s="11"/>
      <c r="AM4706" s="19">
        <v>0</v>
      </c>
      <c r="AN4706" s="19">
        <v>12250</v>
      </c>
      <c r="AO4706" s="14"/>
      <c r="AP4706" s="14">
        <v>12250</v>
      </c>
      <c r="AQ4706" s="12"/>
      <c r="AS4706" s="26"/>
    </row>
    <row r="4707" spans="1:45" s="19" customFormat="1" ht="63" x14ac:dyDescent="0.2">
      <c r="A4707" s="121">
        <f t="shared" si="547"/>
        <v>3970</v>
      </c>
      <c r="B4707" s="13">
        <v>1</v>
      </c>
      <c r="C4707" s="17" t="s">
        <v>52</v>
      </c>
      <c r="D4707" s="17">
        <v>11650</v>
      </c>
      <c r="E4707" s="17">
        <v>117</v>
      </c>
      <c r="F4707" s="17">
        <v>3174</v>
      </c>
      <c r="G4707" s="13">
        <v>2</v>
      </c>
      <c r="H4707" s="17">
        <v>0</v>
      </c>
      <c r="I4707" s="17">
        <v>1</v>
      </c>
      <c r="J4707" s="17">
        <v>97.03</v>
      </c>
      <c r="K4707" s="10"/>
      <c r="L4707" s="17">
        <v>197.03</v>
      </c>
      <c r="M4707" s="15"/>
      <c r="N4707" s="18"/>
      <c r="O4707" s="14"/>
      <c r="P4707" s="17">
        <v>2</v>
      </c>
      <c r="Q4707" s="19">
        <v>197.03</v>
      </c>
      <c r="R4707" s="14">
        <v>160</v>
      </c>
      <c r="S4707" s="19">
        <v>31524.799999999999</v>
      </c>
      <c r="T4707" s="17">
        <v>1</v>
      </c>
      <c r="U4707" s="17" t="s">
        <v>57</v>
      </c>
      <c r="V4707" s="17" t="s">
        <v>56</v>
      </c>
      <c r="W4707" s="4">
        <v>84.5</v>
      </c>
      <c r="X4707" s="17"/>
      <c r="Y4707" s="4">
        <v>84.5</v>
      </c>
      <c r="Z4707" s="17"/>
      <c r="AA4707" s="17"/>
      <c r="AB4707" s="17">
        <v>4</v>
      </c>
      <c r="AC4707" s="14"/>
      <c r="AD4707" s="14"/>
      <c r="AE4707" s="17"/>
      <c r="AF4707" s="14"/>
      <c r="AG4707" s="54"/>
      <c r="AH4707" s="11"/>
      <c r="AI4707" s="14"/>
      <c r="AJ4707" s="19">
        <v>0</v>
      </c>
      <c r="AK4707" s="23">
        <v>4</v>
      </c>
      <c r="AL4707" s="11"/>
      <c r="AM4707" s="19">
        <v>0</v>
      </c>
      <c r="AN4707" s="19">
        <v>31524.799999999999</v>
      </c>
      <c r="AO4707" s="14"/>
      <c r="AP4707" s="14">
        <v>31524.799999999999</v>
      </c>
      <c r="AQ4707" s="12"/>
      <c r="AS4707" s="26"/>
    </row>
    <row r="4708" spans="1:45" s="19" customFormat="1" ht="63" x14ac:dyDescent="0.2">
      <c r="A4708" s="121">
        <f t="shared" si="547"/>
        <v>3971</v>
      </c>
      <c r="B4708" s="13">
        <v>1</v>
      </c>
      <c r="C4708" s="17" t="s">
        <v>52</v>
      </c>
      <c r="D4708" s="17">
        <v>3213</v>
      </c>
      <c r="E4708" s="17">
        <v>54</v>
      </c>
      <c r="F4708" s="17">
        <v>2146</v>
      </c>
      <c r="G4708" s="13">
        <v>2</v>
      </c>
      <c r="H4708" s="17">
        <v>0</v>
      </c>
      <c r="I4708" s="17">
        <v>1</v>
      </c>
      <c r="J4708" s="17">
        <v>43</v>
      </c>
      <c r="K4708" s="10"/>
      <c r="L4708" s="17">
        <v>143</v>
      </c>
      <c r="M4708" s="15"/>
      <c r="N4708" s="18"/>
      <c r="O4708" s="14"/>
      <c r="P4708" s="17">
        <v>2</v>
      </c>
      <c r="Q4708" s="19">
        <v>143</v>
      </c>
      <c r="R4708" s="14">
        <v>250</v>
      </c>
      <c r="S4708" s="19">
        <v>35750</v>
      </c>
      <c r="T4708" s="17">
        <v>1</v>
      </c>
      <c r="U4708" s="17" t="s">
        <v>57</v>
      </c>
      <c r="V4708" s="17" t="s">
        <v>56</v>
      </c>
      <c r="W4708" s="4">
        <v>181.5</v>
      </c>
      <c r="X4708" s="17"/>
      <c r="Y4708" s="4">
        <v>181.5</v>
      </c>
      <c r="Z4708" s="17"/>
      <c r="AA4708" s="17"/>
      <c r="AB4708" s="17">
        <v>29</v>
      </c>
      <c r="AC4708" s="14"/>
      <c r="AD4708" s="14"/>
      <c r="AE4708" s="17"/>
      <c r="AF4708" s="14"/>
      <c r="AG4708" s="54"/>
      <c r="AH4708" s="11"/>
      <c r="AI4708" s="14"/>
      <c r="AJ4708" s="19">
        <v>0</v>
      </c>
      <c r="AK4708" s="23">
        <v>29</v>
      </c>
      <c r="AL4708" s="11"/>
      <c r="AM4708" s="19">
        <v>0</v>
      </c>
      <c r="AN4708" s="19">
        <v>35750</v>
      </c>
      <c r="AO4708" s="14"/>
      <c r="AP4708" s="14">
        <v>35750</v>
      </c>
      <c r="AQ4708" s="12"/>
      <c r="AS4708" s="26"/>
    </row>
    <row r="4709" spans="1:45" s="19" customFormat="1" x14ac:dyDescent="0.2">
      <c r="A4709" s="121">
        <f t="shared" si="547"/>
        <v>3972</v>
      </c>
      <c r="B4709" s="13">
        <v>1</v>
      </c>
      <c r="C4709" s="17" t="s">
        <v>52</v>
      </c>
      <c r="D4709" s="17">
        <v>3203</v>
      </c>
      <c r="E4709" s="17">
        <v>45</v>
      </c>
      <c r="F4709" s="17">
        <v>2135</v>
      </c>
      <c r="G4709" s="13">
        <v>2</v>
      </c>
      <c r="H4709" s="17">
        <v>4</v>
      </c>
      <c r="I4709" s="17">
        <v>1</v>
      </c>
      <c r="J4709" s="17">
        <v>25</v>
      </c>
      <c r="K4709" s="10">
        <v>1725</v>
      </c>
      <c r="L4709" s="17"/>
      <c r="M4709" s="15"/>
      <c r="N4709" s="18"/>
      <c r="O4709" s="14"/>
      <c r="P4709" s="17">
        <v>1</v>
      </c>
      <c r="Q4709" s="19">
        <v>1725</v>
      </c>
      <c r="R4709" s="14">
        <v>200</v>
      </c>
      <c r="S4709" s="19">
        <v>345000</v>
      </c>
      <c r="T4709" s="17"/>
      <c r="U4709" s="17"/>
      <c r="V4709" s="17"/>
      <c r="W4709" s="4"/>
      <c r="X4709" s="17"/>
      <c r="Y4709" s="4"/>
      <c r="Z4709" s="17"/>
      <c r="AA4709" s="17"/>
      <c r="AB4709" s="17"/>
      <c r="AC4709" s="14"/>
      <c r="AD4709" s="14"/>
      <c r="AE4709" s="17"/>
      <c r="AF4709" s="14"/>
      <c r="AG4709" s="54"/>
      <c r="AH4709" s="11"/>
      <c r="AI4709" s="14"/>
      <c r="AJ4709" s="19">
        <v>0</v>
      </c>
      <c r="AK4709" s="23">
        <v>0</v>
      </c>
      <c r="AL4709" s="11"/>
      <c r="AM4709" s="19">
        <v>0</v>
      </c>
      <c r="AN4709" s="19">
        <v>345000</v>
      </c>
      <c r="AO4709" s="14"/>
      <c r="AP4709" s="14">
        <v>345000</v>
      </c>
      <c r="AQ4709" s="12"/>
      <c r="AS4709" s="26"/>
    </row>
    <row r="4710" spans="1:45" s="19" customFormat="1" x14ac:dyDescent="0.2">
      <c r="A4710" s="121">
        <f t="shared" si="547"/>
        <v>3973</v>
      </c>
      <c r="B4710" s="13">
        <v>2</v>
      </c>
      <c r="C4710" s="17" t="s">
        <v>52</v>
      </c>
      <c r="D4710" s="17">
        <v>3204</v>
      </c>
      <c r="E4710" s="17">
        <v>46</v>
      </c>
      <c r="F4710" s="17">
        <v>2136</v>
      </c>
      <c r="G4710" s="13">
        <v>2</v>
      </c>
      <c r="H4710" s="17">
        <v>4</v>
      </c>
      <c r="I4710" s="17">
        <v>0</v>
      </c>
      <c r="J4710" s="17">
        <v>40</v>
      </c>
      <c r="K4710" s="10">
        <v>1640</v>
      </c>
      <c r="L4710" s="17"/>
      <c r="M4710" s="15"/>
      <c r="N4710" s="18"/>
      <c r="O4710" s="14"/>
      <c r="P4710" s="17">
        <v>1</v>
      </c>
      <c r="Q4710" s="19">
        <v>1640</v>
      </c>
      <c r="R4710" s="14">
        <v>200</v>
      </c>
      <c r="S4710" s="19">
        <v>328000</v>
      </c>
      <c r="T4710" s="17"/>
      <c r="U4710" s="17"/>
      <c r="V4710" s="17"/>
      <c r="W4710" s="4"/>
      <c r="X4710" s="17"/>
      <c r="Y4710" s="4"/>
      <c r="Z4710" s="17"/>
      <c r="AA4710" s="17"/>
      <c r="AB4710" s="17"/>
      <c r="AC4710" s="14"/>
      <c r="AD4710" s="14"/>
      <c r="AE4710" s="17"/>
      <c r="AF4710" s="14"/>
      <c r="AG4710" s="54"/>
      <c r="AH4710" s="11"/>
      <c r="AI4710" s="14"/>
      <c r="AJ4710" s="19">
        <v>0</v>
      </c>
      <c r="AK4710" s="23">
        <v>0</v>
      </c>
      <c r="AL4710" s="11"/>
      <c r="AM4710" s="19">
        <v>0</v>
      </c>
      <c r="AN4710" s="19">
        <v>328000</v>
      </c>
      <c r="AO4710" s="14"/>
      <c r="AP4710" s="14">
        <v>328000</v>
      </c>
      <c r="AQ4710" s="12"/>
      <c r="AS4710" s="26"/>
    </row>
    <row r="4711" spans="1:45" s="19" customFormat="1" ht="63" x14ac:dyDescent="0.2">
      <c r="A4711" s="121">
        <f t="shared" si="547"/>
        <v>3974</v>
      </c>
      <c r="B4711" s="13">
        <v>1</v>
      </c>
      <c r="C4711" s="17" t="s">
        <v>52</v>
      </c>
      <c r="D4711" s="17">
        <v>3017</v>
      </c>
      <c r="E4711" s="17">
        <v>50</v>
      </c>
      <c r="F4711" s="17">
        <v>2085</v>
      </c>
      <c r="G4711" s="13">
        <v>2</v>
      </c>
      <c r="H4711" s="17">
        <v>7</v>
      </c>
      <c r="I4711" s="17">
        <v>1</v>
      </c>
      <c r="J4711" s="17">
        <v>24</v>
      </c>
      <c r="K4711" s="10">
        <v>2855.62</v>
      </c>
      <c r="L4711" s="17">
        <v>8</v>
      </c>
      <c r="M4711" s="15"/>
      <c r="N4711" s="18"/>
      <c r="O4711" s="14"/>
      <c r="P4711" s="17">
        <v>5</v>
      </c>
      <c r="Q4711" s="19">
        <v>2924</v>
      </c>
      <c r="R4711" s="14">
        <v>200</v>
      </c>
      <c r="S4711" s="19">
        <v>584800</v>
      </c>
      <c r="T4711" s="17">
        <v>1</v>
      </c>
      <c r="U4711" s="17" t="s">
        <v>57</v>
      </c>
      <c r="V4711" s="17" t="s">
        <v>56</v>
      </c>
      <c r="W4711" s="4">
        <v>32</v>
      </c>
      <c r="X4711" s="17"/>
      <c r="Y4711" s="4">
        <v>32</v>
      </c>
      <c r="Z4711" s="17"/>
      <c r="AA4711" s="17"/>
      <c r="AB4711" s="17">
        <v>12</v>
      </c>
      <c r="AC4711" s="14"/>
      <c r="AD4711" s="14"/>
      <c r="AE4711" s="17"/>
      <c r="AF4711" s="14"/>
      <c r="AG4711" s="54"/>
      <c r="AH4711" s="11"/>
      <c r="AI4711" s="14"/>
      <c r="AJ4711" s="19">
        <v>0</v>
      </c>
      <c r="AK4711" s="23">
        <v>12</v>
      </c>
      <c r="AL4711" s="11"/>
      <c r="AM4711" s="19">
        <v>0</v>
      </c>
      <c r="AN4711" s="19">
        <v>584800</v>
      </c>
      <c r="AO4711" s="14"/>
      <c r="AP4711" s="14">
        <v>584800</v>
      </c>
      <c r="AQ4711" s="12"/>
      <c r="AS4711" s="26"/>
    </row>
    <row r="4712" spans="1:45" s="19" customFormat="1" ht="63" x14ac:dyDescent="0.2">
      <c r="A4712" s="2"/>
      <c r="B4712" s="13"/>
      <c r="C4712" s="17"/>
      <c r="D4712" s="17"/>
      <c r="E4712" s="17"/>
      <c r="F4712" s="17"/>
      <c r="G4712" s="13"/>
      <c r="H4712" s="17"/>
      <c r="I4712" s="17"/>
      <c r="J4712" s="17"/>
      <c r="K4712" s="10"/>
      <c r="L4712" s="17">
        <v>31.25</v>
      </c>
      <c r="M4712" s="15"/>
      <c r="N4712" s="18"/>
      <c r="O4712" s="14"/>
      <c r="P4712" s="17"/>
      <c r="Q4712" s="19">
        <v>0</v>
      </c>
      <c r="R4712" s="14" t="e">
        <v>#N/A</v>
      </c>
      <c r="S4712" s="19" t="e">
        <v>#N/A</v>
      </c>
      <c r="T4712" s="17">
        <v>2</v>
      </c>
      <c r="U4712" s="17" t="s">
        <v>57</v>
      </c>
      <c r="V4712" s="17" t="s">
        <v>56</v>
      </c>
      <c r="W4712" s="4">
        <v>125</v>
      </c>
      <c r="X4712" s="17"/>
      <c r="Y4712" s="4">
        <v>125</v>
      </c>
      <c r="Z4712" s="17"/>
      <c r="AA4712" s="17"/>
      <c r="AB4712" s="17">
        <v>7</v>
      </c>
      <c r="AC4712" s="14"/>
      <c r="AD4712" s="14"/>
      <c r="AE4712" s="17"/>
      <c r="AF4712" s="14"/>
      <c r="AG4712" s="54"/>
      <c r="AH4712" s="11"/>
      <c r="AI4712" s="14"/>
      <c r="AJ4712" s="19">
        <v>0</v>
      </c>
      <c r="AK4712" s="23">
        <v>7</v>
      </c>
      <c r="AL4712" s="11"/>
      <c r="AM4712" s="19">
        <v>0</v>
      </c>
      <c r="AN4712" s="19" t="e">
        <v>#N/A</v>
      </c>
      <c r="AO4712" s="14"/>
      <c r="AP4712" s="14" t="e">
        <v>#N/A</v>
      </c>
      <c r="AQ4712" s="12"/>
      <c r="AS4712" s="26"/>
    </row>
    <row r="4713" spans="1:45" s="19" customFormat="1" ht="63" x14ac:dyDescent="0.2">
      <c r="A4713" s="2"/>
      <c r="B4713" s="13"/>
      <c r="C4713" s="17"/>
      <c r="D4713" s="17"/>
      <c r="E4713" s="17"/>
      <c r="F4713" s="17"/>
      <c r="G4713" s="13"/>
      <c r="H4713" s="17"/>
      <c r="I4713" s="17"/>
      <c r="J4713" s="17"/>
      <c r="K4713" s="10"/>
      <c r="L4713" s="17">
        <v>29.13</v>
      </c>
      <c r="M4713" s="15"/>
      <c r="N4713" s="18"/>
      <c r="O4713" s="14"/>
      <c r="P4713" s="17"/>
      <c r="Q4713" s="19">
        <v>0</v>
      </c>
      <c r="R4713" s="14" t="e">
        <v>#N/A</v>
      </c>
      <c r="S4713" s="19" t="e">
        <v>#N/A</v>
      </c>
      <c r="T4713" s="17">
        <v>3</v>
      </c>
      <c r="U4713" s="17" t="s">
        <v>57</v>
      </c>
      <c r="V4713" s="17" t="s">
        <v>56</v>
      </c>
      <c r="W4713" s="4">
        <v>116.5</v>
      </c>
      <c r="X4713" s="17"/>
      <c r="Y4713" s="4">
        <v>116.5</v>
      </c>
      <c r="Z4713" s="17"/>
      <c r="AA4713" s="17"/>
      <c r="AB4713" s="17">
        <v>34</v>
      </c>
      <c r="AC4713" s="14"/>
      <c r="AD4713" s="14"/>
      <c r="AE4713" s="17"/>
      <c r="AF4713" s="14"/>
      <c r="AG4713" s="54"/>
      <c r="AH4713" s="11"/>
      <c r="AI4713" s="14"/>
      <c r="AJ4713" s="19">
        <v>0</v>
      </c>
      <c r="AK4713" s="23">
        <v>34</v>
      </c>
      <c r="AL4713" s="11"/>
      <c r="AM4713" s="19">
        <v>0</v>
      </c>
      <c r="AN4713" s="19" t="e">
        <v>#N/A</v>
      </c>
      <c r="AO4713" s="14"/>
      <c r="AP4713" s="14" t="e">
        <v>#N/A</v>
      </c>
      <c r="AQ4713" s="12"/>
      <c r="AS4713" s="26"/>
    </row>
    <row r="4714" spans="1:45" s="19" customFormat="1" x14ac:dyDescent="0.2">
      <c r="A4714" s="2">
        <v>3975</v>
      </c>
      <c r="B4714" s="13">
        <v>1</v>
      </c>
      <c r="C4714" s="17" t="s">
        <v>52</v>
      </c>
      <c r="D4714" s="17">
        <v>3015</v>
      </c>
      <c r="E4714" s="17">
        <v>48</v>
      </c>
      <c r="F4714" s="17">
        <v>2083</v>
      </c>
      <c r="G4714" s="13">
        <v>2</v>
      </c>
      <c r="H4714" s="17">
        <v>6</v>
      </c>
      <c r="I4714" s="17">
        <v>3</v>
      </c>
      <c r="J4714" s="17">
        <v>12</v>
      </c>
      <c r="K4714" s="10">
        <v>2712</v>
      </c>
      <c r="L4714" s="17"/>
      <c r="M4714" s="15"/>
      <c r="N4714" s="18"/>
      <c r="O4714" s="14"/>
      <c r="P4714" s="17">
        <v>1</v>
      </c>
      <c r="Q4714" s="19">
        <v>2712</v>
      </c>
      <c r="R4714" s="14">
        <v>200</v>
      </c>
      <c r="S4714" s="19">
        <v>542400</v>
      </c>
      <c r="T4714" s="17"/>
      <c r="U4714" s="17"/>
      <c r="V4714" s="17"/>
      <c r="W4714" s="4"/>
      <c r="X4714" s="17"/>
      <c r="Y4714" s="4"/>
      <c r="Z4714" s="17"/>
      <c r="AA4714" s="17"/>
      <c r="AB4714" s="17"/>
      <c r="AC4714" s="14"/>
      <c r="AD4714" s="14"/>
      <c r="AE4714" s="17"/>
      <c r="AF4714" s="14"/>
      <c r="AG4714" s="54"/>
      <c r="AH4714" s="11"/>
      <c r="AI4714" s="14"/>
      <c r="AJ4714" s="19">
        <v>0</v>
      </c>
      <c r="AK4714" s="23">
        <v>0</v>
      </c>
      <c r="AL4714" s="11"/>
      <c r="AM4714" s="19">
        <v>0</v>
      </c>
      <c r="AN4714" s="19">
        <v>542400</v>
      </c>
      <c r="AO4714" s="14"/>
      <c r="AP4714" s="14">
        <v>542400</v>
      </c>
      <c r="AQ4714" s="12"/>
      <c r="AS4714" s="26"/>
    </row>
    <row r="4715" spans="1:45" s="19" customFormat="1" x14ac:dyDescent="0.2">
      <c r="A4715" s="2">
        <f>+A4714+1</f>
        <v>3976</v>
      </c>
      <c r="B4715" s="13">
        <v>2</v>
      </c>
      <c r="C4715" s="17" t="s">
        <v>69</v>
      </c>
      <c r="D4715" s="17"/>
      <c r="E4715" s="17">
        <v>164</v>
      </c>
      <c r="F4715" s="17">
        <v>7</v>
      </c>
      <c r="G4715" s="13">
        <v>2</v>
      </c>
      <c r="H4715" s="17">
        <v>18</v>
      </c>
      <c r="I4715" s="17">
        <v>0</v>
      </c>
      <c r="J4715" s="17">
        <v>98</v>
      </c>
      <c r="K4715" s="10">
        <v>7298</v>
      </c>
      <c r="L4715" s="17"/>
      <c r="M4715" s="15"/>
      <c r="N4715" s="18"/>
      <c r="O4715" s="14"/>
      <c r="P4715" s="17">
        <v>1</v>
      </c>
      <c r="Q4715" s="19">
        <v>7298</v>
      </c>
      <c r="R4715" s="14">
        <v>200</v>
      </c>
      <c r="S4715" s="19">
        <v>1459600</v>
      </c>
      <c r="T4715" s="17"/>
      <c r="U4715" s="17"/>
      <c r="V4715" s="17"/>
      <c r="W4715" s="4"/>
      <c r="X4715" s="17"/>
      <c r="Y4715" s="4"/>
      <c r="Z4715" s="17"/>
      <c r="AA4715" s="17"/>
      <c r="AB4715" s="17"/>
      <c r="AC4715" s="14"/>
      <c r="AD4715" s="14"/>
      <c r="AE4715" s="17"/>
      <c r="AF4715" s="14"/>
      <c r="AG4715" s="54"/>
      <c r="AH4715" s="11"/>
      <c r="AI4715" s="14"/>
      <c r="AJ4715" s="19">
        <v>0</v>
      </c>
      <c r="AK4715" s="23">
        <v>0</v>
      </c>
      <c r="AL4715" s="11"/>
      <c r="AM4715" s="19">
        <v>0</v>
      </c>
      <c r="AN4715" s="19">
        <v>1459600</v>
      </c>
      <c r="AO4715" s="14"/>
      <c r="AP4715" s="14">
        <v>1459600</v>
      </c>
      <c r="AQ4715" s="12">
        <v>1E-4</v>
      </c>
      <c r="AS4715" s="26"/>
    </row>
    <row r="4716" spans="1:45" s="19" customFormat="1" ht="63" x14ac:dyDescent="0.2">
      <c r="A4716" s="121">
        <f t="shared" ref="A4716:A4718" si="548">+A4715+1</f>
        <v>3977</v>
      </c>
      <c r="B4716" s="13">
        <v>1</v>
      </c>
      <c r="C4716" s="17" t="s">
        <v>52</v>
      </c>
      <c r="D4716" s="17">
        <v>20492</v>
      </c>
      <c r="E4716" s="17">
        <v>155</v>
      </c>
      <c r="F4716" s="17">
        <v>4577</v>
      </c>
      <c r="G4716" s="13">
        <v>2</v>
      </c>
      <c r="H4716" s="17">
        <v>0</v>
      </c>
      <c r="I4716" s="17">
        <v>1</v>
      </c>
      <c r="J4716" s="17">
        <v>51</v>
      </c>
      <c r="K4716" s="10"/>
      <c r="L4716" s="17">
        <v>151</v>
      </c>
      <c r="M4716" s="15"/>
      <c r="N4716" s="18"/>
      <c r="O4716" s="14"/>
      <c r="P4716" s="17">
        <v>2</v>
      </c>
      <c r="Q4716" s="19">
        <v>151</v>
      </c>
      <c r="R4716" s="14">
        <v>250</v>
      </c>
      <c r="S4716" s="19">
        <v>37750</v>
      </c>
      <c r="T4716" s="17">
        <v>1</v>
      </c>
      <c r="U4716" s="17" t="s">
        <v>57</v>
      </c>
      <c r="V4716" s="17" t="s">
        <v>56</v>
      </c>
      <c r="W4716" s="4">
        <v>99</v>
      </c>
      <c r="X4716" s="17"/>
      <c r="Y4716" s="4">
        <v>99</v>
      </c>
      <c r="Z4716" s="17"/>
      <c r="AA4716" s="17"/>
      <c r="AB4716" s="17">
        <v>37</v>
      </c>
      <c r="AC4716" s="14"/>
      <c r="AD4716" s="14"/>
      <c r="AE4716" s="17"/>
      <c r="AF4716" s="14"/>
      <c r="AG4716" s="54"/>
      <c r="AH4716" s="11"/>
      <c r="AI4716" s="14"/>
      <c r="AJ4716" s="19">
        <v>0</v>
      </c>
      <c r="AK4716" s="23">
        <v>37</v>
      </c>
      <c r="AL4716" s="11"/>
      <c r="AM4716" s="19">
        <v>0</v>
      </c>
      <c r="AN4716" s="19">
        <v>37750</v>
      </c>
      <c r="AO4716" s="14"/>
      <c r="AP4716" s="14">
        <v>37750</v>
      </c>
      <c r="AQ4716" s="12"/>
      <c r="AS4716" s="26"/>
    </row>
    <row r="4717" spans="1:45" s="19" customFormat="1" x14ac:dyDescent="0.2">
      <c r="A4717" s="121">
        <f t="shared" si="548"/>
        <v>3978</v>
      </c>
      <c r="B4717" s="13">
        <v>1</v>
      </c>
      <c r="C4717" s="17" t="s">
        <v>52</v>
      </c>
      <c r="D4717" s="17">
        <v>3167</v>
      </c>
      <c r="E4717" s="17">
        <v>75</v>
      </c>
      <c r="F4717" s="17">
        <v>2091</v>
      </c>
      <c r="G4717" s="13">
        <v>2</v>
      </c>
      <c r="H4717" s="17">
        <v>2</v>
      </c>
      <c r="I4717" s="17">
        <v>1</v>
      </c>
      <c r="J4717" s="17">
        <v>27</v>
      </c>
      <c r="K4717" s="10">
        <v>927</v>
      </c>
      <c r="L4717" s="17"/>
      <c r="M4717" s="15"/>
      <c r="N4717" s="18"/>
      <c r="O4717" s="14"/>
      <c r="P4717" s="17">
        <v>1</v>
      </c>
      <c r="Q4717" s="19">
        <v>927</v>
      </c>
      <c r="R4717" s="14">
        <v>250</v>
      </c>
      <c r="S4717" s="19">
        <v>231750</v>
      </c>
      <c r="T4717" s="17"/>
      <c r="U4717" s="17"/>
      <c r="V4717" s="17"/>
      <c r="W4717" s="4"/>
      <c r="X4717" s="17"/>
      <c r="Y4717" s="4"/>
      <c r="Z4717" s="17"/>
      <c r="AA4717" s="17"/>
      <c r="AB4717" s="17"/>
      <c r="AC4717" s="14"/>
      <c r="AD4717" s="14"/>
      <c r="AE4717" s="17"/>
      <c r="AF4717" s="14"/>
      <c r="AG4717" s="54"/>
      <c r="AH4717" s="11"/>
      <c r="AI4717" s="14"/>
      <c r="AJ4717" s="19">
        <v>0</v>
      </c>
      <c r="AK4717" s="23">
        <v>0</v>
      </c>
      <c r="AL4717" s="11"/>
      <c r="AM4717" s="19">
        <v>0</v>
      </c>
      <c r="AN4717" s="19">
        <v>231750</v>
      </c>
      <c r="AO4717" s="14"/>
      <c r="AP4717" s="14">
        <v>231750</v>
      </c>
      <c r="AQ4717" s="12"/>
      <c r="AS4717" s="26"/>
    </row>
    <row r="4718" spans="1:45" s="19" customFormat="1" ht="63" x14ac:dyDescent="0.2">
      <c r="A4718" s="121">
        <f t="shared" si="548"/>
        <v>3979</v>
      </c>
      <c r="B4718" s="13">
        <v>2</v>
      </c>
      <c r="C4718" s="17" t="s">
        <v>52</v>
      </c>
      <c r="D4718" s="17">
        <v>32911</v>
      </c>
      <c r="E4718" s="17">
        <v>76</v>
      </c>
      <c r="F4718" s="17">
        <v>2092</v>
      </c>
      <c r="G4718" s="13">
        <v>2</v>
      </c>
      <c r="H4718" s="17">
        <v>10</v>
      </c>
      <c r="I4718" s="17">
        <v>1</v>
      </c>
      <c r="J4718" s="17">
        <v>95</v>
      </c>
      <c r="K4718" s="10">
        <v>4161.75</v>
      </c>
      <c r="L4718" s="17">
        <v>22</v>
      </c>
      <c r="M4718" s="15"/>
      <c r="N4718" s="18"/>
      <c r="O4718" s="14"/>
      <c r="P4718" s="17">
        <v>5</v>
      </c>
      <c r="Q4718" s="19">
        <v>4195</v>
      </c>
      <c r="R4718" s="14">
        <v>200</v>
      </c>
      <c r="S4718" s="19">
        <v>839000</v>
      </c>
      <c r="T4718" s="17">
        <v>1</v>
      </c>
      <c r="U4718" s="17" t="s">
        <v>57</v>
      </c>
      <c r="V4718" s="17" t="s">
        <v>56</v>
      </c>
      <c r="W4718" s="4">
        <v>88</v>
      </c>
      <c r="X4718" s="17"/>
      <c r="Y4718" s="4">
        <v>88</v>
      </c>
      <c r="Z4718" s="17"/>
      <c r="AA4718" s="17"/>
      <c r="AB4718" s="17">
        <v>40</v>
      </c>
      <c r="AC4718" s="14"/>
      <c r="AD4718" s="14"/>
      <c r="AE4718" s="17"/>
      <c r="AF4718" s="14"/>
      <c r="AG4718" s="54"/>
      <c r="AH4718" s="11"/>
      <c r="AI4718" s="14"/>
      <c r="AJ4718" s="19">
        <v>0</v>
      </c>
      <c r="AK4718" s="23">
        <v>40</v>
      </c>
      <c r="AL4718" s="11"/>
      <c r="AM4718" s="19">
        <v>0</v>
      </c>
      <c r="AN4718" s="19">
        <v>839000</v>
      </c>
      <c r="AO4718" s="14"/>
      <c r="AP4718" s="14">
        <v>839000</v>
      </c>
      <c r="AQ4718" s="12"/>
      <c r="AS4718" s="26"/>
    </row>
    <row r="4719" spans="1:45" s="19" customFormat="1" ht="63" x14ac:dyDescent="0.2">
      <c r="A4719" s="2"/>
      <c r="B4719" s="13"/>
      <c r="C4719" s="17"/>
      <c r="D4719" s="17"/>
      <c r="E4719" s="17"/>
      <c r="F4719" s="17"/>
      <c r="G4719" s="13"/>
      <c r="H4719" s="17"/>
      <c r="I4719" s="17"/>
      <c r="J4719" s="17"/>
      <c r="K4719" s="10"/>
      <c r="L4719" s="17">
        <v>11.25</v>
      </c>
      <c r="M4719" s="15"/>
      <c r="N4719" s="18"/>
      <c r="O4719" s="14"/>
      <c r="P4719" s="17"/>
      <c r="Q4719" s="19">
        <v>0</v>
      </c>
      <c r="R4719" s="14"/>
      <c r="T4719" s="17">
        <v>2</v>
      </c>
      <c r="U4719" s="17" t="s">
        <v>57</v>
      </c>
      <c r="V4719" s="17" t="s">
        <v>88</v>
      </c>
      <c r="W4719" s="4">
        <v>45</v>
      </c>
      <c r="X4719" s="17"/>
      <c r="Y4719" s="4">
        <v>45</v>
      </c>
      <c r="Z4719" s="17"/>
      <c r="AA4719" s="17"/>
      <c r="AB4719" s="17">
        <v>31</v>
      </c>
      <c r="AC4719" s="14"/>
      <c r="AD4719" s="14"/>
      <c r="AE4719" s="17"/>
      <c r="AF4719" s="14"/>
      <c r="AG4719" s="54"/>
      <c r="AH4719" s="11"/>
      <c r="AI4719" s="14"/>
      <c r="AJ4719" s="19">
        <v>0</v>
      </c>
      <c r="AK4719" s="23">
        <v>31</v>
      </c>
      <c r="AL4719" s="11"/>
      <c r="AM4719" s="19">
        <v>0</v>
      </c>
      <c r="AN4719" s="19">
        <v>0</v>
      </c>
      <c r="AO4719" s="14"/>
      <c r="AP4719" s="14">
        <v>0</v>
      </c>
      <c r="AQ4719" s="12"/>
      <c r="AS4719" s="26"/>
    </row>
    <row r="4720" spans="1:45" s="19" customFormat="1" x14ac:dyDescent="0.2">
      <c r="A4720" s="2">
        <v>3980</v>
      </c>
      <c r="B4720" s="13">
        <v>3</v>
      </c>
      <c r="C4720" s="17" t="s">
        <v>69</v>
      </c>
      <c r="D4720" s="17"/>
      <c r="E4720" s="17">
        <v>151</v>
      </c>
      <c r="F4720" s="17">
        <v>1</v>
      </c>
      <c r="G4720" s="13">
        <v>2</v>
      </c>
      <c r="H4720" s="17">
        <v>2</v>
      </c>
      <c r="I4720" s="17">
        <v>3</v>
      </c>
      <c r="J4720" s="17">
        <v>14</v>
      </c>
      <c r="K4720" s="10">
        <v>1114</v>
      </c>
      <c r="L4720" s="17"/>
      <c r="M4720" s="15"/>
      <c r="N4720" s="18"/>
      <c r="O4720" s="14"/>
      <c r="P4720" s="17">
        <v>1</v>
      </c>
      <c r="Q4720" s="19">
        <v>1114</v>
      </c>
      <c r="R4720" s="14">
        <v>160</v>
      </c>
      <c r="S4720" s="19">
        <v>178240</v>
      </c>
      <c r="T4720" s="17"/>
      <c r="U4720" s="17"/>
      <c r="V4720" s="17"/>
      <c r="W4720" s="4"/>
      <c r="X4720" s="17"/>
      <c r="Y4720" s="4"/>
      <c r="Z4720" s="17"/>
      <c r="AA4720" s="17"/>
      <c r="AB4720" s="17"/>
      <c r="AC4720" s="14"/>
      <c r="AD4720" s="14"/>
      <c r="AE4720" s="17"/>
      <c r="AF4720" s="14"/>
      <c r="AG4720" s="54"/>
      <c r="AH4720" s="11"/>
      <c r="AI4720" s="14"/>
      <c r="AJ4720" s="19">
        <v>0</v>
      </c>
      <c r="AK4720" s="23">
        <v>0</v>
      </c>
      <c r="AL4720" s="11"/>
      <c r="AM4720" s="19">
        <v>0</v>
      </c>
      <c r="AN4720" s="19">
        <v>178240</v>
      </c>
      <c r="AO4720" s="14"/>
      <c r="AP4720" s="14">
        <v>178240</v>
      </c>
      <c r="AQ4720" s="12">
        <v>1E-4</v>
      </c>
      <c r="AS4720" s="26"/>
    </row>
    <row r="4721" spans="1:45" s="19" customFormat="1" x14ac:dyDescent="0.2">
      <c r="A4721" s="2">
        <f>+A4720+1</f>
        <v>3981</v>
      </c>
      <c r="B4721" s="13">
        <v>4</v>
      </c>
      <c r="C4721" s="17" t="s">
        <v>69</v>
      </c>
      <c r="D4721" s="17"/>
      <c r="E4721" s="17">
        <v>151</v>
      </c>
      <c r="F4721" s="17">
        <v>12</v>
      </c>
      <c r="G4721" s="13">
        <v>2</v>
      </c>
      <c r="H4721" s="17">
        <v>10</v>
      </c>
      <c r="I4721" s="17">
        <v>3</v>
      </c>
      <c r="J4721" s="17">
        <v>45</v>
      </c>
      <c r="K4721" s="10">
        <v>4345</v>
      </c>
      <c r="L4721" s="17"/>
      <c r="M4721" s="15"/>
      <c r="N4721" s="18"/>
      <c r="O4721" s="14"/>
      <c r="P4721" s="17">
        <v>1</v>
      </c>
      <c r="Q4721" s="19">
        <v>4345</v>
      </c>
      <c r="R4721" s="14">
        <v>160</v>
      </c>
      <c r="S4721" s="19">
        <v>695200</v>
      </c>
      <c r="T4721" s="17"/>
      <c r="U4721" s="17"/>
      <c r="V4721" s="17"/>
      <c r="W4721" s="4"/>
      <c r="X4721" s="17"/>
      <c r="Y4721" s="4"/>
      <c r="Z4721" s="17"/>
      <c r="AA4721" s="17"/>
      <c r="AB4721" s="17"/>
      <c r="AC4721" s="14"/>
      <c r="AD4721" s="14"/>
      <c r="AE4721" s="17"/>
      <c r="AF4721" s="14"/>
      <c r="AG4721" s="54"/>
      <c r="AH4721" s="11"/>
      <c r="AI4721" s="14"/>
      <c r="AJ4721" s="19">
        <v>0</v>
      </c>
      <c r="AK4721" s="23">
        <v>0</v>
      </c>
      <c r="AL4721" s="11"/>
      <c r="AM4721" s="19">
        <v>0</v>
      </c>
      <c r="AN4721" s="19">
        <v>695200</v>
      </c>
      <c r="AO4721" s="14"/>
      <c r="AP4721" s="14">
        <v>695200</v>
      </c>
      <c r="AQ4721" s="12">
        <v>1E-4</v>
      </c>
      <c r="AS4721" s="26"/>
    </row>
    <row r="4722" spans="1:45" s="19" customFormat="1" x14ac:dyDescent="0.2">
      <c r="A4722" s="121">
        <f t="shared" ref="A4722:A4723" si="549">+A4721+1</f>
        <v>3982</v>
      </c>
      <c r="B4722" s="13">
        <v>1</v>
      </c>
      <c r="C4722" s="17" t="s">
        <v>52</v>
      </c>
      <c r="D4722" s="17">
        <v>20544</v>
      </c>
      <c r="E4722" s="17">
        <v>151</v>
      </c>
      <c r="F4722" s="17">
        <v>4391</v>
      </c>
      <c r="G4722" s="13">
        <v>2</v>
      </c>
      <c r="H4722" s="17">
        <v>1</v>
      </c>
      <c r="I4722" s="17">
        <v>2</v>
      </c>
      <c r="J4722" s="17">
        <v>85</v>
      </c>
      <c r="K4722" s="10">
        <v>685</v>
      </c>
      <c r="L4722" s="17"/>
      <c r="M4722" s="15"/>
      <c r="N4722" s="18"/>
      <c r="O4722" s="14"/>
      <c r="P4722" s="17">
        <v>1</v>
      </c>
      <c r="Q4722" s="19">
        <v>685</v>
      </c>
      <c r="R4722" s="14">
        <v>200</v>
      </c>
      <c r="S4722" s="19">
        <v>137000</v>
      </c>
      <c r="T4722" s="17"/>
      <c r="U4722" s="17"/>
      <c r="V4722" s="17"/>
      <c r="W4722" s="4"/>
      <c r="X4722" s="17"/>
      <c r="Y4722" s="4"/>
      <c r="Z4722" s="17"/>
      <c r="AA4722" s="17"/>
      <c r="AB4722" s="17"/>
      <c r="AC4722" s="14"/>
      <c r="AD4722" s="14"/>
      <c r="AE4722" s="17"/>
      <c r="AF4722" s="14"/>
      <c r="AG4722" s="54"/>
      <c r="AH4722" s="11"/>
      <c r="AI4722" s="14"/>
      <c r="AJ4722" s="19">
        <v>0</v>
      </c>
      <c r="AK4722" s="23">
        <v>0</v>
      </c>
      <c r="AL4722" s="11"/>
      <c r="AM4722" s="19">
        <v>0</v>
      </c>
      <c r="AN4722" s="19">
        <v>137000</v>
      </c>
      <c r="AO4722" s="14"/>
      <c r="AP4722" s="14">
        <v>137000</v>
      </c>
      <c r="AQ4722" s="12"/>
      <c r="AS4722" s="26"/>
    </row>
    <row r="4723" spans="1:45" s="19" customFormat="1" ht="63" x14ac:dyDescent="0.2">
      <c r="A4723" s="121">
        <f t="shared" si="549"/>
        <v>3983</v>
      </c>
      <c r="B4723" s="13">
        <v>1</v>
      </c>
      <c r="C4723" s="17" t="s">
        <v>52</v>
      </c>
      <c r="D4723" s="17">
        <v>3165</v>
      </c>
      <c r="E4723" s="17">
        <v>78</v>
      </c>
      <c r="F4723" s="17">
        <v>2089</v>
      </c>
      <c r="G4723" s="13">
        <v>2</v>
      </c>
      <c r="H4723" s="17">
        <v>9</v>
      </c>
      <c r="I4723" s="17">
        <v>2</v>
      </c>
      <c r="J4723" s="17">
        <v>84</v>
      </c>
      <c r="K4723" s="10">
        <v>3822</v>
      </c>
      <c r="L4723" s="17">
        <v>18</v>
      </c>
      <c r="M4723" s="15"/>
      <c r="N4723" s="18"/>
      <c r="O4723" s="14"/>
      <c r="P4723" s="17">
        <v>5</v>
      </c>
      <c r="Q4723" s="19">
        <v>3884</v>
      </c>
      <c r="R4723" s="14">
        <v>200</v>
      </c>
      <c r="S4723" s="19">
        <v>776800</v>
      </c>
      <c r="T4723" s="17">
        <v>1</v>
      </c>
      <c r="U4723" s="17" t="s">
        <v>57</v>
      </c>
      <c r="V4723" s="17" t="s">
        <v>84</v>
      </c>
      <c r="W4723" s="4">
        <v>72</v>
      </c>
      <c r="X4723" s="17"/>
      <c r="Y4723" s="4">
        <v>72</v>
      </c>
      <c r="Z4723" s="17"/>
      <c r="AA4723" s="17"/>
      <c r="AB4723" s="17">
        <v>40</v>
      </c>
      <c r="AC4723" s="14"/>
      <c r="AD4723" s="14"/>
      <c r="AE4723" s="17"/>
      <c r="AF4723" s="14"/>
      <c r="AG4723" s="54"/>
      <c r="AH4723" s="11"/>
      <c r="AI4723" s="14"/>
      <c r="AJ4723" s="19">
        <v>0</v>
      </c>
      <c r="AK4723" s="23">
        <v>40</v>
      </c>
      <c r="AL4723" s="11"/>
      <c r="AM4723" s="19">
        <v>0</v>
      </c>
      <c r="AN4723" s="19">
        <v>776800</v>
      </c>
      <c r="AO4723" s="14"/>
      <c r="AP4723" s="14">
        <v>776800</v>
      </c>
      <c r="AQ4723" s="12"/>
      <c r="AS4723" s="26"/>
    </row>
    <row r="4724" spans="1:45" s="19" customFormat="1" ht="63" x14ac:dyDescent="0.2">
      <c r="A4724" s="2"/>
      <c r="B4724" s="13"/>
      <c r="C4724" s="17"/>
      <c r="D4724" s="17"/>
      <c r="E4724" s="17"/>
      <c r="F4724" s="17"/>
      <c r="G4724" s="13"/>
      <c r="H4724" s="17"/>
      <c r="I4724" s="17"/>
      <c r="J4724" s="17"/>
      <c r="K4724" s="10"/>
      <c r="L4724" s="17">
        <v>44</v>
      </c>
      <c r="M4724" s="15"/>
      <c r="N4724" s="18"/>
      <c r="O4724" s="14"/>
      <c r="P4724" s="17"/>
      <c r="Q4724" s="19">
        <v>0</v>
      </c>
      <c r="R4724" s="14" t="e">
        <v>#N/A</v>
      </c>
      <c r="S4724" s="19" t="e">
        <v>#N/A</v>
      </c>
      <c r="T4724" s="17">
        <v>2</v>
      </c>
      <c r="U4724" s="17" t="s">
        <v>57</v>
      </c>
      <c r="V4724" s="17" t="s">
        <v>56</v>
      </c>
      <c r="W4724" s="4">
        <v>176</v>
      </c>
      <c r="X4724" s="17"/>
      <c r="Y4724" s="4">
        <v>176</v>
      </c>
      <c r="Z4724" s="17"/>
      <c r="AA4724" s="17"/>
      <c r="AB4724" s="17">
        <v>10</v>
      </c>
      <c r="AC4724" s="14"/>
      <c r="AD4724" s="14"/>
      <c r="AE4724" s="17"/>
      <c r="AF4724" s="14"/>
      <c r="AG4724" s="54"/>
      <c r="AH4724" s="11"/>
      <c r="AI4724" s="14"/>
      <c r="AJ4724" s="19">
        <v>0</v>
      </c>
      <c r="AK4724" s="23">
        <v>10</v>
      </c>
      <c r="AL4724" s="11"/>
      <c r="AM4724" s="19">
        <v>0</v>
      </c>
      <c r="AN4724" s="19" t="e">
        <v>#N/A</v>
      </c>
      <c r="AO4724" s="14"/>
      <c r="AP4724" s="14" t="e">
        <v>#N/A</v>
      </c>
      <c r="AQ4724" s="12"/>
      <c r="AS4724" s="26"/>
    </row>
    <row r="4725" spans="1:45" s="19" customFormat="1" ht="63" x14ac:dyDescent="0.2">
      <c r="A4725" s="2">
        <v>3984</v>
      </c>
      <c r="B4725" s="13">
        <v>2</v>
      </c>
      <c r="C4725" s="17" t="s">
        <v>52</v>
      </c>
      <c r="D4725" s="17">
        <v>3166</v>
      </c>
      <c r="E4725" s="17">
        <v>77</v>
      </c>
      <c r="F4725" s="17">
        <v>2090</v>
      </c>
      <c r="G4725" s="13">
        <v>2</v>
      </c>
      <c r="H4725" s="17">
        <v>1</v>
      </c>
      <c r="I4725" s="17">
        <v>2</v>
      </c>
      <c r="J4725" s="17">
        <v>63</v>
      </c>
      <c r="K4725" s="10">
        <v>540.87</v>
      </c>
      <c r="L4725" s="17">
        <v>10</v>
      </c>
      <c r="M4725" s="15"/>
      <c r="N4725" s="18"/>
      <c r="O4725" s="14"/>
      <c r="P4725" s="17">
        <v>5</v>
      </c>
      <c r="Q4725" s="19">
        <v>663</v>
      </c>
      <c r="R4725" s="14">
        <v>200</v>
      </c>
      <c r="S4725" s="19">
        <v>132600</v>
      </c>
      <c r="T4725" s="17">
        <v>1</v>
      </c>
      <c r="U4725" s="17" t="s">
        <v>57</v>
      </c>
      <c r="V4725" s="17" t="s">
        <v>56</v>
      </c>
      <c r="W4725" s="4">
        <v>40</v>
      </c>
      <c r="X4725" s="17"/>
      <c r="Y4725" s="4">
        <v>40</v>
      </c>
      <c r="Z4725" s="17"/>
      <c r="AA4725" s="17"/>
      <c r="AB4725" s="17">
        <v>20</v>
      </c>
      <c r="AC4725" s="14"/>
      <c r="AD4725" s="14"/>
      <c r="AE4725" s="17"/>
      <c r="AF4725" s="14"/>
      <c r="AG4725" s="54"/>
      <c r="AH4725" s="11"/>
      <c r="AI4725" s="14"/>
      <c r="AJ4725" s="19">
        <v>0</v>
      </c>
      <c r="AK4725" s="23">
        <v>20</v>
      </c>
      <c r="AL4725" s="11"/>
      <c r="AM4725" s="19">
        <v>0</v>
      </c>
      <c r="AN4725" s="19">
        <v>132600</v>
      </c>
      <c r="AO4725" s="14"/>
      <c r="AP4725" s="14">
        <v>132600</v>
      </c>
      <c r="AQ4725" s="12"/>
      <c r="AS4725" s="26"/>
    </row>
    <row r="4726" spans="1:45" s="19" customFormat="1" ht="63" x14ac:dyDescent="0.2">
      <c r="A4726" s="2"/>
      <c r="B4726" s="13"/>
      <c r="C4726" s="17"/>
      <c r="D4726" s="17"/>
      <c r="E4726" s="17"/>
      <c r="F4726" s="17"/>
      <c r="G4726" s="13"/>
      <c r="H4726" s="17"/>
      <c r="I4726" s="17"/>
      <c r="J4726" s="17"/>
      <c r="K4726" s="10"/>
      <c r="L4726" s="17">
        <v>56.25</v>
      </c>
      <c r="M4726" s="15"/>
      <c r="N4726" s="18"/>
      <c r="O4726" s="14"/>
      <c r="P4726" s="17"/>
      <c r="Q4726" s="19">
        <v>0</v>
      </c>
      <c r="R4726" s="14" t="e">
        <v>#N/A</v>
      </c>
      <c r="S4726" s="19" t="e">
        <v>#N/A</v>
      </c>
      <c r="T4726" s="17">
        <v>2</v>
      </c>
      <c r="U4726" s="17" t="s">
        <v>57</v>
      </c>
      <c r="V4726" s="17" t="s">
        <v>56</v>
      </c>
      <c r="W4726" s="4">
        <v>225</v>
      </c>
      <c r="X4726" s="17"/>
      <c r="Y4726" s="4">
        <v>225</v>
      </c>
      <c r="Z4726" s="17"/>
      <c r="AA4726" s="17"/>
      <c r="AB4726" s="17">
        <v>24</v>
      </c>
      <c r="AC4726" s="14"/>
      <c r="AD4726" s="14"/>
      <c r="AE4726" s="17"/>
      <c r="AF4726" s="14"/>
      <c r="AG4726" s="54"/>
      <c r="AH4726" s="11"/>
      <c r="AI4726" s="14"/>
      <c r="AJ4726" s="19">
        <v>0</v>
      </c>
      <c r="AK4726" s="23">
        <v>24</v>
      </c>
      <c r="AL4726" s="11"/>
      <c r="AM4726" s="19">
        <v>0</v>
      </c>
      <c r="AN4726" s="19" t="e">
        <v>#N/A</v>
      </c>
      <c r="AO4726" s="14"/>
      <c r="AP4726" s="14" t="e">
        <v>#N/A</v>
      </c>
      <c r="AQ4726" s="12"/>
      <c r="AS4726" s="26"/>
    </row>
    <row r="4727" spans="1:45" s="19" customFormat="1" ht="63" x14ac:dyDescent="0.2">
      <c r="A4727" s="2"/>
      <c r="B4727" s="13"/>
      <c r="C4727" s="17"/>
      <c r="D4727" s="17"/>
      <c r="E4727" s="17"/>
      <c r="F4727" s="17"/>
      <c r="G4727" s="13"/>
      <c r="H4727" s="17"/>
      <c r="I4727" s="17"/>
      <c r="J4727" s="17"/>
      <c r="K4727" s="10"/>
      <c r="L4727" s="17">
        <v>30</v>
      </c>
      <c r="M4727" s="15"/>
      <c r="N4727" s="18"/>
      <c r="O4727" s="14"/>
      <c r="P4727" s="17"/>
      <c r="Q4727" s="19">
        <v>0</v>
      </c>
      <c r="R4727" s="14" t="e">
        <v>#N/A</v>
      </c>
      <c r="S4727" s="19" t="e">
        <v>#N/A</v>
      </c>
      <c r="T4727" s="17">
        <v>3</v>
      </c>
      <c r="U4727" s="17" t="s">
        <v>57</v>
      </c>
      <c r="V4727" s="17" t="s">
        <v>56</v>
      </c>
      <c r="W4727" s="4">
        <v>120</v>
      </c>
      <c r="X4727" s="17"/>
      <c r="Y4727" s="4">
        <v>120</v>
      </c>
      <c r="Z4727" s="17"/>
      <c r="AA4727" s="17"/>
      <c r="AB4727" s="17">
        <v>28</v>
      </c>
      <c r="AC4727" s="14"/>
      <c r="AD4727" s="14"/>
      <c r="AE4727" s="17"/>
      <c r="AF4727" s="14"/>
      <c r="AG4727" s="54"/>
      <c r="AH4727" s="11"/>
      <c r="AI4727" s="14"/>
      <c r="AJ4727" s="19">
        <v>0</v>
      </c>
      <c r="AK4727" s="23">
        <v>28</v>
      </c>
      <c r="AL4727" s="11"/>
      <c r="AM4727" s="19">
        <v>0</v>
      </c>
      <c r="AN4727" s="19" t="e">
        <v>#N/A</v>
      </c>
      <c r="AO4727" s="14"/>
      <c r="AP4727" s="14" t="e">
        <v>#N/A</v>
      </c>
      <c r="AQ4727" s="12"/>
      <c r="AS4727" s="26"/>
    </row>
    <row r="4728" spans="1:45" s="19" customFormat="1" ht="63" x14ac:dyDescent="0.2">
      <c r="A4728" s="2"/>
      <c r="B4728" s="13"/>
      <c r="C4728" s="17"/>
      <c r="D4728" s="17"/>
      <c r="E4728" s="17"/>
      <c r="F4728" s="17"/>
      <c r="G4728" s="13"/>
      <c r="H4728" s="17"/>
      <c r="I4728" s="17"/>
      <c r="J4728" s="17"/>
      <c r="K4728" s="10"/>
      <c r="L4728" s="17">
        <v>25.88</v>
      </c>
      <c r="M4728" s="15"/>
      <c r="N4728" s="18"/>
      <c r="O4728" s="14"/>
      <c r="P4728" s="17"/>
      <c r="Q4728" s="19">
        <v>0</v>
      </c>
      <c r="R4728" s="14" t="e">
        <v>#N/A</v>
      </c>
      <c r="S4728" s="19" t="e">
        <v>#N/A</v>
      </c>
      <c r="T4728" s="17">
        <v>4</v>
      </c>
      <c r="U4728" s="17" t="s">
        <v>57</v>
      </c>
      <c r="V4728" s="17" t="s">
        <v>56</v>
      </c>
      <c r="W4728" s="4">
        <v>103.5</v>
      </c>
      <c r="X4728" s="17"/>
      <c r="Y4728" s="4">
        <v>103.5</v>
      </c>
      <c r="Z4728" s="17"/>
      <c r="AA4728" s="17"/>
      <c r="AB4728" s="17">
        <v>20</v>
      </c>
      <c r="AC4728" s="14"/>
      <c r="AD4728" s="14"/>
      <c r="AE4728" s="17"/>
      <c r="AF4728" s="14"/>
      <c r="AG4728" s="54"/>
      <c r="AH4728" s="11"/>
      <c r="AI4728" s="14"/>
      <c r="AJ4728" s="19">
        <v>0</v>
      </c>
      <c r="AK4728" s="23">
        <v>20</v>
      </c>
      <c r="AL4728" s="11"/>
      <c r="AM4728" s="19">
        <v>0</v>
      </c>
      <c r="AN4728" s="19" t="e">
        <v>#N/A</v>
      </c>
      <c r="AO4728" s="14"/>
      <c r="AP4728" s="14" t="e">
        <v>#N/A</v>
      </c>
      <c r="AQ4728" s="12"/>
      <c r="AS4728" s="26"/>
    </row>
    <row r="4729" spans="1:45" s="19" customFormat="1" x14ac:dyDescent="0.2">
      <c r="A4729" s="2">
        <v>3985</v>
      </c>
      <c r="B4729" s="13">
        <v>3</v>
      </c>
      <c r="C4729" s="17" t="s">
        <v>52</v>
      </c>
      <c r="D4729" s="17">
        <v>3861</v>
      </c>
      <c r="E4729" s="17">
        <v>33</v>
      </c>
      <c r="F4729" s="17">
        <v>2415</v>
      </c>
      <c r="G4729" s="13">
        <v>2</v>
      </c>
      <c r="H4729" s="17">
        <v>4</v>
      </c>
      <c r="I4729" s="17">
        <v>3</v>
      </c>
      <c r="J4729" s="17">
        <v>74</v>
      </c>
      <c r="K4729" s="10">
        <v>1974</v>
      </c>
      <c r="L4729" s="17"/>
      <c r="M4729" s="15"/>
      <c r="N4729" s="18"/>
      <c r="O4729" s="14"/>
      <c r="P4729" s="17">
        <v>1</v>
      </c>
      <c r="Q4729" s="19">
        <v>1974</v>
      </c>
      <c r="R4729" s="14">
        <v>200</v>
      </c>
      <c r="S4729" s="19">
        <v>394800</v>
      </c>
      <c r="T4729" s="17"/>
      <c r="U4729" s="17"/>
      <c r="V4729" s="17"/>
      <c r="W4729" s="4"/>
      <c r="X4729" s="17"/>
      <c r="Y4729" s="4"/>
      <c r="Z4729" s="17"/>
      <c r="AA4729" s="17"/>
      <c r="AB4729" s="17"/>
      <c r="AC4729" s="14"/>
      <c r="AD4729" s="14"/>
      <c r="AE4729" s="17"/>
      <c r="AF4729" s="14"/>
      <c r="AG4729" s="54"/>
      <c r="AH4729" s="11"/>
      <c r="AI4729" s="14"/>
      <c r="AJ4729" s="19">
        <v>0</v>
      </c>
      <c r="AK4729" s="23">
        <v>0</v>
      </c>
      <c r="AL4729" s="11"/>
      <c r="AM4729" s="19">
        <v>0</v>
      </c>
      <c r="AN4729" s="19">
        <v>394800</v>
      </c>
      <c r="AO4729" s="14"/>
      <c r="AP4729" s="14">
        <v>394800</v>
      </c>
      <c r="AQ4729" s="12"/>
      <c r="AS4729" s="26"/>
    </row>
    <row r="4730" spans="1:45" s="19" customFormat="1" x14ac:dyDescent="0.2">
      <c r="A4730" s="2">
        <f>+A4729+1</f>
        <v>3986</v>
      </c>
      <c r="B4730" s="13">
        <v>4</v>
      </c>
      <c r="C4730" s="17" t="s">
        <v>52</v>
      </c>
      <c r="D4730" s="17">
        <v>31020</v>
      </c>
      <c r="E4730" s="17">
        <v>188</v>
      </c>
      <c r="F4730" s="17">
        <v>5970</v>
      </c>
      <c r="G4730" s="13">
        <v>2</v>
      </c>
      <c r="H4730" s="17">
        <v>3</v>
      </c>
      <c r="I4730" s="17">
        <v>0</v>
      </c>
      <c r="J4730" s="17">
        <v>14</v>
      </c>
      <c r="K4730" s="10">
        <v>1214</v>
      </c>
      <c r="L4730" s="17"/>
      <c r="M4730" s="15"/>
      <c r="N4730" s="18"/>
      <c r="O4730" s="14"/>
      <c r="P4730" s="17">
        <v>1</v>
      </c>
      <c r="Q4730" s="19">
        <v>1214</v>
      </c>
      <c r="R4730" s="14">
        <v>160</v>
      </c>
      <c r="S4730" s="19">
        <v>194240</v>
      </c>
      <c r="T4730" s="17"/>
      <c r="U4730" s="17"/>
      <c r="V4730" s="17"/>
      <c r="W4730" s="4"/>
      <c r="X4730" s="17"/>
      <c r="Y4730" s="4"/>
      <c r="Z4730" s="17"/>
      <c r="AA4730" s="17"/>
      <c r="AB4730" s="17"/>
      <c r="AC4730" s="14"/>
      <c r="AD4730" s="14"/>
      <c r="AE4730" s="17"/>
      <c r="AF4730" s="14"/>
      <c r="AG4730" s="54"/>
      <c r="AH4730" s="11"/>
      <c r="AI4730" s="14"/>
      <c r="AJ4730" s="19">
        <v>0</v>
      </c>
      <c r="AK4730" s="23">
        <v>0</v>
      </c>
      <c r="AL4730" s="11"/>
      <c r="AM4730" s="19">
        <v>0</v>
      </c>
      <c r="AN4730" s="19">
        <v>194240</v>
      </c>
      <c r="AO4730" s="14"/>
      <c r="AP4730" s="14">
        <v>194240</v>
      </c>
      <c r="AQ4730" s="12"/>
      <c r="AS4730" s="26"/>
    </row>
    <row r="4731" spans="1:45" s="19" customFormat="1" x14ac:dyDescent="0.2">
      <c r="A4731" s="121">
        <f>+A4730+1</f>
        <v>3987</v>
      </c>
      <c r="B4731" s="13">
        <v>5</v>
      </c>
      <c r="C4731" s="17" t="s">
        <v>52</v>
      </c>
      <c r="D4731" s="17">
        <v>31021</v>
      </c>
      <c r="E4731" s="17">
        <v>189</v>
      </c>
      <c r="F4731" s="17">
        <v>5971</v>
      </c>
      <c r="G4731" s="13">
        <v>2</v>
      </c>
      <c r="H4731" s="17">
        <v>2</v>
      </c>
      <c r="I4731" s="17">
        <v>1</v>
      </c>
      <c r="J4731" s="17">
        <v>43.04</v>
      </c>
      <c r="K4731" s="10">
        <v>943.04</v>
      </c>
      <c r="L4731" s="17"/>
      <c r="M4731" s="15"/>
      <c r="N4731" s="18"/>
      <c r="O4731" s="14"/>
      <c r="P4731" s="17">
        <v>1</v>
      </c>
      <c r="Q4731" s="19">
        <v>943.04</v>
      </c>
      <c r="R4731" s="14">
        <v>160</v>
      </c>
      <c r="S4731" s="19">
        <v>150886.39999999999</v>
      </c>
      <c r="T4731" s="17"/>
      <c r="U4731" s="17"/>
      <c r="V4731" s="17"/>
      <c r="W4731" s="4"/>
      <c r="X4731" s="17"/>
      <c r="Y4731" s="4"/>
      <c r="Z4731" s="17"/>
      <c r="AA4731" s="17"/>
      <c r="AB4731" s="17"/>
      <c r="AC4731" s="14"/>
      <c r="AD4731" s="14"/>
      <c r="AE4731" s="17"/>
      <c r="AF4731" s="14"/>
      <c r="AG4731" s="54"/>
      <c r="AH4731" s="11"/>
      <c r="AI4731" s="14"/>
      <c r="AJ4731" s="19">
        <v>0</v>
      </c>
      <c r="AK4731" s="23">
        <v>0</v>
      </c>
      <c r="AL4731" s="11"/>
      <c r="AM4731" s="19">
        <v>0</v>
      </c>
      <c r="AN4731" s="19">
        <v>150886.39999999999</v>
      </c>
      <c r="AO4731" s="14"/>
      <c r="AP4731" s="14">
        <v>150886.39999999999</v>
      </c>
      <c r="AQ4731" s="12"/>
      <c r="AS4731" s="26"/>
    </row>
    <row r="4732" spans="1:45" s="19" customFormat="1" x14ac:dyDescent="0.2">
      <c r="A4732" s="2"/>
      <c r="B4732" s="13">
        <v>6</v>
      </c>
      <c r="C4732" s="17" t="s">
        <v>65</v>
      </c>
      <c r="D4732" s="17">
        <v>511</v>
      </c>
      <c r="E4732" s="17">
        <v>77</v>
      </c>
      <c r="F4732" s="17"/>
      <c r="G4732" s="13"/>
      <c r="H4732" s="17">
        <v>5</v>
      </c>
      <c r="I4732" s="17">
        <v>0</v>
      </c>
      <c r="J4732" s="17">
        <v>70</v>
      </c>
      <c r="K4732" s="10">
        <v>2070</v>
      </c>
      <c r="L4732" s="17"/>
      <c r="M4732" s="15"/>
      <c r="N4732" s="18"/>
      <c r="O4732" s="14"/>
      <c r="P4732" s="17"/>
      <c r="Q4732" s="19">
        <v>2070</v>
      </c>
      <c r="R4732" s="14" t="e">
        <v>#N/A</v>
      </c>
      <c r="S4732" s="19" t="e">
        <v>#N/A</v>
      </c>
      <c r="T4732" s="17"/>
      <c r="U4732" s="17"/>
      <c r="V4732" s="17"/>
      <c r="W4732" s="4"/>
      <c r="X4732" s="17"/>
      <c r="Y4732" s="4"/>
      <c r="Z4732" s="17"/>
      <c r="AA4732" s="17"/>
      <c r="AB4732" s="17"/>
      <c r="AC4732" s="14"/>
      <c r="AD4732" s="14"/>
      <c r="AE4732" s="17" t="s">
        <v>94</v>
      </c>
      <c r="AF4732" s="14"/>
      <c r="AG4732" s="54"/>
      <c r="AH4732" s="11"/>
      <c r="AI4732" s="14"/>
      <c r="AJ4732" s="19">
        <v>0</v>
      </c>
      <c r="AK4732" s="23">
        <v>0</v>
      </c>
      <c r="AL4732" s="11"/>
      <c r="AM4732" s="19">
        <v>0</v>
      </c>
      <c r="AN4732" s="19" t="e">
        <v>#N/A</v>
      </c>
      <c r="AO4732" s="14"/>
      <c r="AP4732" s="14" t="e">
        <v>#N/A</v>
      </c>
      <c r="AQ4732" s="12">
        <v>1E-4</v>
      </c>
      <c r="AS4732" s="26"/>
    </row>
    <row r="4733" spans="1:45" s="19" customFormat="1" x14ac:dyDescent="0.2">
      <c r="A4733" s="2"/>
      <c r="B4733" s="13">
        <v>7</v>
      </c>
      <c r="C4733" s="17" t="s">
        <v>69</v>
      </c>
      <c r="D4733" s="17"/>
      <c r="E4733" s="17">
        <v>152</v>
      </c>
      <c r="F4733" s="17">
        <v>20</v>
      </c>
      <c r="G4733" s="13">
        <v>2</v>
      </c>
      <c r="H4733" s="17">
        <v>7</v>
      </c>
      <c r="I4733" s="17">
        <v>2</v>
      </c>
      <c r="J4733" s="17">
        <v>22</v>
      </c>
      <c r="K4733" s="10">
        <v>3022</v>
      </c>
      <c r="L4733" s="17"/>
      <c r="M4733" s="15"/>
      <c r="N4733" s="18"/>
      <c r="O4733" s="14"/>
      <c r="P4733" s="17">
        <v>1</v>
      </c>
      <c r="Q4733" s="19">
        <v>3022</v>
      </c>
      <c r="R4733" s="14" t="e">
        <v>#N/A</v>
      </c>
      <c r="S4733" s="19" t="e">
        <v>#N/A</v>
      </c>
      <c r="T4733" s="17"/>
      <c r="U4733" s="17"/>
      <c r="V4733" s="17"/>
      <c r="W4733" s="4"/>
      <c r="X4733" s="17"/>
      <c r="Y4733" s="4"/>
      <c r="Z4733" s="17"/>
      <c r="AA4733" s="17"/>
      <c r="AB4733" s="17"/>
      <c r="AC4733" s="14"/>
      <c r="AD4733" s="14"/>
      <c r="AE4733" s="17"/>
      <c r="AF4733" s="14"/>
      <c r="AG4733" s="54"/>
      <c r="AH4733" s="11"/>
      <c r="AI4733" s="14"/>
      <c r="AJ4733" s="19">
        <v>0</v>
      </c>
      <c r="AK4733" s="23">
        <v>0</v>
      </c>
      <c r="AL4733" s="11"/>
      <c r="AM4733" s="19">
        <v>0</v>
      </c>
      <c r="AN4733" s="19" t="e">
        <v>#N/A</v>
      </c>
      <c r="AO4733" s="14"/>
      <c r="AP4733" s="14" t="e">
        <v>#N/A</v>
      </c>
      <c r="AQ4733" s="12">
        <v>1E-4</v>
      </c>
      <c r="AS4733" s="26"/>
    </row>
    <row r="4734" spans="1:45" s="19" customFormat="1" x14ac:dyDescent="0.2">
      <c r="A4734" s="2">
        <v>3988</v>
      </c>
      <c r="B4734" s="13">
        <v>1</v>
      </c>
      <c r="C4734" s="17" t="s">
        <v>52</v>
      </c>
      <c r="D4734" s="17">
        <v>2985</v>
      </c>
      <c r="E4734" s="17">
        <v>12</v>
      </c>
      <c r="F4734" s="17">
        <v>2053</v>
      </c>
      <c r="G4734" s="13">
        <v>2</v>
      </c>
      <c r="H4734" s="17">
        <v>1</v>
      </c>
      <c r="I4734" s="17">
        <v>0</v>
      </c>
      <c r="J4734" s="17">
        <v>59</v>
      </c>
      <c r="K4734" s="10">
        <v>459</v>
      </c>
      <c r="L4734" s="17"/>
      <c r="M4734" s="15"/>
      <c r="N4734" s="18"/>
      <c r="O4734" s="14"/>
      <c r="P4734" s="17">
        <v>1</v>
      </c>
      <c r="Q4734" s="19">
        <v>459</v>
      </c>
      <c r="R4734" s="14">
        <v>250</v>
      </c>
      <c r="S4734" s="19">
        <v>114750</v>
      </c>
      <c r="T4734" s="17"/>
      <c r="U4734" s="17"/>
      <c r="V4734" s="17"/>
      <c r="W4734" s="4"/>
      <c r="X4734" s="17"/>
      <c r="Y4734" s="4"/>
      <c r="Z4734" s="17"/>
      <c r="AA4734" s="17"/>
      <c r="AB4734" s="17"/>
      <c r="AC4734" s="14"/>
      <c r="AD4734" s="14"/>
      <c r="AE4734" s="17"/>
      <c r="AF4734" s="14"/>
      <c r="AG4734" s="54"/>
      <c r="AH4734" s="11"/>
      <c r="AI4734" s="14"/>
      <c r="AJ4734" s="19">
        <v>0</v>
      </c>
      <c r="AK4734" s="23">
        <v>0</v>
      </c>
      <c r="AL4734" s="11"/>
      <c r="AM4734" s="19">
        <v>0</v>
      </c>
      <c r="AN4734" s="19">
        <v>114750</v>
      </c>
      <c r="AO4734" s="14"/>
      <c r="AP4734" s="14">
        <v>114750</v>
      </c>
      <c r="AQ4734" s="12"/>
      <c r="AS4734" s="26"/>
    </row>
    <row r="4735" spans="1:45" s="19" customFormat="1" x14ac:dyDescent="0.2">
      <c r="A4735" s="2">
        <f>+A4734+1</f>
        <v>3989</v>
      </c>
      <c r="B4735" s="13">
        <v>2</v>
      </c>
      <c r="C4735" s="17" t="s">
        <v>52</v>
      </c>
      <c r="D4735" s="17">
        <v>3006</v>
      </c>
      <c r="E4735" s="17">
        <v>40</v>
      </c>
      <c r="F4735" s="17">
        <v>2074</v>
      </c>
      <c r="G4735" s="13">
        <v>2</v>
      </c>
      <c r="H4735" s="17">
        <v>2</v>
      </c>
      <c r="I4735" s="17">
        <v>0</v>
      </c>
      <c r="J4735" s="17">
        <v>78</v>
      </c>
      <c r="K4735" s="10">
        <v>878</v>
      </c>
      <c r="L4735" s="17"/>
      <c r="M4735" s="15"/>
      <c r="N4735" s="18"/>
      <c r="O4735" s="14"/>
      <c r="P4735" s="17">
        <v>1</v>
      </c>
      <c r="Q4735" s="19">
        <v>878</v>
      </c>
      <c r="R4735" s="14">
        <v>160</v>
      </c>
      <c r="S4735" s="19">
        <v>140480</v>
      </c>
      <c r="T4735" s="17"/>
      <c r="U4735" s="17"/>
      <c r="V4735" s="17"/>
      <c r="W4735" s="4"/>
      <c r="X4735" s="17"/>
      <c r="Y4735" s="4"/>
      <c r="Z4735" s="17"/>
      <c r="AA4735" s="17"/>
      <c r="AB4735" s="17"/>
      <c r="AC4735" s="14"/>
      <c r="AD4735" s="14"/>
      <c r="AE4735" s="17"/>
      <c r="AF4735" s="14"/>
      <c r="AG4735" s="54"/>
      <c r="AH4735" s="11"/>
      <c r="AI4735" s="14"/>
      <c r="AJ4735" s="19">
        <v>0</v>
      </c>
      <c r="AK4735" s="23">
        <v>0</v>
      </c>
      <c r="AL4735" s="11"/>
      <c r="AM4735" s="19">
        <v>0</v>
      </c>
      <c r="AN4735" s="19">
        <v>140480</v>
      </c>
      <c r="AO4735" s="14"/>
      <c r="AP4735" s="14">
        <v>140480</v>
      </c>
      <c r="AQ4735" s="12"/>
      <c r="AS4735" s="26"/>
    </row>
    <row r="4736" spans="1:45" s="19" customFormat="1" x14ac:dyDescent="0.2">
      <c r="A4736" s="121">
        <f t="shared" ref="A4736:A4740" si="550">+A4735+1</f>
        <v>3990</v>
      </c>
      <c r="B4736" s="13">
        <v>3</v>
      </c>
      <c r="C4736" s="17" t="s">
        <v>52</v>
      </c>
      <c r="D4736" s="17">
        <v>3195</v>
      </c>
      <c r="E4736" s="17">
        <v>33</v>
      </c>
      <c r="F4736" s="17">
        <v>2127</v>
      </c>
      <c r="G4736" s="13">
        <v>2</v>
      </c>
      <c r="H4736" s="17">
        <v>1</v>
      </c>
      <c r="I4736" s="17">
        <v>1</v>
      </c>
      <c r="J4736" s="17">
        <v>85</v>
      </c>
      <c r="K4736" s="10">
        <v>585</v>
      </c>
      <c r="L4736" s="17"/>
      <c r="M4736" s="15"/>
      <c r="N4736" s="18"/>
      <c r="O4736" s="14"/>
      <c r="P4736" s="17">
        <v>1</v>
      </c>
      <c r="Q4736" s="19">
        <v>585</v>
      </c>
      <c r="R4736" s="14">
        <v>250</v>
      </c>
      <c r="S4736" s="19">
        <v>146250</v>
      </c>
      <c r="T4736" s="17"/>
      <c r="U4736" s="17"/>
      <c r="V4736" s="17"/>
      <c r="W4736" s="4"/>
      <c r="X4736" s="17"/>
      <c r="Y4736" s="4"/>
      <c r="Z4736" s="17"/>
      <c r="AA4736" s="17"/>
      <c r="AB4736" s="17"/>
      <c r="AC4736" s="14"/>
      <c r="AD4736" s="14"/>
      <c r="AE4736" s="17"/>
      <c r="AF4736" s="14"/>
      <c r="AG4736" s="54"/>
      <c r="AH4736" s="11"/>
      <c r="AI4736" s="14"/>
      <c r="AJ4736" s="19">
        <v>0</v>
      </c>
      <c r="AK4736" s="23">
        <v>0</v>
      </c>
      <c r="AL4736" s="11"/>
      <c r="AM4736" s="19">
        <v>0</v>
      </c>
      <c r="AN4736" s="19">
        <v>146250</v>
      </c>
      <c r="AO4736" s="14"/>
      <c r="AP4736" s="14">
        <v>146250</v>
      </c>
      <c r="AQ4736" s="12"/>
      <c r="AS4736" s="26"/>
    </row>
    <row r="4737" spans="1:45" x14ac:dyDescent="0.2">
      <c r="A4737" s="121">
        <f t="shared" si="550"/>
        <v>3991</v>
      </c>
      <c r="B4737" s="13">
        <v>4</v>
      </c>
      <c r="C4737" s="17" t="s">
        <v>52</v>
      </c>
      <c r="D4737" s="17">
        <v>3196</v>
      </c>
      <c r="E4737" s="17">
        <v>34</v>
      </c>
      <c r="F4737" s="17">
        <v>2128</v>
      </c>
      <c r="G4737" s="13">
        <v>2</v>
      </c>
      <c r="H4737" s="17">
        <v>1</v>
      </c>
      <c r="I4737" s="17">
        <v>3</v>
      </c>
      <c r="J4737" s="17">
        <v>39</v>
      </c>
      <c r="K4737" s="10">
        <v>739</v>
      </c>
      <c r="P4737" s="17">
        <v>1</v>
      </c>
      <c r="Q4737" s="19">
        <v>739</v>
      </c>
      <c r="R4737" s="14">
        <v>250</v>
      </c>
      <c r="S4737" s="19">
        <v>184750</v>
      </c>
      <c r="AJ4737" s="19">
        <v>0</v>
      </c>
      <c r="AK4737" s="23">
        <v>0</v>
      </c>
      <c r="AM4737" s="19">
        <v>0</v>
      </c>
      <c r="AN4737" s="19">
        <v>184750</v>
      </c>
      <c r="AP4737" s="14">
        <v>184750</v>
      </c>
    </row>
    <row r="4738" spans="1:45" x14ac:dyDescent="0.2">
      <c r="A4738" s="121">
        <f t="shared" si="550"/>
        <v>3992</v>
      </c>
      <c r="B4738" s="13">
        <v>5</v>
      </c>
      <c r="C4738" s="17" t="s">
        <v>52</v>
      </c>
      <c r="D4738" s="17">
        <v>3403</v>
      </c>
      <c r="E4738" s="17">
        <v>36</v>
      </c>
      <c r="F4738" s="17">
        <v>2207</v>
      </c>
      <c r="G4738" s="13">
        <v>2</v>
      </c>
      <c r="H4738" s="17">
        <v>3</v>
      </c>
      <c r="I4738" s="17">
        <v>1</v>
      </c>
      <c r="J4738" s="17">
        <v>74</v>
      </c>
      <c r="K4738" s="10">
        <v>1374</v>
      </c>
      <c r="P4738" s="17">
        <v>1</v>
      </c>
      <c r="Q4738" s="19">
        <v>1374</v>
      </c>
      <c r="R4738" s="14">
        <v>200</v>
      </c>
      <c r="S4738" s="19">
        <v>274800</v>
      </c>
      <c r="AJ4738" s="19">
        <v>0</v>
      </c>
      <c r="AK4738" s="23">
        <v>0</v>
      </c>
      <c r="AM4738" s="19">
        <v>0</v>
      </c>
      <c r="AN4738" s="19">
        <v>274800</v>
      </c>
      <c r="AP4738" s="14">
        <v>274800</v>
      </c>
    </row>
    <row r="4739" spans="1:45" x14ac:dyDescent="0.2">
      <c r="A4739" s="121">
        <f t="shared" si="550"/>
        <v>3993</v>
      </c>
      <c r="B4739" s="13">
        <v>6</v>
      </c>
      <c r="C4739" s="17" t="s">
        <v>52</v>
      </c>
      <c r="D4739" s="17">
        <v>37745</v>
      </c>
      <c r="E4739" s="17">
        <v>205</v>
      </c>
      <c r="F4739" s="17">
        <v>7630</v>
      </c>
      <c r="G4739" s="13">
        <v>2</v>
      </c>
      <c r="H4739" s="17">
        <v>2</v>
      </c>
      <c r="I4739" s="17">
        <v>2</v>
      </c>
      <c r="J4739" s="17">
        <v>88</v>
      </c>
      <c r="K4739" s="10">
        <v>1088</v>
      </c>
      <c r="P4739" s="17">
        <v>1</v>
      </c>
      <c r="Q4739" s="19">
        <v>1088</v>
      </c>
      <c r="R4739" s="14">
        <v>160</v>
      </c>
      <c r="S4739" s="19">
        <v>174080</v>
      </c>
      <c r="AJ4739" s="19">
        <v>0</v>
      </c>
      <c r="AK4739" s="23">
        <v>0</v>
      </c>
      <c r="AM4739" s="19">
        <v>0</v>
      </c>
      <c r="AN4739" s="19">
        <v>174080</v>
      </c>
      <c r="AP4739" s="14">
        <v>174080</v>
      </c>
    </row>
    <row r="4740" spans="1:45" ht="63" x14ac:dyDescent="0.2">
      <c r="A4740" s="121">
        <f t="shared" si="550"/>
        <v>3994</v>
      </c>
      <c r="B4740" s="13">
        <v>1</v>
      </c>
      <c r="C4740" s="17" t="s">
        <v>52</v>
      </c>
      <c r="D4740" s="17">
        <v>3205</v>
      </c>
      <c r="E4740" s="17">
        <v>41</v>
      </c>
      <c r="F4740" s="17">
        <v>2137</v>
      </c>
      <c r="G4740" s="13">
        <v>2</v>
      </c>
      <c r="H4740" s="17">
        <v>7</v>
      </c>
      <c r="I4740" s="17">
        <v>3</v>
      </c>
      <c r="J4740" s="17">
        <v>39</v>
      </c>
      <c r="K4740" s="10">
        <v>3103.25</v>
      </c>
      <c r="L4740" s="17">
        <v>13.75</v>
      </c>
      <c r="P4740" s="17">
        <v>5</v>
      </c>
      <c r="Q4740" s="19">
        <v>3139</v>
      </c>
      <c r="R4740" s="14">
        <v>200</v>
      </c>
      <c r="S4740" s="19">
        <v>627800</v>
      </c>
      <c r="T4740" s="17">
        <v>1</v>
      </c>
      <c r="U4740" s="17" t="s">
        <v>57</v>
      </c>
      <c r="V4740" s="17" t="s">
        <v>56</v>
      </c>
      <c r="W4740" s="4">
        <v>55</v>
      </c>
      <c r="Y4740" s="4">
        <v>55</v>
      </c>
      <c r="AB4740" s="17">
        <v>11</v>
      </c>
      <c r="AJ4740" s="19">
        <v>0</v>
      </c>
      <c r="AK4740" s="23">
        <v>11</v>
      </c>
      <c r="AM4740" s="19">
        <v>0</v>
      </c>
      <c r="AN4740" s="19">
        <v>627800</v>
      </c>
      <c r="AP4740" s="14">
        <v>627800</v>
      </c>
    </row>
    <row r="4741" spans="1:45" ht="63" x14ac:dyDescent="0.2">
      <c r="L4741" s="17">
        <v>22</v>
      </c>
      <c r="P4741" s="17">
        <v>2</v>
      </c>
      <c r="Q4741" s="19">
        <v>0</v>
      </c>
      <c r="R4741" s="14">
        <v>200</v>
      </c>
      <c r="S4741" s="19">
        <v>0</v>
      </c>
      <c r="T4741" s="17">
        <v>2</v>
      </c>
      <c r="U4741" s="17" t="s">
        <v>57</v>
      </c>
      <c r="V4741" s="17" t="s">
        <v>56</v>
      </c>
      <c r="W4741" s="4">
        <v>88</v>
      </c>
      <c r="Y4741" s="4">
        <v>88</v>
      </c>
      <c r="AB4741" s="17">
        <v>17</v>
      </c>
      <c r="AJ4741" s="19">
        <v>0</v>
      </c>
      <c r="AK4741" s="23">
        <v>17</v>
      </c>
      <c r="AM4741" s="19">
        <v>0</v>
      </c>
      <c r="AN4741" s="19">
        <v>0</v>
      </c>
      <c r="AP4741" s="14">
        <v>0</v>
      </c>
    </row>
    <row r="4742" spans="1:45" x14ac:dyDescent="0.2">
      <c r="A4742" s="2">
        <v>3995</v>
      </c>
      <c r="B4742" s="13">
        <v>2</v>
      </c>
      <c r="C4742" s="17" t="s">
        <v>69</v>
      </c>
      <c r="E4742" s="17">
        <v>151</v>
      </c>
      <c r="F4742" s="17">
        <v>21</v>
      </c>
      <c r="G4742" s="13">
        <v>2</v>
      </c>
      <c r="H4742" s="17">
        <v>4</v>
      </c>
      <c r="I4742" s="17">
        <v>3</v>
      </c>
      <c r="J4742" s="17">
        <v>72</v>
      </c>
      <c r="K4742" s="10">
        <v>1972</v>
      </c>
      <c r="P4742" s="17">
        <v>1</v>
      </c>
      <c r="Q4742" s="19">
        <v>1972</v>
      </c>
      <c r="R4742" s="14">
        <v>160</v>
      </c>
      <c r="S4742" s="19">
        <v>315520</v>
      </c>
      <c r="AJ4742" s="19">
        <v>0</v>
      </c>
      <c r="AK4742" s="23">
        <v>0</v>
      </c>
      <c r="AM4742" s="19">
        <v>0</v>
      </c>
      <c r="AN4742" s="19">
        <v>315520</v>
      </c>
      <c r="AP4742" s="14">
        <v>315520</v>
      </c>
      <c r="AQ4742" s="12">
        <v>1E-4</v>
      </c>
    </row>
    <row r="4743" spans="1:45" x14ac:dyDescent="0.2">
      <c r="A4743" s="2">
        <f>+A4742+1</f>
        <v>3996</v>
      </c>
      <c r="B4743" s="13">
        <v>1</v>
      </c>
      <c r="C4743" s="17" t="s">
        <v>52</v>
      </c>
      <c r="D4743" s="17">
        <v>3611</v>
      </c>
      <c r="E4743" s="17">
        <v>94</v>
      </c>
      <c r="F4743" s="17">
        <v>2242</v>
      </c>
      <c r="G4743" s="13">
        <v>2</v>
      </c>
      <c r="H4743" s="17">
        <v>3</v>
      </c>
      <c r="I4743" s="17">
        <v>3</v>
      </c>
      <c r="J4743" s="17">
        <v>26</v>
      </c>
      <c r="K4743" s="10">
        <v>1526</v>
      </c>
      <c r="P4743" s="17">
        <v>1</v>
      </c>
      <c r="Q4743" s="19">
        <v>1526</v>
      </c>
      <c r="R4743" s="14">
        <v>160</v>
      </c>
      <c r="S4743" s="19">
        <v>244160</v>
      </c>
      <c r="AJ4743" s="19">
        <v>0</v>
      </c>
      <c r="AK4743" s="23">
        <v>0</v>
      </c>
      <c r="AM4743" s="19">
        <v>0</v>
      </c>
      <c r="AN4743" s="19">
        <v>244160</v>
      </c>
      <c r="AP4743" s="14">
        <v>244160</v>
      </c>
    </row>
    <row r="4744" spans="1:45" x14ac:dyDescent="0.2">
      <c r="A4744" s="121">
        <f t="shared" ref="A4744:A4749" si="551">+A4743+1</f>
        <v>3997</v>
      </c>
      <c r="B4744" s="13">
        <v>1</v>
      </c>
      <c r="C4744" s="17" t="s">
        <v>52</v>
      </c>
      <c r="D4744" s="17">
        <v>3612</v>
      </c>
      <c r="E4744" s="17">
        <v>95</v>
      </c>
      <c r="F4744" s="17">
        <v>2243</v>
      </c>
      <c r="G4744" s="13">
        <v>2</v>
      </c>
      <c r="H4744" s="17">
        <v>4</v>
      </c>
      <c r="I4744" s="17">
        <v>3</v>
      </c>
      <c r="J4744" s="17">
        <v>48</v>
      </c>
      <c r="K4744" s="10">
        <v>1948</v>
      </c>
      <c r="P4744" s="17">
        <v>1</v>
      </c>
      <c r="Q4744" s="19">
        <v>1948</v>
      </c>
      <c r="R4744" s="14">
        <v>160</v>
      </c>
      <c r="S4744" s="19">
        <v>311680</v>
      </c>
      <c r="AJ4744" s="19">
        <v>0</v>
      </c>
      <c r="AK4744" s="23">
        <v>0</v>
      </c>
      <c r="AM4744" s="19">
        <v>0</v>
      </c>
      <c r="AN4744" s="19">
        <v>311680</v>
      </c>
      <c r="AP4744" s="14">
        <v>311680</v>
      </c>
    </row>
    <row r="4745" spans="1:45" x14ac:dyDescent="0.2">
      <c r="A4745" s="121">
        <f t="shared" si="551"/>
        <v>3998</v>
      </c>
      <c r="B4745" s="13">
        <v>2</v>
      </c>
      <c r="C4745" s="17" t="s">
        <v>52</v>
      </c>
      <c r="D4745" s="17">
        <v>20542</v>
      </c>
      <c r="E4745" s="17">
        <v>149</v>
      </c>
      <c r="F4745" s="17">
        <v>4389</v>
      </c>
      <c r="G4745" s="13">
        <v>2</v>
      </c>
      <c r="H4745" s="17">
        <v>1</v>
      </c>
      <c r="I4745" s="17">
        <v>0</v>
      </c>
      <c r="J4745" s="17">
        <v>81</v>
      </c>
      <c r="K4745" s="10">
        <v>481</v>
      </c>
      <c r="P4745" s="17">
        <v>1</v>
      </c>
      <c r="Q4745" s="19">
        <v>481</v>
      </c>
      <c r="R4745" s="14">
        <v>160</v>
      </c>
      <c r="S4745" s="19">
        <v>76960</v>
      </c>
      <c r="AJ4745" s="19">
        <v>0</v>
      </c>
      <c r="AK4745" s="23">
        <v>0</v>
      </c>
      <c r="AM4745" s="19">
        <v>0</v>
      </c>
      <c r="AN4745" s="19">
        <v>76960</v>
      </c>
      <c r="AP4745" s="14">
        <v>76960</v>
      </c>
    </row>
    <row r="4746" spans="1:45" x14ac:dyDescent="0.2">
      <c r="A4746" s="121">
        <f t="shared" si="551"/>
        <v>3999</v>
      </c>
      <c r="B4746" s="13">
        <v>3</v>
      </c>
      <c r="C4746" s="17" t="s">
        <v>52</v>
      </c>
      <c r="D4746" s="17">
        <v>32833</v>
      </c>
      <c r="E4746" s="17">
        <v>182</v>
      </c>
      <c r="F4746" s="17">
        <v>6432</v>
      </c>
      <c r="G4746" s="13">
        <v>2</v>
      </c>
      <c r="H4746" s="17">
        <v>0</v>
      </c>
      <c r="I4746" s="17">
        <v>2</v>
      </c>
      <c r="J4746" s="17">
        <v>76</v>
      </c>
      <c r="K4746" s="10">
        <v>276</v>
      </c>
      <c r="P4746" s="17">
        <v>1</v>
      </c>
      <c r="Q4746" s="19">
        <v>276</v>
      </c>
      <c r="R4746" s="14">
        <v>160</v>
      </c>
      <c r="S4746" s="19">
        <v>44160</v>
      </c>
      <c r="AJ4746" s="19">
        <v>0</v>
      </c>
      <c r="AK4746" s="23">
        <v>0</v>
      </c>
      <c r="AM4746" s="19">
        <v>0</v>
      </c>
      <c r="AN4746" s="19">
        <v>44160</v>
      </c>
      <c r="AP4746" s="14">
        <v>44160</v>
      </c>
    </row>
    <row r="4747" spans="1:45" ht="63" x14ac:dyDescent="0.2">
      <c r="A4747" s="121">
        <f t="shared" si="551"/>
        <v>4000</v>
      </c>
      <c r="B4747" s="13">
        <v>1</v>
      </c>
      <c r="C4747" s="17" t="s">
        <v>52</v>
      </c>
      <c r="D4747" s="17">
        <v>3419</v>
      </c>
      <c r="E4747" s="17">
        <v>16</v>
      </c>
      <c r="F4747" s="17">
        <v>2193</v>
      </c>
      <c r="G4747" s="13">
        <v>2</v>
      </c>
      <c r="H4747" s="17">
        <v>0</v>
      </c>
      <c r="I4747" s="17">
        <v>1</v>
      </c>
      <c r="J4747" s="17">
        <v>82</v>
      </c>
      <c r="L4747" s="17">
        <v>182</v>
      </c>
      <c r="P4747" s="17">
        <v>2</v>
      </c>
      <c r="Q4747" s="19">
        <v>182</v>
      </c>
      <c r="R4747" s="14">
        <v>200</v>
      </c>
      <c r="S4747" s="19">
        <v>36400</v>
      </c>
      <c r="T4747" s="17">
        <v>1</v>
      </c>
      <c r="U4747" s="17" t="s">
        <v>57</v>
      </c>
      <c r="V4747" s="17" t="s">
        <v>56</v>
      </c>
      <c r="W4747" s="4">
        <v>76.5</v>
      </c>
      <c r="Y4747" s="4">
        <v>76.5</v>
      </c>
      <c r="AB4747" s="17">
        <v>21</v>
      </c>
      <c r="AJ4747" s="19">
        <v>0</v>
      </c>
      <c r="AK4747" s="23">
        <v>21</v>
      </c>
      <c r="AM4747" s="19">
        <v>0</v>
      </c>
      <c r="AN4747" s="19">
        <v>36400</v>
      </c>
      <c r="AP4747" s="14">
        <v>36400</v>
      </c>
    </row>
    <row r="4748" spans="1:45" x14ac:dyDescent="0.2">
      <c r="A4748" s="121">
        <f t="shared" si="551"/>
        <v>4001</v>
      </c>
      <c r="B4748" s="13">
        <v>2</v>
      </c>
      <c r="C4748" s="17" t="s">
        <v>52</v>
      </c>
      <c r="D4748" s="17">
        <v>32835</v>
      </c>
      <c r="E4748" s="17">
        <v>184</v>
      </c>
      <c r="F4748" s="17">
        <v>6434</v>
      </c>
      <c r="G4748" s="13">
        <v>2</v>
      </c>
      <c r="H4748" s="17">
        <v>4</v>
      </c>
      <c r="I4748" s="17">
        <v>0</v>
      </c>
      <c r="J4748" s="17">
        <v>77</v>
      </c>
      <c r="K4748" s="10">
        <v>1677</v>
      </c>
      <c r="P4748" s="17">
        <v>1</v>
      </c>
      <c r="Q4748" s="19">
        <v>1677</v>
      </c>
      <c r="R4748" s="14">
        <v>160</v>
      </c>
      <c r="S4748" s="19">
        <v>268320</v>
      </c>
      <c r="AJ4748" s="19">
        <v>0</v>
      </c>
      <c r="AK4748" s="23">
        <v>0</v>
      </c>
      <c r="AM4748" s="19">
        <v>0</v>
      </c>
      <c r="AN4748" s="19">
        <v>268320</v>
      </c>
      <c r="AP4748" s="14">
        <v>268320</v>
      </c>
    </row>
    <row r="4749" spans="1:45" ht="63" x14ac:dyDescent="0.2">
      <c r="A4749" s="121">
        <f t="shared" si="551"/>
        <v>4002</v>
      </c>
      <c r="B4749" s="13">
        <v>1</v>
      </c>
      <c r="C4749" s="17" t="s">
        <v>52</v>
      </c>
      <c r="D4749" s="17">
        <v>3018</v>
      </c>
      <c r="E4749" s="17">
        <v>51</v>
      </c>
      <c r="F4749" s="17">
        <v>2086</v>
      </c>
      <c r="G4749" s="13">
        <v>2</v>
      </c>
      <c r="H4749" s="17">
        <v>12</v>
      </c>
      <c r="I4749" s="17">
        <v>1</v>
      </c>
      <c r="J4749" s="17">
        <v>71</v>
      </c>
      <c r="K4749" s="10">
        <v>4904.12</v>
      </c>
      <c r="L4749" s="17">
        <v>37.130000000000003</v>
      </c>
      <c r="P4749" s="17">
        <v>5</v>
      </c>
      <c r="Q4749" s="19">
        <v>4971</v>
      </c>
      <c r="R4749" s="14">
        <v>200</v>
      </c>
      <c r="S4749" s="19">
        <v>994200</v>
      </c>
      <c r="T4749" s="17">
        <v>1</v>
      </c>
      <c r="U4749" s="17" t="s">
        <v>57</v>
      </c>
      <c r="V4749" s="17" t="s">
        <v>84</v>
      </c>
      <c r="W4749" s="4">
        <v>148.5</v>
      </c>
      <c r="Y4749" s="4">
        <v>148.5</v>
      </c>
      <c r="AB4749" s="17">
        <v>40</v>
      </c>
      <c r="AJ4749" s="19">
        <v>0</v>
      </c>
      <c r="AK4749" s="23">
        <v>40</v>
      </c>
      <c r="AM4749" s="19">
        <v>0</v>
      </c>
      <c r="AN4749" s="19">
        <v>994200</v>
      </c>
      <c r="AP4749" s="14">
        <v>994200</v>
      </c>
      <c r="AS4749" s="26">
        <v>120</v>
      </c>
    </row>
    <row r="4750" spans="1:45" ht="63" x14ac:dyDescent="0.2">
      <c r="L4750" s="17">
        <v>29.75</v>
      </c>
      <c r="Q4750" s="19">
        <v>0</v>
      </c>
      <c r="R4750" s="14" t="e">
        <v>#N/A</v>
      </c>
      <c r="S4750" s="19" t="e">
        <v>#N/A</v>
      </c>
      <c r="T4750" s="17">
        <v>2</v>
      </c>
      <c r="U4750" s="17" t="s">
        <v>57</v>
      </c>
      <c r="V4750" s="17" t="s">
        <v>56</v>
      </c>
      <c r="W4750" s="4">
        <v>119</v>
      </c>
      <c r="Y4750" s="4">
        <v>119</v>
      </c>
      <c r="AB4750" s="17">
        <v>23</v>
      </c>
      <c r="AJ4750" s="19">
        <v>0</v>
      </c>
      <c r="AK4750" s="23">
        <v>23</v>
      </c>
      <c r="AM4750" s="19">
        <v>0</v>
      </c>
      <c r="AN4750" s="19" t="e">
        <v>#N/A</v>
      </c>
      <c r="AP4750" s="14" t="e">
        <v>#N/A</v>
      </c>
    </row>
    <row r="4751" spans="1:45" x14ac:dyDescent="0.2">
      <c r="A4751" s="2">
        <v>4003</v>
      </c>
      <c r="B4751" s="13">
        <v>2</v>
      </c>
      <c r="C4751" s="17" t="s">
        <v>69</v>
      </c>
      <c r="E4751" s="17">
        <v>151</v>
      </c>
      <c r="F4751" s="17">
        <v>10</v>
      </c>
      <c r="G4751" s="13">
        <v>2</v>
      </c>
      <c r="H4751" s="17">
        <v>19</v>
      </c>
      <c r="I4751" s="17">
        <v>0</v>
      </c>
      <c r="J4751" s="17">
        <v>84</v>
      </c>
      <c r="K4751" s="10">
        <v>7684</v>
      </c>
      <c r="P4751" s="17">
        <v>1</v>
      </c>
      <c r="Q4751" s="19">
        <v>7684</v>
      </c>
      <c r="R4751" s="14">
        <v>160</v>
      </c>
      <c r="S4751" s="19">
        <v>1229440</v>
      </c>
      <c r="AJ4751" s="19">
        <v>0</v>
      </c>
      <c r="AK4751" s="23">
        <v>0</v>
      </c>
      <c r="AM4751" s="19">
        <v>0</v>
      </c>
      <c r="AN4751" s="19">
        <v>1229440</v>
      </c>
      <c r="AP4751" s="14">
        <v>1229440</v>
      </c>
      <c r="AQ4751" s="12">
        <v>1E-4</v>
      </c>
    </row>
    <row r="4752" spans="1:45" x14ac:dyDescent="0.2">
      <c r="A4752" s="2">
        <f>+A4751+1</f>
        <v>4004</v>
      </c>
      <c r="B4752" s="13">
        <v>1</v>
      </c>
      <c r="C4752" s="17" t="s">
        <v>65</v>
      </c>
      <c r="D4752" s="17">
        <v>1113</v>
      </c>
      <c r="E4752" s="17">
        <v>22</v>
      </c>
      <c r="H4752" s="17">
        <v>6</v>
      </c>
      <c r="I4752" s="17">
        <v>2</v>
      </c>
      <c r="J4752" s="17">
        <v>60</v>
      </c>
      <c r="K4752" s="10">
        <v>2660</v>
      </c>
      <c r="P4752" s="17">
        <v>1</v>
      </c>
      <c r="Q4752" s="19">
        <v>2660</v>
      </c>
      <c r="R4752" s="14">
        <v>250</v>
      </c>
      <c r="S4752" s="19">
        <v>665000</v>
      </c>
      <c r="AJ4752" s="19">
        <v>0</v>
      </c>
      <c r="AK4752" s="23">
        <v>0</v>
      </c>
      <c r="AM4752" s="19">
        <v>0</v>
      </c>
      <c r="AN4752" s="19">
        <v>665000</v>
      </c>
      <c r="AP4752" s="14">
        <v>665000</v>
      </c>
      <c r="AQ4752" s="12">
        <v>1E-4</v>
      </c>
      <c r="AS4752" s="26">
        <v>20</v>
      </c>
    </row>
    <row r="4753" spans="1:45" x14ac:dyDescent="0.2">
      <c r="A4753" s="121">
        <f t="shared" ref="A4753:A4755" si="552">+A4752+1</f>
        <v>4005</v>
      </c>
      <c r="B4753" s="13">
        <v>1</v>
      </c>
      <c r="C4753" s="17" t="s">
        <v>69</v>
      </c>
      <c r="E4753" s="17">
        <v>151</v>
      </c>
      <c r="F4753" s="17">
        <v>14</v>
      </c>
      <c r="G4753" s="13">
        <v>2</v>
      </c>
      <c r="H4753" s="17">
        <v>9</v>
      </c>
      <c r="I4753" s="17">
        <v>1</v>
      </c>
      <c r="J4753" s="17">
        <v>90</v>
      </c>
      <c r="K4753" s="10">
        <v>3790</v>
      </c>
      <c r="P4753" s="17">
        <v>1</v>
      </c>
      <c r="Q4753" s="19">
        <v>3790</v>
      </c>
      <c r="R4753" s="14">
        <v>200</v>
      </c>
      <c r="S4753" s="19">
        <v>758000</v>
      </c>
      <c r="AJ4753" s="19">
        <v>0</v>
      </c>
      <c r="AK4753" s="23">
        <v>0</v>
      </c>
      <c r="AM4753" s="19">
        <v>0</v>
      </c>
      <c r="AN4753" s="19">
        <v>758000</v>
      </c>
      <c r="AP4753" s="14">
        <v>758000</v>
      </c>
      <c r="AQ4753" s="12">
        <v>1E-4</v>
      </c>
    </row>
    <row r="4754" spans="1:45" x14ac:dyDescent="0.2">
      <c r="A4754" s="121">
        <f t="shared" si="552"/>
        <v>4006</v>
      </c>
      <c r="B4754" s="13">
        <v>1</v>
      </c>
      <c r="C4754" s="17" t="s">
        <v>52</v>
      </c>
      <c r="D4754" s="17">
        <v>3590</v>
      </c>
      <c r="E4754" s="17">
        <v>25</v>
      </c>
      <c r="F4754" s="17">
        <v>2219</v>
      </c>
      <c r="G4754" s="13">
        <v>2</v>
      </c>
      <c r="H4754" s="17">
        <v>1</v>
      </c>
      <c r="I4754" s="17">
        <v>2</v>
      </c>
      <c r="J4754" s="17">
        <v>42</v>
      </c>
      <c r="K4754" s="10">
        <v>642</v>
      </c>
      <c r="P4754" s="17">
        <v>1</v>
      </c>
      <c r="Q4754" s="19">
        <v>642</v>
      </c>
      <c r="R4754" s="14">
        <v>160</v>
      </c>
      <c r="S4754" s="19">
        <v>102720</v>
      </c>
      <c r="AJ4754" s="19">
        <v>0</v>
      </c>
      <c r="AK4754" s="23">
        <v>0</v>
      </c>
      <c r="AM4754" s="19">
        <v>0</v>
      </c>
      <c r="AN4754" s="19">
        <v>102720</v>
      </c>
      <c r="AP4754" s="14">
        <v>102720</v>
      </c>
    </row>
    <row r="4755" spans="1:45" ht="63" x14ac:dyDescent="0.2">
      <c r="A4755" s="121">
        <f t="shared" si="552"/>
        <v>4007</v>
      </c>
      <c r="B4755" s="13">
        <v>1</v>
      </c>
      <c r="C4755" s="17" t="s">
        <v>52</v>
      </c>
      <c r="D4755" s="17">
        <v>23963</v>
      </c>
      <c r="E4755" s="17">
        <v>102</v>
      </c>
      <c r="F4755" s="17">
        <v>3631</v>
      </c>
      <c r="G4755" s="13">
        <v>1</v>
      </c>
      <c r="H4755" s="17">
        <v>0</v>
      </c>
      <c r="I4755" s="17">
        <v>1</v>
      </c>
      <c r="J4755" s="17">
        <v>34</v>
      </c>
      <c r="L4755" s="17">
        <v>102</v>
      </c>
      <c r="P4755" s="17">
        <v>5</v>
      </c>
      <c r="Q4755" s="19">
        <v>134</v>
      </c>
      <c r="R4755" s="14">
        <v>250</v>
      </c>
      <c r="S4755" s="19">
        <v>33500</v>
      </c>
      <c r="T4755" s="17">
        <v>1</v>
      </c>
      <c r="U4755" s="17" t="s">
        <v>57</v>
      </c>
      <c r="V4755" s="17" t="s">
        <v>56</v>
      </c>
      <c r="W4755" s="4">
        <v>116</v>
      </c>
      <c r="Y4755" s="4">
        <v>116</v>
      </c>
      <c r="AB4755" s="17">
        <v>16</v>
      </c>
      <c r="AE4755" s="17">
        <v>244</v>
      </c>
      <c r="AF4755" s="14">
        <v>2</v>
      </c>
      <c r="AG4755" s="54">
        <v>116</v>
      </c>
      <c r="AH4755" s="11">
        <v>0.83</v>
      </c>
      <c r="AI4755" s="14">
        <v>7250</v>
      </c>
      <c r="AJ4755" s="19">
        <v>698030</v>
      </c>
      <c r="AK4755" s="23">
        <v>16</v>
      </c>
      <c r="AL4755" s="11">
        <v>0.22</v>
      </c>
      <c r="AM4755" s="19">
        <v>544463.4</v>
      </c>
      <c r="AN4755" s="19">
        <v>559229.66399999999</v>
      </c>
      <c r="AP4755" s="14">
        <v>559229.66399999999</v>
      </c>
      <c r="AS4755" s="26">
        <v>300</v>
      </c>
    </row>
    <row r="4756" spans="1:45" x14ac:dyDescent="0.2">
      <c r="Z4756" s="17">
        <v>20</v>
      </c>
      <c r="AE4756" s="17">
        <v>0.17241379310344829</v>
      </c>
      <c r="AF4756" s="14">
        <v>3</v>
      </c>
      <c r="AG4756" s="54">
        <v>116</v>
      </c>
      <c r="AH4756" s="11">
        <v>0.17</v>
      </c>
      <c r="AI4756" s="14">
        <v>7250</v>
      </c>
      <c r="AJ4756" s="19">
        <v>142970.00000000003</v>
      </c>
      <c r="AK4756" s="23">
        <v>16</v>
      </c>
      <c r="AL4756" s="11">
        <v>0.22</v>
      </c>
      <c r="AM4756" s="19">
        <v>111516.60000000002</v>
      </c>
      <c r="AN4756" s="19">
        <v>114250.20000000003</v>
      </c>
      <c r="AP4756" s="14">
        <v>114250.20000000003</v>
      </c>
      <c r="AQ4756" s="12">
        <v>3.0000000000000001E-3</v>
      </c>
    </row>
    <row r="4757" spans="1:45" ht="63" x14ac:dyDescent="0.2">
      <c r="L4757" s="17">
        <v>15</v>
      </c>
      <c r="S4757" s="19">
        <v>0</v>
      </c>
      <c r="T4757" s="17">
        <v>2</v>
      </c>
      <c r="U4757" s="17" t="s">
        <v>63</v>
      </c>
      <c r="V4757" s="17" t="s">
        <v>56</v>
      </c>
      <c r="W4757" s="4">
        <v>60</v>
      </c>
      <c r="Y4757" s="4">
        <v>60</v>
      </c>
      <c r="AB4757" s="17">
        <v>11</v>
      </c>
      <c r="AF4757" s="14">
        <v>2</v>
      </c>
      <c r="AG4757" s="54">
        <v>60</v>
      </c>
      <c r="AH4757" s="11">
        <v>1</v>
      </c>
      <c r="AI4757" s="14">
        <v>8100</v>
      </c>
      <c r="AJ4757" s="19">
        <v>486000</v>
      </c>
      <c r="AK4757" s="23">
        <v>11</v>
      </c>
      <c r="AM4757" s="19">
        <v>486000</v>
      </c>
      <c r="AN4757" s="19">
        <v>486000</v>
      </c>
      <c r="AP4757" s="14">
        <v>486000</v>
      </c>
      <c r="AR4757" s="19">
        <v>300</v>
      </c>
    </row>
    <row r="4758" spans="1:45" ht="63" x14ac:dyDescent="0.2">
      <c r="L4758" s="17">
        <v>9</v>
      </c>
      <c r="S4758" s="19">
        <v>0</v>
      </c>
      <c r="T4758" s="17">
        <v>3</v>
      </c>
      <c r="U4758" s="17" t="s">
        <v>63</v>
      </c>
      <c r="V4758" s="17" t="s">
        <v>56</v>
      </c>
      <c r="W4758" s="4">
        <v>36</v>
      </c>
      <c r="Y4758" s="4">
        <v>36</v>
      </c>
      <c r="AB4758" s="17">
        <v>7</v>
      </c>
      <c r="AF4758" s="14">
        <v>2</v>
      </c>
      <c r="AG4758" s="54">
        <v>36</v>
      </c>
      <c r="AH4758" s="11">
        <v>1</v>
      </c>
      <c r="AI4758" s="14">
        <v>8100</v>
      </c>
      <c r="AJ4758" s="19">
        <v>291600</v>
      </c>
      <c r="AK4758" s="23">
        <v>7</v>
      </c>
      <c r="AM4758" s="19">
        <v>291600</v>
      </c>
      <c r="AN4758" s="19">
        <v>291600</v>
      </c>
      <c r="AP4758" s="14">
        <v>291600</v>
      </c>
    </row>
    <row r="4759" spans="1:45" ht="105" x14ac:dyDescent="0.2">
      <c r="M4759" s="15">
        <v>8</v>
      </c>
      <c r="S4759" s="19">
        <v>0</v>
      </c>
      <c r="T4759" s="17">
        <v>4</v>
      </c>
      <c r="U4759" s="17" t="s">
        <v>174</v>
      </c>
      <c r="W4759" s="4">
        <v>32</v>
      </c>
      <c r="Z4759" s="17">
        <v>32</v>
      </c>
      <c r="AB4759" s="17">
        <v>8</v>
      </c>
      <c r="AF4759" s="14">
        <v>2</v>
      </c>
      <c r="AG4759" s="54">
        <v>32</v>
      </c>
      <c r="AH4759" s="11">
        <v>1</v>
      </c>
      <c r="AJ4759" s="19">
        <v>0</v>
      </c>
      <c r="AK4759" s="23">
        <v>8</v>
      </c>
      <c r="AM4759" s="19">
        <v>0</v>
      </c>
      <c r="AN4759" s="19">
        <v>0</v>
      </c>
      <c r="AP4759" s="14">
        <v>0</v>
      </c>
    </row>
    <row r="4760" spans="1:45" x14ac:dyDescent="0.2">
      <c r="A4760" s="2">
        <v>4008</v>
      </c>
      <c r="B4760" s="13">
        <v>1</v>
      </c>
      <c r="C4760" s="17" t="s">
        <v>52</v>
      </c>
      <c r="D4760" s="17">
        <v>3412</v>
      </c>
      <c r="E4760" s="17">
        <v>45</v>
      </c>
      <c r="F4760" s="17">
        <v>2216</v>
      </c>
      <c r="G4760" s="13">
        <v>2</v>
      </c>
      <c r="H4760" s="17">
        <v>0</v>
      </c>
      <c r="I4760" s="17">
        <v>0</v>
      </c>
      <c r="J4760" s="17">
        <v>71</v>
      </c>
      <c r="K4760" s="10">
        <v>71</v>
      </c>
      <c r="P4760" s="17">
        <v>1</v>
      </c>
      <c r="Q4760" s="19">
        <v>71</v>
      </c>
      <c r="R4760" s="14">
        <v>250</v>
      </c>
      <c r="S4760" s="19">
        <v>17750</v>
      </c>
      <c r="AJ4760" s="19">
        <v>0</v>
      </c>
      <c r="AK4760" s="23">
        <v>0</v>
      </c>
      <c r="AM4760" s="19">
        <v>0</v>
      </c>
      <c r="AN4760" s="19">
        <v>17750</v>
      </c>
      <c r="AP4760" s="14">
        <v>17750</v>
      </c>
    </row>
    <row r="4761" spans="1:45" x14ac:dyDescent="0.2">
      <c r="A4761" s="2">
        <f>+A4760+1</f>
        <v>4009</v>
      </c>
      <c r="B4761" s="13">
        <v>2</v>
      </c>
      <c r="C4761" s="17" t="s">
        <v>69</v>
      </c>
      <c r="E4761" s="17">
        <v>1501</v>
      </c>
      <c r="F4761" s="17">
        <v>4</v>
      </c>
      <c r="G4761" s="13">
        <v>6</v>
      </c>
      <c r="H4761" s="17">
        <v>82</v>
      </c>
      <c r="I4761" s="17">
        <v>1</v>
      </c>
      <c r="J4761" s="17">
        <v>15</v>
      </c>
      <c r="K4761" s="10">
        <v>32915</v>
      </c>
      <c r="P4761" s="17">
        <v>1</v>
      </c>
      <c r="Q4761" s="19">
        <v>32915</v>
      </c>
      <c r="R4761" s="14">
        <v>200</v>
      </c>
      <c r="S4761" s="19">
        <v>6583000</v>
      </c>
      <c r="AJ4761" s="19">
        <v>0</v>
      </c>
      <c r="AK4761" s="23">
        <v>0</v>
      </c>
      <c r="AM4761" s="19">
        <v>0</v>
      </c>
      <c r="AN4761" s="19">
        <v>6583000</v>
      </c>
      <c r="AP4761" s="14">
        <v>6583000</v>
      </c>
      <c r="AQ4761" s="12">
        <v>1E-4</v>
      </c>
    </row>
    <row r="4762" spans="1:45" x14ac:dyDescent="0.2">
      <c r="A4762" s="121">
        <f t="shared" ref="A4762:A4781" si="553">+A4761+1</f>
        <v>4010</v>
      </c>
      <c r="B4762" s="13">
        <v>1</v>
      </c>
      <c r="C4762" s="17" t="s">
        <v>52</v>
      </c>
      <c r="D4762" s="17">
        <v>3177</v>
      </c>
      <c r="E4762" s="17">
        <v>61</v>
      </c>
      <c r="F4762" s="17">
        <v>2106</v>
      </c>
      <c r="G4762" s="13">
        <v>2</v>
      </c>
      <c r="H4762" s="17">
        <v>0</v>
      </c>
      <c r="I4762" s="17">
        <v>0</v>
      </c>
      <c r="J4762" s="17">
        <v>63</v>
      </c>
      <c r="K4762" s="10">
        <v>63</v>
      </c>
      <c r="P4762" s="17">
        <v>1</v>
      </c>
      <c r="Q4762" s="19">
        <v>63</v>
      </c>
      <c r="R4762" s="14">
        <v>250</v>
      </c>
      <c r="S4762" s="19">
        <v>15750</v>
      </c>
      <c r="AJ4762" s="19">
        <v>0</v>
      </c>
      <c r="AK4762" s="23">
        <v>0</v>
      </c>
      <c r="AM4762" s="19">
        <v>0</v>
      </c>
      <c r="AN4762" s="19">
        <v>15750</v>
      </c>
      <c r="AP4762" s="14">
        <v>15750</v>
      </c>
    </row>
    <row r="4763" spans="1:45" x14ac:dyDescent="0.2">
      <c r="A4763" s="121">
        <f t="shared" si="553"/>
        <v>4011</v>
      </c>
      <c r="B4763" s="13">
        <v>2</v>
      </c>
      <c r="C4763" s="17" t="s">
        <v>52</v>
      </c>
      <c r="D4763" s="17">
        <v>20376</v>
      </c>
      <c r="E4763" s="17">
        <v>198</v>
      </c>
      <c r="F4763" s="17">
        <v>4587</v>
      </c>
      <c r="G4763" s="13">
        <v>2</v>
      </c>
      <c r="H4763" s="17">
        <v>0</v>
      </c>
      <c r="I4763" s="17">
        <v>0</v>
      </c>
      <c r="J4763" s="17">
        <v>39</v>
      </c>
      <c r="N4763" s="18">
        <v>39</v>
      </c>
      <c r="P4763" s="17">
        <v>4</v>
      </c>
      <c r="Q4763" s="19">
        <v>39</v>
      </c>
      <c r="R4763" s="14">
        <v>250</v>
      </c>
      <c r="S4763" s="19">
        <v>9750</v>
      </c>
      <c r="AJ4763" s="19">
        <v>0</v>
      </c>
      <c r="AK4763" s="23">
        <v>0</v>
      </c>
      <c r="AM4763" s="19">
        <v>0</v>
      </c>
      <c r="AN4763" s="19">
        <v>9750</v>
      </c>
      <c r="AP4763" s="14">
        <v>9750</v>
      </c>
      <c r="AQ4763" s="12">
        <v>3.0000000000000001E-3</v>
      </c>
    </row>
    <row r="4764" spans="1:45" ht="63" x14ac:dyDescent="0.2">
      <c r="A4764" s="121">
        <f t="shared" si="553"/>
        <v>4012</v>
      </c>
      <c r="B4764" s="13">
        <v>3</v>
      </c>
      <c r="C4764" s="17" t="s">
        <v>52</v>
      </c>
      <c r="D4764" s="17">
        <v>20380</v>
      </c>
      <c r="E4764" s="17">
        <v>158</v>
      </c>
      <c r="F4764" s="17">
        <v>4598</v>
      </c>
      <c r="G4764" s="13">
        <v>2</v>
      </c>
      <c r="H4764" s="17">
        <v>0</v>
      </c>
      <c r="I4764" s="17">
        <v>0</v>
      </c>
      <c r="J4764" s="17">
        <v>11</v>
      </c>
      <c r="L4764" s="17">
        <v>11</v>
      </c>
      <c r="P4764" s="17">
        <v>2</v>
      </c>
      <c r="Q4764" s="19">
        <v>11</v>
      </c>
      <c r="R4764" s="14">
        <v>250</v>
      </c>
      <c r="S4764" s="19">
        <v>2750</v>
      </c>
      <c r="T4764" s="17">
        <v>1</v>
      </c>
      <c r="U4764" s="17" t="s">
        <v>57</v>
      </c>
      <c r="V4764" s="17" t="s">
        <v>56</v>
      </c>
      <c r="W4764" s="4">
        <v>126</v>
      </c>
      <c r="Y4764" s="4">
        <v>126</v>
      </c>
      <c r="AB4764" s="17">
        <v>4</v>
      </c>
      <c r="AJ4764" s="19">
        <v>0</v>
      </c>
      <c r="AK4764" s="23">
        <v>4</v>
      </c>
      <c r="AM4764" s="19">
        <v>0</v>
      </c>
      <c r="AN4764" s="19">
        <v>2750</v>
      </c>
      <c r="AP4764" s="14">
        <v>2750</v>
      </c>
    </row>
    <row r="4765" spans="1:45" x14ac:dyDescent="0.2">
      <c r="A4765" s="121">
        <f t="shared" si="553"/>
        <v>4013</v>
      </c>
      <c r="B4765" s="13">
        <v>1</v>
      </c>
      <c r="C4765" s="17" t="s">
        <v>52</v>
      </c>
      <c r="D4765" s="17">
        <v>3388</v>
      </c>
      <c r="E4765" s="17">
        <v>67</v>
      </c>
      <c r="F4765" s="17">
        <v>2174</v>
      </c>
      <c r="G4765" s="13">
        <v>2</v>
      </c>
      <c r="H4765" s="17">
        <v>0</v>
      </c>
      <c r="I4765" s="17">
        <v>2</v>
      </c>
      <c r="J4765" s="17">
        <v>16</v>
      </c>
      <c r="K4765" s="10">
        <v>216</v>
      </c>
      <c r="P4765" s="17">
        <v>1</v>
      </c>
      <c r="Q4765" s="19">
        <v>216</v>
      </c>
      <c r="R4765" s="14">
        <v>160</v>
      </c>
      <c r="S4765" s="19">
        <v>34560</v>
      </c>
      <c r="AJ4765" s="19">
        <v>0</v>
      </c>
      <c r="AK4765" s="23">
        <v>0</v>
      </c>
      <c r="AM4765" s="19">
        <v>0</v>
      </c>
      <c r="AN4765" s="19">
        <v>34560</v>
      </c>
      <c r="AP4765" s="14">
        <v>34560</v>
      </c>
    </row>
    <row r="4766" spans="1:45" x14ac:dyDescent="0.2">
      <c r="A4766" s="121">
        <f t="shared" si="553"/>
        <v>4014</v>
      </c>
      <c r="B4766" s="13">
        <v>2</v>
      </c>
      <c r="C4766" s="17" t="s">
        <v>65</v>
      </c>
      <c r="D4766" s="17">
        <v>984</v>
      </c>
      <c r="E4766" s="17">
        <v>39</v>
      </c>
      <c r="H4766" s="17">
        <v>2</v>
      </c>
      <c r="I4766" s="17">
        <v>3</v>
      </c>
      <c r="J4766" s="17">
        <v>3</v>
      </c>
      <c r="K4766" s="10">
        <v>1103</v>
      </c>
      <c r="P4766" s="17">
        <v>1</v>
      </c>
      <c r="Q4766" s="19">
        <v>1103</v>
      </c>
      <c r="R4766" s="14">
        <v>100</v>
      </c>
      <c r="S4766" s="19">
        <v>110300</v>
      </c>
      <c r="AJ4766" s="19">
        <v>0</v>
      </c>
      <c r="AK4766" s="23">
        <v>0</v>
      </c>
      <c r="AM4766" s="19">
        <v>0</v>
      </c>
      <c r="AN4766" s="19">
        <v>110300</v>
      </c>
      <c r="AP4766" s="14">
        <v>110300</v>
      </c>
      <c r="AQ4766" s="12">
        <v>1E-4</v>
      </c>
    </row>
    <row r="4767" spans="1:45" x14ac:dyDescent="0.2">
      <c r="A4767" s="121">
        <f t="shared" si="553"/>
        <v>4015</v>
      </c>
      <c r="B4767" s="13">
        <v>3</v>
      </c>
      <c r="C4767" s="17" t="s">
        <v>65</v>
      </c>
      <c r="D4767" s="17">
        <v>1808</v>
      </c>
      <c r="E4767" s="17">
        <v>6</v>
      </c>
      <c r="H4767" s="17">
        <v>1</v>
      </c>
      <c r="I4767" s="17">
        <v>2</v>
      </c>
      <c r="J4767" s="17">
        <v>63</v>
      </c>
      <c r="K4767" s="10">
        <v>663</v>
      </c>
      <c r="P4767" s="17">
        <v>1</v>
      </c>
      <c r="Q4767" s="19">
        <v>663</v>
      </c>
      <c r="R4767" s="14">
        <v>500</v>
      </c>
      <c r="S4767" s="19">
        <v>331500</v>
      </c>
      <c r="AJ4767" s="19">
        <v>0</v>
      </c>
      <c r="AK4767" s="23">
        <v>0</v>
      </c>
      <c r="AM4767" s="19">
        <v>0</v>
      </c>
      <c r="AN4767" s="19">
        <v>331500</v>
      </c>
      <c r="AP4767" s="14">
        <v>331500</v>
      </c>
      <c r="AQ4767" s="12">
        <v>1E-4</v>
      </c>
    </row>
    <row r="4768" spans="1:45" x14ac:dyDescent="0.2">
      <c r="A4768" s="121">
        <f t="shared" si="553"/>
        <v>4016</v>
      </c>
      <c r="B4768" s="13">
        <v>4</v>
      </c>
      <c r="C4768" s="17" t="s">
        <v>65</v>
      </c>
      <c r="D4768" s="17">
        <v>1809</v>
      </c>
      <c r="E4768" s="17">
        <v>7</v>
      </c>
      <c r="H4768" s="17">
        <v>1</v>
      </c>
      <c r="I4768" s="17">
        <v>2</v>
      </c>
      <c r="J4768" s="17">
        <v>40</v>
      </c>
      <c r="K4768" s="10">
        <v>640</v>
      </c>
      <c r="P4768" s="17">
        <v>1</v>
      </c>
      <c r="Q4768" s="19">
        <v>640</v>
      </c>
      <c r="R4768" s="14">
        <v>500</v>
      </c>
      <c r="S4768" s="19">
        <v>320000</v>
      </c>
      <c r="AJ4768" s="19">
        <v>0</v>
      </c>
      <c r="AK4768" s="23">
        <v>0</v>
      </c>
      <c r="AM4768" s="19">
        <v>0</v>
      </c>
      <c r="AN4768" s="19">
        <v>320000</v>
      </c>
      <c r="AP4768" s="14">
        <v>320000</v>
      </c>
      <c r="AQ4768" s="12">
        <v>1E-4</v>
      </c>
    </row>
    <row r="4769" spans="1:45" x14ac:dyDescent="0.2">
      <c r="A4769" s="121">
        <f t="shared" si="553"/>
        <v>4017</v>
      </c>
      <c r="B4769" s="13">
        <v>1</v>
      </c>
      <c r="C4769" s="17" t="s">
        <v>52</v>
      </c>
      <c r="D4769" s="17">
        <v>4601</v>
      </c>
      <c r="E4769" s="17">
        <v>83</v>
      </c>
      <c r="F4769" s="17">
        <v>2500</v>
      </c>
      <c r="G4769" s="13">
        <v>1</v>
      </c>
      <c r="H4769" s="17">
        <v>11</v>
      </c>
      <c r="I4769" s="17">
        <v>3</v>
      </c>
      <c r="J4769" s="17">
        <v>56</v>
      </c>
      <c r="K4769" s="10">
        <v>4756</v>
      </c>
      <c r="P4769" s="17">
        <v>1</v>
      </c>
      <c r="Q4769" s="19">
        <v>4756</v>
      </c>
      <c r="R4769" s="14">
        <v>200</v>
      </c>
      <c r="S4769" s="19">
        <v>951200</v>
      </c>
      <c r="AJ4769" s="19">
        <v>0</v>
      </c>
      <c r="AK4769" s="23">
        <v>0</v>
      </c>
      <c r="AM4769" s="19">
        <v>0</v>
      </c>
      <c r="AN4769" s="19">
        <v>951200</v>
      </c>
      <c r="AP4769" s="14">
        <v>951200</v>
      </c>
      <c r="AS4769" s="26">
        <v>65</v>
      </c>
    </row>
    <row r="4770" spans="1:45" x14ac:dyDescent="0.2">
      <c r="A4770" s="121">
        <f t="shared" si="553"/>
        <v>4018</v>
      </c>
      <c r="B4770" s="13">
        <v>1</v>
      </c>
      <c r="C4770" s="17" t="s">
        <v>52</v>
      </c>
      <c r="D4770" s="17">
        <v>34111</v>
      </c>
      <c r="E4770" s="17">
        <v>146</v>
      </c>
      <c r="F4770" s="17">
        <v>6783</v>
      </c>
      <c r="G4770" s="13">
        <v>2</v>
      </c>
      <c r="H4770" s="17">
        <v>0</v>
      </c>
      <c r="I4770" s="17">
        <v>1</v>
      </c>
      <c r="J4770" s="17">
        <v>54</v>
      </c>
      <c r="K4770" s="10" t="s">
        <v>330</v>
      </c>
      <c r="P4770" s="17">
        <v>1</v>
      </c>
      <c r="Q4770" s="19">
        <v>154</v>
      </c>
      <c r="R4770" s="14">
        <v>160</v>
      </c>
      <c r="S4770" s="19">
        <v>24640</v>
      </c>
      <c r="AJ4770" s="19">
        <v>0</v>
      </c>
      <c r="AK4770" s="23">
        <v>0</v>
      </c>
      <c r="AM4770" s="19">
        <v>0</v>
      </c>
      <c r="AN4770" s="19">
        <v>24640</v>
      </c>
      <c r="AP4770" s="14">
        <v>24640</v>
      </c>
    </row>
    <row r="4771" spans="1:45" ht="63" x14ac:dyDescent="0.2">
      <c r="A4771" s="121">
        <f t="shared" si="553"/>
        <v>4019</v>
      </c>
      <c r="B4771" s="13">
        <v>2</v>
      </c>
      <c r="C4771" s="17" t="s">
        <v>65</v>
      </c>
      <c r="D4771" s="17">
        <v>847</v>
      </c>
      <c r="E4771" s="17">
        <v>112</v>
      </c>
      <c r="H4771" s="17">
        <v>3</v>
      </c>
      <c r="I4771" s="17">
        <v>0</v>
      </c>
      <c r="J4771" s="17">
        <v>30</v>
      </c>
      <c r="K4771" s="10">
        <v>1204</v>
      </c>
      <c r="L4771" s="17">
        <v>26</v>
      </c>
      <c r="P4771" s="17">
        <v>5</v>
      </c>
      <c r="Q4771" s="19">
        <v>1230</v>
      </c>
      <c r="R4771" s="14">
        <v>160</v>
      </c>
      <c r="S4771" s="19">
        <v>196800</v>
      </c>
      <c r="T4771" s="17">
        <v>1</v>
      </c>
      <c r="U4771" s="17" t="s">
        <v>57</v>
      </c>
      <c r="V4771" s="17" t="s">
        <v>56</v>
      </c>
      <c r="W4771" s="4">
        <v>104</v>
      </c>
      <c r="Y4771" s="4">
        <v>104</v>
      </c>
      <c r="AB4771" s="17">
        <v>29</v>
      </c>
      <c r="AJ4771" s="19">
        <v>0</v>
      </c>
      <c r="AK4771" s="23">
        <v>29</v>
      </c>
      <c r="AM4771" s="19">
        <v>0</v>
      </c>
      <c r="AN4771" s="19">
        <v>196800</v>
      </c>
      <c r="AP4771" s="14">
        <v>196800</v>
      </c>
      <c r="AQ4771" s="12">
        <v>1E-4</v>
      </c>
    </row>
    <row r="4772" spans="1:45" x14ac:dyDescent="0.2">
      <c r="A4772" s="121">
        <f t="shared" si="553"/>
        <v>4020</v>
      </c>
      <c r="B4772" s="13">
        <v>1</v>
      </c>
      <c r="C4772" s="17" t="s">
        <v>52</v>
      </c>
      <c r="D4772" s="17">
        <v>1608</v>
      </c>
      <c r="E4772" s="17">
        <v>46</v>
      </c>
      <c r="F4772" s="17">
        <v>560</v>
      </c>
      <c r="G4772" s="13">
        <v>2</v>
      </c>
      <c r="H4772" s="17">
        <v>3</v>
      </c>
      <c r="I4772" s="17">
        <v>0</v>
      </c>
      <c r="J4772" s="17">
        <v>21</v>
      </c>
      <c r="K4772" s="10">
        <v>1221</v>
      </c>
      <c r="P4772" s="17">
        <v>1</v>
      </c>
      <c r="Q4772" s="19">
        <v>1221</v>
      </c>
      <c r="R4772" s="14">
        <v>160</v>
      </c>
      <c r="S4772" s="19">
        <v>195360</v>
      </c>
      <c r="AJ4772" s="19">
        <v>0</v>
      </c>
      <c r="AK4772" s="23">
        <v>0</v>
      </c>
      <c r="AM4772" s="19">
        <v>0</v>
      </c>
      <c r="AN4772" s="19">
        <v>195360</v>
      </c>
      <c r="AP4772" s="14">
        <v>195360</v>
      </c>
    </row>
    <row r="4773" spans="1:45" x14ac:dyDescent="0.2">
      <c r="A4773" s="121">
        <f t="shared" si="553"/>
        <v>4021</v>
      </c>
      <c r="B4773" s="13">
        <v>1</v>
      </c>
      <c r="C4773" s="17" t="s">
        <v>65</v>
      </c>
      <c r="D4773" s="17">
        <v>994</v>
      </c>
      <c r="E4773" s="17">
        <v>126</v>
      </c>
      <c r="H4773" s="17">
        <v>8</v>
      </c>
      <c r="I4773" s="17">
        <v>0</v>
      </c>
      <c r="J4773" s="17">
        <v>73</v>
      </c>
      <c r="K4773" s="10">
        <v>3273</v>
      </c>
      <c r="Q4773" s="19">
        <v>3273</v>
      </c>
      <c r="R4773" s="14">
        <v>160</v>
      </c>
      <c r="S4773" s="19">
        <v>523680</v>
      </c>
      <c r="AE4773" s="17" t="s">
        <v>94</v>
      </c>
      <c r="AJ4773" s="19">
        <v>0</v>
      </c>
      <c r="AK4773" s="23">
        <v>0</v>
      </c>
      <c r="AM4773" s="19">
        <v>0</v>
      </c>
      <c r="AN4773" s="19">
        <v>523680</v>
      </c>
      <c r="AP4773" s="14">
        <v>523680</v>
      </c>
      <c r="AQ4773" s="12">
        <v>1E-4</v>
      </c>
    </row>
    <row r="4774" spans="1:45" ht="63" x14ac:dyDescent="0.2">
      <c r="A4774" s="121">
        <f t="shared" si="553"/>
        <v>4022</v>
      </c>
      <c r="B4774" s="13">
        <v>1</v>
      </c>
      <c r="C4774" s="17" t="s">
        <v>52</v>
      </c>
      <c r="D4774" s="17">
        <v>2977</v>
      </c>
      <c r="E4774" s="17">
        <v>1</v>
      </c>
      <c r="F4774" s="17">
        <v>2045</v>
      </c>
      <c r="G4774" s="13">
        <v>2</v>
      </c>
      <c r="H4774" s="17">
        <v>0</v>
      </c>
      <c r="I4774" s="17">
        <v>2</v>
      </c>
      <c r="J4774" s="17">
        <v>54</v>
      </c>
      <c r="L4774" s="17">
        <v>254</v>
      </c>
      <c r="P4774" s="17">
        <v>2</v>
      </c>
      <c r="Q4774" s="19">
        <v>254</v>
      </c>
      <c r="R4774" s="14">
        <v>250</v>
      </c>
      <c r="S4774" s="19">
        <v>63500</v>
      </c>
      <c r="T4774" s="17">
        <v>1</v>
      </c>
      <c r="U4774" s="17" t="s">
        <v>57</v>
      </c>
      <c r="V4774" s="17" t="s">
        <v>56</v>
      </c>
      <c r="W4774" s="4">
        <v>50</v>
      </c>
      <c r="Y4774" s="4">
        <v>50</v>
      </c>
      <c r="AB4774" s="17">
        <v>2</v>
      </c>
      <c r="AJ4774" s="19">
        <v>0</v>
      </c>
      <c r="AK4774" s="23">
        <v>2</v>
      </c>
      <c r="AM4774" s="19">
        <v>0</v>
      </c>
      <c r="AN4774" s="19">
        <v>63500</v>
      </c>
      <c r="AP4774" s="14">
        <v>63500</v>
      </c>
    </row>
    <row r="4775" spans="1:45" x14ac:dyDescent="0.2">
      <c r="A4775" s="121">
        <f t="shared" si="553"/>
        <v>4023</v>
      </c>
      <c r="B4775" s="13">
        <v>2</v>
      </c>
      <c r="C4775" s="17" t="s">
        <v>69</v>
      </c>
      <c r="E4775" s="17">
        <v>152</v>
      </c>
      <c r="F4775" s="17">
        <v>13</v>
      </c>
      <c r="G4775" s="13">
        <v>2</v>
      </c>
      <c r="H4775" s="17">
        <v>7</v>
      </c>
      <c r="I4775" s="17">
        <v>1</v>
      </c>
      <c r="J4775" s="17">
        <v>94</v>
      </c>
      <c r="K4775" s="10">
        <v>2994</v>
      </c>
      <c r="P4775" s="17">
        <v>1</v>
      </c>
      <c r="Q4775" s="19">
        <v>2994</v>
      </c>
      <c r="R4775" s="14">
        <v>200</v>
      </c>
      <c r="S4775" s="19">
        <v>598800</v>
      </c>
      <c r="AJ4775" s="19">
        <v>0</v>
      </c>
      <c r="AK4775" s="23">
        <v>0</v>
      </c>
      <c r="AM4775" s="19">
        <v>0</v>
      </c>
      <c r="AN4775" s="19">
        <v>598800</v>
      </c>
      <c r="AP4775" s="14">
        <v>598800</v>
      </c>
      <c r="AQ4775" s="12">
        <v>1E-4</v>
      </c>
    </row>
    <row r="4776" spans="1:45" x14ac:dyDescent="0.2">
      <c r="A4776" s="121">
        <f t="shared" si="553"/>
        <v>4024</v>
      </c>
      <c r="B4776" s="13">
        <v>1</v>
      </c>
      <c r="C4776" s="17" t="s">
        <v>52</v>
      </c>
      <c r="D4776" s="17">
        <v>4602</v>
      </c>
      <c r="E4776" s="17">
        <v>70</v>
      </c>
      <c r="F4776" s="17">
        <v>2421</v>
      </c>
      <c r="G4776" s="13">
        <v>1</v>
      </c>
      <c r="H4776" s="17">
        <v>1</v>
      </c>
      <c r="I4776" s="17">
        <v>1</v>
      </c>
      <c r="J4776" s="17">
        <v>54</v>
      </c>
      <c r="K4776" s="10">
        <v>554</v>
      </c>
      <c r="P4776" s="17">
        <v>1</v>
      </c>
      <c r="Q4776" s="19">
        <v>554</v>
      </c>
      <c r="R4776" s="14">
        <v>160</v>
      </c>
      <c r="S4776" s="19">
        <v>88640</v>
      </c>
      <c r="AJ4776" s="19">
        <v>0</v>
      </c>
      <c r="AK4776" s="23">
        <v>0</v>
      </c>
      <c r="AM4776" s="19">
        <v>0</v>
      </c>
      <c r="AN4776" s="19">
        <v>88640</v>
      </c>
      <c r="AP4776" s="14">
        <v>88640</v>
      </c>
    </row>
    <row r="4777" spans="1:45" x14ac:dyDescent="0.2">
      <c r="A4777" s="121">
        <f t="shared" si="553"/>
        <v>4025</v>
      </c>
      <c r="B4777" s="13">
        <v>2</v>
      </c>
      <c r="C4777" s="17" t="s">
        <v>52</v>
      </c>
      <c r="D4777" s="17">
        <v>2974</v>
      </c>
      <c r="E4777" s="17">
        <v>3</v>
      </c>
      <c r="F4777" s="17">
        <v>2042</v>
      </c>
      <c r="G4777" s="13">
        <v>2</v>
      </c>
      <c r="H4777" s="17">
        <v>0</v>
      </c>
      <c r="I4777" s="17">
        <v>3</v>
      </c>
      <c r="J4777" s="17">
        <v>45</v>
      </c>
      <c r="K4777" s="10">
        <v>345</v>
      </c>
      <c r="P4777" s="17">
        <v>1</v>
      </c>
      <c r="Q4777" s="19">
        <v>345</v>
      </c>
      <c r="R4777" s="14">
        <v>250</v>
      </c>
      <c r="S4777" s="19">
        <v>86250</v>
      </c>
      <c r="AJ4777" s="19">
        <v>0</v>
      </c>
      <c r="AK4777" s="23">
        <v>0</v>
      </c>
      <c r="AM4777" s="19">
        <v>0</v>
      </c>
      <c r="AN4777" s="19">
        <v>86250</v>
      </c>
      <c r="AP4777" s="14">
        <v>86250</v>
      </c>
    </row>
    <row r="4778" spans="1:45" ht="63" x14ac:dyDescent="0.2">
      <c r="A4778" s="121">
        <f t="shared" si="553"/>
        <v>4026</v>
      </c>
      <c r="B4778" s="13">
        <v>3273</v>
      </c>
      <c r="C4778" s="17" t="s">
        <v>52</v>
      </c>
      <c r="D4778" s="17">
        <v>2973</v>
      </c>
      <c r="E4778" s="17">
        <v>2</v>
      </c>
      <c r="F4778" s="17">
        <v>2041</v>
      </c>
      <c r="G4778" s="13">
        <v>2</v>
      </c>
      <c r="H4778" s="17">
        <v>1</v>
      </c>
      <c r="I4778" s="17">
        <v>1</v>
      </c>
      <c r="J4778" s="17">
        <v>52</v>
      </c>
      <c r="L4778" s="17">
        <v>552</v>
      </c>
      <c r="P4778" s="17">
        <v>2</v>
      </c>
      <c r="Q4778" s="19">
        <v>552</v>
      </c>
      <c r="R4778" s="14">
        <v>200</v>
      </c>
      <c r="S4778" s="19">
        <v>110400</v>
      </c>
      <c r="T4778" s="17">
        <v>1</v>
      </c>
      <c r="U4778" s="17" t="s">
        <v>57</v>
      </c>
      <c r="V4778" s="17" t="s">
        <v>56</v>
      </c>
      <c r="W4778" s="4">
        <v>90</v>
      </c>
      <c r="Y4778" s="4">
        <v>90</v>
      </c>
      <c r="AB4778" s="17">
        <v>2</v>
      </c>
      <c r="AJ4778" s="19">
        <v>0</v>
      </c>
      <c r="AK4778" s="23">
        <v>2</v>
      </c>
      <c r="AM4778" s="19">
        <v>0</v>
      </c>
      <c r="AN4778" s="19">
        <v>110400</v>
      </c>
      <c r="AP4778" s="14">
        <v>110400</v>
      </c>
    </row>
    <row r="4779" spans="1:45" ht="63" x14ac:dyDescent="0.2">
      <c r="A4779" s="121">
        <f t="shared" si="553"/>
        <v>4027</v>
      </c>
      <c r="B4779" s="13">
        <v>1</v>
      </c>
      <c r="C4779" s="17" t="s">
        <v>52</v>
      </c>
      <c r="D4779" s="17">
        <v>10379</v>
      </c>
      <c r="E4779" s="17">
        <v>109</v>
      </c>
      <c r="F4779" s="17">
        <v>3147</v>
      </c>
      <c r="G4779" s="13">
        <v>2</v>
      </c>
      <c r="H4779" s="17">
        <v>0</v>
      </c>
      <c r="I4779" s="17">
        <v>0</v>
      </c>
      <c r="J4779" s="17">
        <v>62.07</v>
      </c>
      <c r="L4779" s="17">
        <v>62.07</v>
      </c>
      <c r="P4779" s="17">
        <v>2</v>
      </c>
      <c r="Q4779" s="19">
        <v>62.07</v>
      </c>
      <c r="R4779" s="14">
        <v>160</v>
      </c>
      <c r="S4779" s="19">
        <v>9931.2000000000007</v>
      </c>
      <c r="T4779" s="17">
        <v>1</v>
      </c>
      <c r="U4779" s="17" t="s">
        <v>57</v>
      </c>
      <c r="V4779" s="17" t="s">
        <v>56</v>
      </c>
      <c r="W4779" s="4">
        <v>90.75</v>
      </c>
      <c r="Y4779" s="4">
        <v>90.75</v>
      </c>
      <c r="AB4779" s="17">
        <v>29</v>
      </c>
      <c r="AJ4779" s="19">
        <v>0</v>
      </c>
      <c r="AK4779" s="23">
        <v>29</v>
      </c>
      <c r="AM4779" s="19">
        <v>0</v>
      </c>
      <c r="AN4779" s="19">
        <v>9931.2000000000007</v>
      </c>
      <c r="AP4779" s="14">
        <v>9931.2000000000007</v>
      </c>
    </row>
    <row r="4780" spans="1:45" x14ac:dyDescent="0.2">
      <c r="A4780" s="121">
        <f t="shared" si="553"/>
        <v>4028</v>
      </c>
      <c r="B4780" s="13">
        <v>2</v>
      </c>
      <c r="C4780" s="17" t="s">
        <v>52</v>
      </c>
      <c r="D4780" s="17">
        <v>31089</v>
      </c>
      <c r="E4780" s="17">
        <v>104</v>
      </c>
      <c r="F4780" s="17">
        <v>6039</v>
      </c>
      <c r="H4780" s="17">
        <v>0</v>
      </c>
      <c r="I4780" s="17">
        <v>1</v>
      </c>
      <c r="J4780" s="17">
        <v>54</v>
      </c>
      <c r="N4780" s="18">
        <v>154</v>
      </c>
      <c r="P4780" s="17">
        <v>4</v>
      </c>
      <c r="Q4780" s="19">
        <v>154</v>
      </c>
      <c r="R4780" s="14">
        <v>250</v>
      </c>
      <c r="S4780" s="19">
        <v>38500</v>
      </c>
      <c r="AJ4780" s="19">
        <v>0</v>
      </c>
      <c r="AK4780" s="23">
        <v>0</v>
      </c>
      <c r="AM4780" s="19">
        <v>0</v>
      </c>
      <c r="AN4780" s="19">
        <v>38500</v>
      </c>
      <c r="AP4780" s="14">
        <v>38500</v>
      </c>
      <c r="AQ4780" s="12">
        <v>3.0000000000000001E-3</v>
      </c>
    </row>
    <row r="4781" spans="1:45" x14ac:dyDescent="0.2">
      <c r="A4781" s="121">
        <f t="shared" si="553"/>
        <v>4029</v>
      </c>
      <c r="B4781" s="13">
        <v>3</v>
      </c>
      <c r="C4781" s="17" t="s">
        <v>69</v>
      </c>
      <c r="E4781" s="17">
        <v>1516</v>
      </c>
      <c r="F4781" s="17">
        <v>12</v>
      </c>
      <c r="G4781" s="13">
        <v>2</v>
      </c>
      <c r="H4781" s="17">
        <v>17</v>
      </c>
      <c r="I4781" s="17">
        <v>0</v>
      </c>
      <c r="J4781" s="17">
        <v>6</v>
      </c>
      <c r="K4781" s="10">
        <v>6806</v>
      </c>
      <c r="P4781" s="17">
        <v>1</v>
      </c>
      <c r="Q4781" s="19">
        <v>6806</v>
      </c>
      <c r="R4781" s="14">
        <v>200</v>
      </c>
      <c r="S4781" s="19">
        <v>1361200</v>
      </c>
      <c r="AJ4781" s="19">
        <v>0</v>
      </c>
      <c r="AK4781" s="23">
        <v>0</v>
      </c>
      <c r="AM4781" s="19">
        <v>0</v>
      </c>
      <c r="AN4781" s="19">
        <v>1361200</v>
      </c>
      <c r="AP4781" s="14">
        <v>1361200</v>
      </c>
      <c r="AQ4781" s="12">
        <v>1E-4</v>
      </c>
    </row>
    <row r="4782" spans="1:45" x14ac:dyDescent="0.2">
      <c r="B4782" s="13">
        <v>1</v>
      </c>
      <c r="C4782" s="17" t="s">
        <v>65</v>
      </c>
      <c r="D4782" s="17">
        <v>3439</v>
      </c>
      <c r="E4782" s="17">
        <v>623</v>
      </c>
      <c r="H4782" s="17">
        <v>0</v>
      </c>
      <c r="I4782" s="17">
        <v>1</v>
      </c>
      <c r="J4782" s="17">
        <v>58</v>
      </c>
      <c r="K4782" s="10">
        <v>158</v>
      </c>
      <c r="Q4782" s="19">
        <v>158</v>
      </c>
      <c r="R4782" s="14" t="e">
        <v>#N/A</v>
      </c>
      <c r="S4782" s="19" t="e">
        <v>#N/A</v>
      </c>
      <c r="AE4782" s="17" t="s">
        <v>94</v>
      </c>
      <c r="AJ4782" s="19">
        <v>0</v>
      </c>
      <c r="AK4782" s="23">
        <v>0</v>
      </c>
      <c r="AM4782" s="19">
        <v>0</v>
      </c>
      <c r="AN4782" s="19" t="e">
        <v>#N/A</v>
      </c>
      <c r="AP4782" s="14" t="e">
        <v>#N/A</v>
      </c>
      <c r="AQ4782" s="12">
        <v>1E-4</v>
      </c>
    </row>
    <row r="4783" spans="1:45" ht="63" x14ac:dyDescent="0.2">
      <c r="A4783" s="2">
        <v>4030</v>
      </c>
      <c r="B4783" s="13">
        <v>1</v>
      </c>
      <c r="C4783" s="17" t="s">
        <v>52</v>
      </c>
      <c r="D4783" s="17">
        <v>1433</v>
      </c>
      <c r="E4783" s="17">
        <v>11</v>
      </c>
      <c r="F4783" s="17">
        <v>873</v>
      </c>
      <c r="G4783" s="13">
        <v>2</v>
      </c>
      <c r="H4783" s="17">
        <v>0</v>
      </c>
      <c r="I4783" s="17">
        <v>1</v>
      </c>
      <c r="J4783" s="17">
        <v>26</v>
      </c>
      <c r="L4783" s="17">
        <v>126</v>
      </c>
      <c r="P4783" s="17">
        <v>2</v>
      </c>
      <c r="Q4783" s="19">
        <v>126</v>
      </c>
      <c r="R4783" s="14">
        <v>1000</v>
      </c>
      <c r="S4783" s="19">
        <v>126000</v>
      </c>
      <c r="T4783" s="17">
        <v>1</v>
      </c>
      <c r="U4783" s="17" t="s">
        <v>57</v>
      </c>
      <c r="V4783" s="17" t="s">
        <v>84</v>
      </c>
      <c r="W4783" s="4">
        <v>94</v>
      </c>
      <c r="Y4783" s="4">
        <v>94</v>
      </c>
      <c r="AB4783" s="17">
        <v>34</v>
      </c>
      <c r="AJ4783" s="19">
        <v>0</v>
      </c>
      <c r="AK4783" s="23">
        <v>34</v>
      </c>
      <c r="AM4783" s="19">
        <v>0</v>
      </c>
      <c r="AN4783" s="19">
        <v>126000</v>
      </c>
      <c r="AP4783" s="14">
        <v>126000</v>
      </c>
    </row>
    <row r="4784" spans="1:45" x14ac:dyDescent="0.2">
      <c r="A4784" s="2">
        <f>+A4783+1</f>
        <v>4031</v>
      </c>
      <c r="B4784" s="13">
        <v>2</v>
      </c>
      <c r="C4784" s="17" t="s">
        <v>69</v>
      </c>
      <c r="E4784" s="17">
        <v>1516</v>
      </c>
      <c r="F4784" s="17">
        <v>11</v>
      </c>
      <c r="G4784" s="13">
        <v>2</v>
      </c>
      <c r="H4784" s="17">
        <v>15</v>
      </c>
      <c r="I4784" s="17">
        <v>2</v>
      </c>
      <c r="J4784" s="17">
        <v>90</v>
      </c>
      <c r="K4784" s="10">
        <v>6290</v>
      </c>
      <c r="P4784" s="17">
        <v>1</v>
      </c>
      <c r="Q4784" s="19">
        <v>6290</v>
      </c>
      <c r="R4784" s="14">
        <v>200</v>
      </c>
      <c r="S4784" s="19">
        <v>1258000</v>
      </c>
      <c r="AJ4784" s="19">
        <v>0</v>
      </c>
      <c r="AK4784" s="23">
        <v>0</v>
      </c>
      <c r="AM4784" s="19">
        <v>0</v>
      </c>
      <c r="AN4784" s="19">
        <v>1258000</v>
      </c>
      <c r="AP4784" s="14">
        <v>1258000</v>
      </c>
      <c r="AQ4784" s="12">
        <v>1E-4</v>
      </c>
    </row>
    <row r="4785" spans="1:45" ht="63" x14ac:dyDescent="0.2">
      <c r="A4785" s="121">
        <f t="shared" ref="A4785:A4791" si="554">+A4784+1</f>
        <v>4032</v>
      </c>
      <c r="B4785" s="13">
        <v>1</v>
      </c>
      <c r="C4785" s="17" t="s">
        <v>52</v>
      </c>
      <c r="D4785" s="17">
        <v>399</v>
      </c>
      <c r="E4785" s="17">
        <v>505</v>
      </c>
      <c r="F4785" s="17">
        <v>38</v>
      </c>
      <c r="G4785" s="13">
        <v>2</v>
      </c>
      <c r="H4785" s="17">
        <v>0</v>
      </c>
      <c r="I4785" s="17">
        <v>0</v>
      </c>
      <c r="J4785" s="17">
        <v>77.02</v>
      </c>
      <c r="L4785" s="17">
        <v>77.02</v>
      </c>
      <c r="P4785" s="17">
        <v>2</v>
      </c>
      <c r="Q4785" s="19">
        <v>77.02</v>
      </c>
      <c r="R4785" s="14">
        <v>2000</v>
      </c>
      <c r="S4785" s="19">
        <v>154040</v>
      </c>
      <c r="U4785" s="17" t="s">
        <v>57</v>
      </c>
      <c r="V4785" s="17" t="s">
        <v>56</v>
      </c>
      <c r="W4785" s="4">
        <v>160</v>
      </c>
      <c r="Z4785" s="17">
        <v>200</v>
      </c>
      <c r="AE4785" s="17" t="s">
        <v>362</v>
      </c>
      <c r="AF4785" s="14">
        <v>3</v>
      </c>
      <c r="AG4785" s="54">
        <v>200</v>
      </c>
      <c r="AH4785" s="11">
        <v>1</v>
      </c>
      <c r="AI4785" s="14">
        <v>7250</v>
      </c>
      <c r="AJ4785" s="19">
        <v>1450000</v>
      </c>
      <c r="AK4785" s="23">
        <v>10</v>
      </c>
      <c r="AL4785" s="11">
        <v>0.1</v>
      </c>
      <c r="AM4785" s="19">
        <v>1305000</v>
      </c>
      <c r="AN4785" s="19">
        <v>1459040</v>
      </c>
      <c r="AP4785" s="14">
        <v>1459040</v>
      </c>
      <c r="AQ4785" s="12">
        <v>3.0000000000000001E-3</v>
      </c>
    </row>
    <row r="4786" spans="1:45" x14ac:dyDescent="0.2">
      <c r="A4786" s="121">
        <f t="shared" si="554"/>
        <v>4033</v>
      </c>
      <c r="B4786" s="13">
        <v>1</v>
      </c>
      <c r="C4786" s="17" t="s">
        <v>52</v>
      </c>
      <c r="D4786" s="17">
        <v>411</v>
      </c>
      <c r="E4786" s="17">
        <v>506</v>
      </c>
      <c r="F4786" s="17">
        <v>4</v>
      </c>
      <c r="G4786" s="13">
        <v>2</v>
      </c>
      <c r="H4786" s="17">
        <v>0</v>
      </c>
      <c r="I4786" s="17">
        <v>1</v>
      </c>
      <c r="J4786" s="17">
        <v>39.020000000000003</v>
      </c>
      <c r="L4786" s="17">
        <v>139.02000000000001</v>
      </c>
      <c r="P4786" s="17">
        <v>2</v>
      </c>
      <c r="Q4786" s="19">
        <v>139.02000000000001</v>
      </c>
      <c r="R4786" s="14">
        <v>1100</v>
      </c>
      <c r="S4786" s="19">
        <v>152922</v>
      </c>
      <c r="AJ4786" s="19">
        <v>0</v>
      </c>
      <c r="AK4786" s="23">
        <v>0</v>
      </c>
      <c r="AM4786" s="19">
        <v>0</v>
      </c>
      <c r="AN4786" s="19">
        <v>152922</v>
      </c>
      <c r="AP4786" s="14">
        <v>152922</v>
      </c>
      <c r="AS4786" s="26">
        <v>6000</v>
      </c>
    </row>
    <row r="4787" spans="1:45" x14ac:dyDescent="0.2">
      <c r="A4787" s="121">
        <f t="shared" si="554"/>
        <v>4034</v>
      </c>
      <c r="B4787" s="13">
        <v>1</v>
      </c>
      <c r="C4787" s="17" t="s">
        <v>52</v>
      </c>
      <c r="D4787" s="17">
        <v>2467</v>
      </c>
      <c r="E4787" s="17">
        <v>39</v>
      </c>
      <c r="F4787" s="17">
        <v>1304</v>
      </c>
      <c r="G4787" s="13">
        <v>2</v>
      </c>
      <c r="H4787" s="17">
        <v>20</v>
      </c>
      <c r="I4787" s="17">
        <v>1</v>
      </c>
      <c r="J4787" s="17">
        <v>31</v>
      </c>
      <c r="K4787" s="10">
        <v>8131</v>
      </c>
      <c r="P4787" s="17">
        <v>1</v>
      </c>
      <c r="Q4787" s="19">
        <v>8131</v>
      </c>
      <c r="R4787" s="14">
        <v>160</v>
      </c>
      <c r="S4787" s="19">
        <v>1300960</v>
      </c>
      <c r="AJ4787" s="19">
        <v>0</v>
      </c>
      <c r="AK4787" s="23">
        <v>0</v>
      </c>
      <c r="AM4787" s="19">
        <v>0</v>
      </c>
      <c r="AN4787" s="19">
        <v>1300960</v>
      </c>
      <c r="AP4787" s="14">
        <v>1300960</v>
      </c>
    </row>
    <row r="4788" spans="1:45" x14ac:dyDescent="0.2">
      <c r="A4788" s="121">
        <f t="shared" si="554"/>
        <v>4035</v>
      </c>
      <c r="B4788" s="13">
        <v>2</v>
      </c>
      <c r="C4788" s="17" t="s">
        <v>52</v>
      </c>
      <c r="D4788" s="17">
        <v>500</v>
      </c>
      <c r="E4788" s="17">
        <v>501</v>
      </c>
      <c r="F4788" s="17">
        <v>29</v>
      </c>
      <c r="G4788" s="13">
        <v>3</v>
      </c>
      <c r="H4788" s="17">
        <v>11</v>
      </c>
      <c r="I4788" s="17">
        <v>2</v>
      </c>
      <c r="J4788" s="17">
        <v>64.05</v>
      </c>
      <c r="K4788" s="10">
        <v>4664.05</v>
      </c>
      <c r="P4788" s="17">
        <v>1</v>
      </c>
      <c r="Q4788" s="19">
        <v>4664.05</v>
      </c>
      <c r="R4788" s="14">
        <v>160</v>
      </c>
      <c r="S4788" s="19">
        <v>746248</v>
      </c>
      <c r="AJ4788" s="19">
        <v>0</v>
      </c>
      <c r="AK4788" s="23">
        <v>0</v>
      </c>
      <c r="AM4788" s="19">
        <v>0</v>
      </c>
      <c r="AN4788" s="19">
        <v>746248</v>
      </c>
      <c r="AP4788" s="14">
        <v>746248</v>
      </c>
    </row>
    <row r="4789" spans="1:45" x14ac:dyDescent="0.2">
      <c r="A4789" s="121">
        <f t="shared" si="554"/>
        <v>4036</v>
      </c>
      <c r="B4789" s="13">
        <v>3</v>
      </c>
      <c r="C4789" s="17" t="s">
        <v>52</v>
      </c>
      <c r="D4789" s="17">
        <v>1836</v>
      </c>
      <c r="E4789" s="17">
        <v>85</v>
      </c>
      <c r="F4789" s="17">
        <v>1226</v>
      </c>
      <c r="H4789" s="17">
        <v>1</v>
      </c>
      <c r="I4789" s="17">
        <v>0</v>
      </c>
      <c r="J4789" s="17">
        <v>11</v>
      </c>
      <c r="N4789" s="18">
        <v>411</v>
      </c>
      <c r="P4789" s="17">
        <v>4</v>
      </c>
      <c r="Q4789" s="19">
        <v>411</v>
      </c>
      <c r="R4789" s="14">
        <v>2000</v>
      </c>
      <c r="S4789" s="19">
        <v>822000</v>
      </c>
      <c r="AJ4789" s="19">
        <v>0</v>
      </c>
      <c r="AK4789" s="23">
        <v>0</v>
      </c>
      <c r="AM4789" s="19">
        <v>0</v>
      </c>
      <c r="AN4789" s="19">
        <v>822000</v>
      </c>
      <c r="AP4789" s="14">
        <v>822000</v>
      </c>
      <c r="AQ4789" s="12">
        <v>3.0000000000000001E-3</v>
      </c>
    </row>
    <row r="4790" spans="1:45" x14ac:dyDescent="0.2">
      <c r="A4790" s="121">
        <f t="shared" si="554"/>
        <v>4037</v>
      </c>
      <c r="B4790" s="13">
        <v>4</v>
      </c>
      <c r="C4790" s="17" t="s">
        <v>65</v>
      </c>
      <c r="D4790" s="17">
        <v>1266</v>
      </c>
      <c r="E4790" s="17">
        <v>124</v>
      </c>
      <c r="H4790" s="17">
        <v>18</v>
      </c>
      <c r="I4790" s="17">
        <v>1</v>
      </c>
      <c r="J4790" s="17">
        <v>34</v>
      </c>
      <c r="K4790" s="10">
        <v>7334</v>
      </c>
      <c r="Q4790" s="19">
        <v>7334</v>
      </c>
      <c r="R4790" s="14">
        <v>160</v>
      </c>
      <c r="S4790" s="19">
        <v>1173440</v>
      </c>
      <c r="AE4790" s="17" t="s">
        <v>94</v>
      </c>
      <c r="AJ4790" s="19">
        <v>0</v>
      </c>
      <c r="AK4790" s="23">
        <v>0</v>
      </c>
      <c r="AM4790" s="19">
        <v>0</v>
      </c>
      <c r="AN4790" s="19">
        <v>1173440</v>
      </c>
      <c r="AP4790" s="14">
        <v>1173440</v>
      </c>
      <c r="AQ4790" s="12">
        <v>1E-4</v>
      </c>
    </row>
    <row r="4791" spans="1:45" x14ac:dyDescent="0.2">
      <c r="A4791" s="121">
        <f t="shared" si="554"/>
        <v>4038</v>
      </c>
      <c r="B4791" s="13">
        <v>1</v>
      </c>
      <c r="C4791" s="17" t="s">
        <v>52</v>
      </c>
      <c r="D4791" s="17">
        <v>17699</v>
      </c>
      <c r="E4791" s="17">
        <v>37</v>
      </c>
      <c r="F4791" s="17">
        <v>3827</v>
      </c>
      <c r="G4791" s="13">
        <v>3</v>
      </c>
      <c r="H4791" s="17">
        <v>0</v>
      </c>
      <c r="I4791" s="17">
        <v>0</v>
      </c>
      <c r="J4791" s="17">
        <v>99</v>
      </c>
      <c r="K4791" s="10">
        <v>99</v>
      </c>
      <c r="P4791" s="17">
        <v>1</v>
      </c>
      <c r="Q4791" s="19">
        <v>99</v>
      </c>
      <c r="R4791" s="14">
        <v>2000</v>
      </c>
      <c r="S4791" s="19">
        <v>198000</v>
      </c>
      <c r="AJ4791" s="19">
        <v>0</v>
      </c>
      <c r="AK4791" s="23">
        <v>0</v>
      </c>
      <c r="AM4791" s="19">
        <v>0</v>
      </c>
      <c r="AN4791" s="19">
        <v>198000</v>
      </c>
      <c r="AP4791" s="14">
        <v>198000</v>
      </c>
    </row>
    <row r="4792" spans="1:45" x14ac:dyDescent="0.2">
      <c r="B4792" s="13">
        <v>2</v>
      </c>
      <c r="C4792" s="17" t="s">
        <v>65</v>
      </c>
      <c r="D4792" s="17">
        <v>3461</v>
      </c>
      <c r="E4792" s="17">
        <v>254</v>
      </c>
      <c r="H4792" s="17">
        <v>0</v>
      </c>
      <c r="I4792" s="17">
        <v>0</v>
      </c>
      <c r="J4792" s="17">
        <v>87</v>
      </c>
      <c r="N4792" s="18">
        <v>87</v>
      </c>
      <c r="Q4792" s="19">
        <v>87</v>
      </c>
      <c r="R4792" s="14" t="e">
        <v>#N/A</v>
      </c>
      <c r="S4792" s="19" t="e">
        <v>#N/A</v>
      </c>
      <c r="AE4792" s="17" t="s">
        <v>95</v>
      </c>
      <c r="AJ4792" s="19">
        <v>0</v>
      </c>
      <c r="AK4792" s="23">
        <v>0</v>
      </c>
      <c r="AM4792" s="19">
        <v>0</v>
      </c>
      <c r="AN4792" s="19" t="e">
        <v>#N/A</v>
      </c>
      <c r="AP4792" s="14" t="e">
        <v>#N/A</v>
      </c>
      <c r="AQ4792" s="12">
        <v>3.0000000000000001E-3</v>
      </c>
    </row>
    <row r="4793" spans="1:45" x14ac:dyDescent="0.2">
      <c r="A4793" s="2">
        <v>4039</v>
      </c>
      <c r="B4793" s="13">
        <v>1</v>
      </c>
      <c r="C4793" s="17" t="s">
        <v>52</v>
      </c>
      <c r="D4793" s="17">
        <v>3019</v>
      </c>
      <c r="E4793" s="17">
        <v>52</v>
      </c>
      <c r="F4793" s="17">
        <v>2087</v>
      </c>
      <c r="G4793" s="13">
        <v>2</v>
      </c>
      <c r="H4793" s="17">
        <v>2</v>
      </c>
      <c r="I4793" s="17">
        <v>1</v>
      </c>
      <c r="J4793" s="17">
        <v>15</v>
      </c>
      <c r="K4793" s="10">
        <v>915</v>
      </c>
      <c r="P4793" s="17">
        <v>1</v>
      </c>
      <c r="Q4793" s="19">
        <v>915</v>
      </c>
      <c r="R4793" s="14">
        <v>200</v>
      </c>
      <c r="S4793" s="19">
        <v>183000</v>
      </c>
      <c r="AJ4793" s="19">
        <v>0</v>
      </c>
      <c r="AK4793" s="23">
        <v>0</v>
      </c>
      <c r="AM4793" s="19">
        <v>0</v>
      </c>
      <c r="AN4793" s="19">
        <v>183000</v>
      </c>
      <c r="AP4793" s="14">
        <v>183000</v>
      </c>
    </row>
    <row r="4794" spans="1:45" x14ac:dyDescent="0.2">
      <c r="A4794" s="2">
        <f>+A4793+1</f>
        <v>4040</v>
      </c>
      <c r="B4794" s="13">
        <v>2</v>
      </c>
      <c r="C4794" s="17" t="s">
        <v>52</v>
      </c>
      <c r="D4794" s="17">
        <v>23434</v>
      </c>
      <c r="E4794" s="17">
        <v>146</v>
      </c>
      <c r="F4794" s="17">
        <v>4386</v>
      </c>
      <c r="G4794" s="13">
        <v>2</v>
      </c>
      <c r="H4794" s="17">
        <v>2</v>
      </c>
      <c r="I4794" s="17">
        <v>2</v>
      </c>
      <c r="J4794" s="17">
        <v>87</v>
      </c>
      <c r="K4794" s="10">
        <v>1087</v>
      </c>
      <c r="P4794" s="17">
        <v>1</v>
      </c>
      <c r="Q4794" s="19">
        <v>1087</v>
      </c>
      <c r="R4794" s="14">
        <v>200</v>
      </c>
      <c r="S4794" s="19">
        <v>217400</v>
      </c>
      <c r="AJ4794" s="19">
        <v>0</v>
      </c>
      <c r="AK4794" s="23">
        <v>0</v>
      </c>
      <c r="AM4794" s="19">
        <v>0</v>
      </c>
      <c r="AN4794" s="19">
        <v>217400</v>
      </c>
      <c r="AP4794" s="14">
        <v>217400</v>
      </c>
    </row>
    <row r="4795" spans="1:45" x14ac:dyDescent="0.2">
      <c r="A4795" s="121">
        <f t="shared" ref="A4795:A4809" si="555">+A4794+1</f>
        <v>4041</v>
      </c>
      <c r="B4795" s="13">
        <v>3</v>
      </c>
      <c r="C4795" s="17" t="s">
        <v>69</v>
      </c>
      <c r="E4795" s="17">
        <v>151</v>
      </c>
      <c r="F4795" s="17">
        <v>11</v>
      </c>
      <c r="G4795" s="13">
        <v>2</v>
      </c>
      <c r="H4795" s="17">
        <v>15</v>
      </c>
      <c r="I4795" s="17">
        <v>1</v>
      </c>
      <c r="J4795" s="17">
        <v>67</v>
      </c>
      <c r="K4795" s="10">
        <v>6167</v>
      </c>
      <c r="P4795" s="17">
        <v>1</v>
      </c>
      <c r="Q4795" s="19">
        <v>6167</v>
      </c>
      <c r="R4795" s="14">
        <v>160</v>
      </c>
      <c r="S4795" s="19">
        <v>986720</v>
      </c>
      <c r="AJ4795" s="19">
        <v>0</v>
      </c>
      <c r="AK4795" s="23">
        <v>0</v>
      </c>
      <c r="AM4795" s="19">
        <v>0</v>
      </c>
      <c r="AN4795" s="19">
        <v>986720</v>
      </c>
      <c r="AP4795" s="14">
        <v>986720</v>
      </c>
      <c r="AQ4795" s="12">
        <v>1E-4</v>
      </c>
    </row>
    <row r="4796" spans="1:45" x14ac:dyDescent="0.2">
      <c r="A4796" s="121">
        <f t="shared" si="555"/>
        <v>4042</v>
      </c>
      <c r="B4796" s="13">
        <v>1</v>
      </c>
      <c r="C4796" s="17" t="s">
        <v>52</v>
      </c>
      <c r="D4796" s="17">
        <v>2992</v>
      </c>
      <c r="E4796" s="17">
        <v>8</v>
      </c>
      <c r="F4796" s="17">
        <v>2060</v>
      </c>
      <c r="G4796" s="13">
        <v>2</v>
      </c>
      <c r="H4796" s="17">
        <v>0</v>
      </c>
      <c r="I4796" s="17">
        <v>3</v>
      </c>
      <c r="J4796" s="17">
        <v>27</v>
      </c>
      <c r="K4796" s="10">
        <v>327</v>
      </c>
      <c r="P4796" s="17">
        <v>1</v>
      </c>
      <c r="Q4796" s="19">
        <v>327</v>
      </c>
      <c r="R4796" s="14">
        <v>250</v>
      </c>
      <c r="S4796" s="19">
        <v>81750</v>
      </c>
      <c r="AJ4796" s="19">
        <v>0</v>
      </c>
      <c r="AK4796" s="23">
        <v>0</v>
      </c>
      <c r="AM4796" s="19">
        <v>0</v>
      </c>
      <c r="AN4796" s="19">
        <v>81750</v>
      </c>
      <c r="AP4796" s="14">
        <v>81750</v>
      </c>
    </row>
    <row r="4797" spans="1:45" x14ac:dyDescent="0.2">
      <c r="A4797" s="121">
        <f t="shared" si="555"/>
        <v>4043</v>
      </c>
      <c r="B4797" s="13">
        <v>2</v>
      </c>
      <c r="C4797" s="17" t="s">
        <v>52</v>
      </c>
      <c r="D4797" s="17">
        <v>3747</v>
      </c>
      <c r="E4797" s="17">
        <v>6</v>
      </c>
      <c r="F4797" s="17">
        <v>2269</v>
      </c>
      <c r="G4797" s="13">
        <v>2</v>
      </c>
      <c r="H4797" s="17">
        <v>5</v>
      </c>
      <c r="I4797" s="17">
        <v>3</v>
      </c>
      <c r="J4797" s="17">
        <v>33</v>
      </c>
      <c r="K4797" s="10">
        <v>2333</v>
      </c>
      <c r="P4797" s="17">
        <v>1</v>
      </c>
      <c r="Q4797" s="19">
        <v>2333</v>
      </c>
      <c r="R4797" s="14">
        <v>200</v>
      </c>
      <c r="S4797" s="19">
        <v>466600</v>
      </c>
      <c r="AJ4797" s="19">
        <v>0</v>
      </c>
      <c r="AK4797" s="23">
        <v>0</v>
      </c>
      <c r="AM4797" s="19">
        <v>0</v>
      </c>
      <c r="AN4797" s="19">
        <v>466600</v>
      </c>
      <c r="AP4797" s="14">
        <v>466600</v>
      </c>
    </row>
    <row r="4798" spans="1:45" ht="63" x14ac:dyDescent="0.2">
      <c r="A4798" s="121">
        <f t="shared" si="555"/>
        <v>4044</v>
      </c>
      <c r="B4798" s="13">
        <v>3</v>
      </c>
      <c r="C4798" s="17" t="s">
        <v>52</v>
      </c>
      <c r="D4798" s="17">
        <v>35024</v>
      </c>
      <c r="E4798" s="17">
        <v>89</v>
      </c>
      <c r="F4798" s="17">
        <v>6871</v>
      </c>
      <c r="G4798" s="13">
        <v>2</v>
      </c>
      <c r="H4798" s="17">
        <v>0</v>
      </c>
      <c r="I4798" s="17">
        <v>3</v>
      </c>
      <c r="J4798" s="17">
        <v>96.02</v>
      </c>
      <c r="L4798" s="17">
        <v>396.02</v>
      </c>
      <c r="P4798" s="17">
        <v>2</v>
      </c>
      <c r="Q4798" s="19">
        <v>396.02</v>
      </c>
      <c r="R4798" s="14">
        <v>200</v>
      </c>
      <c r="S4798" s="19">
        <v>79204</v>
      </c>
      <c r="T4798" s="17">
        <v>1</v>
      </c>
      <c r="U4798" s="17" t="s">
        <v>57</v>
      </c>
      <c r="V4798" s="17" t="s">
        <v>56</v>
      </c>
      <c r="W4798" s="4">
        <v>48</v>
      </c>
      <c r="Y4798" s="4">
        <v>48</v>
      </c>
      <c r="AB4798" s="17">
        <v>2</v>
      </c>
      <c r="AJ4798" s="19">
        <v>0</v>
      </c>
      <c r="AK4798" s="23">
        <v>2</v>
      </c>
      <c r="AM4798" s="19">
        <v>0</v>
      </c>
      <c r="AN4798" s="19">
        <v>79204</v>
      </c>
      <c r="AP4798" s="14">
        <v>79204</v>
      </c>
    </row>
    <row r="4799" spans="1:45" x14ac:dyDescent="0.2">
      <c r="A4799" s="121">
        <f t="shared" si="555"/>
        <v>4045</v>
      </c>
      <c r="B4799" s="13">
        <v>4</v>
      </c>
      <c r="C4799" s="17" t="s">
        <v>69</v>
      </c>
      <c r="E4799" s="17">
        <v>152</v>
      </c>
      <c r="F4799" s="17">
        <v>11</v>
      </c>
      <c r="G4799" s="13">
        <v>2</v>
      </c>
      <c r="H4799" s="17">
        <v>7</v>
      </c>
      <c r="I4799" s="17">
        <v>0</v>
      </c>
      <c r="J4799" s="17">
        <v>7</v>
      </c>
      <c r="K4799" s="10">
        <v>2807</v>
      </c>
      <c r="P4799" s="17">
        <v>1</v>
      </c>
      <c r="Q4799" s="19">
        <v>2807</v>
      </c>
      <c r="R4799" s="14">
        <v>200</v>
      </c>
      <c r="S4799" s="19">
        <v>561400</v>
      </c>
      <c r="AJ4799" s="19">
        <v>0</v>
      </c>
      <c r="AK4799" s="23">
        <v>0</v>
      </c>
      <c r="AM4799" s="19">
        <v>0</v>
      </c>
      <c r="AN4799" s="19">
        <v>561400</v>
      </c>
      <c r="AP4799" s="14">
        <v>561400</v>
      </c>
      <c r="AQ4799" s="12">
        <v>1E-4</v>
      </c>
    </row>
    <row r="4800" spans="1:45" x14ac:dyDescent="0.2">
      <c r="A4800" s="121">
        <f t="shared" si="555"/>
        <v>4046</v>
      </c>
      <c r="B4800" s="13">
        <v>5</v>
      </c>
      <c r="C4800" s="17" t="s">
        <v>69</v>
      </c>
      <c r="E4800" s="17">
        <v>154</v>
      </c>
      <c r="F4800" s="17">
        <v>8</v>
      </c>
      <c r="G4800" s="13">
        <v>2</v>
      </c>
      <c r="H4800" s="17">
        <v>0</v>
      </c>
      <c r="I4800" s="17">
        <v>3</v>
      </c>
      <c r="J4800" s="17">
        <v>96</v>
      </c>
      <c r="K4800" s="10">
        <v>396</v>
      </c>
      <c r="P4800" s="17">
        <v>1</v>
      </c>
      <c r="Q4800" s="19">
        <v>396</v>
      </c>
      <c r="R4800" s="14">
        <v>200</v>
      </c>
      <c r="S4800" s="19">
        <v>79200</v>
      </c>
      <c r="AJ4800" s="19">
        <v>0</v>
      </c>
      <c r="AK4800" s="23">
        <v>0</v>
      </c>
      <c r="AM4800" s="19">
        <v>0</v>
      </c>
      <c r="AN4800" s="19">
        <v>79200</v>
      </c>
      <c r="AP4800" s="14">
        <v>79200</v>
      </c>
      <c r="AQ4800" s="12">
        <v>1E-4</v>
      </c>
    </row>
    <row r="4801" spans="1:45" x14ac:dyDescent="0.2">
      <c r="A4801" s="121">
        <f t="shared" si="555"/>
        <v>4047</v>
      </c>
      <c r="B4801" s="13">
        <v>6</v>
      </c>
      <c r="C4801" s="17" t="s">
        <v>69</v>
      </c>
      <c r="E4801" s="17">
        <v>160</v>
      </c>
      <c r="F4801" s="17">
        <v>2</v>
      </c>
      <c r="G4801" s="13">
        <v>1</v>
      </c>
      <c r="H4801" s="17">
        <v>3</v>
      </c>
      <c r="I4801" s="17">
        <v>0</v>
      </c>
      <c r="J4801" s="17">
        <v>54</v>
      </c>
      <c r="K4801" s="10">
        <v>1254</v>
      </c>
      <c r="P4801" s="17">
        <v>1</v>
      </c>
      <c r="Q4801" s="19">
        <v>1254</v>
      </c>
      <c r="R4801" s="14">
        <v>200</v>
      </c>
      <c r="S4801" s="19">
        <v>250800</v>
      </c>
      <c r="AJ4801" s="19">
        <v>0</v>
      </c>
      <c r="AK4801" s="23">
        <v>0</v>
      </c>
      <c r="AM4801" s="19">
        <v>0</v>
      </c>
      <c r="AN4801" s="19">
        <v>250800</v>
      </c>
      <c r="AP4801" s="14">
        <v>250800</v>
      </c>
      <c r="AQ4801" s="12">
        <v>1E-4</v>
      </c>
    </row>
    <row r="4802" spans="1:45" x14ac:dyDescent="0.2">
      <c r="A4802" s="121">
        <f t="shared" si="555"/>
        <v>4048</v>
      </c>
      <c r="B4802" s="13">
        <v>1</v>
      </c>
      <c r="C4802" s="17" t="s">
        <v>52</v>
      </c>
      <c r="D4802" s="17">
        <v>3416</v>
      </c>
      <c r="E4802" s="17">
        <v>102</v>
      </c>
      <c r="F4802" s="17">
        <v>2190</v>
      </c>
      <c r="G4802" s="13">
        <v>2</v>
      </c>
      <c r="H4802" s="17">
        <v>0</v>
      </c>
      <c r="I4802" s="17">
        <v>0</v>
      </c>
      <c r="J4802" s="17">
        <v>97</v>
      </c>
      <c r="N4802" s="18">
        <v>97</v>
      </c>
      <c r="P4802" s="17">
        <v>4</v>
      </c>
      <c r="Q4802" s="19">
        <v>97</v>
      </c>
      <c r="R4802" s="14">
        <v>200</v>
      </c>
      <c r="S4802" s="19">
        <v>19400</v>
      </c>
      <c r="AJ4802" s="19">
        <v>0</v>
      </c>
      <c r="AK4802" s="23">
        <v>0</v>
      </c>
      <c r="AM4802" s="19">
        <v>0</v>
      </c>
      <c r="AN4802" s="19">
        <v>19400</v>
      </c>
      <c r="AP4802" s="14">
        <v>19400</v>
      </c>
      <c r="AQ4802" s="12">
        <v>3.0000000000000001E-3</v>
      </c>
    </row>
    <row r="4803" spans="1:45" ht="63" x14ac:dyDescent="0.2">
      <c r="A4803" s="121">
        <f t="shared" si="555"/>
        <v>4049</v>
      </c>
      <c r="B4803" s="13">
        <v>2</v>
      </c>
      <c r="C4803" s="17" t="s">
        <v>52</v>
      </c>
      <c r="D4803" s="17">
        <v>35022</v>
      </c>
      <c r="E4803" s="17">
        <v>87</v>
      </c>
      <c r="F4803" s="17">
        <v>6869</v>
      </c>
      <c r="G4803" s="13">
        <v>2</v>
      </c>
      <c r="H4803" s="17">
        <v>1</v>
      </c>
      <c r="I4803" s="17">
        <v>1</v>
      </c>
      <c r="J4803" s="17">
        <v>21.05</v>
      </c>
      <c r="L4803" s="17">
        <v>521.04999999999995</v>
      </c>
      <c r="P4803" s="17">
        <v>2</v>
      </c>
      <c r="Q4803" s="19">
        <v>521.04999999999995</v>
      </c>
      <c r="R4803" s="14">
        <v>200</v>
      </c>
      <c r="S4803" s="19">
        <v>104209.99999999999</v>
      </c>
      <c r="T4803" s="17">
        <v>1</v>
      </c>
      <c r="U4803" s="17" t="s">
        <v>57</v>
      </c>
      <c r="V4803" s="17" t="s">
        <v>56</v>
      </c>
      <c r="W4803" s="4">
        <v>120</v>
      </c>
      <c r="Y4803" s="4">
        <v>120</v>
      </c>
      <c r="AB4803" s="17">
        <v>2</v>
      </c>
      <c r="AJ4803" s="19">
        <v>0</v>
      </c>
      <c r="AK4803" s="23">
        <v>2</v>
      </c>
      <c r="AM4803" s="19">
        <v>0</v>
      </c>
      <c r="AN4803" s="19">
        <v>104209.99999999999</v>
      </c>
      <c r="AP4803" s="14">
        <v>104209.99999999999</v>
      </c>
    </row>
    <row r="4804" spans="1:45" x14ac:dyDescent="0.2">
      <c r="A4804" s="121">
        <f t="shared" si="555"/>
        <v>4050</v>
      </c>
      <c r="B4804" s="13">
        <v>3</v>
      </c>
      <c r="C4804" s="17" t="s">
        <v>52</v>
      </c>
      <c r="D4804" s="17">
        <v>1868</v>
      </c>
      <c r="E4804" s="17">
        <v>109</v>
      </c>
      <c r="F4804" s="17">
        <v>1258</v>
      </c>
      <c r="H4804" s="17">
        <v>3</v>
      </c>
      <c r="I4804" s="17">
        <v>1</v>
      </c>
      <c r="J4804" s="17">
        <v>22</v>
      </c>
      <c r="K4804" s="10">
        <v>1322</v>
      </c>
      <c r="P4804" s="17">
        <v>1</v>
      </c>
      <c r="Q4804" s="19">
        <v>1322</v>
      </c>
      <c r="R4804" s="14">
        <v>160</v>
      </c>
      <c r="S4804" s="19">
        <v>211520</v>
      </c>
      <c r="AJ4804" s="19">
        <v>0</v>
      </c>
      <c r="AK4804" s="23">
        <v>0</v>
      </c>
      <c r="AM4804" s="19">
        <v>0</v>
      </c>
      <c r="AN4804" s="19">
        <v>211520</v>
      </c>
      <c r="AP4804" s="14">
        <v>211520</v>
      </c>
    </row>
    <row r="4805" spans="1:45" x14ac:dyDescent="0.2">
      <c r="A4805" s="121">
        <f t="shared" si="555"/>
        <v>4051</v>
      </c>
      <c r="B4805" s="13">
        <v>1</v>
      </c>
      <c r="C4805" s="17" t="s">
        <v>52</v>
      </c>
      <c r="D4805" s="17">
        <v>3184</v>
      </c>
      <c r="E4805" s="17">
        <v>29</v>
      </c>
      <c r="F4805" s="17">
        <v>2116</v>
      </c>
      <c r="G4805" s="13">
        <v>2</v>
      </c>
      <c r="H4805" s="17">
        <v>5</v>
      </c>
      <c r="I4805" s="17">
        <v>1</v>
      </c>
      <c r="J4805" s="17">
        <v>85</v>
      </c>
      <c r="K4805" s="10">
        <v>2185</v>
      </c>
      <c r="P4805" s="17">
        <v>1</v>
      </c>
      <c r="Q4805" s="19">
        <v>2185</v>
      </c>
      <c r="R4805" s="14">
        <v>160</v>
      </c>
      <c r="S4805" s="19">
        <v>349600</v>
      </c>
      <c r="AJ4805" s="19">
        <v>0</v>
      </c>
      <c r="AK4805" s="23">
        <v>0</v>
      </c>
      <c r="AM4805" s="19">
        <v>0</v>
      </c>
      <c r="AN4805" s="19">
        <v>349600</v>
      </c>
      <c r="AP4805" s="14">
        <v>349600</v>
      </c>
    </row>
    <row r="4806" spans="1:45" ht="63" x14ac:dyDescent="0.2">
      <c r="A4806" s="121">
        <f t="shared" si="555"/>
        <v>4052</v>
      </c>
      <c r="B4806" s="13">
        <v>1</v>
      </c>
      <c r="C4806" s="17" t="s">
        <v>52</v>
      </c>
      <c r="D4806" s="17">
        <v>35023</v>
      </c>
      <c r="E4806" s="17">
        <v>88</v>
      </c>
      <c r="F4806" s="17">
        <v>6870</v>
      </c>
      <c r="G4806" s="13">
        <v>2</v>
      </c>
      <c r="H4806" s="17">
        <v>0</v>
      </c>
      <c r="I4806" s="17">
        <v>3</v>
      </c>
      <c r="J4806" s="17">
        <v>87.02</v>
      </c>
      <c r="L4806" s="17">
        <v>387.02</v>
      </c>
      <c r="P4806" s="17">
        <v>2</v>
      </c>
      <c r="Q4806" s="19">
        <v>387.02</v>
      </c>
      <c r="R4806" s="14">
        <v>200</v>
      </c>
      <c r="S4806" s="19">
        <v>77404</v>
      </c>
      <c r="T4806" s="17">
        <v>1</v>
      </c>
      <c r="U4806" s="17" t="s">
        <v>57</v>
      </c>
      <c r="V4806" s="17" t="s">
        <v>56</v>
      </c>
      <c r="W4806" s="4">
        <v>108</v>
      </c>
      <c r="Y4806" s="4">
        <v>108</v>
      </c>
      <c r="AB4806" s="17">
        <v>3</v>
      </c>
      <c r="AJ4806" s="19">
        <v>0</v>
      </c>
      <c r="AK4806" s="23">
        <v>3</v>
      </c>
      <c r="AM4806" s="19">
        <v>0</v>
      </c>
      <c r="AN4806" s="19">
        <v>77404</v>
      </c>
      <c r="AP4806" s="14">
        <v>77404</v>
      </c>
    </row>
    <row r="4807" spans="1:45" x14ac:dyDescent="0.2">
      <c r="A4807" s="121">
        <f t="shared" si="555"/>
        <v>4053</v>
      </c>
      <c r="B4807" s="13">
        <v>1</v>
      </c>
      <c r="C4807" s="17" t="s">
        <v>65</v>
      </c>
      <c r="D4807" s="17">
        <v>2022</v>
      </c>
      <c r="E4807" s="17">
        <v>119</v>
      </c>
      <c r="H4807" s="17">
        <v>37</v>
      </c>
      <c r="I4807" s="17">
        <v>0</v>
      </c>
      <c r="J4807" s="17">
        <v>66</v>
      </c>
      <c r="K4807" s="10">
        <v>14866</v>
      </c>
      <c r="P4807" s="17">
        <v>1</v>
      </c>
      <c r="Q4807" s="19">
        <v>14866</v>
      </c>
      <c r="R4807" s="14">
        <v>160</v>
      </c>
      <c r="S4807" s="19">
        <v>2378560</v>
      </c>
      <c r="AJ4807" s="19">
        <v>0</v>
      </c>
      <c r="AK4807" s="23">
        <v>0</v>
      </c>
      <c r="AM4807" s="19">
        <v>0</v>
      </c>
      <c r="AN4807" s="19">
        <v>2378560</v>
      </c>
      <c r="AP4807" s="14">
        <v>2378560</v>
      </c>
      <c r="AQ4807" s="12">
        <v>1E-4</v>
      </c>
      <c r="AS4807" s="26">
        <v>186</v>
      </c>
    </row>
    <row r="4808" spans="1:45" x14ac:dyDescent="0.2">
      <c r="A4808" s="121">
        <f t="shared" si="555"/>
        <v>4054</v>
      </c>
      <c r="B4808" s="13">
        <v>2</v>
      </c>
      <c r="C4808" s="17" t="s">
        <v>65</v>
      </c>
      <c r="D4808" s="17">
        <v>2035</v>
      </c>
      <c r="E4808" s="17">
        <v>160</v>
      </c>
      <c r="H4808" s="17">
        <v>16</v>
      </c>
      <c r="I4808" s="17">
        <v>3</v>
      </c>
      <c r="J4808" s="17">
        <v>0</v>
      </c>
      <c r="K4808" s="10">
        <v>6700</v>
      </c>
      <c r="P4808" s="17">
        <v>1</v>
      </c>
      <c r="Q4808" s="19">
        <v>6700</v>
      </c>
      <c r="R4808" s="14">
        <v>160</v>
      </c>
      <c r="S4808" s="19">
        <v>1072000</v>
      </c>
      <c r="AJ4808" s="19">
        <v>0</v>
      </c>
      <c r="AK4808" s="23">
        <v>0</v>
      </c>
      <c r="AM4808" s="19">
        <v>0</v>
      </c>
      <c r="AN4808" s="19">
        <v>1072000</v>
      </c>
      <c r="AP4808" s="14">
        <v>1072000</v>
      </c>
      <c r="AQ4808" s="12">
        <v>1E-4</v>
      </c>
    </row>
    <row r="4809" spans="1:45" ht="63" x14ac:dyDescent="0.2">
      <c r="A4809" s="121">
        <f t="shared" si="555"/>
        <v>4055</v>
      </c>
      <c r="B4809" s="13">
        <v>3</v>
      </c>
      <c r="C4809" s="17" t="s">
        <v>65</v>
      </c>
      <c r="D4809" s="17">
        <v>2395</v>
      </c>
      <c r="E4809" s="17">
        <v>257</v>
      </c>
      <c r="H4809" s="17">
        <v>0</v>
      </c>
      <c r="I4809" s="17">
        <v>1</v>
      </c>
      <c r="J4809" s="17">
        <v>10</v>
      </c>
      <c r="K4809" s="10">
        <v>110</v>
      </c>
      <c r="P4809" s="17">
        <v>1</v>
      </c>
      <c r="Q4809" s="19">
        <v>110</v>
      </c>
      <c r="R4809" s="14">
        <v>2000</v>
      </c>
      <c r="S4809" s="19">
        <v>220000</v>
      </c>
      <c r="T4809" s="17">
        <v>1</v>
      </c>
      <c r="U4809" s="17" t="s">
        <v>63</v>
      </c>
      <c r="V4809" s="17" t="s">
        <v>56</v>
      </c>
      <c r="W4809" s="4">
        <v>216</v>
      </c>
      <c r="AB4809" s="17">
        <v>35</v>
      </c>
      <c r="AE4809" s="17">
        <v>216</v>
      </c>
      <c r="AF4809" s="14">
        <v>2</v>
      </c>
      <c r="AG4809" s="54">
        <v>216</v>
      </c>
      <c r="AH4809" s="11">
        <v>0.56000000000000005</v>
      </c>
      <c r="AI4809" s="14">
        <v>7250</v>
      </c>
      <c r="AJ4809" s="19">
        <v>876960</v>
      </c>
      <c r="AK4809" s="23">
        <v>35</v>
      </c>
      <c r="AL4809" s="11">
        <v>0.6</v>
      </c>
      <c r="AM4809" s="19">
        <v>350784</v>
      </c>
      <c r="AN4809" s="19">
        <v>473984</v>
      </c>
      <c r="AP4809" s="14">
        <v>473984</v>
      </c>
      <c r="AQ4809" s="12">
        <v>1E-4</v>
      </c>
    </row>
    <row r="4810" spans="1:45" x14ac:dyDescent="0.2">
      <c r="AE4810" s="17">
        <v>96</v>
      </c>
      <c r="AF4810" s="14">
        <v>3</v>
      </c>
      <c r="AG4810" s="54">
        <v>216</v>
      </c>
      <c r="AH4810" s="11">
        <v>0.44</v>
      </c>
      <c r="AI4810" s="14">
        <v>7250</v>
      </c>
      <c r="AJ4810" s="19">
        <v>689040</v>
      </c>
      <c r="AK4810" s="23">
        <v>35</v>
      </c>
      <c r="AL4810" s="11">
        <v>0.6</v>
      </c>
      <c r="AM4810" s="19">
        <v>275616</v>
      </c>
      <c r="AN4810" s="19">
        <v>372416</v>
      </c>
      <c r="AP4810" s="14">
        <v>372416</v>
      </c>
      <c r="AQ4810" s="12">
        <v>3.0000000000000001E-3</v>
      </c>
    </row>
    <row r="4811" spans="1:45" x14ac:dyDescent="0.2">
      <c r="A4811" s="2">
        <v>4056</v>
      </c>
      <c r="B4811" s="13">
        <v>1</v>
      </c>
      <c r="C4811" s="17" t="s">
        <v>52</v>
      </c>
      <c r="D4811" s="17">
        <v>793</v>
      </c>
      <c r="E4811" s="17">
        <v>522</v>
      </c>
      <c r="F4811" s="17">
        <v>111</v>
      </c>
      <c r="G4811" s="13">
        <v>2</v>
      </c>
      <c r="H4811" s="17">
        <v>0</v>
      </c>
      <c r="I4811" s="17">
        <v>1</v>
      </c>
      <c r="J4811" s="17">
        <v>38.03</v>
      </c>
      <c r="N4811" s="18">
        <v>138.03</v>
      </c>
      <c r="P4811" s="17">
        <v>4</v>
      </c>
      <c r="Q4811" s="19">
        <v>138.03</v>
      </c>
      <c r="R4811" s="14">
        <v>250</v>
      </c>
      <c r="S4811" s="19">
        <v>34507.5</v>
      </c>
      <c r="AJ4811" s="19">
        <v>0</v>
      </c>
      <c r="AK4811" s="23">
        <v>0</v>
      </c>
      <c r="AM4811" s="19">
        <v>0</v>
      </c>
      <c r="AN4811" s="19">
        <v>34507.5</v>
      </c>
      <c r="AP4811" s="14">
        <v>34507.5</v>
      </c>
      <c r="AQ4811" s="12">
        <v>3.0000000000000001E-3</v>
      </c>
    </row>
    <row r="4812" spans="1:45" x14ac:dyDescent="0.2">
      <c r="A4812" s="2">
        <f>+A4811+1</f>
        <v>4057</v>
      </c>
      <c r="B4812" s="13">
        <v>2</v>
      </c>
      <c r="C4812" s="17" t="s">
        <v>65</v>
      </c>
      <c r="D4812" s="17">
        <v>2520</v>
      </c>
      <c r="E4812" s="17">
        <v>293</v>
      </c>
      <c r="H4812" s="17">
        <v>0</v>
      </c>
      <c r="I4812" s="17">
        <v>1</v>
      </c>
      <c r="J4812" s="17">
        <v>30</v>
      </c>
      <c r="K4812" s="10">
        <v>130</v>
      </c>
      <c r="P4812" s="17">
        <v>1</v>
      </c>
      <c r="Q4812" s="19">
        <v>130</v>
      </c>
      <c r="R4812" s="14">
        <v>250</v>
      </c>
      <c r="S4812" s="19">
        <v>32500</v>
      </c>
      <c r="AJ4812" s="19">
        <v>0</v>
      </c>
      <c r="AK4812" s="23">
        <v>0</v>
      </c>
      <c r="AM4812" s="19">
        <v>0</v>
      </c>
      <c r="AN4812" s="19">
        <v>32500</v>
      </c>
      <c r="AP4812" s="14">
        <v>32500</v>
      </c>
    </row>
    <row r="4813" spans="1:45" x14ac:dyDescent="0.2">
      <c r="A4813" s="121">
        <f t="shared" ref="A4813:A4814" si="556">+A4812+1</f>
        <v>4058</v>
      </c>
      <c r="B4813" s="13">
        <v>1</v>
      </c>
      <c r="C4813" s="17" t="s">
        <v>52</v>
      </c>
      <c r="D4813" s="17">
        <v>28200</v>
      </c>
      <c r="E4813" s="17">
        <v>182</v>
      </c>
      <c r="F4813" s="17">
        <v>5054</v>
      </c>
      <c r="G4813" s="13">
        <v>2</v>
      </c>
      <c r="H4813" s="17">
        <v>10</v>
      </c>
      <c r="I4813" s="17">
        <v>0</v>
      </c>
      <c r="J4813" s="17">
        <v>31</v>
      </c>
      <c r="K4813" s="10">
        <v>4031</v>
      </c>
      <c r="P4813" s="17">
        <v>1</v>
      </c>
      <c r="Q4813" s="19">
        <v>4031</v>
      </c>
      <c r="R4813" s="14">
        <v>160</v>
      </c>
      <c r="S4813" s="19">
        <v>644960</v>
      </c>
      <c r="AJ4813" s="19">
        <v>0</v>
      </c>
      <c r="AK4813" s="23">
        <v>0</v>
      </c>
      <c r="AM4813" s="19">
        <v>0</v>
      </c>
      <c r="AN4813" s="19">
        <v>644960</v>
      </c>
      <c r="AP4813" s="14">
        <v>644960</v>
      </c>
      <c r="AS4813" s="26">
        <v>3038</v>
      </c>
    </row>
    <row r="4814" spans="1:45" ht="63" x14ac:dyDescent="0.2">
      <c r="A4814" s="121">
        <f t="shared" si="556"/>
        <v>4059</v>
      </c>
      <c r="B4814" s="13">
        <v>2</v>
      </c>
      <c r="C4814" s="17" t="s">
        <v>69</v>
      </c>
      <c r="E4814" s="17">
        <v>1690</v>
      </c>
      <c r="F4814" s="17">
        <v>4</v>
      </c>
      <c r="G4814" s="13">
        <v>2</v>
      </c>
      <c r="H4814" s="17">
        <v>25</v>
      </c>
      <c r="I4814" s="17">
        <v>3</v>
      </c>
      <c r="J4814" s="17">
        <v>81</v>
      </c>
      <c r="K4814" s="10">
        <v>10381</v>
      </c>
      <c r="P4814" s="17">
        <v>1</v>
      </c>
      <c r="Q4814" s="19">
        <v>10381</v>
      </c>
      <c r="R4814" s="14">
        <v>200</v>
      </c>
      <c r="S4814" s="19">
        <v>2076200</v>
      </c>
      <c r="AE4814" s="17" t="s">
        <v>421</v>
      </c>
      <c r="AJ4814" s="19">
        <v>0</v>
      </c>
      <c r="AK4814" s="23">
        <v>0</v>
      </c>
      <c r="AM4814" s="19">
        <v>0</v>
      </c>
      <c r="AN4814" s="19">
        <v>2076200</v>
      </c>
      <c r="AP4814" s="14">
        <v>2076200</v>
      </c>
      <c r="AQ4814" s="12">
        <v>1E-4</v>
      </c>
      <c r="AR4814" s="19">
        <v>3038</v>
      </c>
    </row>
    <row r="4815" spans="1:45" x14ac:dyDescent="0.2">
      <c r="B4815" s="13">
        <v>2</v>
      </c>
      <c r="C4815" s="17" t="s">
        <v>69</v>
      </c>
      <c r="E4815" s="17">
        <v>1690</v>
      </c>
      <c r="F4815" s="17">
        <v>5</v>
      </c>
      <c r="G4815" s="13">
        <v>2</v>
      </c>
      <c r="H4815" s="17">
        <v>13</v>
      </c>
      <c r="I4815" s="17">
        <v>1</v>
      </c>
      <c r="J4815" s="17">
        <v>12</v>
      </c>
      <c r="K4815" s="10">
        <v>5312</v>
      </c>
      <c r="Q4815" s="19">
        <v>5312</v>
      </c>
      <c r="R4815" s="14" t="e">
        <v>#N/A</v>
      </c>
      <c r="S4815" s="19" t="e">
        <v>#N/A</v>
      </c>
      <c r="AE4815" s="17" t="s">
        <v>297</v>
      </c>
      <c r="AJ4815" s="19">
        <v>0</v>
      </c>
      <c r="AK4815" s="23">
        <v>0</v>
      </c>
      <c r="AM4815" s="19">
        <v>0</v>
      </c>
      <c r="AN4815" s="19" t="e">
        <v>#N/A</v>
      </c>
      <c r="AP4815" s="14" t="e">
        <v>#N/A</v>
      </c>
      <c r="AQ4815" s="12">
        <v>1E-4</v>
      </c>
    </row>
    <row r="4816" spans="1:45" x14ac:dyDescent="0.2">
      <c r="A4816" s="2">
        <v>4060</v>
      </c>
      <c r="B4816" s="13">
        <v>1</v>
      </c>
      <c r="C4816" s="17" t="s">
        <v>52</v>
      </c>
      <c r="D4816" s="17">
        <v>2513</v>
      </c>
      <c r="E4816" s="17">
        <v>33</v>
      </c>
      <c r="F4816" s="17">
        <v>1520</v>
      </c>
      <c r="G4816" s="13">
        <v>2</v>
      </c>
      <c r="H4816" s="17">
        <v>1</v>
      </c>
      <c r="I4816" s="17">
        <v>2</v>
      </c>
      <c r="J4816" s="17">
        <v>37</v>
      </c>
      <c r="K4816" s="10">
        <v>637</v>
      </c>
      <c r="P4816" s="17">
        <v>1</v>
      </c>
      <c r="Q4816" s="19">
        <v>637</v>
      </c>
      <c r="R4816" s="14">
        <v>160</v>
      </c>
      <c r="S4816" s="19">
        <v>101920</v>
      </c>
      <c r="AJ4816" s="19">
        <v>0</v>
      </c>
      <c r="AK4816" s="23">
        <v>0</v>
      </c>
      <c r="AM4816" s="19">
        <v>0</v>
      </c>
      <c r="AN4816" s="19">
        <v>101920</v>
      </c>
      <c r="AP4816" s="14">
        <v>101920</v>
      </c>
      <c r="AS4816" s="26">
        <v>10875</v>
      </c>
    </row>
    <row r="4817" spans="1:44" s="26" customFormat="1" ht="84" x14ac:dyDescent="0.2">
      <c r="A4817" s="2">
        <f>+A4816+1</f>
        <v>4061</v>
      </c>
      <c r="B4817" s="13">
        <v>2</v>
      </c>
      <c r="C4817" s="17" t="s">
        <v>52</v>
      </c>
      <c r="D4817" s="17">
        <v>2514</v>
      </c>
      <c r="E4817" s="17">
        <v>34</v>
      </c>
      <c r="F4817" s="17">
        <v>1521</v>
      </c>
      <c r="G4817" s="13">
        <v>2</v>
      </c>
      <c r="H4817" s="17">
        <v>2</v>
      </c>
      <c r="I4817" s="17">
        <v>0</v>
      </c>
      <c r="J4817" s="17">
        <v>7</v>
      </c>
      <c r="K4817" s="10">
        <v>807</v>
      </c>
      <c r="L4817" s="17"/>
      <c r="M4817" s="15"/>
      <c r="N4817" s="18"/>
      <c r="O4817" s="14"/>
      <c r="P4817" s="17">
        <v>1</v>
      </c>
      <c r="Q4817" s="19">
        <v>807</v>
      </c>
      <c r="R4817" s="14">
        <v>160</v>
      </c>
      <c r="S4817" s="19">
        <v>129120</v>
      </c>
      <c r="T4817" s="17"/>
      <c r="U4817" s="17"/>
      <c r="V4817" s="17"/>
      <c r="W4817" s="4"/>
      <c r="X4817" s="17"/>
      <c r="Y4817" s="4"/>
      <c r="Z4817" s="17"/>
      <c r="AA4817" s="17"/>
      <c r="AB4817" s="17"/>
      <c r="AC4817" s="14"/>
      <c r="AD4817" s="14"/>
      <c r="AE4817" s="17"/>
      <c r="AF4817" s="14"/>
      <c r="AG4817" s="54"/>
      <c r="AH4817" s="11"/>
      <c r="AI4817" s="14"/>
      <c r="AJ4817" s="19">
        <v>0</v>
      </c>
      <c r="AK4817" s="23">
        <v>0</v>
      </c>
      <c r="AL4817" s="11"/>
      <c r="AM4817" s="19">
        <v>0</v>
      </c>
      <c r="AN4817" s="19">
        <v>129120</v>
      </c>
      <c r="AO4817" s="14"/>
      <c r="AP4817" s="14">
        <v>129120</v>
      </c>
      <c r="AQ4817" s="12"/>
      <c r="AR4817" s="19">
        <v>10875</v>
      </c>
    </row>
    <row r="4818" spans="1:44" s="26" customFormat="1" x14ac:dyDescent="0.2">
      <c r="A4818" s="122">
        <f t="shared" ref="A4818:A4821" si="557">+A4817+1</f>
        <v>4062</v>
      </c>
      <c r="B4818" s="13">
        <v>3</v>
      </c>
      <c r="C4818" s="17" t="s">
        <v>52</v>
      </c>
      <c r="D4818" s="17">
        <v>2011</v>
      </c>
      <c r="E4818" s="17">
        <v>44</v>
      </c>
      <c r="F4818" s="17">
        <v>1047</v>
      </c>
      <c r="G4818" s="13"/>
      <c r="H4818" s="17">
        <v>2</v>
      </c>
      <c r="I4818" s="17">
        <v>2</v>
      </c>
      <c r="J4818" s="17">
        <v>36</v>
      </c>
      <c r="K4818" s="10"/>
      <c r="L4818" s="17"/>
      <c r="M4818" s="15"/>
      <c r="N4818" s="18">
        <v>1036</v>
      </c>
      <c r="O4818" s="14"/>
      <c r="P4818" s="17">
        <v>4</v>
      </c>
      <c r="Q4818" s="19">
        <v>1036</v>
      </c>
      <c r="R4818" s="14">
        <v>1500</v>
      </c>
      <c r="S4818" s="19">
        <v>1554000</v>
      </c>
      <c r="T4818" s="17"/>
      <c r="U4818" s="17"/>
      <c r="V4818" s="17"/>
      <c r="W4818" s="4"/>
      <c r="X4818" s="17"/>
      <c r="Y4818" s="4"/>
      <c r="Z4818" s="17"/>
      <c r="AA4818" s="17"/>
      <c r="AB4818" s="17"/>
      <c r="AC4818" s="14"/>
      <c r="AD4818" s="14"/>
      <c r="AE4818" s="17"/>
      <c r="AF4818" s="14"/>
      <c r="AG4818" s="54"/>
      <c r="AH4818" s="11"/>
      <c r="AI4818" s="14"/>
      <c r="AJ4818" s="19">
        <v>0</v>
      </c>
      <c r="AK4818" s="23">
        <v>0</v>
      </c>
      <c r="AL4818" s="11"/>
      <c r="AM4818" s="19">
        <v>0</v>
      </c>
      <c r="AN4818" s="19">
        <v>1554000</v>
      </c>
      <c r="AO4818" s="14"/>
      <c r="AP4818" s="14">
        <v>1554000</v>
      </c>
      <c r="AQ4818" s="12">
        <v>3.0000000000000001E-3</v>
      </c>
      <c r="AR4818" s="19"/>
    </row>
    <row r="4819" spans="1:44" s="26" customFormat="1" x14ac:dyDescent="0.2">
      <c r="A4819" s="122">
        <f t="shared" si="557"/>
        <v>4063</v>
      </c>
      <c r="B4819" s="13">
        <v>4</v>
      </c>
      <c r="C4819" s="17" t="s">
        <v>52</v>
      </c>
      <c r="D4819" s="17">
        <v>2223</v>
      </c>
      <c r="E4819" s="17">
        <v>39</v>
      </c>
      <c r="F4819" s="17">
        <v>1050</v>
      </c>
      <c r="G4819" s="13"/>
      <c r="H4819" s="17">
        <v>2</v>
      </c>
      <c r="I4819" s="17">
        <v>0</v>
      </c>
      <c r="J4819" s="17">
        <v>28</v>
      </c>
      <c r="K4819" s="10">
        <v>828</v>
      </c>
      <c r="L4819" s="17"/>
      <c r="M4819" s="15"/>
      <c r="N4819" s="18"/>
      <c r="O4819" s="14"/>
      <c r="P4819" s="17">
        <v>1</v>
      </c>
      <c r="Q4819" s="19">
        <v>828</v>
      </c>
      <c r="R4819" s="14">
        <v>160</v>
      </c>
      <c r="S4819" s="19">
        <v>132480</v>
      </c>
      <c r="T4819" s="17"/>
      <c r="U4819" s="17"/>
      <c r="V4819" s="17"/>
      <c r="W4819" s="4"/>
      <c r="X4819" s="17"/>
      <c r="Y4819" s="4"/>
      <c r="Z4819" s="17"/>
      <c r="AA4819" s="17"/>
      <c r="AB4819" s="17"/>
      <c r="AC4819" s="14"/>
      <c r="AD4819" s="14"/>
      <c r="AE4819" s="17"/>
      <c r="AF4819" s="14"/>
      <c r="AG4819" s="54"/>
      <c r="AH4819" s="11"/>
      <c r="AI4819" s="14"/>
      <c r="AJ4819" s="19">
        <v>0</v>
      </c>
      <c r="AK4819" s="23">
        <v>0</v>
      </c>
      <c r="AL4819" s="11"/>
      <c r="AM4819" s="19">
        <v>0</v>
      </c>
      <c r="AN4819" s="19">
        <v>132480</v>
      </c>
      <c r="AO4819" s="14"/>
      <c r="AP4819" s="14">
        <v>132480</v>
      </c>
      <c r="AQ4819" s="12"/>
      <c r="AR4819" s="19"/>
    </row>
    <row r="4820" spans="1:44" s="26" customFormat="1" x14ac:dyDescent="0.2">
      <c r="A4820" s="122">
        <f t="shared" si="557"/>
        <v>4064</v>
      </c>
      <c r="B4820" s="13">
        <v>5</v>
      </c>
      <c r="C4820" s="17" t="s">
        <v>52</v>
      </c>
      <c r="D4820" s="17">
        <v>2131</v>
      </c>
      <c r="E4820" s="17">
        <v>37</v>
      </c>
      <c r="F4820" s="17">
        <v>1048</v>
      </c>
      <c r="G4820" s="13"/>
      <c r="H4820" s="17">
        <v>1</v>
      </c>
      <c r="I4820" s="17">
        <v>1</v>
      </c>
      <c r="J4820" s="17">
        <v>37</v>
      </c>
      <c r="K4820" s="10">
        <v>537</v>
      </c>
      <c r="L4820" s="17"/>
      <c r="M4820" s="15"/>
      <c r="N4820" s="18"/>
      <c r="O4820" s="14"/>
      <c r="P4820" s="17">
        <v>1</v>
      </c>
      <c r="Q4820" s="19">
        <v>537</v>
      </c>
      <c r="R4820" s="14">
        <v>160</v>
      </c>
      <c r="S4820" s="19">
        <v>85920</v>
      </c>
      <c r="T4820" s="17"/>
      <c r="U4820" s="17"/>
      <c r="V4820" s="17"/>
      <c r="W4820" s="4"/>
      <c r="X4820" s="17"/>
      <c r="Y4820" s="4"/>
      <c r="Z4820" s="17"/>
      <c r="AA4820" s="17"/>
      <c r="AB4820" s="17"/>
      <c r="AC4820" s="14"/>
      <c r="AD4820" s="14"/>
      <c r="AE4820" s="17"/>
      <c r="AF4820" s="14"/>
      <c r="AG4820" s="54"/>
      <c r="AH4820" s="11"/>
      <c r="AI4820" s="14"/>
      <c r="AJ4820" s="19">
        <v>0</v>
      </c>
      <c r="AK4820" s="23">
        <v>0</v>
      </c>
      <c r="AL4820" s="11"/>
      <c r="AM4820" s="19">
        <v>0</v>
      </c>
      <c r="AN4820" s="19">
        <v>85920</v>
      </c>
      <c r="AO4820" s="14"/>
      <c r="AP4820" s="14">
        <v>85920</v>
      </c>
      <c r="AQ4820" s="12"/>
      <c r="AR4820" s="19"/>
    </row>
    <row r="4821" spans="1:44" s="26" customFormat="1" x14ac:dyDescent="0.2">
      <c r="A4821" s="122">
        <f t="shared" si="557"/>
        <v>4065</v>
      </c>
      <c r="B4821" s="13">
        <v>6</v>
      </c>
      <c r="C4821" s="17" t="s">
        <v>52</v>
      </c>
      <c r="D4821" s="17"/>
      <c r="E4821" s="17">
        <v>38</v>
      </c>
      <c r="F4821" s="17">
        <v>1522</v>
      </c>
      <c r="G4821" s="13">
        <v>2</v>
      </c>
      <c r="H4821" s="17">
        <v>0</v>
      </c>
      <c r="I4821" s="17">
        <v>3</v>
      </c>
      <c r="J4821" s="17">
        <v>46</v>
      </c>
      <c r="K4821" s="10" t="s">
        <v>422</v>
      </c>
      <c r="L4821" s="17"/>
      <c r="M4821" s="15"/>
      <c r="N4821" s="18"/>
      <c r="O4821" s="14">
        <v>346</v>
      </c>
      <c r="P4821" s="17">
        <v>5</v>
      </c>
      <c r="Q4821" s="19">
        <v>346</v>
      </c>
      <c r="R4821" s="14"/>
      <c r="S4821" s="19"/>
      <c r="T4821" s="17"/>
      <c r="U4821" s="17"/>
      <c r="V4821" s="17"/>
      <c r="W4821" s="4"/>
      <c r="X4821" s="17"/>
      <c r="Y4821" s="4"/>
      <c r="Z4821" s="17"/>
      <c r="AA4821" s="17"/>
      <c r="AB4821" s="17"/>
      <c r="AC4821" s="14"/>
      <c r="AD4821" s="14"/>
      <c r="AE4821" s="17"/>
      <c r="AF4821" s="14"/>
      <c r="AG4821" s="54"/>
      <c r="AH4821" s="11"/>
      <c r="AI4821" s="14"/>
      <c r="AJ4821" s="19">
        <v>0</v>
      </c>
      <c r="AK4821" s="23">
        <v>0</v>
      </c>
      <c r="AL4821" s="11"/>
      <c r="AM4821" s="19">
        <v>0</v>
      </c>
      <c r="AN4821" s="19">
        <v>0</v>
      </c>
      <c r="AO4821" s="14"/>
      <c r="AP4821" s="14">
        <v>0</v>
      </c>
      <c r="AQ4821" s="12"/>
      <c r="AR4821" s="19"/>
    </row>
    <row r="4822" spans="1:44" s="26" customFormat="1" ht="63" x14ac:dyDescent="0.2">
      <c r="A4822" s="2"/>
      <c r="B4822" s="13"/>
      <c r="C4822" s="17"/>
      <c r="D4822" s="17"/>
      <c r="E4822" s="17"/>
      <c r="F4822" s="17"/>
      <c r="G4822" s="13"/>
      <c r="H4822" s="17"/>
      <c r="I4822" s="17"/>
      <c r="J4822" s="17"/>
      <c r="K4822" s="10"/>
      <c r="L4822" s="17"/>
      <c r="M4822" s="15"/>
      <c r="N4822" s="18"/>
      <c r="O4822" s="14"/>
      <c r="P4822" s="17"/>
      <c r="Q4822" s="19"/>
      <c r="R4822" s="14"/>
      <c r="S4822" s="19"/>
      <c r="T4822" s="17">
        <v>1</v>
      </c>
      <c r="U4822" s="17" t="s">
        <v>63</v>
      </c>
      <c r="V4822" s="17" t="s">
        <v>56</v>
      </c>
      <c r="W4822" s="4">
        <v>28</v>
      </c>
      <c r="X4822" s="17"/>
      <c r="Y4822" s="4"/>
      <c r="Z4822" s="17"/>
      <c r="AA4822" s="17"/>
      <c r="AB4822" s="17">
        <v>8</v>
      </c>
      <c r="AC4822" s="14"/>
      <c r="AD4822" s="14"/>
      <c r="AE4822" s="17" t="s">
        <v>423</v>
      </c>
      <c r="AF4822" s="14">
        <v>3</v>
      </c>
      <c r="AG4822" s="54">
        <v>28</v>
      </c>
      <c r="AH4822" s="11">
        <v>1</v>
      </c>
      <c r="AI4822" s="14">
        <v>8100</v>
      </c>
      <c r="AJ4822" s="19">
        <v>226800</v>
      </c>
      <c r="AK4822" s="23">
        <v>8</v>
      </c>
      <c r="AL4822" s="11">
        <v>0.08</v>
      </c>
      <c r="AM4822" s="19">
        <v>208656</v>
      </c>
      <c r="AN4822" s="19">
        <v>208656</v>
      </c>
      <c r="AO4822" s="14"/>
      <c r="AP4822" s="14">
        <v>208656</v>
      </c>
      <c r="AQ4822" s="12">
        <v>3.0000000000000001E-3</v>
      </c>
      <c r="AR4822" s="19"/>
    </row>
    <row r="4823" spans="1:44" s="26" customFormat="1" ht="63" x14ac:dyDescent="0.2">
      <c r="A4823" s="2"/>
      <c r="B4823" s="13"/>
      <c r="C4823" s="17"/>
      <c r="D4823" s="17"/>
      <c r="E4823" s="17"/>
      <c r="F4823" s="17"/>
      <c r="G4823" s="13"/>
      <c r="H4823" s="17"/>
      <c r="I4823" s="17"/>
      <c r="J4823" s="17"/>
      <c r="K4823" s="10"/>
      <c r="L4823" s="17"/>
      <c r="M4823" s="15"/>
      <c r="N4823" s="18"/>
      <c r="O4823" s="14"/>
      <c r="P4823" s="17"/>
      <c r="Q4823" s="19"/>
      <c r="R4823" s="14"/>
      <c r="S4823" s="19"/>
      <c r="T4823" s="17">
        <v>2</v>
      </c>
      <c r="U4823" s="17" t="s">
        <v>63</v>
      </c>
      <c r="V4823" s="17" t="s">
        <v>56</v>
      </c>
      <c r="W4823" s="4">
        <v>119</v>
      </c>
      <c r="X4823" s="17"/>
      <c r="Y4823" s="4"/>
      <c r="Z4823" s="17"/>
      <c r="AA4823" s="17"/>
      <c r="AB4823" s="17">
        <v>8</v>
      </c>
      <c r="AC4823" s="14"/>
      <c r="AD4823" s="14"/>
      <c r="AE4823" s="17" t="s">
        <v>424</v>
      </c>
      <c r="AF4823" s="14">
        <v>2</v>
      </c>
      <c r="AG4823" s="54">
        <v>119</v>
      </c>
      <c r="AH4823" s="11">
        <v>1</v>
      </c>
      <c r="AI4823" s="14">
        <v>8100</v>
      </c>
      <c r="AJ4823" s="19">
        <v>963900</v>
      </c>
      <c r="AK4823" s="23">
        <v>8</v>
      </c>
      <c r="AL4823" s="11">
        <v>0.08</v>
      </c>
      <c r="AM4823" s="19">
        <v>886788</v>
      </c>
      <c r="AN4823" s="19">
        <v>886788</v>
      </c>
      <c r="AO4823" s="14"/>
      <c r="AP4823" s="14">
        <v>886788</v>
      </c>
      <c r="AQ4823" s="12">
        <v>2.0000000000000001E-4</v>
      </c>
      <c r="AR4823" s="19"/>
    </row>
    <row r="4824" spans="1:44" s="26" customFormat="1" ht="63" x14ac:dyDescent="0.2">
      <c r="A4824" s="2"/>
      <c r="B4824" s="13"/>
      <c r="C4824" s="17"/>
      <c r="D4824" s="17"/>
      <c r="E4824" s="17"/>
      <c r="F4824" s="17"/>
      <c r="G4824" s="13"/>
      <c r="H4824" s="17"/>
      <c r="I4824" s="17"/>
      <c r="J4824" s="17"/>
      <c r="K4824" s="10"/>
      <c r="L4824" s="17"/>
      <c r="M4824" s="15"/>
      <c r="N4824" s="18"/>
      <c r="O4824" s="14"/>
      <c r="P4824" s="17"/>
      <c r="Q4824" s="19"/>
      <c r="R4824" s="14"/>
      <c r="S4824" s="19"/>
      <c r="T4824" s="17">
        <v>3</v>
      </c>
      <c r="U4824" s="17" t="s">
        <v>63</v>
      </c>
      <c r="V4824" s="17" t="s">
        <v>56</v>
      </c>
      <c r="W4824" s="4">
        <v>96</v>
      </c>
      <c r="X4824" s="17"/>
      <c r="Y4824" s="4"/>
      <c r="Z4824" s="17"/>
      <c r="AA4824" s="17"/>
      <c r="AB4824" s="17">
        <v>5</v>
      </c>
      <c r="AC4824" s="14"/>
      <c r="AD4824" s="14"/>
      <c r="AE4824" s="17" t="s">
        <v>425</v>
      </c>
      <c r="AF4824" s="14">
        <v>3</v>
      </c>
      <c r="AG4824" s="54">
        <v>96</v>
      </c>
      <c r="AH4824" s="11">
        <v>1</v>
      </c>
      <c r="AI4824" s="14">
        <v>8100</v>
      </c>
      <c r="AJ4824" s="19">
        <v>777600</v>
      </c>
      <c r="AK4824" s="23">
        <v>5</v>
      </c>
      <c r="AL4824" s="11">
        <v>0.08</v>
      </c>
      <c r="AM4824" s="19">
        <v>715392</v>
      </c>
      <c r="AN4824" s="19">
        <v>715392</v>
      </c>
      <c r="AO4824" s="14"/>
      <c r="AP4824" s="14">
        <v>715392</v>
      </c>
      <c r="AQ4824" s="12">
        <v>3.0000000000000001E-3</v>
      </c>
      <c r="AR4824" s="19"/>
    </row>
    <row r="4825" spans="1:44" s="26" customFormat="1" ht="63" x14ac:dyDescent="0.2">
      <c r="A4825" s="2"/>
      <c r="B4825" s="13"/>
      <c r="C4825" s="17"/>
      <c r="D4825" s="17"/>
      <c r="E4825" s="17"/>
      <c r="F4825" s="17"/>
      <c r="G4825" s="13"/>
      <c r="H4825" s="17"/>
      <c r="I4825" s="17"/>
      <c r="J4825" s="17"/>
      <c r="K4825" s="10"/>
      <c r="L4825" s="17"/>
      <c r="M4825" s="15"/>
      <c r="N4825" s="18"/>
      <c r="O4825" s="14"/>
      <c r="P4825" s="17"/>
      <c r="Q4825" s="19"/>
      <c r="R4825" s="14"/>
      <c r="S4825" s="19"/>
      <c r="T4825" s="17">
        <v>4</v>
      </c>
      <c r="U4825" s="17" t="s">
        <v>63</v>
      </c>
      <c r="V4825" s="17" t="s">
        <v>56</v>
      </c>
      <c r="W4825" s="4">
        <v>54</v>
      </c>
      <c r="X4825" s="17"/>
      <c r="Y4825" s="4"/>
      <c r="Z4825" s="17"/>
      <c r="AA4825" s="17"/>
      <c r="AB4825" s="17">
        <v>5</v>
      </c>
      <c r="AC4825" s="14"/>
      <c r="AD4825" s="14"/>
      <c r="AE4825" s="17" t="s">
        <v>424</v>
      </c>
      <c r="AF4825" s="14">
        <v>2</v>
      </c>
      <c r="AG4825" s="54">
        <v>54</v>
      </c>
      <c r="AH4825" s="11">
        <v>1</v>
      </c>
      <c r="AI4825" s="14">
        <v>8100</v>
      </c>
      <c r="AJ4825" s="19">
        <v>437400</v>
      </c>
      <c r="AK4825" s="23">
        <v>5</v>
      </c>
      <c r="AL4825" s="11">
        <v>0.08</v>
      </c>
      <c r="AM4825" s="19">
        <v>402408</v>
      </c>
      <c r="AN4825" s="19">
        <v>402408</v>
      </c>
      <c r="AO4825" s="14"/>
      <c r="AP4825" s="14">
        <v>402408</v>
      </c>
      <c r="AQ4825" s="12">
        <v>2.0000000000000001E-4</v>
      </c>
      <c r="AR4825" s="19"/>
    </row>
    <row r="4826" spans="1:44" s="26" customFormat="1" x14ac:dyDescent="0.2">
      <c r="A4826" s="2">
        <v>4066</v>
      </c>
      <c r="B4826" s="13">
        <v>7</v>
      </c>
      <c r="C4826" s="17" t="s">
        <v>65</v>
      </c>
      <c r="D4826" s="17">
        <v>210</v>
      </c>
      <c r="E4826" s="17">
        <v>116</v>
      </c>
      <c r="F4826" s="17"/>
      <c r="G4826" s="13"/>
      <c r="H4826" s="17">
        <v>5</v>
      </c>
      <c r="I4826" s="17">
        <v>0</v>
      </c>
      <c r="J4826" s="17">
        <v>60</v>
      </c>
      <c r="K4826" s="10">
        <v>2060</v>
      </c>
      <c r="L4826" s="17"/>
      <c r="M4826" s="15"/>
      <c r="N4826" s="18"/>
      <c r="O4826" s="14"/>
      <c r="P4826" s="17">
        <v>5</v>
      </c>
      <c r="Q4826" s="19">
        <v>2060</v>
      </c>
      <c r="R4826" s="14">
        <v>1500</v>
      </c>
      <c r="S4826" s="19">
        <v>3090000</v>
      </c>
      <c r="T4826" s="17"/>
      <c r="U4826" s="17"/>
      <c r="V4826" s="17"/>
      <c r="W4826" s="4"/>
      <c r="X4826" s="17"/>
      <c r="Y4826" s="4"/>
      <c r="Z4826" s="17"/>
      <c r="AA4826" s="17"/>
      <c r="AB4826" s="17"/>
      <c r="AC4826" s="14"/>
      <c r="AD4826" s="14"/>
      <c r="AE4826" s="17"/>
      <c r="AF4826" s="14"/>
      <c r="AG4826" s="54"/>
      <c r="AH4826" s="11"/>
      <c r="AI4826" s="14"/>
      <c r="AJ4826" s="19"/>
      <c r="AK4826" s="23"/>
      <c r="AL4826" s="11"/>
      <c r="AM4826" s="19"/>
      <c r="AN4826" s="19"/>
      <c r="AO4826" s="14"/>
      <c r="AP4826" s="14"/>
      <c r="AQ4826" s="12"/>
      <c r="AR4826" s="19"/>
    </row>
    <row r="4827" spans="1:44" s="26" customFormat="1" x14ac:dyDescent="0.2">
      <c r="A4827" s="2"/>
      <c r="B4827" s="13"/>
      <c r="C4827" s="17"/>
      <c r="D4827" s="17"/>
      <c r="E4827" s="17"/>
      <c r="F4827" s="17"/>
      <c r="G4827" s="13"/>
      <c r="H4827" s="17"/>
      <c r="I4827" s="17"/>
      <c r="J4827" s="17"/>
      <c r="K4827" s="10"/>
      <c r="L4827" s="17"/>
      <c r="M4827" s="15"/>
      <c r="N4827" s="18"/>
      <c r="O4827" s="14"/>
      <c r="P4827" s="17">
        <v>1</v>
      </c>
      <c r="Q4827" s="19">
        <v>1810</v>
      </c>
      <c r="R4827" s="14">
        <v>1500</v>
      </c>
      <c r="S4827" s="19">
        <v>2715000</v>
      </c>
      <c r="T4827" s="17"/>
      <c r="U4827" s="17"/>
      <c r="V4827" s="17"/>
      <c r="W4827" s="4"/>
      <c r="X4827" s="17"/>
      <c r="Y4827" s="4"/>
      <c r="Z4827" s="17"/>
      <c r="AA4827" s="17"/>
      <c r="AB4827" s="17"/>
      <c r="AC4827" s="14"/>
      <c r="AD4827" s="14"/>
      <c r="AE4827" s="17"/>
      <c r="AF4827" s="14"/>
      <c r="AG4827" s="54"/>
      <c r="AH4827" s="11"/>
      <c r="AI4827" s="14"/>
      <c r="AJ4827" s="19">
        <v>0</v>
      </c>
      <c r="AK4827" s="23">
        <v>0</v>
      </c>
      <c r="AL4827" s="11"/>
      <c r="AM4827" s="19">
        <v>0</v>
      </c>
      <c r="AN4827" s="19">
        <v>2715000</v>
      </c>
      <c r="AO4827" s="14"/>
      <c r="AP4827" s="14">
        <v>2715000</v>
      </c>
      <c r="AQ4827" s="12">
        <v>1E-4</v>
      </c>
      <c r="AR4827" s="19"/>
    </row>
    <row r="4828" spans="1:44" s="26" customFormat="1" ht="63" x14ac:dyDescent="0.2">
      <c r="A4828" s="2"/>
      <c r="B4828" s="13"/>
      <c r="C4828" s="17"/>
      <c r="D4828" s="17"/>
      <c r="E4828" s="17"/>
      <c r="F4828" s="17"/>
      <c r="G4828" s="13"/>
      <c r="H4828" s="17"/>
      <c r="I4828" s="17"/>
      <c r="J4828" s="17"/>
      <c r="K4828" s="10"/>
      <c r="L4828" s="17"/>
      <c r="M4828" s="15"/>
      <c r="N4828" s="18"/>
      <c r="O4828" s="14"/>
      <c r="P4828" s="17">
        <v>3</v>
      </c>
      <c r="Q4828" s="19">
        <v>250</v>
      </c>
      <c r="R4828" s="14">
        <v>1500</v>
      </c>
      <c r="S4828" s="19">
        <v>375000</v>
      </c>
      <c r="T4828" s="17"/>
      <c r="U4828" s="17" t="s">
        <v>57</v>
      </c>
      <c r="V4828" s="17" t="s">
        <v>56</v>
      </c>
      <c r="W4828" s="4">
        <v>84.5</v>
      </c>
      <c r="X4828" s="17"/>
      <c r="Y4828" s="4"/>
      <c r="Z4828" s="17">
        <v>84.5</v>
      </c>
      <c r="AA4828" s="17"/>
      <c r="AB4828" s="17">
        <v>4</v>
      </c>
      <c r="AC4828" s="14"/>
      <c r="AD4828" s="14"/>
      <c r="AE4828" s="17">
        <v>164.5</v>
      </c>
      <c r="AF4828" s="14">
        <v>3</v>
      </c>
      <c r="AG4828" s="54">
        <v>84.5</v>
      </c>
      <c r="AH4828" s="11">
        <v>1</v>
      </c>
      <c r="AI4828" s="14">
        <v>7250</v>
      </c>
      <c r="AJ4828" s="19">
        <v>612625</v>
      </c>
      <c r="AK4828" s="23">
        <v>4</v>
      </c>
      <c r="AL4828" s="11">
        <v>0.04</v>
      </c>
      <c r="AM4828" s="19">
        <v>588120</v>
      </c>
      <c r="AN4828" s="19">
        <v>779370</v>
      </c>
      <c r="AO4828" s="14"/>
      <c r="AP4828" s="14">
        <v>779370</v>
      </c>
      <c r="AQ4828" s="12">
        <v>3.0000000000000001E-3</v>
      </c>
      <c r="AR4828" s="19"/>
    </row>
    <row r="4829" spans="1:44" s="26" customFormat="1" ht="105" x14ac:dyDescent="0.2">
      <c r="A4829" s="2"/>
      <c r="B4829" s="13"/>
      <c r="C4829" s="17"/>
      <c r="D4829" s="17"/>
      <c r="E4829" s="17"/>
      <c r="F4829" s="17"/>
      <c r="G4829" s="13"/>
      <c r="H4829" s="17"/>
      <c r="I4829" s="17"/>
      <c r="J4829" s="17"/>
      <c r="K4829" s="10"/>
      <c r="L4829" s="17"/>
      <c r="M4829" s="15"/>
      <c r="N4829" s="18"/>
      <c r="O4829" s="14"/>
      <c r="P4829" s="17"/>
      <c r="Q4829" s="19"/>
      <c r="R4829" s="14"/>
      <c r="S4829" s="19"/>
      <c r="T4829" s="17"/>
      <c r="U4829" s="17" t="s">
        <v>174</v>
      </c>
      <c r="V4829" s="17" t="s">
        <v>56</v>
      </c>
      <c r="W4829" s="4">
        <v>80</v>
      </c>
      <c r="X4829" s="17"/>
      <c r="Y4829" s="4"/>
      <c r="Z4829" s="17">
        <v>80</v>
      </c>
      <c r="AA4829" s="17"/>
      <c r="AB4829" s="17">
        <v>4</v>
      </c>
      <c r="AC4829" s="14"/>
      <c r="AD4829" s="14"/>
      <c r="AE4829" s="17">
        <v>0.51367781155015202</v>
      </c>
      <c r="AF4829" s="14">
        <v>3</v>
      </c>
      <c r="AG4829" s="54">
        <v>80</v>
      </c>
      <c r="AH4829" s="11">
        <v>1</v>
      </c>
      <c r="AI4829" s="14">
        <v>5800</v>
      </c>
      <c r="AJ4829" s="19">
        <v>464000</v>
      </c>
      <c r="AK4829" s="23">
        <v>4</v>
      </c>
      <c r="AL4829" s="11">
        <v>0.04</v>
      </c>
      <c r="AM4829" s="19">
        <v>445440</v>
      </c>
      <c r="AN4829" s="19">
        <v>629190</v>
      </c>
      <c r="AO4829" s="14"/>
      <c r="AP4829" s="14">
        <v>629190</v>
      </c>
      <c r="AQ4829" s="12">
        <v>3.0000000000000001E-3</v>
      </c>
      <c r="AR4829" s="19"/>
    </row>
    <row r="4830" spans="1:44" s="26" customFormat="1" x14ac:dyDescent="0.2">
      <c r="A4830" s="2">
        <v>4067</v>
      </c>
      <c r="B4830" s="13">
        <v>8</v>
      </c>
      <c r="C4830" s="17" t="s">
        <v>69</v>
      </c>
      <c r="D4830" s="17"/>
      <c r="E4830" s="17">
        <v>1514</v>
      </c>
      <c r="F4830" s="17">
        <v>6</v>
      </c>
      <c r="G4830" s="13">
        <v>6</v>
      </c>
      <c r="H4830" s="17">
        <v>4</v>
      </c>
      <c r="I4830" s="17">
        <v>1</v>
      </c>
      <c r="J4830" s="17">
        <v>24</v>
      </c>
      <c r="K4830" s="10">
        <v>1724</v>
      </c>
      <c r="L4830" s="17"/>
      <c r="M4830" s="15"/>
      <c r="N4830" s="18"/>
      <c r="O4830" s="14"/>
      <c r="P4830" s="17">
        <v>1</v>
      </c>
      <c r="Q4830" s="19">
        <v>1724</v>
      </c>
      <c r="R4830" s="14">
        <v>200</v>
      </c>
      <c r="S4830" s="19">
        <v>344800</v>
      </c>
      <c r="T4830" s="17"/>
      <c r="U4830" s="17"/>
      <c r="V4830" s="17"/>
      <c r="W4830" s="4"/>
      <c r="X4830" s="17"/>
      <c r="Y4830" s="4"/>
      <c r="Z4830" s="17"/>
      <c r="AA4830" s="17"/>
      <c r="AB4830" s="17"/>
      <c r="AC4830" s="14"/>
      <c r="AD4830" s="14"/>
      <c r="AE4830" s="17"/>
      <c r="AF4830" s="14"/>
      <c r="AG4830" s="54"/>
      <c r="AH4830" s="11"/>
      <c r="AI4830" s="14"/>
      <c r="AJ4830" s="19">
        <v>0</v>
      </c>
      <c r="AK4830" s="23">
        <v>0</v>
      </c>
      <c r="AL4830" s="11"/>
      <c r="AM4830" s="19">
        <v>0</v>
      </c>
      <c r="AN4830" s="19">
        <v>344800</v>
      </c>
      <c r="AO4830" s="14"/>
      <c r="AP4830" s="14">
        <v>344800</v>
      </c>
      <c r="AQ4830" s="12">
        <v>1E-4</v>
      </c>
      <c r="AR4830" s="19"/>
    </row>
    <row r="4831" spans="1:44" s="26" customFormat="1" x14ac:dyDescent="0.2">
      <c r="A4831" s="2"/>
      <c r="B4831" s="13">
        <v>8</v>
      </c>
      <c r="C4831" s="17" t="s">
        <v>65</v>
      </c>
      <c r="D4831" s="17">
        <v>2738</v>
      </c>
      <c r="E4831" s="17">
        <v>354</v>
      </c>
      <c r="F4831" s="17"/>
      <c r="G4831" s="13"/>
      <c r="H4831" s="17">
        <v>1</v>
      </c>
      <c r="I4831" s="17">
        <v>0</v>
      </c>
      <c r="J4831" s="17">
        <v>10</v>
      </c>
      <c r="K4831" s="10">
        <v>410</v>
      </c>
      <c r="L4831" s="17"/>
      <c r="M4831" s="15"/>
      <c r="N4831" s="18"/>
      <c r="O4831" s="14"/>
      <c r="P4831" s="17"/>
      <c r="Q4831" s="19">
        <v>410</v>
      </c>
      <c r="R4831" s="14"/>
      <c r="S4831" s="19">
        <v>0</v>
      </c>
      <c r="T4831" s="17"/>
      <c r="U4831" s="17"/>
      <c r="V4831" s="17"/>
      <c r="W4831" s="4"/>
      <c r="X4831" s="17"/>
      <c r="Y4831" s="4"/>
      <c r="Z4831" s="17"/>
      <c r="AA4831" s="17"/>
      <c r="AB4831" s="17"/>
      <c r="AC4831" s="14"/>
      <c r="AD4831" s="14"/>
      <c r="AE4831" s="17" t="s">
        <v>95</v>
      </c>
      <c r="AF4831" s="14"/>
      <c r="AG4831" s="54"/>
      <c r="AH4831" s="11"/>
      <c r="AI4831" s="14"/>
      <c r="AJ4831" s="19">
        <v>0</v>
      </c>
      <c r="AK4831" s="23">
        <v>0</v>
      </c>
      <c r="AL4831" s="11"/>
      <c r="AM4831" s="19">
        <v>0</v>
      </c>
      <c r="AN4831" s="19">
        <v>0</v>
      </c>
      <c r="AO4831" s="14"/>
      <c r="AP4831" s="14">
        <v>0</v>
      </c>
      <c r="AQ4831" s="12">
        <v>1E-4</v>
      </c>
      <c r="AR4831" s="19"/>
    </row>
    <row r="4832" spans="1:44" s="26" customFormat="1" x14ac:dyDescent="0.2">
      <c r="A4832" s="2"/>
      <c r="B4832" s="13"/>
      <c r="C4832" s="17"/>
      <c r="D4832" s="17"/>
      <c r="E4832" s="17"/>
      <c r="F4832" s="17"/>
      <c r="G4832" s="13"/>
      <c r="H4832" s="17"/>
      <c r="I4832" s="17"/>
      <c r="J4832" s="17"/>
      <c r="K4832" s="10"/>
      <c r="L4832" s="17"/>
      <c r="M4832" s="15"/>
      <c r="N4832" s="18"/>
      <c r="O4832" s="14"/>
      <c r="P4832" s="17"/>
      <c r="Q4832" s="19"/>
      <c r="R4832" s="14" t="e">
        <v>#N/A</v>
      </c>
      <c r="S4832" s="19"/>
      <c r="T4832" s="17"/>
      <c r="U4832" s="17"/>
      <c r="V4832" s="17"/>
      <c r="W4832" s="4"/>
      <c r="X4832" s="17"/>
      <c r="Y4832" s="4"/>
      <c r="Z4832" s="17"/>
      <c r="AA4832" s="17"/>
      <c r="AB4832" s="17"/>
      <c r="AC4832" s="14"/>
      <c r="AD4832" s="14"/>
      <c r="AE4832" s="17"/>
      <c r="AF4832" s="14"/>
      <c r="AG4832" s="54"/>
      <c r="AH4832" s="11"/>
      <c r="AI4832" s="14"/>
      <c r="AJ4832" s="19"/>
      <c r="AK4832" s="23"/>
      <c r="AL4832" s="11"/>
      <c r="AM4832" s="19"/>
      <c r="AN4832" s="19"/>
      <c r="AO4832" s="14"/>
      <c r="AP4832" s="14"/>
      <c r="AQ4832" s="12"/>
      <c r="AR4832" s="19"/>
    </row>
    <row r="4833" spans="1:45" s="19" customFormat="1" x14ac:dyDescent="0.2">
      <c r="A4833" s="2">
        <v>4068</v>
      </c>
      <c r="B4833" s="13">
        <v>1</v>
      </c>
      <c r="C4833" s="17" t="s">
        <v>52</v>
      </c>
      <c r="D4833" s="17">
        <v>2483</v>
      </c>
      <c r="E4833" s="17">
        <v>35</v>
      </c>
      <c r="F4833" s="17">
        <v>1487</v>
      </c>
      <c r="G4833" s="13">
        <v>2</v>
      </c>
      <c r="H4833" s="17">
        <v>1</v>
      </c>
      <c r="I4833" s="17">
        <v>0</v>
      </c>
      <c r="J4833" s="17">
        <v>65</v>
      </c>
      <c r="K4833" s="10">
        <v>465</v>
      </c>
      <c r="L4833" s="17"/>
      <c r="M4833" s="15"/>
      <c r="N4833" s="18"/>
      <c r="O4833" s="14"/>
      <c r="P4833" s="17">
        <v>1</v>
      </c>
      <c r="Q4833" s="19">
        <v>465</v>
      </c>
      <c r="R4833" s="14">
        <v>160</v>
      </c>
      <c r="S4833" s="19">
        <v>74400</v>
      </c>
      <c r="T4833" s="17"/>
      <c r="U4833" s="17"/>
      <c r="V4833" s="17"/>
      <c r="W4833" s="4"/>
      <c r="X4833" s="17"/>
      <c r="Y4833" s="4"/>
      <c r="Z4833" s="17"/>
      <c r="AA4833" s="17"/>
      <c r="AB4833" s="17"/>
      <c r="AC4833" s="14"/>
      <c r="AD4833" s="14"/>
      <c r="AE4833" s="17"/>
      <c r="AF4833" s="14"/>
      <c r="AG4833" s="54"/>
      <c r="AH4833" s="11"/>
      <c r="AI4833" s="14"/>
      <c r="AJ4833" s="19">
        <v>0</v>
      </c>
      <c r="AK4833" s="23">
        <v>0</v>
      </c>
      <c r="AL4833" s="11"/>
      <c r="AM4833" s="19">
        <v>0</v>
      </c>
      <c r="AN4833" s="19">
        <v>74400</v>
      </c>
      <c r="AO4833" s="14"/>
      <c r="AP4833" s="14">
        <v>74400</v>
      </c>
      <c r="AQ4833" s="12"/>
      <c r="AS4833" s="26"/>
    </row>
    <row r="4834" spans="1:45" s="19" customFormat="1" x14ac:dyDescent="0.2">
      <c r="A4834" s="2">
        <f>+A4833+1</f>
        <v>4069</v>
      </c>
      <c r="B4834" s="13">
        <v>2</v>
      </c>
      <c r="C4834" s="17" t="s">
        <v>52</v>
      </c>
      <c r="D4834" s="17">
        <v>2488</v>
      </c>
      <c r="E4834" s="17">
        <v>40</v>
      </c>
      <c r="F4834" s="17">
        <v>1492</v>
      </c>
      <c r="G4834" s="13">
        <v>2</v>
      </c>
      <c r="H4834" s="17">
        <v>0</v>
      </c>
      <c r="I4834" s="17">
        <v>0</v>
      </c>
      <c r="J4834" s="17">
        <v>38</v>
      </c>
      <c r="K4834" s="10"/>
      <c r="L4834" s="17">
        <v>38</v>
      </c>
      <c r="M4834" s="15"/>
      <c r="N4834" s="18"/>
      <c r="O4834" s="14"/>
      <c r="P4834" s="17">
        <v>2</v>
      </c>
      <c r="Q4834" s="19">
        <v>38</v>
      </c>
      <c r="R4834" s="14">
        <v>4500</v>
      </c>
      <c r="S4834" s="19">
        <v>171000</v>
      </c>
      <c r="T4834" s="17"/>
      <c r="U4834" s="17"/>
      <c r="V4834" s="17"/>
      <c r="W4834" s="4"/>
      <c r="X4834" s="17"/>
      <c r="Y4834" s="4"/>
      <c r="Z4834" s="17"/>
      <c r="AA4834" s="17"/>
      <c r="AB4834" s="17"/>
      <c r="AC4834" s="14"/>
      <c r="AD4834" s="14"/>
      <c r="AE4834" s="17"/>
      <c r="AF4834" s="14"/>
      <c r="AG4834" s="54"/>
      <c r="AH4834" s="11"/>
      <c r="AI4834" s="14"/>
      <c r="AJ4834" s="19">
        <v>0</v>
      </c>
      <c r="AK4834" s="23">
        <v>0</v>
      </c>
      <c r="AL4834" s="11"/>
      <c r="AM4834" s="19">
        <v>0</v>
      </c>
      <c r="AN4834" s="19">
        <v>171000</v>
      </c>
      <c r="AO4834" s="14"/>
      <c r="AP4834" s="14">
        <v>171000</v>
      </c>
      <c r="AQ4834" s="12"/>
      <c r="AS4834" s="26"/>
    </row>
    <row r="4835" spans="1:45" s="19" customFormat="1" ht="63" x14ac:dyDescent="0.2">
      <c r="A4835" s="122">
        <f t="shared" ref="A4835:A4836" si="558">+A4834+1</f>
        <v>4070</v>
      </c>
      <c r="B4835" s="13">
        <v>3</v>
      </c>
      <c r="C4835" s="17" t="s">
        <v>52</v>
      </c>
      <c r="D4835" s="17">
        <v>30132</v>
      </c>
      <c r="E4835" s="17">
        <v>529</v>
      </c>
      <c r="F4835" s="17">
        <v>5793</v>
      </c>
      <c r="G4835" s="13">
        <v>2</v>
      </c>
      <c r="H4835" s="17">
        <v>0</v>
      </c>
      <c r="I4835" s="17">
        <v>0</v>
      </c>
      <c r="J4835" s="17">
        <v>22.05</v>
      </c>
      <c r="K4835" s="10"/>
      <c r="L4835" s="17">
        <v>22.05</v>
      </c>
      <c r="M4835" s="15"/>
      <c r="N4835" s="18"/>
      <c r="O4835" s="14"/>
      <c r="P4835" s="17">
        <v>2</v>
      </c>
      <c r="Q4835" s="19">
        <v>22.05</v>
      </c>
      <c r="R4835" s="14">
        <v>160</v>
      </c>
      <c r="S4835" s="19">
        <v>3528</v>
      </c>
      <c r="T4835" s="17"/>
      <c r="U4835" s="17" t="s">
        <v>63</v>
      </c>
      <c r="V4835" s="17" t="s">
        <v>56</v>
      </c>
      <c r="W4835" s="4">
        <v>216</v>
      </c>
      <c r="X4835" s="17"/>
      <c r="Y4835" s="4" t="s">
        <v>77</v>
      </c>
      <c r="Z4835" s="17"/>
      <c r="AA4835" s="17"/>
      <c r="AB4835" s="17" t="s">
        <v>78</v>
      </c>
      <c r="AC4835" s="14"/>
      <c r="AD4835" s="14"/>
      <c r="AE4835" s="17"/>
      <c r="AF4835" s="14">
        <v>2</v>
      </c>
      <c r="AG4835" s="54">
        <v>216</v>
      </c>
      <c r="AH4835" s="11">
        <v>1</v>
      </c>
      <c r="AI4835" s="14">
        <v>8100</v>
      </c>
      <c r="AJ4835" s="19">
        <v>1749600</v>
      </c>
      <c r="AK4835" s="23" t="s">
        <v>78</v>
      </c>
      <c r="AL4835" s="11">
        <v>7.0000000000000007E-2</v>
      </c>
      <c r="AM4835" s="19">
        <v>1627128</v>
      </c>
      <c r="AN4835" s="19">
        <v>1630656</v>
      </c>
      <c r="AO4835" s="14"/>
      <c r="AP4835" s="14">
        <v>1630656</v>
      </c>
      <c r="AQ4835" s="12"/>
      <c r="AS4835" s="26"/>
    </row>
    <row r="4836" spans="1:45" s="19" customFormat="1" ht="63" x14ac:dyDescent="0.2">
      <c r="A4836" s="122">
        <f t="shared" si="558"/>
        <v>4071</v>
      </c>
      <c r="B4836" s="13">
        <v>4</v>
      </c>
      <c r="C4836" s="17" t="s">
        <v>52</v>
      </c>
      <c r="D4836" s="17">
        <v>34306</v>
      </c>
      <c r="E4836" s="17">
        <v>267</v>
      </c>
      <c r="F4836" s="17">
        <v>6855</v>
      </c>
      <c r="G4836" s="13">
        <v>2</v>
      </c>
      <c r="H4836" s="17">
        <v>0</v>
      </c>
      <c r="I4836" s="17">
        <v>0</v>
      </c>
      <c r="J4836" s="17">
        <v>48</v>
      </c>
      <c r="K4836" s="10"/>
      <c r="L4836" s="17"/>
      <c r="M4836" s="15"/>
      <c r="N4836" s="18"/>
      <c r="O4836" s="14"/>
      <c r="P4836" s="17"/>
      <c r="Q4836" s="19">
        <v>48</v>
      </c>
      <c r="R4836" s="14">
        <v>4500</v>
      </c>
      <c r="S4836" s="19">
        <v>216000</v>
      </c>
      <c r="T4836" s="17">
        <v>1</v>
      </c>
      <c r="U4836" s="17" t="s">
        <v>63</v>
      </c>
      <c r="V4836" s="17" t="s">
        <v>56</v>
      </c>
      <c r="W4836" s="4">
        <v>160</v>
      </c>
      <c r="X4836" s="17"/>
      <c r="Y4836" s="4">
        <v>160</v>
      </c>
      <c r="Z4836" s="17"/>
      <c r="AA4836" s="17"/>
      <c r="AB4836" s="17">
        <v>6</v>
      </c>
      <c r="AC4836" s="14"/>
      <c r="AD4836" s="14"/>
      <c r="AE4836" s="17"/>
      <c r="AF4836" s="14">
        <v>2</v>
      </c>
      <c r="AG4836" s="54">
        <v>160</v>
      </c>
      <c r="AH4836" s="11">
        <v>0.89</v>
      </c>
      <c r="AI4836" s="14">
        <v>8100</v>
      </c>
      <c r="AJ4836" s="19">
        <v>1153440</v>
      </c>
      <c r="AK4836" s="23">
        <v>6</v>
      </c>
      <c r="AL4836" s="11">
        <v>0.06</v>
      </c>
      <c r="AM4836" s="19">
        <v>1084233.6000000001</v>
      </c>
      <c r="AN4836" s="19">
        <v>1300234.4900000002</v>
      </c>
      <c r="AO4836" s="14"/>
      <c r="AP4836" s="14">
        <v>1300234.4900000002</v>
      </c>
      <c r="AQ4836" s="12">
        <v>2.0000000000000001E-4</v>
      </c>
      <c r="AS4836" s="26"/>
    </row>
    <row r="4837" spans="1:45" s="19" customFormat="1" x14ac:dyDescent="0.2">
      <c r="A4837" s="2"/>
      <c r="B4837" s="13"/>
      <c r="C4837" s="17"/>
      <c r="D4837" s="17"/>
      <c r="E4837" s="17"/>
      <c r="F4837" s="17"/>
      <c r="G4837" s="13"/>
      <c r="H4837" s="17"/>
      <c r="I4837" s="17"/>
      <c r="J4837" s="17"/>
      <c r="K4837" s="10"/>
      <c r="L4837" s="17"/>
      <c r="M4837" s="15"/>
      <c r="N4837" s="18"/>
      <c r="O4837" s="14"/>
      <c r="P4837" s="17"/>
      <c r="R4837" s="14" t="e">
        <v>#N/A</v>
      </c>
      <c r="T4837" s="17"/>
      <c r="U4837" s="17"/>
      <c r="V4837" s="17"/>
      <c r="W4837" s="4"/>
      <c r="X4837" s="17"/>
      <c r="Y4837" s="4"/>
      <c r="Z4837" s="17">
        <v>18</v>
      </c>
      <c r="AA4837" s="17"/>
      <c r="AB4837" s="17"/>
      <c r="AC4837" s="14"/>
      <c r="AD4837" s="14"/>
      <c r="AE4837" s="17"/>
      <c r="AF4837" s="14">
        <v>3</v>
      </c>
      <c r="AG4837" s="54">
        <v>160</v>
      </c>
      <c r="AH4837" s="11">
        <v>0.11</v>
      </c>
      <c r="AI4837" s="14">
        <v>8100</v>
      </c>
      <c r="AJ4837" s="19">
        <v>142560</v>
      </c>
      <c r="AK4837" s="23">
        <v>6</v>
      </c>
      <c r="AL4837" s="11">
        <v>0.06</v>
      </c>
      <c r="AM4837" s="19">
        <v>134006.39999999999</v>
      </c>
      <c r="AN4837" s="19">
        <v>157766.39999999999</v>
      </c>
      <c r="AO4837" s="14"/>
      <c r="AP4837" s="14">
        <v>157766.39999999999</v>
      </c>
      <c r="AQ4837" s="12">
        <v>3.0000000000000001E-3</v>
      </c>
      <c r="AS4837" s="26"/>
    </row>
    <row r="4838" spans="1:45" s="19" customFormat="1" x14ac:dyDescent="0.2">
      <c r="A4838" s="2">
        <v>4072</v>
      </c>
      <c r="B4838" s="13">
        <v>5</v>
      </c>
      <c r="C4838" s="17" t="s">
        <v>65</v>
      </c>
      <c r="D4838" s="17">
        <v>2380</v>
      </c>
      <c r="E4838" s="17">
        <v>189</v>
      </c>
      <c r="F4838" s="17"/>
      <c r="G4838" s="13"/>
      <c r="H4838" s="17">
        <v>11</v>
      </c>
      <c r="I4838" s="17">
        <v>1</v>
      </c>
      <c r="J4838" s="17">
        <v>0</v>
      </c>
      <c r="K4838" s="10">
        <v>4500</v>
      </c>
      <c r="L4838" s="17"/>
      <c r="M4838" s="15"/>
      <c r="N4838" s="18"/>
      <c r="O4838" s="14"/>
      <c r="P4838" s="17">
        <v>1</v>
      </c>
      <c r="Q4838" s="19">
        <v>4500</v>
      </c>
      <c r="R4838" s="14">
        <v>250</v>
      </c>
      <c r="S4838" s="19">
        <v>1125000</v>
      </c>
      <c r="T4838" s="17"/>
      <c r="U4838" s="17"/>
      <c r="V4838" s="17"/>
      <c r="W4838" s="4"/>
      <c r="X4838" s="17"/>
      <c r="Y4838" s="4"/>
      <c r="Z4838" s="17"/>
      <c r="AA4838" s="17"/>
      <c r="AB4838" s="17"/>
      <c r="AC4838" s="14"/>
      <c r="AD4838" s="14"/>
      <c r="AE4838" s="17"/>
      <c r="AF4838" s="14"/>
      <c r="AG4838" s="54"/>
      <c r="AH4838" s="11"/>
      <c r="AI4838" s="14"/>
      <c r="AJ4838" s="19">
        <v>0</v>
      </c>
      <c r="AK4838" s="23">
        <v>0</v>
      </c>
      <c r="AL4838" s="11"/>
      <c r="AM4838" s="19">
        <v>0</v>
      </c>
      <c r="AN4838" s="19">
        <v>1125000</v>
      </c>
      <c r="AO4838" s="14"/>
      <c r="AP4838" s="14">
        <v>1125000</v>
      </c>
      <c r="AQ4838" s="12">
        <v>1E-4</v>
      </c>
      <c r="AS4838" s="26"/>
    </row>
    <row r="4839" spans="1:45" s="19" customFormat="1" x14ac:dyDescent="0.2">
      <c r="A4839" s="2">
        <f>+A4838+1</f>
        <v>4073</v>
      </c>
      <c r="B4839" s="13">
        <v>6</v>
      </c>
      <c r="C4839" s="17" t="s">
        <v>65</v>
      </c>
      <c r="D4839" s="17">
        <v>2560</v>
      </c>
      <c r="E4839" s="17">
        <v>218</v>
      </c>
      <c r="F4839" s="17"/>
      <c r="G4839" s="13"/>
      <c r="H4839" s="17">
        <v>6</v>
      </c>
      <c r="I4839" s="17">
        <v>3</v>
      </c>
      <c r="J4839" s="17">
        <v>27</v>
      </c>
      <c r="K4839" s="10">
        <v>2727</v>
      </c>
      <c r="L4839" s="17"/>
      <c r="M4839" s="15"/>
      <c r="N4839" s="18"/>
      <c r="O4839" s="14"/>
      <c r="P4839" s="17">
        <v>1</v>
      </c>
      <c r="Q4839" s="19">
        <v>2727</v>
      </c>
      <c r="R4839" s="14">
        <v>200</v>
      </c>
      <c r="S4839" s="19">
        <v>545400</v>
      </c>
      <c r="T4839" s="17"/>
      <c r="U4839" s="17"/>
      <c r="V4839" s="17"/>
      <c r="W4839" s="4"/>
      <c r="X4839" s="17"/>
      <c r="Y4839" s="4"/>
      <c r="Z4839" s="17"/>
      <c r="AA4839" s="17"/>
      <c r="AB4839" s="17"/>
      <c r="AC4839" s="14"/>
      <c r="AD4839" s="14"/>
      <c r="AE4839" s="17"/>
      <c r="AF4839" s="14"/>
      <c r="AG4839" s="54"/>
      <c r="AH4839" s="11"/>
      <c r="AI4839" s="14"/>
      <c r="AJ4839" s="19">
        <v>0</v>
      </c>
      <c r="AK4839" s="23">
        <v>0</v>
      </c>
      <c r="AL4839" s="11"/>
      <c r="AM4839" s="19">
        <v>0</v>
      </c>
      <c r="AN4839" s="19">
        <v>545400</v>
      </c>
      <c r="AO4839" s="14"/>
      <c r="AP4839" s="14">
        <v>545400</v>
      </c>
      <c r="AQ4839" s="12">
        <v>1E-4</v>
      </c>
      <c r="AS4839" s="26"/>
    </row>
    <row r="4840" spans="1:45" s="19" customFormat="1" x14ac:dyDescent="0.2">
      <c r="A4840" s="122">
        <f t="shared" ref="A4840:A4842" si="559">+A4839+1</f>
        <v>4074</v>
      </c>
      <c r="B4840" s="13">
        <v>7</v>
      </c>
      <c r="C4840" s="17" t="s">
        <v>65</v>
      </c>
      <c r="D4840" s="17">
        <v>2561</v>
      </c>
      <c r="E4840" s="17">
        <v>219</v>
      </c>
      <c r="F4840" s="17"/>
      <c r="G4840" s="13"/>
      <c r="H4840" s="17">
        <v>5</v>
      </c>
      <c r="I4840" s="17">
        <v>2</v>
      </c>
      <c r="J4840" s="17">
        <v>14</v>
      </c>
      <c r="K4840" s="10">
        <v>2214</v>
      </c>
      <c r="L4840" s="17"/>
      <c r="M4840" s="15"/>
      <c r="N4840" s="18"/>
      <c r="O4840" s="14"/>
      <c r="P4840" s="17">
        <v>1</v>
      </c>
      <c r="Q4840" s="19">
        <v>2214</v>
      </c>
      <c r="R4840" s="14">
        <v>200</v>
      </c>
      <c r="S4840" s="19">
        <v>442800</v>
      </c>
      <c r="T4840" s="17"/>
      <c r="U4840" s="17"/>
      <c r="V4840" s="17"/>
      <c r="W4840" s="4"/>
      <c r="X4840" s="17"/>
      <c r="Y4840" s="4"/>
      <c r="Z4840" s="17"/>
      <c r="AA4840" s="17"/>
      <c r="AB4840" s="17"/>
      <c r="AC4840" s="14"/>
      <c r="AD4840" s="14"/>
      <c r="AE4840" s="17"/>
      <c r="AF4840" s="14"/>
      <c r="AG4840" s="54"/>
      <c r="AH4840" s="11"/>
      <c r="AI4840" s="14"/>
      <c r="AJ4840" s="19">
        <v>0</v>
      </c>
      <c r="AK4840" s="23">
        <v>0</v>
      </c>
      <c r="AL4840" s="11"/>
      <c r="AM4840" s="19">
        <v>0</v>
      </c>
      <c r="AN4840" s="19">
        <v>442800</v>
      </c>
      <c r="AO4840" s="14"/>
      <c r="AP4840" s="14">
        <v>442800</v>
      </c>
      <c r="AQ4840" s="12">
        <v>1E-4</v>
      </c>
      <c r="AS4840" s="26"/>
    </row>
    <row r="4841" spans="1:45" s="19" customFormat="1" x14ac:dyDescent="0.2">
      <c r="A4841" s="122">
        <f t="shared" si="559"/>
        <v>4075</v>
      </c>
      <c r="B4841" s="13">
        <v>8</v>
      </c>
      <c r="C4841" s="17" t="s">
        <v>65</v>
      </c>
      <c r="D4841" s="17">
        <v>2682</v>
      </c>
      <c r="E4841" s="17">
        <v>189</v>
      </c>
      <c r="F4841" s="17"/>
      <c r="G4841" s="13"/>
      <c r="H4841" s="17">
        <v>0</v>
      </c>
      <c r="I4841" s="17">
        <v>1</v>
      </c>
      <c r="J4841" s="17">
        <v>57</v>
      </c>
      <c r="K4841" s="10">
        <v>157</v>
      </c>
      <c r="L4841" s="17"/>
      <c r="M4841" s="15"/>
      <c r="N4841" s="18"/>
      <c r="O4841" s="14"/>
      <c r="P4841" s="17">
        <v>1</v>
      </c>
      <c r="Q4841" s="19">
        <v>157</v>
      </c>
      <c r="R4841" s="14">
        <v>1500</v>
      </c>
      <c r="S4841" s="19">
        <v>235500</v>
      </c>
      <c r="T4841" s="17"/>
      <c r="U4841" s="17"/>
      <c r="V4841" s="17"/>
      <c r="W4841" s="4"/>
      <c r="X4841" s="17"/>
      <c r="Y4841" s="4"/>
      <c r="Z4841" s="17"/>
      <c r="AA4841" s="17"/>
      <c r="AB4841" s="17"/>
      <c r="AC4841" s="14"/>
      <c r="AD4841" s="14"/>
      <c r="AE4841" s="17"/>
      <c r="AF4841" s="14"/>
      <c r="AG4841" s="54"/>
      <c r="AH4841" s="11"/>
      <c r="AI4841" s="14"/>
      <c r="AJ4841" s="19">
        <v>0</v>
      </c>
      <c r="AK4841" s="23">
        <v>0</v>
      </c>
      <c r="AL4841" s="11"/>
      <c r="AM4841" s="19">
        <v>0</v>
      </c>
      <c r="AN4841" s="19">
        <v>235500</v>
      </c>
      <c r="AO4841" s="14"/>
      <c r="AP4841" s="14">
        <v>235500</v>
      </c>
      <c r="AQ4841" s="12">
        <v>1E-4</v>
      </c>
      <c r="AS4841" s="26"/>
    </row>
    <row r="4842" spans="1:45" s="19" customFormat="1" x14ac:dyDescent="0.2">
      <c r="A4842" s="122">
        <f t="shared" si="559"/>
        <v>4076</v>
      </c>
      <c r="B4842" s="13">
        <v>5</v>
      </c>
      <c r="C4842" s="17" t="s">
        <v>65</v>
      </c>
      <c r="D4842" s="17">
        <v>901</v>
      </c>
      <c r="E4842" s="17">
        <v>208</v>
      </c>
      <c r="F4842" s="17"/>
      <c r="G4842" s="13"/>
      <c r="H4842" s="17">
        <v>3</v>
      </c>
      <c r="I4842" s="17">
        <v>2</v>
      </c>
      <c r="J4842" s="17">
        <v>28</v>
      </c>
      <c r="K4842" s="10">
        <v>1428</v>
      </c>
      <c r="L4842" s="17"/>
      <c r="M4842" s="15"/>
      <c r="N4842" s="18"/>
      <c r="O4842" s="14"/>
      <c r="P4842" s="17"/>
      <c r="Q4842" s="19">
        <v>1428</v>
      </c>
      <c r="R4842" s="14">
        <v>250</v>
      </c>
      <c r="S4842" s="19">
        <v>357000</v>
      </c>
      <c r="T4842" s="17"/>
      <c r="U4842" s="17"/>
      <c r="V4842" s="17"/>
      <c r="W4842" s="4"/>
      <c r="X4842" s="17"/>
      <c r="Y4842" s="4"/>
      <c r="Z4842" s="17"/>
      <c r="AA4842" s="17"/>
      <c r="AB4842" s="17"/>
      <c r="AC4842" s="14"/>
      <c r="AD4842" s="14"/>
      <c r="AE4842" s="17" t="s">
        <v>94</v>
      </c>
      <c r="AF4842" s="14"/>
      <c r="AG4842" s="54"/>
      <c r="AH4842" s="11"/>
      <c r="AI4842" s="14"/>
      <c r="AJ4842" s="19">
        <v>0</v>
      </c>
      <c r="AK4842" s="23">
        <v>0</v>
      </c>
      <c r="AL4842" s="11"/>
      <c r="AM4842" s="19">
        <v>0</v>
      </c>
      <c r="AN4842" s="19">
        <v>357000</v>
      </c>
      <c r="AO4842" s="14"/>
      <c r="AP4842" s="14">
        <v>357000</v>
      </c>
      <c r="AQ4842" s="12">
        <v>1E-4</v>
      </c>
      <c r="AS4842" s="26"/>
    </row>
    <row r="4843" spans="1:45" s="19" customFormat="1" x14ac:dyDescent="0.2">
      <c r="A4843" s="2"/>
      <c r="B4843" s="13">
        <v>10</v>
      </c>
      <c r="C4843" s="17" t="s">
        <v>65</v>
      </c>
      <c r="D4843" s="17">
        <v>2695</v>
      </c>
      <c r="E4843" s="17">
        <v>340</v>
      </c>
      <c r="F4843" s="17"/>
      <c r="G4843" s="13"/>
      <c r="H4843" s="17">
        <v>0</v>
      </c>
      <c r="I4843" s="17">
        <v>0</v>
      </c>
      <c r="J4843" s="17">
        <v>56</v>
      </c>
      <c r="K4843" s="10"/>
      <c r="L4843" s="17"/>
      <c r="M4843" s="15"/>
      <c r="N4843" s="18">
        <v>56</v>
      </c>
      <c r="O4843" s="14"/>
      <c r="P4843" s="17"/>
      <c r="Q4843" s="19">
        <v>56</v>
      </c>
      <c r="R4843" s="14" t="e">
        <v>#N/A</v>
      </c>
      <c r="S4843" s="19" t="e">
        <v>#N/A</v>
      </c>
      <c r="T4843" s="17"/>
      <c r="U4843" s="17"/>
      <c r="V4843" s="17"/>
      <c r="W4843" s="4"/>
      <c r="X4843" s="17"/>
      <c r="Y4843" s="4"/>
      <c r="Z4843" s="17"/>
      <c r="AA4843" s="17"/>
      <c r="AB4843" s="17"/>
      <c r="AC4843" s="14"/>
      <c r="AD4843" s="14"/>
      <c r="AE4843" s="17" t="s">
        <v>95</v>
      </c>
      <c r="AF4843" s="14"/>
      <c r="AG4843" s="54"/>
      <c r="AH4843" s="11"/>
      <c r="AI4843" s="14"/>
      <c r="AJ4843" s="19">
        <v>0</v>
      </c>
      <c r="AK4843" s="23">
        <v>0</v>
      </c>
      <c r="AL4843" s="11"/>
      <c r="AM4843" s="19">
        <v>0</v>
      </c>
      <c r="AN4843" s="19" t="e">
        <v>#N/A</v>
      </c>
      <c r="AO4843" s="14"/>
      <c r="AP4843" s="14" t="e">
        <v>#N/A</v>
      </c>
      <c r="AQ4843" s="12">
        <v>3.0000000000000001E-3</v>
      </c>
      <c r="AS4843" s="26"/>
    </row>
    <row r="4844" spans="1:45" s="19" customFormat="1" x14ac:dyDescent="0.2">
      <c r="A4844" s="2">
        <v>4077</v>
      </c>
      <c r="B4844" s="13">
        <v>1</v>
      </c>
      <c r="C4844" s="17" t="s">
        <v>52</v>
      </c>
      <c r="D4844" s="17">
        <v>37707</v>
      </c>
      <c r="E4844" s="17">
        <v>247</v>
      </c>
      <c r="F4844" s="17">
        <v>7631</v>
      </c>
      <c r="G4844" s="13">
        <v>2</v>
      </c>
      <c r="H4844" s="17">
        <v>0</v>
      </c>
      <c r="I4844" s="17">
        <v>1</v>
      </c>
      <c r="J4844" s="17">
        <v>8</v>
      </c>
      <c r="K4844" s="10"/>
      <c r="L4844" s="17"/>
      <c r="M4844" s="15"/>
      <c r="N4844" s="18"/>
      <c r="O4844" s="14"/>
      <c r="P4844" s="17"/>
      <c r="Q4844" s="19">
        <v>108</v>
      </c>
      <c r="R4844" s="14">
        <v>250</v>
      </c>
      <c r="S4844" s="19">
        <v>27000</v>
      </c>
      <c r="T4844" s="17"/>
      <c r="U4844" s="17"/>
      <c r="V4844" s="17"/>
      <c r="W4844" s="4"/>
      <c r="X4844" s="17"/>
      <c r="Y4844" s="4"/>
      <c r="Z4844" s="17"/>
      <c r="AA4844" s="17"/>
      <c r="AB4844" s="17"/>
      <c r="AC4844" s="14"/>
      <c r="AD4844" s="14"/>
      <c r="AE4844" s="17"/>
      <c r="AF4844" s="14"/>
      <c r="AG4844" s="54"/>
      <c r="AH4844" s="11"/>
      <c r="AI4844" s="14"/>
      <c r="AJ4844" s="19">
        <v>0</v>
      </c>
      <c r="AK4844" s="23">
        <v>0</v>
      </c>
      <c r="AL4844" s="11"/>
      <c r="AM4844" s="19">
        <v>0</v>
      </c>
      <c r="AN4844" s="19">
        <v>27000</v>
      </c>
      <c r="AO4844" s="14"/>
      <c r="AP4844" s="14">
        <v>27000</v>
      </c>
      <c r="AQ4844" s="12"/>
      <c r="AS4844" s="26"/>
    </row>
    <row r="4845" spans="1:45" s="19" customFormat="1" x14ac:dyDescent="0.2">
      <c r="A4845" s="2">
        <f>+A4844+1</f>
        <v>4078</v>
      </c>
      <c r="B4845" s="13">
        <v>1</v>
      </c>
      <c r="C4845" s="17" t="s">
        <v>52</v>
      </c>
      <c r="D4845" s="17">
        <v>37709</v>
      </c>
      <c r="E4845" s="17">
        <v>249</v>
      </c>
      <c r="F4845" s="17">
        <v>7633</v>
      </c>
      <c r="G4845" s="13">
        <v>2</v>
      </c>
      <c r="H4845" s="17">
        <v>0</v>
      </c>
      <c r="I4845" s="17">
        <v>1</v>
      </c>
      <c r="J4845" s="17">
        <v>1</v>
      </c>
      <c r="K4845" s="10"/>
      <c r="L4845" s="17"/>
      <c r="M4845" s="15"/>
      <c r="N4845" s="18"/>
      <c r="O4845" s="14"/>
      <c r="P4845" s="17"/>
      <c r="Q4845" s="19">
        <v>101</v>
      </c>
      <c r="R4845" s="14">
        <v>250</v>
      </c>
      <c r="S4845" s="19">
        <v>25250</v>
      </c>
      <c r="T4845" s="17"/>
      <c r="U4845" s="17"/>
      <c r="V4845" s="17"/>
      <c r="W4845" s="4"/>
      <c r="X4845" s="17"/>
      <c r="Y4845" s="4"/>
      <c r="Z4845" s="17"/>
      <c r="AA4845" s="17"/>
      <c r="AB4845" s="17"/>
      <c r="AC4845" s="14"/>
      <c r="AD4845" s="14"/>
      <c r="AE4845" s="17"/>
      <c r="AF4845" s="14"/>
      <c r="AG4845" s="54"/>
      <c r="AH4845" s="11"/>
      <c r="AI4845" s="14"/>
      <c r="AJ4845" s="19">
        <v>0</v>
      </c>
      <c r="AK4845" s="23">
        <v>0</v>
      </c>
      <c r="AL4845" s="11"/>
      <c r="AM4845" s="19">
        <v>0</v>
      </c>
      <c r="AN4845" s="19">
        <v>25250</v>
      </c>
      <c r="AO4845" s="14"/>
      <c r="AP4845" s="14">
        <v>25250</v>
      </c>
      <c r="AQ4845" s="12"/>
      <c r="AS4845" s="26"/>
    </row>
    <row r="4846" spans="1:45" s="19" customFormat="1" x14ac:dyDescent="0.2">
      <c r="A4846" s="122">
        <f t="shared" ref="A4846:A4852" si="560">+A4845+1</f>
        <v>4079</v>
      </c>
      <c r="B4846" s="13">
        <v>1</v>
      </c>
      <c r="C4846" s="17" t="s">
        <v>52</v>
      </c>
      <c r="D4846" s="17">
        <v>3406</v>
      </c>
      <c r="E4846" s="17">
        <v>39</v>
      </c>
      <c r="F4846" s="17">
        <v>2210</v>
      </c>
      <c r="G4846" s="13">
        <v>2</v>
      </c>
      <c r="H4846" s="17">
        <v>0</v>
      </c>
      <c r="I4846" s="17">
        <v>1</v>
      </c>
      <c r="J4846" s="17">
        <v>10</v>
      </c>
      <c r="K4846" s="10">
        <v>110</v>
      </c>
      <c r="L4846" s="17"/>
      <c r="M4846" s="15"/>
      <c r="N4846" s="18"/>
      <c r="O4846" s="14"/>
      <c r="P4846" s="17">
        <v>1</v>
      </c>
      <c r="Q4846" s="19">
        <v>110</v>
      </c>
      <c r="R4846" s="14">
        <v>200</v>
      </c>
      <c r="S4846" s="19">
        <v>22000</v>
      </c>
      <c r="T4846" s="17"/>
      <c r="U4846" s="17"/>
      <c r="V4846" s="17"/>
      <c r="W4846" s="4"/>
      <c r="X4846" s="17"/>
      <c r="Y4846" s="4"/>
      <c r="Z4846" s="17"/>
      <c r="AA4846" s="17"/>
      <c r="AB4846" s="17"/>
      <c r="AC4846" s="14"/>
      <c r="AD4846" s="14"/>
      <c r="AE4846" s="17"/>
      <c r="AF4846" s="14"/>
      <c r="AG4846" s="54"/>
      <c r="AH4846" s="11"/>
      <c r="AI4846" s="14"/>
      <c r="AJ4846" s="19">
        <v>0</v>
      </c>
      <c r="AK4846" s="23">
        <v>0</v>
      </c>
      <c r="AL4846" s="11"/>
      <c r="AM4846" s="19">
        <v>0</v>
      </c>
      <c r="AN4846" s="19">
        <v>22000</v>
      </c>
      <c r="AO4846" s="14"/>
      <c r="AP4846" s="14">
        <v>22000</v>
      </c>
      <c r="AQ4846" s="12"/>
      <c r="AS4846" s="26"/>
    </row>
    <row r="4847" spans="1:45" s="19" customFormat="1" ht="63" x14ac:dyDescent="0.2">
      <c r="A4847" s="122">
        <f t="shared" si="560"/>
        <v>4080</v>
      </c>
      <c r="B4847" s="13">
        <v>1</v>
      </c>
      <c r="C4847" s="17" t="s">
        <v>52</v>
      </c>
      <c r="D4847" s="17">
        <v>11651</v>
      </c>
      <c r="E4847" s="17">
        <v>118</v>
      </c>
      <c r="F4847" s="17">
        <v>3175</v>
      </c>
      <c r="G4847" s="13">
        <v>2</v>
      </c>
      <c r="H4847" s="17">
        <v>0</v>
      </c>
      <c r="I4847" s="17">
        <v>1</v>
      </c>
      <c r="J4847" s="17">
        <v>82.05</v>
      </c>
      <c r="K4847" s="10"/>
      <c r="L4847" s="17">
        <v>182.05</v>
      </c>
      <c r="M4847" s="15"/>
      <c r="N4847" s="18"/>
      <c r="O4847" s="14"/>
      <c r="P4847" s="17">
        <v>2</v>
      </c>
      <c r="Q4847" s="19">
        <v>182.05</v>
      </c>
      <c r="R4847" s="14">
        <v>250</v>
      </c>
      <c r="S4847" s="19">
        <v>45512.5</v>
      </c>
      <c r="T4847" s="17">
        <v>1</v>
      </c>
      <c r="U4847" s="17" t="s">
        <v>57</v>
      </c>
      <c r="V4847" s="17" t="s">
        <v>84</v>
      </c>
      <c r="W4847" s="4">
        <v>50</v>
      </c>
      <c r="X4847" s="17"/>
      <c r="Y4847" s="4">
        <v>50</v>
      </c>
      <c r="Z4847" s="17"/>
      <c r="AA4847" s="17"/>
      <c r="AB4847" s="17">
        <v>15</v>
      </c>
      <c r="AC4847" s="14"/>
      <c r="AD4847" s="14"/>
      <c r="AE4847" s="17"/>
      <c r="AF4847" s="14"/>
      <c r="AG4847" s="54"/>
      <c r="AH4847" s="11"/>
      <c r="AI4847" s="14"/>
      <c r="AJ4847" s="19">
        <v>0</v>
      </c>
      <c r="AK4847" s="23">
        <v>15</v>
      </c>
      <c r="AL4847" s="11"/>
      <c r="AM4847" s="19">
        <v>0</v>
      </c>
      <c r="AN4847" s="19">
        <v>45512.5</v>
      </c>
      <c r="AO4847" s="14"/>
      <c r="AP4847" s="14">
        <v>45512.5</v>
      </c>
      <c r="AQ4847" s="12"/>
      <c r="AS4847" s="26"/>
    </row>
    <row r="4848" spans="1:45" s="19" customFormat="1" x14ac:dyDescent="0.2">
      <c r="A4848" s="122">
        <f t="shared" si="560"/>
        <v>4081</v>
      </c>
      <c r="B4848" s="13">
        <v>1</v>
      </c>
      <c r="C4848" s="17" t="s">
        <v>52</v>
      </c>
      <c r="D4848" s="17">
        <v>3863</v>
      </c>
      <c r="E4848" s="17">
        <v>35</v>
      </c>
      <c r="F4848" s="17">
        <v>2417</v>
      </c>
      <c r="G4848" s="13">
        <v>2</v>
      </c>
      <c r="H4848" s="17">
        <v>2</v>
      </c>
      <c r="I4848" s="17">
        <v>3</v>
      </c>
      <c r="J4848" s="17">
        <v>63</v>
      </c>
      <c r="K4848" s="10">
        <v>1163</v>
      </c>
      <c r="L4848" s="17"/>
      <c r="M4848" s="15"/>
      <c r="N4848" s="18"/>
      <c r="O4848" s="14"/>
      <c r="P4848" s="17">
        <v>1</v>
      </c>
      <c r="Q4848" s="19">
        <v>1163</v>
      </c>
      <c r="R4848" s="14">
        <v>200</v>
      </c>
      <c r="S4848" s="19">
        <v>232600</v>
      </c>
      <c r="T4848" s="17"/>
      <c r="U4848" s="17"/>
      <c r="V4848" s="17"/>
      <c r="W4848" s="4"/>
      <c r="X4848" s="17"/>
      <c r="Y4848" s="4"/>
      <c r="Z4848" s="17"/>
      <c r="AA4848" s="17"/>
      <c r="AB4848" s="17"/>
      <c r="AC4848" s="14"/>
      <c r="AD4848" s="14"/>
      <c r="AE4848" s="17"/>
      <c r="AF4848" s="14"/>
      <c r="AG4848" s="54"/>
      <c r="AH4848" s="11"/>
      <c r="AI4848" s="14"/>
      <c r="AJ4848" s="19">
        <v>0</v>
      </c>
      <c r="AK4848" s="23">
        <v>0</v>
      </c>
      <c r="AL4848" s="11"/>
      <c r="AM4848" s="19">
        <v>0</v>
      </c>
      <c r="AN4848" s="19">
        <v>232600</v>
      </c>
      <c r="AO4848" s="14"/>
      <c r="AP4848" s="14">
        <v>232600</v>
      </c>
      <c r="AQ4848" s="12"/>
      <c r="AS4848" s="26"/>
    </row>
    <row r="4849" spans="1:45" ht="63" x14ac:dyDescent="0.2">
      <c r="A4849" s="122">
        <f t="shared" si="560"/>
        <v>4082</v>
      </c>
      <c r="B4849" s="13">
        <v>1</v>
      </c>
      <c r="C4849" s="17" t="s">
        <v>52</v>
      </c>
      <c r="D4849" s="17">
        <v>3164</v>
      </c>
      <c r="E4849" s="17">
        <v>34</v>
      </c>
      <c r="F4849" s="17">
        <v>2032</v>
      </c>
      <c r="G4849" s="13">
        <v>2</v>
      </c>
      <c r="H4849" s="17">
        <v>3</v>
      </c>
      <c r="I4849" s="17">
        <v>3</v>
      </c>
      <c r="J4849" s="17">
        <v>80</v>
      </c>
      <c r="K4849" s="10">
        <v>1545</v>
      </c>
      <c r="L4849" s="17">
        <v>35</v>
      </c>
      <c r="P4849" s="17">
        <v>5</v>
      </c>
      <c r="Q4849" s="19">
        <v>1580</v>
      </c>
      <c r="R4849" s="14">
        <v>200</v>
      </c>
      <c r="S4849" s="19">
        <v>316000</v>
      </c>
      <c r="T4849" s="17">
        <v>1</v>
      </c>
      <c r="U4849" s="17" t="s">
        <v>57</v>
      </c>
      <c r="V4849" s="17" t="s">
        <v>56</v>
      </c>
      <c r="W4849" s="4">
        <v>140</v>
      </c>
      <c r="Y4849" s="4">
        <v>140</v>
      </c>
      <c r="AB4849" s="17">
        <v>18</v>
      </c>
      <c r="AJ4849" s="19">
        <v>0</v>
      </c>
      <c r="AK4849" s="23">
        <v>18</v>
      </c>
      <c r="AM4849" s="19">
        <v>0</v>
      </c>
      <c r="AN4849" s="19">
        <v>316000</v>
      </c>
      <c r="AP4849" s="14">
        <v>316000</v>
      </c>
      <c r="AS4849" s="26">
        <v>52</v>
      </c>
    </row>
    <row r="4850" spans="1:45" x14ac:dyDescent="0.2">
      <c r="A4850" s="122">
        <f t="shared" si="560"/>
        <v>4083</v>
      </c>
      <c r="B4850" s="13">
        <v>2</v>
      </c>
      <c r="C4850" s="17" t="s">
        <v>52</v>
      </c>
      <c r="D4850" s="17">
        <v>3598</v>
      </c>
      <c r="E4850" s="17">
        <v>57</v>
      </c>
      <c r="F4850" s="17">
        <v>2229</v>
      </c>
      <c r="G4850" s="13">
        <v>2</v>
      </c>
      <c r="H4850" s="17">
        <v>6</v>
      </c>
      <c r="I4850" s="17">
        <v>2</v>
      </c>
      <c r="J4850" s="17">
        <v>5</v>
      </c>
      <c r="K4850" s="10">
        <v>2605</v>
      </c>
      <c r="P4850" s="17">
        <v>1</v>
      </c>
      <c r="Q4850" s="19">
        <v>2605</v>
      </c>
      <c r="R4850" s="14">
        <v>200</v>
      </c>
      <c r="S4850" s="19">
        <v>521000</v>
      </c>
      <c r="AJ4850" s="19">
        <v>0</v>
      </c>
      <c r="AK4850" s="23">
        <v>0</v>
      </c>
      <c r="AM4850" s="19">
        <v>0</v>
      </c>
      <c r="AN4850" s="19">
        <v>521000</v>
      </c>
      <c r="AP4850" s="14">
        <v>521000</v>
      </c>
    </row>
    <row r="4851" spans="1:45" x14ac:dyDescent="0.2">
      <c r="A4851" s="122">
        <f t="shared" si="560"/>
        <v>4084</v>
      </c>
      <c r="B4851" s="13">
        <v>1</v>
      </c>
      <c r="C4851" s="17" t="s">
        <v>52</v>
      </c>
      <c r="D4851" s="17">
        <v>4672</v>
      </c>
      <c r="E4851" s="17">
        <v>86</v>
      </c>
      <c r="F4851" s="17">
        <v>2502</v>
      </c>
      <c r="G4851" s="13">
        <v>1</v>
      </c>
      <c r="H4851" s="17">
        <v>5</v>
      </c>
      <c r="I4851" s="17">
        <v>1</v>
      </c>
      <c r="J4851" s="17">
        <v>83</v>
      </c>
      <c r="K4851" s="10">
        <v>2183</v>
      </c>
      <c r="P4851" s="17">
        <v>1</v>
      </c>
      <c r="Q4851" s="19">
        <v>2183</v>
      </c>
      <c r="R4851" s="14">
        <v>200</v>
      </c>
      <c r="S4851" s="19">
        <v>436600</v>
      </c>
      <c r="AJ4851" s="19">
        <v>0</v>
      </c>
      <c r="AK4851" s="23">
        <v>0</v>
      </c>
      <c r="AM4851" s="19">
        <v>0</v>
      </c>
      <c r="AN4851" s="19">
        <v>436600</v>
      </c>
      <c r="AP4851" s="14">
        <v>436600</v>
      </c>
    </row>
    <row r="4852" spans="1:45" ht="63" x14ac:dyDescent="0.2">
      <c r="A4852" s="122">
        <f t="shared" si="560"/>
        <v>4085</v>
      </c>
      <c r="B4852" s="13">
        <v>2</v>
      </c>
      <c r="C4852" s="17" t="s">
        <v>52</v>
      </c>
      <c r="D4852" s="17">
        <v>3374</v>
      </c>
      <c r="E4852" s="17">
        <v>70</v>
      </c>
      <c r="F4852" s="17">
        <v>2160</v>
      </c>
      <c r="G4852" s="13">
        <v>2</v>
      </c>
      <c r="H4852" s="17">
        <v>13</v>
      </c>
      <c r="I4852" s="17">
        <v>0</v>
      </c>
      <c r="J4852" s="17">
        <v>71</v>
      </c>
      <c r="K4852" s="10">
        <v>5216.5</v>
      </c>
      <c r="L4852" s="17">
        <v>24.5</v>
      </c>
      <c r="P4852" s="17">
        <v>5</v>
      </c>
      <c r="Q4852" s="19">
        <v>5271</v>
      </c>
      <c r="R4852" s="14">
        <v>200</v>
      </c>
      <c r="S4852" s="19">
        <v>1054200</v>
      </c>
      <c r="T4852" s="17">
        <v>1</v>
      </c>
      <c r="U4852" s="17" t="s">
        <v>57</v>
      </c>
      <c r="V4852" s="17" t="s">
        <v>56</v>
      </c>
      <c r="W4852" s="4">
        <v>98</v>
      </c>
      <c r="Y4852" s="4">
        <v>98</v>
      </c>
      <c r="AB4852" s="17">
        <v>16</v>
      </c>
      <c r="AJ4852" s="19">
        <v>0</v>
      </c>
      <c r="AK4852" s="23">
        <v>16</v>
      </c>
      <c r="AM4852" s="19">
        <v>0</v>
      </c>
      <c r="AN4852" s="19">
        <v>1054200</v>
      </c>
      <c r="AP4852" s="14">
        <v>1054200</v>
      </c>
    </row>
    <row r="4853" spans="1:45" ht="63" x14ac:dyDescent="0.2">
      <c r="L4853" s="17">
        <v>30</v>
      </c>
      <c r="Q4853" s="19">
        <v>0</v>
      </c>
      <c r="R4853" s="14" t="e">
        <v>#N/A</v>
      </c>
      <c r="S4853" s="19" t="e">
        <v>#N/A</v>
      </c>
      <c r="T4853" s="17">
        <v>2</v>
      </c>
      <c r="U4853" s="17" t="s">
        <v>57</v>
      </c>
      <c r="V4853" s="17" t="s">
        <v>56</v>
      </c>
      <c r="W4853" s="4">
        <v>120</v>
      </c>
      <c r="Y4853" s="4">
        <v>120</v>
      </c>
      <c r="AB4853" s="17">
        <v>30</v>
      </c>
      <c r="AJ4853" s="19">
        <v>0</v>
      </c>
      <c r="AK4853" s="23">
        <v>30</v>
      </c>
      <c r="AM4853" s="19">
        <v>0</v>
      </c>
      <c r="AN4853" s="19" t="e">
        <v>#N/A</v>
      </c>
      <c r="AP4853" s="14" t="e">
        <v>#N/A</v>
      </c>
    </row>
    <row r="4854" spans="1:45" ht="63" x14ac:dyDescent="0.2">
      <c r="Q4854" s="19">
        <v>0</v>
      </c>
      <c r="R4854" s="14" t="e">
        <v>#N/A</v>
      </c>
      <c r="T4854" s="17">
        <v>3</v>
      </c>
      <c r="U4854" s="17" t="s">
        <v>57</v>
      </c>
      <c r="V4854" s="17" t="s">
        <v>56</v>
      </c>
      <c r="W4854" s="4">
        <v>44</v>
      </c>
      <c r="Y4854" s="4" t="s">
        <v>426</v>
      </c>
      <c r="AB4854" s="17">
        <v>1</v>
      </c>
      <c r="AK4854" s="23">
        <v>1</v>
      </c>
    </row>
    <row r="4855" spans="1:45" x14ac:dyDescent="0.2">
      <c r="A4855" s="2">
        <v>4086</v>
      </c>
      <c r="B4855" s="13">
        <v>1</v>
      </c>
      <c r="C4855" s="17" t="s">
        <v>52</v>
      </c>
      <c r="D4855" s="17">
        <v>2947</v>
      </c>
      <c r="E4855" s="17">
        <v>50</v>
      </c>
      <c r="F4855" s="17">
        <v>2009</v>
      </c>
      <c r="G4855" s="13">
        <v>2</v>
      </c>
      <c r="H4855" s="17">
        <v>3</v>
      </c>
      <c r="I4855" s="17">
        <v>0</v>
      </c>
      <c r="J4855" s="17">
        <v>30</v>
      </c>
      <c r="K4855" s="10">
        <v>1230</v>
      </c>
      <c r="P4855" s="17">
        <v>1</v>
      </c>
      <c r="Q4855" s="19">
        <v>1230</v>
      </c>
      <c r="R4855" s="14">
        <v>200</v>
      </c>
      <c r="S4855" s="19">
        <v>246000</v>
      </c>
      <c r="AJ4855" s="19">
        <v>0</v>
      </c>
      <c r="AK4855" s="23">
        <v>0</v>
      </c>
      <c r="AM4855" s="19">
        <v>0</v>
      </c>
      <c r="AN4855" s="19">
        <v>246000</v>
      </c>
      <c r="AP4855" s="14">
        <v>246000</v>
      </c>
    </row>
    <row r="4856" spans="1:45" x14ac:dyDescent="0.2">
      <c r="A4856" s="2">
        <f>+A4855+1</f>
        <v>4087</v>
      </c>
      <c r="B4856" s="13">
        <v>2</v>
      </c>
      <c r="C4856" s="17" t="s">
        <v>52</v>
      </c>
      <c r="D4856" s="17">
        <v>2972</v>
      </c>
      <c r="E4856" s="17">
        <v>40</v>
      </c>
      <c r="F4856" s="17">
        <v>2039</v>
      </c>
      <c r="G4856" s="13">
        <v>2</v>
      </c>
      <c r="H4856" s="17">
        <v>6</v>
      </c>
      <c r="I4856" s="17">
        <v>2</v>
      </c>
      <c r="J4856" s="17">
        <v>91</v>
      </c>
      <c r="K4856" s="10">
        <v>2691</v>
      </c>
      <c r="P4856" s="17">
        <v>1</v>
      </c>
      <c r="Q4856" s="19">
        <v>2691</v>
      </c>
      <c r="R4856" s="14">
        <v>200</v>
      </c>
      <c r="S4856" s="19">
        <v>538200</v>
      </c>
      <c r="AJ4856" s="19">
        <v>0</v>
      </c>
      <c r="AK4856" s="23">
        <v>0</v>
      </c>
      <c r="AM4856" s="19">
        <v>0</v>
      </c>
      <c r="AN4856" s="19">
        <v>538200</v>
      </c>
      <c r="AP4856" s="14">
        <v>538200</v>
      </c>
    </row>
    <row r="4857" spans="1:45" x14ac:dyDescent="0.2">
      <c r="A4857" s="122">
        <f t="shared" ref="A4857:A4861" si="561">+A4856+1</f>
        <v>4088</v>
      </c>
      <c r="B4857" s="13">
        <v>1</v>
      </c>
      <c r="C4857" s="17" t="s">
        <v>52</v>
      </c>
      <c r="D4857" s="17">
        <v>3193</v>
      </c>
      <c r="E4857" s="17">
        <v>39</v>
      </c>
      <c r="F4857" s="17">
        <v>2125</v>
      </c>
      <c r="G4857" s="13">
        <v>2</v>
      </c>
      <c r="H4857" s="17">
        <v>4</v>
      </c>
      <c r="I4857" s="17">
        <v>0</v>
      </c>
      <c r="J4857" s="17">
        <v>89</v>
      </c>
      <c r="K4857" s="10">
        <v>1689</v>
      </c>
      <c r="P4857" s="17">
        <v>1</v>
      </c>
      <c r="Q4857" s="19">
        <v>1689</v>
      </c>
      <c r="R4857" s="14">
        <v>160</v>
      </c>
      <c r="S4857" s="19">
        <v>270240</v>
      </c>
      <c r="AJ4857" s="19">
        <v>0</v>
      </c>
      <c r="AK4857" s="23">
        <v>0</v>
      </c>
      <c r="AM4857" s="19">
        <v>0</v>
      </c>
      <c r="AN4857" s="19">
        <v>270240</v>
      </c>
      <c r="AP4857" s="14">
        <v>270240</v>
      </c>
    </row>
    <row r="4858" spans="1:45" ht="63" x14ac:dyDescent="0.2">
      <c r="A4858" s="122">
        <f t="shared" si="561"/>
        <v>4089</v>
      </c>
      <c r="B4858" s="13">
        <v>1</v>
      </c>
      <c r="C4858" s="17" t="s">
        <v>52</v>
      </c>
      <c r="D4858" s="17">
        <v>3009</v>
      </c>
      <c r="E4858" s="17">
        <v>56</v>
      </c>
      <c r="F4858" s="17">
        <v>2077</v>
      </c>
      <c r="G4858" s="13">
        <v>2</v>
      </c>
      <c r="H4858" s="17">
        <v>0</v>
      </c>
      <c r="I4858" s="17">
        <v>0</v>
      </c>
      <c r="J4858" s="17">
        <v>62</v>
      </c>
      <c r="L4858" s="17">
        <v>62</v>
      </c>
      <c r="P4858" s="17">
        <v>2</v>
      </c>
      <c r="Q4858" s="19">
        <v>62</v>
      </c>
      <c r="R4858" s="14">
        <v>250</v>
      </c>
      <c r="S4858" s="19">
        <v>15500</v>
      </c>
      <c r="T4858" s="17">
        <v>1</v>
      </c>
      <c r="U4858" s="17" t="s">
        <v>57</v>
      </c>
      <c r="V4858" s="17" t="s">
        <v>56</v>
      </c>
      <c r="W4858" s="4">
        <v>48</v>
      </c>
      <c r="Y4858" s="4">
        <v>48</v>
      </c>
      <c r="AB4858" s="17">
        <v>16</v>
      </c>
      <c r="AJ4858" s="19">
        <v>0</v>
      </c>
      <c r="AK4858" s="23">
        <v>16</v>
      </c>
      <c r="AM4858" s="19">
        <v>0</v>
      </c>
      <c r="AN4858" s="19">
        <v>15500</v>
      </c>
      <c r="AP4858" s="14">
        <v>15500</v>
      </c>
    </row>
    <row r="4859" spans="1:45" x14ac:dyDescent="0.2">
      <c r="A4859" s="122">
        <f t="shared" si="561"/>
        <v>4090</v>
      </c>
      <c r="B4859" s="13">
        <v>1</v>
      </c>
      <c r="C4859" s="17" t="s">
        <v>52</v>
      </c>
      <c r="D4859" s="17">
        <v>1689</v>
      </c>
      <c r="E4859" s="17">
        <v>8</v>
      </c>
      <c r="F4859" s="17">
        <v>1435</v>
      </c>
      <c r="G4859" s="13">
        <v>3</v>
      </c>
      <c r="H4859" s="17">
        <v>7</v>
      </c>
      <c r="I4859" s="17">
        <v>0</v>
      </c>
      <c r="J4859" s="17">
        <v>67</v>
      </c>
      <c r="K4859" s="10">
        <v>2867</v>
      </c>
      <c r="P4859" s="17">
        <v>1</v>
      </c>
      <c r="Q4859" s="19">
        <v>2867</v>
      </c>
      <c r="R4859" s="14">
        <v>160</v>
      </c>
      <c r="S4859" s="19">
        <v>458720</v>
      </c>
      <c r="AJ4859" s="19">
        <v>0</v>
      </c>
      <c r="AK4859" s="23">
        <v>0</v>
      </c>
      <c r="AM4859" s="19">
        <v>0</v>
      </c>
      <c r="AN4859" s="19">
        <v>458720</v>
      </c>
      <c r="AP4859" s="14">
        <v>458720</v>
      </c>
    </row>
    <row r="4860" spans="1:45" x14ac:dyDescent="0.2">
      <c r="A4860" s="122">
        <f t="shared" si="561"/>
        <v>4091</v>
      </c>
      <c r="B4860" s="13">
        <v>2</v>
      </c>
      <c r="C4860" s="17" t="s">
        <v>52</v>
      </c>
      <c r="D4860" s="17">
        <v>15980</v>
      </c>
      <c r="E4860" s="17">
        <v>161</v>
      </c>
      <c r="F4860" s="17">
        <v>3489</v>
      </c>
      <c r="G4860" s="13">
        <v>3</v>
      </c>
      <c r="H4860" s="17">
        <v>4</v>
      </c>
      <c r="I4860" s="17">
        <v>2</v>
      </c>
      <c r="J4860" s="17">
        <v>8</v>
      </c>
      <c r="Q4860" s="19">
        <v>1808</v>
      </c>
      <c r="R4860" s="14">
        <v>500</v>
      </c>
      <c r="S4860" s="19">
        <v>904000</v>
      </c>
      <c r="AJ4860" s="19">
        <v>0</v>
      </c>
      <c r="AK4860" s="23">
        <v>0</v>
      </c>
      <c r="AM4860" s="19">
        <v>0</v>
      </c>
      <c r="AN4860" s="19">
        <v>904000</v>
      </c>
      <c r="AP4860" s="14">
        <v>904000</v>
      </c>
    </row>
    <row r="4861" spans="1:45" ht="63" x14ac:dyDescent="0.2">
      <c r="A4861" s="122">
        <f t="shared" si="561"/>
        <v>4092</v>
      </c>
      <c r="B4861" s="13">
        <v>3</v>
      </c>
      <c r="C4861" s="17" t="s">
        <v>52</v>
      </c>
      <c r="D4861" s="17">
        <v>15976</v>
      </c>
      <c r="E4861" s="17">
        <v>136</v>
      </c>
      <c r="F4861" s="17">
        <v>3485</v>
      </c>
      <c r="G4861" s="13">
        <v>3</v>
      </c>
      <c r="H4861" s="17">
        <v>2</v>
      </c>
      <c r="I4861" s="17">
        <v>2</v>
      </c>
      <c r="J4861" s="17">
        <v>25</v>
      </c>
      <c r="K4861" s="10">
        <v>977</v>
      </c>
      <c r="L4861" s="17">
        <v>23</v>
      </c>
      <c r="P4861" s="17">
        <v>5</v>
      </c>
      <c r="Q4861" s="19">
        <v>1025</v>
      </c>
      <c r="R4861" s="14">
        <v>1500</v>
      </c>
      <c r="S4861" s="19">
        <v>1537500</v>
      </c>
      <c r="T4861" s="17">
        <v>1</v>
      </c>
      <c r="U4861" s="17" t="s">
        <v>57</v>
      </c>
      <c r="V4861" s="17" t="s">
        <v>56</v>
      </c>
      <c r="W4861" s="4">
        <v>92</v>
      </c>
      <c r="Y4861" s="4">
        <v>92</v>
      </c>
      <c r="AB4861" s="17">
        <v>15</v>
      </c>
      <c r="AJ4861" s="19">
        <v>0</v>
      </c>
      <c r="AK4861" s="23">
        <v>15</v>
      </c>
      <c r="AM4861" s="19">
        <v>0</v>
      </c>
      <c r="AN4861" s="19">
        <v>1537500</v>
      </c>
      <c r="AP4861" s="14">
        <v>1537500</v>
      </c>
    </row>
    <row r="4862" spans="1:45" ht="63" x14ac:dyDescent="0.2">
      <c r="L4862" s="17">
        <v>25</v>
      </c>
      <c r="Q4862" s="19">
        <v>0</v>
      </c>
      <c r="R4862" s="14" t="e">
        <v>#N/A</v>
      </c>
      <c r="S4862" s="19" t="e">
        <v>#N/A</v>
      </c>
      <c r="T4862" s="17">
        <v>2</v>
      </c>
      <c r="U4862" s="17" t="s">
        <v>57</v>
      </c>
      <c r="V4862" s="17" t="s">
        <v>56</v>
      </c>
      <c r="W4862" s="4">
        <v>100</v>
      </c>
      <c r="Y4862" s="4">
        <v>100</v>
      </c>
      <c r="AB4862" s="17">
        <v>14</v>
      </c>
      <c r="AJ4862" s="19">
        <v>0</v>
      </c>
      <c r="AK4862" s="23">
        <v>14</v>
      </c>
      <c r="AM4862" s="19">
        <v>0</v>
      </c>
      <c r="AN4862" s="19" t="e">
        <v>#N/A</v>
      </c>
      <c r="AP4862" s="14" t="e">
        <v>#N/A</v>
      </c>
    </row>
    <row r="4863" spans="1:45" ht="63" x14ac:dyDescent="0.2">
      <c r="A4863" s="2">
        <v>4093</v>
      </c>
      <c r="B4863" s="13">
        <v>1</v>
      </c>
      <c r="C4863" s="17" t="s">
        <v>52</v>
      </c>
      <c r="D4863" s="17">
        <v>1429</v>
      </c>
      <c r="E4863" s="17">
        <v>7</v>
      </c>
      <c r="F4863" s="17">
        <v>868</v>
      </c>
      <c r="G4863" s="13">
        <v>2</v>
      </c>
      <c r="H4863" s="17">
        <v>0</v>
      </c>
      <c r="I4863" s="17">
        <v>1</v>
      </c>
      <c r="J4863" s="17">
        <v>24</v>
      </c>
      <c r="M4863" s="15">
        <v>124</v>
      </c>
      <c r="P4863" s="17">
        <v>3</v>
      </c>
      <c r="Q4863" s="19">
        <v>124</v>
      </c>
      <c r="R4863" s="14">
        <v>1500</v>
      </c>
      <c r="S4863" s="19">
        <v>186000</v>
      </c>
      <c r="T4863" s="17">
        <v>1</v>
      </c>
      <c r="U4863" s="17" t="s">
        <v>57</v>
      </c>
      <c r="V4863" s="17" t="s">
        <v>56</v>
      </c>
      <c r="W4863" s="4">
        <v>85</v>
      </c>
      <c r="Z4863" s="17">
        <v>85</v>
      </c>
      <c r="AB4863" s="17">
        <v>18</v>
      </c>
      <c r="AF4863" s="14">
        <v>2</v>
      </c>
      <c r="AG4863" s="54">
        <v>85</v>
      </c>
      <c r="AH4863" s="11">
        <v>1</v>
      </c>
      <c r="AI4863" s="14">
        <v>7250</v>
      </c>
      <c r="AJ4863" s="19">
        <v>616250</v>
      </c>
      <c r="AK4863" s="23">
        <v>18</v>
      </c>
      <c r="AL4863" s="11">
        <v>0.26</v>
      </c>
      <c r="AM4863" s="19">
        <v>456025</v>
      </c>
      <c r="AN4863" s="19">
        <v>642025</v>
      </c>
      <c r="AP4863" s="14">
        <v>642025</v>
      </c>
      <c r="AQ4863" s="12">
        <v>2.0000000000000001E-4</v>
      </c>
    </row>
    <row r="4864" spans="1:45" x14ac:dyDescent="0.2">
      <c r="A4864" s="2">
        <v>4094</v>
      </c>
      <c r="B4864" s="13">
        <v>2</v>
      </c>
      <c r="C4864" s="17" t="s">
        <v>52</v>
      </c>
      <c r="D4864" s="17">
        <v>403</v>
      </c>
      <c r="E4864" s="17">
        <v>501</v>
      </c>
      <c r="F4864" s="17">
        <v>32</v>
      </c>
      <c r="G4864" s="13">
        <v>3</v>
      </c>
      <c r="H4864" s="17">
        <v>5</v>
      </c>
      <c r="I4864" s="17">
        <v>1</v>
      </c>
      <c r="J4864" s="17">
        <v>50.01</v>
      </c>
      <c r="K4864" s="10">
        <v>2150.0100000000002</v>
      </c>
      <c r="P4864" s="17">
        <v>1</v>
      </c>
      <c r="Q4864" s="19">
        <v>2150.0100000000002</v>
      </c>
      <c r="R4864" s="14">
        <v>500</v>
      </c>
      <c r="S4864" s="19">
        <v>1075005</v>
      </c>
      <c r="AJ4864" s="19">
        <v>0</v>
      </c>
      <c r="AK4864" s="23">
        <v>0</v>
      </c>
      <c r="AM4864" s="19">
        <v>0</v>
      </c>
      <c r="AN4864" s="19">
        <v>1075005</v>
      </c>
      <c r="AP4864" s="14">
        <v>1075005</v>
      </c>
    </row>
    <row r="4865" spans="1:45" s="19" customFormat="1" x14ac:dyDescent="0.2">
      <c r="A4865" s="2">
        <f>+A4864+1</f>
        <v>4095</v>
      </c>
      <c r="B4865" s="13">
        <v>3</v>
      </c>
      <c r="C4865" s="17" t="s">
        <v>52</v>
      </c>
      <c r="D4865" s="17">
        <v>2181</v>
      </c>
      <c r="E4865" s="17">
        <v>89</v>
      </c>
      <c r="F4865" s="17">
        <v>1784</v>
      </c>
      <c r="G4865" s="13">
        <v>3</v>
      </c>
      <c r="H4865" s="17">
        <v>0</v>
      </c>
      <c r="I4865" s="17">
        <v>2</v>
      </c>
      <c r="J4865" s="17">
        <v>43.04</v>
      </c>
      <c r="K4865" s="10"/>
      <c r="L4865" s="17"/>
      <c r="M4865" s="15"/>
      <c r="N4865" s="18">
        <v>243.04</v>
      </c>
      <c r="O4865" s="14"/>
      <c r="P4865" s="17">
        <v>4</v>
      </c>
      <c r="Q4865" s="19">
        <v>243.04</v>
      </c>
      <c r="R4865" s="14">
        <v>1500</v>
      </c>
      <c r="S4865" s="19">
        <v>364560</v>
      </c>
      <c r="T4865" s="17"/>
      <c r="U4865" s="17"/>
      <c r="V4865" s="17"/>
      <c r="W4865" s="4"/>
      <c r="X4865" s="17"/>
      <c r="Y4865" s="4"/>
      <c r="Z4865" s="17"/>
      <c r="AA4865" s="17"/>
      <c r="AB4865" s="17"/>
      <c r="AC4865" s="14"/>
      <c r="AD4865" s="14"/>
      <c r="AE4865" s="17"/>
      <c r="AF4865" s="14"/>
      <c r="AG4865" s="54"/>
      <c r="AH4865" s="11"/>
      <c r="AI4865" s="14"/>
      <c r="AJ4865" s="19">
        <v>0</v>
      </c>
      <c r="AK4865" s="23">
        <v>0</v>
      </c>
      <c r="AL4865" s="11"/>
      <c r="AM4865" s="19">
        <v>0</v>
      </c>
      <c r="AN4865" s="19">
        <v>364560</v>
      </c>
      <c r="AO4865" s="14"/>
      <c r="AP4865" s="14">
        <v>364560</v>
      </c>
      <c r="AQ4865" s="12">
        <v>3.0000000000000001E-3</v>
      </c>
      <c r="AS4865" s="26"/>
    </row>
    <row r="4866" spans="1:45" s="19" customFormat="1" x14ac:dyDescent="0.2">
      <c r="A4866" s="122">
        <f>+A4865+1</f>
        <v>4096</v>
      </c>
      <c r="B4866" s="13">
        <v>1</v>
      </c>
      <c r="C4866" s="17" t="s">
        <v>52</v>
      </c>
      <c r="D4866" s="17">
        <v>394</v>
      </c>
      <c r="E4866" s="17">
        <v>502</v>
      </c>
      <c r="F4866" s="17">
        <v>28</v>
      </c>
      <c r="G4866" s="13">
        <v>3</v>
      </c>
      <c r="H4866" s="17">
        <v>11</v>
      </c>
      <c r="I4866" s="17">
        <v>3</v>
      </c>
      <c r="J4866" s="17">
        <v>83.04</v>
      </c>
      <c r="K4866" s="10">
        <v>4783.04</v>
      </c>
      <c r="L4866" s="17"/>
      <c r="M4866" s="15"/>
      <c r="N4866" s="18"/>
      <c r="O4866" s="14"/>
      <c r="P4866" s="17">
        <v>1</v>
      </c>
      <c r="Q4866" s="19">
        <v>4783.04</v>
      </c>
      <c r="R4866" s="14">
        <v>160</v>
      </c>
      <c r="S4866" s="19">
        <v>765286.40000000002</v>
      </c>
      <c r="T4866" s="17"/>
      <c r="U4866" s="17"/>
      <c r="V4866" s="17"/>
      <c r="W4866" s="4"/>
      <c r="X4866" s="17"/>
      <c r="Y4866" s="4"/>
      <c r="Z4866" s="17"/>
      <c r="AA4866" s="17"/>
      <c r="AB4866" s="17"/>
      <c r="AC4866" s="14"/>
      <c r="AD4866" s="14"/>
      <c r="AE4866" s="17"/>
      <c r="AF4866" s="14"/>
      <c r="AG4866" s="54"/>
      <c r="AH4866" s="11"/>
      <c r="AI4866" s="14"/>
      <c r="AJ4866" s="19">
        <v>0</v>
      </c>
      <c r="AK4866" s="23">
        <v>0</v>
      </c>
      <c r="AL4866" s="11"/>
      <c r="AM4866" s="19">
        <v>0</v>
      </c>
      <c r="AN4866" s="19">
        <v>765286.40000000002</v>
      </c>
      <c r="AO4866" s="14"/>
      <c r="AP4866" s="14">
        <v>765286.40000000002</v>
      </c>
      <c r="AQ4866" s="12"/>
      <c r="AS4866" s="26"/>
    </row>
    <row r="4867" spans="1:45" s="19" customFormat="1" x14ac:dyDescent="0.2">
      <c r="A4867" s="2"/>
      <c r="B4867" s="13"/>
      <c r="C4867" s="17"/>
      <c r="D4867" s="17"/>
      <c r="E4867" s="17"/>
      <c r="F4867" s="17"/>
      <c r="G4867" s="13"/>
      <c r="H4867" s="17"/>
      <c r="I4867" s="17"/>
      <c r="J4867" s="17"/>
      <c r="K4867" s="10"/>
      <c r="L4867" s="17"/>
      <c r="M4867" s="15"/>
      <c r="N4867" s="18"/>
      <c r="O4867" s="14"/>
      <c r="P4867" s="17"/>
      <c r="R4867" s="14" t="e">
        <v>#N/A</v>
      </c>
      <c r="T4867" s="17"/>
      <c r="U4867" s="17"/>
      <c r="V4867" s="17"/>
      <c r="W4867" s="4"/>
      <c r="X4867" s="17"/>
      <c r="Y4867" s="4"/>
      <c r="Z4867" s="17"/>
      <c r="AA4867" s="17"/>
      <c r="AB4867" s="17"/>
      <c r="AC4867" s="14"/>
      <c r="AD4867" s="14"/>
      <c r="AE4867" s="17"/>
      <c r="AF4867" s="14"/>
      <c r="AG4867" s="54"/>
      <c r="AH4867" s="11"/>
      <c r="AI4867" s="14"/>
      <c r="AK4867" s="23"/>
      <c r="AL4867" s="11"/>
      <c r="AO4867" s="14"/>
      <c r="AP4867" s="14"/>
      <c r="AQ4867" s="12"/>
      <c r="AS4867" s="26"/>
    </row>
    <row r="4868" spans="1:45" s="19" customFormat="1" ht="63" x14ac:dyDescent="0.2">
      <c r="A4868" s="2">
        <v>4097</v>
      </c>
      <c r="B4868" s="13">
        <v>2</v>
      </c>
      <c r="C4868" s="17" t="s">
        <v>52</v>
      </c>
      <c r="D4868" s="17">
        <v>2260</v>
      </c>
      <c r="E4868" s="17">
        <v>52</v>
      </c>
      <c r="F4868" s="17">
        <v>1796</v>
      </c>
      <c r="G4868" s="13">
        <v>3</v>
      </c>
      <c r="H4868" s="17">
        <v>2</v>
      </c>
      <c r="I4868" s="17">
        <v>0</v>
      </c>
      <c r="J4868" s="17">
        <v>90</v>
      </c>
      <c r="K4868" s="10"/>
      <c r="L4868" s="17">
        <v>890</v>
      </c>
      <c r="M4868" s="15"/>
      <c r="N4868" s="18"/>
      <c r="O4868" s="14"/>
      <c r="P4868" s="17">
        <v>2</v>
      </c>
      <c r="Q4868" s="19">
        <v>890</v>
      </c>
      <c r="R4868" s="14">
        <v>1500</v>
      </c>
      <c r="S4868" s="19">
        <v>1335000</v>
      </c>
      <c r="T4868" s="17">
        <v>1</v>
      </c>
      <c r="U4868" s="17" t="s">
        <v>57</v>
      </c>
      <c r="V4868" s="17" t="s">
        <v>56</v>
      </c>
      <c r="W4868" s="4">
        <v>104.5</v>
      </c>
      <c r="X4868" s="17"/>
      <c r="Y4868" s="4">
        <v>104.5</v>
      </c>
      <c r="Z4868" s="17"/>
      <c r="AA4868" s="17"/>
      <c r="AB4868" s="17">
        <v>20</v>
      </c>
      <c r="AC4868" s="14"/>
      <c r="AD4868" s="14"/>
      <c r="AE4868" s="17"/>
      <c r="AF4868" s="14"/>
      <c r="AG4868" s="54"/>
      <c r="AH4868" s="11"/>
      <c r="AI4868" s="14"/>
      <c r="AJ4868" s="19">
        <v>0</v>
      </c>
      <c r="AK4868" s="23">
        <v>20</v>
      </c>
      <c r="AL4868" s="11"/>
      <c r="AM4868" s="19">
        <v>0</v>
      </c>
      <c r="AN4868" s="19">
        <v>1335000</v>
      </c>
      <c r="AO4868" s="14"/>
      <c r="AP4868" s="14">
        <v>1335000</v>
      </c>
      <c r="AQ4868" s="12"/>
      <c r="AS4868" s="26"/>
    </row>
    <row r="4869" spans="1:45" s="19" customFormat="1" ht="63" x14ac:dyDescent="0.2">
      <c r="A4869" s="2">
        <f>+A4868+1</f>
        <v>4098</v>
      </c>
      <c r="B4869" s="13">
        <v>1</v>
      </c>
      <c r="C4869" s="17" t="s">
        <v>52</v>
      </c>
      <c r="D4869" s="17">
        <v>18694</v>
      </c>
      <c r="E4869" s="17">
        <v>210</v>
      </c>
      <c r="F4869" s="17">
        <v>4205</v>
      </c>
      <c r="G4869" s="13">
        <v>3</v>
      </c>
      <c r="H4869" s="17">
        <v>0</v>
      </c>
      <c r="I4869" s="17">
        <v>0</v>
      </c>
      <c r="J4869" s="17">
        <v>48</v>
      </c>
      <c r="K4869" s="10"/>
      <c r="L4869" s="17">
        <v>48</v>
      </c>
      <c r="M4869" s="15"/>
      <c r="N4869" s="18"/>
      <c r="O4869" s="14"/>
      <c r="P4869" s="17">
        <v>2</v>
      </c>
      <c r="Q4869" s="19">
        <v>48</v>
      </c>
      <c r="R4869" s="14">
        <v>250</v>
      </c>
      <c r="S4869" s="19">
        <v>12000</v>
      </c>
      <c r="T4869" s="17">
        <v>1</v>
      </c>
      <c r="U4869" s="17" t="s">
        <v>57</v>
      </c>
      <c r="V4869" s="17" t="s">
        <v>56</v>
      </c>
      <c r="W4869" s="4">
        <v>136</v>
      </c>
      <c r="X4869" s="17"/>
      <c r="Y4869" s="4">
        <v>136</v>
      </c>
      <c r="Z4869" s="17"/>
      <c r="AA4869" s="17"/>
      <c r="AB4869" s="17">
        <v>5</v>
      </c>
      <c r="AC4869" s="14"/>
      <c r="AD4869" s="14"/>
      <c r="AE4869" s="17"/>
      <c r="AF4869" s="14"/>
      <c r="AG4869" s="54"/>
      <c r="AH4869" s="11"/>
      <c r="AI4869" s="14"/>
      <c r="AJ4869" s="19">
        <v>0</v>
      </c>
      <c r="AK4869" s="23">
        <v>5</v>
      </c>
      <c r="AL4869" s="11"/>
      <c r="AM4869" s="19">
        <v>0</v>
      </c>
      <c r="AN4869" s="19">
        <v>12000</v>
      </c>
      <c r="AO4869" s="14"/>
      <c r="AP4869" s="14">
        <v>12000</v>
      </c>
      <c r="AQ4869" s="12"/>
      <c r="AS4869" s="26"/>
    </row>
    <row r="4870" spans="1:45" s="19" customFormat="1" x14ac:dyDescent="0.2">
      <c r="A4870" s="122">
        <f t="shared" ref="A4870:A4887" si="562">+A4869+1</f>
        <v>4099</v>
      </c>
      <c r="B4870" s="13">
        <v>1</v>
      </c>
      <c r="C4870" s="17" t="s">
        <v>52</v>
      </c>
      <c r="D4870" s="17">
        <v>35873</v>
      </c>
      <c r="E4870" s="17">
        <v>152</v>
      </c>
      <c r="F4870" s="17">
        <v>7081</v>
      </c>
      <c r="G4870" s="13">
        <v>3</v>
      </c>
      <c r="H4870" s="17">
        <v>0</v>
      </c>
      <c r="I4870" s="17">
        <v>3</v>
      </c>
      <c r="J4870" s="17">
        <v>0</v>
      </c>
      <c r="K4870" s="10"/>
      <c r="L4870" s="17"/>
      <c r="M4870" s="15"/>
      <c r="N4870" s="18">
        <v>300</v>
      </c>
      <c r="O4870" s="14"/>
      <c r="P4870" s="17">
        <v>4</v>
      </c>
      <c r="Q4870" s="19">
        <v>300</v>
      </c>
      <c r="R4870" s="14">
        <v>160</v>
      </c>
      <c r="S4870" s="19">
        <v>48000</v>
      </c>
      <c r="T4870" s="17"/>
      <c r="U4870" s="17"/>
      <c r="V4870" s="17"/>
      <c r="W4870" s="4"/>
      <c r="X4870" s="17"/>
      <c r="Y4870" s="4"/>
      <c r="Z4870" s="17"/>
      <c r="AA4870" s="17"/>
      <c r="AB4870" s="17"/>
      <c r="AC4870" s="14"/>
      <c r="AD4870" s="14"/>
      <c r="AE4870" s="17"/>
      <c r="AF4870" s="14"/>
      <c r="AG4870" s="54"/>
      <c r="AH4870" s="11"/>
      <c r="AI4870" s="14"/>
      <c r="AJ4870" s="19">
        <v>0</v>
      </c>
      <c r="AK4870" s="23">
        <v>0</v>
      </c>
      <c r="AL4870" s="11"/>
      <c r="AM4870" s="19">
        <v>0</v>
      </c>
      <c r="AN4870" s="19">
        <v>48000</v>
      </c>
      <c r="AO4870" s="14"/>
      <c r="AP4870" s="14">
        <v>48000</v>
      </c>
      <c r="AQ4870" s="12">
        <v>3.0000000000000001E-3</v>
      </c>
      <c r="AS4870" s="26"/>
    </row>
    <row r="4871" spans="1:45" s="19" customFormat="1" x14ac:dyDescent="0.2">
      <c r="A4871" s="122">
        <f t="shared" si="562"/>
        <v>4100</v>
      </c>
      <c r="B4871" s="13">
        <v>2</v>
      </c>
      <c r="C4871" s="17" t="s">
        <v>52</v>
      </c>
      <c r="D4871" s="17">
        <v>35875</v>
      </c>
      <c r="E4871" s="17">
        <v>154</v>
      </c>
      <c r="F4871" s="17">
        <v>7083</v>
      </c>
      <c r="G4871" s="13">
        <v>3</v>
      </c>
      <c r="H4871" s="17">
        <v>0</v>
      </c>
      <c r="I4871" s="17">
        <v>3</v>
      </c>
      <c r="J4871" s="17">
        <v>2</v>
      </c>
      <c r="K4871" s="10"/>
      <c r="L4871" s="17"/>
      <c r="M4871" s="15"/>
      <c r="N4871" s="18">
        <v>302</v>
      </c>
      <c r="O4871" s="14"/>
      <c r="P4871" s="17">
        <v>4</v>
      </c>
      <c r="Q4871" s="19">
        <v>302</v>
      </c>
      <c r="R4871" s="14">
        <v>160</v>
      </c>
      <c r="S4871" s="19">
        <v>48320</v>
      </c>
      <c r="T4871" s="17"/>
      <c r="U4871" s="17"/>
      <c r="V4871" s="17"/>
      <c r="W4871" s="4"/>
      <c r="X4871" s="17"/>
      <c r="Y4871" s="4"/>
      <c r="Z4871" s="17"/>
      <c r="AA4871" s="17"/>
      <c r="AB4871" s="17"/>
      <c r="AC4871" s="14"/>
      <c r="AD4871" s="14"/>
      <c r="AE4871" s="17"/>
      <c r="AF4871" s="14"/>
      <c r="AG4871" s="54"/>
      <c r="AH4871" s="11"/>
      <c r="AI4871" s="14"/>
      <c r="AJ4871" s="19">
        <v>0</v>
      </c>
      <c r="AK4871" s="23">
        <v>0</v>
      </c>
      <c r="AL4871" s="11"/>
      <c r="AM4871" s="19">
        <v>0</v>
      </c>
      <c r="AN4871" s="19">
        <v>48320</v>
      </c>
      <c r="AO4871" s="14"/>
      <c r="AP4871" s="14">
        <v>48320</v>
      </c>
      <c r="AQ4871" s="12">
        <v>3.0000000000000001E-3</v>
      </c>
      <c r="AS4871" s="26"/>
    </row>
    <row r="4872" spans="1:45" s="19" customFormat="1" x14ac:dyDescent="0.2">
      <c r="A4872" s="122">
        <f t="shared" si="562"/>
        <v>4101</v>
      </c>
      <c r="B4872" s="13">
        <v>3</v>
      </c>
      <c r="C4872" s="17" t="s">
        <v>52</v>
      </c>
      <c r="D4872" s="17">
        <v>2187</v>
      </c>
      <c r="E4872" s="17">
        <v>53</v>
      </c>
      <c r="F4872" s="17">
        <v>1795</v>
      </c>
      <c r="G4872" s="13"/>
      <c r="H4872" s="17">
        <v>0</v>
      </c>
      <c r="I4872" s="17">
        <v>0</v>
      </c>
      <c r="J4872" s="17">
        <v>25</v>
      </c>
      <c r="K4872" s="10"/>
      <c r="L4872" s="17"/>
      <c r="M4872" s="15"/>
      <c r="N4872" s="18">
        <v>25</v>
      </c>
      <c r="O4872" s="14"/>
      <c r="P4872" s="17">
        <v>4</v>
      </c>
      <c r="Q4872" s="19">
        <v>25</v>
      </c>
      <c r="R4872" s="14">
        <v>2000</v>
      </c>
      <c r="S4872" s="19">
        <v>50000</v>
      </c>
      <c r="T4872" s="17"/>
      <c r="U4872" s="17"/>
      <c r="V4872" s="17"/>
      <c r="W4872" s="4"/>
      <c r="X4872" s="17"/>
      <c r="Y4872" s="4"/>
      <c r="Z4872" s="17"/>
      <c r="AA4872" s="17"/>
      <c r="AB4872" s="17"/>
      <c r="AC4872" s="14"/>
      <c r="AD4872" s="14"/>
      <c r="AE4872" s="17"/>
      <c r="AF4872" s="14"/>
      <c r="AG4872" s="54"/>
      <c r="AH4872" s="11"/>
      <c r="AI4872" s="14"/>
      <c r="AJ4872" s="19">
        <v>0</v>
      </c>
      <c r="AK4872" s="23">
        <v>0</v>
      </c>
      <c r="AL4872" s="11"/>
      <c r="AM4872" s="19">
        <v>0</v>
      </c>
      <c r="AN4872" s="19">
        <v>50000</v>
      </c>
      <c r="AO4872" s="14"/>
      <c r="AP4872" s="14">
        <v>50000</v>
      </c>
      <c r="AQ4872" s="12">
        <v>3.0000000000000001E-3</v>
      </c>
      <c r="AS4872" s="26"/>
    </row>
    <row r="4873" spans="1:45" s="19" customFormat="1" x14ac:dyDescent="0.2">
      <c r="A4873" s="122">
        <f t="shared" si="562"/>
        <v>4102</v>
      </c>
      <c r="B4873" s="13">
        <v>1</v>
      </c>
      <c r="C4873" s="17" t="s">
        <v>52</v>
      </c>
      <c r="D4873" s="17">
        <v>2063</v>
      </c>
      <c r="E4873" s="17">
        <v>32</v>
      </c>
      <c r="F4873" s="17">
        <v>1594</v>
      </c>
      <c r="G4873" s="13">
        <v>3</v>
      </c>
      <c r="H4873" s="17">
        <v>4</v>
      </c>
      <c r="I4873" s="17">
        <v>1</v>
      </c>
      <c r="J4873" s="17">
        <v>58</v>
      </c>
      <c r="K4873" s="10">
        <v>1758</v>
      </c>
      <c r="L4873" s="17"/>
      <c r="M4873" s="15"/>
      <c r="N4873" s="18"/>
      <c r="O4873" s="14"/>
      <c r="P4873" s="17">
        <v>1</v>
      </c>
      <c r="Q4873" s="19">
        <v>1758</v>
      </c>
      <c r="R4873" s="14">
        <v>200</v>
      </c>
      <c r="S4873" s="19">
        <v>351600</v>
      </c>
      <c r="T4873" s="17"/>
      <c r="U4873" s="17"/>
      <c r="V4873" s="17"/>
      <c r="W4873" s="4"/>
      <c r="X4873" s="17"/>
      <c r="Y4873" s="4"/>
      <c r="Z4873" s="17"/>
      <c r="AA4873" s="17"/>
      <c r="AB4873" s="17"/>
      <c r="AC4873" s="14"/>
      <c r="AD4873" s="14"/>
      <c r="AE4873" s="17"/>
      <c r="AF4873" s="14"/>
      <c r="AG4873" s="54"/>
      <c r="AH4873" s="11"/>
      <c r="AI4873" s="14"/>
      <c r="AJ4873" s="19">
        <v>0</v>
      </c>
      <c r="AK4873" s="23">
        <v>0</v>
      </c>
      <c r="AL4873" s="11"/>
      <c r="AM4873" s="19">
        <v>0</v>
      </c>
      <c r="AN4873" s="19">
        <v>351600</v>
      </c>
      <c r="AO4873" s="14"/>
      <c r="AP4873" s="14">
        <v>351600</v>
      </c>
      <c r="AQ4873" s="12"/>
      <c r="AS4873" s="26"/>
    </row>
    <row r="4874" spans="1:45" s="19" customFormat="1" x14ac:dyDescent="0.2">
      <c r="A4874" s="122">
        <f t="shared" si="562"/>
        <v>4103</v>
      </c>
      <c r="B4874" s="13">
        <v>2</v>
      </c>
      <c r="C4874" s="17" t="s">
        <v>52</v>
      </c>
      <c r="D4874" s="17">
        <v>35786</v>
      </c>
      <c r="E4874" s="17">
        <v>158</v>
      </c>
      <c r="F4874" s="17">
        <v>7087</v>
      </c>
      <c r="G4874" s="13">
        <v>3</v>
      </c>
      <c r="H4874" s="17">
        <v>4</v>
      </c>
      <c r="I4874" s="17">
        <v>1</v>
      </c>
      <c r="J4874" s="17">
        <v>22</v>
      </c>
      <c r="K4874" s="10">
        <v>1722</v>
      </c>
      <c r="L4874" s="17"/>
      <c r="M4874" s="15"/>
      <c r="N4874" s="18"/>
      <c r="O4874" s="14"/>
      <c r="P4874" s="17">
        <v>1</v>
      </c>
      <c r="Q4874" s="19">
        <v>1722</v>
      </c>
      <c r="R4874" s="14">
        <v>160</v>
      </c>
      <c r="S4874" s="19">
        <v>275520</v>
      </c>
      <c r="T4874" s="17"/>
      <c r="U4874" s="17"/>
      <c r="V4874" s="17"/>
      <c r="W4874" s="4"/>
      <c r="X4874" s="17"/>
      <c r="Y4874" s="4"/>
      <c r="Z4874" s="17"/>
      <c r="AA4874" s="17"/>
      <c r="AB4874" s="17"/>
      <c r="AC4874" s="14"/>
      <c r="AD4874" s="14"/>
      <c r="AE4874" s="17"/>
      <c r="AF4874" s="14"/>
      <c r="AG4874" s="54"/>
      <c r="AH4874" s="11"/>
      <c r="AI4874" s="14"/>
      <c r="AJ4874" s="19">
        <v>0</v>
      </c>
      <c r="AK4874" s="23">
        <v>0</v>
      </c>
      <c r="AL4874" s="11"/>
      <c r="AM4874" s="19">
        <v>0</v>
      </c>
      <c r="AN4874" s="19">
        <v>275520</v>
      </c>
      <c r="AO4874" s="14"/>
      <c r="AP4874" s="14">
        <v>275520</v>
      </c>
      <c r="AQ4874" s="12"/>
      <c r="AS4874" s="26"/>
    </row>
    <row r="4875" spans="1:45" s="19" customFormat="1" x14ac:dyDescent="0.2">
      <c r="A4875" s="122">
        <f t="shared" si="562"/>
        <v>4104</v>
      </c>
      <c r="B4875" s="13">
        <v>3</v>
      </c>
      <c r="C4875" s="17" t="s">
        <v>52</v>
      </c>
      <c r="D4875" s="17">
        <v>35872</v>
      </c>
      <c r="E4875" s="17">
        <v>151</v>
      </c>
      <c r="F4875" s="17">
        <v>7080</v>
      </c>
      <c r="G4875" s="13">
        <v>3</v>
      </c>
      <c r="H4875" s="17">
        <v>0</v>
      </c>
      <c r="I4875" s="17">
        <v>3</v>
      </c>
      <c r="J4875" s="17">
        <v>6</v>
      </c>
      <c r="K4875" s="10"/>
      <c r="L4875" s="17"/>
      <c r="M4875" s="15"/>
      <c r="N4875" s="18">
        <v>306</v>
      </c>
      <c r="O4875" s="14"/>
      <c r="P4875" s="17">
        <v>4</v>
      </c>
      <c r="Q4875" s="19">
        <v>306</v>
      </c>
      <c r="R4875" s="14">
        <v>160</v>
      </c>
      <c r="S4875" s="19">
        <v>48960</v>
      </c>
      <c r="T4875" s="17"/>
      <c r="U4875" s="17"/>
      <c r="V4875" s="17"/>
      <c r="W4875" s="4"/>
      <c r="X4875" s="17"/>
      <c r="Y4875" s="4"/>
      <c r="Z4875" s="17"/>
      <c r="AA4875" s="17"/>
      <c r="AB4875" s="17"/>
      <c r="AC4875" s="14"/>
      <c r="AD4875" s="14"/>
      <c r="AE4875" s="17"/>
      <c r="AF4875" s="14"/>
      <c r="AG4875" s="54"/>
      <c r="AH4875" s="11"/>
      <c r="AI4875" s="14"/>
      <c r="AJ4875" s="19">
        <v>0</v>
      </c>
      <c r="AK4875" s="23">
        <v>0</v>
      </c>
      <c r="AL4875" s="11"/>
      <c r="AM4875" s="19">
        <v>0</v>
      </c>
      <c r="AN4875" s="19">
        <v>48960</v>
      </c>
      <c r="AO4875" s="14"/>
      <c r="AP4875" s="14">
        <v>48960</v>
      </c>
      <c r="AQ4875" s="12"/>
      <c r="AS4875" s="26"/>
    </row>
    <row r="4876" spans="1:45" s="19" customFormat="1" x14ac:dyDescent="0.2">
      <c r="A4876" s="122">
        <f t="shared" si="562"/>
        <v>4105</v>
      </c>
      <c r="B4876" s="13">
        <v>1</v>
      </c>
      <c r="C4876" s="17" t="s">
        <v>52</v>
      </c>
      <c r="D4876" s="17">
        <v>2068</v>
      </c>
      <c r="E4876" s="17">
        <v>62</v>
      </c>
      <c r="F4876" s="17">
        <v>1811</v>
      </c>
      <c r="G4876" s="13">
        <v>3</v>
      </c>
      <c r="H4876" s="17">
        <v>1</v>
      </c>
      <c r="I4876" s="17">
        <v>0</v>
      </c>
      <c r="J4876" s="17">
        <v>36</v>
      </c>
      <c r="K4876" s="10">
        <v>436</v>
      </c>
      <c r="L4876" s="17"/>
      <c r="M4876" s="15"/>
      <c r="N4876" s="18"/>
      <c r="O4876" s="14"/>
      <c r="P4876" s="17">
        <v>1</v>
      </c>
      <c r="Q4876" s="19">
        <v>436</v>
      </c>
      <c r="R4876" s="14">
        <v>200</v>
      </c>
      <c r="S4876" s="19">
        <v>87200</v>
      </c>
      <c r="T4876" s="17"/>
      <c r="U4876" s="17"/>
      <c r="V4876" s="17"/>
      <c r="W4876" s="4"/>
      <c r="X4876" s="17"/>
      <c r="Y4876" s="4"/>
      <c r="Z4876" s="17"/>
      <c r="AA4876" s="17"/>
      <c r="AB4876" s="17"/>
      <c r="AC4876" s="14"/>
      <c r="AD4876" s="14"/>
      <c r="AE4876" s="17"/>
      <c r="AF4876" s="14"/>
      <c r="AG4876" s="54"/>
      <c r="AH4876" s="11"/>
      <c r="AI4876" s="14"/>
      <c r="AJ4876" s="19">
        <v>0</v>
      </c>
      <c r="AK4876" s="23">
        <v>0</v>
      </c>
      <c r="AL4876" s="11"/>
      <c r="AM4876" s="19">
        <v>0</v>
      </c>
      <c r="AN4876" s="19">
        <v>87200</v>
      </c>
      <c r="AO4876" s="14"/>
      <c r="AP4876" s="14">
        <v>87200</v>
      </c>
      <c r="AQ4876" s="12"/>
      <c r="AS4876" s="26"/>
    </row>
    <row r="4877" spans="1:45" s="19" customFormat="1" x14ac:dyDescent="0.2">
      <c r="A4877" s="122">
        <f t="shared" si="562"/>
        <v>4106</v>
      </c>
      <c r="B4877" s="13">
        <v>1</v>
      </c>
      <c r="C4877" s="17" t="s">
        <v>52</v>
      </c>
      <c r="D4877" s="17">
        <v>35874</v>
      </c>
      <c r="E4877" s="17">
        <v>153</v>
      </c>
      <c r="F4877" s="17">
        <v>7082</v>
      </c>
      <c r="G4877" s="13">
        <v>3</v>
      </c>
      <c r="H4877" s="17">
        <v>0</v>
      </c>
      <c r="I4877" s="17">
        <v>3</v>
      </c>
      <c r="J4877" s="17">
        <v>0</v>
      </c>
      <c r="K4877" s="10"/>
      <c r="L4877" s="17"/>
      <c r="M4877" s="15"/>
      <c r="N4877" s="18">
        <v>300</v>
      </c>
      <c r="O4877" s="14"/>
      <c r="P4877" s="17">
        <v>4</v>
      </c>
      <c r="Q4877" s="19">
        <v>300</v>
      </c>
      <c r="R4877" s="14">
        <v>160</v>
      </c>
      <c r="S4877" s="19">
        <v>48000</v>
      </c>
      <c r="T4877" s="17"/>
      <c r="U4877" s="17"/>
      <c r="V4877" s="17"/>
      <c r="W4877" s="4"/>
      <c r="X4877" s="17"/>
      <c r="Y4877" s="4"/>
      <c r="Z4877" s="17"/>
      <c r="AA4877" s="17"/>
      <c r="AB4877" s="17"/>
      <c r="AC4877" s="14"/>
      <c r="AD4877" s="14"/>
      <c r="AE4877" s="17"/>
      <c r="AF4877" s="14"/>
      <c r="AG4877" s="54"/>
      <c r="AH4877" s="11"/>
      <c r="AI4877" s="14"/>
      <c r="AJ4877" s="19">
        <v>0</v>
      </c>
      <c r="AK4877" s="23">
        <v>0</v>
      </c>
      <c r="AL4877" s="11"/>
      <c r="AM4877" s="19">
        <v>0</v>
      </c>
      <c r="AN4877" s="19">
        <v>48000</v>
      </c>
      <c r="AO4877" s="14"/>
      <c r="AP4877" s="14">
        <v>48000</v>
      </c>
      <c r="AQ4877" s="12">
        <v>3.0000000000000001E-3</v>
      </c>
      <c r="AS4877" s="26"/>
    </row>
    <row r="4878" spans="1:45" s="19" customFormat="1" x14ac:dyDescent="0.2">
      <c r="A4878" s="122">
        <f t="shared" si="562"/>
        <v>4107</v>
      </c>
      <c r="B4878" s="13">
        <v>1</v>
      </c>
      <c r="C4878" s="17" t="s">
        <v>52</v>
      </c>
      <c r="D4878" s="17">
        <v>16054</v>
      </c>
      <c r="E4878" s="17">
        <v>127</v>
      </c>
      <c r="F4878" s="17">
        <v>3532</v>
      </c>
      <c r="G4878" s="13"/>
      <c r="H4878" s="17">
        <v>1</v>
      </c>
      <c r="I4878" s="17">
        <v>2</v>
      </c>
      <c r="J4878" s="17">
        <v>73</v>
      </c>
      <c r="K4878" s="10">
        <v>673</v>
      </c>
      <c r="L4878" s="17"/>
      <c r="M4878" s="15"/>
      <c r="N4878" s="18"/>
      <c r="O4878" s="14"/>
      <c r="P4878" s="17">
        <v>1</v>
      </c>
      <c r="Q4878" s="19">
        <v>673</v>
      </c>
      <c r="R4878" s="14">
        <v>160</v>
      </c>
      <c r="S4878" s="19">
        <v>107680</v>
      </c>
      <c r="T4878" s="17"/>
      <c r="U4878" s="17"/>
      <c r="V4878" s="17"/>
      <c r="W4878" s="4"/>
      <c r="X4878" s="17"/>
      <c r="Y4878" s="4"/>
      <c r="Z4878" s="17"/>
      <c r="AA4878" s="17"/>
      <c r="AB4878" s="17"/>
      <c r="AC4878" s="14"/>
      <c r="AD4878" s="14"/>
      <c r="AE4878" s="17"/>
      <c r="AF4878" s="14"/>
      <c r="AG4878" s="54"/>
      <c r="AH4878" s="11"/>
      <c r="AI4878" s="14"/>
      <c r="AJ4878" s="19">
        <v>0</v>
      </c>
      <c r="AK4878" s="23">
        <v>0</v>
      </c>
      <c r="AL4878" s="11"/>
      <c r="AM4878" s="19">
        <v>0</v>
      </c>
      <c r="AN4878" s="19">
        <v>107680</v>
      </c>
      <c r="AO4878" s="14"/>
      <c r="AP4878" s="14">
        <v>107680</v>
      </c>
      <c r="AQ4878" s="12"/>
      <c r="AS4878" s="26"/>
    </row>
    <row r="4879" spans="1:45" s="19" customFormat="1" x14ac:dyDescent="0.2">
      <c r="A4879" s="122">
        <f t="shared" si="562"/>
        <v>4108</v>
      </c>
      <c r="B4879" s="13">
        <v>1</v>
      </c>
      <c r="C4879" s="17" t="s">
        <v>52</v>
      </c>
      <c r="D4879" s="17">
        <v>2031</v>
      </c>
      <c r="E4879" s="17">
        <v>79</v>
      </c>
      <c r="F4879" s="17">
        <v>1106</v>
      </c>
      <c r="G4879" s="13"/>
      <c r="H4879" s="17">
        <v>0</v>
      </c>
      <c r="I4879" s="17">
        <v>2</v>
      </c>
      <c r="J4879" s="17">
        <v>39</v>
      </c>
      <c r="K4879" s="10">
        <v>239</v>
      </c>
      <c r="L4879" s="17"/>
      <c r="M4879" s="15"/>
      <c r="N4879" s="18"/>
      <c r="O4879" s="14"/>
      <c r="P4879" s="17">
        <v>1</v>
      </c>
      <c r="Q4879" s="19">
        <v>239</v>
      </c>
      <c r="R4879" s="14">
        <v>160</v>
      </c>
      <c r="S4879" s="19">
        <v>38240</v>
      </c>
      <c r="T4879" s="17"/>
      <c r="U4879" s="17"/>
      <c r="V4879" s="17"/>
      <c r="W4879" s="4"/>
      <c r="X4879" s="17"/>
      <c r="Y4879" s="4"/>
      <c r="Z4879" s="17"/>
      <c r="AA4879" s="17"/>
      <c r="AB4879" s="17"/>
      <c r="AC4879" s="14"/>
      <c r="AD4879" s="14"/>
      <c r="AE4879" s="17"/>
      <c r="AF4879" s="14"/>
      <c r="AG4879" s="54"/>
      <c r="AH4879" s="11"/>
      <c r="AI4879" s="14"/>
      <c r="AJ4879" s="19">
        <v>0</v>
      </c>
      <c r="AK4879" s="23">
        <v>0</v>
      </c>
      <c r="AL4879" s="11"/>
      <c r="AM4879" s="19">
        <v>0</v>
      </c>
      <c r="AN4879" s="19">
        <v>38240</v>
      </c>
      <c r="AO4879" s="14"/>
      <c r="AP4879" s="14">
        <v>38240</v>
      </c>
      <c r="AQ4879" s="12"/>
      <c r="AS4879" s="26"/>
    </row>
    <row r="4880" spans="1:45" s="19" customFormat="1" ht="63" x14ac:dyDescent="0.2">
      <c r="A4880" s="122">
        <f t="shared" si="562"/>
        <v>4109</v>
      </c>
      <c r="B4880" s="13">
        <v>1</v>
      </c>
      <c r="C4880" s="17" t="s">
        <v>52</v>
      </c>
      <c r="D4880" s="17">
        <v>23643</v>
      </c>
      <c r="E4880" s="17">
        <v>165</v>
      </c>
      <c r="F4880" s="17">
        <v>4731</v>
      </c>
      <c r="G4880" s="13">
        <v>3</v>
      </c>
      <c r="H4880" s="17">
        <v>0</v>
      </c>
      <c r="I4880" s="17">
        <v>2</v>
      </c>
      <c r="J4880" s="17">
        <v>39</v>
      </c>
      <c r="K4880" s="10"/>
      <c r="L4880" s="17">
        <v>239</v>
      </c>
      <c r="M4880" s="15"/>
      <c r="N4880" s="18"/>
      <c r="O4880" s="14"/>
      <c r="P4880" s="17">
        <v>2</v>
      </c>
      <c r="Q4880" s="19">
        <v>239</v>
      </c>
      <c r="R4880" s="14">
        <v>200</v>
      </c>
      <c r="S4880" s="19">
        <v>47800</v>
      </c>
      <c r="T4880" s="17">
        <v>1</v>
      </c>
      <c r="U4880" s="17" t="s">
        <v>57</v>
      </c>
      <c r="V4880" s="17" t="s">
        <v>56</v>
      </c>
      <c r="W4880" s="4">
        <v>75</v>
      </c>
      <c r="X4880" s="17"/>
      <c r="Y4880" s="4">
        <v>75</v>
      </c>
      <c r="Z4880" s="17"/>
      <c r="AA4880" s="17"/>
      <c r="AB4880" s="17">
        <v>13</v>
      </c>
      <c r="AC4880" s="14"/>
      <c r="AD4880" s="14"/>
      <c r="AE4880" s="17"/>
      <c r="AF4880" s="14"/>
      <c r="AG4880" s="54"/>
      <c r="AH4880" s="11"/>
      <c r="AI4880" s="14"/>
      <c r="AJ4880" s="19">
        <v>0</v>
      </c>
      <c r="AK4880" s="23">
        <v>13</v>
      </c>
      <c r="AL4880" s="11"/>
      <c r="AM4880" s="19">
        <v>0</v>
      </c>
      <c r="AN4880" s="19">
        <v>47800</v>
      </c>
      <c r="AO4880" s="14"/>
      <c r="AP4880" s="14">
        <v>47800</v>
      </c>
      <c r="AQ4880" s="12"/>
      <c r="AS4880" s="26"/>
    </row>
    <row r="4881" spans="1:45" x14ac:dyDescent="0.2">
      <c r="A4881" s="122">
        <f t="shared" si="562"/>
        <v>4110</v>
      </c>
      <c r="B4881" s="13">
        <v>2</v>
      </c>
      <c r="C4881" s="17" t="s">
        <v>52</v>
      </c>
      <c r="D4881" s="17">
        <v>23646</v>
      </c>
      <c r="E4881" s="17">
        <v>168</v>
      </c>
      <c r="F4881" s="17">
        <v>4734</v>
      </c>
      <c r="H4881" s="17">
        <v>3</v>
      </c>
      <c r="I4881" s="17">
        <v>3</v>
      </c>
      <c r="J4881" s="17">
        <v>92</v>
      </c>
      <c r="K4881" s="10">
        <v>1592</v>
      </c>
      <c r="P4881" s="17">
        <v>1</v>
      </c>
      <c r="Q4881" s="19">
        <v>1592</v>
      </c>
      <c r="R4881" s="14">
        <v>160</v>
      </c>
      <c r="S4881" s="19">
        <v>254720</v>
      </c>
      <c r="AE4881" s="17" t="s">
        <v>428</v>
      </c>
      <c r="AJ4881" s="19">
        <v>0</v>
      </c>
      <c r="AK4881" s="23">
        <v>0</v>
      </c>
      <c r="AM4881" s="19">
        <v>0</v>
      </c>
      <c r="AN4881" s="19">
        <v>254720</v>
      </c>
      <c r="AP4881" s="14">
        <v>254720</v>
      </c>
    </row>
    <row r="4882" spans="1:45" x14ac:dyDescent="0.2">
      <c r="A4882" s="122">
        <f t="shared" si="562"/>
        <v>4111</v>
      </c>
      <c r="B4882" s="13">
        <v>1</v>
      </c>
      <c r="C4882" s="17" t="s">
        <v>52</v>
      </c>
      <c r="D4882" s="17">
        <v>1654</v>
      </c>
      <c r="E4882" s="17">
        <v>37</v>
      </c>
      <c r="F4882" s="17">
        <v>1460</v>
      </c>
      <c r="G4882" s="13">
        <v>3</v>
      </c>
      <c r="H4882" s="17">
        <v>0</v>
      </c>
      <c r="I4882" s="17">
        <v>2</v>
      </c>
      <c r="J4882" s="17">
        <v>14</v>
      </c>
      <c r="K4882" s="10">
        <v>214</v>
      </c>
      <c r="P4882" s="17">
        <v>1</v>
      </c>
      <c r="Q4882" s="19">
        <v>214</v>
      </c>
      <c r="R4882" s="14">
        <v>200</v>
      </c>
      <c r="S4882" s="19">
        <v>42800</v>
      </c>
      <c r="AJ4882" s="19">
        <v>0</v>
      </c>
      <c r="AK4882" s="23">
        <v>0</v>
      </c>
      <c r="AM4882" s="19">
        <v>0</v>
      </c>
      <c r="AN4882" s="19">
        <v>42800</v>
      </c>
      <c r="AP4882" s="14">
        <v>42800</v>
      </c>
    </row>
    <row r="4883" spans="1:45" x14ac:dyDescent="0.2">
      <c r="A4883" s="122">
        <f t="shared" si="562"/>
        <v>4112</v>
      </c>
      <c r="B4883" s="13">
        <v>2</v>
      </c>
      <c r="C4883" s="17" t="s">
        <v>52</v>
      </c>
      <c r="D4883" s="17">
        <v>21161</v>
      </c>
      <c r="E4883" s="17">
        <v>62</v>
      </c>
      <c r="F4883" s="17">
        <v>4216</v>
      </c>
      <c r="G4883" s="13">
        <v>3</v>
      </c>
      <c r="H4883" s="17">
        <v>4</v>
      </c>
      <c r="I4883" s="17">
        <v>1</v>
      </c>
      <c r="J4883" s="17">
        <v>40</v>
      </c>
      <c r="K4883" s="10">
        <v>1740</v>
      </c>
      <c r="P4883" s="17">
        <v>1</v>
      </c>
      <c r="Q4883" s="19">
        <v>1740</v>
      </c>
      <c r="R4883" s="14">
        <v>160</v>
      </c>
      <c r="S4883" s="19">
        <v>278400</v>
      </c>
      <c r="AJ4883" s="19">
        <v>0</v>
      </c>
      <c r="AK4883" s="23">
        <v>0</v>
      </c>
      <c r="AM4883" s="19">
        <v>0</v>
      </c>
      <c r="AN4883" s="19">
        <v>278400</v>
      </c>
      <c r="AP4883" s="14">
        <v>278400</v>
      </c>
    </row>
    <row r="4884" spans="1:45" x14ac:dyDescent="0.2">
      <c r="A4884" s="122">
        <f t="shared" si="562"/>
        <v>4113</v>
      </c>
      <c r="B4884" s="13">
        <v>3</v>
      </c>
      <c r="C4884" s="17" t="s">
        <v>52</v>
      </c>
      <c r="D4884" s="17">
        <v>23642</v>
      </c>
      <c r="E4884" s="17">
        <v>164</v>
      </c>
      <c r="F4884" s="17">
        <v>4730</v>
      </c>
      <c r="H4884" s="17">
        <v>0</v>
      </c>
      <c r="I4884" s="17">
        <v>2</v>
      </c>
      <c r="J4884" s="17">
        <v>50</v>
      </c>
      <c r="K4884" s="10">
        <v>250</v>
      </c>
      <c r="P4884" s="17">
        <v>1</v>
      </c>
      <c r="Q4884" s="19">
        <v>250</v>
      </c>
      <c r="R4884" s="14">
        <v>200</v>
      </c>
      <c r="S4884" s="19">
        <v>50000</v>
      </c>
      <c r="AE4884" s="17" t="s">
        <v>428</v>
      </c>
      <c r="AJ4884" s="19">
        <v>0</v>
      </c>
      <c r="AK4884" s="23">
        <v>0</v>
      </c>
      <c r="AM4884" s="19">
        <v>0</v>
      </c>
      <c r="AN4884" s="19">
        <v>50000</v>
      </c>
      <c r="AP4884" s="14">
        <v>50000</v>
      </c>
    </row>
    <row r="4885" spans="1:45" x14ac:dyDescent="0.2">
      <c r="A4885" s="122">
        <f t="shared" si="562"/>
        <v>4114</v>
      </c>
      <c r="B4885" s="13">
        <v>4</v>
      </c>
      <c r="C4885" s="17" t="s">
        <v>52</v>
      </c>
      <c r="D4885" s="17">
        <v>23645</v>
      </c>
      <c r="E4885" s="17">
        <v>167</v>
      </c>
      <c r="F4885" s="17">
        <v>4733</v>
      </c>
      <c r="H4885" s="17">
        <v>3</v>
      </c>
      <c r="I4885" s="17">
        <v>2</v>
      </c>
      <c r="J4885" s="17">
        <v>63</v>
      </c>
      <c r="K4885" s="10">
        <v>1463</v>
      </c>
      <c r="P4885" s="17">
        <v>1</v>
      </c>
      <c r="Q4885" s="19">
        <v>1463</v>
      </c>
      <c r="R4885" s="14">
        <v>160</v>
      </c>
      <c r="S4885" s="19">
        <v>234080</v>
      </c>
      <c r="AE4885" s="17" t="s">
        <v>428</v>
      </c>
      <c r="AJ4885" s="19">
        <v>0</v>
      </c>
      <c r="AK4885" s="23">
        <v>0</v>
      </c>
      <c r="AM4885" s="19">
        <v>0</v>
      </c>
      <c r="AN4885" s="19">
        <v>234080</v>
      </c>
      <c r="AP4885" s="14">
        <v>234080</v>
      </c>
    </row>
    <row r="4886" spans="1:45" x14ac:dyDescent="0.2">
      <c r="A4886" s="122">
        <f t="shared" si="562"/>
        <v>4115</v>
      </c>
      <c r="B4886" s="13">
        <v>5</v>
      </c>
      <c r="C4886" s="17" t="s">
        <v>52</v>
      </c>
      <c r="D4886" s="17">
        <v>33611</v>
      </c>
      <c r="E4886" s="17">
        <v>502</v>
      </c>
      <c r="F4886" s="17">
        <v>6699</v>
      </c>
      <c r="G4886" s="13">
        <v>3</v>
      </c>
      <c r="H4886" s="17">
        <v>0</v>
      </c>
      <c r="I4886" s="17">
        <v>0</v>
      </c>
      <c r="J4886" s="17">
        <v>29.02</v>
      </c>
      <c r="N4886" s="18">
        <v>29.02</v>
      </c>
      <c r="P4886" s="17">
        <v>4</v>
      </c>
      <c r="Q4886" s="19">
        <v>29.02</v>
      </c>
      <c r="R4886" s="14">
        <v>2000</v>
      </c>
      <c r="S4886" s="19">
        <v>58040</v>
      </c>
      <c r="AJ4886" s="19">
        <v>0</v>
      </c>
      <c r="AK4886" s="23">
        <v>0</v>
      </c>
      <c r="AM4886" s="19">
        <v>0</v>
      </c>
      <c r="AN4886" s="19">
        <v>58040</v>
      </c>
      <c r="AP4886" s="14">
        <v>58040</v>
      </c>
      <c r="AQ4886" s="12">
        <v>3.0000000000000001E-3</v>
      </c>
    </row>
    <row r="4887" spans="1:45" ht="63" x14ac:dyDescent="0.2">
      <c r="A4887" s="122">
        <f t="shared" si="562"/>
        <v>4116</v>
      </c>
      <c r="B4887" s="13">
        <v>1</v>
      </c>
      <c r="C4887" s="17" t="s">
        <v>52</v>
      </c>
      <c r="D4887" s="17">
        <v>2067</v>
      </c>
      <c r="E4887" s="17">
        <v>61</v>
      </c>
      <c r="F4887" s="17">
        <v>1810</v>
      </c>
      <c r="G4887" s="13">
        <v>3</v>
      </c>
      <c r="H4887" s="17">
        <v>4</v>
      </c>
      <c r="I4887" s="17">
        <v>2</v>
      </c>
      <c r="J4887" s="17">
        <v>22</v>
      </c>
      <c r="K4887" s="10">
        <v>1786</v>
      </c>
      <c r="L4887" s="17">
        <v>24.75</v>
      </c>
      <c r="P4887" s="17">
        <v>5</v>
      </c>
      <c r="Q4887" s="19">
        <v>1822</v>
      </c>
      <c r="R4887" s="14">
        <v>200</v>
      </c>
      <c r="S4887" s="19">
        <v>364400</v>
      </c>
      <c r="T4887" s="17">
        <v>1</v>
      </c>
      <c r="U4887" s="17" t="s">
        <v>57</v>
      </c>
      <c r="V4887" s="17" t="s">
        <v>56</v>
      </c>
      <c r="W4887" s="4">
        <v>99</v>
      </c>
      <c r="Y4887" s="4">
        <v>99</v>
      </c>
      <c r="AB4887" s="17">
        <v>7</v>
      </c>
      <c r="AJ4887" s="19">
        <v>0</v>
      </c>
      <c r="AK4887" s="23">
        <v>7</v>
      </c>
      <c r="AM4887" s="19">
        <v>0</v>
      </c>
      <c r="AN4887" s="19">
        <v>364400</v>
      </c>
      <c r="AP4887" s="14">
        <v>364400</v>
      </c>
    </row>
    <row r="4888" spans="1:45" ht="63" x14ac:dyDescent="0.2">
      <c r="L4888" s="17">
        <v>11.25</v>
      </c>
      <c r="Q4888" s="19">
        <v>0</v>
      </c>
      <c r="R4888" s="14" t="e">
        <v>#N/A</v>
      </c>
      <c r="S4888" s="19" t="e">
        <v>#N/A</v>
      </c>
      <c r="T4888" s="17">
        <v>2</v>
      </c>
      <c r="U4888" s="17" t="s">
        <v>57</v>
      </c>
      <c r="V4888" s="17" t="s">
        <v>56</v>
      </c>
      <c r="W4888" s="4">
        <v>45</v>
      </c>
      <c r="Y4888" s="4">
        <v>45</v>
      </c>
      <c r="AB4888" s="17">
        <v>28</v>
      </c>
      <c r="AJ4888" s="19">
        <v>0</v>
      </c>
      <c r="AK4888" s="23">
        <v>28</v>
      </c>
      <c r="AM4888" s="19">
        <v>0</v>
      </c>
      <c r="AN4888" s="19" t="e">
        <v>#N/A</v>
      </c>
      <c r="AP4888" s="14" t="e">
        <v>#N/A</v>
      </c>
    </row>
    <row r="4889" spans="1:45" ht="42" x14ac:dyDescent="0.2">
      <c r="A4889" s="2">
        <v>4117</v>
      </c>
      <c r="B4889" s="13">
        <v>1</v>
      </c>
      <c r="C4889" s="17" t="s">
        <v>65</v>
      </c>
      <c r="D4889" s="17">
        <v>2425</v>
      </c>
      <c r="E4889" s="17">
        <v>138</v>
      </c>
      <c r="H4889" s="17">
        <v>13</v>
      </c>
      <c r="I4889" s="17">
        <v>0</v>
      </c>
      <c r="J4889" s="17">
        <v>0</v>
      </c>
      <c r="K4889" s="10">
        <v>5200</v>
      </c>
      <c r="Q4889" s="19">
        <v>5200</v>
      </c>
      <c r="R4889" s="14">
        <v>4500</v>
      </c>
      <c r="S4889" s="19">
        <v>23400000</v>
      </c>
      <c r="AE4889" s="17" t="s">
        <v>94</v>
      </c>
      <c r="AJ4889" s="19">
        <v>0</v>
      </c>
      <c r="AK4889" s="23">
        <v>0</v>
      </c>
      <c r="AM4889" s="19">
        <v>0</v>
      </c>
      <c r="AN4889" s="19">
        <v>23400000</v>
      </c>
      <c r="AP4889" s="14">
        <v>23400000</v>
      </c>
      <c r="AQ4889" s="12">
        <v>1E-4</v>
      </c>
    </row>
    <row r="4890" spans="1:45" x14ac:dyDescent="0.2">
      <c r="B4890" s="13">
        <v>2</v>
      </c>
      <c r="C4890" s="17" t="s">
        <v>65</v>
      </c>
      <c r="D4890" s="17">
        <v>2607</v>
      </c>
      <c r="E4890" s="17">
        <v>157</v>
      </c>
      <c r="H4890" s="17">
        <v>0</v>
      </c>
      <c r="I4890" s="17">
        <v>3</v>
      </c>
      <c r="J4890" s="17">
        <v>39</v>
      </c>
      <c r="K4890" s="10">
        <v>339</v>
      </c>
      <c r="Q4890" s="19">
        <v>339</v>
      </c>
      <c r="R4890" s="14" t="e">
        <v>#N/A</v>
      </c>
      <c r="S4890" s="19" t="e">
        <v>#N/A</v>
      </c>
      <c r="AJ4890" s="19">
        <v>0</v>
      </c>
      <c r="AK4890" s="23">
        <v>0</v>
      </c>
      <c r="AM4890" s="19">
        <v>0</v>
      </c>
      <c r="AN4890" s="19" t="e">
        <v>#N/A</v>
      </c>
      <c r="AP4890" s="14" t="e">
        <v>#N/A</v>
      </c>
      <c r="AQ4890" s="12">
        <v>1E-4</v>
      </c>
    </row>
    <row r="4891" spans="1:45" x14ac:dyDescent="0.2">
      <c r="B4891" s="13">
        <v>3</v>
      </c>
      <c r="C4891" s="17" t="s">
        <v>97</v>
      </c>
      <c r="D4891" s="17">
        <v>215</v>
      </c>
      <c r="G4891" s="13">
        <v>3</v>
      </c>
      <c r="H4891" s="17">
        <v>3</v>
      </c>
      <c r="I4891" s="17">
        <v>2</v>
      </c>
      <c r="J4891" s="17">
        <v>52</v>
      </c>
      <c r="K4891" s="10">
        <v>1452</v>
      </c>
      <c r="Q4891" s="19">
        <v>1452</v>
      </c>
      <c r="R4891" s="14" t="e">
        <v>#N/A</v>
      </c>
      <c r="S4891" s="19" t="e">
        <v>#N/A</v>
      </c>
      <c r="AJ4891" s="19">
        <v>0</v>
      </c>
      <c r="AK4891" s="23">
        <v>0</v>
      </c>
      <c r="AM4891" s="19">
        <v>0</v>
      </c>
      <c r="AN4891" s="19" t="e">
        <v>#N/A</v>
      </c>
      <c r="AP4891" s="14" t="e">
        <v>#N/A</v>
      </c>
      <c r="AQ4891" s="12">
        <v>1E-4</v>
      </c>
    </row>
    <row r="4892" spans="1:45" x14ac:dyDescent="0.2">
      <c r="A4892" s="2">
        <v>4118</v>
      </c>
      <c r="B4892" s="13">
        <v>1</v>
      </c>
      <c r="C4892" s="17" t="s">
        <v>52</v>
      </c>
      <c r="D4892" s="17">
        <v>1720</v>
      </c>
      <c r="E4892" s="17">
        <v>21</v>
      </c>
      <c r="F4892" s="17">
        <v>1444</v>
      </c>
      <c r="G4892" s="13">
        <v>3</v>
      </c>
      <c r="H4892" s="17">
        <v>6</v>
      </c>
      <c r="I4892" s="17">
        <v>1</v>
      </c>
      <c r="J4892" s="17">
        <v>75</v>
      </c>
      <c r="K4892" s="10">
        <v>2575</v>
      </c>
      <c r="P4892" s="17">
        <v>1</v>
      </c>
      <c r="Q4892" s="19">
        <v>2575</v>
      </c>
      <c r="R4892" s="14">
        <v>160</v>
      </c>
      <c r="S4892" s="19">
        <v>412000</v>
      </c>
      <c r="AJ4892" s="19">
        <v>0</v>
      </c>
      <c r="AK4892" s="23">
        <v>0</v>
      </c>
      <c r="AM4892" s="19">
        <v>0</v>
      </c>
      <c r="AN4892" s="19">
        <v>412000</v>
      </c>
      <c r="AP4892" s="14">
        <v>412000</v>
      </c>
      <c r="AS4892" s="26">
        <v>112</v>
      </c>
    </row>
    <row r="4893" spans="1:45" x14ac:dyDescent="0.2">
      <c r="A4893" s="2">
        <f>+A4892+1</f>
        <v>4119</v>
      </c>
      <c r="B4893" s="13">
        <v>2</v>
      </c>
      <c r="C4893" s="17" t="s">
        <v>52</v>
      </c>
      <c r="D4893" s="17">
        <v>17684</v>
      </c>
      <c r="E4893" s="17">
        <v>28</v>
      </c>
      <c r="F4893" s="17">
        <v>3812</v>
      </c>
      <c r="G4893" s="13">
        <v>3</v>
      </c>
      <c r="H4893" s="17">
        <v>11</v>
      </c>
      <c r="I4893" s="17">
        <v>0</v>
      </c>
      <c r="J4893" s="17">
        <v>7</v>
      </c>
      <c r="K4893" s="10">
        <v>4407</v>
      </c>
      <c r="P4893" s="17">
        <v>1</v>
      </c>
      <c r="Q4893" s="19">
        <v>4407</v>
      </c>
      <c r="R4893" s="14">
        <v>160</v>
      </c>
      <c r="S4893" s="19">
        <v>705120</v>
      </c>
      <c r="AJ4893" s="19">
        <v>0</v>
      </c>
      <c r="AK4893" s="23">
        <v>0</v>
      </c>
      <c r="AM4893" s="19">
        <v>0</v>
      </c>
      <c r="AN4893" s="19">
        <v>705120</v>
      </c>
      <c r="AP4893" s="14">
        <v>705120</v>
      </c>
    </row>
    <row r="4894" spans="1:45" ht="63" x14ac:dyDescent="0.2">
      <c r="A4894" s="122">
        <f t="shared" ref="A4894:A4920" si="563">+A4893+1</f>
        <v>4120</v>
      </c>
      <c r="B4894" s="13">
        <v>3</v>
      </c>
      <c r="C4894" s="17" t="s">
        <v>52</v>
      </c>
      <c r="D4894" s="17">
        <v>2259</v>
      </c>
      <c r="E4894" s="17">
        <v>54</v>
      </c>
      <c r="F4894" s="17">
        <v>1794</v>
      </c>
      <c r="G4894" s="13">
        <v>3</v>
      </c>
      <c r="H4894" s="17">
        <v>0</v>
      </c>
      <c r="I4894" s="17">
        <v>3</v>
      </c>
      <c r="J4894" s="17">
        <v>38</v>
      </c>
      <c r="L4894" s="17">
        <v>238</v>
      </c>
      <c r="P4894" s="17">
        <v>2</v>
      </c>
      <c r="Q4894" s="19">
        <v>338</v>
      </c>
      <c r="R4894" s="14">
        <v>1500</v>
      </c>
      <c r="S4894" s="19">
        <v>507000</v>
      </c>
      <c r="T4894" s="17">
        <v>1</v>
      </c>
      <c r="U4894" s="17" t="s">
        <v>57</v>
      </c>
      <c r="V4894" s="17" t="s">
        <v>56</v>
      </c>
      <c r="W4894" s="4">
        <v>300</v>
      </c>
      <c r="Y4894" s="4">
        <v>300</v>
      </c>
      <c r="AJ4894" s="19">
        <v>0</v>
      </c>
      <c r="AK4894" s="23">
        <v>0</v>
      </c>
      <c r="AM4894" s="19">
        <v>0</v>
      </c>
      <c r="AN4894" s="19">
        <v>507000</v>
      </c>
      <c r="AP4894" s="14">
        <v>507000</v>
      </c>
    </row>
    <row r="4895" spans="1:45" x14ac:dyDescent="0.2">
      <c r="A4895" s="122">
        <f t="shared" si="563"/>
        <v>4121</v>
      </c>
      <c r="B4895" s="13">
        <v>4</v>
      </c>
      <c r="C4895" s="17" t="s">
        <v>65</v>
      </c>
      <c r="D4895" s="17">
        <v>527</v>
      </c>
      <c r="E4895" s="17">
        <v>131</v>
      </c>
      <c r="H4895" s="17">
        <v>9</v>
      </c>
      <c r="I4895" s="17">
        <v>0</v>
      </c>
      <c r="J4895" s="17">
        <v>23</v>
      </c>
      <c r="K4895" s="10">
        <v>3623</v>
      </c>
      <c r="Q4895" s="19">
        <v>3623</v>
      </c>
      <c r="R4895" s="14">
        <v>160</v>
      </c>
      <c r="S4895" s="19">
        <v>579680</v>
      </c>
      <c r="AE4895" s="17" t="s">
        <v>94</v>
      </c>
      <c r="AJ4895" s="19">
        <v>0</v>
      </c>
      <c r="AK4895" s="23">
        <v>0</v>
      </c>
      <c r="AM4895" s="19">
        <v>0</v>
      </c>
      <c r="AN4895" s="19">
        <v>579680</v>
      </c>
      <c r="AP4895" s="14">
        <v>579680</v>
      </c>
      <c r="AQ4895" s="12">
        <v>1E-4</v>
      </c>
    </row>
    <row r="4896" spans="1:45" x14ac:dyDescent="0.2">
      <c r="A4896" s="122">
        <f t="shared" si="563"/>
        <v>4122</v>
      </c>
      <c r="B4896" s="13">
        <v>5</v>
      </c>
      <c r="C4896" s="17" t="s">
        <v>65</v>
      </c>
      <c r="D4896" s="17">
        <v>3171</v>
      </c>
      <c r="E4896" s="17">
        <v>244</v>
      </c>
      <c r="H4896" s="17">
        <v>15</v>
      </c>
      <c r="I4896" s="17">
        <v>2</v>
      </c>
      <c r="J4896" s="17">
        <v>20</v>
      </c>
      <c r="K4896" s="10">
        <v>6220</v>
      </c>
      <c r="Q4896" s="19">
        <v>6220</v>
      </c>
      <c r="R4896" s="14">
        <v>200</v>
      </c>
      <c r="S4896" s="19">
        <v>1244000</v>
      </c>
      <c r="AJ4896" s="19">
        <v>0</v>
      </c>
      <c r="AK4896" s="23">
        <v>0</v>
      </c>
      <c r="AM4896" s="19">
        <v>0</v>
      </c>
      <c r="AN4896" s="19">
        <v>1244000</v>
      </c>
      <c r="AP4896" s="14">
        <v>1244000</v>
      </c>
      <c r="AQ4896" s="12">
        <v>1E-4</v>
      </c>
    </row>
    <row r="4897" spans="1:45" x14ac:dyDescent="0.2">
      <c r="A4897" s="122">
        <f t="shared" si="563"/>
        <v>4123</v>
      </c>
      <c r="B4897" s="13">
        <v>1</v>
      </c>
      <c r="C4897" s="17" t="s">
        <v>52</v>
      </c>
      <c r="D4897" s="17">
        <v>4648</v>
      </c>
      <c r="E4897" s="17">
        <v>39</v>
      </c>
      <c r="F4897" s="17">
        <v>2474</v>
      </c>
      <c r="G4897" s="13">
        <v>1</v>
      </c>
      <c r="H4897" s="17">
        <v>5</v>
      </c>
      <c r="I4897" s="17">
        <v>0</v>
      </c>
      <c r="J4897" s="17">
        <v>25</v>
      </c>
      <c r="K4897" s="10">
        <v>2025</v>
      </c>
      <c r="P4897" s="17">
        <v>1</v>
      </c>
      <c r="Q4897" s="19">
        <v>2025</v>
      </c>
      <c r="R4897" s="14">
        <v>200</v>
      </c>
      <c r="S4897" s="19">
        <v>405000</v>
      </c>
      <c r="AJ4897" s="19">
        <v>0</v>
      </c>
      <c r="AK4897" s="23">
        <v>0</v>
      </c>
      <c r="AM4897" s="19">
        <v>0</v>
      </c>
      <c r="AN4897" s="19">
        <v>405000</v>
      </c>
      <c r="AP4897" s="14">
        <v>405000</v>
      </c>
      <c r="AS4897" s="26">
        <v>399</v>
      </c>
    </row>
    <row r="4898" spans="1:45" x14ac:dyDescent="0.2">
      <c r="A4898" s="122">
        <f t="shared" si="563"/>
        <v>4124</v>
      </c>
      <c r="B4898" s="13">
        <v>2</v>
      </c>
      <c r="C4898" s="17" t="s">
        <v>52</v>
      </c>
      <c r="D4898" s="17">
        <v>4649</v>
      </c>
      <c r="E4898" s="17">
        <v>42</v>
      </c>
      <c r="F4898" s="17">
        <v>2475</v>
      </c>
      <c r="G4898" s="13">
        <v>1</v>
      </c>
      <c r="H4898" s="17">
        <v>7</v>
      </c>
      <c r="I4898" s="17">
        <v>0</v>
      </c>
      <c r="J4898" s="17">
        <v>48</v>
      </c>
      <c r="K4898" s="10">
        <v>2848</v>
      </c>
      <c r="P4898" s="17">
        <v>1</v>
      </c>
      <c r="Q4898" s="19">
        <v>2848</v>
      </c>
      <c r="R4898" s="14">
        <v>160</v>
      </c>
      <c r="S4898" s="19">
        <v>455680</v>
      </c>
      <c r="AJ4898" s="19">
        <v>0</v>
      </c>
      <c r="AK4898" s="23">
        <v>0</v>
      </c>
      <c r="AM4898" s="19">
        <v>0</v>
      </c>
      <c r="AN4898" s="19">
        <v>455680</v>
      </c>
      <c r="AP4898" s="14">
        <v>455680</v>
      </c>
    </row>
    <row r="4899" spans="1:45" x14ac:dyDescent="0.2">
      <c r="A4899" s="122">
        <f t="shared" si="563"/>
        <v>4125</v>
      </c>
      <c r="B4899" s="13">
        <v>3</v>
      </c>
      <c r="C4899" s="17" t="s">
        <v>52</v>
      </c>
      <c r="D4899" s="17">
        <v>1561</v>
      </c>
      <c r="E4899" s="17">
        <v>85</v>
      </c>
      <c r="F4899" s="17">
        <v>479</v>
      </c>
      <c r="G4899" s="13">
        <v>2</v>
      </c>
      <c r="H4899" s="17">
        <v>4</v>
      </c>
      <c r="I4899" s="17">
        <v>0</v>
      </c>
      <c r="J4899" s="17">
        <v>0</v>
      </c>
      <c r="K4899" s="10">
        <v>1600</v>
      </c>
      <c r="P4899" s="17">
        <v>1</v>
      </c>
      <c r="Q4899" s="19">
        <v>1600</v>
      </c>
      <c r="R4899" s="14">
        <v>250</v>
      </c>
      <c r="S4899" s="19">
        <v>400000</v>
      </c>
      <c r="AJ4899" s="19">
        <v>0</v>
      </c>
      <c r="AK4899" s="23">
        <v>0</v>
      </c>
      <c r="AM4899" s="19">
        <v>0</v>
      </c>
      <c r="AN4899" s="19">
        <v>400000</v>
      </c>
      <c r="AP4899" s="14">
        <v>400000</v>
      </c>
    </row>
    <row r="4900" spans="1:45" x14ac:dyDescent="0.2">
      <c r="A4900" s="122">
        <f t="shared" si="563"/>
        <v>4126</v>
      </c>
      <c r="B4900" s="13">
        <v>4</v>
      </c>
      <c r="C4900" s="17" t="s">
        <v>52</v>
      </c>
      <c r="D4900" s="17">
        <v>1688</v>
      </c>
      <c r="E4900" s="17">
        <v>7</v>
      </c>
      <c r="F4900" s="17">
        <v>1434</v>
      </c>
      <c r="G4900" s="13">
        <v>3</v>
      </c>
      <c r="H4900" s="17">
        <v>11</v>
      </c>
      <c r="I4900" s="17">
        <v>3</v>
      </c>
      <c r="J4900" s="17">
        <v>70</v>
      </c>
      <c r="K4900" s="10">
        <v>4770</v>
      </c>
      <c r="P4900" s="17">
        <v>1</v>
      </c>
      <c r="Q4900" s="19">
        <v>4770</v>
      </c>
      <c r="R4900" s="14">
        <v>200</v>
      </c>
      <c r="S4900" s="19">
        <v>954000</v>
      </c>
      <c r="AJ4900" s="19">
        <v>0</v>
      </c>
      <c r="AK4900" s="23">
        <v>0</v>
      </c>
      <c r="AM4900" s="19">
        <v>0</v>
      </c>
      <c r="AN4900" s="19">
        <v>954000</v>
      </c>
      <c r="AP4900" s="14">
        <v>954000</v>
      </c>
    </row>
    <row r="4901" spans="1:45" x14ac:dyDescent="0.2">
      <c r="A4901" s="122">
        <f t="shared" si="563"/>
        <v>4127</v>
      </c>
      <c r="B4901" s="13">
        <v>5</v>
      </c>
      <c r="C4901" s="17" t="s">
        <v>52</v>
      </c>
      <c r="D4901" s="17">
        <v>1690</v>
      </c>
      <c r="E4901" s="17">
        <v>9</v>
      </c>
      <c r="F4901" s="17">
        <v>1436</v>
      </c>
      <c r="G4901" s="13">
        <v>3</v>
      </c>
      <c r="H4901" s="17">
        <v>4</v>
      </c>
      <c r="I4901" s="17">
        <v>3</v>
      </c>
      <c r="J4901" s="17">
        <v>31</v>
      </c>
      <c r="K4901" s="10">
        <v>1931</v>
      </c>
      <c r="P4901" s="17">
        <v>1</v>
      </c>
      <c r="Q4901" s="19">
        <v>1931</v>
      </c>
      <c r="R4901" s="14">
        <v>160</v>
      </c>
      <c r="S4901" s="19">
        <v>308960</v>
      </c>
      <c r="AJ4901" s="19">
        <v>0</v>
      </c>
      <c r="AK4901" s="23">
        <v>0</v>
      </c>
      <c r="AM4901" s="19">
        <v>0</v>
      </c>
      <c r="AN4901" s="19">
        <v>308960</v>
      </c>
      <c r="AP4901" s="14">
        <v>308960</v>
      </c>
    </row>
    <row r="4902" spans="1:45" x14ac:dyDescent="0.2">
      <c r="A4902" s="122">
        <f t="shared" si="563"/>
        <v>4128</v>
      </c>
      <c r="B4902" s="13">
        <v>6</v>
      </c>
      <c r="C4902" s="17" t="s">
        <v>52</v>
      </c>
      <c r="D4902" s="17">
        <v>15979</v>
      </c>
      <c r="E4902" s="17">
        <v>139</v>
      </c>
      <c r="F4902" s="17">
        <v>3488</v>
      </c>
      <c r="G4902" s="13">
        <v>3</v>
      </c>
      <c r="H4902" s="17">
        <v>11</v>
      </c>
      <c r="I4902" s="17">
        <v>3</v>
      </c>
      <c r="J4902" s="17">
        <v>92</v>
      </c>
      <c r="K4902" s="10">
        <v>4792</v>
      </c>
      <c r="P4902" s="17">
        <v>1</v>
      </c>
      <c r="Q4902" s="19">
        <v>4792</v>
      </c>
      <c r="R4902" s="14">
        <v>500</v>
      </c>
      <c r="S4902" s="19">
        <v>2396000</v>
      </c>
      <c r="AJ4902" s="19">
        <v>0</v>
      </c>
      <c r="AK4902" s="23">
        <v>0</v>
      </c>
      <c r="AM4902" s="19">
        <v>0</v>
      </c>
      <c r="AN4902" s="19">
        <v>2396000</v>
      </c>
      <c r="AP4902" s="14">
        <v>2396000</v>
      </c>
    </row>
    <row r="4903" spans="1:45" x14ac:dyDescent="0.2">
      <c r="A4903" s="122">
        <f t="shared" si="563"/>
        <v>4129</v>
      </c>
      <c r="B4903" s="13">
        <v>7</v>
      </c>
      <c r="C4903" s="17" t="s">
        <v>52</v>
      </c>
      <c r="D4903" s="17">
        <v>36813</v>
      </c>
      <c r="E4903" s="17">
        <v>46</v>
      </c>
      <c r="F4903" s="17">
        <v>7272</v>
      </c>
      <c r="G4903" s="13">
        <v>3</v>
      </c>
      <c r="H4903" s="17">
        <v>14</v>
      </c>
      <c r="I4903" s="17">
        <v>3</v>
      </c>
      <c r="J4903" s="17">
        <v>83.07</v>
      </c>
      <c r="Q4903" s="19">
        <v>5983.07</v>
      </c>
      <c r="R4903" s="14">
        <v>500</v>
      </c>
      <c r="S4903" s="19">
        <v>2991535</v>
      </c>
      <c r="AJ4903" s="19">
        <v>0</v>
      </c>
      <c r="AK4903" s="23">
        <v>0</v>
      </c>
      <c r="AM4903" s="19">
        <v>0</v>
      </c>
      <c r="AN4903" s="19">
        <v>2991535</v>
      </c>
      <c r="AP4903" s="14">
        <v>2991535</v>
      </c>
    </row>
    <row r="4904" spans="1:45" x14ac:dyDescent="0.2">
      <c r="A4904" s="122">
        <f t="shared" si="563"/>
        <v>4130</v>
      </c>
      <c r="B4904" s="13">
        <v>8</v>
      </c>
      <c r="C4904" s="17" t="s">
        <v>52</v>
      </c>
      <c r="D4904" s="17">
        <v>2030</v>
      </c>
      <c r="E4904" s="17">
        <v>80</v>
      </c>
      <c r="F4904" s="17">
        <v>1105</v>
      </c>
      <c r="H4904" s="17">
        <v>1</v>
      </c>
      <c r="I4904" s="17">
        <v>1</v>
      </c>
      <c r="J4904" s="17">
        <v>63</v>
      </c>
      <c r="K4904" s="10">
        <v>563</v>
      </c>
      <c r="P4904" s="17">
        <v>1</v>
      </c>
      <c r="Q4904" s="19">
        <v>563</v>
      </c>
      <c r="R4904" s="14">
        <v>160</v>
      </c>
      <c r="S4904" s="19">
        <v>90080</v>
      </c>
      <c r="AJ4904" s="19">
        <v>0</v>
      </c>
      <c r="AK4904" s="23">
        <v>0</v>
      </c>
      <c r="AM4904" s="19">
        <v>0</v>
      </c>
      <c r="AN4904" s="19">
        <v>90080</v>
      </c>
      <c r="AP4904" s="14">
        <v>90080</v>
      </c>
    </row>
    <row r="4905" spans="1:45" x14ac:dyDescent="0.2">
      <c r="A4905" s="122">
        <f t="shared" si="563"/>
        <v>4131</v>
      </c>
      <c r="B4905" s="13">
        <v>9</v>
      </c>
      <c r="C4905" s="17" t="s">
        <v>52</v>
      </c>
      <c r="D4905" s="17">
        <v>2075</v>
      </c>
      <c r="E4905" s="17">
        <v>113</v>
      </c>
      <c r="F4905" s="17">
        <v>1533</v>
      </c>
      <c r="H4905" s="17">
        <v>1</v>
      </c>
      <c r="I4905" s="17">
        <v>0</v>
      </c>
      <c r="J4905" s="17">
        <v>32</v>
      </c>
      <c r="K4905" s="10">
        <v>432</v>
      </c>
      <c r="P4905" s="17">
        <v>1</v>
      </c>
      <c r="Q4905" s="19">
        <v>432</v>
      </c>
      <c r="R4905" s="14">
        <v>160</v>
      </c>
      <c r="S4905" s="19">
        <v>69120</v>
      </c>
      <c r="AJ4905" s="19">
        <v>0</v>
      </c>
      <c r="AK4905" s="23">
        <v>0</v>
      </c>
      <c r="AM4905" s="19">
        <v>0</v>
      </c>
      <c r="AN4905" s="19">
        <v>69120</v>
      </c>
      <c r="AP4905" s="14">
        <v>69120</v>
      </c>
    </row>
    <row r="4906" spans="1:45" x14ac:dyDescent="0.2">
      <c r="A4906" s="122">
        <f t="shared" si="563"/>
        <v>4132</v>
      </c>
      <c r="B4906" s="13">
        <v>10</v>
      </c>
      <c r="C4906" s="17" t="s">
        <v>52</v>
      </c>
      <c r="D4906" s="17">
        <v>2226</v>
      </c>
      <c r="E4906" s="17">
        <v>112</v>
      </c>
      <c r="F4906" s="17">
        <v>1534</v>
      </c>
      <c r="H4906" s="17">
        <v>1</v>
      </c>
      <c r="I4906" s="17">
        <v>2</v>
      </c>
      <c r="J4906" s="17">
        <v>35</v>
      </c>
      <c r="K4906" s="10">
        <v>635</v>
      </c>
      <c r="P4906" s="17">
        <v>1</v>
      </c>
      <c r="Q4906" s="19">
        <v>635</v>
      </c>
      <c r="R4906" s="14">
        <v>160</v>
      </c>
      <c r="S4906" s="19">
        <v>101600</v>
      </c>
      <c r="AJ4906" s="19">
        <v>0</v>
      </c>
      <c r="AK4906" s="23">
        <v>0</v>
      </c>
      <c r="AM4906" s="19">
        <v>0</v>
      </c>
      <c r="AN4906" s="19">
        <v>101600</v>
      </c>
      <c r="AP4906" s="14">
        <v>101600</v>
      </c>
    </row>
    <row r="4907" spans="1:45" x14ac:dyDescent="0.2">
      <c r="A4907" s="122">
        <f t="shared" si="563"/>
        <v>4133</v>
      </c>
      <c r="B4907" s="13">
        <v>11</v>
      </c>
      <c r="C4907" s="17" t="s">
        <v>52</v>
      </c>
      <c r="D4907" s="17">
        <v>2455</v>
      </c>
      <c r="E4907" s="17">
        <v>81</v>
      </c>
      <c r="F4907" s="17">
        <v>1104</v>
      </c>
      <c r="H4907" s="17">
        <v>2</v>
      </c>
      <c r="I4907" s="17">
        <v>0</v>
      </c>
      <c r="J4907" s="17">
        <v>10</v>
      </c>
      <c r="K4907" s="10">
        <v>810</v>
      </c>
      <c r="P4907" s="17">
        <v>1</v>
      </c>
      <c r="Q4907" s="19">
        <v>810</v>
      </c>
      <c r="R4907" s="14">
        <v>160</v>
      </c>
      <c r="S4907" s="19">
        <v>129600</v>
      </c>
      <c r="AJ4907" s="19">
        <v>0</v>
      </c>
      <c r="AK4907" s="23">
        <v>0</v>
      </c>
      <c r="AM4907" s="19">
        <v>0</v>
      </c>
      <c r="AN4907" s="19">
        <v>129600</v>
      </c>
      <c r="AP4907" s="14">
        <v>129600</v>
      </c>
    </row>
    <row r="4908" spans="1:45" x14ac:dyDescent="0.2">
      <c r="A4908" s="122">
        <f t="shared" si="563"/>
        <v>4134</v>
      </c>
      <c r="B4908" s="13">
        <v>1</v>
      </c>
      <c r="C4908" s="17" t="s">
        <v>52</v>
      </c>
      <c r="D4908" s="17">
        <v>4650</v>
      </c>
      <c r="E4908" s="17">
        <v>40</v>
      </c>
      <c r="F4908" s="17">
        <v>2476</v>
      </c>
      <c r="G4908" s="13">
        <v>1</v>
      </c>
      <c r="H4908" s="17">
        <v>5</v>
      </c>
      <c r="I4908" s="17">
        <v>0</v>
      </c>
      <c r="J4908" s="17">
        <v>20</v>
      </c>
      <c r="K4908" s="10">
        <v>2020</v>
      </c>
      <c r="P4908" s="17">
        <v>1</v>
      </c>
      <c r="Q4908" s="19">
        <v>2020</v>
      </c>
      <c r="R4908" s="14">
        <v>160</v>
      </c>
      <c r="S4908" s="19">
        <v>323200</v>
      </c>
      <c r="AJ4908" s="19">
        <v>0</v>
      </c>
      <c r="AK4908" s="23">
        <v>0</v>
      </c>
      <c r="AM4908" s="19">
        <v>0</v>
      </c>
      <c r="AN4908" s="19">
        <v>323200</v>
      </c>
      <c r="AP4908" s="14">
        <v>323200</v>
      </c>
      <c r="AS4908" s="26">
        <v>148</v>
      </c>
    </row>
    <row r="4909" spans="1:45" x14ac:dyDescent="0.2">
      <c r="A4909" s="122">
        <f t="shared" si="563"/>
        <v>4135</v>
      </c>
      <c r="B4909" s="13">
        <v>2</v>
      </c>
      <c r="C4909" s="17" t="s">
        <v>52</v>
      </c>
      <c r="D4909" s="17">
        <v>4652</v>
      </c>
      <c r="E4909" s="17">
        <v>41</v>
      </c>
      <c r="F4909" s="17">
        <v>2478</v>
      </c>
      <c r="G4909" s="13">
        <v>1</v>
      </c>
      <c r="H4909" s="17">
        <v>8</v>
      </c>
      <c r="I4909" s="17">
        <v>2</v>
      </c>
      <c r="J4909" s="17">
        <v>19</v>
      </c>
      <c r="K4909" s="10">
        <v>3419</v>
      </c>
      <c r="P4909" s="17">
        <v>1</v>
      </c>
      <c r="Q4909" s="19">
        <v>3419</v>
      </c>
      <c r="R4909" s="14">
        <v>160</v>
      </c>
      <c r="S4909" s="19">
        <v>547040</v>
      </c>
      <c r="AJ4909" s="19">
        <v>0</v>
      </c>
      <c r="AK4909" s="23">
        <v>0</v>
      </c>
      <c r="AM4909" s="19">
        <v>0</v>
      </c>
      <c r="AN4909" s="19">
        <v>547040</v>
      </c>
      <c r="AP4909" s="14">
        <v>547040</v>
      </c>
    </row>
    <row r="4910" spans="1:45" x14ac:dyDescent="0.2">
      <c r="A4910" s="122">
        <f t="shared" si="563"/>
        <v>4136</v>
      </c>
      <c r="B4910" s="13">
        <v>3</v>
      </c>
      <c r="C4910" s="17" t="s">
        <v>52</v>
      </c>
      <c r="D4910" s="17">
        <v>3839</v>
      </c>
      <c r="E4910" s="17">
        <v>82</v>
      </c>
      <c r="F4910" s="17">
        <v>2333</v>
      </c>
      <c r="G4910" s="13">
        <v>2</v>
      </c>
      <c r="H4910" s="17">
        <v>0</v>
      </c>
      <c r="I4910" s="17">
        <v>3</v>
      </c>
      <c r="J4910" s="17">
        <v>10</v>
      </c>
      <c r="K4910" s="10" t="s">
        <v>429</v>
      </c>
      <c r="P4910" s="17">
        <v>1</v>
      </c>
      <c r="Q4910" s="19">
        <v>310</v>
      </c>
      <c r="R4910" s="14">
        <v>1200</v>
      </c>
      <c r="S4910" s="19">
        <v>372000</v>
      </c>
      <c r="AJ4910" s="19">
        <v>0</v>
      </c>
      <c r="AK4910" s="23">
        <v>0</v>
      </c>
      <c r="AM4910" s="19">
        <v>0</v>
      </c>
      <c r="AN4910" s="19">
        <v>372000</v>
      </c>
      <c r="AP4910" s="14">
        <v>372000</v>
      </c>
      <c r="AQ4910" s="12">
        <v>3.0000000000000001E-3</v>
      </c>
    </row>
    <row r="4911" spans="1:45" x14ac:dyDescent="0.2">
      <c r="A4911" s="122">
        <f t="shared" si="563"/>
        <v>4137</v>
      </c>
      <c r="B4911" s="13">
        <v>4</v>
      </c>
      <c r="C4911" s="17" t="s">
        <v>52</v>
      </c>
      <c r="D4911" s="17">
        <v>1638</v>
      </c>
      <c r="E4911" s="17">
        <v>13</v>
      </c>
      <c r="F4911" s="17">
        <v>1428</v>
      </c>
      <c r="G4911" s="13">
        <v>3</v>
      </c>
      <c r="H4911" s="17">
        <v>7</v>
      </c>
      <c r="I4911" s="17">
        <v>0</v>
      </c>
      <c r="J4911" s="17">
        <v>68</v>
      </c>
      <c r="K4911" s="10">
        <v>2868</v>
      </c>
      <c r="P4911" s="17">
        <v>1</v>
      </c>
      <c r="Q4911" s="19">
        <v>2868</v>
      </c>
      <c r="R4911" s="14">
        <v>160</v>
      </c>
      <c r="S4911" s="19">
        <v>458880</v>
      </c>
      <c r="AJ4911" s="19">
        <v>0</v>
      </c>
      <c r="AK4911" s="23">
        <v>0</v>
      </c>
      <c r="AM4911" s="19">
        <v>0</v>
      </c>
      <c r="AN4911" s="19">
        <v>458880</v>
      </c>
      <c r="AP4911" s="14">
        <v>458880</v>
      </c>
    </row>
    <row r="4912" spans="1:45" x14ac:dyDescent="0.2">
      <c r="A4912" s="122">
        <f t="shared" si="563"/>
        <v>4138</v>
      </c>
      <c r="B4912" s="13">
        <v>5</v>
      </c>
      <c r="C4912" s="17" t="s">
        <v>52</v>
      </c>
      <c r="D4912" s="17">
        <v>1718</v>
      </c>
      <c r="E4912" s="17">
        <v>1</v>
      </c>
      <c r="F4912" s="17">
        <v>1426</v>
      </c>
      <c r="G4912" s="13">
        <v>3</v>
      </c>
      <c r="H4912" s="17">
        <v>8</v>
      </c>
      <c r="I4912" s="17">
        <v>2</v>
      </c>
      <c r="J4912" s="17">
        <v>29</v>
      </c>
      <c r="K4912" s="10">
        <v>3429</v>
      </c>
      <c r="P4912" s="17">
        <v>1</v>
      </c>
      <c r="Q4912" s="19">
        <v>3429</v>
      </c>
      <c r="R4912" s="14">
        <v>160</v>
      </c>
      <c r="S4912" s="19">
        <v>548640</v>
      </c>
      <c r="AJ4912" s="19">
        <v>0</v>
      </c>
      <c r="AK4912" s="23">
        <v>0</v>
      </c>
      <c r="AM4912" s="19">
        <v>0</v>
      </c>
      <c r="AN4912" s="19">
        <v>548640</v>
      </c>
      <c r="AP4912" s="14">
        <v>548640</v>
      </c>
    </row>
    <row r="4913" spans="1:45" x14ac:dyDescent="0.2">
      <c r="A4913" s="122">
        <f t="shared" si="563"/>
        <v>4139</v>
      </c>
      <c r="B4913" s="13">
        <v>6</v>
      </c>
      <c r="C4913" s="17" t="s">
        <v>52</v>
      </c>
      <c r="D4913" s="17">
        <v>1741</v>
      </c>
      <c r="E4913" s="17">
        <v>8</v>
      </c>
      <c r="F4913" s="17">
        <v>1427</v>
      </c>
      <c r="H4913" s="17">
        <v>4</v>
      </c>
      <c r="I4913" s="17">
        <v>2</v>
      </c>
      <c r="J4913" s="17">
        <v>37</v>
      </c>
      <c r="K4913" s="10">
        <v>1837</v>
      </c>
      <c r="P4913" s="17">
        <v>1</v>
      </c>
      <c r="Q4913" s="19">
        <v>1837</v>
      </c>
      <c r="R4913" s="14">
        <v>160</v>
      </c>
      <c r="S4913" s="19">
        <v>293920</v>
      </c>
      <c r="AJ4913" s="19">
        <v>0</v>
      </c>
      <c r="AK4913" s="23">
        <v>0</v>
      </c>
      <c r="AM4913" s="19">
        <v>0</v>
      </c>
      <c r="AN4913" s="19">
        <v>293920</v>
      </c>
      <c r="AP4913" s="14">
        <v>293920</v>
      </c>
    </row>
    <row r="4914" spans="1:45" x14ac:dyDescent="0.2">
      <c r="A4914" s="122">
        <f t="shared" si="563"/>
        <v>4140</v>
      </c>
      <c r="B4914" s="13">
        <v>7</v>
      </c>
      <c r="C4914" s="17" t="s">
        <v>52</v>
      </c>
      <c r="D4914" s="17">
        <v>2258</v>
      </c>
      <c r="E4914" s="17">
        <v>56</v>
      </c>
      <c r="F4914" s="17">
        <v>1792</v>
      </c>
      <c r="H4914" s="17">
        <v>0</v>
      </c>
      <c r="I4914" s="17">
        <v>2</v>
      </c>
      <c r="J4914" s="17">
        <v>8</v>
      </c>
      <c r="K4914" s="10">
        <v>208</v>
      </c>
      <c r="P4914" s="17">
        <v>1</v>
      </c>
      <c r="Q4914" s="19">
        <v>208</v>
      </c>
      <c r="R4914" s="14">
        <v>250</v>
      </c>
      <c r="S4914" s="19">
        <v>52000</v>
      </c>
      <c r="AJ4914" s="19">
        <v>0</v>
      </c>
      <c r="AK4914" s="23">
        <v>0</v>
      </c>
      <c r="AM4914" s="19">
        <v>0</v>
      </c>
      <c r="AN4914" s="19">
        <v>52000</v>
      </c>
      <c r="AP4914" s="14">
        <v>52000</v>
      </c>
    </row>
    <row r="4915" spans="1:45" x14ac:dyDescent="0.2">
      <c r="A4915" s="122">
        <f t="shared" si="563"/>
        <v>4141</v>
      </c>
      <c r="B4915" s="13">
        <v>8</v>
      </c>
      <c r="C4915" s="17" t="s">
        <v>52</v>
      </c>
      <c r="D4915" s="17">
        <v>2365</v>
      </c>
      <c r="E4915" s="17">
        <v>15</v>
      </c>
      <c r="F4915" s="17">
        <v>1767</v>
      </c>
      <c r="H4915" s="17">
        <v>3</v>
      </c>
      <c r="I4915" s="17">
        <v>0</v>
      </c>
      <c r="J4915" s="17">
        <v>60</v>
      </c>
      <c r="K4915" s="10">
        <v>1260</v>
      </c>
      <c r="P4915" s="17">
        <v>1</v>
      </c>
      <c r="Q4915" s="19">
        <v>1260</v>
      </c>
      <c r="R4915" s="14">
        <v>160</v>
      </c>
      <c r="S4915" s="19">
        <v>201600</v>
      </c>
      <c r="AJ4915" s="19">
        <v>0</v>
      </c>
      <c r="AK4915" s="23">
        <v>0</v>
      </c>
      <c r="AM4915" s="19">
        <v>0</v>
      </c>
      <c r="AN4915" s="19">
        <v>201600</v>
      </c>
      <c r="AP4915" s="14">
        <v>201600</v>
      </c>
    </row>
    <row r="4916" spans="1:45" ht="63" x14ac:dyDescent="0.2">
      <c r="A4916" s="122">
        <f t="shared" si="563"/>
        <v>4142</v>
      </c>
      <c r="B4916" s="13">
        <v>9</v>
      </c>
      <c r="C4916" s="17" t="s">
        <v>52</v>
      </c>
      <c r="D4916" s="17">
        <v>15982</v>
      </c>
      <c r="E4916" s="17">
        <v>139</v>
      </c>
      <c r="F4916" s="17">
        <v>3491</v>
      </c>
      <c r="H4916" s="17">
        <v>0</v>
      </c>
      <c r="I4916" s="17">
        <v>0</v>
      </c>
      <c r="J4916" s="17">
        <v>47</v>
      </c>
      <c r="L4916" s="17">
        <v>47</v>
      </c>
      <c r="P4916" s="17">
        <v>2</v>
      </c>
      <c r="Q4916" s="19">
        <v>47</v>
      </c>
      <c r="R4916" s="14">
        <v>2000</v>
      </c>
      <c r="S4916" s="19">
        <v>94000</v>
      </c>
      <c r="U4916" s="17" t="s">
        <v>57</v>
      </c>
      <c r="V4916" s="17" t="s">
        <v>56</v>
      </c>
      <c r="W4916" s="4">
        <v>180</v>
      </c>
      <c r="Y4916" s="4" t="s">
        <v>430</v>
      </c>
      <c r="AB4916" s="17">
        <v>15</v>
      </c>
      <c r="AJ4916" s="19">
        <v>0</v>
      </c>
      <c r="AK4916" s="23">
        <v>15</v>
      </c>
      <c r="AM4916" s="19">
        <v>0</v>
      </c>
      <c r="AN4916" s="19">
        <v>94000</v>
      </c>
      <c r="AP4916" s="14">
        <v>94000</v>
      </c>
    </row>
    <row r="4917" spans="1:45" x14ac:dyDescent="0.2">
      <c r="A4917" s="122">
        <f t="shared" si="563"/>
        <v>4143</v>
      </c>
      <c r="B4917" s="13">
        <v>10</v>
      </c>
      <c r="C4917" s="17" t="s">
        <v>52</v>
      </c>
      <c r="D4917" s="17">
        <v>16090</v>
      </c>
      <c r="E4917" s="17">
        <v>133</v>
      </c>
      <c r="F4917" s="17">
        <v>3568</v>
      </c>
      <c r="H4917" s="17">
        <v>3</v>
      </c>
      <c r="I4917" s="17">
        <v>2</v>
      </c>
      <c r="J4917" s="17">
        <v>87</v>
      </c>
      <c r="K4917" s="10">
        <v>1487</v>
      </c>
      <c r="P4917" s="17">
        <v>1</v>
      </c>
      <c r="Q4917" s="19">
        <v>1487</v>
      </c>
      <c r="R4917" s="14">
        <v>160</v>
      </c>
      <c r="S4917" s="19">
        <v>237920</v>
      </c>
      <c r="AJ4917" s="19">
        <v>0</v>
      </c>
      <c r="AK4917" s="23">
        <v>0</v>
      </c>
      <c r="AM4917" s="19">
        <v>0</v>
      </c>
      <c r="AN4917" s="19">
        <v>237920</v>
      </c>
      <c r="AP4917" s="14">
        <v>237920</v>
      </c>
    </row>
    <row r="4918" spans="1:45" x14ac:dyDescent="0.2">
      <c r="A4918" s="122">
        <f t="shared" si="563"/>
        <v>4144</v>
      </c>
      <c r="B4918" s="13">
        <v>11</v>
      </c>
      <c r="C4918" s="17" t="s">
        <v>65</v>
      </c>
      <c r="D4918" s="17">
        <v>1352</v>
      </c>
      <c r="E4918" s="17">
        <v>38</v>
      </c>
      <c r="H4918" s="17">
        <v>9</v>
      </c>
      <c r="I4918" s="17">
        <v>2</v>
      </c>
      <c r="J4918" s="17">
        <v>73</v>
      </c>
      <c r="K4918" s="10">
        <v>3873</v>
      </c>
      <c r="P4918" s="17">
        <v>1</v>
      </c>
      <c r="Q4918" s="19">
        <v>3873</v>
      </c>
      <c r="R4918" s="14">
        <v>160</v>
      </c>
      <c r="S4918" s="19">
        <v>619680</v>
      </c>
      <c r="AJ4918" s="19">
        <v>0</v>
      </c>
      <c r="AK4918" s="23">
        <v>0</v>
      </c>
      <c r="AM4918" s="19">
        <v>0</v>
      </c>
      <c r="AN4918" s="19">
        <v>619680</v>
      </c>
      <c r="AP4918" s="14">
        <v>619680</v>
      </c>
      <c r="AQ4918" s="12">
        <v>1E-4</v>
      </c>
    </row>
    <row r="4919" spans="1:45" x14ac:dyDescent="0.2">
      <c r="A4919" s="122">
        <f t="shared" si="563"/>
        <v>4145</v>
      </c>
      <c r="B4919" s="13">
        <v>12</v>
      </c>
      <c r="C4919" s="17" t="s">
        <v>65</v>
      </c>
      <c r="D4919" s="17">
        <v>2681</v>
      </c>
      <c r="E4919" s="17">
        <v>50</v>
      </c>
      <c r="H4919" s="17">
        <v>5</v>
      </c>
      <c r="I4919" s="17">
        <v>2</v>
      </c>
      <c r="J4919" s="17">
        <v>60</v>
      </c>
      <c r="K4919" s="10">
        <v>2260</v>
      </c>
      <c r="P4919" s="17">
        <v>1</v>
      </c>
      <c r="Q4919" s="19">
        <v>2260</v>
      </c>
      <c r="R4919" s="14">
        <v>160</v>
      </c>
      <c r="S4919" s="19">
        <v>361600</v>
      </c>
      <c r="AJ4919" s="19">
        <v>0</v>
      </c>
      <c r="AK4919" s="23">
        <v>0</v>
      </c>
      <c r="AM4919" s="19">
        <v>0</v>
      </c>
      <c r="AN4919" s="19">
        <v>361600</v>
      </c>
      <c r="AP4919" s="14">
        <v>361600</v>
      </c>
      <c r="AQ4919" s="12">
        <v>1E-4</v>
      </c>
    </row>
    <row r="4920" spans="1:45" x14ac:dyDescent="0.2">
      <c r="A4920" s="122">
        <f t="shared" si="563"/>
        <v>4146</v>
      </c>
      <c r="B4920" s="13">
        <v>1</v>
      </c>
      <c r="C4920" s="17" t="s">
        <v>52</v>
      </c>
      <c r="D4920" s="17">
        <v>16055</v>
      </c>
      <c r="E4920" s="17">
        <v>128</v>
      </c>
      <c r="F4920" s="17">
        <v>3533</v>
      </c>
      <c r="H4920" s="17">
        <v>2</v>
      </c>
      <c r="I4920" s="17">
        <v>3</v>
      </c>
      <c r="J4920" s="17">
        <v>28.03</v>
      </c>
      <c r="K4920" s="10">
        <v>1128.03</v>
      </c>
      <c r="P4920" s="17">
        <v>1</v>
      </c>
      <c r="Q4920" s="19">
        <v>1128.03</v>
      </c>
      <c r="R4920" s="14">
        <v>160</v>
      </c>
      <c r="S4920" s="19">
        <v>180484.8</v>
      </c>
      <c r="AJ4920" s="19">
        <v>0</v>
      </c>
      <c r="AK4920" s="23">
        <v>0</v>
      </c>
      <c r="AM4920" s="19">
        <v>0</v>
      </c>
      <c r="AN4920" s="19">
        <v>180484.8</v>
      </c>
      <c r="AP4920" s="14">
        <v>180484.8</v>
      </c>
    </row>
    <row r="4921" spans="1:45" x14ac:dyDescent="0.2">
      <c r="A4921" s="122">
        <f>+A4920+1</f>
        <v>4147</v>
      </c>
      <c r="B4921" s="13">
        <v>2</v>
      </c>
      <c r="C4921" s="17" t="s">
        <v>65</v>
      </c>
      <c r="D4921" s="17">
        <v>2443</v>
      </c>
      <c r="E4921" s="17">
        <v>102</v>
      </c>
      <c r="H4921" s="17">
        <v>30</v>
      </c>
      <c r="I4921" s="17">
        <v>0</v>
      </c>
      <c r="J4921" s="17">
        <v>0</v>
      </c>
      <c r="K4921" s="10">
        <v>12000</v>
      </c>
      <c r="P4921" s="17">
        <v>1</v>
      </c>
      <c r="Q4921" s="19">
        <v>12000</v>
      </c>
      <c r="R4921" s="14">
        <v>160</v>
      </c>
      <c r="S4921" s="19">
        <v>1920000</v>
      </c>
      <c r="AJ4921" s="19">
        <v>0</v>
      </c>
      <c r="AK4921" s="23">
        <v>0</v>
      </c>
      <c r="AM4921" s="19">
        <v>0</v>
      </c>
      <c r="AN4921" s="19">
        <v>1920000</v>
      </c>
      <c r="AP4921" s="14">
        <v>1920000</v>
      </c>
      <c r="AQ4921" s="12">
        <v>1E-4</v>
      </c>
    </row>
    <row r="4922" spans="1:45" x14ac:dyDescent="0.2">
      <c r="B4922" s="13">
        <v>2</v>
      </c>
      <c r="C4922" s="17" t="s">
        <v>65</v>
      </c>
      <c r="D4922" s="17">
        <v>89</v>
      </c>
      <c r="E4922" s="17">
        <v>10</v>
      </c>
      <c r="H4922" s="17">
        <v>3</v>
      </c>
      <c r="I4922" s="17">
        <v>0</v>
      </c>
      <c r="J4922" s="17">
        <v>66</v>
      </c>
      <c r="K4922" s="10">
        <v>1266</v>
      </c>
      <c r="Q4922" s="19">
        <v>1266</v>
      </c>
      <c r="R4922" s="14" t="e">
        <v>#N/A</v>
      </c>
      <c r="S4922" s="19" t="e">
        <v>#N/A</v>
      </c>
      <c r="AE4922" s="17" t="s">
        <v>94</v>
      </c>
      <c r="AJ4922" s="19">
        <v>0</v>
      </c>
      <c r="AK4922" s="23">
        <v>0</v>
      </c>
      <c r="AM4922" s="19">
        <v>0</v>
      </c>
      <c r="AN4922" s="19" t="e">
        <v>#N/A</v>
      </c>
      <c r="AP4922" s="14" t="e">
        <v>#N/A</v>
      </c>
      <c r="AQ4922" s="12">
        <v>1E-4</v>
      </c>
    </row>
    <row r="4923" spans="1:45" ht="42" x14ac:dyDescent="0.2">
      <c r="A4923" s="2">
        <v>4148</v>
      </c>
      <c r="B4923" s="13">
        <v>3</v>
      </c>
      <c r="C4923" s="17" t="s">
        <v>65</v>
      </c>
      <c r="D4923" s="17">
        <v>422</v>
      </c>
      <c r="E4923" s="17">
        <v>84</v>
      </c>
      <c r="H4923" s="17">
        <v>6</v>
      </c>
      <c r="I4923" s="17">
        <v>2</v>
      </c>
      <c r="J4923" s="17">
        <v>3</v>
      </c>
      <c r="K4923" s="10">
        <v>2603</v>
      </c>
      <c r="Q4923" s="19">
        <v>2603</v>
      </c>
      <c r="R4923" s="14">
        <v>4500</v>
      </c>
      <c r="S4923" s="19">
        <v>11713500</v>
      </c>
      <c r="AE4923" s="17" t="s">
        <v>94</v>
      </c>
      <c r="AJ4923" s="19">
        <v>0</v>
      </c>
      <c r="AK4923" s="23">
        <v>0</v>
      </c>
      <c r="AM4923" s="19">
        <v>0</v>
      </c>
      <c r="AN4923" s="19">
        <v>11713500</v>
      </c>
      <c r="AP4923" s="14">
        <v>11713500</v>
      </c>
      <c r="AQ4923" s="12">
        <v>1E-4</v>
      </c>
    </row>
    <row r="4924" spans="1:45" ht="63" x14ac:dyDescent="0.2">
      <c r="A4924" s="2">
        <f>+A4923+1</f>
        <v>4149</v>
      </c>
      <c r="B4924" s="13">
        <v>1</v>
      </c>
      <c r="C4924" s="17" t="s">
        <v>52</v>
      </c>
      <c r="D4924" s="17">
        <v>2069</v>
      </c>
      <c r="E4924" s="17">
        <v>65</v>
      </c>
      <c r="F4924" s="17">
        <v>1814</v>
      </c>
      <c r="G4924" s="13">
        <v>3</v>
      </c>
      <c r="H4924" s="17">
        <v>3</v>
      </c>
      <c r="I4924" s="17">
        <v>1</v>
      </c>
      <c r="J4924" s="17">
        <v>41</v>
      </c>
      <c r="L4924" s="17">
        <v>1341</v>
      </c>
      <c r="P4924" s="17">
        <v>2</v>
      </c>
      <c r="Q4924" s="19">
        <v>1341</v>
      </c>
      <c r="R4924" s="14">
        <v>200</v>
      </c>
      <c r="S4924" s="19">
        <v>268200</v>
      </c>
      <c r="T4924" s="17">
        <v>1</v>
      </c>
      <c r="U4924" s="17" t="s">
        <v>57</v>
      </c>
      <c r="V4924" s="17" t="s">
        <v>84</v>
      </c>
      <c r="W4924" s="4">
        <v>97.75</v>
      </c>
      <c r="Y4924" s="4">
        <v>97.75</v>
      </c>
      <c r="AB4924" s="17">
        <v>51</v>
      </c>
      <c r="AE4924" s="17" t="s">
        <v>433</v>
      </c>
      <c r="AJ4924" s="19">
        <v>0</v>
      </c>
      <c r="AK4924" s="23">
        <v>51</v>
      </c>
      <c r="AM4924" s="19">
        <v>0</v>
      </c>
      <c r="AN4924" s="19">
        <v>268200</v>
      </c>
      <c r="AP4924" s="14">
        <v>268200</v>
      </c>
      <c r="AS4924" s="26">
        <v>7</v>
      </c>
    </row>
    <row r="4925" spans="1:45" x14ac:dyDescent="0.2">
      <c r="B4925" s="13">
        <v>1</v>
      </c>
      <c r="C4925" s="17" t="s">
        <v>52</v>
      </c>
      <c r="D4925" s="17">
        <v>40422</v>
      </c>
      <c r="E4925" s="17">
        <v>196</v>
      </c>
      <c r="G4925" s="13">
        <v>3</v>
      </c>
      <c r="H4925" s="17">
        <v>0</v>
      </c>
      <c r="I4925" s="17">
        <v>0</v>
      </c>
      <c r="J4925" s="17">
        <v>23</v>
      </c>
      <c r="L4925" s="17">
        <v>23</v>
      </c>
      <c r="P4925" s="17">
        <v>2</v>
      </c>
      <c r="Q4925" s="19">
        <v>23</v>
      </c>
      <c r="R4925" s="14" t="e">
        <v>#N/A</v>
      </c>
      <c r="AE4925" s="17" t="s">
        <v>432</v>
      </c>
    </row>
    <row r="4926" spans="1:45" x14ac:dyDescent="0.2">
      <c r="A4926" s="2">
        <v>4150</v>
      </c>
      <c r="B4926" s="13">
        <v>1</v>
      </c>
      <c r="C4926" s="17" t="s">
        <v>52</v>
      </c>
      <c r="D4926" s="17">
        <v>23522</v>
      </c>
      <c r="E4926" s="17">
        <v>120</v>
      </c>
      <c r="F4926" s="17">
        <v>4864</v>
      </c>
      <c r="G4926" s="13">
        <v>3</v>
      </c>
      <c r="H4926" s="17">
        <v>4</v>
      </c>
      <c r="I4926" s="17">
        <v>0</v>
      </c>
      <c r="J4926" s="17">
        <v>12</v>
      </c>
      <c r="K4926" s="10">
        <v>1612</v>
      </c>
      <c r="P4926" s="17">
        <v>1</v>
      </c>
      <c r="Q4926" s="19">
        <v>1612</v>
      </c>
      <c r="R4926" s="14">
        <v>160</v>
      </c>
      <c r="S4926" s="19">
        <v>257920</v>
      </c>
      <c r="AJ4926" s="19">
        <v>0</v>
      </c>
      <c r="AK4926" s="23">
        <v>0</v>
      </c>
      <c r="AM4926" s="19">
        <v>0</v>
      </c>
      <c r="AN4926" s="19">
        <v>257920</v>
      </c>
      <c r="AP4926" s="14">
        <v>257920</v>
      </c>
      <c r="AS4926" s="26">
        <v>22</v>
      </c>
    </row>
    <row r="4927" spans="1:45" x14ac:dyDescent="0.2">
      <c r="A4927" s="2">
        <f>+A4926+1</f>
        <v>4151</v>
      </c>
      <c r="B4927" s="13">
        <v>1</v>
      </c>
      <c r="C4927" s="17" t="s">
        <v>52</v>
      </c>
      <c r="D4927" s="17">
        <v>23644</v>
      </c>
      <c r="E4927" s="17">
        <v>166</v>
      </c>
      <c r="F4927" s="17">
        <v>4732</v>
      </c>
      <c r="H4927" s="17">
        <v>0</v>
      </c>
      <c r="I4927" s="17">
        <v>2</v>
      </c>
      <c r="J4927" s="17">
        <v>54</v>
      </c>
      <c r="K4927" s="10">
        <v>254</v>
      </c>
      <c r="P4927" s="17">
        <v>1</v>
      </c>
      <c r="Q4927" s="19">
        <v>254</v>
      </c>
      <c r="R4927" s="14">
        <v>160</v>
      </c>
      <c r="S4927" s="19">
        <v>40640</v>
      </c>
      <c r="AJ4927" s="19">
        <v>0</v>
      </c>
      <c r="AK4927" s="23">
        <v>0</v>
      </c>
      <c r="AM4927" s="19">
        <v>0</v>
      </c>
      <c r="AN4927" s="19">
        <v>40640</v>
      </c>
      <c r="AP4927" s="14">
        <v>40640</v>
      </c>
    </row>
    <row r="4928" spans="1:45" x14ac:dyDescent="0.2">
      <c r="A4928" s="122">
        <f t="shared" ref="A4928:A4950" si="564">+A4927+1</f>
        <v>4152</v>
      </c>
      <c r="B4928" s="13">
        <v>1</v>
      </c>
      <c r="C4928" s="17" t="s">
        <v>52</v>
      </c>
      <c r="D4928" s="17">
        <v>16668</v>
      </c>
      <c r="E4928" s="17">
        <v>17</v>
      </c>
      <c r="F4928" s="17">
        <v>3696</v>
      </c>
      <c r="G4928" s="13">
        <v>3</v>
      </c>
      <c r="H4928" s="17">
        <v>7</v>
      </c>
      <c r="I4928" s="17">
        <v>3</v>
      </c>
      <c r="J4928" s="17">
        <v>93.02</v>
      </c>
      <c r="K4928" s="10">
        <v>3193.02</v>
      </c>
      <c r="P4928" s="17">
        <v>1</v>
      </c>
      <c r="Q4928" s="19">
        <v>3193.02</v>
      </c>
      <c r="R4928" s="14">
        <v>160</v>
      </c>
      <c r="S4928" s="19">
        <v>510883.2</v>
      </c>
      <c r="AJ4928" s="19">
        <v>0</v>
      </c>
      <c r="AK4928" s="23">
        <v>0</v>
      </c>
      <c r="AM4928" s="19">
        <v>0</v>
      </c>
      <c r="AN4928" s="19">
        <v>510883.2</v>
      </c>
      <c r="AP4928" s="14">
        <v>510883.2</v>
      </c>
    </row>
    <row r="4929" spans="1:45" s="19" customFormat="1" ht="63" x14ac:dyDescent="0.2">
      <c r="A4929" s="122">
        <f t="shared" si="564"/>
        <v>4153</v>
      </c>
      <c r="B4929" s="13">
        <v>2</v>
      </c>
      <c r="C4929" s="17" t="s">
        <v>52</v>
      </c>
      <c r="D4929" s="17">
        <v>18695</v>
      </c>
      <c r="E4929" s="17">
        <v>211</v>
      </c>
      <c r="F4929" s="17">
        <v>4206</v>
      </c>
      <c r="G4929" s="13">
        <v>3</v>
      </c>
      <c r="H4929" s="17">
        <v>0</v>
      </c>
      <c r="I4929" s="17">
        <v>0</v>
      </c>
      <c r="J4929" s="17">
        <v>77</v>
      </c>
      <c r="K4929" s="10"/>
      <c r="L4929" s="17">
        <v>77</v>
      </c>
      <c r="M4929" s="15"/>
      <c r="N4929" s="18"/>
      <c r="O4929" s="14"/>
      <c r="P4929" s="17">
        <v>2</v>
      </c>
      <c r="Q4929" s="19">
        <v>77</v>
      </c>
      <c r="R4929" s="14">
        <v>250</v>
      </c>
      <c r="S4929" s="19">
        <v>19250</v>
      </c>
      <c r="T4929" s="17">
        <v>1</v>
      </c>
      <c r="U4929" s="17" t="s">
        <v>57</v>
      </c>
      <c r="V4929" s="17" t="s">
        <v>56</v>
      </c>
      <c r="W4929" s="4">
        <v>60</v>
      </c>
      <c r="X4929" s="17"/>
      <c r="Y4929" s="4">
        <v>60</v>
      </c>
      <c r="Z4929" s="17"/>
      <c r="AA4929" s="17"/>
      <c r="AB4929" s="17">
        <v>3</v>
      </c>
      <c r="AC4929" s="14"/>
      <c r="AD4929" s="14"/>
      <c r="AE4929" s="17"/>
      <c r="AF4929" s="14"/>
      <c r="AG4929" s="54"/>
      <c r="AH4929" s="11"/>
      <c r="AI4929" s="14"/>
      <c r="AJ4929" s="19">
        <v>0</v>
      </c>
      <c r="AK4929" s="23">
        <v>3</v>
      </c>
      <c r="AL4929" s="11"/>
      <c r="AM4929" s="19">
        <v>0</v>
      </c>
      <c r="AN4929" s="19">
        <v>19250</v>
      </c>
      <c r="AO4929" s="14"/>
      <c r="AP4929" s="14">
        <v>19250</v>
      </c>
      <c r="AQ4929" s="12"/>
      <c r="AS4929" s="26"/>
    </row>
    <row r="4930" spans="1:45" s="19" customFormat="1" x14ac:dyDescent="0.2">
      <c r="A4930" s="122">
        <f t="shared" si="564"/>
        <v>4154</v>
      </c>
      <c r="B4930" s="13">
        <v>3</v>
      </c>
      <c r="C4930" s="17" t="s">
        <v>52</v>
      </c>
      <c r="D4930" s="17">
        <v>20446</v>
      </c>
      <c r="E4930" s="17">
        <v>158</v>
      </c>
      <c r="F4930" s="17">
        <v>4574</v>
      </c>
      <c r="G4930" s="13"/>
      <c r="H4930" s="17">
        <v>0</v>
      </c>
      <c r="I4930" s="17">
        <v>0</v>
      </c>
      <c r="J4930" s="17">
        <v>71</v>
      </c>
      <c r="K4930" s="10" t="s">
        <v>153</v>
      </c>
      <c r="L4930" s="17"/>
      <c r="M4930" s="15"/>
      <c r="N4930" s="18"/>
      <c r="O4930" s="14"/>
      <c r="P4930" s="17">
        <v>1</v>
      </c>
      <c r="Q4930" s="19">
        <v>71</v>
      </c>
      <c r="R4930" s="14">
        <v>160</v>
      </c>
      <c r="S4930" s="19">
        <v>11360</v>
      </c>
      <c r="T4930" s="17"/>
      <c r="U4930" s="17"/>
      <c r="V4930" s="17"/>
      <c r="W4930" s="4"/>
      <c r="X4930" s="17"/>
      <c r="Y4930" s="4"/>
      <c r="Z4930" s="17"/>
      <c r="AA4930" s="17"/>
      <c r="AB4930" s="17"/>
      <c r="AC4930" s="14"/>
      <c r="AD4930" s="14"/>
      <c r="AE4930" s="17"/>
      <c r="AF4930" s="14"/>
      <c r="AG4930" s="54"/>
      <c r="AH4930" s="11"/>
      <c r="AI4930" s="14"/>
      <c r="AJ4930" s="19">
        <v>0</v>
      </c>
      <c r="AK4930" s="23">
        <v>0</v>
      </c>
      <c r="AL4930" s="11"/>
      <c r="AM4930" s="19">
        <v>0</v>
      </c>
      <c r="AN4930" s="19">
        <v>11360</v>
      </c>
      <c r="AO4930" s="14"/>
      <c r="AP4930" s="14">
        <v>11360</v>
      </c>
      <c r="AQ4930" s="12"/>
      <c r="AS4930" s="26"/>
    </row>
    <row r="4931" spans="1:45" s="19" customFormat="1" x14ac:dyDescent="0.2">
      <c r="A4931" s="122">
        <f t="shared" si="564"/>
        <v>4155</v>
      </c>
      <c r="B4931" s="13">
        <v>1</v>
      </c>
      <c r="C4931" s="17" t="s">
        <v>52</v>
      </c>
      <c r="D4931" s="17">
        <v>18688</v>
      </c>
      <c r="E4931" s="17">
        <v>204</v>
      </c>
      <c r="F4931" s="17">
        <v>4199</v>
      </c>
      <c r="G4931" s="13"/>
      <c r="H4931" s="17">
        <v>0</v>
      </c>
      <c r="I4931" s="17">
        <v>0</v>
      </c>
      <c r="J4931" s="17">
        <v>60</v>
      </c>
      <c r="K4931" s="10"/>
      <c r="L4931" s="17"/>
      <c r="M4931" s="15"/>
      <c r="N4931" s="18">
        <v>60</v>
      </c>
      <c r="O4931" s="14"/>
      <c r="P4931" s="17">
        <v>4</v>
      </c>
      <c r="Q4931" s="19">
        <v>60</v>
      </c>
      <c r="R4931" s="14">
        <v>250</v>
      </c>
      <c r="S4931" s="19">
        <v>15000</v>
      </c>
      <c r="T4931" s="17"/>
      <c r="U4931" s="17"/>
      <c r="V4931" s="17"/>
      <c r="W4931" s="4"/>
      <c r="X4931" s="17"/>
      <c r="Y4931" s="4"/>
      <c r="Z4931" s="17"/>
      <c r="AA4931" s="17"/>
      <c r="AB4931" s="17"/>
      <c r="AC4931" s="14"/>
      <c r="AD4931" s="14"/>
      <c r="AE4931" s="17"/>
      <c r="AF4931" s="14"/>
      <c r="AG4931" s="54"/>
      <c r="AH4931" s="11"/>
      <c r="AI4931" s="14"/>
      <c r="AJ4931" s="19">
        <v>0</v>
      </c>
      <c r="AK4931" s="23">
        <v>0</v>
      </c>
      <c r="AL4931" s="11"/>
      <c r="AM4931" s="19">
        <v>0</v>
      </c>
      <c r="AN4931" s="19">
        <v>15000</v>
      </c>
      <c r="AO4931" s="14"/>
      <c r="AP4931" s="14">
        <v>15000</v>
      </c>
      <c r="AQ4931" s="12">
        <v>3.0000000000000001E-3</v>
      </c>
      <c r="AS4931" s="26"/>
    </row>
    <row r="4932" spans="1:45" s="19" customFormat="1" x14ac:dyDescent="0.2">
      <c r="A4932" s="122">
        <f t="shared" si="564"/>
        <v>4156</v>
      </c>
      <c r="B4932" s="13">
        <v>1</v>
      </c>
      <c r="C4932" s="17" t="s">
        <v>52</v>
      </c>
      <c r="D4932" s="17">
        <v>18689</v>
      </c>
      <c r="E4932" s="17">
        <v>205</v>
      </c>
      <c r="F4932" s="17">
        <v>4200</v>
      </c>
      <c r="G4932" s="13"/>
      <c r="H4932" s="17">
        <v>0</v>
      </c>
      <c r="I4932" s="17">
        <v>0</v>
      </c>
      <c r="J4932" s="17">
        <v>50</v>
      </c>
      <c r="K4932" s="10"/>
      <c r="L4932" s="17"/>
      <c r="M4932" s="15"/>
      <c r="N4932" s="18">
        <v>50</v>
      </c>
      <c r="O4932" s="14"/>
      <c r="P4932" s="17">
        <v>4</v>
      </c>
      <c r="Q4932" s="19">
        <v>50</v>
      </c>
      <c r="R4932" s="14">
        <v>250</v>
      </c>
      <c r="S4932" s="19">
        <v>12500</v>
      </c>
      <c r="T4932" s="17"/>
      <c r="U4932" s="17"/>
      <c r="V4932" s="17"/>
      <c r="W4932" s="4"/>
      <c r="X4932" s="17"/>
      <c r="Y4932" s="4"/>
      <c r="Z4932" s="17"/>
      <c r="AA4932" s="17"/>
      <c r="AB4932" s="17"/>
      <c r="AC4932" s="14"/>
      <c r="AD4932" s="14"/>
      <c r="AE4932" s="17"/>
      <c r="AF4932" s="14"/>
      <c r="AG4932" s="54"/>
      <c r="AH4932" s="11"/>
      <c r="AI4932" s="14"/>
      <c r="AJ4932" s="19">
        <v>0</v>
      </c>
      <c r="AK4932" s="23">
        <v>0</v>
      </c>
      <c r="AL4932" s="11"/>
      <c r="AM4932" s="19">
        <v>0</v>
      </c>
      <c r="AN4932" s="19">
        <v>12500</v>
      </c>
      <c r="AO4932" s="14"/>
      <c r="AP4932" s="14">
        <v>12500</v>
      </c>
      <c r="AQ4932" s="12">
        <v>3.0000000000000001E-3</v>
      </c>
      <c r="AS4932" s="26"/>
    </row>
    <row r="4933" spans="1:45" s="19" customFormat="1" x14ac:dyDescent="0.2">
      <c r="A4933" s="122">
        <f t="shared" si="564"/>
        <v>4157</v>
      </c>
      <c r="B4933" s="13">
        <v>2</v>
      </c>
      <c r="C4933" s="17" t="s">
        <v>52</v>
      </c>
      <c r="D4933" s="17">
        <v>23518</v>
      </c>
      <c r="E4933" s="17">
        <v>165</v>
      </c>
      <c r="F4933" s="17">
        <v>4860</v>
      </c>
      <c r="G4933" s="13">
        <v>3</v>
      </c>
      <c r="H4933" s="17">
        <v>6</v>
      </c>
      <c r="I4933" s="17">
        <v>0</v>
      </c>
      <c r="J4933" s="17">
        <v>4</v>
      </c>
      <c r="K4933" s="10">
        <v>2404</v>
      </c>
      <c r="L4933" s="17"/>
      <c r="M4933" s="15"/>
      <c r="N4933" s="18"/>
      <c r="O4933" s="14"/>
      <c r="P4933" s="17">
        <v>1</v>
      </c>
      <c r="Q4933" s="19">
        <v>2404</v>
      </c>
      <c r="R4933" s="14">
        <v>160</v>
      </c>
      <c r="S4933" s="19">
        <v>384640</v>
      </c>
      <c r="T4933" s="17"/>
      <c r="U4933" s="17"/>
      <c r="V4933" s="17"/>
      <c r="W4933" s="4"/>
      <c r="X4933" s="17"/>
      <c r="Y4933" s="4"/>
      <c r="Z4933" s="17"/>
      <c r="AA4933" s="17"/>
      <c r="AB4933" s="17"/>
      <c r="AC4933" s="14"/>
      <c r="AD4933" s="14"/>
      <c r="AE4933" s="17" t="s">
        <v>431</v>
      </c>
      <c r="AF4933" s="14"/>
      <c r="AG4933" s="54"/>
      <c r="AH4933" s="11"/>
      <c r="AI4933" s="14"/>
      <c r="AJ4933" s="19">
        <v>0</v>
      </c>
      <c r="AK4933" s="23">
        <v>0</v>
      </c>
      <c r="AL4933" s="11"/>
      <c r="AM4933" s="19">
        <v>0</v>
      </c>
      <c r="AN4933" s="19">
        <v>384640</v>
      </c>
      <c r="AO4933" s="14"/>
      <c r="AP4933" s="14">
        <v>384640</v>
      </c>
      <c r="AQ4933" s="12"/>
      <c r="AS4933" s="26"/>
    </row>
    <row r="4934" spans="1:45" s="19" customFormat="1" x14ac:dyDescent="0.2">
      <c r="A4934" s="122">
        <f t="shared" si="564"/>
        <v>4158</v>
      </c>
      <c r="B4934" s="13">
        <v>3</v>
      </c>
      <c r="C4934" s="17" t="s">
        <v>52</v>
      </c>
      <c r="D4934" s="17">
        <v>23519</v>
      </c>
      <c r="E4934" s="17">
        <v>106</v>
      </c>
      <c r="F4934" s="17">
        <v>4861</v>
      </c>
      <c r="G4934" s="13">
        <v>3</v>
      </c>
      <c r="H4934" s="17">
        <v>3</v>
      </c>
      <c r="I4934" s="17">
        <v>0</v>
      </c>
      <c r="J4934" s="17">
        <v>15</v>
      </c>
      <c r="K4934" s="10">
        <v>1215</v>
      </c>
      <c r="L4934" s="17"/>
      <c r="M4934" s="15"/>
      <c r="N4934" s="18"/>
      <c r="O4934" s="14"/>
      <c r="P4934" s="17">
        <v>1</v>
      </c>
      <c r="Q4934" s="19">
        <v>1215</v>
      </c>
      <c r="R4934" s="14">
        <v>160</v>
      </c>
      <c r="S4934" s="19">
        <v>194400</v>
      </c>
      <c r="T4934" s="17"/>
      <c r="U4934" s="17"/>
      <c r="V4934" s="17"/>
      <c r="W4934" s="4"/>
      <c r="X4934" s="17"/>
      <c r="Y4934" s="4"/>
      <c r="Z4934" s="17"/>
      <c r="AA4934" s="17"/>
      <c r="AB4934" s="17"/>
      <c r="AC4934" s="14"/>
      <c r="AD4934" s="14"/>
      <c r="AE4934" s="17"/>
      <c r="AF4934" s="14"/>
      <c r="AG4934" s="54"/>
      <c r="AH4934" s="11"/>
      <c r="AI4934" s="14"/>
      <c r="AJ4934" s="19">
        <v>0</v>
      </c>
      <c r="AK4934" s="23">
        <v>0</v>
      </c>
      <c r="AL4934" s="11"/>
      <c r="AM4934" s="19">
        <v>0</v>
      </c>
      <c r="AN4934" s="19">
        <v>194400</v>
      </c>
      <c r="AO4934" s="14"/>
      <c r="AP4934" s="14">
        <v>194400</v>
      </c>
      <c r="AQ4934" s="12"/>
      <c r="AS4934" s="26"/>
    </row>
    <row r="4935" spans="1:45" s="19" customFormat="1" x14ac:dyDescent="0.2">
      <c r="A4935" s="122">
        <f t="shared" si="564"/>
        <v>4159</v>
      </c>
      <c r="B4935" s="13">
        <v>4</v>
      </c>
      <c r="C4935" s="17" t="s">
        <v>52</v>
      </c>
      <c r="D4935" s="17">
        <v>23520</v>
      </c>
      <c r="E4935" s="17">
        <v>107</v>
      </c>
      <c r="F4935" s="17">
        <v>4862</v>
      </c>
      <c r="G4935" s="13">
        <v>3</v>
      </c>
      <c r="H4935" s="17">
        <v>2</v>
      </c>
      <c r="I4935" s="17">
        <v>2</v>
      </c>
      <c r="J4935" s="17">
        <v>48</v>
      </c>
      <c r="K4935" s="10">
        <v>1048</v>
      </c>
      <c r="L4935" s="17"/>
      <c r="M4935" s="15"/>
      <c r="N4935" s="18"/>
      <c r="O4935" s="14"/>
      <c r="P4935" s="17">
        <v>1</v>
      </c>
      <c r="Q4935" s="19">
        <v>1048</v>
      </c>
      <c r="R4935" s="14">
        <v>160</v>
      </c>
      <c r="S4935" s="19">
        <v>167680</v>
      </c>
      <c r="T4935" s="17"/>
      <c r="U4935" s="17"/>
      <c r="V4935" s="17"/>
      <c r="W4935" s="4"/>
      <c r="X4935" s="17"/>
      <c r="Y4935" s="4"/>
      <c r="Z4935" s="17"/>
      <c r="AA4935" s="17"/>
      <c r="AB4935" s="17"/>
      <c r="AC4935" s="14"/>
      <c r="AD4935" s="14"/>
      <c r="AE4935" s="17"/>
      <c r="AF4935" s="14"/>
      <c r="AG4935" s="54"/>
      <c r="AH4935" s="11"/>
      <c r="AI4935" s="14"/>
      <c r="AJ4935" s="19">
        <v>0</v>
      </c>
      <c r="AK4935" s="23">
        <v>0</v>
      </c>
      <c r="AL4935" s="11"/>
      <c r="AM4935" s="19">
        <v>0</v>
      </c>
      <c r="AN4935" s="19">
        <v>167680</v>
      </c>
      <c r="AO4935" s="14"/>
      <c r="AP4935" s="14">
        <v>167680</v>
      </c>
      <c r="AQ4935" s="12"/>
      <c r="AS4935" s="26"/>
    </row>
    <row r="4936" spans="1:45" s="19" customFormat="1" ht="63" x14ac:dyDescent="0.2">
      <c r="A4936" s="122">
        <f t="shared" si="564"/>
        <v>4160</v>
      </c>
      <c r="B4936" s="13">
        <v>1</v>
      </c>
      <c r="C4936" s="17" t="s">
        <v>52</v>
      </c>
      <c r="D4936" s="17">
        <v>15977</v>
      </c>
      <c r="E4936" s="17">
        <v>138</v>
      </c>
      <c r="F4936" s="17">
        <v>3486</v>
      </c>
      <c r="G4936" s="13"/>
      <c r="H4936" s="17">
        <v>0</v>
      </c>
      <c r="I4936" s="17">
        <v>0</v>
      </c>
      <c r="J4936" s="17">
        <v>27</v>
      </c>
      <c r="K4936" s="10"/>
      <c r="L4936" s="17">
        <v>27</v>
      </c>
      <c r="M4936" s="15"/>
      <c r="N4936" s="18"/>
      <c r="O4936" s="14"/>
      <c r="P4936" s="17">
        <v>2</v>
      </c>
      <c r="Q4936" s="19">
        <v>27</v>
      </c>
      <c r="R4936" s="14">
        <v>2000</v>
      </c>
      <c r="S4936" s="19">
        <v>54000</v>
      </c>
      <c r="T4936" s="17">
        <v>1</v>
      </c>
      <c r="U4936" s="17" t="s">
        <v>57</v>
      </c>
      <c r="V4936" s="17" t="s">
        <v>56</v>
      </c>
      <c r="W4936" s="4">
        <v>92</v>
      </c>
      <c r="X4936" s="17"/>
      <c r="Y4936" s="4">
        <v>92</v>
      </c>
      <c r="Z4936" s="17"/>
      <c r="AA4936" s="17"/>
      <c r="AB4936" s="17">
        <v>22</v>
      </c>
      <c r="AC4936" s="14"/>
      <c r="AD4936" s="14"/>
      <c r="AE4936" s="17"/>
      <c r="AF4936" s="14"/>
      <c r="AG4936" s="54"/>
      <c r="AH4936" s="11"/>
      <c r="AI4936" s="14"/>
      <c r="AJ4936" s="19">
        <v>0</v>
      </c>
      <c r="AK4936" s="23">
        <v>22</v>
      </c>
      <c r="AL4936" s="11"/>
      <c r="AM4936" s="19">
        <v>0</v>
      </c>
      <c r="AN4936" s="19">
        <v>54000</v>
      </c>
      <c r="AO4936" s="14"/>
      <c r="AP4936" s="14">
        <v>54000</v>
      </c>
      <c r="AQ4936" s="12"/>
      <c r="AS4936" s="26"/>
    </row>
    <row r="4937" spans="1:45" s="19" customFormat="1" x14ac:dyDescent="0.2">
      <c r="A4937" s="122">
        <f t="shared" si="564"/>
        <v>4161</v>
      </c>
      <c r="B4937" s="13">
        <v>1</v>
      </c>
      <c r="C4937" s="17" t="s">
        <v>52</v>
      </c>
      <c r="D4937" s="17">
        <v>35286</v>
      </c>
      <c r="E4937" s="17">
        <v>188</v>
      </c>
      <c r="F4937" s="17">
        <v>7027</v>
      </c>
      <c r="G4937" s="13"/>
      <c r="H4937" s="17">
        <v>0</v>
      </c>
      <c r="I4937" s="17">
        <v>1</v>
      </c>
      <c r="J4937" s="17">
        <v>22.03</v>
      </c>
      <c r="K4937" s="10"/>
      <c r="L4937" s="17"/>
      <c r="M4937" s="15"/>
      <c r="N4937" s="18">
        <v>122.03</v>
      </c>
      <c r="O4937" s="14"/>
      <c r="P4937" s="17">
        <v>4</v>
      </c>
      <c r="Q4937" s="19">
        <v>122.03</v>
      </c>
      <c r="R4937" s="14">
        <v>250</v>
      </c>
      <c r="S4937" s="19">
        <v>30507.5</v>
      </c>
      <c r="T4937" s="17"/>
      <c r="U4937" s="17"/>
      <c r="V4937" s="17"/>
      <c r="W4937" s="4"/>
      <c r="X4937" s="17"/>
      <c r="Y4937" s="4"/>
      <c r="Z4937" s="17"/>
      <c r="AA4937" s="17"/>
      <c r="AB4937" s="17"/>
      <c r="AC4937" s="14"/>
      <c r="AD4937" s="14"/>
      <c r="AE4937" s="17"/>
      <c r="AF4937" s="14"/>
      <c r="AG4937" s="54"/>
      <c r="AH4937" s="11"/>
      <c r="AI4937" s="14"/>
      <c r="AJ4937" s="19">
        <v>0</v>
      </c>
      <c r="AK4937" s="23">
        <v>0</v>
      </c>
      <c r="AL4937" s="11"/>
      <c r="AM4937" s="19">
        <v>0</v>
      </c>
      <c r="AN4937" s="19">
        <v>30507.5</v>
      </c>
      <c r="AO4937" s="14"/>
      <c r="AP4937" s="14">
        <v>30507.5</v>
      </c>
      <c r="AQ4937" s="12">
        <v>3.0000000000000001E-3</v>
      </c>
      <c r="AS4937" s="26"/>
    </row>
    <row r="4938" spans="1:45" s="19" customFormat="1" x14ac:dyDescent="0.2">
      <c r="A4938" s="122">
        <f t="shared" si="564"/>
        <v>4162</v>
      </c>
      <c r="B4938" s="13">
        <v>1</v>
      </c>
      <c r="C4938" s="17" t="s">
        <v>52</v>
      </c>
      <c r="D4938" s="17">
        <v>2269</v>
      </c>
      <c r="E4938" s="17">
        <v>60</v>
      </c>
      <c r="F4938" s="17">
        <v>1809</v>
      </c>
      <c r="G4938" s="13">
        <v>3</v>
      </c>
      <c r="H4938" s="17">
        <v>4</v>
      </c>
      <c r="I4938" s="17">
        <v>3</v>
      </c>
      <c r="J4938" s="17">
        <v>5</v>
      </c>
      <c r="K4938" s="10">
        <v>1905</v>
      </c>
      <c r="L4938" s="17"/>
      <c r="M4938" s="15"/>
      <c r="N4938" s="18"/>
      <c r="O4938" s="14"/>
      <c r="P4938" s="17">
        <v>1</v>
      </c>
      <c r="Q4938" s="19">
        <v>1905</v>
      </c>
      <c r="R4938" s="14">
        <v>160</v>
      </c>
      <c r="S4938" s="19">
        <v>304800</v>
      </c>
      <c r="T4938" s="17"/>
      <c r="U4938" s="17"/>
      <c r="V4938" s="17"/>
      <c r="W4938" s="4"/>
      <c r="X4938" s="17"/>
      <c r="Y4938" s="4"/>
      <c r="Z4938" s="17"/>
      <c r="AA4938" s="17"/>
      <c r="AB4938" s="17"/>
      <c r="AC4938" s="14"/>
      <c r="AD4938" s="14"/>
      <c r="AE4938" s="17"/>
      <c r="AF4938" s="14"/>
      <c r="AG4938" s="54"/>
      <c r="AH4938" s="11"/>
      <c r="AI4938" s="14"/>
      <c r="AJ4938" s="19">
        <v>0</v>
      </c>
      <c r="AK4938" s="23">
        <v>0</v>
      </c>
      <c r="AL4938" s="11"/>
      <c r="AM4938" s="19">
        <v>0</v>
      </c>
      <c r="AN4938" s="19">
        <v>304800</v>
      </c>
      <c r="AO4938" s="14"/>
      <c r="AP4938" s="14">
        <v>304800</v>
      </c>
      <c r="AQ4938" s="12"/>
      <c r="AS4938" s="26"/>
    </row>
    <row r="4939" spans="1:45" s="19" customFormat="1" x14ac:dyDescent="0.2">
      <c r="A4939" s="122">
        <f t="shared" si="564"/>
        <v>4163</v>
      </c>
      <c r="B4939" s="13">
        <v>2</v>
      </c>
      <c r="C4939" s="17" t="s">
        <v>52</v>
      </c>
      <c r="D4939" s="17">
        <v>2292</v>
      </c>
      <c r="E4939" s="17">
        <v>33</v>
      </c>
      <c r="F4939" s="17">
        <v>1595</v>
      </c>
      <c r="G4939" s="13">
        <v>3</v>
      </c>
      <c r="H4939" s="17">
        <v>3</v>
      </c>
      <c r="I4939" s="17">
        <v>1</v>
      </c>
      <c r="J4939" s="17">
        <v>55</v>
      </c>
      <c r="K4939" s="10">
        <v>1355</v>
      </c>
      <c r="L4939" s="17"/>
      <c r="M4939" s="15"/>
      <c r="N4939" s="18"/>
      <c r="O4939" s="14"/>
      <c r="P4939" s="17">
        <v>1</v>
      </c>
      <c r="Q4939" s="19">
        <v>1355</v>
      </c>
      <c r="R4939" s="14">
        <v>160</v>
      </c>
      <c r="S4939" s="19">
        <v>216800</v>
      </c>
      <c r="T4939" s="17"/>
      <c r="U4939" s="17"/>
      <c r="V4939" s="17"/>
      <c r="W4939" s="4"/>
      <c r="X4939" s="17"/>
      <c r="Y4939" s="4"/>
      <c r="Z4939" s="17"/>
      <c r="AA4939" s="17"/>
      <c r="AB4939" s="17"/>
      <c r="AC4939" s="14"/>
      <c r="AD4939" s="14"/>
      <c r="AE4939" s="17"/>
      <c r="AF4939" s="14"/>
      <c r="AG4939" s="54"/>
      <c r="AH4939" s="11"/>
      <c r="AI4939" s="14"/>
      <c r="AJ4939" s="19">
        <v>0</v>
      </c>
      <c r="AK4939" s="23">
        <v>0</v>
      </c>
      <c r="AL4939" s="11"/>
      <c r="AM4939" s="19">
        <v>0</v>
      </c>
      <c r="AN4939" s="19">
        <v>216800</v>
      </c>
      <c r="AO4939" s="14"/>
      <c r="AP4939" s="14">
        <v>216800</v>
      </c>
      <c r="AQ4939" s="12"/>
      <c r="AS4939" s="26"/>
    </row>
    <row r="4940" spans="1:45" s="19" customFormat="1" x14ac:dyDescent="0.2">
      <c r="A4940" s="122">
        <f t="shared" si="564"/>
        <v>4164</v>
      </c>
      <c r="B4940" s="13">
        <v>3</v>
      </c>
      <c r="C4940" s="17" t="s">
        <v>52</v>
      </c>
      <c r="D4940" s="17">
        <v>30339</v>
      </c>
      <c r="E4940" s="17">
        <v>65</v>
      </c>
      <c r="F4940" s="17">
        <v>5011</v>
      </c>
      <c r="G4940" s="13">
        <v>7</v>
      </c>
      <c r="H4940" s="17">
        <v>0</v>
      </c>
      <c r="I4940" s="17">
        <v>0</v>
      </c>
      <c r="J4940" s="17">
        <v>92</v>
      </c>
      <c r="K4940" s="10"/>
      <c r="L4940" s="17"/>
      <c r="M4940" s="15"/>
      <c r="N4940" s="18">
        <v>92</v>
      </c>
      <c r="O4940" s="14"/>
      <c r="P4940" s="17">
        <v>4</v>
      </c>
      <c r="Q4940" s="19">
        <v>92</v>
      </c>
      <c r="R4940" s="14">
        <v>250</v>
      </c>
      <c r="S4940" s="19">
        <v>23000</v>
      </c>
      <c r="T4940" s="17"/>
      <c r="U4940" s="17"/>
      <c r="V4940" s="17"/>
      <c r="W4940" s="4"/>
      <c r="X4940" s="17"/>
      <c r="Y4940" s="4"/>
      <c r="Z4940" s="17"/>
      <c r="AA4940" s="17"/>
      <c r="AB4940" s="17"/>
      <c r="AC4940" s="14"/>
      <c r="AD4940" s="14"/>
      <c r="AE4940" s="17"/>
      <c r="AF4940" s="14"/>
      <c r="AG4940" s="54"/>
      <c r="AH4940" s="11"/>
      <c r="AI4940" s="14"/>
      <c r="AJ4940" s="19">
        <v>0</v>
      </c>
      <c r="AK4940" s="23">
        <v>0</v>
      </c>
      <c r="AL4940" s="11"/>
      <c r="AM4940" s="19">
        <v>0</v>
      </c>
      <c r="AN4940" s="19">
        <v>23000</v>
      </c>
      <c r="AO4940" s="14"/>
      <c r="AP4940" s="14">
        <v>23000</v>
      </c>
      <c r="AQ4940" s="12">
        <v>3.0000000000000001E-3</v>
      </c>
      <c r="AS4940" s="26"/>
    </row>
    <row r="4941" spans="1:45" s="19" customFormat="1" x14ac:dyDescent="0.2">
      <c r="A4941" s="122">
        <f t="shared" si="564"/>
        <v>4165</v>
      </c>
      <c r="B4941" s="13">
        <v>4</v>
      </c>
      <c r="C4941" s="17" t="s">
        <v>52</v>
      </c>
      <c r="D4941" s="17">
        <v>33832</v>
      </c>
      <c r="E4941" s="17">
        <v>103</v>
      </c>
      <c r="F4941" s="17">
        <v>6758</v>
      </c>
      <c r="G4941" s="13">
        <v>7</v>
      </c>
      <c r="H4941" s="17">
        <v>0</v>
      </c>
      <c r="I4941" s="17">
        <v>1</v>
      </c>
      <c r="J4941" s="17">
        <v>45</v>
      </c>
      <c r="K4941" s="10">
        <v>145</v>
      </c>
      <c r="L4941" s="17"/>
      <c r="M4941" s="15"/>
      <c r="N4941" s="18"/>
      <c r="O4941" s="14"/>
      <c r="P4941" s="17">
        <v>1</v>
      </c>
      <c r="Q4941" s="19">
        <v>145</v>
      </c>
      <c r="R4941" s="14">
        <v>250</v>
      </c>
      <c r="S4941" s="19">
        <v>36250</v>
      </c>
      <c r="T4941" s="17"/>
      <c r="U4941" s="17"/>
      <c r="V4941" s="17"/>
      <c r="W4941" s="4"/>
      <c r="X4941" s="17"/>
      <c r="Y4941" s="4"/>
      <c r="Z4941" s="17"/>
      <c r="AA4941" s="17"/>
      <c r="AB4941" s="17"/>
      <c r="AC4941" s="14"/>
      <c r="AD4941" s="14"/>
      <c r="AE4941" s="17"/>
      <c r="AF4941" s="14"/>
      <c r="AG4941" s="54"/>
      <c r="AH4941" s="11"/>
      <c r="AI4941" s="14"/>
      <c r="AJ4941" s="19">
        <v>0</v>
      </c>
      <c r="AK4941" s="23">
        <v>0</v>
      </c>
      <c r="AL4941" s="11"/>
      <c r="AM4941" s="19">
        <v>0</v>
      </c>
      <c r="AN4941" s="19">
        <v>36250</v>
      </c>
      <c r="AO4941" s="14"/>
      <c r="AP4941" s="14">
        <v>36250</v>
      </c>
      <c r="AQ4941" s="12"/>
      <c r="AS4941" s="26"/>
    </row>
    <row r="4942" spans="1:45" s="19" customFormat="1" x14ac:dyDescent="0.2">
      <c r="A4942" s="122">
        <f t="shared" si="564"/>
        <v>4166</v>
      </c>
      <c r="B4942" s="13">
        <v>5</v>
      </c>
      <c r="C4942" s="17" t="s">
        <v>52</v>
      </c>
      <c r="D4942" s="17">
        <v>33833</v>
      </c>
      <c r="E4942" s="17">
        <v>104</v>
      </c>
      <c r="F4942" s="17">
        <v>6759</v>
      </c>
      <c r="G4942" s="13">
        <v>7</v>
      </c>
      <c r="H4942" s="17">
        <v>0</v>
      </c>
      <c r="I4942" s="17">
        <v>1</v>
      </c>
      <c r="J4942" s="17">
        <v>3</v>
      </c>
      <c r="K4942" s="10">
        <v>103</v>
      </c>
      <c r="L4942" s="17"/>
      <c r="M4942" s="15"/>
      <c r="N4942" s="18"/>
      <c r="O4942" s="14"/>
      <c r="P4942" s="17">
        <v>1</v>
      </c>
      <c r="Q4942" s="19">
        <v>103</v>
      </c>
      <c r="R4942" s="14">
        <v>250</v>
      </c>
      <c r="S4942" s="19">
        <v>25750</v>
      </c>
      <c r="T4942" s="17"/>
      <c r="U4942" s="17"/>
      <c r="V4942" s="17"/>
      <c r="W4942" s="4"/>
      <c r="X4942" s="17"/>
      <c r="Y4942" s="4"/>
      <c r="Z4942" s="17"/>
      <c r="AA4942" s="17"/>
      <c r="AB4942" s="17"/>
      <c r="AC4942" s="14"/>
      <c r="AD4942" s="14"/>
      <c r="AE4942" s="17"/>
      <c r="AF4942" s="14"/>
      <c r="AG4942" s="54"/>
      <c r="AH4942" s="11"/>
      <c r="AI4942" s="14"/>
      <c r="AJ4942" s="19">
        <v>0</v>
      </c>
      <c r="AK4942" s="23">
        <v>0</v>
      </c>
      <c r="AL4942" s="11"/>
      <c r="AM4942" s="19">
        <v>0</v>
      </c>
      <c r="AN4942" s="19">
        <v>25750</v>
      </c>
      <c r="AO4942" s="14"/>
      <c r="AP4942" s="14">
        <v>25750</v>
      </c>
      <c r="AQ4942" s="12"/>
      <c r="AS4942" s="26"/>
    </row>
    <row r="4943" spans="1:45" s="19" customFormat="1" x14ac:dyDescent="0.2">
      <c r="A4943" s="122">
        <f t="shared" si="564"/>
        <v>4167</v>
      </c>
      <c r="B4943" s="13">
        <v>6</v>
      </c>
      <c r="C4943" s="17" t="s">
        <v>52</v>
      </c>
      <c r="D4943" s="17">
        <v>15978</v>
      </c>
      <c r="E4943" s="17">
        <v>137</v>
      </c>
      <c r="F4943" s="17">
        <v>3487</v>
      </c>
      <c r="G4943" s="13"/>
      <c r="H4943" s="17">
        <v>0</v>
      </c>
      <c r="I4943" s="17">
        <v>0</v>
      </c>
      <c r="J4943" s="17">
        <v>56</v>
      </c>
      <c r="K4943" s="10"/>
      <c r="L4943" s="17"/>
      <c r="M4943" s="15"/>
      <c r="N4943" s="18">
        <v>56</v>
      </c>
      <c r="O4943" s="14"/>
      <c r="P4943" s="17">
        <v>4</v>
      </c>
      <c r="Q4943" s="19">
        <v>56</v>
      </c>
      <c r="R4943" s="14">
        <v>2000</v>
      </c>
      <c r="S4943" s="19">
        <v>112000</v>
      </c>
      <c r="T4943" s="17"/>
      <c r="U4943" s="17"/>
      <c r="V4943" s="17"/>
      <c r="W4943" s="4"/>
      <c r="X4943" s="17"/>
      <c r="Y4943" s="4"/>
      <c r="Z4943" s="17"/>
      <c r="AA4943" s="17"/>
      <c r="AB4943" s="17"/>
      <c r="AC4943" s="14"/>
      <c r="AD4943" s="14"/>
      <c r="AE4943" s="17"/>
      <c r="AF4943" s="14"/>
      <c r="AG4943" s="54"/>
      <c r="AH4943" s="11"/>
      <c r="AI4943" s="14"/>
      <c r="AJ4943" s="19">
        <v>0</v>
      </c>
      <c r="AK4943" s="23">
        <v>0</v>
      </c>
      <c r="AL4943" s="11"/>
      <c r="AM4943" s="19">
        <v>0</v>
      </c>
      <c r="AN4943" s="19">
        <v>112000</v>
      </c>
      <c r="AO4943" s="14"/>
      <c r="AP4943" s="14">
        <v>112000</v>
      </c>
      <c r="AQ4943" s="12">
        <v>3.0000000000000001E-3</v>
      </c>
      <c r="AS4943" s="26"/>
    </row>
    <row r="4944" spans="1:45" s="19" customFormat="1" x14ac:dyDescent="0.2">
      <c r="A4944" s="122">
        <f t="shared" si="564"/>
        <v>4168</v>
      </c>
      <c r="B4944" s="13">
        <v>1</v>
      </c>
      <c r="C4944" s="17" t="s">
        <v>52</v>
      </c>
      <c r="D4944" s="17">
        <v>2033</v>
      </c>
      <c r="E4944" s="17">
        <v>77</v>
      </c>
      <c r="F4944" s="17">
        <v>1109</v>
      </c>
      <c r="G4944" s="13"/>
      <c r="H4944" s="17">
        <v>0</v>
      </c>
      <c r="I4944" s="17">
        <v>1</v>
      </c>
      <c r="J4944" s="17">
        <v>64.06</v>
      </c>
      <c r="K4944" s="10"/>
      <c r="L4944" s="17"/>
      <c r="M4944" s="15"/>
      <c r="N4944" s="18">
        <v>164.06</v>
      </c>
      <c r="O4944" s="14"/>
      <c r="P4944" s="17">
        <v>4</v>
      </c>
      <c r="Q4944" s="19">
        <v>164.06</v>
      </c>
      <c r="R4944" s="14">
        <v>200</v>
      </c>
      <c r="S4944" s="19">
        <v>32812</v>
      </c>
      <c r="T4944" s="17"/>
      <c r="U4944" s="17"/>
      <c r="V4944" s="17"/>
      <c r="W4944" s="4"/>
      <c r="X4944" s="17"/>
      <c r="Y4944" s="4"/>
      <c r="Z4944" s="17"/>
      <c r="AA4944" s="17"/>
      <c r="AB4944" s="17"/>
      <c r="AC4944" s="14"/>
      <c r="AD4944" s="14"/>
      <c r="AE4944" s="17"/>
      <c r="AF4944" s="14"/>
      <c r="AG4944" s="54"/>
      <c r="AH4944" s="11"/>
      <c r="AI4944" s="14"/>
      <c r="AJ4944" s="19">
        <v>0</v>
      </c>
      <c r="AK4944" s="23">
        <v>0</v>
      </c>
      <c r="AL4944" s="11"/>
      <c r="AM4944" s="19">
        <v>0</v>
      </c>
      <c r="AN4944" s="19">
        <v>32812</v>
      </c>
      <c r="AO4944" s="14"/>
      <c r="AP4944" s="14">
        <v>32812</v>
      </c>
      <c r="AQ4944" s="12">
        <v>3.0000000000000001E-3</v>
      </c>
      <c r="AS4944" s="26"/>
    </row>
    <row r="4945" spans="1:45" x14ac:dyDescent="0.2">
      <c r="A4945" s="122">
        <f t="shared" si="564"/>
        <v>4169</v>
      </c>
      <c r="B4945" s="13">
        <v>2</v>
      </c>
      <c r="C4945" s="17" t="s">
        <v>52</v>
      </c>
      <c r="D4945" s="17">
        <v>35289</v>
      </c>
      <c r="E4945" s="17">
        <v>191</v>
      </c>
      <c r="F4945" s="17">
        <v>7030</v>
      </c>
      <c r="H4945" s="17">
        <v>0</v>
      </c>
      <c r="I4945" s="17">
        <v>0</v>
      </c>
      <c r="J4945" s="17">
        <v>37.04</v>
      </c>
      <c r="N4945" s="18">
        <v>37.04</v>
      </c>
      <c r="P4945" s="17">
        <v>4</v>
      </c>
      <c r="Q4945" s="19">
        <v>37.04</v>
      </c>
      <c r="R4945" s="14">
        <v>1500</v>
      </c>
      <c r="S4945" s="19">
        <v>55560</v>
      </c>
      <c r="AJ4945" s="19">
        <v>0</v>
      </c>
      <c r="AK4945" s="23">
        <v>0</v>
      </c>
      <c r="AM4945" s="19">
        <v>0</v>
      </c>
      <c r="AN4945" s="19">
        <v>55560</v>
      </c>
      <c r="AP4945" s="14">
        <v>55560</v>
      </c>
      <c r="AQ4945" s="12">
        <v>3.0000000000000001E-3</v>
      </c>
    </row>
    <row r="4946" spans="1:45" ht="63" x14ac:dyDescent="0.2">
      <c r="A4946" s="122">
        <f t="shared" si="564"/>
        <v>4170</v>
      </c>
      <c r="B4946" s="13">
        <v>3</v>
      </c>
      <c r="C4946" s="17" t="s">
        <v>52</v>
      </c>
      <c r="D4946" s="17">
        <v>35290</v>
      </c>
      <c r="E4946" s="17">
        <v>192</v>
      </c>
      <c r="F4946" s="17">
        <v>7031</v>
      </c>
      <c r="G4946" s="13">
        <v>3</v>
      </c>
      <c r="H4946" s="17">
        <v>0</v>
      </c>
      <c r="I4946" s="17">
        <v>2</v>
      </c>
      <c r="J4946" s="17">
        <v>32.08</v>
      </c>
      <c r="L4946" s="17">
        <v>232.08</v>
      </c>
      <c r="P4946" s="17">
        <v>2</v>
      </c>
      <c r="Q4946" s="19">
        <v>232.07999999999998</v>
      </c>
      <c r="R4946" s="14">
        <v>1500</v>
      </c>
      <c r="S4946" s="19">
        <v>348120</v>
      </c>
      <c r="T4946" s="17">
        <v>1</v>
      </c>
      <c r="U4946" s="17" t="s">
        <v>57</v>
      </c>
      <c r="V4946" s="17" t="s">
        <v>56</v>
      </c>
      <c r="W4946" s="4">
        <v>62.5</v>
      </c>
      <c r="Y4946" s="4">
        <v>62.5</v>
      </c>
      <c r="AB4946" s="17">
        <v>5</v>
      </c>
      <c r="AJ4946" s="19">
        <v>0</v>
      </c>
      <c r="AK4946" s="23">
        <v>5</v>
      </c>
      <c r="AM4946" s="19">
        <v>0</v>
      </c>
      <c r="AN4946" s="19">
        <v>348120</v>
      </c>
      <c r="AP4946" s="14">
        <v>348120</v>
      </c>
    </row>
    <row r="4947" spans="1:45" ht="63" x14ac:dyDescent="0.2">
      <c r="A4947" s="122">
        <f t="shared" si="564"/>
        <v>4171</v>
      </c>
      <c r="B4947" s="13">
        <v>4</v>
      </c>
      <c r="C4947" s="17" t="s">
        <v>52</v>
      </c>
      <c r="D4947" s="17">
        <v>35291</v>
      </c>
      <c r="E4947" s="17">
        <v>193</v>
      </c>
      <c r="F4947" s="17">
        <v>7032</v>
      </c>
      <c r="G4947" s="13">
        <v>3</v>
      </c>
      <c r="H4947" s="17">
        <v>0</v>
      </c>
      <c r="I4947" s="17">
        <v>1</v>
      </c>
      <c r="J4947" s="17">
        <v>22.04</v>
      </c>
      <c r="L4947" s="17">
        <v>122.04</v>
      </c>
      <c r="P4947" s="17">
        <v>2</v>
      </c>
      <c r="Q4947" s="19">
        <v>122.03999999999999</v>
      </c>
      <c r="R4947" s="14">
        <v>250</v>
      </c>
      <c r="S4947" s="19">
        <v>30509.999999999996</v>
      </c>
      <c r="T4947" s="17">
        <v>1</v>
      </c>
      <c r="U4947" s="17" t="s">
        <v>57</v>
      </c>
      <c r="V4947" s="17" t="s">
        <v>56</v>
      </c>
      <c r="W4947" s="4">
        <v>105</v>
      </c>
      <c r="Z4947" s="17">
        <v>105</v>
      </c>
      <c r="AB4947" s="17">
        <v>7</v>
      </c>
      <c r="AJ4947" s="19">
        <v>0</v>
      </c>
      <c r="AK4947" s="23">
        <v>7</v>
      </c>
      <c r="AM4947" s="19">
        <v>0</v>
      </c>
      <c r="AN4947" s="19">
        <v>30509.999999999996</v>
      </c>
      <c r="AP4947" s="14">
        <v>30509.999999999996</v>
      </c>
    </row>
    <row r="4948" spans="1:45" ht="63" x14ac:dyDescent="0.2">
      <c r="A4948" s="122">
        <f t="shared" si="564"/>
        <v>4172</v>
      </c>
      <c r="B4948" s="13">
        <v>1</v>
      </c>
      <c r="C4948" s="17" t="s">
        <v>52</v>
      </c>
      <c r="D4948" s="17">
        <v>16056</v>
      </c>
      <c r="E4948" s="17">
        <v>129</v>
      </c>
      <c r="F4948" s="17">
        <v>3534</v>
      </c>
      <c r="H4948" s="17">
        <v>2</v>
      </c>
      <c r="I4948" s="17">
        <v>1</v>
      </c>
      <c r="J4948" s="17">
        <v>61</v>
      </c>
      <c r="L4948" s="17">
        <v>961</v>
      </c>
      <c r="P4948" s="17">
        <v>2</v>
      </c>
      <c r="Q4948" s="19">
        <v>961</v>
      </c>
      <c r="R4948" s="14">
        <v>200</v>
      </c>
      <c r="S4948" s="19">
        <v>192200</v>
      </c>
      <c r="AJ4948" s="19">
        <v>0</v>
      </c>
      <c r="AK4948" s="23">
        <v>0</v>
      </c>
      <c r="AM4948" s="19">
        <v>0</v>
      </c>
      <c r="AN4948" s="19">
        <v>192200</v>
      </c>
      <c r="AP4948" s="14">
        <v>192200</v>
      </c>
      <c r="AR4948" s="19">
        <v>94</v>
      </c>
      <c r="AS4948" s="26">
        <v>274</v>
      </c>
    </row>
    <row r="4949" spans="1:45" ht="63" x14ac:dyDescent="0.2">
      <c r="A4949" s="122">
        <f t="shared" si="564"/>
        <v>4173</v>
      </c>
      <c r="B4949" s="13">
        <v>2</v>
      </c>
      <c r="C4949" s="17" t="s">
        <v>52</v>
      </c>
      <c r="D4949" s="17">
        <v>16057</v>
      </c>
      <c r="E4949" s="17">
        <v>130</v>
      </c>
      <c r="F4949" s="17">
        <v>3535</v>
      </c>
      <c r="H4949" s="17">
        <v>2</v>
      </c>
      <c r="I4949" s="17">
        <v>2</v>
      </c>
      <c r="J4949" s="17">
        <v>50</v>
      </c>
      <c r="K4949" s="10">
        <v>1050</v>
      </c>
      <c r="P4949" s="17">
        <v>1</v>
      </c>
      <c r="Q4949" s="19">
        <v>1050</v>
      </c>
      <c r="R4949" s="14">
        <v>200</v>
      </c>
      <c r="S4949" s="19">
        <v>210000</v>
      </c>
      <c r="AJ4949" s="19">
        <v>0</v>
      </c>
      <c r="AK4949" s="23">
        <v>0</v>
      </c>
      <c r="AM4949" s="19">
        <v>0</v>
      </c>
      <c r="AN4949" s="19">
        <v>210000</v>
      </c>
      <c r="AP4949" s="14">
        <v>210000</v>
      </c>
      <c r="AR4949" s="19">
        <v>180</v>
      </c>
    </row>
    <row r="4950" spans="1:45" ht="63" x14ac:dyDescent="0.2">
      <c r="A4950" s="122">
        <f t="shared" si="564"/>
        <v>4174</v>
      </c>
      <c r="B4950" s="13">
        <v>3</v>
      </c>
      <c r="C4950" s="17" t="s">
        <v>52</v>
      </c>
      <c r="D4950" s="17">
        <v>16058</v>
      </c>
      <c r="E4950" s="17">
        <v>131</v>
      </c>
      <c r="F4950" s="17">
        <v>3536</v>
      </c>
      <c r="G4950" s="13">
        <v>3</v>
      </c>
      <c r="H4950" s="17">
        <v>2</v>
      </c>
      <c r="I4950" s="17">
        <v>0</v>
      </c>
      <c r="J4950" s="17">
        <v>26</v>
      </c>
      <c r="L4950" s="17">
        <v>1048.5</v>
      </c>
      <c r="M4950" s="15">
        <v>1.5</v>
      </c>
      <c r="P4950" s="17">
        <v>5</v>
      </c>
      <c r="Q4950" s="19">
        <v>826</v>
      </c>
      <c r="R4950" s="14">
        <v>200</v>
      </c>
      <c r="S4950" s="19">
        <v>165200</v>
      </c>
      <c r="T4950" s="17">
        <v>1</v>
      </c>
      <c r="U4950" s="17" t="s">
        <v>57</v>
      </c>
      <c r="V4950" s="17" t="s">
        <v>56</v>
      </c>
      <c r="W4950" s="4">
        <v>240</v>
      </c>
      <c r="Y4950" s="4" t="s">
        <v>434</v>
      </c>
      <c r="AB4950" s="17">
        <v>19</v>
      </c>
      <c r="AE4950" s="17">
        <v>231</v>
      </c>
      <c r="AF4950" s="14">
        <v>2</v>
      </c>
      <c r="AG4950" s="54">
        <v>240</v>
      </c>
      <c r="AH4950" s="11">
        <v>0.9</v>
      </c>
      <c r="AI4950" s="14">
        <v>7250</v>
      </c>
      <c r="AJ4950" s="19">
        <v>1566000</v>
      </c>
      <c r="AK4950" s="23">
        <v>19</v>
      </c>
      <c r="AL4950" s="11">
        <v>0.28000000000000003</v>
      </c>
      <c r="AM4950" s="19">
        <v>1127520</v>
      </c>
      <c r="AN4950" s="19">
        <v>1292720</v>
      </c>
      <c r="AP4950" s="14">
        <v>1292720</v>
      </c>
    </row>
    <row r="4951" spans="1:45" x14ac:dyDescent="0.2">
      <c r="Z4951" s="17">
        <v>9</v>
      </c>
      <c r="AE4951" s="17" t="s">
        <v>207</v>
      </c>
      <c r="AF4951" s="14">
        <v>3</v>
      </c>
      <c r="AG4951" s="54">
        <v>240</v>
      </c>
      <c r="AH4951" s="11">
        <v>0.04</v>
      </c>
      <c r="AI4951" s="14">
        <v>7250</v>
      </c>
      <c r="AJ4951" s="19">
        <v>69600</v>
      </c>
      <c r="AK4951" s="23">
        <v>19</v>
      </c>
      <c r="AL4951" s="11">
        <v>0.28000000000000003</v>
      </c>
      <c r="AM4951" s="19">
        <v>50112</v>
      </c>
      <c r="AN4951" s="19">
        <v>56720</v>
      </c>
      <c r="AP4951" s="14">
        <v>56720</v>
      </c>
      <c r="AQ4951" s="12">
        <v>3.0000000000000001E-3</v>
      </c>
    </row>
    <row r="4952" spans="1:45" x14ac:dyDescent="0.2">
      <c r="A4952" s="2">
        <v>4175</v>
      </c>
      <c r="B4952" s="13">
        <v>4</v>
      </c>
      <c r="D4952" s="17">
        <v>16062</v>
      </c>
      <c r="E4952" s="17">
        <v>90</v>
      </c>
      <c r="F4952" s="17">
        <v>3540</v>
      </c>
      <c r="H4952" s="17">
        <v>6</v>
      </c>
      <c r="I4952" s="17">
        <v>2</v>
      </c>
      <c r="J4952" s="17">
        <v>55</v>
      </c>
      <c r="Q4952" s="19">
        <v>2655</v>
      </c>
      <c r="R4952" s="14">
        <v>160</v>
      </c>
      <c r="S4952" s="19">
        <v>424800</v>
      </c>
    </row>
    <row r="4953" spans="1:45" x14ac:dyDescent="0.2">
      <c r="A4953" s="2">
        <f>+A4952+1</f>
        <v>4176</v>
      </c>
      <c r="B4953" s="13">
        <v>5</v>
      </c>
      <c r="D4953" s="17">
        <v>16060</v>
      </c>
      <c r="E4953" s="17">
        <v>9</v>
      </c>
      <c r="F4953" s="17">
        <v>3538</v>
      </c>
      <c r="H4953" s="17">
        <v>4</v>
      </c>
      <c r="I4953" s="17">
        <v>0</v>
      </c>
      <c r="J4953" s="17">
        <v>48</v>
      </c>
      <c r="Q4953" s="19">
        <v>1648</v>
      </c>
      <c r="R4953" s="14">
        <v>160</v>
      </c>
      <c r="S4953" s="19">
        <v>263680</v>
      </c>
    </row>
    <row r="4954" spans="1:45" x14ac:dyDescent="0.2">
      <c r="B4954" s="13">
        <v>4</v>
      </c>
      <c r="C4954" s="17" t="s">
        <v>65</v>
      </c>
      <c r="D4954" s="17">
        <v>90</v>
      </c>
      <c r="E4954" s="17">
        <v>11</v>
      </c>
      <c r="H4954" s="17">
        <v>2</v>
      </c>
      <c r="I4954" s="17">
        <v>3</v>
      </c>
      <c r="J4954" s="17">
        <v>92</v>
      </c>
      <c r="K4954" s="10">
        <v>1192</v>
      </c>
      <c r="Q4954" s="19">
        <v>1192</v>
      </c>
      <c r="R4954" s="14" t="e">
        <v>#N/A</v>
      </c>
      <c r="S4954" s="19" t="e">
        <v>#N/A</v>
      </c>
      <c r="AE4954" s="17" t="s">
        <v>94</v>
      </c>
      <c r="AJ4954" s="19">
        <v>0</v>
      </c>
      <c r="AK4954" s="23">
        <v>0</v>
      </c>
      <c r="AM4954" s="19">
        <v>0</v>
      </c>
      <c r="AN4954" s="19" t="e">
        <v>#N/A</v>
      </c>
      <c r="AP4954" s="14" t="e">
        <v>#N/A</v>
      </c>
      <c r="AQ4954" s="12">
        <v>1E-4</v>
      </c>
    </row>
    <row r="4955" spans="1:45" x14ac:dyDescent="0.2">
      <c r="A4955" s="2">
        <v>4177</v>
      </c>
      <c r="B4955" s="13">
        <v>5</v>
      </c>
      <c r="C4955" s="17" t="s">
        <v>65</v>
      </c>
      <c r="D4955" s="17">
        <v>2608</v>
      </c>
      <c r="E4955" s="17">
        <v>167</v>
      </c>
      <c r="H4955" s="17">
        <v>2</v>
      </c>
      <c r="I4955" s="17">
        <v>2</v>
      </c>
      <c r="J4955" s="17">
        <v>58</v>
      </c>
      <c r="K4955" s="10">
        <v>1058</v>
      </c>
      <c r="Q4955" s="19">
        <v>1058</v>
      </c>
      <c r="R4955" s="14">
        <v>250</v>
      </c>
      <c r="S4955" s="19">
        <v>264500</v>
      </c>
      <c r="AJ4955" s="19">
        <v>0</v>
      </c>
      <c r="AK4955" s="23">
        <v>0</v>
      </c>
      <c r="AM4955" s="19">
        <v>0</v>
      </c>
      <c r="AN4955" s="19">
        <v>264500</v>
      </c>
      <c r="AP4955" s="14">
        <v>264500</v>
      </c>
      <c r="AQ4955" s="12">
        <v>1E-4</v>
      </c>
    </row>
    <row r="4956" spans="1:45" x14ac:dyDescent="0.2">
      <c r="A4956" s="2">
        <f>+A4955+1</f>
        <v>4178</v>
      </c>
      <c r="B4956" s="13">
        <v>6</v>
      </c>
      <c r="C4956" s="17" t="s">
        <v>65</v>
      </c>
      <c r="D4956" s="17">
        <v>2623</v>
      </c>
      <c r="E4956" s="17">
        <v>162</v>
      </c>
      <c r="H4956" s="17">
        <v>6</v>
      </c>
      <c r="I4956" s="17">
        <v>0</v>
      </c>
      <c r="J4956" s="17">
        <v>67</v>
      </c>
      <c r="K4956" s="10">
        <v>2467</v>
      </c>
      <c r="Q4956" s="19">
        <v>2467</v>
      </c>
      <c r="R4956" s="14">
        <v>160</v>
      </c>
      <c r="S4956" s="19">
        <v>394720</v>
      </c>
      <c r="AJ4956" s="19">
        <v>0</v>
      </c>
      <c r="AK4956" s="23">
        <v>0</v>
      </c>
      <c r="AM4956" s="19">
        <v>0</v>
      </c>
      <c r="AN4956" s="19">
        <v>394720</v>
      </c>
      <c r="AP4956" s="14">
        <v>394720</v>
      </c>
      <c r="AQ4956" s="12">
        <v>1E-4</v>
      </c>
    </row>
    <row r="4957" spans="1:45" x14ac:dyDescent="0.2">
      <c r="B4957" s="13">
        <v>7</v>
      </c>
      <c r="C4957" s="17" t="s">
        <v>65</v>
      </c>
      <c r="D4957" s="17">
        <v>2625</v>
      </c>
      <c r="E4957" s="17">
        <v>164</v>
      </c>
      <c r="H4957" s="17">
        <v>3</v>
      </c>
      <c r="I4957" s="17">
        <v>1</v>
      </c>
      <c r="J4957" s="17">
        <v>96</v>
      </c>
      <c r="K4957" s="10">
        <v>1396</v>
      </c>
      <c r="Q4957" s="19">
        <v>1396</v>
      </c>
      <c r="R4957" s="14" t="e">
        <v>#N/A</v>
      </c>
      <c r="S4957" s="19" t="e">
        <v>#N/A</v>
      </c>
      <c r="AJ4957" s="19">
        <v>0</v>
      </c>
      <c r="AK4957" s="23">
        <v>0</v>
      </c>
      <c r="AM4957" s="19">
        <v>0</v>
      </c>
      <c r="AN4957" s="19" t="e">
        <v>#N/A</v>
      </c>
      <c r="AP4957" s="14" t="e">
        <v>#N/A</v>
      </c>
      <c r="AQ4957" s="12">
        <v>1E-4</v>
      </c>
    </row>
    <row r="4958" spans="1:45" x14ac:dyDescent="0.2">
      <c r="B4958" s="13">
        <v>8</v>
      </c>
      <c r="C4958" s="17" t="s">
        <v>65</v>
      </c>
      <c r="D4958" s="17">
        <v>2631</v>
      </c>
      <c r="E4958" s="17">
        <v>168</v>
      </c>
      <c r="H4958" s="17">
        <v>1</v>
      </c>
      <c r="I4958" s="17">
        <v>3</v>
      </c>
      <c r="J4958" s="17">
        <v>44</v>
      </c>
      <c r="K4958" s="10">
        <v>744</v>
      </c>
      <c r="Q4958" s="19">
        <v>744</v>
      </c>
      <c r="R4958" s="14" t="e">
        <v>#N/A</v>
      </c>
      <c r="S4958" s="19" t="e">
        <v>#N/A</v>
      </c>
      <c r="AE4958" s="17" t="s">
        <v>94</v>
      </c>
      <c r="AJ4958" s="19">
        <v>0</v>
      </c>
      <c r="AK4958" s="23">
        <v>0</v>
      </c>
      <c r="AM4958" s="19">
        <v>0</v>
      </c>
      <c r="AN4958" s="19" t="e">
        <v>#N/A</v>
      </c>
      <c r="AP4958" s="14" t="e">
        <v>#N/A</v>
      </c>
      <c r="AQ4958" s="12">
        <v>1E-4</v>
      </c>
    </row>
    <row r="4959" spans="1:45" ht="63" x14ac:dyDescent="0.2">
      <c r="A4959" s="2">
        <v>4179</v>
      </c>
      <c r="B4959" s="13">
        <v>1</v>
      </c>
      <c r="C4959" s="17" t="s">
        <v>52</v>
      </c>
      <c r="D4959" s="17">
        <v>2271</v>
      </c>
      <c r="E4959" s="17">
        <v>64</v>
      </c>
      <c r="F4959" s="17">
        <v>1813</v>
      </c>
      <c r="G4959" s="13">
        <v>3</v>
      </c>
      <c r="H4959" s="17">
        <v>0</v>
      </c>
      <c r="I4959" s="17">
        <v>3</v>
      </c>
      <c r="J4959" s="17">
        <v>2</v>
      </c>
      <c r="L4959" s="17">
        <v>302</v>
      </c>
      <c r="P4959" s="17">
        <v>2</v>
      </c>
      <c r="Q4959" s="19">
        <v>302</v>
      </c>
      <c r="R4959" s="14">
        <v>250</v>
      </c>
      <c r="S4959" s="19">
        <v>75500</v>
      </c>
      <c r="T4959" s="17">
        <v>1</v>
      </c>
      <c r="U4959" s="17" t="s">
        <v>57</v>
      </c>
      <c r="V4959" s="17" t="s">
        <v>56</v>
      </c>
      <c r="W4959" s="4">
        <v>148.75</v>
      </c>
      <c r="Y4959" s="4">
        <v>148.75</v>
      </c>
      <c r="AB4959" s="17">
        <v>14</v>
      </c>
      <c r="AJ4959" s="19">
        <v>0</v>
      </c>
      <c r="AK4959" s="23">
        <v>14</v>
      </c>
      <c r="AM4959" s="19">
        <v>0</v>
      </c>
      <c r="AN4959" s="19">
        <v>75500</v>
      </c>
      <c r="AP4959" s="14">
        <v>75500</v>
      </c>
    </row>
    <row r="4960" spans="1:45" ht="42" x14ac:dyDescent="0.2">
      <c r="A4960" s="2">
        <v>4180</v>
      </c>
      <c r="B4960" s="13">
        <v>1</v>
      </c>
      <c r="C4960" s="17" t="s">
        <v>52</v>
      </c>
      <c r="D4960" s="17">
        <v>2028</v>
      </c>
      <c r="E4960" s="17">
        <v>69</v>
      </c>
      <c r="F4960" s="17">
        <v>1094</v>
      </c>
      <c r="H4960" s="17">
        <v>0</v>
      </c>
      <c r="I4960" s="17">
        <v>0</v>
      </c>
      <c r="J4960" s="17">
        <v>72</v>
      </c>
      <c r="L4960" s="17">
        <v>72</v>
      </c>
      <c r="P4960" s="17">
        <v>2</v>
      </c>
      <c r="Q4960" s="19">
        <v>72</v>
      </c>
      <c r="R4960" s="14">
        <v>2000</v>
      </c>
      <c r="S4960" s="19">
        <v>144000</v>
      </c>
      <c r="T4960" s="17">
        <v>1</v>
      </c>
      <c r="U4960" s="17" t="s">
        <v>133</v>
      </c>
      <c r="W4960" s="4">
        <v>42</v>
      </c>
      <c r="Y4960" s="4">
        <v>42</v>
      </c>
      <c r="AJ4960" s="19">
        <v>0</v>
      </c>
      <c r="AK4960" s="23">
        <v>0</v>
      </c>
      <c r="AM4960" s="19">
        <v>0</v>
      </c>
      <c r="AN4960" s="19">
        <v>144000</v>
      </c>
      <c r="AP4960" s="14">
        <v>144000</v>
      </c>
    </row>
    <row r="4961" spans="1:45" x14ac:dyDescent="0.2">
      <c r="Q4961" s="19">
        <v>0</v>
      </c>
      <c r="R4961" s="14" t="e">
        <v>#N/A</v>
      </c>
      <c r="S4961" s="19" t="e">
        <v>#N/A</v>
      </c>
      <c r="AJ4961" s="19">
        <v>0</v>
      </c>
      <c r="AK4961" s="23">
        <v>0</v>
      </c>
      <c r="AM4961" s="19">
        <v>0</v>
      </c>
      <c r="AN4961" s="19" t="e">
        <v>#N/A</v>
      </c>
      <c r="AP4961" s="14" t="e">
        <v>#N/A</v>
      </c>
    </row>
    <row r="4962" spans="1:45" x14ac:dyDescent="0.2">
      <c r="A4962" s="2">
        <v>4181</v>
      </c>
      <c r="B4962" s="13">
        <v>1</v>
      </c>
      <c r="C4962" s="17" t="s">
        <v>52</v>
      </c>
      <c r="D4962" s="17">
        <v>2025</v>
      </c>
      <c r="E4962" s="17">
        <v>71</v>
      </c>
      <c r="F4962" s="17">
        <v>1091</v>
      </c>
      <c r="H4962" s="17">
        <v>0</v>
      </c>
      <c r="I4962" s="17">
        <v>0</v>
      </c>
      <c r="J4962" s="17">
        <v>45</v>
      </c>
      <c r="N4962" s="18">
        <v>45</v>
      </c>
      <c r="P4962" s="17">
        <v>4</v>
      </c>
      <c r="Q4962" s="19">
        <v>45</v>
      </c>
      <c r="R4962" s="14">
        <v>2000</v>
      </c>
      <c r="S4962" s="19">
        <v>90000</v>
      </c>
      <c r="AJ4962" s="19">
        <v>0</v>
      </c>
      <c r="AK4962" s="23">
        <v>0</v>
      </c>
      <c r="AM4962" s="19">
        <v>0</v>
      </c>
      <c r="AN4962" s="19">
        <v>90000</v>
      </c>
      <c r="AP4962" s="14">
        <v>90000</v>
      </c>
      <c r="AQ4962" s="12">
        <v>3.0000000000000001E-3</v>
      </c>
    </row>
    <row r="4963" spans="1:45" x14ac:dyDescent="0.2">
      <c r="B4963" s="13">
        <v>2</v>
      </c>
      <c r="C4963" s="17" t="s">
        <v>97</v>
      </c>
      <c r="D4963" s="17">
        <v>46</v>
      </c>
      <c r="G4963" s="13">
        <v>3</v>
      </c>
      <c r="H4963" s="17">
        <v>2</v>
      </c>
      <c r="I4963" s="17">
        <v>0</v>
      </c>
      <c r="J4963" s="17">
        <v>0</v>
      </c>
      <c r="K4963" s="10">
        <v>800</v>
      </c>
      <c r="Q4963" s="19">
        <v>800</v>
      </c>
      <c r="R4963" s="14" t="e">
        <v>#N/A</v>
      </c>
      <c r="S4963" s="19" t="e">
        <v>#N/A</v>
      </c>
      <c r="AJ4963" s="19">
        <v>0</v>
      </c>
      <c r="AK4963" s="23">
        <v>0</v>
      </c>
      <c r="AM4963" s="19">
        <v>0</v>
      </c>
      <c r="AN4963" s="19" t="e">
        <v>#N/A</v>
      </c>
      <c r="AP4963" s="14" t="e">
        <v>#N/A</v>
      </c>
      <c r="AQ4963" s="12">
        <v>1E-4</v>
      </c>
    </row>
    <row r="4964" spans="1:45" ht="63" x14ac:dyDescent="0.2">
      <c r="A4964" s="2">
        <v>4182</v>
      </c>
      <c r="B4964" s="13">
        <v>1</v>
      </c>
      <c r="C4964" s="17" t="s">
        <v>52</v>
      </c>
      <c r="D4964" s="17">
        <v>2026</v>
      </c>
      <c r="E4964" s="17">
        <v>73</v>
      </c>
      <c r="F4964" s="17">
        <v>1092</v>
      </c>
      <c r="G4964" s="13">
        <v>3</v>
      </c>
      <c r="H4964" s="17">
        <v>9</v>
      </c>
      <c r="I4964" s="17">
        <v>1</v>
      </c>
      <c r="J4964" s="17">
        <v>51</v>
      </c>
      <c r="K4964" s="10">
        <v>3712.5</v>
      </c>
      <c r="L4964" s="17">
        <v>38.5</v>
      </c>
      <c r="P4964" s="17">
        <v>5</v>
      </c>
      <c r="Q4964" s="19">
        <v>3751</v>
      </c>
      <c r="R4964" s="14">
        <v>500</v>
      </c>
      <c r="S4964" s="19">
        <v>1875500</v>
      </c>
      <c r="T4964" s="17">
        <v>1</v>
      </c>
      <c r="U4964" s="17" t="s">
        <v>57</v>
      </c>
      <c r="V4964" s="17" t="s">
        <v>56</v>
      </c>
      <c r="W4964" s="4">
        <v>154</v>
      </c>
      <c r="Y4964" s="4">
        <v>154</v>
      </c>
      <c r="AB4964" s="17">
        <v>20</v>
      </c>
      <c r="AJ4964" s="19">
        <v>0</v>
      </c>
      <c r="AK4964" s="23">
        <v>20</v>
      </c>
      <c r="AM4964" s="19">
        <v>0</v>
      </c>
      <c r="AN4964" s="19">
        <v>1875500</v>
      </c>
      <c r="AP4964" s="14">
        <v>1875500</v>
      </c>
    </row>
    <row r="4965" spans="1:45" x14ac:dyDescent="0.2">
      <c r="A4965" s="2">
        <v>4183</v>
      </c>
      <c r="B4965" s="13">
        <v>2</v>
      </c>
      <c r="C4965" s="17" t="s">
        <v>52</v>
      </c>
      <c r="D4965" s="17">
        <v>2132</v>
      </c>
      <c r="E4965" s="17">
        <v>74</v>
      </c>
      <c r="F4965" s="17">
        <v>1095</v>
      </c>
      <c r="H4965" s="17">
        <v>9</v>
      </c>
      <c r="I4965" s="17">
        <v>3</v>
      </c>
      <c r="J4965" s="17">
        <v>39</v>
      </c>
      <c r="K4965" s="10">
        <v>3939</v>
      </c>
      <c r="P4965" s="17">
        <v>1</v>
      </c>
      <c r="Q4965" s="19">
        <v>3939</v>
      </c>
      <c r="R4965" s="14">
        <v>200</v>
      </c>
      <c r="S4965" s="19">
        <v>787800</v>
      </c>
      <c r="AJ4965" s="19">
        <v>0</v>
      </c>
      <c r="AK4965" s="23">
        <v>0</v>
      </c>
      <c r="AM4965" s="19">
        <v>0</v>
      </c>
      <c r="AN4965" s="19">
        <v>787800</v>
      </c>
      <c r="AP4965" s="14">
        <v>787800</v>
      </c>
    </row>
    <row r="4966" spans="1:45" x14ac:dyDescent="0.2">
      <c r="A4966" s="2">
        <v>4184</v>
      </c>
      <c r="B4966" s="13">
        <v>1</v>
      </c>
      <c r="C4966" s="17" t="s">
        <v>52</v>
      </c>
      <c r="D4966" s="17">
        <v>14110</v>
      </c>
      <c r="E4966" s="17">
        <v>531</v>
      </c>
      <c r="F4966" s="17">
        <v>3292</v>
      </c>
      <c r="G4966" s="13">
        <v>2</v>
      </c>
      <c r="H4966" s="17">
        <v>0</v>
      </c>
      <c r="I4966" s="17">
        <v>0</v>
      </c>
      <c r="J4966" s="17">
        <v>48.04</v>
      </c>
      <c r="L4966" s="17">
        <v>48.04</v>
      </c>
      <c r="P4966" s="17">
        <v>2</v>
      </c>
      <c r="Q4966" s="19">
        <v>48.04</v>
      </c>
      <c r="R4966" s="14">
        <v>250</v>
      </c>
      <c r="S4966" s="19">
        <v>12010</v>
      </c>
      <c r="T4966" s="17">
        <v>1</v>
      </c>
      <c r="AJ4966" s="19">
        <v>0</v>
      </c>
      <c r="AK4966" s="23">
        <v>0</v>
      </c>
      <c r="AM4966" s="19">
        <v>0</v>
      </c>
      <c r="AN4966" s="19">
        <v>12010</v>
      </c>
      <c r="AP4966" s="14">
        <v>12010</v>
      </c>
      <c r="AS4966" s="26">
        <v>119</v>
      </c>
    </row>
    <row r="4967" spans="1:45" x14ac:dyDescent="0.2">
      <c r="R4967" s="14" t="e">
        <v>#N/A</v>
      </c>
      <c r="T4967" s="17">
        <v>2</v>
      </c>
    </row>
    <row r="4968" spans="1:45" x14ac:dyDescent="0.2">
      <c r="A4968" s="2">
        <v>4185</v>
      </c>
      <c r="B4968" s="13">
        <v>2</v>
      </c>
      <c r="C4968" s="17" t="s">
        <v>52</v>
      </c>
      <c r="D4968" s="17">
        <v>2340</v>
      </c>
      <c r="E4968" s="17">
        <v>11</v>
      </c>
      <c r="F4968" s="17">
        <v>1817</v>
      </c>
      <c r="G4968" s="13">
        <v>3</v>
      </c>
      <c r="H4968" s="17">
        <v>5</v>
      </c>
      <c r="I4968" s="17">
        <v>2</v>
      </c>
      <c r="J4968" s="17">
        <v>4</v>
      </c>
      <c r="K4968" s="10">
        <v>2204</v>
      </c>
      <c r="P4968" s="17">
        <v>1</v>
      </c>
      <c r="Q4968" s="19">
        <v>2204</v>
      </c>
      <c r="R4968" s="14">
        <v>200</v>
      </c>
      <c r="S4968" s="19">
        <v>440800</v>
      </c>
      <c r="AJ4968" s="19">
        <v>0</v>
      </c>
      <c r="AK4968" s="23">
        <v>0</v>
      </c>
      <c r="AM4968" s="19">
        <v>0</v>
      </c>
      <c r="AN4968" s="19">
        <v>440800</v>
      </c>
      <c r="AP4968" s="14">
        <v>440800</v>
      </c>
    </row>
    <row r="4969" spans="1:45" x14ac:dyDescent="0.2">
      <c r="A4969" s="2">
        <v>4186</v>
      </c>
      <c r="B4969" s="13">
        <v>3</v>
      </c>
      <c r="C4969" s="17" t="s">
        <v>52</v>
      </c>
      <c r="D4969" s="17">
        <v>2027</v>
      </c>
      <c r="E4969" s="17">
        <v>70</v>
      </c>
      <c r="F4969" s="17">
        <v>1093</v>
      </c>
      <c r="H4969" s="17">
        <v>0</v>
      </c>
      <c r="I4969" s="17">
        <v>0</v>
      </c>
      <c r="J4969" s="17">
        <v>35</v>
      </c>
      <c r="N4969" s="18">
        <v>35</v>
      </c>
      <c r="P4969" s="17">
        <v>4</v>
      </c>
      <c r="Q4969" s="19">
        <v>35</v>
      </c>
      <c r="R4969" s="14">
        <v>2000</v>
      </c>
      <c r="S4969" s="19">
        <v>70000</v>
      </c>
      <c r="AJ4969" s="19">
        <v>0</v>
      </c>
      <c r="AK4969" s="23">
        <v>0</v>
      </c>
      <c r="AM4969" s="19">
        <v>0</v>
      </c>
      <c r="AN4969" s="19">
        <v>70000</v>
      </c>
      <c r="AP4969" s="14">
        <v>70000</v>
      </c>
      <c r="AQ4969" s="12">
        <v>3.0000000000000001E-3</v>
      </c>
    </row>
    <row r="4970" spans="1:45" x14ac:dyDescent="0.2">
      <c r="A4970" s="2">
        <v>4187</v>
      </c>
      <c r="B4970" s="13">
        <v>4</v>
      </c>
      <c r="C4970" s="17" t="s">
        <v>65</v>
      </c>
      <c r="D4970" s="17">
        <v>371</v>
      </c>
      <c r="E4970" s="17">
        <v>118</v>
      </c>
      <c r="H4970" s="17">
        <v>10</v>
      </c>
      <c r="I4970" s="17">
        <v>2</v>
      </c>
      <c r="J4970" s="17">
        <v>50</v>
      </c>
      <c r="K4970" s="10">
        <v>4250</v>
      </c>
      <c r="P4970" s="17">
        <v>1</v>
      </c>
      <c r="Q4970" s="19">
        <v>4250</v>
      </c>
      <c r="R4970" s="14">
        <v>200</v>
      </c>
      <c r="S4970" s="19">
        <v>850000</v>
      </c>
      <c r="AJ4970" s="19">
        <v>0</v>
      </c>
      <c r="AK4970" s="23">
        <v>0</v>
      </c>
      <c r="AM4970" s="19">
        <v>0</v>
      </c>
      <c r="AN4970" s="19">
        <v>850000</v>
      </c>
      <c r="AP4970" s="14">
        <v>850000</v>
      </c>
      <c r="AQ4970" s="12">
        <v>1E-4</v>
      </c>
    </row>
    <row r="4971" spans="1:45" x14ac:dyDescent="0.2">
      <c r="B4971" s="13">
        <v>5</v>
      </c>
      <c r="C4971" s="17" t="s">
        <v>65</v>
      </c>
      <c r="D4971" s="17">
        <v>2664</v>
      </c>
      <c r="E4971" s="17">
        <v>172</v>
      </c>
      <c r="H4971" s="17">
        <v>0</v>
      </c>
      <c r="I4971" s="17">
        <v>1</v>
      </c>
      <c r="J4971" s="17">
        <v>6</v>
      </c>
      <c r="K4971" s="10">
        <v>106</v>
      </c>
      <c r="Q4971" s="19">
        <v>106</v>
      </c>
      <c r="R4971" s="14" t="e">
        <v>#N/A</v>
      </c>
      <c r="S4971" s="19" t="e">
        <v>#N/A</v>
      </c>
      <c r="AJ4971" s="19">
        <v>0</v>
      </c>
      <c r="AK4971" s="23">
        <v>0</v>
      </c>
      <c r="AM4971" s="19">
        <v>0</v>
      </c>
      <c r="AN4971" s="19" t="e">
        <v>#N/A</v>
      </c>
      <c r="AP4971" s="14" t="e">
        <v>#N/A</v>
      </c>
      <c r="AQ4971" s="12">
        <v>1E-4</v>
      </c>
    </row>
    <row r="4972" spans="1:45" x14ac:dyDescent="0.2">
      <c r="A4972" s="2">
        <v>4188</v>
      </c>
      <c r="B4972" s="13">
        <v>1</v>
      </c>
      <c r="C4972" s="17" t="s">
        <v>52</v>
      </c>
      <c r="D4972" s="17">
        <v>2062</v>
      </c>
      <c r="E4972" s="17">
        <v>66</v>
      </c>
      <c r="F4972" s="17">
        <v>1591</v>
      </c>
      <c r="G4972" s="13">
        <v>3</v>
      </c>
      <c r="H4972" s="17">
        <v>4</v>
      </c>
      <c r="I4972" s="17">
        <v>2</v>
      </c>
      <c r="J4972" s="17">
        <v>24</v>
      </c>
      <c r="K4972" s="10">
        <v>1824</v>
      </c>
      <c r="P4972" s="17">
        <v>1</v>
      </c>
      <c r="Q4972" s="19">
        <v>1824</v>
      </c>
      <c r="R4972" s="14">
        <v>200</v>
      </c>
      <c r="S4972" s="19">
        <v>364800</v>
      </c>
      <c r="AJ4972" s="19">
        <v>0</v>
      </c>
      <c r="AK4972" s="23">
        <v>0</v>
      </c>
      <c r="AM4972" s="19">
        <v>0</v>
      </c>
      <c r="AN4972" s="19">
        <v>364800</v>
      </c>
      <c r="AP4972" s="14">
        <v>364800</v>
      </c>
      <c r="AS4972" s="26">
        <v>28</v>
      </c>
    </row>
    <row r="4973" spans="1:45" x14ac:dyDescent="0.2">
      <c r="A4973" s="2">
        <v>4189</v>
      </c>
      <c r="B4973" s="13">
        <v>1</v>
      </c>
      <c r="C4973" s="17" t="s">
        <v>52</v>
      </c>
      <c r="D4973" s="17">
        <v>20287</v>
      </c>
      <c r="E4973" s="17">
        <v>144</v>
      </c>
      <c r="F4973" s="17">
        <v>4394</v>
      </c>
      <c r="G4973" s="13">
        <v>3</v>
      </c>
      <c r="H4973" s="17">
        <v>0</v>
      </c>
      <c r="I4973" s="17">
        <v>0</v>
      </c>
      <c r="J4973" s="17">
        <v>94</v>
      </c>
      <c r="N4973" s="18">
        <v>94</v>
      </c>
      <c r="P4973" s="17">
        <v>4</v>
      </c>
      <c r="Q4973" s="19">
        <v>94</v>
      </c>
      <c r="R4973" s="14">
        <v>250</v>
      </c>
      <c r="S4973" s="19">
        <v>23500</v>
      </c>
      <c r="AJ4973" s="19">
        <v>0</v>
      </c>
      <c r="AK4973" s="23">
        <v>0</v>
      </c>
      <c r="AM4973" s="19">
        <v>0</v>
      </c>
      <c r="AN4973" s="19">
        <v>23500</v>
      </c>
      <c r="AP4973" s="14">
        <v>23500</v>
      </c>
      <c r="AQ4973" s="12">
        <v>3.0000000000000001E-3</v>
      </c>
    </row>
    <row r="4974" spans="1:45" x14ac:dyDescent="0.2">
      <c r="A4974" s="2">
        <v>4190</v>
      </c>
      <c r="B4974" s="13">
        <v>1</v>
      </c>
      <c r="C4974" s="17" t="s">
        <v>52</v>
      </c>
      <c r="D4974" s="17">
        <v>20286</v>
      </c>
      <c r="E4974" s="17">
        <v>143</v>
      </c>
      <c r="F4974" s="17">
        <v>4393</v>
      </c>
      <c r="G4974" s="13">
        <v>3</v>
      </c>
      <c r="H4974" s="17">
        <v>0</v>
      </c>
      <c r="I4974" s="17">
        <v>1</v>
      </c>
      <c r="J4974" s="17">
        <v>41</v>
      </c>
      <c r="N4974" s="18">
        <v>141</v>
      </c>
      <c r="P4974" s="17">
        <v>4</v>
      </c>
      <c r="Q4974" s="19">
        <v>141</v>
      </c>
      <c r="R4974" s="14">
        <v>250</v>
      </c>
      <c r="S4974" s="19">
        <v>35250</v>
      </c>
      <c r="AJ4974" s="19">
        <v>0</v>
      </c>
      <c r="AK4974" s="23">
        <v>0</v>
      </c>
      <c r="AM4974" s="19">
        <v>0</v>
      </c>
      <c r="AN4974" s="19">
        <v>35250</v>
      </c>
      <c r="AP4974" s="14">
        <v>35250</v>
      </c>
      <c r="AQ4974" s="12">
        <v>3.0000000000000001E-3</v>
      </c>
    </row>
    <row r="4975" spans="1:45" x14ac:dyDescent="0.2">
      <c r="A4975" s="2">
        <v>4191</v>
      </c>
      <c r="B4975" s="13">
        <v>1</v>
      </c>
      <c r="C4975" s="17" t="s">
        <v>65</v>
      </c>
      <c r="D4975" s="17">
        <v>421</v>
      </c>
      <c r="E4975" s="17">
        <v>83</v>
      </c>
      <c r="H4975" s="17">
        <v>9</v>
      </c>
      <c r="I4975" s="17">
        <v>0</v>
      </c>
      <c r="J4975" s="17">
        <v>46</v>
      </c>
      <c r="K4975" s="10">
        <v>3646</v>
      </c>
      <c r="P4975" s="17">
        <v>1</v>
      </c>
      <c r="Q4975" s="19">
        <v>3646</v>
      </c>
      <c r="R4975" s="14">
        <v>200</v>
      </c>
      <c r="S4975" s="19">
        <v>729200</v>
      </c>
      <c r="AJ4975" s="19">
        <v>0</v>
      </c>
      <c r="AK4975" s="23">
        <v>0</v>
      </c>
      <c r="AM4975" s="19">
        <v>0</v>
      </c>
      <c r="AN4975" s="19">
        <v>729200</v>
      </c>
      <c r="AP4975" s="14">
        <v>729200</v>
      </c>
      <c r="AQ4975" s="12">
        <v>1E-4</v>
      </c>
      <c r="AS4975" s="26">
        <v>147</v>
      </c>
    </row>
    <row r="4976" spans="1:45" x14ac:dyDescent="0.2">
      <c r="B4976" s="13">
        <v>2</v>
      </c>
      <c r="C4976" s="17" t="s">
        <v>65</v>
      </c>
      <c r="D4976" s="17">
        <v>517</v>
      </c>
      <c r="E4976" s="17">
        <v>78</v>
      </c>
      <c r="H4976" s="17">
        <v>11</v>
      </c>
      <c r="I4976" s="17">
        <v>1</v>
      </c>
      <c r="J4976" s="17">
        <v>70</v>
      </c>
      <c r="K4976" s="10">
        <v>4570</v>
      </c>
      <c r="Q4976" s="19">
        <v>4570</v>
      </c>
      <c r="R4976" s="14" t="e">
        <v>#N/A</v>
      </c>
      <c r="S4976" s="19" t="e">
        <v>#N/A</v>
      </c>
      <c r="AE4976" s="17" t="s">
        <v>94</v>
      </c>
      <c r="AJ4976" s="19">
        <v>0</v>
      </c>
      <c r="AK4976" s="23">
        <v>0</v>
      </c>
      <c r="AM4976" s="19">
        <v>0</v>
      </c>
      <c r="AN4976" s="19" t="e">
        <v>#N/A</v>
      </c>
      <c r="AP4976" s="14" t="e">
        <v>#N/A</v>
      </c>
      <c r="AQ4976" s="12">
        <v>1E-4</v>
      </c>
    </row>
    <row r="4977" spans="1:45" ht="63" x14ac:dyDescent="0.2">
      <c r="A4977" s="2">
        <v>4192</v>
      </c>
      <c r="B4977" s="13">
        <v>1</v>
      </c>
      <c r="C4977" s="17" t="s">
        <v>52</v>
      </c>
      <c r="D4977" s="17">
        <v>2040</v>
      </c>
      <c r="E4977" s="17">
        <v>39</v>
      </c>
      <c r="F4977" s="17">
        <v>1131</v>
      </c>
      <c r="G4977" s="13">
        <v>3</v>
      </c>
      <c r="H4977" s="17">
        <v>0</v>
      </c>
      <c r="I4977" s="17">
        <v>1</v>
      </c>
      <c r="J4977" s="17">
        <v>61</v>
      </c>
      <c r="L4977" s="17">
        <v>161</v>
      </c>
      <c r="P4977" s="17">
        <v>2</v>
      </c>
      <c r="Q4977" s="19">
        <v>161</v>
      </c>
      <c r="R4977" s="14">
        <v>2000</v>
      </c>
      <c r="S4977" s="19">
        <v>322000</v>
      </c>
      <c r="T4977" s="17">
        <v>1</v>
      </c>
      <c r="U4977" s="17" t="s">
        <v>57</v>
      </c>
      <c r="V4977" s="17" t="s">
        <v>56</v>
      </c>
      <c r="W4977" s="4">
        <v>120</v>
      </c>
      <c r="Y4977" s="4">
        <v>120</v>
      </c>
      <c r="AB4977" s="17">
        <v>23</v>
      </c>
      <c r="AJ4977" s="19">
        <v>0</v>
      </c>
      <c r="AK4977" s="23">
        <v>23</v>
      </c>
      <c r="AM4977" s="19">
        <v>0</v>
      </c>
      <c r="AN4977" s="19">
        <v>322000</v>
      </c>
      <c r="AP4977" s="14">
        <v>322000</v>
      </c>
      <c r="AS4977" s="26">
        <v>30</v>
      </c>
    </row>
    <row r="4978" spans="1:45" x14ac:dyDescent="0.2">
      <c r="A4978" s="2">
        <v>4193</v>
      </c>
      <c r="B4978" s="13">
        <v>1</v>
      </c>
      <c r="C4978" s="17" t="s">
        <v>65</v>
      </c>
      <c r="D4978" s="17">
        <v>2600</v>
      </c>
      <c r="E4978" s="17">
        <v>160</v>
      </c>
      <c r="H4978" s="17">
        <v>0</v>
      </c>
      <c r="I4978" s="17">
        <v>3</v>
      </c>
      <c r="J4978" s="17">
        <v>98</v>
      </c>
      <c r="K4978" s="10">
        <v>398</v>
      </c>
      <c r="Q4978" s="19">
        <v>398</v>
      </c>
      <c r="R4978" s="14">
        <v>200</v>
      </c>
      <c r="S4978" s="19">
        <v>79600</v>
      </c>
      <c r="AE4978" s="17" t="s">
        <v>95</v>
      </c>
      <c r="AJ4978" s="19">
        <v>0</v>
      </c>
      <c r="AK4978" s="23">
        <v>0</v>
      </c>
      <c r="AM4978" s="19">
        <v>0</v>
      </c>
      <c r="AN4978" s="19">
        <v>79600</v>
      </c>
      <c r="AP4978" s="14">
        <v>79600</v>
      </c>
      <c r="AQ4978" s="12">
        <v>1E-4</v>
      </c>
    </row>
    <row r="4979" spans="1:45" x14ac:dyDescent="0.2">
      <c r="B4979" s="13">
        <v>1</v>
      </c>
      <c r="C4979" s="17" t="s">
        <v>65</v>
      </c>
      <c r="D4979" s="17">
        <v>3495</v>
      </c>
      <c r="E4979" s="17">
        <v>195</v>
      </c>
      <c r="H4979" s="17">
        <v>0</v>
      </c>
      <c r="I4979" s="17">
        <v>0</v>
      </c>
      <c r="J4979" s="17">
        <v>52</v>
      </c>
      <c r="K4979" s="10">
        <v>52</v>
      </c>
      <c r="Q4979" s="19">
        <v>52</v>
      </c>
      <c r="R4979" s="14" t="e">
        <v>#N/A</v>
      </c>
      <c r="S4979" s="19" t="e">
        <v>#N/A</v>
      </c>
      <c r="AJ4979" s="19">
        <v>0</v>
      </c>
      <c r="AK4979" s="23">
        <v>0</v>
      </c>
      <c r="AM4979" s="19">
        <v>0</v>
      </c>
      <c r="AN4979" s="19" t="e">
        <v>#N/A</v>
      </c>
      <c r="AP4979" s="14" t="e">
        <v>#N/A</v>
      </c>
      <c r="AQ4979" s="12">
        <v>1E-4</v>
      </c>
    </row>
    <row r="4980" spans="1:45" ht="63" x14ac:dyDescent="0.2">
      <c r="A4980" s="2">
        <v>4194</v>
      </c>
      <c r="B4980" s="13">
        <v>1</v>
      </c>
      <c r="C4980" s="17" t="s">
        <v>52</v>
      </c>
      <c r="D4980" s="17">
        <v>14874</v>
      </c>
      <c r="E4980" s="17">
        <v>62</v>
      </c>
      <c r="F4980" s="17">
        <v>3368</v>
      </c>
      <c r="G4980" s="13">
        <v>7</v>
      </c>
      <c r="H4980" s="17">
        <v>0</v>
      </c>
      <c r="I4980" s="17">
        <v>1</v>
      </c>
      <c r="J4980" s="17">
        <v>20</v>
      </c>
      <c r="L4980" s="17">
        <v>120</v>
      </c>
      <c r="P4980" s="17">
        <v>2</v>
      </c>
      <c r="Q4980" s="19">
        <v>120</v>
      </c>
      <c r="R4980" s="14">
        <v>4500</v>
      </c>
      <c r="S4980" s="19">
        <v>540000</v>
      </c>
      <c r="T4980" s="17">
        <v>1</v>
      </c>
      <c r="U4980" s="17" t="s">
        <v>57</v>
      </c>
      <c r="V4980" s="17" t="s">
        <v>56</v>
      </c>
      <c r="AJ4980" s="19">
        <v>0</v>
      </c>
      <c r="AK4980" s="23">
        <v>0</v>
      </c>
      <c r="AM4980" s="19">
        <v>0</v>
      </c>
      <c r="AN4980" s="19">
        <v>540000</v>
      </c>
      <c r="AP4980" s="14">
        <v>540000</v>
      </c>
    </row>
    <row r="4981" spans="1:45" x14ac:dyDescent="0.2">
      <c r="A4981" s="2">
        <f>+A4980+1</f>
        <v>4195</v>
      </c>
      <c r="B4981" s="13">
        <v>1</v>
      </c>
      <c r="C4981" s="17" t="s">
        <v>52</v>
      </c>
      <c r="D4981" s="17">
        <v>2257</v>
      </c>
      <c r="E4981" s="17">
        <v>65</v>
      </c>
      <c r="F4981" s="17">
        <v>1785</v>
      </c>
      <c r="H4981" s="17">
        <v>0</v>
      </c>
      <c r="I4981" s="17">
        <v>3</v>
      </c>
      <c r="J4981" s="17">
        <v>23</v>
      </c>
      <c r="Q4981" s="19">
        <v>323</v>
      </c>
      <c r="R4981" s="14">
        <v>200</v>
      </c>
      <c r="S4981" s="19">
        <v>64600</v>
      </c>
      <c r="AJ4981" s="19">
        <v>0</v>
      </c>
      <c r="AK4981" s="23">
        <v>0</v>
      </c>
      <c r="AM4981" s="19">
        <v>0</v>
      </c>
      <c r="AN4981" s="19">
        <v>64600</v>
      </c>
      <c r="AP4981" s="14">
        <v>64600</v>
      </c>
      <c r="AS4981" s="26">
        <v>12</v>
      </c>
    </row>
    <row r="4982" spans="1:45" ht="63" x14ac:dyDescent="0.2">
      <c r="A4982" s="2">
        <f>+A4981+1</f>
        <v>4196</v>
      </c>
      <c r="B4982" s="13">
        <v>2</v>
      </c>
      <c r="C4982" s="17" t="s">
        <v>52</v>
      </c>
      <c r="D4982" s="17">
        <v>35265</v>
      </c>
      <c r="E4982" s="17">
        <v>186</v>
      </c>
      <c r="F4982" s="17">
        <v>7015</v>
      </c>
      <c r="G4982" s="13">
        <v>3</v>
      </c>
      <c r="H4982" s="17">
        <v>0</v>
      </c>
      <c r="I4982" s="17">
        <v>0</v>
      </c>
      <c r="J4982" s="17">
        <v>91</v>
      </c>
      <c r="L4982" s="17">
        <v>91</v>
      </c>
      <c r="P4982" s="17">
        <v>2</v>
      </c>
      <c r="Q4982" s="19">
        <v>91</v>
      </c>
      <c r="R4982" s="14">
        <v>250</v>
      </c>
      <c r="S4982" s="19">
        <v>22750</v>
      </c>
      <c r="T4982" s="17">
        <v>1</v>
      </c>
      <c r="U4982" s="17" t="s">
        <v>57</v>
      </c>
      <c r="V4982" s="17" t="s">
        <v>56</v>
      </c>
      <c r="W4982" s="4">
        <v>108.75</v>
      </c>
      <c r="Y4982" s="4">
        <v>108.75</v>
      </c>
      <c r="AB4982" s="17">
        <v>9</v>
      </c>
      <c r="AJ4982" s="19">
        <v>0</v>
      </c>
      <c r="AK4982" s="23">
        <v>9</v>
      </c>
      <c r="AM4982" s="19">
        <v>0</v>
      </c>
      <c r="AN4982" s="19">
        <v>22750</v>
      </c>
      <c r="AP4982" s="14">
        <v>22750</v>
      </c>
    </row>
    <row r="4983" spans="1:45" x14ac:dyDescent="0.2">
      <c r="A4983" s="122">
        <f t="shared" ref="A4983:A4990" si="565">+A4982+1</f>
        <v>4197</v>
      </c>
      <c r="B4983" s="13">
        <v>3</v>
      </c>
      <c r="C4983" s="17" t="s">
        <v>52</v>
      </c>
      <c r="D4983" s="17">
        <v>35266</v>
      </c>
      <c r="E4983" s="17">
        <v>187</v>
      </c>
      <c r="F4983" s="17">
        <v>7016</v>
      </c>
      <c r="H4983" s="17">
        <v>0</v>
      </c>
      <c r="I4983" s="17">
        <v>2</v>
      </c>
      <c r="J4983" s="17">
        <v>3</v>
      </c>
      <c r="K4983" s="10">
        <v>203</v>
      </c>
      <c r="P4983" s="17">
        <v>1</v>
      </c>
      <c r="Q4983" s="19">
        <v>203</v>
      </c>
      <c r="R4983" s="14">
        <v>200</v>
      </c>
      <c r="S4983" s="19">
        <v>40600</v>
      </c>
      <c r="AJ4983" s="19">
        <v>0</v>
      </c>
      <c r="AK4983" s="23">
        <v>0</v>
      </c>
      <c r="AM4983" s="19">
        <v>0</v>
      </c>
      <c r="AN4983" s="19">
        <v>40600</v>
      </c>
      <c r="AP4983" s="14">
        <v>40600</v>
      </c>
    </row>
    <row r="4984" spans="1:45" ht="63" x14ac:dyDescent="0.2">
      <c r="A4984" s="122">
        <f t="shared" si="565"/>
        <v>4198</v>
      </c>
      <c r="B4984" s="13">
        <v>1</v>
      </c>
      <c r="C4984" s="17" t="s">
        <v>52</v>
      </c>
      <c r="D4984" s="17">
        <v>2060</v>
      </c>
      <c r="E4984" s="17">
        <v>1</v>
      </c>
      <c r="F4984" s="17">
        <v>1587</v>
      </c>
      <c r="G4984" s="13">
        <v>3</v>
      </c>
      <c r="H4984" s="17">
        <v>0</v>
      </c>
      <c r="I4984" s="17">
        <v>3</v>
      </c>
      <c r="J4984" s="17">
        <v>18</v>
      </c>
      <c r="K4984" s="10">
        <v>318</v>
      </c>
      <c r="P4984" s="17">
        <v>1</v>
      </c>
      <c r="Q4984" s="19">
        <v>318</v>
      </c>
      <c r="R4984" s="14">
        <v>250</v>
      </c>
      <c r="S4984" s="19">
        <v>79500</v>
      </c>
      <c r="AJ4984" s="19">
        <v>0</v>
      </c>
      <c r="AK4984" s="23">
        <v>0</v>
      </c>
      <c r="AM4984" s="19">
        <v>0</v>
      </c>
      <c r="AN4984" s="19">
        <v>79500</v>
      </c>
      <c r="AP4984" s="14">
        <v>79500</v>
      </c>
      <c r="AR4984" s="19">
        <v>27</v>
      </c>
      <c r="AS4984" s="26">
        <v>1527</v>
      </c>
    </row>
    <row r="4985" spans="1:45" ht="63" x14ac:dyDescent="0.2">
      <c r="A4985" s="122">
        <f t="shared" si="565"/>
        <v>4199</v>
      </c>
      <c r="B4985" s="13">
        <v>2</v>
      </c>
      <c r="C4985" s="17" t="s">
        <v>52</v>
      </c>
      <c r="D4985" s="17">
        <v>2246</v>
      </c>
      <c r="E4985" s="17">
        <v>2</v>
      </c>
      <c r="F4985" s="17">
        <v>1588</v>
      </c>
      <c r="G4985" s="13">
        <v>3</v>
      </c>
      <c r="H4985" s="17">
        <v>1</v>
      </c>
      <c r="I4985" s="17">
        <v>1</v>
      </c>
      <c r="J4985" s="17">
        <v>63</v>
      </c>
      <c r="K4985" s="10">
        <v>563</v>
      </c>
      <c r="P4985" s="17">
        <v>1</v>
      </c>
      <c r="Q4985" s="19">
        <v>563</v>
      </c>
      <c r="R4985" s="14">
        <v>250</v>
      </c>
      <c r="S4985" s="19">
        <v>140750</v>
      </c>
      <c r="AJ4985" s="19">
        <v>0</v>
      </c>
      <c r="AK4985" s="23">
        <v>0</v>
      </c>
      <c r="AM4985" s="19">
        <v>0</v>
      </c>
      <c r="AN4985" s="19">
        <v>140750</v>
      </c>
      <c r="AP4985" s="14">
        <v>140750</v>
      </c>
      <c r="AR4985" s="19">
        <v>1500</v>
      </c>
    </row>
    <row r="4986" spans="1:45" x14ac:dyDescent="0.2">
      <c r="A4986" s="122">
        <f t="shared" si="565"/>
        <v>4200</v>
      </c>
      <c r="B4986" s="13">
        <v>3</v>
      </c>
      <c r="C4986" s="17" t="s">
        <v>52</v>
      </c>
      <c r="D4986" s="17">
        <v>14091</v>
      </c>
      <c r="E4986" s="17">
        <v>108</v>
      </c>
      <c r="F4986" s="17">
        <v>3307</v>
      </c>
      <c r="G4986" s="13">
        <v>3</v>
      </c>
      <c r="H4986" s="17">
        <v>2</v>
      </c>
      <c r="I4986" s="17">
        <v>3</v>
      </c>
      <c r="J4986" s="17">
        <v>35</v>
      </c>
      <c r="K4986" s="10">
        <v>1135</v>
      </c>
      <c r="P4986" s="17">
        <v>1</v>
      </c>
      <c r="Q4986" s="19">
        <v>1135</v>
      </c>
      <c r="R4986" s="14">
        <v>160</v>
      </c>
      <c r="S4986" s="19">
        <v>181600</v>
      </c>
      <c r="AJ4986" s="19">
        <v>0</v>
      </c>
      <c r="AK4986" s="23">
        <v>0</v>
      </c>
      <c r="AM4986" s="19">
        <v>0</v>
      </c>
      <c r="AN4986" s="19">
        <v>181600</v>
      </c>
      <c r="AP4986" s="14">
        <v>181600</v>
      </c>
    </row>
    <row r="4987" spans="1:45" x14ac:dyDescent="0.2">
      <c r="A4987" s="122">
        <f t="shared" si="565"/>
        <v>4201</v>
      </c>
      <c r="B4987" s="13">
        <v>4</v>
      </c>
      <c r="C4987" s="17" t="s">
        <v>52</v>
      </c>
      <c r="D4987" s="17">
        <v>32181</v>
      </c>
      <c r="E4987" s="17">
        <v>55</v>
      </c>
      <c r="F4987" s="17">
        <v>6261</v>
      </c>
      <c r="G4987" s="13">
        <v>3</v>
      </c>
      <c r="H4987" s="17">
        <v>0</v>
      </c>
      <c r="I4987" s="17">
        <v>1</v>
      </c>
      <c r="J4987" s="17">
        <v>19</v>
      </c>
      <c r="N4987" s="18">
        <v>119</v>
      </c>
      <c r="P4987" s="17">
        <v>4</v>
      </c>
      <c r="Q4987" s="19">
        <v>119</v>
      </c>
      <c r="R4987" s="14">
        <v>2000</v>
      </c>
      <c r="S4987" s="19">
        <v>238000</v>
      </c>
      <c r="AJ4987" s="19">
        <v>0</v>
      </c>
      <c r="AK4987" s="23">
        <v>0</v>
      </c>
      <c r="AM4987" s="19">
        <v>0</v>
      </c>
      <c r="AN4987" s="19">
        <v>238000</v>
      </c>
      <c r="AP4987" s="14">
        <v>238000</v>
      </c>
      <c r="AQ4987" s="12">
        <v>3.0000000000000001E-3</v>
      </c>
    </row>
    <row r="4988" spans="1:45" x14ac:dyDescent="0.2">
      <c r="A4988" s="122">
        <f t="shared" si="565"/>
        <v>4202</v>
      </c>
      <c r="B4988" s="13">
        <v>5</v>
      </c>
      <c r="C4988" s="17" t="s">
        <v>52</v>
      </c>
      <c r="D4988" s="17">
        <v>1778</v>
      </c>
      <c r="E4988" s="17">
        <v>36</v>
      </c>
      <c r="F4988" s="17">
        <v>1128</v>
      </c>
      <c r="H4988" s="17">
        <v>3</v>
      </c>
      <c r="I4988" s="17">
        <v>1</v>
      </c>
      <c r="J4988" s="17">
        <v>93</v>
      </c>
      <c r="K4988" s="10">
        <v>1393</v>
      </c>
      <c r="P4988" s="17">
        <v>1</v>
      </c>
      <c r="Q4988" s="19">
        <v>1393</v>
      </c>
      <c r="R4988" s="14">
        <v>160</v>
      </c>
      <c r="S4988" s="19">
        <v>222880</v>
      </c>
      <c r="AJ4988" s="19">
        <v>0</v>
      </c>
      <c r="AK4988" s="23">
        <v>0</v>
      </c>
      <c r="AM4988" s="19">
        <v>0</v>
      </c>
      <c r="AN4988" s="19">
        <v>222880</v>
      </c>
      <c r="AP4988" s="14">
        <v>222880</v>
      </c>
    </row>
    <row r="4989" spans="1:45" ht="63" x14ac:dyDescent="0.2">
      <c r="A4989" s="122">
        <f t="shared" si="565"/>
        <v>4203</v>
      </c>
      <c r="B4989" s="13">
        <v>6</v>
      </c>
      <c r="C4989" s="17" t="s">
        <v>52</v>
      </c>
      <c r="D4989" s="17">
        <v>2182</v>
      </c>
      <c r="E4989" s="17">
        <v>67</v>
      </c>
      <c r="F4989" s="17">
        <v>1786</v>
      </c>
      <c r="G4989" s="13">
        <v>3</v>
      </c>
      <c r="H4989" s="17">
        <v>0</v>
      </c>
      <c r="I4989" s="17">
        <v>3</v>
      </c>
      <c r="J4989" s="17">
        <v>5</v>
      </c>
      <c r="L4989" s="17">
        <v>305</v>
      </c>
      <c r="P4989" s="17">
        <v>2</v>
      </c>
      <c r="Q4989" s="19">
        <v>305</v>
      </c>
      <c r="R4989" s="14">
        <v>1500</v>
      </c>
      <c r="S4989" s="19">
        <v>457500</v>
      </c>
      <c r="T4989" s="17">
        <v>1</v>
      </c>
      <c r="U4989" s="17" t="s">
        <v>57</v>
      </c>
      <c r="V4989" s="17" t="s">
        <v>56</v>
      </c>
      <c r="W4989" s="4">
        <v>133</v>
      </c>
      <c r="Y4989" s="4">
        <v>133</v>
      </c>
      <c r="AB4989" s="17">
        <v>29</v>
      </c>
      <c r="AJ4989" s="19">
        <v>0</v>
      </c>
      <c r="AK4989" s="23">
        <v>29</v>
      </c>
      <c r="AM4989" s="19">
        <v>0</v>
      </c>
      <c r="AN4989" s="19">
        <v>457500</v>
      </c>
      <c r="AP4989" s="14">
        <v>457500</v>
      </c>
    </row>
    <row r="4990" spans="1:45" ht="63" x14ac:dyDescent="0.2">
      <c r="A4990" s="122">
        <f t="shared" si="565"/>
        <v>4204</v>
      </c>
      <c r="B4990" s="13">
        <v>7</v>
      </c>
      <c r="C4990" s="17" t="s">
        <v>52</v>
      </c>
      <c r="D4990" s="17">
        <v>2183</v>
      </c>
      <c r="E4990" s="17">
        <v>66</v>
      </c>
      <c r="F4990" s="17">
        <v>1787</v>
      </c>
      <c r="G4990" s="13">
        <v>3</v>
      </c>
      <c r="H4990" s="17">
        <v>0</v>
      </c>
      <c r="I4990" s="17">
        <v>1</v>
      </c>
      <c r="J4990" s="17">
        <v>18</v>
      </c>
      <c r="L4990" s="17">
        <v>108</v>
      </c>
      <c r="M4990" s="15">
        <v>10</v>
      </c>
      <c r="P4990" s="17">
        <v>5</v>
      </c>
      <c r="Q4990" s="19">
        <v>118</v>
      </c>
      <c r="R4990" s="14">
        <v>1500</v>
      </c>
      <c r="S4990" s="19">
        <v>177000</v>
      </c>
      <c r="T4990" s="17">
        <v>1</v>
      </c>
      <c r="U4990" s="17" t="s">
        <v>63</v>
      </c>
      <c r="V4990" s="17" t="s">
        <v>56</v>
      </c>
      <c r="W4990" s="4">
        <v>556.5</v>
      </c>
      <c r="Y4990" s="4">
        <v>238.25</v>
      </c>
      <c r="Z4990" s="17">
        <v>42</v>
      </c>
      <c r="AB4990" s="17">
        <v>20</v>
      </c>
      <c r="AF4990" s="14">
        <v>2</v>
      </c>
      <c r="AG4990" s="54">
        <v>556.5</v>
      </c>
      <c r="AH4990" s="11">
        <v>0.92</v>
      </c>
      <c r="AI4990" s="14">
        <v>8100</v>
      </c>
      <c r="AJ4990" s="19">
        <v>4147038</v>
      </c>
      <c r="AK4990" s="23">
        <v>20</v>
      </c>
      <c r="AL4990" s="11">
        <v>0.3</v>
      </c>
      <c r="AM4990" s="19">
        <v>2902926.6</v>
      </c>
      <c r="AN4990" s="19">
        <v>3065766.6</v>
      </c>
      <c r="AP4990" s="14">
        <v>3065766.6</v>
      </c>
    </row>
    <row r="4991" spans="1:45" ht="63" x14ac:dyDescent="0.2">
      <c r="R4991" s="14" t="e">
        <v>#N/A</v>
      </c>
      <c r="T4991" s="17">
        <v>2</v>
      </c>
      <c r="U4991" s="17" t="s">
        <v>63</v>
      </c>
      <c r="V4991" s="17" t="s">
        <v>56</v>
      </c>
      <c r="AE4991" s="17" t="s">
        <v>200</v>
      </c>
      <c r="AF4991" s="14">
        <v>3</v>
      </c>
      <c r="AG4991" s="54">
        <v>556.5</v>
      </c>
      <c r="AH4991" s="11">
        <v>0.08</v>
      </c>
      <c r="AI4991" s="14">
        <v>8100</v>
      </c>
      <c r="AJ4991" s="19">
        <v>360612</v>
      </c>
      <c r="AK4991" s="23">
        <v>20</v>
      </c>
      <c r="AL4991" s="11">
        <v>0.3</v>
      </c>
      <c r="AM4991" s="19">
        <v>252428.40000000002</v>
      </c>
      <c r="AN4991" s="19">
        <v>266588.40000000002</v>
      </c>
      <c r="AP4991" s="14">
        <v>266588.40000000002</v>
      </c>
      <c r="AQ4991" s="12">
        <v>3.0000000000000001E-3</v>
      </c>
    </row>
    <row r="4992" spans="1:45" ht="63" x14ac:dyDescent="0.2">
      <c r="A4992" s="2">
        <v>4205</v>
      </c>
      <c r="B4992" s="13">
        <v>8</v>
      </c>
      <c r="C4992" s="17" t="s">
        <v>52</v>
      </c>
      <c r="D4992" s="17">
        <v>13485</v>
      </c>
      <c r="E4992" s="17">
        <v>197</v>
      </c>
      <c r="F4992" s="17">
        <v>4998</v>
      </c>
      <c r="G4992" s="13">
        <v>3</v>
      </c>
      <c r="H4992" s="17">
        <v>1</v>
      </c>
      <c r="I4992" s="17">
        <v>1</v>
      </c>
      <c r="J4992" s="17">
        <v>14</v>
      </c>
      <c r="L4992" s="17">
        <v>504</v>
      </c>
      <c r="P4992" s="17">
        <v>2</v>
      </c>
      <c r="Q4992" s="19">
        <v>514</v>
      </c>
      <c r="R4992" s="14">
        <v>1000</v>
      </c>
      <c r="S4992" s="19">
        <v>514000</v>
      </c>
      <c r="T4992" s="17">
        <v>1</v>
      </c>
      <c r="U4992" s="17" t="s">
        <v>57</v>
      </c>
      <c r="V4992" s="17" t="s">
        <v>56</v>
      </c>
      <c r="W4992" s="4">
        <v>108.75</v>
      </c>
      <c r="Y4992" s="4">
        <v>108.75</v>
      </c>
      <c r="AB4992" s="17">
        <v>11</v>
      </c>
      <c r="AJ4992" s="19">
        <v>0</v>
      </c>
      <c r="AK4992" s="23">
        <v>11</v>
      </c>
      <c r="AM4992" s="19">
        <v>0</v>
      </c>
      <c r="AN4992" s="19">
        <v>514000</v>
      </c>
      <c r="AP4992" s="14">
        <v>514000</v>
      </c>
    </row>
    <row r="4993" spans="1:45" ht="63" x14ac:dyDescent="0.2">
      <c r="A4993" s="2">
        <v>4206</v>
      </c>
      <c r="B4993" s="13">
        <v>9</v>
      </c>
      <c r="C4993" s="17" t="s">
        <v>52</v>
      </c>
      <c r="D4993" s="17">
        <v>14164</v>
      </c>
      <c r="E4993" s="17">
        <v>198</v>
      </c>
      <c r="F4993" s="17">
        <v>3306</v>
      </c>
      <c r="H4993" s="17">
        <v>0</v>
      </c>
      <c r="I4993" s="17">
        <v>2</v>
      </c>
      <c r="J4993" s="17">
        <v>11</v>
      </c>
      <c r="L4993" s="17">
        <v>211</v>
      </c>
      <c r="P4993" s="17">
        <v>2</v>
      </c>
      <c r="Q4993" s="19">
        <v>211</v>
      </c>
      <c r="R4993" s="14">
        <v>250</v>
      </c>
      <c r="S4993" s="19">
        <v>52750</v>
      </c>
      <c r="U4993" s="17" t="s">
        <v>57</v>
      </c>
      <c r="V4993" s="17" t="s">
        <v>88</v>
      </c>
      <c r="W4993" s="4">
        <v>168</v>
      </c>
      <c r="Y4993" s="4">
        <v>168</v>
      </c>
      <c r="AB4993" s="17">
        <v>20</v>
      </c>
      <c r="AJ4993" s="19">
        <v>0</v>
      </c>
      <c r="AK4993" s="23">
        <v>20</v>
      </c>
      <c r="AM4993" s="19">
        <v>0</v>
      </c>
      <c r="AN4993" s="19">
        <v>52750</v>
      </c>
      <c r="AP4993" s="14">
        <v>52750</v>
      </c>
    </row>
    <row r="4994" spans="1:45" ht="63" x14ac:dyDescent="0.2">
      <c r="A4994" s="2">
        <f>+A4993+1</f>
        <v>4207</v>
      </c>
      <c r="B4994" s="13">
        <v>1</v>
      </c>
      <c r="C4994" s="17" t="s">
        <v>52</v>
      </c>
      <c r="D4994" s="17">
        <v>13483</v>
      </c>
      <c r="E4994" s="17">
        <v>119</v>
      </c>
      <c r="F4994" s="17">
        <v>3287</v>
      </c>
      <c r="G4994" s="13">
        <v>3</v>
      </c>
      <c r="H4994" s="17">
        <v>1</v>
      </c>
      <c r="I4994" s="17">
        <v>1</v>
      </c>
      <c r="J4994" s="17">
        <v>11</v>
      </c>
      <c r="L4994" s="17">
        <v>511</v>
      </c>
      <c r="P4994" s="17">
        <v>2</v>
      </c>
      <c r="Q4994" s="19">
        <v>511</v>
      </c>
      <c r="R4994" s="14">
        <v>1000</v>
      </c>
      <c r="S4994" s="19">
        <v>511000</v>
      </c>
      <c r="T4994" s="17">
        <v>1</v>
      </c>
      <c r="U4994" s="17" t="s">
        <v>57</v>
      </c>
      <c r="V4994" s="17" t="s">
        <v>88</v>
      </c>
      <c r="W4994" s="4">
        <v>104</v>
      </c>
      <c r="Y4994" s="4">
        <v>104</v>
      </c>
      <c r="AB4994" s="17">
        <v>17</v>
      </c>
      <c r="AJ4994" s="19">
        <v>0</v>
      </c>
      <c r="AK4994" s="23">
        <v>17</v>
      </c>
      <c r="AM4994" s="19">
        <v>0</v>
      </c>
      <c r="AN4994" s="19">
        <v>511000</v>
      </c>
      <c r="AP4994" s="14">
        <v>511000</v>
      </c>
      <c r="AS4994" s="26">
        <v>17</v>
      </c>
    </row>
    <row r="4995" spans="1:45" x14ac:dyDescent="0.2">
      <c r="A4995" s="122">
        <f t="shared" ref="A4995:A4998" si="566">+A4994+1</f>
        <v>4208</v>
      </c>
      <c r="B4995" s="13">
        <v>2</v>
      </c>
      <c r="C4995" s="17" t="s">
        <v>52</v>
      </c>
      <c r="D4995" s="17">
        <v>14093</v>
      </c>
      <c r="E4995" s="17">
        <v>200</v>
      </c>
      <c r="F4995" s="17">
        <v>3309</v>
      </c>
      <c r="H4995" s="17">
        <v>2</v>
      </c>
      <c r="I4995" s="17">
        <v>2</v>
      </c>
      <c r="J4995" s="17">
        <v>90</v>
      </c>
      <c r="K4995" s="10">
        <v>1090</v>
      </c>
      <c r="P4995" s="17">
        <v>1</v>
      </c>
      <c r="Q4995" s="19">
        <v>1090</v>
      </c>
      <c r="R4995" s="14">
        <v>200</v>
      </c>
      <c r="S4995" s="19">
        <v>218000</v>
      </c>
      <c r="AJ4995" s="19">
        <v>0</v>
      </c>
      <c r="AK4995" s="23">
        <v>0</v>
      </c>
      <c r="AM4995" s="19">
        <v>0</v>
      </c>
      <c r="AN4995" s="19">
        <v>218000</v>
      </c>
      <c r="AP4995" s="14">
        <v>218000</v>
      </c>
    </row>
    <row r="4996" spans="1:45" ht="63" x14ac:dyDescent="0.2">
      <c r="A4996" s="122">
        <f t="shared" si="566"/>
        <v>4209</v>
      </c>
      <c r="B4996" s="13">
        <v>1</v>
      </c>
      <c r="C4996" s="17" t="s">
        <v>52</v>
      </c>
      <c r="D4996" s="17">
        <v>2061</v>
      </c>
      <c r="E4996" s="17">
        <v>3</v>
      </c>
      <c r="F4996" s="17">
        <v>1589</v>
      </c>
      <c r="G4996" s="13">
        <v>3</v>
      </c>
      <c r="H4996" s="17">
        <v>0</v>
      </c>
      <c r="I4996" s="17">
        <v>0</v>
      </c>
      <c r="J4996" s="17">
        <v>88</v>
      </c>
      <c r="N4996" s="18">
        <v>88</v>
      </c>
      <c r="P4996" s="17">
        <v>4</v>
      </c>
      <c r="Q4996" s="19">
        <v>88</v>
      </c>
      <c r="R4996" s="14">
        <v>250</v>
      </c>
      <c r="S4996" s="19">
        <v>22000</v>
      </c>
      <c r="AJ4996" s="19">
        <v>0</v>
      </c>
      <c r="AK4996" s="23">
        <v>0</v>
      </c>
      <c r="AM4996" s="19">
        <v>0</v>
      </c>
      <c r="AN4996" s="19">
        <v>22000</v>
      </c>
      <c r="AP4996" s="14">
        <v>22000</v>
      </c>
      <c r="AQ4996" s="12">
        <v>3.0000000000000001E-3</v>
      </c>
      <c r="AR4996" s="19">
        <v>28</v>
      </c>
      <c r="AS4996" s="26">
        <v>1468</v>
      </c>
    </row>
    <row r="4997" spans="1:45" ht="63" x14ac:dyDescent="0.2">
      <c r="A4997" s="122">
        <f t="shared" si="566"/>
        <v>4210</v>
      </c>
      <c r="B4997" s="13">
        <v>2</v>
      </c>
      <c r="C4997" s="17" t="s">
        <v>52</v>
      </c>
      <c r="D4997" s="17">
        <v>1516</v>
      </c>
      <c r="E4997" s="17">
        <v>20</v>
      </c>
      <c r="F4997" s="17">
        <v>1115</v>
      </c>
      <c r="H4997" s="17">
        <v>3</v>
      </c>
      <c r="I4997" s="17">
        <v>2</v>
      </c>
      <c r="J4997" s="17">
        <v>84</v>
      </c>
      <c r="K4997" s="10">
        <v>1484</v>
      </c>
      <c r="P4997" s="17">
        <v>1</v>
      </c>
      <c r="Q4997" s="19">
        <v>1484</v>
      </c>
      <c r="R4997" s="14">
        <v>160</v>
      </c>
      <c r="S4997" s="19">
        <v>237440</v>
      </c>
      <c r="AJ4997" s="19">
        <v>0</v>
      </c>
      <c r="AK4997" s="23">
        <v>0</v>
      </c>
      <c r="AM4997" s="19">
        <v>0</v>
      </c>
      <c r="AN4997" s="19">
        <v>237440</v>
      </c>
      <c r="AP4997" s="14">
        <v>237440</v>
      </c>
      <c r="AR4997" s="19">
        <v>1440</v>
      </c>
    </row>
    <row r="4998" spans="1:45" x14ac:dyDescent="0.2">
      <c r="A4998" s="122">
        <f t="shared" si="566"/>
        <v>4211</v>
      </c>
      <c r="B4998" s="13">
        <v>3</v>
      </c>
      <c r="C4998" s="17" t="s">
        <v>52</v>
      </c>
      <c r="D4998" s="17">
        <v>13484</v>
      </c>
      <c r="E4998" s="17">
        <v>120</v>
      </c>
      <c r="F4998" s="17">
        <v>3288</v>
      </c>
      <c r="G4998" s="13">
        <v>3</v>
      </c>
      <c r="H4998" s="17">
        <v>1</v>
      </c>
      <c r="I4998" s="17">
        <v>1</v>
      </c>
      <c r="J4998" s="17">
        <v>77</v>
      </c>
      <c r="K4998" s="10" t="s">
        <v>327</v>
      </c>
      <c r="L4998" s="17">
        <v>189</v>
      </c>
      <c r="M4998" s="15" t="s">
        <v>435</v>
      </c>
      <c r="P4998" s="17">
        <v>5</v>
      </c>
      <c r="Q4998" s="19">
        <v>577</v>
      </c>
      <c r="R4998" s="14">
        <v>1000</v>
      </c>
      <c r="S4998" s="19">
        <v>577000</v>
      </c>
      <c r="AE4998" s="17">
        <v>309</v>
      </c>
    </row>
    <row r="4999" spans="1:45" ht="63" x14ac:dyDescent="0.2">
      <c r="T4999" s="17">
        <v>1</v>
      </c>
      <c r="U4999" s="17" t="s">
        <v>57</v>
      </c>
      <c r="V4999" s="17" t="s">
        <v>56</v>
      </c>
      <c r="W4999" s="4">
        <v>117</v>
      </c>
      <c r="Y4999" s="4" t="s">
        <v>324</v>
      </c>
      <c r="AB4999" s="17">
        <v>19</v>
      </c>
      <c r="AJ4999" s="19">
        <v>0</v>
      </c>
      <c r="AK4999" s="23">
        <v>19</v>
      </c>
      <c r="AM4999" s="19">
        <v>0</v>
      </c>
      <c r="AN4999" s="19">
        <v>577000</v>
      </c>
      <c r="AP4999" s="14">
        <v>577000</v>
      </c>
    </row>
    <row r="5000" spans="1:45" x14ac:dyDescent="0.2">
      <c r="T5000" s="17">
        <v>2</v>
      </c>
    </row>
    <row r="5001" spans="1:45" ht="63" x14ac:dyDescent="0.2">
      <c r="M5001" s="15" t="s">
        <v>227</v>
      </c>
      <c r="T5001" s="17">
        <v>3</v>
      </c>
      <c r="U5001" s="17" t="s">
        <v>55</v>
      </c>
      <c r="V5001" s="17" t="s">
        <v>56</v>
      </c>
      <c r="W5001" s="4">
        <v>36</v>
      </c>
      <c r="Z5001" s="17">
        <v>36</v>
      </c>
      <c r="AB5001" s="17">
        <v>19</v>
      </c>
      <c r="AE5001" s="17" t="s">
        <v>436</v>
      </c>
      <c r="AF5001" s="14">
        <v>3</v>
      </c>
      <c r="AG5001" s="54">
        <v>36</v>
      </c>
      <c r="AH5001" s="11">
        <v>1</v>
      </c>
      <c r="AI5001" s="14">
        <v>5650</v>
      </c>
      <c r="AJ5001" s="19">
        <v>203400</v>
      </c>
      <c r="AK5001" s="23">
        <v>19</v>
      </c>
      <c r="AL5001" s="11">
        <v>0.28000000000000003</v>
      </c>
      <c r="AM5001" s="19">
        <v>146448</v>
      </c>
      <c r="AN5001" s="19">
        <v>201448</v>
      </c>
      <c r="AP5001" s="14">
        <v>201448</v>
      </c>
      <c r="AQ5001" s="12">
        <v>3.0000000000000001E-3</v>
      </c>
    </row>
    <row r="5002" spans="1:45" ht="63" x14ac:dyDescent="0.2">
      <c r="M5002" s="15" t="s">
        <v>437</v>
      </c>
      <c r="T5002" s="17">
        <v>4</v>
      </c>
      <c r="U5002" s="17" t="s">
        <v>63</v>
      </c>
      <c r="V5002" s="17" t="s">
        <v>56</v>
      </c>
      <c r="W5002" s="4">
        <v>21</v>
      </c>
      <c r="Z5002" s="17">
        <v>21</v>
      </c>
      <c r="AF5002" s="14">
        <v>3</v>
      </c>
      <c r="AG5002" s="54">
        <v>21</v>
      </c>
      <c r="AH5002" s="11">
        <v>1</v>
      </c>
      <c r="AI5002" s="14">
        <v>8100</v>
      </c>
      <c r="AJ5002" s="19">
        <v>170100</v>
      </c>
      <c r="AK5002" s="23">
        <v>19</v>
      </c>
      <c r="AL5002" s="11">
        <v>0.28000000000000003</v>
      </c>
      <c r="AM5002" s="19">
        <v>122472</v>
      </c>
      <c r="AN5002" s="19">
        <v>155472</v>
      </c>
      <c r="AP5002" s="14">
        <v>155472</v>
      </c>
      <c r="AQ5002" s="12">
        <v>3.0000000000000001E-3</v>
      </c>
    </row>
    <row r="5003" spans="1:45" x14ac:dyDescent="0.2">
      <c r="A5003" s="2">
        <v>4212</v>
      </c>
      <c r="B5003" s="13">
        <v>4</v>
      </c>
      <c r="C5003" s="17" t="s">
        <v>52</v>
      </c>
      <c r="D5003" s="17">
        <v>14092</v>
      </c>
      <c r="E5003" s="17">
        <v>199</v>
      </c>
      <c r="F5003" s="17">
        <v>3308</v>
      </c>
      <c r="H5003" s="17">
        <v>2</v>
      </c>
      <c r="I5003" s="17">
        <v>3</v>
      </c>
      <c r="J5003" s="17">
        <v>25</v>
      </c>
      <c r="K5003" s="10">
        <v>1125</v>
      </c>
      <c r="P5003" s="17">
        <v>1</v>
      </c>
      <c r="Q5003" s="19">
        <v>1125</v>
      </c>
      <c r="R5003" s="14">
        <v>200</v>
      </c>
      <c r="S5003" s="19">
        <v>225000</v>
      </c>
      <c r="AJ5003" s="19">
        <v>0</v>
      </c>
      <c r="AK5003" s="23">
        <v>0</v>
      </c>
      <c r="AM5003" s="19">
        <v>0</v>
      </c>
      <c r="AN5003" s="19">
        <v>225000</v>
      </c>
      <c r="AP5003" s="14">
        <v>225000</v>
      </c>
    </row>
    <row r="5004" spans="1:45" x14ac:dyDescent="0.2">
      <c r="A5004" s="2">
        <f>+A5003+1</f>
        <v>4213</v>
      </c>
      <c r="B5004" s="13">
        <v>1</v>
      </c>
      <c r="C5004" s="17" t="s">
        <v>52</v>
      </c>
      <c r="D5004" s="17">
        <v>1510</v>
      </c>
      <c r="E5004" s="17">
        <v>86</v>
      </c>
      <c r="F5004" s="17">
        <v>1098</v>
      </c>
      <c r="H5004" s="17">
        <v>0</v>
      </c>
      <c r="I5004" s="17">
        <v>1</v>
      </c>
      <c r="J5004" s="17">
        <v>52</v>
      </c>
      <c r="N5004" s="18">
        <v>152</v>
      </c>
      <c r="P5004" s="17">
        <v>4</v>
      </c>
      <c r="Q5004" s="19">
        <v>152</v>
      </c>
      <c r="R5004" s="14">
        <v>160</v>
      </c>
      <c r="S5004" s="19">
        <v>24320</v>
      </c>
      <c r="AJ5004" s="19">
        <v>0</v>
      </c>
      <c r="AK5004" s="23">
        <v>0</v>
      </c>
      <c r="AM5004" s="19">
        <v>0</v>
      </c>
      <c r="AN5004" s="19">
        <v>24320</v>
      </c>
      <c r="AP5004" s="14">
        <v>24320</v>
      </c>
      <c r="AQ5004" s="12">
        <v>3.0000000000000001E-3</v>
      </c>
    </row>
    <row r="5005" spans="1:45" x14ac:dyDescent="0.2">
      <c r="A5005" s="122">
        <f t="shared" ref="A5005:A5013" si="567">+A5004+1</f>
        <v>4214</v>
      </c>
      <c r="B5005" s="13">
        <v>2</v>
      </c>
      <c r="C5005" s="17" t="s">
        <v>52</v>
      </c>
      <c r="D5005" s="17">
        <v>2135</v>
      </c>
      <c r="E5005" s="17">
        <v>96</v>
      </c>
      <c r="F5005" s="17">
        <v>1530</v>
      </c>
      <c r="H5005" s="17">
        <v>0</v>
      </c>
      <c r="I5005" s="17">
        <v>1</v>
      </c>
      <c r="J5005" s="17">
        <v>62.02</v>
      </c>
      <c r="N5005" s="18">
        <v>162</v>
      </c>
      <c r="P5005" s="17">
        <v>4</v>
      </c>
      <c r="Q5005" s="19">
        <v>162.02000000000001</v>
      </c>
      <c r="R5005" s="14">
        <v>160</v>
      </c>
      <c r="S5005" s="19">
        <v>25923.200000000001</v>
      </c>
      <c r="AJ5005" s="19">
        <v>0</v>
      </c>
      <c r="AK5005" s="23">
        <v>0</v>
      </c>
      <c r="AM5005" s="19">
        <v>0</v>
      </c>
      <c r="AN5005" s="19">
        <v>25923.200000000001</v>
      </c>
      <c r="AP5005" s="14">
        <v>25923.200000000001</v>
      </c>
    </row>
    <row r="5006" spans="1:45" ht="63" x14ac:dyDescent="0.2">
      <c r="A5006" s="122">
        <f t="shared" si="567"/>
        <v>4215</v>
      </c>
      <c r="B5006" s="13">
        <v>1</v>
      </c>
      <c r="C5006" s="17" t="s">
        <v>52</v>
      </c>
      <c r="D5006" s="17">
        <v>27016</v>
      </c>
      <c r="E5006" s="17">
        <v>160</v>
      </c>
      <c r="F5006" s="17">
        <v>5021</v>
      </c>
      <c r="G5006" s="13">
        <v>3</v>
      </c>
      <c r="H5006" s="17">
        <v>0</v>
      </c>
      <c r="I5006" s="17">
        <v>0</v>
      </c>
      <c r="J5006" s="17">
        <v>68.03</v>
      </c>
      <c r="L5006" s="17">
        <v>68.03</v>
      </c>
      <c r="P5006" s="17">
        <v>2</v>
      </c>
      <c r="Q5006" s="19">
        <v>68.03</v>
      </c>
      <c r="R5006" s="14">
        <v>2000</v>
      </c>
      <c r="S5006" s="19">
        <v>136060</v>
      </c>
      <c r="T5006" s="17">
        <v>1</v>
      </c>
      <c r="U5006" s="17" t="s">
        <v>57</v>
      </c>
      <c r="V5006" s="17" t="s">
        <v>56</v>
      </c>
      <c r="W5006" s="4">
        <v>100</v>
      </c>
      <c r="Y5006" s="4">
        <v>100</v>
      </c>
      <c r="AB5006" s="17">
        <v>39</v>
      </c>
      <c r="AJ5006" s="19">
        <v>0</v>
      </c>
      <c r="AK5006" s="23">
        <v>39</v>
      </c>
      <c r="AM5006" s="19">
        <v>0</v>
      </c>
      <c r="AN5006" s="19">
        <v>136060</v>
      </c>
      <c r="AP5006" s="14">
        <v>136060</v>
      </c>
    </row>
    <row r="5007" spans="1:45" x14ac:dyDescent="0.2">
      <c r="A5007" s="122">
        <f t="shared" si="567"/>
        <v>4216</v>
      </c>
      <c r="B5007" s="13">
        <v>1</v>
      </c>
      <c r="C5007" s="17" t="s">
        <v>52</v>
      </c>
      <c r="D5007" s="17">
        <v>1508</v>
      </c>
      <c r="E5007" s="17">
        <v>85</v>
      </c>
      <c r="F5007" s="17">
        <v>1096</v>
      </c>
      <c r="H5007" s="17">
        <v>8</v>
      </c>
      <c r="I5007" s="17">
        <v>2</v>
      </c>
      <c r="J5007" s="17">
        <v>33</v>
      </c>
      <c r="K5007" s="10">
        <v>3433</v>
      </c>
      <c r="P5007" s="17">
        <v>1</v>
      </c>
      <c r="Q5007" s="19">
        <v>3433</v>
      </c>
      <c r="R5007" s="14">
        <v>160</v>
      </c>
      <c r="S5007" s="19">
        <v>549280</v>
      </c>
      <c r="AJ5007" s="19">
        <v>0</v>
      </c>
      <c r="AK5007" s="23">
        <v>0</v>
      </c>
      <c r="AM5007" s="19">
        <v>0</v>
      </c>
      <c r="AN5007" s="19">
        <v>549280</v>
      </c>
      <c r="AP5007" s="14">
        <v>549280</v>
      </c>
    </row>
    <row r="5008" spans="1:45" x14ac:dyDescent="0.2">
      <c r="A5008" s="122">
        <f t="shared" si="567"/>
        <v>4217</v>
      </c>
      <c r="B5008" s="13">
        <v>2</v>
      </c>
      <c r="C5008" s="17" t="s">
        <v>52</v>
      </c>
      <c r="D5008" s="17">
        <v>31195</v>
      </c>
      <c r="E5008" s="17">
        <v>215</v>
      </c>
      <c r="F5008" s="17">
        <v>5855</v>
      </c>
      <c r="H5008" s="17">
        <v>4</v>
      </c>
      <c r="I5008" s="17">
        <v>3</v>
      </c>
      <c r="J5008" s="17">
        <v>43</v>
      </c>
      <c r="K5008" s="10">
        <v>1943</v>
      </c>
      <c r="P5008" s="17">
        <v>1</v>
      </c>
      <c r="Q5008" s="19">
        <v>1943</v>
      </c>
      <c r="R5008" s="14">
        <v>160</v>
      </c>
      <c r="S5008" s="19">
        <v>310880</v>
      </c>
      <c r="AJ5008" s="19">
        <v>0</v>
      </c>
      <c r="AK5008" s="23">
        <v>0</v>
      </c>
      <c r="AM5008" s="19">
        <v>0</v>
      </c>
      <c r="AN5008" s="19">
        <v>310880</v>
      </c>
      <c r="AP5008" s="14">
        <v>310880</v>
      </c>
    </row>
    <row r="5009" spans="1:45" s="19" customFormat="1" x14ac:dyDescent="0.2">
      <c r="A5009" s="122">
        <f t="shared" si="567"/>
        <v>4218</v>
      </c>
      <c r="B5009" s="13">
        <v>1</v>
      </c>
      <c r="C5009" s="17" t="s">
        <v>52</v>
      </c>
      <c r="D5009" s="17">
        <v>1888</v>
      </c>
      <c r="E5009" s="17">
        <v>35</v>
      </c>
      <c r="F5009" s="17">
        <v>1278</v>
      </c>
      <c r="G5009" s="13">
        <v>2</v>
      </c>
      <c r="H5009" s="17">
        <v>2</v>
      </c>
      <c r="I5009" s="17">
        <v>1</v>
      </c>
      <c r="J5009" s="17">
        <v>89</v>
      </c>
      <c r="K5009" s="10">
        <v>989</v>
      </c>
      <c r="L5009" s="17"/>
      <c r="M5009" s="15"/>
      <c r="N5009" s="18"/>
      <c r="O5009" s="14"/>
      <c r="P5009" s="17">
        <v>1</v>
      </c>
      <c r="Q5009" s="19">
        <v>989</v>
      </c>
      <c r="R5009" s="14">
        <v>160</v>
      </c>
      <c r="S5009" s="19">
        <v>158240</v>
      </c>
      <c r="T5009" s="17"/>
      <c r="U5009" s="17"/>
      <c r="V5009" s="17"/>
      <c r="W5009" s="4"/>
      <c r="X5009" s="17"/>
      <c r="Y5009" s="4"/>
      <c r="Z5009" s="17"/>
      <c r="AA5009" s="17"/>
      <c r="AB5009" s="17"/>
      <c r="AC5009" s="14"/>
      <c r="AD5009" s="14"/>
      <c r="AE5009" s="17"/>
      <c r="AF5009" s="14"/>
      <c r="AG5009" s="54"/>
      <c r="AH5009" s="11"/>
      <c r="AI5009" s="14"/>
      <c r="AJ5009" s="19">
        <v>0</v>
      </c>
      <c r="AK5009" s="23">
        <v>0</v>
      </c>
      <c r="AL5009" s="11"/>
      <c r="AM5009" s="19">
        <v>0</v>
      </c>
      <c r="AN5009" s="19">
        <v>158240</v>
      </c>
      <c r="AO5009" s="14"/>
      <c r="AP5009" s="14">
        <v>158240</v>
      </c>
      <c r="AQ5009" s="12"/>
      <c r="AS5009" s="26"/>
    </row>
    <row r="5010" spans="1:45" s="19" customFormat="1" x14ac:dyDescent="0.2">
      <c r="A5010" s="122">
        <f t="shared" si="567"/>
        <v>4219</v>
      </c>
      <c r="B5010" s="13">
        <v>2</v>
      </c>
      <c r="C5010" s="17" t="s">
        <v>52</v>
      </c>
      <c r="D5010" s="17">
        <v>11635</v>
      </c>
      <c r="E5010" s="17">
        <v>117</v>
      </c>
      <c r="F5010" s="17">
        <v>3164</v>
      </c>
      <c r="G5010" s="13"/>
      <c r="H5010" s="17">
        <v>0</v>
      </c>
      <c r="I5010" s="17">
        <v>1</v>
      </c>
      <c r="J5010" s="17">
        <v>21.01</v>
      </c>
      <c r="K5010" s="10">
        <v>121.01</v>
      </c>
      <c r="L5010" s="17"/>
      <c r="M5010" s="15"/>
      <c r="N5010" s="18"/>
      <c r="O5010" s="14"/>
      <c r="P5010" s="17">
        <v>1</v>
      </c>
      <c r="Q5010" s="19">
        <v>121.01</v>
      </c>
      <c r="R5010" s="14">
        <v>2000</v>
      </c>
      <c r="S5010" s="19">
        <v>242020</v>
      </c>
      <c r="T5010" s="17"/>
      <c r="U5010" s="17"/>
      <c r="V5010" s="17"/>
      <c r="W5010" s="4"/>
      <c r="X5010" s="17"/>
      <c r="Y5010" s="4"/>
      <c r="Z5010" s="17"/>
      <c r="AA5010" s="17"/>
      <c r="AB5010" s="17"/>
      <c r="AC5010" s="14"/>
      <c r="AD5010" s="14"/>
      <c r="AE5010" s="17"/>
      <c r="AF5010" s="14"/>
      <c r="AG5010" s="54"/>
      <c r="AH5010" s="11"/>
      <c r="AI5010" s="14"/>
      <c r="AJ5010" s="19">
        <v>0</v>
      </c>
      <c r="AK5010" s="23"/>
      <c r="AL5010" s="11"/>
      <c r="AM5010" s="19">
        <v>0</v>
      </c>
      <c r="AN5010" s="19">
        <v>242020</v>
      </c>
      <c r="AO5010" s="14"/>
      <c r="AP5010" s="14">
        <v>242020</v>
      </c>
      <c r="AQ5010" s="12"/>
      <c r="AS5010" s="26"/>
    </row>
    <row r="5011" spans="1:45" s="19" customFormat="1" x14ac:dyDescent="0.2">
      <c r="A5011" s="122">
        <f t="shared" si="567"/>
        <v>4220</v>
      </c>
      <c r="B5011" s="13">
        <v>3</v>
      </c>
      <c r="C5011" s="17" t="s">
        <v>52</v>
      </c>
      <c r="D5011" s="17">
        <v>11636</v>
      </c>
      <c r="E5011" s="17">
        <v>118</v>
      </c>
      <c r="F5011" s="17">
        <v>3165</v>
      </c>
      <c r="G5011" s="13"/>
      <c r="H5011" s="17">
        <v>0</v>
      </c>
      <c r="I5011" s="17">
        <v>0</v>
      </c>
      <c r="J5011" s="17">
        <v>52.07</v>
      </c>
      <c r="K5011" s="10">
        <v>52.07</v>
      </c>
      <c r="L5011" s="17"/>
      <c r="M5011" s="15"/>
      <c r="N5011" s="18"/>
      <c r="O5011" s="14"/>
      <c r="P5011" s="17">
        <v>1</v>
      </c>
      <c r="Q5011" s="19">
        <v>52.07</v>
      </c>
      <c r="R5011" s="14">
        <v>2000</v>
      </c>
      <c r="S5011" s="19">
        <v>104140</v>
      </c>
      <c r="T5011" s="17"/>
      <c r="U5011" s="17"/>
      <c r="V5011" s="17"/>
      <c r="W5011" s="4"/>
      <c r="X5011" s="17"/>
      <c r="Y5011" s="4"/>
      <c r="Z5011" s="17"/>
      <c r="AA5011" s="17"/>
      <c r="AB5011" s="17"/>
      <c r="AC5011" s="14"/>
      <c r="AD5011" s="14"/>
      <c r="AE5011" s="17"/>
      <c r="AF5011" s="14"/>
      <c r="AG5011" s="54"/>
      <c r="AH5011" s="11"/>
      <c r="AI5011" s="14"/>
      <c r="AJ5011" s="19">
        <v>0</v>
      </c>
      <c r="AK5011" s="23"/>
      <c r="AL5011" s="11"/>
      <c r="AM5011" s="19">
        <v>0</v>
      </c>
      <c r="AN5011" s="19">
        <v>104140</v>
      </c>
      <c r="AO5011" s="14"/>
      <c r="AP5011" s="14">
        <v>104140</v>
      </c>
      <c r="AQ5011" s="12"/>
      <c r="AS5011" s="26"/>
    </row>
    <row r="5012" spans="1:45" s="19" customFormat="1" x14ac:dyDescent="0.2">
      <c r="A5012" s="122">
        <f t="shared" si="567"/>
        <v>4221</v>
      </c>
      <c r="B5012" s="13">
        <v>4</v>
      </c>
      <c r="C5012" s="17" t="s">
        <v>52</v>
      </c>
      <c r="D5012" s="17">
        <v>31196</v>
      </c>
      <c r="E5012" s="17">
        <v>216</v>
      </c>
      <c r="F5012" s="17">
        <v>5856</v>
      </c>
      <c r="G5012" s="13"/>
      <c r="H5012" s="17">
        <v>1</v>
      </c>
      <c r="I5012" s="17">
        <v>1</v>
      </c>
      <c r="J5012" s="17">
        <v>44</v>
      </c>
      <c r="K5012" s="10">
        <v>544</v>
      </c>
      <c r="L5012" s="17"/>
      <c r="M5012" s="15"/>
      <c r="N5012" s="18"/>
      <c r="O5012" s="14"/>
      <c r="P5012" s="17">
        <v>1</v>
      </c>
      <c r="Q5012" s="19">
        <v>544</v>
      </c>
      <c r="R5012" s="14">
        <v>160</v>
      </c>
      <c r="S5012" s="19">
        <v>87040</v>
      </c>
      <c r="T5012" s="17"/>
      <c r="U5012" s="17"/>
      <c r="V5012" s="17"/>
      <c r="W5012" s="4"/>
      <c r="X5012" s="17"/>
      <c r="Y5012" s="4"/>
      <c r="Z5012" s="17"/>
      <c r="AA5012" s="17"/>
      <c r="AB5012" s="17"/>
      <c r="AC5012" s="14"/>
      <c r="AD5012" s="14"/>
      <c r="AE5012" s="17"/>
      <c r="AF5012" s="14"/>
      <c r="AG5012" s="54"/>
      <c r="AH5012" s="11"/>
      <c r="AI5012" s="14"/>
      <c r="AJ5012" s="19">
        <v>0</v>
      </c>
      <c r="AK5012" s="23">
        <v>0</v>
      </c>
      <c r="AL5012" s="11"/>
      <c r="AM5012" s="19">
        <v>0</v>
      </c>
      <c r="AN5012" s="19">
        <v>87040</v>
      </c>
      <c r="AO5012" s="14"/>
      <c r="AP5012" s="14">
        <v>87040</v>
      </c>
      <c r="AQ5012" s="12"/>
      <c r="AS5012" s="26"/>
    </row>
    <row r="5013" spans="1:45" s="19" customFormat="1" x14ac:dyDescent="0.2">
      <c r="A5013" s="122">
        <f t="shared" si="567"/>
        <v>4222</v>
      </c>
      <c r="B5013" s="13">
        <v>1</v>
      </c>
      <c r="C5013" s="17" t="s">
        <v>52</v>
      </c>
      <c r="D5013" s="17">
        <v>17659</v>
      </c>
      <c r="E5013" s="17">
        <v>8</v>
      </c>
      <c r="F5013" s="17">
        <v>3787</v>
      </c>
      <c r="G5013" s="13">
        <v>3</v>
      </c>
      <c r="H5013" s="17">
        <v>8</v>
      </c>
      <c r="I5013" s="17">
        <v>0</v>
      </c>
      <c r="J5013" s="17">
        <v>58</v>
      </c>
      <c r="K5013" s="10">
        <v>3258</v>
      </c>
      <c r="L5013" s="17"/>
      <c r="M5013" s="15"/>
      <c r="N5013" s="18"/>
      <c r="O5013" s="14"/>
      <c r="P5013" s="17">
        <v>1</v>
      </c>
      <c r="Q5013" s="19">
        <v>3258</v>
      </c>
      <c r="R5013" s="14">
        <v>200</v>
      </c>
      <c r="S5013" s="19">
        <v>651600</v>
      </c>
      <c r="T5013" s="17"/>
      <c r="U5013" s="17"/>
      <c r="V5013" s="17"/>
      <c r="W5013" s="4"/>
      <c r="X5013" s="17"/>
      <c r="Y5013" s="4"/>
      <c r="Z5013" s="17"/>
      <c r="AA5013" s="17"/>
      <c r="AB5013" s="17"/>
      <c r="AC5013" s="14"/>
      <c r="AD5013" s="14"/>
      <c r="AE5013" s="17"/>
      <c r="AF5013" s="14"/>
      <c r="AG5013" s="54"/>
      <c r="AH5013" s="11"/>
      <c r="AI5013" s="14"/>
      <c r="AJ5013" s="19">
        <v>0</v>
      </c>
      <c r="AK5013" s="23">
        <v>0</v>
      </c>
      <c r="AL5013" s="11"/>
      <c r="AM5013" s="19">
        <v>0</v>
      </c>
      <c r="AN5013" s="19">
        <v>651600</v>
      </c>
      <c r="AO5013" s="14"/>
      <c r="AP5013" s="14">
        <v>651600</v>
      </c>
      <c r="AQ5013" s="12"/>
      <c r="AS5013" s="26"/>
    </row>
    <row r="5014" spans="1:45" s="19" customFormat="1" x14ac:dyDescent="0.2">
      <c r="A5014" s="2"/>
      <c r="B5014" s="13">
        <v>2</v>
      </c>
      <c r="C5014" s="17" t="s">
        <v>97</v>
      </c>
      <c r="D5014" s="17">
        <v>228</v>
      </c>
      <c r="E5014" s="17"/>
      <c r="F5014" s="17"/>
      <c r="G5014" s="13">
        <v>3</v>
      </c>
      <c r="H5014" s="17">
        <v>0</v>
      </c>
      <c r="I5014" s="17">
        <v>0</v>
      </c>
      <c r="J5014" s="17">
        <v>45</v>
      </c>
      <c r="K5014" s="10"/>
      <c r="L5014" s="17"/>
      <c r="M5014" s="15"/>
      <c r="N5014" s="18">
        <v>45</v>
      </c>
      <c r="O5014" s="14"/>
      <c r="P5014" s="17">
        <v>4</v>
      </c>
      <c r="Q5014" s="19">
        <v>45</v>
      </c>
      <c r="R5014" s="14" t="e">
        <v>#N/A</v>
      </c>
      <c r="S5014" s="19" t="e">
        <v>#N/A</v>
      </c>
      <c r="T5014" s="17"/>
      <c r="U5014" s="17"/>
      <c r="V5014" s="17"/>
      <c r="W5014" s="4"/>
      <c r="X5014" s="17"/>
      <c r="Y5014" s="4"/>
      <c r="Z5014" s="17"/>
      <c r="AA5014" s="17"/>
      <c r="AB5014" s="17"/>
      <c r="AC5014" s="14"/>
      <c r="AD5014" s="14"/>
      <c r="AE5014" s="17"/>
      <c r="AF5014" s="14"/>
      <c r="AG5014" s="54"/>
      <c r="AH5014" s="11"/>
      <c r="AI5014" s="14"/>
      <c r="AJ5014" s="19">
        <v>0</v>
      </c>
      <c r="AK5014" s="23">
        <v>0</v>
      </c>
      <c r="AL5014" s="11"/>
      <c r="AM5014" s="19">
        <v>0</v>
      </c>
      <c r="AN5014" s="19" t="e">
        <v>#N/A</v>
      </c>
      <c r="AO5014" s="14"/>
      <c r="AP5014" s="14" t="e">
        <v>#N/A</v>
      </c>
      <c r="AQ5014" s="12">
        <v>1E-4</v>
      </c>
      <c r="AS5014" s="26"/>
    </row>
    <row r="5015" spans="1:45" s="19" customFormat="1" x14ac:dyDescent="0.2">
      <c r="A5015" s="2"/>
      <c r="B5015" s="13">
        <v>1</v>
      </c>
      <c r="C5015" s="17" t="s">
        <v>65</v>
      </c>
      <c r="D5015" s="17">
        <v>2583</v>
      </c>
      <c r="E5015" s="17">
        <v>153</v>
      </c>
      <c r="F5015" s="17"/>
      <c r="G5015" s="13"/>
      <c r="H5015" s="17">
        <v>15</v>
      </c>
      <c r="I5015" s="17">
        <v>2</v>
      </c>
      <c r="J5015" s="17">
        <v>86</v>
      </c>
      <c r="K5015" s="10">
        <v>6286</v>
      </c>
      <c r="L5015" s="17"/>
      <c r="M5015" s="15"/>
      <c r="N5015" s="18"/>
      <c r="O5015" s="14"/>
      <c r="P5015" s="17"/>
      <c r="Q5015" s="19">
        <v>6286</v>
      </c>
      <c r="R5015" s="14" t="e">
        <v>#N/A</v>
      </c>
      <c r="S5015" s="19" t="e">
        <v>#N/A</v>
      </c>
      <c r="T5015" s="17"/>
      <c r="U5015" s="17"/>
      <c r="V5015" s="17"/>
      <c r="W5015" s="4"/>
      <c r="X5015" s="17"/>
      <c r="Y5015" s="4"/>
      <c r="Z5015" s="17"/>
      <c r="AA5015" s="17"/>
      <c r="AB5015" s="17"/>
      <c r="AC5015" s="14"/>
      <c r="AD5015" s="14"/>
      <c r="AE5015" s="17" t="s">
        <v>94</v>
      </c>
      <c r="AF5015" s="14"/>
      <c r="AG5015" s="54"/>
      <c r="AH5015" s="11"/>
      <c r="AI5015" s="14"/>
      <c r="AJ5015" s="19">
        <v>0</v>
      </c>
      <c r="AK5015" s="23">
        <v>0</v>
      </c>
      <c r="AL5015" s="11"/>
      <c r="AM5015" s="19">
        <v>0</v>
      </c>
      <c r="AN5015" s="19" t="e">
        <v>#N/A</v>
      </c>
      <c r="AO5015" s="14"/>
      <c r="AP5015" s="14" t="e">
        <v>#N/A</v>
      </c>
      <c r="AQ5015" s="12">
        <v>1E-4</v>
      </c>
      <c r="AS5015" s="26"/>
    </row>
    <row r="5016" spans="1:45" s="19" customFormat="1" x14ac:dyDescent="0.2">
      <c r="A5016" s="2">
        <v>4223</v>
      </c>
      <c r="B5016" s="13">
        <v>1</v>
      </c>
      <c r="C5016" s="17" t="s">
        <v>52</v>
      </c>
      <c r="D5016" s="17">
        <v>1646</v>
      </c>
      <c r="E5016" s="17">
        <v>23</v>
      </c>
      <c r="F5016" s="17">
        <v>1446</v>
      </c>
      <c r="G5016" s="13">
        <v>3</v>
      </c>
      <c r="H5016" s="17">
        <v>13</v>
      </c>
      <c r="I5016" s="17">
        <v>0</v>
      </c>
      <c r="J5016" s="17">
        <v>62</v>
      </c>
      <c r="K5016" s="10">
        <v>5262</v>
      </c>
      <c r="L5016" s="17"/>
      <c r="M5016" s="15"/>
      <c r="N5016" s="18"/>
      <c r="O5016" s="14"/>
      <c r="P5016" s="17">
        <v>1</v>
      </c>
      <c r="Q5016" s="19">
        <v>5262</v>
      </c>
      <c r="R5016" s="14">
        <v>160</v>
      </c>
      <c r="S5016" s="19">
        <v>841920</v>
      </c>
      <c r="T5016" s="17"/>
      <c r="U5016" s="17"/>
      <c r="V5016" s="17"/>
      <c r="W5016" s="4"/>
      <c r="X5016" s="17"/>
      <c r="Y5016" s="4"/>
      <c r="Z5016" s="17"/>
      <c r="AA5016" s="17"/>
      <c r="AB5016" s="17"/>
      <c r="AC5016" s="14"/>
      <c r="AD5016" s="14"/>
      <c r="AE5016" s="17"/>
      <c r="AF5016" s="14"/>
      <c r="AG5016" s="54"/>
      <c r="AH5016" s="11"/>
      <c r="AI5016" s="14"/>
      <c r="AJ5016" s="19">
        <v>0</v>
      </c>
      <c r="AK5016" s="23">
        <v>0</v>
      </c>
      <c r="AL5016" s="11"/>
      <c r="AM5016" s="19">
        <v>0</v>
      </c>
      <c r="AN5016" s="19">
        <v>841920</v>
      </c>
      <c r="AO5016" s="14"/>
      <c r="AP5016" s="14">
        <v>841920</v>
      </c>
      <c r="AQ5016" s="12"/>
      <c r="AS5016" s="26"/>
    </row>
    <row r="5017" spans="1:45" s="19" customFormat="1" ht="63" x14ac:dyDescent="0.2">
      <c r="A5017" s="2">
        <f>+A5016+1</f>
        <v>4224</v>
      </c>
      <c r="B5017" s="13">
        <v>2</v>
      </c>
      <c r="C5017" s="17" t="s">
        <v>52</v>
      </c>
      <c r="D5017" s="17">
        <v>2262</v>
      </c>
      <c r="E5017" s="17">
        <v>58</v>
      </c>
      <c r="F5017" s="17">
        <v>1799</v>
      </c>
      <c r="G5017" s="13">
        <v>3</v>
      </c>
      <c r="H5017" s="17">
        <v>9</v>
      </c>
      <c r="I5017" s="17">
        <v>0</v>
      </c>
      <c r="J5017" s="17">
        <v>10</v>
      </c>
      <c r="K5017" s="10">
        <v>3580</v>
      </c>
      <c r="L5017" s="17">
        <v>30</v>
      </c>
      <c r="M5017" s="15"/>
      <c r="N5017" s="18"/>
      <c r="O5017" s="14"/>
      <c r="P5017" s="17">
        <v>5</v>
      </c>
      <c r="Q5017" s="19">
        <v>3610</v>
      </c>
      <c r="R5017" s="14">
        <v>500</v>
      </c>
      <c r="S5017" s="19">
        <v>1805000</v>
      </c>
      <c r="T5017" s="17">
        <v>1</v>
      </c>
      <c r="U5017" s="17" t="s">
        <v>57</v>
      </c>
      <c r="V5017" s="17" t="s">
        <v>56</v>
      </c>
      <c r="W5017" s="4">
        <v>120</v>
      </c>
      <c r="X5017" s="17"/>
      <c r="Y5017" s="4">
        <v>120</v>
      </c>
      <c r="Z5017" s="17"/>
      <c r="AA5017" s="17"/>
      <c r="AB5017" s="17">
        <v>19</v>
      </c>
      <c r="AC5017" s="14"/>
      <c r="AD5017" s="14"/>
      <c r="AE5017" s="17"/>
      <c r="AF5017" s="14"/>
      <c r="AG5017" s="54"/>
      <c r="AH5017" s="11"/>
      <c r="AI5017" s="14"/>
      <c r="AJ5017" s="19">
        <v>0</v>
      </c>
      <c r="AK5017" s="23">
        <v>19</v>
      </c>
      <c r="AL5017" s="11"/>
      <c r="AM5017" s="19">
        <v>0</v>
      </c>
      <c r="AN5017" s="19">
        <v>1805000</v>
      </c>
      <c r="AO5017" s="14"/>
      <c r="AP5017" s="14">
        <v>1805000</v>
      </c>
      <c r="AQ5017" s="12"/>
      <c r="AS5017" s="26"/>
    </row>
    <row r="5018" spans="1:45" s="19" customFormat="1" ht="63" x14ac:dyDescent="0.2">
      <c r="A5018" s="122">
        <f>+A5017+1</f>
        <v>4225</v>
      </c>
      <c r="B5018" s="13">
        <v>3</v>
      </c>
      <c r="C5018" s="17" t="s">
        <v>52</v>
      </c>
      <c r="D5018" s="17">
        <v>2081</v>
      </c>
      <c r="E5018" s="17">
        <v>44</v>
      </c>
      <c r="F5018" s="17">
        <v>1538</v>
      </c>
      <c r="G5018" s="13">
        <v>3</v>
      </c>
      <c r="H5018" s="17">
        <v>0</v>
      </c>
      <c r="I5018" s="17">
        <v>1</v>
      </c>
      <c r="J5018" s="17">
        <v>69</v>
      </c>
      <c r="K5018" s="10"/>
      <c r="L5018" s="17">
        <v>169</v>
      </c>
      <c r="M5018" s="15"/>
      <c r="N5018" s="18"/>
      <c r="O5018" s="14"/>
      <c r="P5018" s="17">
        <v>2</v>
      </c>
      <c r="Q5018" s="19">
        <v>169</v>
      </c>
      <c r="R5018" s="14">
        <v>1500</v>
      </c>
      <c r="S5018" s="19">
        <v>253500</v>
      </c>
      <c r="T5018" s="17">
        <v>1</v>
      </c>
      <c r="U5018" s="17" t="s">
        <v>57</v>
      </c>
      <c r="V5018" s="17" t="s">
        <v>56</v>
      </c>
      <c r="W5018" s="4">
        <v>36</v>
      </c>
      <c r="X5018" s="17"/>
      <c r="Y5018" s="4">
        <v>36</v>
      </c>
      <c r="Z5018" s="17"/>
      <c r="AA5018" s="17"/>
      <c r="AB5018" s="17">
        <v>28</v>
      </c>
      <c r="AC5018" s="14"/>
      <c r="AD5018" s="14"/>
      <c r="AE5018" s="17"/>
      <c r="AF5018" s="14"/>
      <c r="AG5018" s="54"/>
      <c r="AH5018" s="11"/>
      <c r="AI5018" s="14"/>
      <c r="AJ5018" s="19">
        <v>0</v>
      </c>
      <c r="AK5018" s="23">
        <v>28</v>
      </c>
      <c r="AL5018" s="11"/>
      <c r="AM5018" s="19">
        <v>0</v>
      </c>
      <c r="AN5018" s="19">
        <v>253500</v>
      </c>
      <c r="AO5018" s="14"/>
      <c r="AP5018" s="14">
        <v>253500</v>
      </c>
      <c r="AQ5018" s="12"/>
      <c r="AS5018" s="26"/>
    </row>
    <row r="5019" spans="1:45" s="19" customFormat="1" x14ac:dyDescent="0.2">
      <c r="A5019" s="2"/>
      <c r="B5019" s="13"/>
      <c r="C5019" s="17" t="s">
        <v>52</v>
      </c>
      <c r="D5019" s="17">
        <v>16670</v>
      </c>
      <c r="E5019" s="17">
        <v>19</v>
      </c>
      <c r="F5019" s="17">
        <v>3698</v>
      </c>
      <c r="G5019" s="13"/>
      <c r="H5019" s="17">
        <v>9</v>
      </c>
      <c r="I5019" s="17">
        <v>0</v>
      </c>
      <c r="J5019" s="17">
        <v>53.5</v>
      </c>
      <c r="K5019" s="10" t="s">
        <v>438</v>
      </c>
      <c r="L5019" s="17"/>
      <c r="M5019" s="15"/>
      <c r="N5019" s="18"/>
      <c r="O5019" s="14"/>
      <c r="P5019" s="17">
        <v>1</v>
      </c>
      <c r="Q5019" s="19">
        <v>3653.5</v>
      </c>
      <c r="R5019" s="14" t="e">
        <v>#N/A</v>
      </c>
      <c r="T5019" s="17"/>
      <c r="U5019" s="17"/>
      <c r="V5019" s="17"/>
      <c r="W5019" s="4"/>
      <c r="X5019" s="17"/>
      <c r="Y5019" s="4"/>
      <c r="Z5019" s="17"/>
      <c r="AA5019" s="17"/>
      <c r="AB5019" s="17"/>
      <c r="AC5019" s="14"/>
      <c r="AD5019" s="14"/>
      <c r="AE5019" s="17" t="s">
        <v>181</v>
      </c>
      <c r="AF5019" s="14"/>
      <c r="AG5019" s="54"/>
      <c r="AH5019" s="11"/>
      <c r="AI5019" s="14"/>
      <c r="AK5019" s="23"/>
      <c r="AL5019" s="11"/>
      <c r="AO5019" s="14"/>
      <c r="AP5019" s="14"/>
      <c r="AQ5019" s="12"/>
      <c r="AS5019" s="26"/>
    </row>
    <row r="5020" spans="1:45" s="19" customFormat="1" x14ac:dyDescent="0.2">
      <c r="A5020" s="2">
        <v>4226</v>
      </c>
      <c r="B5020" s="13">
        <v>4</v>
      </c>
      <c r="C5020" s="17" t="s">
        <v>65</v>
      </c>
      <c r="D5020" s="17">
        <v>425</v>
      </c>
      <c r="E5020" s="17">
        <v>87</v>
      </c>
      <c r="F5020" s="17"/>
      <c r="G5020" s="13"/>
      <c r="H5020" s="17">
        <v>10</v>
      </c>
      <c r="I5020" s="17">
        <v>0</v>
      </c>
      <c r="J5020" s="17">
        <v>3</v>
      </c>
      <c r="K5020" s="10">
        <v>4003</v>
      </c>
      <c r="L5020" s="17"/>
      <c r="M5020" s="15"/>
      <c r="N5020" s="18"/>
      <c r="O5020" s="14"/>
      <c r="P5020" s="17"/>
      <c r="Q5020" s="19">
        <v>4003</v>
      </c>
      <c r="R5020" s="14">
        <v>200</v>
      </c>
      <c r="S5020" s="19">
        <v>800600</v>
      </c>
      <c r="T5020" s="17"/>
      <c r="U5020" s="17"/>
      <c r="V5020" s="17"/>
      <c r="W5020" s="4"/>
      <c r="X5020" s="17"/>
      <c r="Y5020" s="4"/>
      <c r="Z5020" s="17"/>
      <c r="AA5020" s="17"/>
      <c r="AB5020" s="17"/>
      <c r="AC5020" s="14"/>
      <c r="AD5020" s="14"/>
      <c r="AE5020" s="17" t="s">
        <v>160</v>
      </c>
      <c r="AF5020" s="14"/>
      <c r="AG5020" s="54"/>
      <c r="AH5020" s="11"/>
      <c r="AI5020" s="14"/>
      <c r="AJ5020" s="19">
        <v>0</v>
      </c>
      <c r="AK5020" s="23">
        <v>0</v>
      </c>
      <c r="AL5020" s="11"/>
      <c r="AM5020" s="19">
        <v>0</v>
      </c>
      <c r="AN5020" s="19">
        <v>800600</v>
      </c>
      <c r="AO5020" s="14"/>
      <c r="AP5020" s="14">
        <v>800600</v>
      </c>
      <c r="AQ5020" s="12">
        <v>1E-4</v>
      </c>
      <c r="AS5020" s="26"/>
    </row>
    <row r="5021" spans="1:45" s="19" customFormat="1" x14ac:dyDescent="0.2">
      <c r="A5021" s="2">
        <f>+A5020+1</f>
        <v>4227</v>
      </c>
      <c r="B5021" s="13">
        <v>5</v>
      </c>
      <c r="C5021" s="17" t="s">
        <v>65</v>
      </c>
      <c r="D5021" s="17">
        <v>2604</v>
      </c>
      <c r="E5021" s="17">
        <v>161</v>
      </c>
      <c r="F5021" s="17"/>
      <c r="G5021" s="13"/>
      <c r="H5021" s="17">
        <v>8</v>
      </c>
      <c r="I5021" s="17">
        <v>2</v>
      </c>
      <c r="J5021" s="17">
        <v>63</v>
      </c>
      <c r="K5021" s="10">
        <v>3463</v>
      </c>
      <c r="L5021" s="17"/>
      <c r="M5021" s="15"/>
      <c r="N5021" s="18"/>
      <c r="O5021" s="14"/>
      <c r="P5021" s="17"/>
      <c r="Q5021" s="19">
        <v>3463</v>
      </c>
      <c r="R5021" s="14">
        <v>250</v>
      </c>
      <c r="S5021" s="19">
        <v>865750</v>
      </c>
      <c r="T5021" s="17"/>
      <c r="U5021" s="17"/>
      <c r="V5021" s="17"/>
      <c r="W5021" s="4"/>
      <c r="X5021" s="17"/>
      <c r="Y5021" s="4"/>
      <c r="Z5021" s="17"/>
      <c r="AA5021" s="17"/>
      <c r="AB5021" s="17"/>
      <c r="AC5021" s="14"/>
      <c r="AD5021" s="14"/>
      <c r="AE5021" s="17" t="s">
        <v>94</v>
      </c>
      <c r="AF5021" s="14"/>
      <c r="AG5021" s="54"/>
      <c r="AH5021" s="11"/>
      <c r="AI5021" s="14"/>
      <c r="AJ5021" s="19">
        <v>0</v>
      </c>
      <c r="AK5021" s="23">
        <v>0</v>
      </c>
      <c r="AL5021" s="11"/>
      <c r="AM5021" s="19">
        <v>0</v>
      </c>
      <c r="AN5021" s="19">
        <v>865750</v>
      </c>
      <c r="AO5021" s="14"/>
      <c r="AP5021" s="14">
        <v>865750</v>
      </c>
      <c r="AQ5021" s="12">
        <v>1E-4</v>
      </c>
      <c r="AS5021" s="26"/>
    </row>
    <row r="5022" spans="1:45" s="19" customFormat="1" ht="63" x14ac:dyDescent="0.2">
      <c r="A5022" s="122">
        <f t="shared" ref="A5022:A5027" si="568">+A5021+1</f>
        <v>4228</v>
      </c>
      <c r="B5022" s="13">
        <v>1</v>
      </c>
      <c r="C5022" s="17" t="s">
        <v>52</v>
      </c>
      <c r="D5022" s="17">
        <v>2082</v>
      </c>
      <c r="E5022" s="17">
        <v>47</v>
      </c>
      <c r="F5022" s="17">
        <v>1541</v>
      </c>
      <c r="G5022" s="13">
        <v>3</v>
      </c>
      <c r="H5022" s="17">
        <v>0</v>
      </c>
      <c r="I5022" s="17">
        <v>1</v>
      </c>
      <c r="J5022" s="17">
        <v>75</v>
      </c>
      <c r="K5022" s="10"/>
      <c r="L5022" s="17">
        <v>175</v>
      </c>
      <c r="M5022" s="15"/>
      <c r="N5022" s="18"/>
      <c r="O5022" s="14"/>
      <c r="P5022" s="17">
        <v>2</v>
      </c>
      <c r="Q5022" s="19">
        <v>175</v>
      </c>
      <c r="R5022" s="14">
        <v>2000</v>
      </c>
      <c r="S5022" s="19">
        <v>350000</v>
      </c>
      <c r="T5022" s="17">
        <v>1</v>
      </c>
      <c r="U5022" s="17" t="s">
        <v>57</v>
      </c>
      <c r="V5022" s="17" t="s">
        <v>56</v>
      </c>
      <c r="W5022" s="4">
        <v>44</v>
      </c>
      <c r="X5022" s="17"/>
      <c r="Y5022" s="4">
        <v>44</v>
      </c>
      <c r="Z5022" s="17"/>
      <c r="AA5022" s="17"/>
      <c r="AB5022" s="17">
        <v>18</v>
      </c>
      <c r="AC5022" s="14"/>
      <c r="AD5022" s="14"/>
      <c r="AE5022" s="17"/>
      <c r="AF5022" s="14"/>
      <c r="AG5022" s="54"/>
      <c r="AH5022" s="11"/>
      <c r="AI5022" s="14"/>
      <c r="AJ5022" s="19">
        <v>0</v>
      </c>
      <c r="AK5022" s="23">
        <v>18</v>
      </c>
      <c r="AL5022" s="11"/>
      <c r="AM5022" s="19">
        <v>0</v>
      </c>
      <c r="AN5022" s="19">
        <v>350000</v>
      </c>
      <c r="AO5022" s="14"/>
      <c r="AP5022" s="14">
        <v>350000</v>
      </c>
      <c r="AQ5022" s="12"/>
      <c r="AS5022" s="26"/>
    </row>
    <row r="5023" spans="1:45" s="19" customFormat="1" x14ac:dyDescent="0.2">
      <c r="A5023" s="122">
        <f t="shared" si="568"/>
        <v>4229</v>
      </c>
      <c r="B5023" s="13">
        <v>1</v>
      </c>
      <c r="C5023" s="17" t="s">
        <v>52</v>
      </c>
      <c r="D5023" s="17">
        <v>14795</v>
      </c>
      <c r="E5023" s="17">
        <v>31</v>
      </c>
      <c r="F5023" s="17">
        <v>3347</v>
      </c>
      <c r="G5023" s="13">
        <v>3</v>
      </c>
      <c r="H5023" s="17">
        <v>3</v>
      </c>
      <c r="I5023" s="17">
        <v>3</v>
      </c>
      <c r="J5023" s="17">
        <v>3</v>
      </c>
      <c r="K5023" s="10">
        <v>1503</v>
      </c>
      <c r="L5023" s="17"/>
      <c r="M5023" s="15"/>
      <c r="N5023" s="18"/>
      <c r="O5023" s="14"/>
      <c r="P5023" s="17">
        <v>1</v>
      </c>
      <c r="Q5023" s="19">
        <v>1503</v>
      </c>
      <c r="R5023" s="14">
        <v>160</v>
      </c>
      <c r="S5023" s="19">
        <v>240480</v>
      </c>
      <c r="T5023" s="17"/>
      <c r="U5023" s="17"/>
      <c r="V5023" s="17"/>
      <c r="W5023" s="4"/>
      <c r="X5023" s="17"/>
      <c r="Y5023" s="4"/>
      <c r="Z5023" s="17"/>
      <c r="AA5023" s="17"/>
      <c r="AB5023" s="17"/>
      <c r="AC5023" s="14"/>
      <c r="AD5023" s="14"/>
      <c r="AE5023" s="17"/>
      <c r="AF5023" s="14"/>
      <c r="AG5023" s="54"/>
      <c r="AH5023" s="11"/>
      <c r="AI5023" s="14"/>
      <c r="AJ5023" s="19">
        <v>0</v>
      </c>
      <c r="AK5023" s="23">
        <v>0</v>
      </c>
      <c r="AL5023" s="11"/>
      <c r="AM5023" s="19">
        <v>0</v>
      </c>
      <c r="AN5023" s="19">
        <v>240480</v>
      </c>
      <c r="AO5023" s="14"/>
      <c r="AP5023" s="14">
        <v>240480</v>
      </c>
      <c r="AQ5023" s="12"/>
      <c r="AS5023" s="26"/>
    </row>
    <row r="5024" spans="1:45" s="19" customFormat="1" x14ac:dyDescent="0.2">
      <c r="A5024" s="122">
        <f t="shared" si="568"/>
        <v>4230</v>
      </c>
      <c r="B5024" s="13">
        <v>1</v>
      </c>
      <c r="C5024" s="17" t="s">
        <v>52</v>
      </c>
      <c r="D5024" s="17">
        <v>2078</v>
      </c>
      <c r="E5024" s="17">
        <v>43</v>
      </c>
      <c r="F5024" s="17">
        <v>1537</v>
      </c>
      <c r="G5024" s="13"/>
      <c r="H5024" s="17">
        <v>0</v>
      </c>
      <c r="I5024" s="17">
        <v>0</v>
      </c>
      <c r="J5024" s="17">
        <v>88</v>
      </c>
      <c r="K5024" s="10"/>
      <c r="L5024" s="17"/>
      <c r="M5024" s="15"/>
      <c r="N5024" s="18">
        <v>88</v>
      </c>
      <c r="O5024" s="14"/>
      <c r="P5024" s="17">
        <v>4</v>
      </c>
      <c r="Q5024" s="19">
        <v>88</v>
      </c>
      <c r="R5024" s="14">
        <v>1500</v>
      </c>
      <c r="S5024" s="19">
        <v>132000</v>
      </c>
      <c r="T5024" s="17"/>
      <c r="U5024" s="17"/>
      <c r="V5024" s="17"/>
      <c r="W5024" s="4"/>
      <c r="X5024" s="17"/>
      <c r="Y5024" s="4"/>
      <c r="Z5024" s="17"/>
      <c r="AA5024" s="17"/>
      <c r="AB5024" s="17"/>
      <c r="AC5024" s="14"/>
      <c r="AD5024" s="14"/>
      <c r="AE5024" s="17"/>
      <c r="AF5024" s="14"/>
      <c r="AG5024" s="54"/>
      <c r="AH5024" s="11"/>
      <c r="AI5024" s="14"/>
      <c r="AJ5024" s="19">
        <v>0</v>
      </c>
      <c r="AK5024" s="23">
        <v>0</v>
      </c>
      <c r="AL5024" s="11"/>
      <c r="AM5024" s="19">
        <v>0</v>
      </c>
      <c r="AN5024" s="19">
        <v>132000</v>
      </c>
      <c r="AO5024" s="14"/>
      <c r="AP5024" s="14">
        <v>132000</v>
      </c>
      <c r="AQ5024" s="12"/>
      <c r="AS5024" s="26"/>
    </row>
    <row r="5025" spans="1:45" x14ac:dyDescent="0.2">
      <c r="A5025" s="122">
        <f t="shared" si="568"/>
        <v>4231</v>
      </c>
      <c r="B5025" s="13">
        <v>1</v>
      </c>
      <c r="C5025" s="17" t="s">
        <v>65</v>
      </c>
      <c r="D5025" s="17">
        <v>431</v>
      </c>
      <c r="E5025" s="17">
        <v>93</v>
      </c>
      <c r="H5025" s="17">
        <v>19</v>
      </c>
      <c r="I5025" s="17">
        <v>1</v>
      </c>
      <c r="J5025" s="17">
        <v>53</v>
      </c>
      <c r="K5025" s="10">
        <v>7753</v>
      </c>
      <c r="Q5025" s="19">
        <v>7753</v>
      </c>
      <c r="R5025" s="14">
        <v>160</v>
      </c>
      <c r="S5025" s="19">
        <v>1240480</v>
      </c>
      <c r="AE5025" s="17" t="s">
        <v>439</v>
      </c>
      <c r="AJ5025" s="19">
        <v>0</v>
      </c>
      <c r="AK5025" s="23">
        <v>0</v>
      </c>
      <c r="AM5025" s="19">
        <v>0</v>
      </c>
      <c r="AN5025" s="19">
        <v>1240480</v>
      </c>
      <c r="AP5025" s="14">
        <v>1240480</v>
      </c>
      <c r="AQ5025" s="12">
        <v>1E-4</v>
      </c>
      <c r="AS5025" s="26">
        <v>64</v>
      </c>
    </row>
    <row r="5026" spans="1:45" x14ac:dyDescent="0.2">
      <c r="A5026" s="122">
        <f t="shared" si="568"/>
        <v>4232</v>
      </c>
      <c r="B5026" s="13">
        <v>1</v>
      </c>
      <c r="C5026" s="17" t="s">
        <v>52</v>
      </c>
      <c r="D5026" s="17">
        <v>14792</v>
      </c>
      <c r="E5026" s="17">
        <v>28</v>
      </c>
      <c r="F5026" s="17">
        <v>3344</v>
      </c>
      <c r="G5026" s="13">
        <v>3</v>
      </c>
      <c r="H5026" s="17">
        <v>0</v>
      </c>
      <c r="I5026" s="17">
        <v>1</v>
      </c>
      <c r="J5026" s="17">
        <v>31</v>
      </c>
      <c r="N5026" s="18">
        <v>131</v>
      </c>
      <c r="P5026" s="17">
        <v>4</v>
      </c>
      <c r="Q5026" s="19">
        <v>131</v>
      </c>
      <c r="R5026" s="14">
        <v>2000</v>
      </c>
      <c r="S5026" s="19">
        <v>262000</v>
      </c>
      <c r="AJ5026" s="19">
        <v>0</v>
      </c>
      <c r="AK5026" s="23">
        <v>0</v>
      </c>
      <c r="AM5026" s="19">
        <v>0</v>
      </c>
      <c r="AN5026" s="19">
        <v>262000</v>
      </c>
      <c r="AP5026" s="14">
        <v>262000</v>
      </c>
      <c r="AS5026" s="26">
        <v>18</v>
      </c>
    </row>
    <row r="5027" spans="1:45" x14ac:dyDescent="0.2">
      <c r="A5027" s="122">
        <f t="shared" si="568"/>
        <v>4233</v>
      </c>
      <c r="B5027" s="13">
        <v>2</v>
      </c>
      <c r="C5027" s="17" t="s">
        <v>52</v>
      </c>
      <c r="D5027" s="17">
        <v>14798</v>
      </c>
      <c r="E5027" s="17">
        <v>34</v>
      </c>
      <c r="F5027" s="17">
        <v>3350</v>
      </c>
      <c r="G5027" s="13">
        <v>3</v>
      </c>
      <c r="H5027" s="17">
        <v>2</v>
      </c>
      <c r="I5027" s="17">
        <v>3</v>
      </c>
      <c r="J5027" s="17">
        <v>67</v>
      </c>
      <c r="K5027" s="10">
        <v>1167</v>
      </c>
      <c r="P5027" s="17">
        <v>1</v>
      </c>
      <c r="Q5027" s="19">
        <v>1167</v>
      </c>
      <c r="R5027" s="14">
        <v>160</v>
      </c>
      <c r="S5027" s="19">
        <v>186720</v>
      </c>
      <c r="AJ5027" s="19">
        <v>0</v>
      </c>
      <c r="AK5027" s="23">
        <v>0</v>
      </c>
      <c r="AM5027" s="19">
        <v>0</v>
      </c>
      <c r="AN5027" s="19">
        <v>186720</v>
      </c>
      <c r="AP5027" s="14">
        <v>186720</v>
      </c>
    </row>
    <row r="5028" spans="1:45" x14ac:dyDescent="0.2">
      <c r="B5028" s="13">
        <v>1</v>
      </c>
      <c r="C5028" s="17" t="s">
        <v>97</v>
      </c>
      <c r="D5028" s="17">
        <v>120</v>
      </c>
      <c r="G5028" s="13">
        <v>3</v>
      </c>
      <c r="H5028" s="17">
        <v>0</v>
      </c>
      <c r="I5028" s="17">
        <v>1</v>
      </c>
      <c r="J5028" s="17">
        <v>49</v>
      </c>
      <c r="K5028" s="10">
        <v>149</v>
      </c>
      <c r="P5028" s="17">
        <v>1</v>
      </c>
      <c r="Q5028" s="19">
        <v>149</v>
      </c>
      <c r="R5028" s="14" t="e">
        <v>#N/A</v>
      </c>
      <c r="S5028" s="19" t="e">
        <v>#N/A</v>
      </c>
      <c r="AJ5028" s="19">
        <v>0</v>
      </c>
      <c r="AK5028" s="23">
        <v>0</v>
      </c>
      <c r="AM5028" s="19">
        <v>0</v>
      </c>
      <c r="AN5028" s="19" t="e">
        <v>#N/A</v>
      </c>
      <c r="AP5028" s="14" t="e">
        <v>#N/A</v>
      </c>
      <c r="AQ5028" s="12">
        <v>1E-4</v>
      </c>
    </row>
    <row r="5029" spans="1:45" ht="63" x14ac:dyDescent="0.2">
      <c r="A5029" s="2">
        <v>4234</v>
      </c>
      <c r="B5029" s="13">
        <v>1</v>
      </c>
      <c r="C5029" s="17" t="s">
        <v>52</v>
      </c>
      <c r="D5029" s="17">
        <v>2326</v>
      </c>
      <c r="E5029" s="17">
        <v>50</v>
      </c>
      <c r="F5029" s="17">
        <v>1600</v>
      </c>
      <c r="G5029" s="13">
        <v>3</v>
      </c>
      <c r="H5029" s="17">
        <v>0</v>
      </c>
      <c r="I5029" s="17">
        <v>1</v>
      </c>
      <c r="J5029" s="17">
        <v>12</v>
      </c>
      <c r="L5029" s="17">
        <v>112</v>
      </c>
      <c r="P5029" s="17">
        <v>2</v>
      </c>
      <c r="Q5029" s="19">
        <v>112</v>
      </c>
      <c r="R5029" s="14">
        <v>2000</v>
      </c>
      <c r="S5029" s="19">
        <v>224000</v>
      </c>
      <c r="T5029" s="17">
        <v>1</v>
      </c>
      <c r="U5029" s="17" t="s">
        <v>57</v>
      </c>
      <c r="V5029" s="17" t="s">
        <v>56</v>
      </c>
      <c r="W5029" s="4">
        <v>108</v>
      </c>
      <c r="Y5029" s="4">
        <v>108</v>
      </c>
      <c r="AB5029" s="17">
        <v>27</v>
      </c>
      <c r="AJ5029" s="19">
        <v>0</v>
      </c>
      <c r="AK5029" s="23">
        <v>27</v>
      </c>
      <c r="AM5029" s="19">
        <v>0</v>
      </c>
      <c r="AN5029" s="19">
        <v>224000</v>
      </c>
      <c r="AP5029" s="14">
        <v>224000</v>
      </c>
    </row>
    <row r="5030" spans="1:45" x14ac:dyDescent="0.2">
      <c r="A5030" s="2">
        <f>+A5029+1</f>
        <v>4235</v>
      </c>
      <c r="B5030" s="13">
        <v>2</v>
      </c>
      <c r="C5030" s="17" t="s">
        <v>52</v>
      </c>
      <c r="D5030" s="17">
        <v>16675</v>
      </c>
      <c r="E5030" s="17">
        <v>12</v>
      </c>
      <c r="F5030" s="17">
        <v>3703</v>
      </c>
      <c r="G5030" s="13">
        <v>3</v>
      </c>
      <c r="H5030" s="17">
        <v>3</v>
      </c>
      <c r="I5030" s="17">
        <v>2</v>
      </c>
      <c r="J5030" s="17">
        <v>45</v>
      </c>
      <c r="Q5030" s="19">
        <v>1445</v>
      </c>
      <c r="R5030" s="14">
        <v>160</v>
      </c>
      <c r="S5030" s="19">
        <v>231200</v>
      </c>
      <c r="AJ5030" s="19">
        <v>0</v>
      </c>
      <c r="AK5030" s="23">
        <v>0</v>
      </c>
      <c r="AM5030" s="19">
        <v>0</v>
      </c>
      <c r="AN5030" s="19">
        <v>231200</v>
      </c>
      <c r="AP5030" s="14">
        <v>231200</v>
      </c>
    </row>
    <row r="5031" spans="1:45" ht="63" x14ac:dyDescent="0.2">
      <c r="A5031" s="122">
        <f t="shared" ref="A5031:A5042" si="569">+A5030+1</f>
        <v>4236</v>
      </c>
      <c r="B5031" s="13">
        <v>1</v>
      </c>
      <c r="C5031" s="17" t="s">
        <v>52</v>
      </c>
      <c r="D5031" s="17">
        <v>2247</v>
      </c>
      <c r="E5031" s="17">
        <v>48</v>
      </c>
      <c r="F5031" s="17">
        <v>1601</v>
      </c>
      <c r="G5031" s="13">
        <v>3</v>
      </c>
      <c r="H5031" s="17">
        <v>0</v>
      </c>
      <c r="I5031" s="17">
        <v>1</v>
      </c>
      <c r="J5031" s="17">
        <v>43</v>
      </c>
      <c r="L5031" s="17">
        <v>143</v>
      </c>
      <c r="P5031" s="17">
        <v>2</v>
      </c>
      <c r="Q5031" s="19">
        <v>143</v>
      </c>
      <c r="R5031" s="14">
        <v>2000</v>
      </c>
      <c r="S5031" s="19">
        <v>286000</v>
      </c>
      <c r="T5031" s="17">
        <v>1</v>
      </c>
      <c r="U5031" s="17" t="s">
        <v>57</v>
      </c>
      <c r="V5031" s="17" t="s">
        <v>56</v>
      </c>
      <c r="W5031" s="4">
        <v>375</v>
      </c>
      <c r="Y5031" s="4">
        <v>375</v>
      </c>
      <c r="AB5031" s="17">
        <v>10</v>
      </c>
      <c r="AJ5031" s="19">
        <v>0</v>
      </c>
      <c r="AK5031" s="23">
        <v>10</v>
      </c>
      <c r="AL5031" s="11">
        <v>0.1</v>
      </c>
      <c r="AM5031" s="19">
        <v>0</v>
      </c>
      <c r="AN5031" s="19">
        <v>286000</v>
      </c>
      <c r="AP5031" s="14">
        <v>286000</v>
      </c>
    </row>
    <row r="5032" spans="1:45" x14ac:dyDescent="0.2">
      <c r="A5032" s="122">
        <f t="shared" si="569"/>
        <v>4237</v>
      </c>
      <c r="B5032" s="13">
        <v>1</v>
      </c>
      <c r="C5032" s="17" t="s">
        <v>52</v>
      </c>
      <c r="D5032" s="17">
        <v>1645</v>
      </c>
      <c r="E5032" s="17">
        <v>22</v>
      </c>
      <c r="F5032" s="17">
        <v>1445</v>
      </c>
      <c r="G5032" s="13">
        <v>3</v>
      </c>
      <c r="H5032" s="17">
        <v>6</v>
      </c>
      <c r="I5032" s="17">
        <v>0</v>
      </c>
      <c r="J5032" s="17">
        <v>22</v>
      </c>
      <c r="K5032" s="10">
        <v>2422</v>
      </c>
      <c r="P5032" s="17">
        <v>1</v>
      </c>
      <c r="Q5032" s="19">
        <v>2422</v>
      </c>
      <c r="R5032" s="14">
        <v>160</v>
      </c>
      <c r="S5032" s="19">
        <v>387520</v>
      </c>
      <c r="AJ5032" s="19">
        <v>0</v>
      </c>
      <c r="AK5032" s="23">
        <v>0</v>
      </c>
      <c r="AM5032" s="19">
        <v>0</v>
      </c>
      <c r="AN5032" s="19">
        <v>387520</v>
      </c>
      <c r="AP5032" s="14">
        <v>387520</v>
      </c>
    </row>
    <row r="5033" spans="1:45" x14ac:dyDescent="0.2">
      <c r="A5033" s="122">
        <f t="shared" si="569"/>
        <v>4238</v>
      </c>
      <c r="B5033" s="13">
        <v>1</v>
      </c>
      <c r="C5033" s="17" t="s">
        <v>52</v>
      </c>
      <c r="D5033" s="17">
        <v>2065</v>
      </c>
      <c r="E5033" s="17">
        <v>40</v>
      </c>
      <c r="F5033" s="17">
        <v>1608</v>
      </c>
      <c r="G5033" s="13">
        <v>3</v>
      </c>
      <c r="H5033" s="17">
        <v>2</v>
      </c>
      <c r="I5033" s="17">
        <v>2</v>
      </c>
      <c r="J5033" s="17">
        <v>67</v>
      </c>
      <c r="K5033" s="10">
        <v>1067</v>
      </c>
      <c r="P5033" s="17">
        <v>1</v>
      </c>
      <c r="Q5033" s="19">
        <v>1067</v>
      </c>
      <c r="R5033" s="14">
        <v>160</v>
      </c>
      <c r="S5033" s="19">
        <v>170720</v>
      </c>
      <c r="AJ5033" s="19">
        <v>0</v>
      </c>
      <c r="AK5033" s="23">
        <v>0</v>
      </c>
      <c r="AM5033" s="19">
        <v>0</v>
      </c>
      <c r="AN5033" s="19">
        <v>170720</v>
      </c>
      <c r="AP5033" s="14">
        <v>170720</v>
      </c>
    </row>
    <row r="5034" spans="1:45" ht="63" x14ac:dyDescent="0.2">
      <c r="A5034" s="122">
        <f t="shared" si="569"/>
        <v>4239</v>
      </c>
      <c r="B5034" s="13">
        <v>1</v>
      </c>
      <c r="C5034" s="17" t="s">
        <v>52</v>
      </c>
      <c r="D5034" s="17">
        <v>2328</v>
      </c>
      <c r="E5034" s="17">
        <v>86</v>
      </c>
      <c r="F5034" s="17">
        <v>1603</v>
      </c>
      <c r="G5034" s="13">
        <v>3</v>
      </c>
      <c r="H5034" s="17">
        <v>0</v>
      </c>
      <c r="I5034" s="17">
        <v>1</v>
      </c>
      <c r="J5034" s="17">
        <v>74</v>
      </c>
      <c r="L5034" s="17">
        <v>174</v>
      </c>
      <c r="P5034" s="17">
        <v>2</v>
      </c>
      <c r="Q5034" s="19">
        <v>174</v>
      </c>
      <c r="R5034" s="14">
        <v>160</v>
      </c>
      <c r="S5034" s="19">
        <v>27840</v>
      </c>
      <c r="T5034" s="17">
        <v>1</v>
      </c>
      <c r="U5034" s="17" t="s">
        <v>57</v>
      </c>
      <c r="V5034" s="17" t="s">
        <v>56</v>
      </c>
      <c r="W5034" s="4">
        <v>162</v>
      </c>
      <c r="Y5034" s="4">
        <v>162</v>
      </c>
      <c r="AB5034" s="17">
        <v>30</v>
      </c>
      <c r="AJ5034" s="19">
        <v>0</v>
      </c>
      <c r="AK5034" s="23">
        <v>30</v>
      </c>
      <c r="AM5034" s="19">
        <v>0</v>
      </c>
      <c r="AN5034" s="19">
        <v>27840</v>
      </c>
      <c r="AP5034" s="14">
        <v>27840</v>
      </c>
    </row>
    <row r="5035" spans="1:45" x14ac:dyDescent="0.2">
      <c r="A5035" s="122">
        <f t="shared" si="569"/>
        <v>4240</v>
      </c>
      <c r="B5035" s="13">
        <v>1</v>
      </c>
      <c r="C5035" s="17" t="s">
        <v>52</v>
      </c>
      <c r="D5035" s="17">
        <v>1781</v>
      </c>
      <c r="E5035" s="17">
        <v>71</v>
      </c>
      <c r="F5035" s="17">
        <v>1135</v>
      </c>
      <c r="G5035" s="13">
        <v>3</v>
      </c>
      <c r="H5035" s="17">
        <v>0</v>
      </c>
      <c r="I5035" s="17">
        <v>1</v>
      </c>
      <c r="J5035" s="17">
        <v>71</v>
      </c>
      <c r="K5035" s="10">
        <v>171</v>
      </c>
      <c r="P5035" s="17">
        <v>1</v>
      </c>
      <c r="Q5035" s="19">
        <v>171</v>
      </c>
      <c r="R5035" s="14">
        <v>160</v>
      </c>
      <c r="S5035" s="19">
        <v>27360</v>
      </c>
      <c r="AJ5035" s="19">
        <v>0</v>
      </c>
      <c r="AK5035" s="23">
        <v>0</v>
      </c>
      <c r="AM5035" s="19">
        <v>0</v>
      </c>
      <c r="AN5035" s="19">
        <v>27360</v>
      </c>
      <c r="AP5035" s="14">
        <v>27360</v>
      </c>
      <c r="AS5035" s="26">
        <v>21</v>
      </c>
    </row>
    <row r="5036" spans="1:45" x14ac:dyDescent="0.2">
      <c r="A5036" s="122">
        <f t="shared" si="569"/>
        <v>4241</v>
      </c>
      <c r="B5036" s="13">
        <v>2</v>
      </c>
      <c r="C5036" s="17" t="s">
        <v>52</v>
      </c>
      <c r="D5036" s="17">
        <v>2064</v>
      </c>
      <c r="E5036" s="17">
        <v>39</v>
      </c>
      <c r="F5036" s="17">
        <v>1596</v>
      </c>
      <c r="G5036" s="13">
        <v>3</v>
      </c>
      <c r="H5036" s="17">
        <v>3</v>
      </c>
      <c r="I5036" s="17">
        <v>1</v>
      </c>
      <c r="J5036" s="17">
        <v>6</v>
      </c>
      <c r="K5036" s="10">
        <v>1306</v>
      </c>
      <c r="P5036" s="17">
        <v>1</v>
      </c>
      <c r="Q5036" s="19">
        <v>1306</v>
      </c>
      <c r="R5036" s="14">
        <v>160</v>
      </c>
      <c r="S5036" s="19">
        <v>208960</v>
      </c>
      <c r="AJ5036" s="19">
        <v>0</v>
      </c>
      <c r="AK5036" s="23">
        <v>0</v>
      </c>
      <c r="AM5036" s="19">
        <v>0</v>
      </c>
      <c r="AN5036" s="19">
        <v>208960</v>
      </c>
      <c r="AP5036" s="14">
        <v>208960</v>
      </c>
    </row>
    <row r="5037" spans="1:45" x14ac:dyDescent="0.2">
      <c r="A5037" s="122">
        <f t="shared" si="569"/>
        <v>4242</v>
      </c>
      <c r="B5037" s="13">
        <v>3</v>
      </c>
      <c r="C5037" s="17" t="s">
        <v>52</v>
      </c>
      <c r="D5037" s="17">
        <v>2087</v>
      </c>
      <c r="E5037" s="17">
        <v>72</v>
      </c>
      <c r="F5037" s="17">
        <v>1546</v>
      </c>
      <c r="G5037" s="13">
        <v>3</v>
      </c>
      <c r="H5037" s="17">
        <v>0</v>
      </c>
      <c r="I5037" s="17">
        <v>1</v>
      </c>
      <c r="J5037" s="17">
        <v>15</v>
      </c>
      <c r="K5037" s="10" t="s">
        <v>441</v>
      </c>
      <c r="P5037" s="17">
        <v>1</v>
      </c>
      <c r="Q5037" s="19">
        <v>115</v>
      </c>
      <c r="R5037" s="14">
        <v>2000</v>
      </c>
      <c r="S5037" s="19">
        <v>230000</v>
      </c>
      <c r="AJ5037" s="19">
        <v>0</v>
      </c>
      <c r="AK5037" s="23">
        <v>0</v>
      </c>
      <c r="AM5037" s="19">
        <v>0</v>
      </c>
      <c r="AN5037" s="19">
        <v>230000</v>
      </c>
      <c r="AP5037" s="14">
        <v>230000</v>
      </c>
    </row>
    <row r="5038" spans="1:45" ht="63" x14ac:dyDescent="0.2">
      <c r="A5038" s="122">
        <f t="shared" si="569"/>
        <v>4243</v>
      </c>
      <c r="B5038" s="13">
        <v>4</v>
      </c>
      <c r="C5038" s="17" t="s">
        <v>52</v>
      </c>
      <c r="D5038" s="17">
        <v>2325</v>
      </c>
      <c r="E5038" s="17">
        <v>51</v>
      </c>
      <c r="F5038" s="17">
        <v>1599</v>
      </c>
      <c r="G5038" s="13">
        <v>3</v>
      </c>
      <c r="H5038" s="17">
        <v>0</v>
      </c>
      <c r="I5038" s="17">
        <v>2</v>
      </c>
      <c r="J5038" s="17">
        <v>29</v>
      </c>
      <c r="L5038" s="17">
        <v>229</v>
      </c>
      <c r="P5038" s="17">
        <v>2</v>
      </c>
      <c r="Q5038" s="19">
        <v>229</v>
      </c>
      <c r="R5038" s="14">
        <v>2000</v>
      </c>
      <c r="S5038" s="19">
        <v>458000</v>
      </c>
      <c r="T5038" s="17">
        <v>1</v>
      </c>
      <c r="U5038" s="17" t="s">
        <v>57</v>
      </c>
      <c r="V5038" s="17" t="s">
        <v>56</v>
      </c>
      <c r="W5038" s="4">
        <v>180</v>
      </c>
      <c r="Y5038" s="4">
        <v>180</v>
      </c>
      <c r="AB5038" s="17">
        <v>26</v>
      </c>
      <c r="AJ5038" s="19">
        <v>0</v>
      </c>
      <c r="AK5038" s="23">
        <v>26</v>
      </c>
      <c r="AM5038" s="19">
        <v>0</v>
      </c>
      <c r="AN5038" s="19">
        <v>458000</v>
      </c>
      <c r="AP5038" s="14">
        <v>458000</v>
      </c>
    </row>
    <row r="5039" spans="1:45" x14ac:dyDescent="0.2">
      <c r="A5039" s="122">
        <f t="shared" si="569"/>
        <v>4244</v>
      </c>
      <c r="B5039" s="13">
        <v>5</v>
      </c>
      <c r="C5039" s="17" t="s">
        <v>52</v>
      </c>
      <c r="D5039" s="17">
        <v>1775</v>
      </c>
      <c r="E5039" s="17">
        <v>31</v>
      </c>
      <c r="F5039" s="17">
        <v>1125</v>
      </c>
      <c r="H5039" s="17">
        <v>1</v>
      </c>
      <c r="I5039" s="17">
        <v>1</v>
      </c>
      <c r="J5039" s="17">
        <v>30</v>
      </c>
      <c r="K5039" s="10">
        <v>530</v>
      </c>
      <c r="P5039" s="17">
        <v>1</v>
      </c>
      <c r="Q5039" s="19">
        <v>530</v>
      </c>
      <c r="R5039" s="14">
        <v>160</v>
      </c>
      <c r="S5039" s="19">
        <v>84800</v>
      </c>
      <c r="AJ5039" s="19">
        <v>0</v>
      </c>
      <c r="AK5039" s="23">
        <v>0</v>
      </c>
      <c r="AM5039" s="19">
        <v>0</v>
      </c>
      <c r="AN5039" s="19">
        <v>84800</v>
      </c>
      <c r="AP5039" s="14">
        <v>84800</v>
      </c>
    </row>
    <row r="5040" spans="1:45" x14ac:dyDescent="0.2">
      <c r="A5040" s="122">
        <f t="shared" si="569"/>
        <v>4245</v>
      </c>
      <c r="B5040" s="13">
        <v>6</v>
      </c>
      <c r="C5040" s="17" t="s">
        <v>52</v>
      </c>
      <c r="D5040" s="17">
        <v>1784</v>
      </c>
      <c r="E5040" s="17">
        <v>26</v>
      </c>
      <c r="F5040" s="17">
        <v>1154</v>
      </c>
      <c r="H5040" s="17">
        <v>1</v>
      </c>
      <c r="I5040" s="17">
        <v>1</v>
      </c>
      <c r="J5040" s="17">
        <v>17</v>
      </c>
      <c r="K5040" s="10">
        <v>517</v>
      </c>
      <c r="P5040" s="17">
        <v>1</v>
      </c>
      <c r="Q5040" s="19">
        <v>517</v>
      </c>
      <c r="R5040" s="14">
        <v>160</v>
      </c>
      <c r="S5040" s="19">
        <v>82720</v>
      </c>
      <c r="AJ5040" s="19">
        <v>0</v>
      </c>
      <c r="AK5040" s="23">
        <v>0</v>
      </c>
      <c r="AM5040" s="19">
        <v>0</v>
      </c>
      <c r="AN5040" s="19">
        <v>82720</v>
      </c>
      <c r="AP5040" s="14">
        <v>82720</v>
      </c>
    </row>
    <row r="5041" spans="1:45" ht="63" x14ac:dyDescent="0.2">
      <c r="A5041" s="122">
        <f t="shared" si="569"/>
        <v>4246</v>
      </c>
      <c r="B5041" s="13">
        <v>1</v>
      </c>
      <c r="C5041" s="17" t="s">
        <v>52</v>
      </c>
      <c r="D5041" s="17">
        <v>1641</v>
      </c>
      <c r="E5041" s="17">
        <v>5</v>
      </c>
      <c r="F5041" s="17">
        <v>1432</v>
      </c>
      <c r="G5041" s="13">
        <v>3</v>
      </c>
      <c r="H5041" s="17">
        <v>9</v>
      </c>
      <c r="I5041" s="17">
        <v>2</v>
      </c>
      <c r="J5041" s="17">
        <v>98</v>
      </c>
      <c r="K5041" s="10">
        <v>3883</v>
      </c>
      <c r="L5041" s="17">
        <v>15</v>
      </c>
      <c r="P5041" s="17">
        <v>5</v>
      </c>
      <c r="Q5041" s="19">
        <v>3898</v>
      </c>
      <c r="R5041" s="14">
        <v>200</v>
      </c>
      <c r="S5041" s="19">
        <v>779600</v>
      </c>
      <c r="T5041" s="17">
        <v>1</v>
      </c>
      <c r="U5041" s="17" t="s">
        <v>57</v>
      </c>
      <c r="V5041" s="17" t="s">
        <v>56</v>
      </c>
      <c r="W5041" s="4">
        <v>60</v>
      </c>
      <c r="Y5041" s="4">
        <v>60</v>
      </c>
      <c r="AB5041" s="17">
        <v>7</v>
      </c>
      <c r="AJ5041" s="19">
        <v>0</v>
      </c>
      <c r="AK5041" s="23">
        <v>7</v>
      </c>
      <c r="AM5041" s="19">
        <v>0</v>
      </c>
      <c r="AN5041" s="19">
        <v>779600</v>
      </c>
      <c r="AP5041" s="14">
        <v>779600</v>
      </c>
      <c r="AS5041" s="26">
        <v>91</v>
      </c>
    </row>
    <row r="5042" spans="1:45" x14ac:dyDescent="0.2">
      <c r="A5042" s="122">
        <f t="shared" si="569"/>
        <v>4247</v>
      </c>
      <c r="B5042" s="13">
        <v>2</v>
      </c>
      <c r="C5042" s="17" t="s">
        <v>52</v>
      </c>
      <c r="D5042" s="17">
        <v>1642</v>
      </c>
      <c r="E5042" s="17">
        <v>6</v>
      </c>
      <c r="F5042" s="17">
        <v>1433</v>
      </c>
      <c r="G5042" s="13">
        <v>3</v>
      </c>
      <c r="H5042" s="17">
        <v>7</v>
      </c>
      <c r="I5042" s="17">
        <v>2</v>
      </c>
      <c r="J5042" s="17">
        <v>91</v>
      </c>
      <c r="K5042" s="10">
        <v>3091</v>
      </c>
      <c r="P5042" s="17">
        <v>1</v>
      </c>
      <c r="Q5042" s="19">
        <v>3091</v>
      </c>
      <c r="R5042" s="14">
        <v>200</v>
      </c>
      <c r="S5042" s="19">
        <v>618200</v>
      </c>
      <c r="AJ5042" s="19">
        <v>0</v>
      </c>
      <c r="AK5042" s="23">
        <v>0</v>
      </c>
      <c r="AM5042" s="19">
        <v>0</v>
      </c>
      <c r="AN5042" s="19">
        <v>618200</v>
      </c>
      <c r="AP5042" s="14">
        <v>618200</v>
      </c>
    </row>
    <row r="5043" spans="1:45" ht="42" x14ac:dyDescent="0.2">
      <c r="B5043" s="13">
        <v>1</v>
      </c>
      <c r="C5043" s="17" t="s">
        <v>52</v>
      </c>
      <c r="D5043" s="17">
        <v>36616</v>
      </c>
      <c r="E5043" s="17">
        <v>182</v>
      </c>
      <c r="F5043" s="17">
        <v>7164</v>
      </c>
      <c r="G5043" s="13">
        <v>3</v>
      </c>
      <c r="H5043" s="17">
        <v>0</v>
      </c>
      <c r="I5043" s="17">
        <v>2</v>
      </c>
      <c r="J5043" s="17">
        <v>57</v>
      </c>
      <c r="K5043" s="10" t="s">
        <v>442</v>
      </c>
      <c r="P5043" s="17">
        <v>1</v>
      </c>
      <c r="Q5043" s="19">
        <v>257</v>
      </c>
      <c r="R5043" s="14" t="e">
        <v>#N/A</v>
      </c>
      <c r="S5043" s="19" t="e">
        <v>#N/A</v>
      </c>
      <c r="AE5043" s="17" t="s">
        <v>443</v>
      </c>
      <c r="AJ5043" s="19">
        <v>0</v>
      </c>
      <c r="AK5043" s="23">
        <v>0</v>
      </c>
      <c r="AM5043" s="19">
        <v>0</v>
      </c>
      <c r="AN5043" s="19" t="e">
        <v>#N/A</v>
      </c>
      <c r="AP5043" s="14" t="e">
        <v>#N/A</v>
      </c>
      <c r="AS5043" s="26" t="s">
        <v>444</v>
      </c>
    </row>
    <row r="5044" spans="1:45" x14ac:dyDescent="0.2">
      <c r="C5044" s="17" t="s">
        <v>52</v>
      </c>
      <c r="D5044" s="17">
        <v>36629</v>
      </c>
      <c r="E5044" s="17">
        <v>229</v>
      </c>
      <c r="F5044" s="17">
        <v>7177</v>
      </c>
      <c r="G5044" s="13">
        <v>3</v>
      </c>
      <c r="H5044" s="17">
        <v>1</v>
      </c>
      <c r="I5044" s="17">
        <v>1</v>
      </c>
      <c r="J5044" s="17">
        <v>82.4</v>
      </c>
      <c r="K5044" s="10" t="s">
        <v>445</v>
      </c>
      <c r="P5044" s="17">
        <v>1</v>
      </c>
      <c r="Q5044" s="19">
        <v>582.4</v>
      </c>
      <c r="R5044" s="14" t="e">
        <v>#N/A</v>
      </c>
      <c r="S5044" s="19" t="e">
        <v>#N/A</v>
      </c>
      <c r="AE5044" s="17" t="s">
        <v>446</v>
      </c>
      <c r="AJ5044" s="19">
        <v>0</v>
      </c>
      <c r="AK5044" s="23">
        <v>0</v>
      </c>
      <c r="AM5044" s="19">
        <v>0</v>
      </c>
      <c r="AN5044" s="19" t="e">
        <v>#N/A</v>
      </c>
      <c r="AP5044" s="14" t="e">
        <v>#N/A</v>
      </c>
    </row>
    <row r="5045" spans="1:45" x14ac:dyDescent="0.2">
      <c r="A5045" s="2">
        <v>4248</v>
      </c>
      <c r="B5045" s="13">
        <v>1</v>
      </c>
      <c r="C5045" s="17" t="s">
        <v>52</v>
      </c>
      <c r="D5045" s="17">
        <v>2368</v>
      </c>
      <c r="E5045" s="17">
        <v>99</v>
      </c>
      <c r="F5045" s="17">
        <v>1776</v>
      </c>
      <c r="G5045" s="13">
        <v>3</v>
      </c>
      <c r="H5045" s="17">
        <v>6</v>
      </c>
      <c r="I5045" s="17">
        <v>3</v>
      </c>
      <c r="J5045" s="17">
        <v>11.07</v>
      </c>
      <c r="K5045" s="10">
        <v>2690.07</v>
      </c>
      <c r="L5045" s="17">
        <v>21</v>
      </c>
      <c r="P5045" s="17">
        <v>5</v>
      </c>
      <c r="Q5045" s="19">
        <v>2711.07</v>
      </c>
      <c r="R5045" s="14">
        <v>500</v>
      </c>
      <c r="S5045" s="19">
        <v>1355535</v>
      </c>
    </row>
    <row r="5046" spans="1:45" ht="63" x14ac:dyDescent="0.2">
      <c r="P5046" s="17">
        <v>2</v>
      </c>
      <c r="S5046" s="19">
        <v>0</v>
      </c>
      <c r="T5046" s="17">
        <v>1</v>
      </c>
      <c r="U5046" s="17" t="s">
        <v>57</v>
      </c>
      <c r="V5046" s="17" t="s">
        <v>56</v>
      </c>
      <c r="W5046" s="4">
        <v>84</v>
      </c>
      <c r="Y5046" s="4">
        <v>84</v>
      </c>
      <c r="AB5046" s="17">
        <v>18</v>
      </c>
      <c r="AF5046" s="14">
        <v>2</v>
      </c>
      <c r="AJ5046" s="19">
        <v>0</v>
      </c>
      <c r="AK5046" s="23">
        <v>18</v>
      </c>
      <c r="AM5046" s="19">
        <v>0</v>
      </c>
      <c r="AN5046" s="19">
        <v>0</v>
      </c>
      <c r="AP5046" s="14">
        <v>0</v>
      </c>
    </row>
    <row r="5047" spans="1:45" x14ac:dyDescent="0.2">
      <c r="P5047" s="17">
        <v>3</v>
      </c>
      <c r="Q5047" s="19">
        <v>504</v>
      </c>
      <c r="R5047" s="14">
        <v>500</v>
      </c>
      <c r="S5047" s="19">
        <v>252000</v>
      </c>
      <c r="AE5047" s="17" t="s">
        <v>447</v>
      </c>
      <c r="AJ5047" s="19">
        <v>0</v>
      </c>
      <c r="AK5047" s="23">
        <v>0</v>
      </c>
      <c r="AM5047" s="19">
        <v>0</v>
      </c>
      <c r="AN5047" s="19">
        <v>252000</v>
      </c>
      <c r="AP5047" s="14">
        <v>252000</v>
      </c>
      <c r="AQ5047" s="12">
        <v>3.0000000000000001E-3</v>
      </c>
    </row>
    <row r="5048" spans="1:45" x14ac:dyDescent="0.2">
      <c r="A5048" s="2">
        <v>4249</v>
      </c>
      <c r="B5048" s="13">
        <v>1</v>
      </c>
      <c r="C5048" s="17" t="s">
        <v>52</v>
      </c>
      <c r="D5048" s="17">
        <v>11684</v>
      </c>
      <c r="E5048" s="17">
        <v>103</v>
      </c>
      <c r="F5048" s="17">
        <v>3186</v>
      </c>
      <c r="G5048" s="13">
        <v>3</v>
      </c>
      <c r="H5048" s="17">
        <v>0</v>
      </c>
      <c r="I5048" s="17">
        <v>2</v>
      </c>
      <c r="J5048" s="17">
        <v>70.08</v>
      </c>
      <c r="K5048" s="10">
        <v>270.08</v>
      </c>
      <c r="P5048" s="17">
        <v>1</v>
      </c>
      <c r="Q5048" s="19">
        <v>270.08</v>
      </c>
      <c r="R5048" s="14">
        <v>160</v>
      </c>
      <c r="S5048" s="19">
        <v>43212.799999999996</v>
      </c>
      <c r="AJ5048" s="19">
        <v>0</v>
      </c>
      <c r="AK5048" s="23">
        <v>0</v>
      </c>
      <c r="AM5048" s="19">
        <v>0</v>
      </c>
      <c r="AN5048" s="19">
        <v>43212.799999999996</v>
      </c>
      <c r="AP5048" s="14">
        <v>43212.799999999996</v>
      </c>
    </row>
    <row r="5049" spans="1:45" ht="63" x14ac:dyDescent="0.2">
      <c r="A5049" s="2">
        <f>+A5048+1</f>
        <v>4250</v>
      </c>
      <c r="B5049" s="13">
        <v>1</v>
      </c>
      <c r="C5049" s="17" t="s">
        <v>52</v>
      </c>
      <c r="D5049" s="17">
        <v>2096</v>
      </c>
      <c r="E5049" s="17">
        <v>97</v>
      </c>
      <c r="F5049" s="17">
        <v>1586</v>
      </c>
      <c r="G5049" s="13">
        <v>3</v>
      </c>
      <c r="H5049" s="17">
        <v>0</v>
      </c>
      <c r="I5049" s="17">
        <v>2</v>
      </c>
      <c r="J5049" s="17">
        <v>21</v>
      </c>
      <c r="L5049" s="17">
        <v>221</v>
      </c>
      <c r="P5049" s="17">
        <v>2</v>
      </c>
      <c r="Q5049" s="19">
        <v>221</v>
      </c>
      <c r="R5049" s="14">
        <v>1500</v>
      </c>
      <c r="S5049" s="19">
        <v>331500</v>
      </c>
      <c r="T5049" s="17">
        <v>1</v>
      </c>
      <c r="U5049" s="17" t="s">
        <v>57</v>
      </c>
      <c r="V5049" s="17" t="s">
        <v>56</v>
      </c>
      <c r="W5049" s="4">
        <v>200</v>
      </c>
      <c r="Y5049" s="4">
        <v>200</v>
      </c>
      <c r="AB5049" s="17">
        <v>27</v>
      </c>
      <c r="AJ5049" s="19">
        <v>0</v>
      </c>
      <c r="AK5049" s="23">
        <v>27</v>
      </c>
      <c r="AM5049" s="19">
        <v>0</v>
      </c>
      <c r="AN5049" s="19">
        <v>331500</v>
      </c>
      <c r="AP5049" s="14">
        <v>331500</v>
      </c>
    </row>
    <row r="5050" spans="1:45" x14ac:dyDescent="0.2">
      <c r="A5050" s="122">
        <f t="shared" ref="A5050:A5057" si="570">+A5049+1</f>
        <v>4251</v>
      </c>
      <c r="B5050" s="13">
        <v>2</v>
      </c>
      <c r="C5050" s="17" t="s">
        <v>52</v>
      </c>
      <c r="D5050" s="17">
        <v>16690</v>
      </c>
      <c r="E5050" s="17">
        <v>91</v>
      </c>
      <c r="F5050" s="17">
        <v>3718</v>
      </c>
      <c r="H5050" s="17">
        <v>6</v>
      </c>
      <c r="I5050" s="17">
        <v>0</v>
      </c>
      <c r="J5050" s="17">
        <v>31</v>
      </c>
      <c r="M5050" s="15" t="s">
        <v>448</v>
      </c>
      <c r="P5050" s="17">
        <v>3</v>
      </c>
      <c r="Q5050" s="19">
        <v>2431</v>
      </c>
      <c r="R5050" s="14">
        <v>160</v>
      </c>
      <c r="S5050" s="19">
        <v>388960</v>
      </c>
      <c r="AE5050" s="17" t="s">
        <v>449</v>
      </c>
      <c r="AN5050" s="19">
        <v>388960</v>
      </c>
      <c r="AP5050" s="14">
        <v>388960</v>
      </c>
      <c r="AQ5050" s="12">
        <v>3.0000000000000001E-3</v>
      </c>
    </row>
    <row r="5051" spans="1:45" x14ac:dyDescent="0.2">
      <c r="A5051" s="122">
        <f t="shared" si="570"/>
        <v>4252</v>
      </c>
      <c r="B5051" s="13">
        <v>1</v>
      </c>
      <c r="C5051" s="17" t="s">
        <v>52</v>
      </c>
      <c r="D5051" s="17">
        <v>2093</v>
      </c>
      <c r="E5051" s="17">
        <v>46</v>
      </c>
      <c r="F5051" s="17">
        <v>1562</v>
      </c>
      <c r="G5051" s="13">
        <v>3</v>
      </c>
      <c r="H5051" s="17">
        <v>1</v>
      </c>
      <c r="I5051" s="17">
        <v>0</v>
      </c>
      <c r="J5051" s="17">
        <v>92</v>
      </c>
      <c r="K5051" s="10">
        <v>492</v>
      </c>
      <c r="P5051" s="17">
        <v>1</v>
      </c>
      <c r="Q5051" s="19">
        <v>492</v>
      </c>
      <c r="R5051" s="14">
        <v>160</v>
      </c>
      <c r="S5051" s="19">
        <v>78720</v>
      </c>
      <c r="AJ5051" s="19">
        <v>0</v>
      </c>
      <c r="AK5051" s="23">
        <v>0</v>
      </c>
      <c r="AM5051" s="19">
        <v>0</v>
      </c>
      <c r="AN5051" s="19">
        <v>78720</v>
      </c>
      <c r="AP5051" s="14">
        <v>78720</v>
      </c>
    </row>
    <row r="5052" spans="1:45" x14ac:dyDescent="0.2">
      <c r="A5052" s="122">
        <f t="shared" si="570"/>
        <v>4253</v>
      </c>
      <c r="B5052" s="13">
        <v>2</v>
      </c>
      <c r="C5052" s="17" t="s">
        <v>52</v>
      </c>
      <c r="D5052" s="17">
        <v>2233</v>
      </c>
      <c r="E5052" s="17">
        <v>7</v>
      </c>
      <c r="F5052" s="17">
        <v>1566</v>
      </c>
      <c r="G5052" s="13">
        <v>3</v>
      </c>
      <c r="H5052" s="17">
        <v>1</v>
      </c>
      <c r="I5052" s="17">
        <v>0</v>
      </c>
      <c r="J5052" s="17">
        <v>45</v>
      </c>
      <c r="N5052" s="18">
        <v>445</v>
      </c>
      <c r="P5052" s="17">
        <v>4</v>
      </c>
      <c r="Q5052" s="19">
        <v>445</v>
      </c>
      <c r="R5052" s="14">
        <v>200</v>
      </c>
      <c r="S5052" s="19">
        <v>89000</v>
      </c>
      <c r="AJ5052" s="19">
        <v>0</v>
      </c>
      <c r="AK5052" s="23">
        <v>0</v>
      </c>
      <c r="AM5052" s="19">
        <v>0</v>
      </c>
      <c r="AN5052" s="19">
        <v>89000</v>
      </c>
      <c r="AP5052" s="14">
        <v>89000</v>
      </c>
      <c r="AQ5052" s="12">
        <v>3.0000000000000001E-3</v>
      </c>
    </row>
    <row r="5053" spans="1:45" x14ac:dyDescent="0.2">
      <c r="A5053" s="122">
        <f t="shared" si="570"/>
        <v>4254</v>
      </c>
      <c r="B5053" s="13">
        <v>3</v>
      </c>
      <c r="C5053" s="17" t="s">
        <v>52</v>
      </c>
      <c r="D5053" s="17">
        <v>2285</v>
      </c>
      <c r="E5053" s="17">
        <v>44</v>
      </c>
      <c r="F5053" s="17">
        <v>1773</v>
      </c>
      <c r="G5053" s="13">
        <v>3</v>
      </c>
      <c r="H5053" s="17">
        <v>1</v>
      </c>
      <c r="I5053" s="17">
        <v>1</v>
      </c>
      <c r="J5053" s="17">
        <v>27</v>
      </c>
      <c r="K5053" s="10">
        <v>527</v>
      </c>
      <c r="P5053" s="17">
        <v>1</v>
      </c>
      <c r="Q5053" s="19">
        <v>527</v>
      </c>
      <c r="R5053" s="14">
        <v>160</v>
      </c>
      <c r="S5053" s="19">
        <v>84320</v>
      </c>
      <c r="AJ5053" s="19">
        <v>0</v>
      </c>
      <c r="AK5053" s="23">
        <v>0</v>
      </c>
      <c r="AM5053" s="19">
        <v>0</v>
      </c>
      <c r="AN5053" s="19">
        <v>84320</v>
      </c>
      <c r="AP5053" s="14">
        <v>84320</v>
      </c>
    </row>
    <row r="5054" spans="1:45" x14ac:dyDescent="0.2">
      <c r="A5054" s="122">
        <f t="shared" si="570"/>
        <v>4255</v>
      </c>
      <c r="B5054" s="13">
        <v>4</v>
      </c>
      <c r="C5054" s="17" t="s">
        <v>52</v>
      </c>
      <c r="D5054" s="17">
        <v>2366</v>
      </c>
      <c r="E5054" s="17">
        <v>83</v>
      </c>
      <c r="F5054" s="17">
        <v>1769</v>
      </c>
      <c r="G5054" s="13">
        <v>3</v>
      </c>
      <c r="H5054" s="17">
        <v>1</v>
      </c>
      <c r="I5054" s="17">
        <v>2</v>
      </c>
      <c r="J5054" s="17">
        <v>61</v>
      </c>
      <c r="K5054" s="10">
        <v>661</v>
      </c>
      <c r="P5054" s="17">
        <v>1</v>
      </c>
      <c r="Q5054" s="19">
        <v>661</v>
      </c>
      <c r="R5054" s="14">
        <v>160</v>
      </c>
      <c r="S5054" s="19">
        <v>105760</v>
      </c>
      <c r="AJ5054" s="19">
        <v>0</v>
      </c>
      <c r="AK5054" s="23">
        <v>0</v>
      </c>
      <c r="AM5054" s="19">
        <v>0</v>
      </c>
      <c r="AN5054" s="19">
        <v>105760</v>
      </c>
      <c r="AP5054" s="14">
        <v>105760</v>
      </c>
    </row>
    <row r="5055" spans="1:45" ht="63" x14ac:dyDescent="0.2">
      <c r="A5055" s="122">
        <f t="shared" si="570"/>
        <v>4256</v>
      </c>
      <c r="B5055" s="13">
        <v>5</v>
      </c>
      <c r="C5055" s="17" t="s">
        <v>52</v>
      </c>
      <c r="D5055" s="17">
        <v>2367</v>
      </c>
      <c r="E5055" s="17">
        <v>88</v>
      </c>
      <c r="F5055" s="17">
        <v>1770</v>
      </c>
      <c r="G5055" s="13">
        <v>3</v>
      </c>
      <c r="H5055" s="17">
        <v>9</v>
      </c>
      <c r="I5055" s="17">
        <v>2</v>
      </c>
      <c r="J5055" s="17">
        <v>12</v>
      </c>
      <c r="K5055" s="10">
        <v>3737.12</v>
      </c>
      <c r="L5055" s="17">
        <v>17.5</v>
      </c>
      <c r="P5055" s="17">
        <v>5</v>
      </c>
      <c r="Q5055" s="19">
        <v>3812</v>
      </c>
      <c r="R5055" s="14">
        <v>1500</v>
      </c>
      <c r="S5055" s="19">
        <v>5718000</v>
      </c>
      <c r="T5055" s="17">
        <v>1</v>
      </c>
      <c r="U5055" s="17" t="s">
        <v>57</v>
      </c>
      <c r="V5055" s="17" t="s">
        <v>56</v>
      </c>
      <c r="W5055" s="4">
        <v>70</v>
      </c>
      <c r="Y5055" s="4">
        <v>70</v>
      </c>
      <c r="AB5055" s="17">
        <v>17</v>
      </c>
      <c r="AJ5055" s="19">
        <v>0</v>
      </c>
      <c r="AK5055" s="23">
        <v>17</v>
      </c>
      <c r="AM5055" s="19">
        <v>0</v>
      </c>
      <c r="AN5055" s="19">
        <v>5718000</v>
      </c>
      <c r="AP5055" s="14">
        <v>5718000</v>
      </c>
    </row>
    <row r="5056" spans="1:45" x14ac:dyDescent="0.2">
      <c r="A5056" s="122">
        <f t="shared" si="570"/>
        <v>4257</v>
      </c>
      <c r="B5056" s="13">
        <v>1</v>
      </c>
      <c r="C5056" s="17" t="s">
        <v>52</v>
      </c>
      <c r="D5056" s="17">
        <v>33642</v>
      </c>
      <c r="E5056" s="17">
        <v>107</v>
      </c>
      <c r="F5056" s="17">
        <v>6721</v>
      </c>
      <c r="G5056" s="13">
        <v>2</v>
      </c>
      <c r="H5056" s="17">
        <v>3</v>
      </c>
      <c r="I5056" s="17">
        <v>2</v>
      </c>
      <c r="J5056" s="17">
        <v>75</v>
      </c>
      <c r="K5056" s="10">
        <v>1475</v>
      </c>
      <c r="P5056" s="17">
        <v>1</v>
      </c>
      <c r="Q5056" s="19">
        <v>1475</v>
      </c>
      <c r="R5056" s="14">
        <v>160</v>
      </c>
      <c r="S5056" s="19">
        <v>236000</v>
      </c>
      <c r="AJ5056" s="19">
        <v>0</v>
      </c>
      <c r="AK5056" s="23">
        <v>0</v>
      </c>
      <c r="AM5056" s="19">
        <v>0</v>
      </c>
      <c r="AN5056" s="19">
        <v>236000</v>
      </c>
      <c r="AP5056" s="14">
        <v>236000</v>
      </c>
      <c r="AS5056" s="26">
        <v>720</v>
      </c>
    </row>
    <row r="5057" spans="1:45" ht="63" x14ac:dyDescent="0.2">
      <c r="A5057" s="122">
        <f t="shared" si="570"/>
        <v>4258</v>
      </c>
      <c r="B5057" s="13">
        <v>2</v>
      </c>
      <c r="C5057" s="17" t="s">
        <v>52</v>
      </c>
      <c r="D5057" s="17">
        <v>15196</v>
      </c>
      <c r="E5057" s="17">
        <v>130</v>
      </c>
      <c r="F5057" s="17">
        <v>3511</v>
      </c>
      <c r="G5057" s="13">
        <v>3</v>
      </c>
      <c r="H5057" s="17">
        <v>0</v>
      </c>
      <c r="I5057" s="17">
        <v>0</v>
      </c>
      <c r="J5057" s="17">
        <v>41</v>
      </c>
      <c r="O5057" s="14">
        <v>41</v>
      </c>
      <c r="P5057" s="17">
        <v>5</v>
      </c>
      <c r="Q5057" s="19">
        <v>41</v>
      </c>
      <c r="R5057" s="14">
        <v>2000</v>
      </c>
      <c r="S5057" s="19">
        <v>82000</v>
      </c>
      <c r="T5057" s="17">
        <v>1</v>
      </c>
      <c r="U5057" s="17" t="s">
        <v>63</v>
      </c>
      <c r="V5057" s="17" t="s">
        <v>56</v>
      </c>
      <c r="W5057" s="4">
        <v>162</v>
      </c>
      <c r="Y5057" s="4" t="s">
        <v>450</v>
      </c>
      <c r="AE5057" s="17">
        <v>0.19444444444444445</v>
      </c>
      <c r="AF5057" s="14">
        <v>2</v>
      </c>
      <c r="AG5057" s="54">
        <v>162</v>
      </c>
      <c r="AH5057" s="11">
        <v>0.21</v>
      </c>
      <c r="AI5057" s="14">
        <v>8100</v>
      </c>
      <c r="AJ5057" s="19">
        <v>275561.99999999994</v>
      </c>
      <c r="AK5057" s="23">
        <v>19</v>
      </c>
      <c r="AL5057" s="11">
        <v>0.28000000000000003</v>
      </c>
      <c r="AM5057" s="19">
        <v>198404.63999999996</v>
      </c>
      <c r="AN5057" s="19">
        <v>215624.63999999996</v>
      </c>
      <c r="AP5057" s="14">
        <v>215624.63999999996</v>
      </c>
    </row>
    <row r="5058" spans="1:45" x14ac:dyDescent="0.2">
      <c r="Z5058" s="17">
        <v>31.5</v>
      </c>
      <c r="AF5058" s="14">
        <v>3</v>
      </c>
      <c r="AG5058" s="54">
        <v>162</v>
      </c>
      <c r="AH5058" s="11">
        <v>0.19</v>
      </c>
      <c r="AI5058" s="14">
        <v>8100</v>
      </c>
      <c r="AJ5058" s="19">
        <v>249318</v>
      </c>
      <c r="AK5058" s="23">
        <v>19</v>
      </c>
      <c r="AL5058" s="11">
        <v>0.28000000000000003</v>
      </c>
      <c r="AM5058" s="19">
        <v>179508.96</v>
      </c>
      <c r="AN5058" s="19">
        <v>195088.96</v>
      </c>
      <c r="AP5058" s="14">
        <v>195088.96</v>
      </c>
      <c r="AQ5058" s="12">
        <v>3.0000000000000001E-3</v>
      </c>
    </row>
    <row r="5059" spans="1:45" ht="63" x14ac:dyDescent="0.2">
      <c r="B5059" s="13">
        <v>2</v>
      </c>
      <c r="C5059" s="17" t="s">
        <v>65</v>
      </c>
      <c r="D5059" s="17">
        <v>3491</v>
      </c>
      <c r="E5059" s="17">
        <v>256</v>
      </c>
      <c r="H5059" s="17">
        <v>0</v>
      </c>
      <c r="I5059" s="17">
        <v>0</v>
      </c>
      <c r="J5059" s="17">
        <v>40</v>
      </c>
      <c r="O5059" s="14">
        <v>40</v>
      </c>
      <c r="P5059" s="17">
        <v>5</v>
      </c>
      <c r="Q5059" s="19">
        <v>40</v>
      </c>
      <c r="R5059" s="14" t="e">
        <v>#N/A</v>
      </c>
      <c r="S5059" s="19" t="e">
        <v>#N/A</v>
      </c>
      <c r="T5059" s="17">
        <v>1</v>
      </c>
      <c r="AF5059" s="14">
        <v>2</v>
      </c>
      <c r="AJ5059" s="19">
        <v>0</v>
      </c>
      <c r="AK5059" s="23">
        <v>0</v>
      </c>
      <c r="AM5059" s="19">
        <v>0</v>
      </c>
      <c r="AN5059" s="19" t="e">
        <v>#N/A</v>
      </c>
      <c r="AP5059" s="14" t="e">
        <v>#N/A</v>
      </c>
      <c r="AQ5059" s="12">
        <v>3.0000000000000001E-3</v>
      </c>
      <c r="AR5059" s="19">
        <v>720</v>
      </c>
    </row>
    <row r="5060" spans="1:45" x14ac:dyDescent="0.2">
      <c r="R5060" s="14" t="e">
        <v>#N/A</v>
      </c>
      <c r="AF5060" s="14">
        <v>3</v>
      </c>
    </row>
    <row r="5061" spans="1:45" x14ac:dyDescent="0.2">
      <c r="A5061" s="2">
        <v>4259</v>
      </c>
      <c r="B5061" s="13">
        <v>1</v>
      </c>
      <c r="C5061" s="17" t="s">
        <v>52</v>
      </c>
      <c r="D5061" s="17">
        <v>1639</v>
      </c>
      <c r="E5061" s="17">
        <v>14</v>
      </c>
      <c r="F5061" s="17">
        <v>1429</v>
      </c>
      <c r="G5061" s="13">
        <v>3</v>
      </c>
      <c r="H5061" s="17">
        <v>9</v>
      </c>
      <c r="I5061" s="17">
        <v>3</v>
      </c>
      <c r="J5061" s="17">
        <v>17</v>
      </c>
      <c r="K5061" s="10">
        <v>3917</v>
      </c>
      <c r="P5061" s="17">
        <v>1</v>
      </c>
      <c r="Q5061" s="19">
        <v>3917</v>
      </c>
      <c r="R5061" s="14">
        <v>160</v>
      </c>
      <c r="S5061" s="19">
        <v>626720</v>
      </c>
      <c r="AJ5061" s="19">
        <v>0</v>
      </c>
      <c r="AK5061" s="23">
        <v>0</v>
      </c>
      <c r="AM5061" s="19">
        <v>0</v>
      </c>
      <c r="AN5061" s="19">
        <v>626720</v>
      </c>
      <c r="AP5061" s="14">
        <v>626720</v>
      </c>
      <c r="AS5061" s="26">
        <v>29</v>
      </c>
    </row>
    <row r="5062" spans="1:45" x14ac:dyDescent="0.2">
      <c r="B5062" s="13">
        <v>1</v>
      </c>
      <c r="C5062" s="17" t="s">
        <v>52</v>
      </c>
      <c r="D5062" s="17">
        <v>15197</v>
      </c>
      <c r="E5062" s="17">
        <v>131</v>
      </c>
      <c r="F5062" s="17">
        <v>3512</v>
      </c>
      <c r="G5062" s="13">
        <v>3</v>
      </c>
      <c r="H5062" s="17">
        <v>0</v>
      </c>
      <c r="I5062" s="17">
        <v>0</v>
      </c>
      <c r="J5062" s="17">
        <v>44</v>
      </c>
      <c r="N5062" s="18">
        <v>44</v>
      </c>
      <c r="P5062" s="17">
        <v>4</v>
      </c>
      <c r="Q5062" s="19">
        <v>44</v>
      </c>
      <c r="R5062" s="14" t="e">
        <v>#N/A</v>
      </c>
      <c r="S5062" s="19" t="e">
        <v>#N/A</v>
      </c>
      <c r="AQ5062" s="12">
        <v>3.0000000000000001E-3</v>
      </c>
    </row>
    <row r="5063" spans="1:45" x14ac:dyDescent="0.2">
      <c r="B5063" s="13">
        <v>1</v>
      </c>
      <c r="C5063" s="17" t="s">
        <v>65</v>
      </c>
      <c r="D5063" s="17">
        <v>3492</v>
      </c>
      <c r="E5063" s="17">
        <v>257</v>
      </c>
      <c r="H5063" s="17">
        <v>0</v>
      </c>
      <c r="I5063" s="17">
        <v>0</v>
      </c>
      <c r="J5063" s="17">
        <v>40</v>
      </c>
      <c r="N5063" s="18">
        <v>40</v>
      </c>
      <c r="Q5063" s="19">
        <v>40</v>
      </c>
      <c r="R5063" s="14" t="e">
        <v>#N/A</v>
      </c>
      <c r="S5063" s="19" t="e">
        <v>#N/A</v>
      </c>
      <c r="AE5063" s="17" t="s">
        <v>451</v>
      </c>
      <c r="AJ5063" s="19">
        <v>0</v>
      </c>
      <c r="AK5063" s="23">
        <v>0</v>
      </c>
      <c r="AM5063" s="19">
        <v>0</v>
      </c>
      <c r="AN5063" s="19" t="e">
        <v>#N/A</v>
      </c>
      <c r="AP5063" s="14" t="e">
        <v>#N/A</v>
      </c>
      <c r="AQ5063" s="12">
        <v>3.0000000000000001E-3</v>
      </c>
      <c r="AS5063" s="26">
        <v>1</v>
      </c>
    </row>
    <row r="5064" spans="1:45" x14ac:dyDescent="0.2">
      <c r="A5064" s="2">
        <v>4260</v>
      </c>
      <c r="B5064" s="13">
        <v>1</v>
      </c>
      <c r="C5064" s="17" t="s">
        <v>52</v>
      </c>
      <c r="D5064" s="17">
        <v>2095</v>
      </c>
      <c r="E5064" s="17">
        <v>98</v>
      </c>
      <c r="F5064" s="17">
        <v>1585</v>
      </c>
      <c r="G5064" s="13">
        <v>3</v>
      </c>
      <c r="H5064" s="17">
        <v>0</v>
      </c>
      <c r="I5064" s="17">
        <v>3</v>
      </c>
      <c r="J5064" s="17">
        <v>71</v>
      </c>
      <c r="K5064" s="10">
        <v>371</v>
      </c>
      <c r="P5064" s="17">
        <v>1</v>
      </c>
      <c r="Q5064" s="19">
        <v>371</v>
      </c>
      <c r="R5064" s="14">
        <v>1000</v>
      </c>
      <c r="S5064" s="19">
        <v>371000</v>
      </c>
      <c r="AJ5064" s="19">
        <v>0</v>
      </c>
      <c r="AK5064" s="23">
        <v>0</v>
      </c>
      <c r="AM5064" s="19">
        <v>0</v>
      </c>
      <c r="AN5064" s="19">
        <v>371000</v>
      </c>
      <c r="AP5064" s="14">
        <v>371000</v>
      </c>
    </row>
    <row r="5065" spans="1:45" x14ac:dyDescent="0.2">
      <c r="A5065" s="2">
        <f>+A5064+1</f>
        <v>4261</v>
      </c>
      <c r="B5065" s="13">
        <v>2</v>
      </c>
      <c r="C5065" s="17" t="s">
        <v>52</v>
      </c>
      <c r="D5065" s="17">
        <v>36939</v>
      </c>
      <c r="E5065" s="17">
        <v>168</v>
      </c>
      <c r="F5065" s="17">
        <v>7110</v>
      </c>
      <c r="G5065" s="13">
        <v>3</v>
      </c>
      <c r="H5065" s="17">
        <v>0</v>
      </c>
      <c r="I5065" s="17">
        <v>1</v>
      </c>
      <c r="J5065" s="17">
        <v>4</v>
      </c>
      <c r="N5065" s="18">
        <v>104</v>
      </c>
      <c r="P5065" s="17">
        <v>4</v>
      </c>
      <c r="Q5065" s="19">
        <v>104</v>
      </c>
      <c r="R5065" s="14">
        <v>1500</v>
      </c>
      <c r="S5065" s="19">
        <v>156000</v>
      </c>
      <c r="AJ5065" s="19">
        <v>0</v>
      </c>
      <c r="AK5065" s="23">
        <v>0</v>
      </c>
      <c r="AM5065" s="19">
        <v>0</v>
      </c>
      <c r="AN5065" s="19">
        <v>156000</v>
      </c>
      <c r="AP5065" s="14">
        <v>156000</v>
      </c>
    </row>
    <row r="5066" spans="1:45" x14ac:dyDescent="0.2">
      <c r="A5066" s="122">
        <f>+A5065+1</f>
        <v>4262</v>
      </c>
      <c r="B5066" s="13">
        <v>1</v>
      </c>
      <c r="C5066" s="17" t="s">
        <v>52</v>
      </c>
      <c r="D5066" s="17">
        <v>15195</v>
      </c>
      <c r="E5066" s="17">
        <v>129</v>
      </c>
      <c r="F5066" s="17">
        <v>3510</v>
      </c>
      <c r="G5066" s="13">
        <v>3</v>
      </c>
      <c r="H5066" s="17">
        <v>0</v>
      </c>
      <c r="I5066" s="17">
        <v>0</v>
      </c>
      <c r="J5066" s="17">
        <v>89</v>
      </c>
      <c r="O5066" s="14">
        <v>89</v>
      </c>
      <c r="P5066" s="17">
        <v>5</v>
      </c>
      <c r="Q5066" s="19">
        <v>89</v>
      </c>
      <c r="R5066" s="14">
        <v>2000</v>
      </c>
      <c r="S5066" s="19">
        <v>178000</v>
      </c>
      <c r="AE5066" s="17">
        <v>0.44444444444444442</v>
      </c>
      <c r="AS5066" s="26">
        <v>3120</v>
      </c>
    </row>
    <row r="5067" spans="1:45" ht="63" x14ac:dyDescent="0.2">
      <c r="T5067" s="17">
        <v>1</v>
      </c>
      <c r="U5067" s="17" t="s">
        <v>57</v>
      </c>
      <c r="V5067" s="17" t="s">
        <v>56</v>
      </c>
      <c r="W5067" s="4">
        <v>324</v>
      </c>
      <c r="Y5067" s="4" t="s">
        <v>453</v>
      </c>
      <c r="AF5067" s="14">
        <v>2</v>
      </c>
      <c r="AG5067" s="54">
        <v>324</v>
      </c>
      <c r="AH5067" s="11">
        <v>0.56000000000000005</v>
      </c>
      <c r="AI5067" s="14">
        <v>7250</v>
      </c>
      <c r="AJ5067" s="19">
        <v>1315440.0000000002</v>
      </c>
      <c r="AK5067" s="23">
        <v>13</v>
      </c>
      <c r="AL5067" s="11">
        <v>0.16</v>
      </c>
      <c r="AM5067" s="19">
        <v>1104969.6000000001</v>
      </c>
      <c r="AN5067" s="19">
        <v>1104969.6000000001</v>
      </c>
      <c r="AP5067" s="14">
        <v>1104969.6000000001</v>
      </c>
    </row>
    <row r="5068" spans="1:45" x14ac:dyDescent="0.2">
      <c r="Z5068" s="17">
        <v>180</v>
      </c>
      <c r="AF5068" s="14">
        <v>3</v>
      </c>
      <c r="AG5068" s="54">
        <v>324</v>
      </c>
      <c r="AH5068" s="11">
        <v>0.44</v>
      </c>
      <c r="AI5068" s="14">
        <v>7250</v>
      </c>
      <c r="AJ5068" s="19">
        <v>1033560</v>
      </c>
      <c r="AK5068" s="23">
        <v>13</v>
      </c>
      <c r="AL5068" s="11">
        <v>0.16</v>
      </c>
      <c r="AM5068" s="19">
        <v>868190.4</v>
      </c>
      <c r="AN5068" s="19">
        <v>946510.4</v>
      </c>
      <c r="AP5068" s="14">
        <v>946510.4</v>
      </c>
      <c r="AQ5068" s="12">
        <v>3.0000000000000001E-3</v>
      </c>
    </row>
    <row r="5069" spans="1:45" x14ac:dyDescent="0.2">
      <c r="A5069" s="2">
        <v>4263</v>
      </c>
      <c r="C5069" s="17" t="s">
        <v>52</v>
      </c>
      <c r="D5069" s="17">
        <v>16676</v>
      </c>
      <c r="E5069" s="17">
        <v>11</v>
      </c>
      <c r="F5069" s="17">
        <v>3704</v>
      </c>
      <c r="G5069" s="13">
        <v>3</v>
      </c>
      <c r="H5069" s="17">
        <v>5</v>
      </c>
      <c r="I5069" s="17">
        <v>0</v>
      </c>
      <c r="J5069" s="17">
        <v>18</v>
      </c>
      <c r="K5069" s="10">
        <v>2018</v>
      </c>
      <c r="P5069" s="17">
        <v>1</v>
      </c>
      <c r="Q5069" s="19">
        <v>2018</v>
      </c>
      <c r="R5069" s="14">
        <v>160</v>
      </c>
      <c r="S5069" s="19">
        <v>322880</v>
      </c>
    </row>
    <row r="5070" spans="1:45" ht="63" x14ac:dyDescent="0.2">
      <c r="A5070" s="2">
        <f>+A5069+1</f>
        <v>4264</v>
      </c>
      <c r="B5070" s="13">
        <v>2</v>
      </c>
      <c r="C5070" s="17" t="s">
        <v>52</v>
      </c>
      <c r="D5070" s="17">
        <v>23860</v>
      </c>
      <c r="E5070" s="17">
        <v>13</v>
      </c>
      <c r="F5070" s="17">
        <v>4817</v>
      </c>
      <c r="G5070" s="13">
        <v>3</v>
      </c>
      <c r="H5070" s="17">
        <v>0</v>
      </c>
      <c r="I5070" s="17">
        <v>1</v>
      </c>
      <c r="J5070" s="17">
        <v>14</v>
      </c>
      <c r="L5070" s="17">
        <v>114</v>
      </c>
      <c r="P5070" s="17">
        <v>2</v>
      </c>
      <c r="Q5070" s="19">
        <v>114</v>
      </c>
      <c r="R5070" s="14">
        <v>200</v>
      </c>
      <c r="S5070" s="19">
        <v>22800</v>
      </c>
      <c r="AJ5070" s="19">
        <v>0</v>
      </c>
      <c r="AK5070" s="23">
        <v>0</v>
      </c>
      <c r="AM5070" s="19">
        <v>0</v>
      </c>
      <c r="AN5070" s="19">
        <v>22800</v>
      </c>
      <c r="AP5070" s="14">
        <v>22800</v>
      </c>
      <c r="AR5070" s="19">
        <v>3120</v>
      </c>
    </row>
    <row r="5071" spans="1:45" x14ac:dyDescent="0.2">
      <c r="A5071" s="122">
        <f t="shared" ref="A5071:A5075" si="571">+A5070+1</f>
        <v>4265</v>
      </c>
      <c r="B5071" s="13">
        <v>3</v>
      </c>
      <c r="C5071" s="17" t="s">
        <v>52</v>
      </c>
      <c r="D5071" s="17">
        <v>36940</v>
      </c>
      <c r="E5071" s="17">
        <v>169</v>
      </c>
      <c r="F5071" s="17">
        <v>7111</v>
      </c>
      <c r="G5071" s="13">
        <v>3</v>
      </c>
      <c r="H5071" s="17">
        <v>0</v>
      </c>
      <c r="I5071" s="17">
        <v>1</v>
      </c>
      <c r="J5071" s="17">
        <v>5</v>
      </c>
      <c r="Q5071" s="19">
        <v>105</v>
      </c>
      <c r="R5071" s="14">
        <v>1500</v>
      </c>
      <c r="S5071" s="19">
        <v>157500</v>
      </c>
      <c r="AJ5071" s="19">
        <v>0</v>
      </c>
      <c r="AK5071" s="23">
        <v>0</v>
      </c>
      <c r="AM5071" s="19">
        <v>0</v>
      </c>
      <c r="AN5071" s="19">
        <v>157500</v>
      </c>
      <c r="AP5071" s="14">
        <v>157500</v>
      </c>
    </row>
    <row r="5072" spans="1:45" x14ac:dyDescent="0.2">
      <c r="A5072" s="122">
        <f t="shared" si="571"/>
        <v>4266</v>
      </c>
      <c r="B5072" s="13">
        <v>4</v>
      </c>
      <c r="C5072" s="17" t="s">
        <v>65</v>
      </c>
      <c r="D5072" s="17">
        <v>1336</v>
      </c>
      <c r="E5072" s="17">
        <v>50</v>
      </c>
      <c r="H5072" s="17">
        <v>4</v>
      </c>
      <c r="I5072" s="17">
        <v>2</v>
      </c>
      <c r="J5072" s="17">
        <v>66</v>
      </c>
      <c r="K5072" s="10">
        <v>1866</v>
      </c>
      <c r="P5072" s="17">
        <v>1</v>
      </c>
      <c r="Q5072" s="19">
        <v>1866</v>
      </c>
      <c r="R5072" s="14">
        <v>160</v>
      </c>
      <c r="S5072" s="19">
        <v>298560</v>
      </c>
      <c r="AJ5072" s="19">
        <v>0</v>
      </c>
      <c r="AK5072" s="23">
        <v>0</v>
      </c>
      <c r="AM5072" s="19">
        <v>0</v>
      </c>
      <c r="AN5072" s="19">
        <v>298560</v>
      </c>
      <c r="AP5072" s="14">
        <v>298560</v>
      </c>
      <c r="AQ5072" s="12">
        <v>1E-4</v>
      </c>
    </row>
    <row r="5073" spans="1:45" x14ac:dyDescent="0.2">
      <c r="A5073" s="122">
        <f t="shared" si="571"/>
        <v>4267</v>
      </c>
      <c r="B5073" s="13">
        <v>5</v>
      </c>
      <c r="C5073" s="17" t="s">
        <v>65</v>
      </c>
      <c r="D5073" s="17">
        <v>3490</v>
      </c>
      <c r="E5073" s="17">
        <v>255</v>
      </c>
      <c r="H5073" s="17">
        <v>0</v>
      </c>
      <c r="I5073" s="17">
        <v>0</v>
      </c>
      <c r="J5073" s="17">
        <v>80</v>
      </c>
      <c r="N5073" s="18">
        <v>80</v>
      </c>
      <c r="Q5073" s="19">
        <v>80</v>
      </c>
      <c r="R5073" s="14">
        <v>750</v>
      </c>
      <c r="S5073" s="19">
        <v>60000</v>
      </c>
      <c r="AE5073" s="17" t="s">
        <v>95</v>
      </c>
      <c r="AJ5073" s="19">
        <v>0</v>
      </c>
      <c r="AK5073" s="23">
        <v>0</v>
      </c>
      <c r="AM5073" s="19">
        <v>0</v>
      </c>
      <c r="AN5073" s="19">
        <v>60000</v>
      </c>
      <c r="AP5073" s="14">
        <v>60000</v>
      </c>
      <c r="AQ5073" s="12">
        <v>3.0000000000000001E-3</v>
      </c>
    </row>
    <row r="5074" spans="1:45" ht="42" x14ac:dyDescent="0.2">
      <c r="A5074" s="122">
        <f t="shared" si="571"/>
        <v>4268</v>
      </c>
      <c r="B5074" s="13">
        <v>1</v>
      </c>
      <c r="C5074" s="17" t="s">
        <v>52</v>
      </c>
      <c r="D5074" s="17">
        <v>2220</v>
      </c>
      <c r="E5074" s="17">
        <v>24</v>
      </c>
      <c r="F5074" s="17">
        <v>1834</v>
      </c>
      <c r="G5074" s="13">
        <v>3</v>
      </c>
      <c r="H5074" s="17">
        <v>6</v>
      </c>
      <c r="I5074" s="17">
        <v>0</v>
      </c>
      <c r="J5074" s="17">
        <v>75</v>
      </c>
      <c r="K5074" s="10">
        <v>2475</v>
      </c>
      <c r="P5074" s="17">
        <v>1</v>
      </c>
      <c r="Q5074" s="19">
        <v>2475</v>
      </c>
      <c r="R5074" s="14">
        <v>500</v>
      </c>
      <c r="S5074" s="19">
        <v>1237500</v>
      </c>
      <c r="AD5074" s="14" t="s">
        <v>454</v>
      </c>
      <c r="AJ5074" s="19">
        <v>0</v>
      </c>
      <c r="AK5074" s="23">
        <v>0</v>
      </c>
      <c r="AM5074" s="19">
        <v>0</v>
      </c>
      <c r="AN5074" s="19">
        <v>1237500</v>
      </c>
      <c r="AP5074" s="14">
        <v>1237500</v>
      </c>
      <c r="AS5074" s="26">
        <v>21</v>
      </c>
    </row>
    <row r="5075" spans="1:45" x14ac:dyDescent="0.2">
      <c r="A5075" s="122">
        <f t="shared" si="571"/>
        <v>4269</v>
      </c>
      <c r="B5075" s="13">
        <v>2</v>
      </c>
      <c r="C5075" s="17" t="s">
        <v>52</v>
      </c>
      <c r="D5075" s="17">
        <v>36941</v>
      </c>
      <c r="E5075" s="17">
        <v>170</v>
      </c>
      <c r="F5075" s="17">
        <v>7112</v>
      </c>
      <c r="G5075" s="13">
        <v>3</v>
      </c>
      <c r="H5075" s="17">
        <v>0</v>
      </c>
      <c r="I5075" s="17">
        <v>1</v>
      </c>
      <c r="J5075" s="17">
        <v>6</v>
      </c>
      <c r="N5075" s="18">
        <v>106</v>
      </c>
      <c r="P5075" s="17">
        <v>4</v>
      </c>
      <c r="Q5075" s="19">
        <v>106</v>
      </c>
      <c r="R5075" s="14">
        <v>1500</v>
      </c>
      <c r="S5075" s="19">
        <v>159000</v>
      </c>
      <c r="AJ5075" s="19">
        <v>0</v>
      </c>
      <c r="AK5075" s="23">
        <v>0</v>
      </c>
      <c r="AM5075" s="19">
        <v>0</v>
      </c>
      <c r="AN5075" s="19">
        <v>159000</v>
      </c>
      <c r="AP5075" s="14">
        <v>159000</v>
      </c>
      <c r="AQ5075" s="12">
        <v>3.0000000000000001E-3</v>
      </c>
    </row>
    <row r="5076" spans="1:45" x14ac:dyDescent="0.2">
      <c r="B5076" s="13">
        <v>3</v>
      </c>
      <c r="C5076" s="17" t="s">
        <v>52</v>
      </c>
      <c r="D5076" s="17">
        <v>15198</v>
      </c>
      <c r="E5076" s="17">
        <v>128</v>
      </c>
      <c r="F5076" s="17">
        <v>3513</v>
      </c>
      <c r="H5076" s="17">
        <v>0</v>
      </c>
      <c r="I5076" s="17">
        <v>0</v>
      </c>
      <c r="J5076" s="17">
        <v>61</v>
      </c>
      <c r="L5076" s="17">
        <v>61</v>
      </c>
      <c r="P5076" s="17">
        <v>2</v>
      </c>
      <c r="Q5076" s="19">
        <v>61</v>
      </c>
      <c r="R5076" s="14" t="e">
        <v>#N/A</v>
      </c>
      <c r="S5076" s="19" t="e">
        <v>#N/A</v>
      </c>
      <c r="AJ5076" s="19">
        <v>0</v>
      </c>
      <c r="AK5076" s="23">
        <v>0</v>
      </c>
      <c r="AM5076" s="19">
        <v>0</v>
      </c>
      <c r="AN5076" s="19" t="e">
        <v>#N/A</v>
      </c>
      <c r="AP5076" s="14" t="e">
        <v>#N/A</v>
      </c>
    </row>
    <row r="5077" spans="1:45" ht="63" x14ac:dyDescent="0.2">
      <c r="A5077" s="2">
        <v>4270</v>
      </c>
      <c r="B5077" s="13">
        <v>1</v>
      </c>
      <c r="C5077" s="17" t="s">
        <v>52</v>
      </c>
      <c r="D5077" s="17">
        <v>36937</v>
      </c>
      <c r="E5077" s="17">
        <v>166</v>
      </c>
      <c r="F5077" s="17">
        <v>7108</v>
      </c>
      <c r="G5077" s="13">
        <v>3</v>
      </c>
      <c r="H5077" s="17">
        <v>0</v>
      </c>
      <c r="I5077" s="17">
        <v>1</v>
      </c>
      <c r="J5077" s="17">
        <v>2</v>
      </c>
      <c r="L5077" s="17">
        <v>102</v>
      </c>
      <c r="P5077" s="17">
        <v>2</v>
      </c>
      <c r="Q5077" s="19">
        <v>102</v>
      </c>
      <c r="R5077" s="14">
        <v>1500</v>
      </c>
      <c r="S5077" s="19">
        <v>153000</v>
      </c>
      <c r="U5077" s="17" t="s">
        <v>57</v>
      </c>
      <c r="V5077" s="17" t="s">
        <v>56</v>
      </c>
      <c r="W5077" s="4">
        <v>185</v>
      </c>
      <c r="Y5077" s="4" t="s">
        <v>455</v>
      </c>
      <c r="AB5077" s="17">
        <v>1</v>
      </c>
      <c r="AE5077" s="17" t="s">
        <v>456</v>
      </c>
      <c r="AF5077" s="14">
        <v>2</v>
      </c>
      <c r="AG5077" s="54">
        <v>185</v>
      </c>
      <c r="AH5077" s="11">
        <v>1</v>
      </c>
      <c r="AI5077" s="14">
        <v>7250</v>
      </c>
      <c r="AJ5077" s="19">
        <v>1341250</v>
      </c>
      <c r="AK5077" s="23">
        <v>1</v>
      </c>
      <c r="AL5077" s="11">
        <v>0.01</v>
      </c>
      <c r="AM5077" s="19">
        <v>1327837.5</v>
      </c>
      <c r="AN5077" s="19">
        <v>1480837.5</v>
      </c>
      <c r="AP5077" s="14">
        <v>1480837.5</v>
      </c>
      <c r="AQ5077" s="12">
        <v>2.0000000000000001E-4</v>
      </c>
    </row>
    <row r="5078" spans="1:45" x14ac:dyDescent="0.2">
      <c r="A5078" s="2">
        <f>+A5077+1</f>
        <v>4271</v>
      </c>
      <c r="B5078" s="13">
        <v>1</v>
      </c>
      <c r="C5078" s="17" t="s">
        <v>52</v>
      </c>
      <c r="D5078" s="17">
        <v>36944</v>
      </c>
      <c r="E5078" s="17">
        <v>173</v>
      </c>
      <c r="F5078" s="17">
        <v>7115</v>
      </c>
      <c r="G5078" s="13">
        <v>3</v>
      </c>
      <c r="H5078" s="17">
        <v>0</v>
      </c>
      <c r="I5078" s="17">
        <v>1</v>
      </c>
      <c r="J5078" s="17">
        <v>12</v>
      </c>
      <c r="N5078" s="18">
        <v>112</v>
      </c>
      <c r="P5078" s="17">
        <v>4</v>
      </c>
      <c r="Q5078" s="19">
        <v>112</v>
      </c>
      <c r="R5078" s="14">
        <v>1500</v>
      </c>
      <c r="S5078" s="19">
        <v>168000</v>
      </c>
      <c r="AJ5078" s="19">
        <v>0</v>
      </c>
      <c r="AK5078" s="23">
        <v>0</v>
      </c>
      <c r="AM5078" s="19">
        <v>0</v>
      </c>
      <c r="AN5078" s="19">
        <v>168000</v>
      </c>
      <c r="AP5078" s="14">
        <v>168000</v>
      </c>
      <c r="AQ5078" s="12">
        <v>3.0000000000000001E-3</v>
      </c>
    </row>
    <row r="5079" spans="1:45" x14ac:dyDescent="0.2">
      <c r="A5079" s="122">
        <f t="shared" ref="A5079:A5098" si="572">+A5078+1</f>
        <v>4272</v>
      </c>
      <c r="B5079" s="13">
        <v>2</v>
      </c>
      <c r="C5079" s="17" t="s">
        <v>52</v>
      </c>
      <c r="D5079" s="17">
        <v>36947</v>
      </c>
      <c r="E5079" s="17">
        <v>42</v>
      </c>
      <c r="F5079" s="17">
        <v>7118</v>
      </c>
      <c r="G5079" s="13">
        <v>3</v>
      </c>
      <c r="H5079" s="17">
        <v>3</v>
      </c>
      <c r="I5079" s="17">
        <v>3</v>
      </c>
      <c r="J5079" s="17">
        <v>64</v>
      </c>
      <c r="Q5079" s="19">
        <v>1564</v>
      </c>
      <c r="R5079" s="14">
        <v>160</v>
      </c>
      <c r="S5079" s="19">
        <v>250240</v>
      </c>
      <c r="AJ5079" s="19">
        <v>0</v>
      </c>
      <c r="AK5079" s="23">
        <v>0</v>
      </c>
      <c r="AM5079" s="19">
        <v>0</v>
      </c>
      <c r="AN5079" s="19">
        <v>250240</v>
      </c>
      <c r="AP5079" s="14">
        <v>250240</v>
      </c>
    </row>
    <row r="5080" spans="1:45" x14ac:dyDescent="0.2">
      <c r="A5080" s="122">
        <f t="shared" si="572"/>
        <v>4273</v>
      </c>
      <c r="B5080" s="13">
        <v>1</v>
      </c>
      <c r="C5080" s="17" t="s">
        <v>52</v>
      </c>
      <c r="D5080" s="17">
        <v>36938</v>
      </c>
      <c r="E5080" s="17">
        <v>167</v>
      </c>
      <c r="F5080" s="17">
        <v>7109</v>
      </c>
      <c r="G5080" s="13">
        <v>3</v>
      </c>
      <c r="H5080" s="17">
        <v>0</v>
      </c>
      <c r="I5080" s="17">
        <v>1</v>
      </c>
      <c r="J5080" s="17">
        <v>3</v>
      </c>
      <c r="N5080" s="18">
        <v>103</v>
      </c>
      <c r="P5080" s="17">
        <v>4</v>
      </c>
      <c r="Q5080" s="19">
        <v>103</v>
      </c>
      <c r="R5080" s="14">
        <v>1500</v>
      </c>
      <c r="S5080" s="19">
        <v>154500</v>
      </c>
      <c r="AJ5080" s="19">
        <v>0</v>
      </c>
      <c r="AK5080" s="23">
        <v>0</v>
      </c>
      <c r="AM5080" s="19">
        <v>0</v>
      </c>
      <c r="AN5080" s="19">
        <v>154500</v>
      </c>
      <c r="AP5080" s="14">
        <v>154500</v>
      </c>
      <c r="AQ5080" s="12">
        <v>3.0000000000000001E-3</v>
      </c>
    </row>
    <row r="5081" spans="1:45" x14ac:dyDescent="0.2">
      <c r="A5081" s="122">
        <f t="shared" si="572"/>
        <v>4274</v>
      </c>
      <c r="B5081" s="13">
        <v>2</v>
      </c>
      <c r="C5081" s="17" t="s">
        <v>52</v>
      </c>
      <c r="D5081" s="17">
        <v>1517</v>
      </c>
      <c r="E5081" s="17">
        <v>19</v>
      </c>
      <c r="F5081" s="17">
        <v>1116</v>
      </c>
      <c r="H5081" s="17">
        <v>6</v>
      </c>
      <c r="I5081" s="17">
        <v>0</v>
      </c>
      <c r="J5081" s="17">
        <v>47</v>
      </c>
      <c r="K5081" s="10">
        <v>2447</v>
      </c>
      <c r="P5081" s="17">
        <v>1</v>
      </c>
      <c r="Q5081" s="19">
        <v>2447</v>
      </c>
      <c r="R5081" s="14">
        <v>160</v>
      </c>
      <c r="S5081" s="19">
        <v>391520</v>
      </c>
      <c r="AJ5081" s="19">
        <v>0</v>
      </c>
      <c r="AK5081" s="23">
        <v>0</v>
      </c>
      <c r="AM5081" s="19">
        <v>0</v>
      </c>
      <c r="AN5081" s="19">
        <v>391520</v>
      </c>
      <c r="AP5081" s="14">
        <v>391520</v>
      </c>
    </row>
    <row r="5082" spans="1:45" x14ac:dyDescent="0.2">
      <c r="A5082" s="122">
        <f t="shared" si="572"/>
        <v>4275</v>
      </c>
      <c r="B5082" s="13">
        <v>3</v>
      </c>
      <c r="C5082" s="17" t="s">
        <v>52</v>
      </c>
      <c r="D5082" s="17">
        <v>1779</v>
      </c>
      <c r="E5082" s="17">
        <v>37</v>
      </c>
      <c r="F5082" s="17">
        <v>1129</v>
      </c>
      <c r="H5082" s="17">
        <v>1</v>
      </c>
      <c r="I5082" s="17">
        <v>2</v>
      </c>
      <c r="J5082" s="17">
        <v>90</v>
      </c>
      <c r="K5082" s="10">
        <v>690</v>
      </c>
      <c r="P5082" s="17">
        <v>1</v>
      </c>
      <c r="Q5082" s="19">
        <v>690</v>
      </c>
      <c r="R5082" s="14">
        <v>160</v>
      </c>
      <c r="S5082" s="19">
        <v>110400</v>
      </c>
      <c r="AJ5082" s="19">
        <v>0</v>
      </c>
      <c r="AK5082" s="23">
        <v>0</v>
      </c>
      <c r="AM5082" s="19">
        <v>0</v>
      </c>
      <c r="AN5082" s="19">
        <v>110400</v>
      </c>
      <c r="AP5082" s="14">
        <v>110400</v>
      </c>
    </row>
    <row r="5083" spans="1:45" x14ac:dyDescent="0.2">
      <c r="A5083" s="122">
        <f t="shared" si="572"/>
        <v>4276</v>
      </c>
      <c r="B5083" s="13">
        <v>1</v>
      </c>
      <c r="C5083" s="17" t="s">
        <v>52</v>
      </c>
      <c r="D5083" s="17">
        <v>2289</v>
      </c>
      <c r="E5083" s="17">
        <v>93</v>
      </c>
      <c r="F5083" s="17">
        <v>1780</v>
      </c>
      <c r="G5083" s="13">
        <v>3</v>
      </c>
      <c r="H5083" s="17">
        <v>0</v>
      </c>
      <c r="I5083" s="17">
        <v>0</v>
      </c>
      <c r="J5083" s="17">
        <v>65</v>
      </c>
      <c r="N5083" s="18">
        <v>65</v>
      </c>
      <c r="P5083" s="17">
        <v>4</v>
      </c>
      <c r="Q5083" s="19">
        <v>65</v>
      </c>
      <c r="R5083" s="14">
        <v>2000</v>
      </c>
      <c r="S5083" s="19">
        <v>130000</v>
      </c>
      <c r="AJ5083" s="19">
        <v>0</v>
      </c>
      <c r="AK5083" s="23">
        <v>0</v>
      </c>
      <c r="AM5083" s="19">
        <v>0</v>
      </c>
      <c r="AN5083" s="19">
        <v>130000</v>
      </c>
      <c r="AP5083" s="14">
        <v>130000</v>
      </c>
      <c r="AQ5083" s="12">
        <v>3.0000000000000001E-3</v>
      </c>
    </row>
    <row r="5084" spans="1:45" x14ac:dyDescent="0.2">
      <c r="A5084" s="122">
        <f t="shared" si="572"/>
        <v>4277</v>
      </c>
      <c r="B5084" s="13">
        <v>2</v>
      </c>
      <c r="C5084" s="17" t="s">
        <v>52</v>
      </c>
      <c r="D5084" s="17">
        <v>36945</v>
      </c>
      <c r="E5084" s="17">
        <v>174</v>
      </c>
      <c r="F5084" s="17">
        <v>7116</v>
      </c>
      <c r="G5084" s="13">
        <v>3</v>
      </c>
      <c r="H5084" s="17">
        <v>0</v>
      </c>
      <c r="I5084" s="17">
        <v>3</v>
      </c>
      <c r="J5084" s="17">
        <v>54</v>
      </c>
      <c r="K5084" s="10">
        <v>354</v>
      </c>
      <c r="P5084" s="17">
        <v>1</v>
      </c>
      <c r="Q5084" s="19">
        <v>354</v>
      </c>
      <c r="R5084" s="14">
        <v>1500</v>
      </c>
      <c r="S5084" s="19">
        <v>531000</v>
      </c>
      <c r="AJ5084" s="19">
        <v>0</v>
      </c>
      <c r="AK5084" s="23">
        <v>0</v>
      </c>
      <c r="AM5084" s="19">
        <v>0</v>
      </c>
      <c r="AN5084" s="19">
        <v>531000</v>
      </c>
      <c r="AP5084" s="14">
        <v>531000</v>
      </c>
    </row>
    <row r="5085" spans="1:45" x14ac:dyDescent="0.2">
      <c r="A5085" s="122">
        <f t="shared" si="572"/>
        <v>4278</v>
      </c>
      <c r="B5085" s="13">
        <v>3</v>
      </c>
      <c r="C5085" s="17" t="s">
        <v>52</v>
      </c>
      <c r="D5085" s="17">
        <v>36948</v>
      </c>
      <c r="E5085" s="17">
        <v>43</v>
      </c>
      <c r="F5085" s="17">
        <v>7119</v>
      </c>
      <c r="G5085" s="13">
        <v>3</v>
      </c>
      <c r="H5085" s="17">
        <v>12</v>
      </c>
      <c r="I5085" s="17">
        <v>1</v>
      </c>
      <c r="J5085" s="17">
        <v>90</v>
      </c>
      <c r="K5085" s="10">
        <v>4990</v>
      </c>
      <c r="P5085" s="17">
        <v>1</v>
      </c>
      <c r="Q5085" s="19">
        <v>4990</v>
      </c>
      <c r="R5085" s="14">
        <v>160</v>
      </c>
      <c r="S5085" s="19">
        <v>798400</v>
      </c>
      <c r="AJ5085" s="19">
        <v>0</v>
      </c>
      <c r="AK5085" s="23">
        <v>0</v>
      </c>
      <c r="AM5085" s="19">
        <v>0</v>
      </c>
      <c r="AN5085" s="19">
        <v>798400</v>
      </c>
      <c r="AP5085" s="14">
        <v>798400</v>
      </c>
    </row>
    <row r="5086" spans="1:45" x14ac:dyDescent="0.2">
      <c r="A5086" s="122">
        <f t="shared" si="572"/>
        <v>4279</v>
      </c>
      <c r="B5086" s="13">
        <v>4</v>
      </c>
      <c r="C5086" s="17" t="s">
        <v>52</v>
      </c>
      <c r="D5086" s="17">
        <v>2035</v>
      </c>
      <c r="E5086" s="17">
        <v>16</v>
      </c>
      <c r="F5086" s="17">
        <v>1111</v>
      </c>
      <c r="H5086" s="17">
        <v>2</v>
      </c>
      <c r="I5086" s="17">
        <v>0</v>
      </c>
      <c r="J5086" s="17">
        <v>50</v>
      </c>
      <c r="K5086" s="10">
        <v>850</v>
      </c>
      <c r="P5086" s="17">
        <v>1</v>
      </c>
      <c r="Q5086" s="19">
        <v>850</v>
      </c>
      <c r="R5086" s="14">
        <v>160</v>
      </c>
      <c r="S5086" s="19">
        <v>136000</v>
      </c>
      <c r="AJ5086" s="19">
        <v>0</v>
      </c>
      <c r="AK5086" s="23">
        <v>0</v>
      </c>
      <c r="AM5086" s="19">
        <v>0</v>
      </c>
      <c r="AN5086" s="19">
        <v>136000</v>
      </c>
      <c r="AP5086" s="14">
        <v>136000</v>
      </c>
    </row>
    <row r="5087" spans="1:45" x14ac:dyDescent="0.2">
      <c r="A5087" s="122">
        <f t="shared" si="572"/>
        <v>4280</v>
      </c>
      <c r="B5087" s="13">
        <v>5</v>
      </c>
      <c r="C5087" s="17" t="s">
        <v>52</v>
      </c>
      <c r="D5087" s="17">
        <v>15167</v>
      </c>
      <c r="E5087" s="17">
        <v>201</v>
      </c>
      <c r="F5087" s="17">
        <v>3388</v>
      </c>
      <c r="H5087" s="17">
        <v>1</v>
      </c>
      <c r="I5087" s="17">
        <v>3</v>
      </c>
      <c r="J5087" s="17">
        <v>64</v>
      </c>
      <c r="K5087" s="10">
        <v>764</v>
      </c>
      <c r="P5087" s="17">
        <v>1</v>
      </c>
      <c r="Q5087" s="19">
        <v>764</v>
      </c>
      <c r="R5087" s="14">
        <v>160</v>
      </c>
      <c r="S5087" s="19">
        <v>122240</v>
      </c>
      <c r="AJ5087" s="19">
        <v>0</v>
      </c>
      <c r="AK5087" s="23">
        <v>0</v>
      </c>
      <c r="AM5087" s="19">
        <v>0</v>
      </c>
      <c r="AN5087" s="19">
        <v>122240</v>
      </c>
      <c r="AP5087" s="14">
        <v>122240</v>
      </c>
    </row>
    <row r="5088" spans="1:45" x14ac:dyDescent="0.2">
      <c r="A5088" s="122">
        <f t="shared" si="572"/>
        <v>4281</v>
      </c>
      <c r="B5088" s="13">
        <v>6</v>
      </c>
      <c r="C5088" s="17" t="s">
        <v>65</v>
      </c>
      <c r="D5088" s="17">
        <v>426</v>
      </c>
      <c r="E5088" s="17">
        <v>88</v>
      </c>
      <c r="H5088" s="17">
        <v>5</v>
      </c>
      <c r="I5088" s="17">
        <v>2</v>
      </c>
      <c r="J5088" s="17">
        <v>0</v>
      </c>
      <c r="K5088" s="10">
        <v>2200</v>
      </c>
      <c r="P5088" s="17">
        <v>1</v>
      </c>
      <c r="Q5088" s="19">
        <v>2200</v>
      </c>
      <c r="R5088" s="14">
        <v>160</v>
      </c>
      <c r="S5088" s="19">
        <v>352000</v>
      </c>
      <c r="AJ5088" s="19">
        <v>0</v>
      </c>
      <c r="AK5088" s="23">
        <v>0</v>
      </c>
      <c r="AM5088" s="19">
        <v>0</v>
      </c>
      <c r="AN5088" s="19">
        <v>352000</v>
      </c>
      <c r="AP5088" s="14">
        <v>352000</v>
      </c>
      <c r="AQ5088" s="12">
        <v>1E-4</v>
      </c>
    </row>
    <row r="5089" spans="1:45" x14ac:dyDescent="0.2">
      <c r="A5089" s="122">
        <f t="shared" si="572"/>
        <v>4282</v>
      </c>
      <c r="B5089" s="13">
        <v>7</v>
      </c>
      <c r="C5089" s="17" t="s">
        <v>65</v>
      </c>
      <c r="D5089" s="17">
        <v>429</v>
      </c>
      <c r="E5089" s="17">
        <v>91</v>
      </c>
      <c r="H5089" s="17">
        <v>8</v>
      </c>
      <c r="I5089" s="17">
        <v>1</v>
      </c>
      <c r="J5089" s="17">
        <v>43</v>
      </c>
      <c r="K5089" s="10">
        <v>3343</v>
      </c>
      <c r="P5089" s="17">
        <v>1</v>
      </c>
      <c r="Q5089" s="19">
        <v>3343</v>
      </c>
      <c r="R5089" s="14">
        <v>160</v>
      </c>
      <c r="S5089" s="19">
        <v>534880</v>
      </c>
      <c r="AJ5089" s="19">
        <v>0</v>
      </c>
      <c r="AK5089" s="23">
        <v>0</v>
      </c>
      <c r="AM5089" s="19">
        <v>0</v>
      </c>
      <c r="AN5089" s="19">
        <v>534880</v>
      </c>
      <c r="AP5089" s="14">
        <v>534880</v>
      </c>
      <c r="AQ5089" s="12">
        <v>1E-4</v>
      </c>
    </row>
    <row r="5090" spans="1:45" x14ac:dyDescent="0.2">
      <c r="A5090" s="122">
        <f t="shared" si="572"/>
        <v>4283</v>
      </c>
      <c r="B5090" s="13">
        <v>8</v>
      </c>
      <c r="C5090" s="17" t="s">
        <v>65</v>
      </c>
      <c r="D5090" s="17">
        <v>430</v>
      </c>
      <c r="E5090" s="17">
        <v>92</v>
      </c>
      <c r="H5090" s="17">
        <v>7</v>
      </c>
      <c r="I5090" s="17">
        <v>0</v>
      </c>
      <c r="J5090" s="17">
        <v>6</v>
      </c>
      <c r="K5090" s="10">
        <v>2806</v>
      </c>
      <c r="P5090" s="17">
        <v>1</v>
      </c>
      <c r="Q5090" s="19">
        <v>2806</v>
      </c>
      <c r="R5090" s="14">
        <v>160</v>
      </c>
      <c r="S5090" s="19">
        <v>448960</v>
      </c>
      <c r="AJ5090" s="19">
        <v>0</v>
      </c>
      <c r="AK5090" s="23">
        <v>0</v>
      </c>
      <c r="AM5090" s="19">
        <v>0</v>
      </c>
      <c r="AN5090" s="19">
        <v>448960</v>
      </c>
      <c r="AP5090" s="14">
        <v>448960</v>
      </c>
      <c r="AQ5090" s="12">
        <v>1E-4</v>
      </c>
    </row>
    <row r="5091" spans="1:45" ht="42" x14ac:dyDescent="0.2">
      <c r="A5091" s="122">
        <f t="shared" si="572"/>
        <v>4284</v>
      </c>
      <c r="B5091" s="13">
        <v>1</v>
      </c>
      <c r="C5091" s="17" t="s">
        <v>52</v>
      </c>
      <c r="D5091" s="17">
        <v>17661</v>
      </c>
      <c r="E5091" s="17">
        <v>7</v>
      </c>
      <c r="F5091" s="17">
        <v>3789</v>
      </c>
      <c r="G5091" s="13">
        <v>3</v>
      </c>
      <c r="H5091" s="17">
        <v>12</v>
      </c>
      <c r="I5091" s="17">
        <v>1</v>
      </c>
      <c r="J5091" s="17">
        <v>41</v>
      </c>
      <c r="K5091" s="10">
        <v>4941</v>
      </c>
      <c r="P5091" s="17">
        <v>1</v>
      </c>
      <c r="Q5091" s="19">
        <v>4941</v>
      </c>
      <c r="R5091" s="14">
        <v>200</v>
      </c>
      <c r="S5091" s="19">
        <v>988200</v>
      </c>
      <c r="AJ5091" s="19">
        <v>0</v>
      </c>
      <c r="AK5091" s="23">
        <v>0</v>
      </c>
      <c r="AM5091" s="19">
        <v>0</v>
      </c>
      <c r="AN5091" s="19">
        <v>988200</v>
      </c>
      <c r="AP5091" s="14">
        <v>988200</v>
      </c>
      <c r="AS5091" s="26" t="s">
        <v>457</v>
      </c>
    </row>
    <row r="5092" spans="1:45" x14ac:dyDescent="0.2">
      <c r="A5092" s="122">
        <f t="shared" si="572"/>
        <v>4285</v>
      </c>
      <c r="B5092" s="13">
        <v>2</v>
      </c>
      <c r="C5092" s="17" t="s">
        <v>52</v>
      </c>
      <c r="D5092" s="17">
        <v>17662</v>
      </c>
      <c r="E5092" s="17">
        <v>5</v>
      </c>
      <c r="F5092" s="17">
        <v>3790</v>
      </c>
      <c r="G5092" s="13">
        <v>3</v>
      </c>
      <c r="H5092" s="17">
        <v>15</v>
      </c>
      <c r="I5092" s="17">
        <v>3</v>
      </c>
      <c r="J5092" s="17">
        <v>54</v>
      </c>
      <c r="K5092" s="10">
        <v>6354</v>
      </c>
      <c r="P5092" s="17">
        <v>1</v>
      </c>
      <c r="Q5092" s="19">
        <v>6354</v>
      </c>
      <c r="R5092" s="14">
        <v>200</v>
      </c>
      <c r="S5092" s="19">
        <v>1270800</v>
      </c>
      <c r="AJ5092" s="19">
        <v>0</v>
      </c>
      <c r="AK5092" s="23">
        <v>0</v>
      </c>
      <c r="AM5092" s="19">
        <v>0</v>
      </c>
      <c r="AN5092" s="19">
        <v>1270800</v>
      </c>
      <c r="AP5092" s="14">
        <v>1270800</v>
      </c>
    </row>
    <row r="5093" spans="1:45" x14ac:dyDescent="0.2">
      <c r="A5093" s="122">
        <f t="shared" si="572"/>
        <v>4286</v>
      </c>
      <c r="B5093" s="13">
        <v>3</v>
      </c>
      <c r="C5093" s="17" t="s">
        <v>52</v>
      </c>
      <c r="D5093" s="17">
        <v>17663</v>
      </c>
      <c r="E5093" s="17">
        <v>2</v>
      </c>
      <c r="F5093" s="17">
        <v>3791</v>
      </c>
      <c r="G5093" s="13">
        <v>3</v>
      </c>
      <c r="H5093" s="17">
        <v>8</v>
      </c>
      <c r="I5093" s="17">
        <v>2</v>
      </c>
      <c r="J5093" s="17">
        <v>52</v>
      </c>
      <c r="K5093" s="10">
        <v>3452</v>
      </c>
      <c r="P5093" s="17">
        <v>1</v>
      </c>
      <c r="Q5093" s="19">
        <v>3452</v>
      </c>
      <c r="R5093" s="14">
        <v>160</v>
      </c>
      <c r="S5093" s="19">
        <v>552320</v>
      </c>
      <c r="AJ5093" s="19">
        <v>0</v>
      </c>
      <c r="AK5093" s="23">
        <v>0</v>
      </c>
      <c r="AM5093" s="19">
        <v>0</v>
      </c>
      <c r="AN5093" s="19">
        <v>552320</v>
      </c>
      <c r="AP5093" s="14">
        <v>552320</v>
      </c>
    </row>
    <row r="5094" spans="1:45" x14ac:dyDescent="0.2">
      <c r="A5094" s="122">
        <f t="shared" si="572"/>
        <v>4287</v>
      </c>
      <c r="B5094" s="13">
        <v>4</v>
      </c>
      <c r="C5094" s="17" t="s">
        <v>52</v>
      </c>
      <c r="D5094" s="17">
        <v>17666</v>
      </c>
      <c r="E5094" s="17">
        <v>15</v>
      </c>
      <c r="F5094" s="17">
        <v>3794</v>
      </c>
      <c r="G5094" s="13">
        <v>3</v>
      </c>
      <c r="H5094" s="17">
        <v>9</v>
      </c>
      <c r="I5094" s="17">
        <v>0</v>
      </c>
      <c r="J5094" s="17">
        <v>95</v>
      </c>
      <c r="K5094" s="10">
        <v>3695</v>
      </c>
      <c r="P5094" s="17">
        <v>1</v>
      </c>
      <c r="Q5094" s="19">
        <v>3695</v>
      </c>
      <c r="R5094" s="14">
        <v>200</v>
      </c>
      <c r="S5094" s="19">
        <v>739000</v>
      </c>
      <c r="AJ5094" s="19">
        <v>0</v>
      </c>
      <c r="AK5094" s="23">
        <v>0</v>
      </c>
      <c r="AM5094" s="19">
        <v>0</v>
      </c>
      <c r="AN5094" s="19">
        <v>739000</v>
      </c>
      <c r="AP5094" s="14">
        <v>739000</v>
      </c>
    </row>
    <row r="5095" spans="1:45" x14ac:dyDescent="0.2">
      <c r="A5095" s="122">
        <f t="shared" si="572"/>
        <v>4288</v>
      </c>
      <c r="B5095" s="13">
        <v>5</v>
      </c>
      <c r="C5095" s="17" t="s">
        <v>52</v>
      </c>
      <c r="D5095" s="17">
        <v>17667</v>
      </c>
      <c r="E5095" s="17">
        <v>16</v>
      </c>
      <c r="F5095" s="17">
        <v>3795</v>
      </c>
      <c r="G5095" s="13">
        <v>3</v>
      </c>
      <c r="H5095" s="17">
        <v>13</v>
      </c>
      <c r="I5095" s="17">
        <v>3</v>
      </c>
      <c r="J5095" s="17">
        <v>31</v>
      </c>
      <c r="K5095" s="10">
        <v>5531</v>
      </c>
      <c r="P5095" s="17">
        <v>1</v>
      </c>
      <c r="Q5095" s="19">
        <v>5531</v>
      </c>
      <c r="R5095" s="14">
        <v>200</v>
      </c>
      <c r="S5095" s="19">
        <v>1106200</v>
      </c>
      <c r="AJ5095" s="19">
        <v>0</v>
      </c>
      <c r="AK5095" s="23">
        <v>0</v>
      </c>
      <c r="AM5095" s="19">
        <v>0</v>
      </c>
      <c r="AN5095" s="19">
        <v>1106200</v>
      </c>
      <c r="AP5095" s="14">
        <v>1106200</v>
      </c>
    </row>
    <row r="5096" spans="1:45" x14ac:dyDescent="0.2">
      <c r="A5096" s="122">
        <f t="shared" si="572"/>
        <v>4289</v>
      </c>
      <c r="B5096" s="13">
        <v>6</v>
      </c>
      <c r="C5096" s="17" t="s">
        <v>52</v>
      </c>
      <c r="D5096" s="17">
        <v>17668</v>
      </c>
      <c r="E5096" s="17">
        <v>66</v>
      </c>
      <c r="F5096" s="17">
        <v>3796</v>
      </c>
      <c r="G5096" s="13">
        <v>3</v>
      </c>
      <c r="H5096" s="17">
        <v>9</v>
      </c>
      <c r="I5096" s="17">
        <v>2</v>
      </c>
      <c r="J5096" s="17">
        <v>63</v>
      </c>
      <c r="K5096" s="10">
        <v>3863</v>
      </c>
      <c r="P5096" s="17">
        <v>1</v>
      </c>
      <c r="Q5096" s="19">
        <v>3863</v>
      </c>
      <c r="R5096" s="14">
        <v>200</v>
      </c>
      <c r="S5096" s="19">
        <v>772600</v>
      </c>
      <c r="AJ5096" s="19">
        <v>0</v>
      </c>
      <c r="AK5096" s="23">
        <v>0</v>
      </c>
      <c r="AM5096" s="19">
        <v>0</v>
      </c>
      <c r="AN5096" s="19">
        <v>772600</v>
      </c>
      <c r="AP5096" s="14">
        <v>772600</v>
      </c>
    </row>
    <row r="5097" spans="1:45" x14ac:dyDescent="0.2">
      <c r="A5097" s="122">
        <f t="shared" si="572"/>
        <v>4290</v>
      </c>
      <c r="B5097" s="13">
        <v>7</v>
      </c>
      <c r="C5097" s="17" t="s">
        <v>52</v>
      </c>
      <c r="D5097" s="17">
        <v>17669</v>
      </c>
      <c r="E5097" s="17">
        <v>67</v>
      </c>
      <c r="F5097" s="17">
        <v>3797</v>
      </c>
      <c r="G5097" s="13">
        <v>3</v>
      </c>
      <c r="H5097" s="17">
        <v>18</v>
      </c>
      <c r="I5097" s="17">
        <v>3</v>
      </c>
      <c r="J5097" s="17">
        <v>86</v>
      </c>
      <c r="K5097" s="10">
        <v>7586</v>
      </c>
      <c r="P5097" s="17">
        <v>1</v>
      </c>
      <c r="Q5097" s="19">
        <v>7586</v>
      </c>
      <c r="R5097" s="14">
        <v>200</v>
      </c>
      <c r="S5097" s="19">
        <v>1517200</v>
      </c>
      <c r="AJ5097" s="19">
        <v>0</v>
      </c>
      <c r="AK5097" s="23">
        <v>0</v>
      </c>
      <c r="AM5097" s="19">
        <v>0</v>
      </c>
      <c r="AN5097" s="19">
        <v>1517200</v>
      </c>
      <c r="AP5097" s="14">
        <v>1517200</v>
      </c>
    </row>
    <row r="5098" spans="1:45" ht="126" x14ac:dyDescent="0.2">
      <c r="A5098" s="122">
        <f t="shared" si="572"/>
        <v>4291</v>
      </c>
      <c r="B5098" s="13">
        <v>8</v>
      </c>
      <c r="C5098" s="17" t="s">
        <v>52</v>
      </c>
      <c r="D5098" s="17">
        <v>2076</v>
      </c>
      <c r="E5098" s="17">
        <v>41</v>
      </c>
      <c r="F5098" s="17">
        <v>1535</v>
      </c>
      <c r="G5098" s="13">
        <v>3</v>
      </c>
      <c r="H5098" s="17">
        <v>0</v>
      </c>
      <c r="I5098" s="17">
        <v>2</v>
      </c>
      <c r="J5098" s="17">
        <v>25</v>
      </c>
      <c r="M5098" s="15">
        <v>225</v>
      </c>
      <c r="P5098" s="17">
        <v>3</v>
      </c>
      <c r="Q5098" s="19">
        <v>225</v>
      </c>
      <c r="R5098" s="14">
        <v>975</v>
      </c>
      <c r="S5098" s="19">
        <v>219375</v>
      </c>
      <c r="T5098" s="17">
        <v>1</v>
      </c>
      <c r="U5098" s="17" t="s">
        <v>55</v>
      </c>
      <c r="W5098" s="4">
        <v>45</v>
      </c>
      <c r="Z5098" s="17">
        <v>45</v>
      </c>
      <c r="AB5098" s="17">
        <v>18</v>
      </c>
      <c r="AC5098" s="14" t="s">
        <v>458</v>
      </c>
      <c r="AF5098" s="14">
        <v>3</v>
      </c>
      <c r="AG5098" s="54">
        <v>45</v>
      </c>
      <c r="AH5098" s="11">
        <v>1</v>
      </c>
      <c r="AI5098" s="14">
        <v>5650</v>
      </c>
      <c r="AJ5098" s="19">
        <v>254250</v>
      </c>
      <c r="AK5098" s="23">
        <v>18</v>
      </c>
      <c r="AL5098" s="11">
        <v>0.26</v>
      </c>
      <c r="AM5098" s="19">
        <v>188145</v>
      </c>
      <c r="AN5098" s="19">
        <v>319770</v>
      </c>
      <c r="AP5098" s="14">
        <v>319770</v>
      </c>
      <c r="AQ5098" s="12">
        <v>3.0000000000000001E-3</v>
      </c>
    </row>
    <row r="5099" spans="1:45" ht="63" x14ac:dyDescent="0.2">
      <c r="R5099" s="14" t="e">
        <v>#N/A</v>
      </c>
      <c r="T5099" s="17">
        <v>2</v>
      </c>
      <c r="U5099" s="17" t="s">
        <v>57</v>
      </c>
      <c r="W5099" s="4">
        <v>30</v>
      </c>
      <c r="Z5099" s="17">
        <v>30</v>
      </c>
      <c r="AB5099" s="17">
        <v>18</v>
      </c>
      <c r="AF5099" s="14">
        <v>3</v>
      </c>
      <c r="AG5099" s="54">
        <v>30</v>
      </c>
      <c r="AH5099" s="11">
        <v>1</v>
      </c>
      <c r="AI5099" s="14">
        <v>7250</v>
      </c>
      <c r="AJ5099" s="19">
        <v>217500</v>
      </c>
      <c r="AK5099" s="23">
        <v>18</v>
      </c>
      <c r="AL5099" s="11">
        <v>0.26</v>
      </c>
      <c r="AM5099" s="19">
        <v>160950</v>
      </c>
      <c r="AN5099" s="19">
        <v>248700</v>
      </c>
      <c r="AP5099" s="14">
        <v>248700</v>
      </c>
      <c r="AQ5099" s="12">
        <v>3.0000000000000001E-3</v>
      </c>
    </row>
    <row r="5100" spans="1:45" x14ac:dyDescent="0.2">
      <c r="A5100" s="2">
        <v>4293</v>
      </c>
      <c r="B5100" s="13">
        <v>9</v>
      </c>
      <c r="C5100" s="17" t="s">
        <v>52</v>
      </c>
      <c r="D5100" s="17">
        <v>2077</v>
      </c>
      <c r="E5100" s="17">
        <v>42</v>
      </c>
      <c r="F5100" s="17">
        <v>1536</v>
      </c>
      <c r="H5100" s="17">
        <v>0</v>
      </c>
      <c r="I5100" s="17">
        <v>1</v>
      </c>
      <c r="J5100" s="17">
        <v>12</v>
      </c>
      <c r="N5100" s="18">
        <v>112</v>
      </c>
      <c r="P5100" s="17">
        <v>4</v>
      </c>
      <c r="Q5100" s="19">
        <v>112</v>
      </c>
      <c r="R5100" s="14">
        <v>1500</v>
      </c>
      <c r="S5100" s="19">
        <v>168000</v>
      </c>
      <c r="AJ5100" s="19">
        <v>0</v>
      </c>
      <c r="AK5100" s="23">
        <v>0</v>
      </c>
      <c r="AM5100" s="19">
        <v>0</v>
      </c>
      <c r="AN5100" s="19">
        <v>168000</v>
      </c>
      <c r="AP5100" s="14">
        <v>168000</v>
      </c>
      <c r="AQ5100" s="12">
        <v>3.0000000000000001E-3</v>
      </c>
    </row>
    <row r="5101" spans="1:45" x14ac:dyDescent="0.2">
      <c r="A5101" s="2">
        <v>4294</v>
      </c>
      <c r="B5101" s="13">
        <v>10</v>
      </c>
      <c r="C5101" s="17" t="s">
        <v>52</v>
      </c>
      <c r="D5101" s="17">
        <v>2134</v>
      </c>
      <c r="E5101" s="17">
        <v>38</v>
      </c>
      <c r="F5101" s="17">
        <v>1130</v>
      </c>
      <c r="G5101" s="13">
        <v>3</v>
      </c>
      <c r="H5101" s="17">
        <v>6</v>
      </c>
      <c r="I5101" s="17">
        <v>0</v>
      </c>
      <c r="J5101" s="17">
        <v>38</v>
      </c>
      <c r="K5101" s="10">
        <v>2306.94</v>
      </c>
      <c r="L5101" s="17">
        <v>59.06</v>
      </c>
      <c r="P5101" s="17">
        <v>1</v>
      </c>
      <c r="Q5101" s="19">
        <v>2438</v>
      </c>
      <c r="R5101" s="14">
        <v>500</v>
      </c>
      <c r="S5101" s="19">
        <v>1219000</v>
      </c>
    </row>
    <row r="5102" spans="1:45" ht="63" x14ac:dyDescent="0.2">
      <c r="R5102" s="14">
        <v>500</v>
      </c>
      <c r="T5102" s="17">
        <v>1</v>
      </c>
      <c r="U5102" s="17" t="s">
        <v>57</v>
      </c>
      <c r="V5102" s="17" t="s">
        <v>56</v>
      </c>
      <c r="W5102" s="4">
        <v>236.25</v>
      </c>
      <c r="Y5102" s="4">
        <v>236.25</v>
      </c>
      <c r="AB5102" s="17">
        <v>16</v>
      </c>
      <c r="AJ5102" s="19">
        <v>0</v>
      </c>
      <c r="AK5102" s="23">
        <v>16</v>
      </c>
      <c r="AM5102" s="19">
        <v>0</v>
      </c>
      <c r="AN5102" s="19">
        <v>0</v>
      </c>
      <c r="AP5102" s="14">
        <v>0</v>
      </c>
    </row>
    <row r="5103" spans="1:45" ht="42" x14ac:dyDescent="0.2">
      <c r="L5103" s="17">
        <v>72</v>
      </c>
      <c r="P5103" s="17">
        <v>2</v>
      </c>
      <c r="Q5103" s="19">
        <v>0</v>
      </c>
      <c r="R5103" s="14">
        <v>500</v>
      </c>
      <c r="S5103" s="19">
        <v>0</v>
      </c>
      <c r="T5103" s="17">
        <v>2</v>
      </c>
      <c r="U5103" s="17" t="s">
        <v>133</v>
      </c>
      <c r="W5103" s="4">
        <v>288</v>
      </c>
      <c r="Y5103" s="4">
        <v>288</v>
      </c>
      <c r="AB5103" s="17">
        <v>16</v>
      </c>
      <c r="AJ5103" s="19">
        <v>0</v>
      </c>
      <c r="AK5103" s="23">
        <v>16</v>
      </c>
      <c r="AM5103" s="19">
        <v>0</v>
      </c>
      <c r="AN5103" s="19">
        <v>0</v>
      </c>
      <c r="AP5103" s="14">
        <v>0</v>
      </c>
    </row>
    <row r="5104" spans="1:45" ht="105" x14ac:dyDescent="0.2">
      <c r="P5104" s="17">
        <v>3</v>
      </c>
      <c r="R5104" s="14">
        <v>500</v>
      </c>
      <c r="T5104" s="17">
        <v>3</v>
      </c>
      <c r="U5104" s="17" t="s">
        <v>57</v>
      </c>
      <c r="Z5104" s="17">
        <v>15</v>
      </c>
      <c r="AC5104" s="14" t="s">
        <v>120</v>
      </c>
      <c r="AF5104" s="14">
        <v>3</v>
      </c>
      <c r="AG5104" s="54">
        <v>15</v>
      </c>
      <c r="AH5104" s="11">
        <v>1</v>
      </c>
      <c r="AI5104" s="14">
        <v>7250</v>
      </c>
      <c r="AJ5104" s="19">
        <v>108750</v>
      </c>
      <c r="AM5104" s="19">
        <v>108750</v>
      </c>
      <c r="AN5104" s="19">
        <v>110578.5</v>
      </c>
      <c r="AP5104" s="14">
        <v>110578.5</v>
      </c>
      <c r="AQ5104" s="12">
        <v>3.0000000000000001E-3</v>
      </c>
    </row>
    <row r="5105" spans="1:45" s="19" customFormat="1" ht="105" x14ac:dyDescent="0.2">
      <c r="A5105" s="2"/>
      <c r="B5105" s="13"/>
      <c r="C5105" s="17"/>
      <c r="D5105" s="17"/>
      <c r="E5105" s="17"/>
      <c r="F5105" s="17"/>
      <c r="G5105" s="13"/>
      <c r="H5105" s="17"/>
      <c r="I5105" s="17"/>
      <c r="J5105" s="17"/>
      <c r="K5105" s="10"/>
      <c r="L5105" s="17"/>
      <c r="M5105" s="15"/>
      <c r="N5105" s="18"/>
      <c r="O5105" s="14"/>
      <c r="P5105" s="17">
        <v>3</v>
      </c>
      <c r="Q5105" s="19">
        <v>252</v>
      </c>
      <c r="R5105" s="14">
        <v>500</v>
      </c>
      <c r="T5105" s="17">
        <v>4</v>
      </c>
      <c r="U5105" s="17"/>
      <c r="V5105" s="17"/>
      <c r="W5105" s="4"/>
      <c r="X5105" s="17"/>
      <c r="Y5105" s="4"/>
      <c r="Z5105" s="17"/>
      <c r="AA5105" s="17"/>
      <c r="AB5105" s="17"/>
      <c r="AC5105" s="14" t="s">
        <v>120</v>
      </c>
      <c r="AD5105" s="14"/>
      <c r="AE5105" s="17"/>
      <c r="AF5105" s="14">
        <v>3</v>
      </c>
      <c r="AG5105" s="54"/>
      <c r="AH5105" s="11"/>
      <c r="AI5105" s="14"/>
      <c r="AK5105" s="23"/>
      <c r="AL5105" s="11"/>
      <c r="AN5105" s="19">
        <v>125922.7</v>
      </c>
      <c r="AO5105" s="14"/>
      <c r="AP5105" s="14">
        <v>125922.7</v>
      </c>
      <c r="AQ5105" s="12">
        <v>3.0000000000000001E-3</v>
      </c>
      <c r="AS5105" s="26"/>
    </row>
    <row r="5106" spans="1:45" s="19" customFormat="1" x14ac:dyDescent="0.2">
      <c r="A5106" s="2">
        <v>4295</v>
      </c>
      <c r="B5106" s="13">
        <v>11</v>
      </c>
      <c r="C5106" s="17" t="s">
        <v>52</v>
      </c>
      <c r="D5106" s="17">
        <v>2254</v>
      </c>
      <c r="E5106" s="17">
        <v>34</v>
      </c>
      <c r="F5106" s="17">
        <v>1741</v>
      </c>
      <c r="G5106" s="13"/>
      <c r="H5106" s="17">
        <v>1</v>
      </c>
      <c r="I5106" s="17">
        <v>3</v>
      </c>
      <c r="J5106" s="17">
        <v>15</v>
      </c>
      <c r="K5106" s="10">
        <v>715</v>
      </c>
      <c r="L5106" s="17"/>
      <c r="M5106" s="15"/>
      <c r="N5106" s="18"/>
      <c r="O5106" s="14"/>
      <c r="P5106" s="17">
        <v>1</v>
      </c>
      <c r="Q5106" s="19">
        <v>715</v>
      </c>
      <c r="R5106" s="14">
        <v>160</v>
      </c>
      <c r="S5106" s="19">
        <v>114400</v>
      </c>
      <c r="T5106" s="17"/>
      <c r="U5106" s="17"/>
      <c r="V5106" s="17"/>
      <c r="W5106" s="4"/>
      <c r="X5106" s="17"/>
      <c r="Y5106" s="4"/>
      <c r="Z5106" s="17"/>
      <c r="AA5106" s="17"/>
      <c r="AB5106" s="17"/>
      <c r="AC5106" s="14"/>
      <c r="AD5106" s="14"/>
      <c r="AE5106" s="17"/>
      <c r="AF5106" s="14"/>
      <c r="AG5106" s="54"/>
      <c r="AH5106" s="11"/>
      <c r="AI5106" s="14"/>
      <c r="AJ5106" s="19">
        <v>0</v>
      </c>
      <c r="AK5106" s="23">
        <v>0</v>
      </c>
      <c r="AL5106" s="11"/>
      <c r="AM5106" s="19">
        <v>0</v>
      </c>
      <c r="AN5106" s="19">
        <v>114400</v>
      </c>
      <c r="AO5106" s="14"/>
      <c r="AP5106" s="14">
        <v>114400</v>
      </c>
      <c r="AQ5106" s="12"/>
      <c r="AS5106" s="26"/>
    </row>
    <row r="5107" spans="1:45" s="19" customFormat="1" x14ac:dyDescent="0.2">
      <c r="A5107" s="2">
        <f>+A5106+1</f>
        <v>4296</v>
      </c>
      <c r="B5107" s="13">
        <v>12</v>
      </c>
      <c r="C5107" s="17" t="s">
        <v>52</v>
      </c>
      <c r="D5107" s="17">
        <v>2256</v>
      </c>
      <c r="E5107" s="17">
        <v>22</v>
      </c>
      <c r="F5107" s="17">
        <v>1768</v>
      </c>
      <c r="G5107" s="13"/>
      <c r="H5107" s="17">
        <v>1</v>
      </c>
      <c r="I5107" s="17">
        <v>1</v>
      </c>
      <c r="J5107" s="17">
        <v>98</v>
      </c>
      <c r="K5107" s="10">
        <v>598</v>
      </c>
      <c r="L5107" s="17"/>
      <c r="M5107" s="15"/>
      <c r="N5107" s="18"/>
      <c r="O5107" s="14"/>
      <c r="P5107" s="17">
        <v>1</v>
      </c>
      <c r="Q5107" s="19">
        <v>598</v>
      </c>
      <c r="R5107" s="14">
        <v>160</v>
      </c>
      <c r="S5107" s="19">
        <v>95680</v>
      </c>
      <c r="T5107" s="17"/>
      <c r="U5107" s="17"/>
      <c r="V5107" s="17"/>
      <c r="W5107" s="4"/>
      <c r="X5107" s="17"/>
      <c r="Y5107" s="4"/>
      <c r="Z5107" s="17"/>
      <c r="AA5107" s="17"/>
      <c r="AB5107" s="17"/>
      <c r="AC5107" s="14"/>
      <c r="AD5107" s="14"/>
      <c r="AE5107" s="17"/>
      <c r="AF5107" s="14"/>
      <c r="AG5107" s="54"/>
      <c r="AH5107" s="11"/>
      <c r="AI5107" s="14"/>
      <c r="AJ5107" s="19">
        <v>0</v>
      </c>
      <c r="AK5107" s="23">
        <v>0</v>
      </c>
      <c r="AL5107" s="11"/>
      <c r="AM5107" s="19">
        <v>0</v>
      </c>
      <c r="AN5107" s="19">
        <v>95680</v>
      </c>
      <c r="AO5107" s="14"/>
      <c r="AP5107" s="14">
        <v>95680</v>
      </c>
      <c r="AQ5107" s="12"/>
      <c r="AS5107" s="26"/>
    </row>
    <row r="5108" spans="1:45" s="19" customFormat="1" x14ac:dyDescent="0.2">
      <c r="A5108" s="122">
        <f t="shared" ref="A5108:A5111" si="573">+A5107+1</f>
        <v>4297</v>
      </c>
      <c r="B5108" s="13">
        <v>13</v>
      </c>
      <c r="C5108" s="17" t="s">
        <v>52</v>
      </c>
      <c r="D5108" s="17">
        <v>2265</v>
      </c>
      <c r="E5108" s="17">
        <v>59</v>
      </c>
      <c r="F5108" s="17">
        <v>1803</v>
      </c>
      <c r="G5108" s="13"/>
      <c r="H5108" s="17">
        <v>0</v>
      </c>
      <c r="I5108" s="17">
        <v>0</v>
      </c>
      <c r="J5108" s="17">
        <v>60</v>
      </c>
      <c r="K5108" s="10"/>
      <c r="L5108" s="17"/>
      <c r="M5108" s="15"/>
      <c r="N5108" s="18">
        <v>60</v>
      </c>
      <c r="O5108" s="14"/>
      <c r="P5108" s="17">
        <v>4</v>
      </c>
      <c r="Q5108" s="19">
        <v>60</v>
      </c>
      <c r="R5108" s="14">
        <v>2000</v>
      </c>
      <c r="S5108" s="19">
        <v>120000</v>
      </c>
      <c r="T5108" s="17"/>
      <c r="U5108" s="17"/>
      <c r="V5108" s="17"/>
      <c r="W5108" s="4"/>
      <c r="X5108" s="17"/>
      <c r="Y5108" s="4"/>
      <c r="Z5108" s="17"/>
      <c r="AA5108" s="17"/>
      <c r="AB5108" s="17"/>
      <c r="AC5108" s="14"/>
      <c r="AD5108" s="14"/>
      <c r="AE5108" s="17"/>
      <c r="AF5108" s="14"/>
      <c r="AG5108" s="54"/>
      <c r="AH5108" s="11"/>
      <c r="AI5108" s="14"/>
      <c r="AJ5108" s="19">
        <v>0</v>
      </c>
      <c r="AK5108" s="23">
        <v>0</v>
      </c>
      <c r="AL5108" s="11"/>
      <c r="AM5108" s="19">
        <v>0</v>
      </c>
      <c r="AN5108" s="19">
        <v>120000</v>
      </c>
      <c r="AO5108" s="14"/>
      <c r="AP5108" s="14">
        <v>120000</v>
      </c>
      <c r="AQ5108" s="12">
        <v>3.0000000000000001E-3</v>
      </c>
      <c r="AS5108" s="26"/>
    </row>
    <row r="5109" spans="1:45" s="19" customFormat="1" x14ac:dyDescent="0.2">
      <c r="A5109" s="122">
        <f t="shared" si="573"/>
        <v>4298</v>
      </c>
      <c r="B5109" s="13">
        <v>14</v>
      </c>
      <c r="C5109" s="17" t="s">
        <v>65</v>
      </c>
      <c r="D5109" s="17">
        <v>368</v>
      </c>
      <c r="E5109" s="17">
        <v>115</v>
      </c>
      <c r="F5109" s="17"/>
      <c r="G5109" s="13"/>
      <c r="H5109" s="17">
        <v>10</v>
      </c>
      <c r="I5109" s="17">
        <v>0</v>
      </c>
      <c r="J5109" s="17">
        <v>40</v>
      </c>
      <c r="K5109" s="10">
        <v>4040</v>
      </c>
      <c r="L5109" s="17"/>
      <c r="M5109" s="15"/>
      <c r="N5109" s="18"/>
      <c r="O5109" s="14"/>
      <c r="P5109" s="17">
        <v>1</v>
      </c>
      <c r="Q5109" s="19">
        <v>4040</v>
      </c>
      <c r="R5109" s="14">
        <v>200</v>
      </c>
      <c r="S5109" s="19">
        <v>808000</v>
      </c>
      <c r="T5109" s="17"/>
      <c r="U5109" s="17"/>
      <c r="V5109" s="17"/>
      <c r="W5109" s="4"/>
      <c r="X5109" s="17"/>
      <c r="Y5109" s="4"/>
      <c r="Z5109" s="17"/>
      <c r="AA5109" s="17"/>
      <c r="AB5109" s="17"/>
      <c r="AC5109" s="14"/>
      <c r="AD5109" s="14"/>
      <c r="AE5109" s="17" t="s">
        <v>94</v>
      </c>
      <c r="AF5109" s="14"/>
      <c r="AG5109" s="54"/>
      <c r="AH5109" s="11"/>
      <c r="AI5109" s="14"/>
      <c r="AJ5109" s="19">
        <v>0</v>
      </c>
      <c r="AK5109" s="23">
        <v>0</v>
      </c>
      <c r="AL5109" s="11"/>
      <c r="AM5109" s="19">
        <v>0</v>
      </c>
      <c r="AN5109" s="19">
        <v>808000</v>
      </c>
      <c r="AO5109" s="14"/>
      <c r="AP5109" s="14">
        <v>808000</v>
      </c>
      <c r="AQ5109" s="12">
        <v>1E-4</v>
      </c>
      <c r="AS5109" s="26"/>
    </row>
    <row r="5110" spans="1:45" s="19" customFormat="1" x14ac:dyDescent="0.2">
      <c r="A5110" s="122">
        <f t="shared" si="573"/>
        <v>4299</v>
      </c>
      <c r="B5110" s="13">
        <v>15</v>
      </c>
      <c r="C5110" s="17" t="s">
        <v>65</v>
      </c>
      <c r="D5110" s="17">
        <v>457</v>
      </c>
      <c r="E5110" s="17">
        <v>9</v>
      </c>
      <c r="F5110" s="17"/>
      <c r="G5110" s="13"/>
      <c r="H5110" s="17">
        <v>5</v>
      </c>
      <c r="I5110" s="17">
        <v>0</v>
      </c>
      <c r="J5110" s="17">
        <v>30</v>
      </c>
      <c r="K5110" s="10">
        <v>2030</v>
      </c>
      <c r="L5110" s="17"/>
      <c r="M5110" s="15"/>
      <c r="N5110" s="18"/>
      <c r="O5110" s="14"/>
      <c r="P5110" s="17">
        <v>1</v>
      </c>
      <c r="Q5110" s="19">
        <v>2030</v>
      </c>
      <c r="R5110" s="14">
        <v>250</v>
      </c>
      <c r="S5110" s="19">
        <v>507500</v>
      </c>
      <c r="T5110" s="17"/>
      <c r="U5110" s="17"/>
      <c r="V5110" s="17"/>
      <c r="W5110" s="4"/>
      <c r="X5110" s="17"/>
      <c r="Y5110" s="4"/>
      <c r="Z5110" s="17"/>
      <c r="AA5110" s="17"/>
      <c r="AB5110" s="17"/>
      <c r="AC5110" s="14"/>
      <c r="AD5110" s="14"/>
      <c r="AE5110" s="17"/>
      <c r="AF5110" s="14"/>
      <c r="AG5110" s="54"/>
      <c r="AH5110" s="11"/>
      <c r="AI5110" s="14"/>
      <c r="AJ5110" s="19">
        <v>0</v>
      </c>
      <c r="AK5110" s="23">
        <v>0</v>
      </c>
      <c r="AL5110" s="11"/>
      <c r="AM5110" s="19">
        <v>0</v>
      </c>
      <c r="AN5110" s="19">
        <v>507500</v>
      </c>
      <c r="AO5110" s="14"/>
      <c r="AP5110" s="14">
        <v>507500</v>
      </c>
      <c r="AQ5110" s="12">
        <v>1E-4</v>
      </c>
      <c r="AS5110" s="26"/>
    </row>
    <row r="5111" spans="1:45" s="19" customFormat="1" x14ac:dyDescent="0.2">
      <c r="A5111" s="122">
        <f t="shared" si="573"/>
        <v>4300</v>
      </c>
      <c r="B5111" s="13">
        <v>16</v>
      </c>
      <c r="C5111" s="17" t="s">
        <v>65</v>
      </c>
      <c r="D5111" s="17">
        <v>2665</v>
      </c>
      <c r="E5111" s="17">
        <v>174</v>
      </c>
      <c r="F5111" s="17"/>
      <c r="G5111" s="13"/>
      <c r="H5111" s="17">
        <v>4</v>
      </c>
      <c r="I5111" s="17">
        <v>1</v>
      </c>
      <c r="J5111" s="17">
        <v>41</v>
      </c>
      <c r="K5111" s="10">
        <v>1741</v>
      </c>
      <c r="L5111" s="17"/>
      <c r="M5111" s="15"/>
      <c r="N5111" s="18"/>
      <c r="O5111" s="14"/>
      <c r="P5111" s="17">
        <v>1</v>
      </c>
      <c r="Q5111" s="19">
        <v>1741</v>
      </c>
      <c r="R5111" s="14">
        <v>160</v>
      </c>
      <c r="S5111" s="19">
        <v>278560</v>
      </c>
      <c r="T5111" s="17"/>
      <c r="U5111" s="17"/>
      <c r="V5111" s="17"/>
      <c r="W5111" s="4"/>
      <c r="X5111" s="17"/>
      <c r="Y5111" s="4"/>
      <c r="Z5111" s="17"/>
      <c r="AA5111" s="17"/>
      <c r="AB5111" s="17"/>
      <c r="AC5111" s="14"/>
      <c r="AD5111" s="14"/>
      <c r="AE5111" s="17" t="s">
        <v>94</v>
      </c>
      <c r="AF5111" s="14"/>
      <c r="AG5111" s="54"/>
      <c r="AH5111" s="11"/>
      <c r="AI5111" s="14"/>
      <c r="AJ5111" s="19">
        <v>0</v>
      </c>
      <c r="AK5111" s="23">
        <v>0</v>
      </c>
      <c r="AL5111" s="11"/>
      <c r="AM5111" s="19">
        <v>0</v>
      </c>
      <c r="AN5111" s="19">
        <v>278560</v>
      </c>
      <c r="AO5111" s="14"/>
      <c r="AP5111" s="14">
        <v>278560</v>
      </c>
      <c r="AQ5111" s="12">
        <v>1E-4</v>
      </c>
      <c r="AS5111" s="26"/>
    </row>
    <row r="5112" spans="1:45" s="19" customFormat="1" x14ac:dyDescent="0.2">
      <c r="A5112" s="2"/>
      <c r="B5112" s="13">
        <v>14</v>
      </c>
      <c r="C5112" s="17" t="s">
        <v>65</v>
      </c>
      <c r="D5112" s="17">
        <v>102</v>
      </c>
      <c r="E5112" s="17">
        <v>28</v>
      </c>
      <c r="F5112" s="17"/>
      <c r="G5112" s="13"/>
      <c r="H5112" s="17">
        <v>1</v>
      </c>
      <c r="I5112" s="17">
        <v>2</v>
      </c>
      <c r="J5112" s="17">
        <v>40</v>
      </c>
      <c r="K5112" s="10">
        <v>640</v>
      </c>
      <c r="L5112" s="17"/>
      <c r="M5112" s="15"/>
      <c r="N5112" s="18"/>
      <c r="O5112" s="14"/>
      <c r="P5112" s="17"/>
      <c r="Q5112" s="19">
        <v>640</v>
      </c>
      <c r="R5112" s="14" t="e">
        <v>#N/A</v>
      </c>
      <c r="S5112" s="19" t="e">
        <v>#N/A</v>
      </c>
      <c r="T5112" s="17"/>
      <c r="U5112" s="17"/>
      <c r="V5112" s="17"/>
      <c r="W5112" s="4"/>
      <c r="X5112" s="17"/>
      <c r="Y5112" s="4"/>
      <c r="Z5112" s="17"/>
      <c r="AA5112" s="17"/>
      <c r="AB5112" s="17"/>
      <c r="AC5112" s="14"/>
      <c r="AD5112" s="14"/>
      <c r="AE5112" s="17" t="s">
        <v>94</v>
      </c>
      <c r="AF5112" s="14"/>
      <c r="AG5112" s="54"/>
      <c r="AH5112" s="11"/>
      <c r="AI5112" s="14"/>
      <c r="AJ5112" s="19">
        <v>0</v>
      </c>
      <c r="AK5112" s="23">
        <v>0</v>
      </c>
      <c r="AL5112" s="11"/>
      <c r="AM5112" s="19">
        <v>0</v>
      </c>
      <c r="AN5112" s="19" t="e">
        <v>#N/A</v>
      </c>
      <c r="AO5112" s="14"/>
      <c r="AP5112" s="14" t="e">
        <v>#N/A</v>
      </c>
      <c r="AQ5112" s="12">
        <v>1E-4</v>
      </c>
      <c r="AS5112" s="26"/>
    </row>
    <row r="5113" spans="1:45" s="19" customFormat="1" x14ac:dyDescent="0.2">
      <c r="A5113" s="2"/>
      <c r="B5113" s="13">
        <v>15</v>
      </c>
      <c r="C5113" s="17" t="s">
        <v>65</v>
      </c>
      <c r="D5113" s="17">
        <v>104</v>
      </c>
      <c r="E5113" s="17">
        <v>30</v>
      </c>
      <c r="F5113" s="17"/>
      <c r="G5113" s="13"/>
      <c r="H5113" s="17">
        <v>1</v>
      </c>
      <c r="I5113" s="17">
        <v>2</v>
      </c>
      <c r="J5113" s="17">
        <v>36</v>
      </c>
      <c r="K5113" s="10">
        <v>636</v>
      </c>
      <c r="L5113" s="17"/>
      <c r="M5113" s="15"/>
      <c r="N5113" s="18"/>
      <c r="O5113" s="14"/>
      <c r="P5113" s="17"/>
      <c r="Q5113" s="19">
        <v>636</v>
      </c>
      <c r="R5113" s="14" t="e">
        <v>#N/A</v>
      </c>
      <c r="S5113" s="19" t="e">
        <v>#N/A</v>
      </c>
      <c r="T5113" s="17"/>
      <c r="U5113" s="17"/>
      <c r="V5113" s="17"/>
      <c r="W5113" s="4"/>
      <c r="X5113" s="17"/>
      <c r="Y5113" s="4"/>
      <c r="Z5113" s="17"/>
      <c r="AA5113" s="17"/>
      <c r="AB5113" s="17"/>
      <c r="AC5113" s="14"/>
      <c r="AD5113" s="14"/>
      <c r="AE5113" s="17" t="s">
        <v>94</v>
      </c>
      <c r="AF5113" s="14"/>
      <c r="AG5113" s="54"/>
      <c r="AH5113" s="11"/>
      <c r="AI5113" s="14"/>
      <c r="AJ5113" s="19">
        <v>0</v>
      </c>
      <c r="AK5113" s="23">
        <v>0</v>
      </c>
      <c r="AL5113" s="11"/>
      <c r="AM5113" s="19">
        <v>0</v>
      </c>
      <c r="AN5113" s="19" t="e">
        <v>#N/A</v>
      </c>
      <c r="AO5113" s="14"/>
      <c r="AP5113" s="14" t="e">
        <v>#N/A</v>
      </c>
      <c r="AQ5113" s="12">
        <v>1E-4</v>
      </c>
      <c r="AS5113" s="26"/>
    </row>
    <row r="5114" spans="1:45" s="19" customFormat="1" x14ac:dyDescent="0.2">
      <c r="A5114" s="2"/>
      <c r="B5114" s="13">
        <v>16</v>
      </c>
      <c r="C5114" s="17" t="s">
        <v>97</v>
      </c>
      <c r="D5114" s="17">
        <v>189</v>
      </c>
      <c r="E5114" s="17"/>
      <c r="F5114" s="17"/>
      <c r="G5114" s="13">
        <v>3</v>
      </c>
      <c r="H5114" s="17">
        <v>15</v>
      </c>
      <c r="I5114" s="17">
        <v>0</v>
      </c>
      <c r="J5114" s="17">
        <v>0</v>
      </c>
      <c r="K5114" s="10">
        <v>6000</v>
      </c>
      <c r="L5114" s="17"/>
      <c r="M5114" s="15"/>
      <c r="N5114" s="18"/>
      <c r="O5114" s="14"/>
      <c r="P5114" s="17"/>
      <c r="Q5114" s="19">
        <v>6000</v>
      </c>
      <c r="R5114" s="14" t="e">
        <v>#N/A</v>
      </c>
      <c r="S5114" s="19" t="e">
        <v>#N/A</v>
      </c>
      <c r="T5114" s="17"/>
      <c r="U5114" s="17"/>
      <c r="V5114" s="17"/>
      <c r="W5114" s="4"/>
      <c r="X5114" s="17"/>
      <c r="Y5114" s="4"/>
      <c r="Z5114" s="17"/>
      <c r="AA5114" s="17"/>
      <c r="AB5114" s="17"/>
      <c r="AC5114" s="14"/>
      <c r="AD5114" s="14"/>
      <c r="AE5114" s="17"/>
      <c r="AF5114" s="14"/>
      <c r="AG5114" s="54"/>
      <c r="AH5114" s="11"/>
      <c r="AI5114" s="14"/>
      <c r="AJ5114" s="19">
        <v>0</v>
      </c>
      <c r="AK5114" s="23">
        <v>0</v>
      </c>
      <c r="AL5114" s="11"/>
      <c r="AM5114" s="19">
        <v>0</v>
      </c>
      <c r="AN5114" s="19" t="e">
        <v>#N/A</v>
      </c>
      <c r="AO5114" s="14"/>
      <c r="AP5114" s="14" t="e">
        <v>#N/A</v>
      </c>
      <c r="AQ5114" s="12">
        <v>1E-4</v>
      </c>
      <c r="AS5114" s="26"/>
    </row>
    <row r="5115" spans="1:45" s="19" customFormat="1" x14ac:dyDescent="0.2">
      <c r="A5115" s="2"/>
      <c r="B5115" s="13">
        <v>17</v>
      </c>
      <c r="C5115" s="17" t="s">
        <v>97</v>
      </c>
      <c r="D5115" s="17">
        <v>197</v>
      </c>
      <c r="E5115" s="17"/>
      <c r="F5115" s="17"/>
      <c r="G5115" s="13">
        <v>3</v>
      </c>
      <c r="H5115" s="17">
        <v>20</v>
      </c>
      <c r="I5115" s="17">
        <v>1</v>
      </c>
      <c r="J5115" s="17">
        <v>42</v>
      </c>
      <c r="K5115" s="10">
        <v>8142</v>
      </c>
      <c r="L5115" s="17"/>
      <c r="M5115" s="15"/>
      <c r="N5115" s="18"/>
      <c r="O5115" s="14"/>
      <c r="P5115" s="17"/>
      <c r="Q5115" s="19">
        <v>8142</v>
      </c>
      <c r="R5115" s="14" t="e">
        <v>#N/A</v>
      </c>
      <c r="S5115" s="19" t="e">
        <v>#N/A</v>
      </c>
      <c r="T5115" s="17"/>
      <c r="U5115" s="17"/>
      <c r="V5115" s="17"/>
      <c r="W5115" s="4"/>
      <c r="X5115" s="17"/>
      <c r="Y5115" s="4"/>
      <c r="Z5115" s="17"/>
      <c r="AA5115" s="17"/>
      <c r="AB5115" s="17"/>
      <c r="AC5115" s="14"/>
      <c r="AD5115" s="14"/>
      <c r="AE5115" s="17"/>
      <c r="AF5115" s="14"/>
      <c r="AG5115" s="54"/>
      <c r="AH5115" s="11"/>
      <c r="AI5115" s="14"/>
      <c r="AJ5115" s="19">
        <v>0</v>
      </c>
      <c r="AK5115" s="23">
        <v>0</v>
      </c>
      <c r="AL5115" s="11"/>
      <c r="AM5115" s="19">
        <v>0</v>
      </c>
      <c r="AN5115" s="19" t="e">
        <v>#N/A</v>
      </c>
      <c r="AO5115" s="14"/>
      <c r="AP5115" s="14" t="e">
        <v>#N/A</v>
      </c>
      <c r="AQ5115" s="12">
        <v>1E-4</v>
      </c>
      <c r="AS5115" s="26"/>
    </row>
    <row r="5116" spans="1:45" s="19" customFormat="1" x14ac:dyDescent="0.2">
      <c r="A5116" s="2"/>
      <c r="B5116" s="13">
        <v>19</v>
      </c>
      <c r="C5116" s="17" t="s">
        <v>65</v>
      </c>
      <c r="D5116" s="17">
        <v>370</v>
      </c>
      <c r="E5116" s="17">
        <v>117</v>
      </c>
      <c r="F5116" s="17"/>
      <c r="G5116" s="13"/>
      <c r="H5116" s="17">
        <v>10</v>
      </c>
      <c r="I5116" s="17">
        <v>2</v>
      </c>
      <c r="J5116" s="17">
        <v>23</v>
      </c>
      <c r="K5116" s="10">
        <v>4223</v>
      </c>
      <c r="L5116" s="17"/>
      <c r="M5116" s="15"/>
      <c r="N5116" s="18"/>
      <c r="O5116" s="14"/>
      <c r="P5116" s="17"/>
      <c r="Q5116" s="19">
        <v>4223</v>
      </c>
      <c r="R5116" s="14" t="e">
        <v>#N/A</v>
      </c>
      <c r="S5116" s="19" t="e">
        <v>#N/A</v>
      </c>
      <c r="T5116" s="17"/>
      <c r="U5116" s="17"/>
      <c r="V5116" s="17"/>
      <c r="W5116" s="4"/>
      <c r="X5116" s="17"/>
      <c r="Y5116" s="4"/>
      <c r="Z5116" s="17"/>
      <c r="AA5116" s="17"/>
      <c r="AB5116" s="17"/>
      <c r="AC5116" s="14"/>
      <c r="AD5116" s="14"/>
      <c r="AE5116" s="17" t="s">
        <v>94</v>
      </c>
      <c r="AF5116" s="14"/>
      <c r="AG5116" s="54"/>
      <c r="AH5116" s="11"/>
      <c r="AI5116" s="14"/>
      <c r="AJ5116" s="19">
        <v>0</v>
      </c>
      <c r="AK5116" s="23">
        <v>0</v>
      </c>
      <c r="AL5116" s="11"/>
      <c r="AM5116" s="19">
        <v>0</v>
      </c>
      <c r="AN5116" s="19" t="e">
        <v>#N/A</v>
      </c>
      <c r="AO5116" s="14"/>
      <c r="AP5116" s="14" t="e">
        <v>#N/A</v>
      </c>
      <c r="AQ5116" s="12">
        <v>1E-4</v>
      </c>
      <c r="AS5116" s="26"/>
    </row>
    <row r="5117" spans="1:45" s="19" customFormat="1" x14ac:dyDescent="0.2">
      <c r="A5117" s="2"/>
      <c r="B5117" s="13">
        <v>20</v>
      </c>
      <c r="C5117" s="17" t="s">
        <v>65</v>
      </c>
      <c r="D5117" s="17">
        <v>372</v>
      </c>
      <c r="E5117" s="17">
        <v>119</v>
      </c>
      <c r="F5117" s="17"/>
      <c r="G5117" s="13"/>
      <c r="H5117" s="17">
        <v>8</v>
      </c>
      <c r="I5117" s="17">
        <v>0</v>
      </c>
      <c r="J5117" s="17">
        <v>80</v>
      </c>
      <c r="K5117" s="10">
        <v>3280</v>
      </c>
      <c r="L5117" s="17"/>
      <c r="M5117" s="15"/>
      <c r="N5117" s="18"/>
      <c r="O5117" s="14"/>
      <c r="P5117" s="17"/>
      <c r="Q5117" s="19">
        <v>3280</v>
      </c>
      <c r="R5117" s="14" t="e">
        <v>#N/A</v>
      </c>
      <c r="S5117" s="19" t="e">
        <v>#N/A</v>
      </c>
      <c r="T5117" s="17"/>
      <c r="U5117" s="17"/>
      <c r="V5117" s="17"/>
      <c r="W5117" s="4"/>
      <c r="X5117" s="17"/>
      <c r="Y5117" s="4"/>
      <c r="Z5117" s="17"/>
      <c r="AA5117" s="17"/>
      <c r="AB5117" s="17"/>
      <c r="AC5117" s="14"/>
      <c r="AD5117" s="14"/>
      <c r="AE5117" s="17" t="s">
        <v>94</v>
      </c>
      <c r="AF5117" s="14"/>
      <c r="AG5117" s="54"/>
      <c r="AH5117" s="11"/>
      <c r="AI5117" s="14"/>
      <c r="AJ5117" s="19">
        <v>0</v>
      </c>
      <c r="AK5117" s="23">
        <v>0</v>
      </c>
      <c r="AL5117" s="11"/>
      <c r="AM5117" s="19">
        <v>0</v>
      </c>
      <c r="AN5117" s="19" t="e">
        <v>#N/A</v>
      </c>
      <c r="AO5117" s="14"/>
      <c r="AP5117" s="14" t="e">
        <v>#N/A</v>
      </c>
      <c r="AQ5117" s="12">
        <v>1E-4</v>
      </c>
      <c r="AS5117" s="26"/>
    </row>
    <row r="5118" spans="1:45" s="19" customFormat="1" x14ac:dyDescent="0.2">
      <c r="A5118" s="2"/>
      <c r="B5118" s="13">
        <v>21</v>
      </c>
      <c r="C5118" s="17" t="s">
        <v>65</v>
      </c>
      <c r="D5118" s="17">
        <v>373</v>
      </c>
      <c r="E5118" s="17">
        <v>120</v>
      </c>
      <c r="F5118" s="17"/>
      <c r="G5118" s="13"/>
      <c r="H5118" s="17">
        <v>8</v>
      </c>
      <c r="I5118" s="17">
        <v>3</v>
      </c>
      <c r="J5118" s="17">
        <v>53</v>
      </c>
      <c r="K5118" s="10">
        <v>3553</v>
      </c>
      <c r="L5118" s="17"/>
      <c r="M5118" s="15"/>
      <c r="N5118" s="18"/>
      <c r="O5118" s="14"/>
      <c r="P5118" s="17"/>
      <c r="Q5118" s="19">
        <v>3553</v>
      </c>
      <c r="R5118" s="14" t="e">
        <v>#N/A</v>
      </c>
      <c r="S5118" s="19" t="e">
        <v>#N/A</v>
      </c>
      <c r="T5118" s="17"/>
      <c r="U5118" s="17"/>
      <c r="V5118" s="17"/>
      <c r="W5118" s="4"/>
      <c r="X5118" s="17"/>
      <c r="Y5118" s="4"/>
      <c r="Z5118" s="17"/>
      <c r="AA5118" s="17"/>
      <c r="AB5118" s="17"/>
      <c r="AC5118" s="14"/>
      <c r="AD5118" s="14"/>
      <c r="AE5118" s="17" t="s">
        <v>94</v>
      </c>
      <c r="AF5118" s="14"/>
      <c r="AG5118" s="54"/>
      <c r="AH5118" s="11"/>
      <c r="AI5118" s="14"/>
      <c r="AJ5118" s="19">
        <v>0</v>
      </c>
      <c r="AK5118" s="23">
        <v>0</v>
      </c>
      <c r="AL5118" s="11"/>
      <c r="AM5118" s="19">
        <v>0</v>
      </c>
      <c r="AN5118" s="19" t="e">
        <v>#N/A</v>
      </c>
      <c r="AO5118" s="14"/>
      <c r="AP5118" s="14" t="e">
        <v>#N/A</v>
      </c>
      <c r="AQ5118" s="12">
        <v>1E-4</v>
      </c>
      <c r="AS5118" s="26"/>
    </row>
    <row r="5119" spans="1:45" s="19" customFormat="1" x14ac:dyDescent="0.2">
      <c r="A5119" s="2"/>
      <c r="B5119" s="13">
        <v>23</v>
      </c>
      <c r="C5119" s="17" t="s">
        <v>65</v>
      </c>
      <c r="D5119" s="17">
        <v>516</v>
      </c>
      <c r="E5119" s="17">
        <v>132</v>
      </c>
      <c r="F5119" s="17"/>
      <c r="G5119" s="13"/>
      <c r="H5119" s="17">
        <v>11</v>
      </c>
      <c r="I5119" s="17">
        <v>1</v>
      </c>
      <c r="J5119" s="17">
        <v>77</v>
      </c>
      <c r="K5119" s="10">
        <v>4577</v>
      </c>
      <c r="L5119" s="17"/>
      <c r="M5119" s="15"/>
      <c r="N5119" s="18"/>
      <c r="O5119" s="14"/>
      <c r="P5119" s="17"/>
      <c r="Q5119" s="19">
        <v>4577</v>
      </c>
      <c r="R5119" s="14" t="e">
        <v>#N/A</v>
      </c>
      <c r="S5119" s="19" t="e">
        <v>#N/A</v>
      </c>
      <c r="T5119" s="17"/>
      <c r="U5119" s="17"/>
      <c r="V5119" s="17"/>
      <c r="W5119" s="4"/>
      <c r="X5119" s="17"/>
      <c r="Y5119" s="4"/>
      <c r="Z5119" s="17"/>
      <c r="AA5119" s="17"/>
      <c r="AB5119" s="17"/>
      <c r="AC5119" s="14"/>
      <c r="AD5119" s="14"/>
      <c r="AE5119" s="17" t="s">
        <v>94</v>
      </c>
      <c r="AF5119" s="14"/>
      <c r="AG5119" s="54"/>
      <c r="AH5119" s="11"/>
      <c r="AI5119" s="14"/>
      <c r="AJ5119" s="19">
        <v>0</v>
      </c>
      <c r="AK5119" s="23">
        <v>0</v>
      </c>
      <c r="AL5119" s="11"/>
      <c r="AM5119" s="19">
        <v>0</v>
      </c>
      <c r="AN5119" s="19" t="e">
        <v>#N/A</v>
      </c>
      <c r="AO5119" s="14"/>
      <c r="AP5119" s="14" t="e">
        <v>#N/A</v>
      </c>
      <c r="AQ5119" s="12">
        <v>1E-4</v>
      </c>
      <c r="AS5119" s="26"/>
    </row>
    <row r="5120" spans="1:45" s="19" customFormat="1" ht="42" x14ac:dyDescent="0.2">
      <c r="A5120" s="2">
        <v>4301</v>
      </c>
      <c r="B5120" s="13">
        <v>24</v>
      </c>
      <c r="C5120" s="17" t="s">
        <v>65</v>
      </c>
      <c r="D5120" s="17">
        <v>1985</v>
      </c>
      <c r="E5120" s="17">
        <v>1</v>
      </c>
      <c r="F5120" s="17"/>
      <c r="G5120" s="13"/>
      <c r="H5120" s="17">
        <v>14</v>
      </c>
      <c r="I5120" s="17">
        <v>2</v>
      </c>
      <c r="J5120" s="17">
        <v>56</v>
      </c>
      <c r="K5120" s="10">
        <v>5856</v>
      </c>
      <c r="L5120" s="17"/>
      <c r="M5120" s="15"/>
      <c r="N5120" s="18"/>
      <c r="O5120" s="14"/>
      <c r="P5120" s="17"/>
      <c r="Q5120" s="19">
        <v>5856</v>
      </c>
      <c r="R5120" s="14">
        <v>2000</v>
      </c>
      <c r="S5120" s="19">
        <v>11712000</v>
      </c>
      <c r="T5120" s="17"/>
      <c r="U5120" s="17"/>
      <c r="V5120" s="17"/>
      <c r="W5120" s="4"/>
      <c r="X5120" s="17"/>
      <c r="Y5120" s="4"/>
      <c r="Z5120" s="17"/>
      <c r="AA5120" s="17"/>
      <c r="AB5120" s="17"/>
      <c r="AC5120" s="14"/>
      <c r="AD5120" s="14"/>
      <c r="AE5120" s="17" t="s">
        <v>94</v>
      </c>
      <c r="AF5120" s="14"/>
      <c r="AG5120" s="54"/>
      <c r="AH5120" s="11"/>
      <c r="AI5120" s="14"/>
      <c r="AJ5120" s="19">
        <v>0</v>
      </c>
      <c r="AK5120" s="23">
        <v>0</v>
      </c>
      <c r="AL5120" s="11"/>
      <c r="AM5120" s="19">
        <v>0</v>
      </c>
      <c r="AN5120" s="19">
        <v>11712000</v>
      </c>
      <c r="AO5120" s="14"/>
      <c r="AP5120" s="14">
        <v>11712000</v>
      </c>
      <c r="AQ5120" s="12">
        <v>1E-4</v>
      </c>
      <c r="AS5120" s="26"/>
    </row>
    <row r="5121" spans="1:45" x14ac:dyDescent="0.2">
      <c r="B5121" s="13">
        <v>25</v>
      </c>
      <c r="C5121" s="17" t="s">
        <v>65</v>
      </c>
      <c r="D5121" s="17">
        <v>2579</v>
      </c>
      <c r="E5121" s="17">
        <v>152</v>
      </c>
      <c r="H5121" s="17">
        <v>5</v>
      </c>
      <c r="I5121" s="17">
        <v>3</v>
      </c>
      <c r="J5121" s="17">
        <v>1</v>
      </c>
      <c r="K5121" s="10">
        <v>2301</v>
      </c>
      <c r="Q5121" s="19">
        <v>2301</v>
      </c>
      <c r="R5121" s="14" t="e">
        <v>#N/A</v>
      </c>
      <c r="S5121" s="19" t="e">
        <v>#N/A</v>
      </c>
      <c r="AJ5121" s="19">
        <v>0</v>
      </c>
      <c r="AK5121" s="23">
        <v>0</v>
      </c>
      <c r="AM5121" s="19">
        <v>0</v>
      </c>
      <c r="AN5121" s="19" t="e">
        <v>#N/A</v>
      </c>
      <c r="AP5121" s="14" t="e">
        <v>#N/A</v>
      </c>
      <c r="AQ5121" s="12">
        <v>1E-4</v>
      </c>
    </row>
    <row r="5122" spans="1:45" x14ac:dyDescent="0.2">
      <c r="A5122" s="2">
        <v>4302</v>
      </c>
      <c r="B5122" s="13">
        <v>27</v>
      </c>
      <c r="C5122" s="17" t="s">
        <v>65</v>
      </c>
      <c r="D5122" s="17">
        <v>2763</v>
      </c>
      <c r="E5122" s="17">
        <v>181</v>
      </c>
      <c r="H5122" s="17">
        <v>0</v>
      </c>
      <c r="I5122" s="17">
        <v>0</v>
      </c>
      <c r="J5122" s="17">
        <v>64</v>
      </c>
      <c r="N5122" s="18">
        <v>64</v>
      </c>
      <c r="Q5122" s="19">
        <v>64</v>
      </c>
      <c r="R5122" s="14">
        <v>160</v>
      </c>
      <c r="S5122" s="19">
        <v>10240</v>
      </c>
      <c r="AJ5122" s="19">
        <v>0</v>
      </c>
      <c r="AK5122" s="23">
        <v>0</v>
      </c>
      <c r="AM5122" s="19">
        <v>0</v>
      </c>
      <c r="AN5122" s="19">
        <v>10240</v>
      </c>
      <c r="AP5122" s="14">
        <v>10240</v>
      </c>
      <c r="AQ5122" s="12">
        <v>3.0000000000000001E-3</v>
      </c>
    </row>
    <row r="5123" spans="1:45" x14ac:dyDescent="0.2">
      <c r="A5123" s="2">
        <v>4303</v>
      </c>
      <c r="B5123" s="13">
        <v>1</v>
      </c>
      <c r="C5123" s="17" t="s">
        <v>52</v>
      </c>
      <c r="D5123" s="17">
        <v>17657</v>
      </c>
      <c r="E5123" s="17">
        <v>10</v>
      </c>
      <c r="F5123" s="17">
        <v>3785</v>
      </c>
      <c r="G5123" s="13">
        <v>3</v>
      </c>
      <c r="H5123" s="17">
        <v>3</v>
      </c>
      <c r="I5123" s="17">
        <v>3</v>
      </c>
      <c r="J5123" s="17">
        <v>44</v>
      </c>
      <c r="K5123" s="10">
        <v>1544</v>
      </c>
      <c r="P5123" s="17">
        <v>1</v>
      </c>
      <c r="Q5123" s="19">
        <v>1544</v>
      </c>
      <c r="R5123" s="14">
        <v>160</v>
      </c>
      <c r="S5123" s="19">
        <v>247040</v>
      </c>
      <c r="AJ5123" s="19">
        <v>0</v>
      </c>
      <c r="AK5123" s="23">
        <v>0</v>
      </c>
      <c r="AM5123" s="19">
        <v>0</v>
      </c>
      <c r="AN5123" s="19">
        <v>247040</v>
      </c>
      <c r="AP5123" s="14">
        <v>247040</v>
      </c>
      <c r="AS5123" s="26">
        <v>92</v>
      </c>
    </row>
    <row r="5124" spans="1:45" x14ac:dyDescent="0.2">
      <c r="A5124" s="2">
        <v>4304</v>
      </c>
      <c r="B5124" s="13">
        <v>2</v>
      </c>
      <c r="C5124" s="17" t="s">
        <v>52</v>
      </c>
      <c r="D5124" s="17">
        <v>17658</v>
      </c>
      <c r="E5124" s="17">
        <v>9</v>
      </c>
      <c r="F5124" s="17">
        <v>3786</v>
      </c>
      <c r="G5124" s="13">
        <v>3</v>
      </c>
      <c r="H5124" s="17">
        <v>9</v>
      </c>
      <c r="I5124" s="17">
        <v>3</v>
      </c>
      <c r="J5124" s="17">
        <v>8</v>
      </c>
      <c r="K5124" s="10">
        <v>3908</v>
      </c>
      <c r="P5124" s="17">
        <v>1</v>
      </c>
      <c r="Q5124" s="19">
        <v>3908</v>
      </c>
      <c r="R5124" s="14">
        <v>200</v>
      </c>
      <c r="S5124" s="19">
        <v>781600</v>
      </c>
      <c r="AJ5124" s="19">
        <v>0</v>
      </c>
      <c r="AK5124" s="23">
        <v>0</v>
      </c>
      <c r="AM5124" s="19">
        <v>0</v>
      </c>
      <c r="AN5124" s="19">
        <v>781600</v>
      </c>
      <c r="AP5124" s="14">
        <v>781600</v>
      </c>
    </row>
    <row r="5125" spans="1:45" x14ac:dyDescent="0.2">
      <c r="B5125" s="13">
        <v>3</v>
      </c>
      <c r="C5125" s="17" t="s">
        <v>52</v>
      </c>
      <c r="D5125" s="17">
        <v>36614</v>
      </c>
      <c r="E5125" s="17">
        <v>2</v>
      </c>
      <c r="F5125" s="17">
        <v>7162</v>
      </c>
      <c r="G5125" s="13">
        <v>3</v>
      </c>
      <c r="H5125" s="17">
        <v>4</v>
      </c>
      <c r="I5125" s="17">
        <v>2</v>
      </c>
      <c r="J5125" s="17">
        <v>94</v>
      </c>
      <c r="K5125" s="10" t="s">
        <v>459</v>
      </c>
      <c r="P5125" s="17">
        <v>1</v>
      </c>
      <c r="Q5125" s="19">
        <v>1894</v>
      </c>
      <c r="R5125" s="14" t="e">
        <v>#N/A</v>
      </c>
      <c r="S5125" s="19" t="e">
        <v>#N/A</v>
      </c>
    </row>
    <row r="5126" spans="1:45" x14ac:dyDescent="0.2">
      <c r="A5126" s="2">
        <v>4305</v>
      </c>
      <c r="B5126" s="13">
        <v>3</v>
      </c>
      <c r="C5126" s="17" t="s">
        <v>65</v>
      </c>
      <c r="D5126" s="17">
        <v>2584</v>
      </c>
      <c r="E5126" s="17">
        <v>154</v>
      </c>
      <c r="H5126" s="17">
        <v>2</v>
      </c>
      <c r="I5126" s="17">
        <v>1</v>
      </c>
      <c r="J5126" s="17">
        <v>40</v>
      </c>
      <c r="K5126" s="10">
        <v>940</v>
      </c>
      <c r="Q5126" s="19">
        <v>940</v>
      </c>
      <c r="R5126" s="14">
        <v>200</v>
      </c>
      <c r="S5126" s="19">
        <v>188000</v>
      </c>
      <c r="AE5126" s="17" t="s">
        <v>94</v>
      </c>
      <c r="AJ5126" s="19">
        <v>0</v>
      </c>
      <c r="AK5126" s="23">
        <v>0</v>
      </c>
      <c r="AM5126" s="19">
        <v>0</v>
      </c>
      <c r="AN5126" s="19">
        <v>188000</v>
      </c>
      <c r="AP5126" s="14">
        <v>188000</v>
      </c>
      <c r="AQ5126" s="12">
        <v>1E-4</v>
      </c>
    </row>
    <row r="5127" spans="1:45" x14ac:dyDescent="0.2">
      <c r="A5127" s="2">
        <v>4306</v>
      </c>
      <c r="B5127" s="13">
        <v>4</v>
      </c>
      <c r="C5127" s="17" t="s">
        <v>65</v>
      </c>
      <c r="D5127" s="17">
        <v>2585</v>
      </c>
      <c r="E5127" s="17">
        <v>155</v>
      </c>
      <c r="H5127" s="17">
        <v>7</v>
      </c>
      <c r="I5127" s="17">
        <v>3</v>
      </c>
      <c r="J5127" s="17">
        <v>17</v>
      </c>
      <c r="K5127" s="10">
        <v>3117</v>
      </c>
      <c r="Q5127" s="19">
        <v>3117</v>
      </c>
      <c r="R5127" s="14">
        <v>200</v>
      </c>
      <c r="S5127" s="19">
        <v>623400</v>
      </c>
      <c r="AE5127" s="17" t="s">
        <v>94</v>
      </c>
      <c r="AJ5127" s="19">
        <v>0</v>
      </c>
      <c r="AK5127" s="23">
        <v>0</v>
      </c>
      <c r="AM5127" s="19">
        <v>0</v>
      </c>
      <c r="AN5127" s="19">
        <v>623400</v>
      </c>
      <c r="AP5127" s="14">
        <v>623400</v>
      </c>
      <c r="AQ5127" s="12">
        <v>1E-4</v>
      </c>
    </row>
    <row r="5128" spans="1:45" x14ac:dyDescent="0.2">
      <c r="B5128" s="13">
        <v>1</v>
      </c>
      <c r="C5128" s="17" t="s">
        <v>65</v>
      </c>
      <c r="D5128" s="17">
        <v>163</v>
      </c>
      <c r="E5128" s="17">
        <v>31</v>
      </c>
      <c r="H5128" s="17">
        <v>5</v>
      </c>
      <c r="I5128" s="17">
        <v>2</v>
      </c>
      <c r="J5128" s="17">
        <v>20</v>
      </c>
      <c r="K5128" s="10">
        <v>2220</v>
      </c>
      <c r="Q5128" s="19">
        <v>2220</v>
      </c>
      <c r="R5128" s="14" t="e">
        <v>#N/A</v>
      </c>
      <c r="S5128" s="19" t="e">
        <v>#N/A</v>
      </c>
      <c r="AE5128" s="17" t="s">
        <v>94</v>
      </c>
      <c r="AJ5128" s="19">
        <v>0</v>
      </c>
      <c r="AK5128" s="23">
        <v>0</v>
      </c>
      <c r="AM5128" s="19">
        <v>0</v>
      </c>
      <c r="AN5128" s="19" t="e">
        <v>#N/A</v>
      </c>
      <c r="AP5128" s="14" t="e">
        <v>#N/A</v>
      </c>
      <c r="AQ5128" s="12">
        <v>1E-4</v>
      </c>
    </row>
    <row r="5129" spans="1:45" ht="63" x14ac:dyDescent="0.2">
      <c r="A5129" s="2">
        <v>4307</v>
      </c>
      <c r="B5129" s="13">
        <v>1</v>
      </c>
      <c r="C5129" s="17" t="s">
        <v>52</v>
      </c>
      <c r="D5129" s="17">
        <v>2358</v>
      </c>
      <c r="E5129" s="17">
        <v>114</v>
      </c>
      <c r="F5129" s="17">
        <v>1554</v>
      </c>
      <c r="G5129" s="13">
        <v>3</v>
      </c>
      <c r="H5129" s="17">
        <v>0</v>
      </c>
      <c r="I5129" s="17">
        <v>2</v>
      </c>
      <c r="J5129" s="17">
        <v>14</v>
      </c>
      <c r="L5129" s="17">
        <v>187</v>
      </c>
      <c r="P5129" s="17">
        <v>2</v>
      </c>
      <c r="Q5129" s="19">
        <v>214</v>
      </c>
      <c r="R5129" s="14">
        <v>200</v>
      </c>
      <c r="S5129" s="19">
        <v>42800</v>
      </c>
      <c r="T5129" s="17">
        <v>1</v>
      </c>
      <c r="U5129" s="17" t="s">
        <v>57</v>
      </c>
      <c r="V5129" s="17" t="s">
        <v>56</v>
      </c>
      <c r="W5129" s="4">
        <v>36</v>
      </c>
      <c r="Y5129" s="4">
        <v>36</v>
      </c>
      <c r="AJ5129" s="19">
        <v>0</v>
      </c>
      <c r="AK5129" s="23">
        <v>0</v>
      </c>
      <c r="AM5129" s="19">
        <v>0</v>
      </c>
      <c r="AN5129" s="19">
        <v>42800</v>
      </c>
      <c r="AP5129" s="14">
        <v>42800</v>
      </c>
    </row>
    <row r="5130" spans="1:45" ht="63" x14ac:dyDescent="0.2">
      <c r="L5130" s="17">
        <v>27</v>
      </c>
      <c r="P5130" s="17">
        <v>2</v>
      </c>
      <c r="Q5130" s="19">
        <v>0</v>
      </c>
      <c r="R5130" s="14" t="e">
        <v>#N/A</v>
      </c>
      <c r="S5130" s="19" t="e">
        <v>#N/A</v>
      </c>
      <c r="T5130" s="17">
        <v>2</v>
      </c>
      <c r="U5130" s="17" t="s">
        <v>57</v>
      </c>
      <c r="V5130" s="17" t="s">
        <v>56</v>
      </c>
      <c r="W5130" s="4">
        <v>108</v>
      </c>
      <c r="Y5130" s="4">
        <v>108</v>
      </c>
      <c r="AB5130" s="17">
        <v>36</v>
      </c>
      <c r="AJ5130" s="19">
        <v>0</v>
      </c>
      <c r="AK5130" s="23">
        <v>36</v>
      </c>
      <c r="AM5130" s="19">
        <v>0</v>
      </c>
      <c r="AN5130" s="19" t="e">
        <v>#N/A</v>
      </c>
      <c r="AP5130" s="14" t="e">
        <v>#N/A</v>
      </c>
    </row>
    <row r="5131" spans="1:45" x14ac:dyDescent="0.2">
      <c r="A5131" s="2">
        <v>4308</v>
      </c>
      <c r="B5131" s="13">
        <v>1</v>
      </c>
      <c r="C5131" s="17" t="s">
        <v>52</v>
      </c>
      <c r="D5131" s="17">
        <v>23858</v>
      </c>
      <c r="E5131" s="17">
        <v>146</v>
      </c>
      <c r="F5131" s="17">
        <v>4815</v>
      </c>
      <c r="G5131" s="13">
        <v>3</v>
      </c>
      <c r="H5131" s="17">
        <v>0</v>
      </c>
      <c r="I5131" s="17">
        <v>1</v>
      </c>
      <c r="J5131" s="17">
        <v>81</v>
      </c>
      <c r="Q5131" s="19">
        <v>181</v>
      </c>
      <c r="R5131" s="14">
        <v>200</v>
      </c>
      <c r="S5131" s="19">
        <v>36200</v>
      </c>
      <c r="AE5131" s="17" t="s">
        <v>460</v>
      </c>
      <c r="AJ5131" s="19">
        <v>0</v>
      </c>
      <c r="AK5131" s="23">
        <v>0</v>
      </c>
      <c r="AM5131" s="19">
        <v>0</v>
      </c>
      <c r="AN5131" s="19">
        <v>36200</v>
      </c>
      <c r="AP5131" s="14">
        <v>36200</v>
      </c>
    </row>
    <row r="5132" spans="1:45" ht="63" x14ac:dyDescent="0.2">
      <c r="A5132" s="2">
        <f>+A5131+1</f>
        <v>4309</v>
      </c>
      <c r="B5132" s="13">
        <v>1</v>
      </c>
      <c r="C5132" s="17" t="s">
        <v>52</v>
      </c>
      <c r="D5132" s="17">
        <v>23862</v>
      </c>
      <c r="E5132" s="17">
        <v>29</v>
      </c>
      <c r="F5132" s="17">
        <v>4819</v>
      </c>
      <c r="G5132" s="13">
        <v>3</v>
      </c>
      <c r="H5132" s="17">
        <v>0</v>
      </c>
      <c r="I5132" s="17">
        <v>0</v>
      </c>
      <c r="J5132" s="17">
        <v>79</v>
      </c>
      <c r="L5132" s="17">
        <v>79</v>
      </c>
      <c r="P5132" s="17">
        <v>2</v>
      </c>
      <c r="Q5132" s="19">
        <v>79</v>
      </c>
      <c r="R5132" s="14">
        <v>200</v>
      </c>
      <c r="S5132" s="19">
        <v>15800</v>
      </c>
      <c r="T5132" s="17">
        <v>1</v>
      </c>
      <c r="U5132" s="17" t="s">
        <v>57</v>
      </c>
      <c r="V5132" s="17" t="s">
        <v>56</v>
      </c>
      <c r="W5132" s="4">
        <v>85</v>
      </c>
      <c r="Y5132" s="4">
        <v>85</v>
      </c>
      <c r="AB5132" s="17">
        <v>31</v>
      </c>
      <c r="AJ5132" s="19">
        <v>0</v>
      </c>
      <c r="AK5132" s="23">
        <v>31</v>
      </c>
      <c r="AM5132" s="19">
        <v>0</v>
      </c>
      <c r="AN5132" s="19">
        <v>15800</v>
      </c>
      <c r="AP5132" s="14">
        <v>15800</v>
      </c>
    </row>
    <row r="5133" spans="1:45" x14ac:dyDescent="0.2">
      <c r="A5133" s="122">
        <f t="shared" ref="A5133:A5139" si="574">+A5132+1</f>
        <v>4310</v>
      </c>
      <c r="B5133" s="13">
        <v>1</v>
      </c>
      <c r="C5133" s="17" t="s">
        <v>52</v>
      </c>
      <c r="D5133" s="17">
        <v>23863</v>
      </c>
      <c r="E5133" s="17">
        <v>30</v>
      </c>
      <c r="F5133" s="17">
        <v>4820</v>
      </c>
      <c r="G5133" s="13">
        <v>3</v>
      </c>
      <c r="H5133" s="17">
        <v>0</v>
      </c>
      <c r="I5133" s="17">
        <v>0</v>
      </c>
      <c r="J5133" s="17">
        <v>78</v>
      </c>
      <c r="N5133" s="18">
        <v>78</v>
      </c>
      <c r="P5133" s="17">
        <v>4</v>
      </c>
      <c r="Q5133" s="19">
        <v>78</v>
      </c>
      <c r="R5133" s="14">
        <v>200</v>
      </c>
      <c r="S5133" s="19">
        <v>15600</v>
      </c>
      <c r="AJ5133" s="19">
        <v>0</v>
      </c>
      <c r="AK5133" s="23">
        <v>0</v>
      </c>
      <c r="AM5133" s="19">
        <v>0</v>
      </c>
      <c r="AN5133" s="19">
        <v>15600</v>
      </c>
      <c r="AP5133" s="14">
        <v>15600</v>
      </c>
      <c r="AQ5133" s="12">
        <v>3.0000000000000001E-3</v>
      </c>
    </row>
    <row r="5134" spans="1:45" ht="63" x14ac:dyDescent="0.2">
      <c r="A5134" s="122">
        <f t="shared" si="574"/>
        <v>4311</v>
      </c>
      <c r="B5134" s="13">
        <v>1</v>
      </c>
      <c r="C5134" s="17" t="s">
        <v>52</v>
      </c>
      <c r="D5134" s="17">
        <v>23864</v>
      </c>
      <c r="E5134" s="17">
        <v>31</v>
      </c>
      <c r="F5134" s="17">
        <v>4821</v>
      </c>
      <c r="G5134" s="13">
        <v>3</v>
      </c>
      <c r="H5134" s="17">
        <v>0</v>
      </c>
      <c r="I5134" s="17">
        <v>1</v>
      </c>
      <c r="J5134" s="17">
        <v>69</v>
      </c>
      <c r="L5134" s="17">
        <v>169</v>
      </c>
      <c r="P5134" s="17">
        <v>2</v>
      </c>
      <c r="Q5134" s="19">
        <v>169</v>
      </c>
      <c r="R5134" s="14">
        <v>200</v>
      </c>
      <c r="S5134" s="19">
        <v>33800</v>
      </c>
      <c r="T5134" s="17">
        <v>1</v>
      </c>
      <c r="U5134" s="17" t="s">
        <v>57</v>
      </c>
      <c r="V5134" s="17" t="s">
        <v>56</v>
      </c>
      <c r="W5134" s="4">
        <v>81.25</v>
      </c>
      <c r="Y5134" s="4">
        <v>81.25</v>
      </c>
      <c r="AB5134" s="17">
        <v>32</v>
      </c>
      <c r="AJ5134" s="19">
        <v>0</v>
      </c>
      <c r="AK5134" s="23">
        <v>32</v>
      </c>
      <c r="AM5134" s="19">
        <v>0</v>
      </c>
      <c r="AN5134" s="19">
        <v>33800</v>
      </c>
      <c r="AP5134" s="14">
        <v>33800</v>
      </c>
    </row>
    <row r="5135" spans="1:45" ht="63" x14ac:dyDescent="0.2">
      <c r="A5135" s="122">
        <f t="shared" si="574"/>
        <v>4312</v>
      </c>
      <c r="B5135" s="13">
        <v>1</v>
      </c>
      <c r="C5135" s="17" t="s">
        <v>52</v>
      </c>
      <c r="D5135" s="17">
        <v>1653</v>
      </c>
      <c r="E5135" s="17">
        <v>36</v>
      </c>
      <c r="F5135" s="17">
        <v>1459</v>
      </c>
      <c r="G5135" s="13">
        <v>3</v>
      </c>
      <c r="H5135" s="17">
        <v>3</v>
      </c>
      <c r="I5135" s="17">
        <v>3</v>
      </c>
      <c r="J5135" s="17">
        <v>92</v>
      </c>
      <c r="K5135" s="10">
        <v>1557</v>
      </c>
      <c r="L5135" s="17">
        <v>35</v>
      </c>
      <c r="P5135" s="17">
        <v>5</v>
      </c>
      <c r="Q5135" s="19">
        <v>1592</v>
      </c>
      <c r="R5135" s="14">
        <v>200</v>
      </c>
      <c r="S5135" s="19">
        <v>318400</v>
      </c>
      <c r="T5135" s="17">
        <v>1</v>
      </c>
      <c r="U5135" s="17" t="s">
        <v>57</v>
      </c>
      <c r="V5135" s="17" t="s">
        <v>56</v>
      </c>
      <c r="W5135" s="4">
        <v>140</v>
      </c>
      <c r="Y5135" s="4">
        <v>140</v>
      </c>
      <c r="AB5135" s="17">
        <v>31</v>
      </c>
      <c r="AJ5135" s="19">
        <v>0</v>
      </c>
      <c r="AK5135" s="23">
        <v>31</v>
      </c>
      <c r="AM5135" s="19">
        <v>0</v>
      </c>
      <c r="AN5135" s="19">
        <v>318400</v>
      </c>
      <c r="AP5135" s="14">
        <v>318400</v>
      </c>
    </row>
    <row r="5136" spans="1:45" ht="63" x14ac:dyDescent="0.2">
      <c r="A5136" s="122">
        <f t="shared" si="574"/>
        <v>4313</v>
      </c>
      <c r="B5136" s="13">
        <v>1</v>
      </c>
      <c r="C5136" s="17" t="s">
        <v>52</v>
      </c>
      <c r="D5136" s="17">
        <v>34200</v>
      </c>
      <c r="E5136" s="17">
        <v>178</v>
      </c>
      <c r="F5136" s="17">
        <v>6794</v>
      </c>
      <c r="H5136" s="17">
        <v>0</v>
      </c>
      <c r="I5136" s="17">
        <v>0</v>
      </c>
      <c r="J5136" s="17">
        <v>92</v>
      </c>
      <c r="L5136" s="17">
        <v>92</v>
      </c>
      <c r="P5136" s="17">
        <v>2</v>
      </c>
      <c r="Q5136" s="19">
        <v>92</v>
      </c>
      <c r="R5136" s="14">
        <v>2000</v>
      </c>
      <c r="S5136" s="19">
        <v>184000</v>
      </c>
      <c r="T5136" s="17">
        <v>1</v>
      </c>
      <c r="U5136" s="17" t="s">
        <v>57</v>
      </c>
      <c r="V5136" s="17" t="s">
        <v>56</v>
      </c>
      <c r="W5136" s="4">
        <v>98</v>
      </c>
      <c r="Y5136" s="4">
        <v>98</v>
      </c>
      <c r="AB5136" s="17">
        <v>29</v>
      </c>
      <c r="AJ5136" s="19">
        <v>0</v>
      </c>
      <c r="AK5136" s="23">
        <v>29</v>
      </c>
      <c r="AM5136" s="19">
        <v>0</v>
      </c>
      <c r="AN5136" s="19">
        <v>184000</v>
      </c>
      <c r="AP5136" s="14">
        <v>184000</v>
      </c>
    </row>
    <row r="5137" spans="1:45" x14ac:dyDescent="0.2">
      <c r="A5137" s="122">
        <f t="shared" si="574"/>
        <v>4314</v>
      </c>
      <c r="B5137" s="13">
        <v>1</v>
      </c>
      <c r="C5137" s="17" t="s">
        <v>52</v>
      </c>
      <c r="D5137" s="17">
        <v>1716</v>
      </c>
      <c r="E5137" s="17">
        <v>6</v>
      </c>
      <c r="F5137" s="17">
        <v>1423</v>
      </c>
      <c r="H5137" s="17">
        <v>3</v>
      </c>
      <c r="I5137" s="17">
        <v>0</v>
      </c>
      <c r="J5137" s="17">
        <v>34</v>
      </c>
      <c r="K5137" s="10">
        <v>1234</v>
      </c>
      <c r="P5137" s="17">
        <v>1</v>
      </c>
      <c r="Q5137" s="19">
        <v>1234</v>
      </c>
      <c r="R5137" s="14">
        <v>160</v>
      </c>
      <c r="S5137" s="19">
        <v>197440</v>
      </c>
      <c r="AJ5137" s="19">
        <v>0</v>
      </c>
      <c r="AK5137" s="23">
        <v>0</v>
      </c>
      <c r="AM5137" s="19">
        <v>0</v>
      </c>
      <c r="AN5137" s="19">
        <v>197440</v>
      </c>
      <c r="AP5137" s="14">
        <v>197440</v>
      </c>
    </row>
    <row r="5138" spans="1:45" x14ac:dyDescent="0.2">
      <c r="A5138" s="122">
        <f t="shared" si="574"/>
        <v>4315</v>
      </c>
      <c r="B5138" s="13">
        <v>2</v>
      </c>
      <c r="C5138" s="17" t="s">
        <v>52</v>
      </c>
      <c r="D5138" s="17">
        <v>1739</v>
      </c>
      <c r="E5138" s="17">
        <v>7</v>
      </c>
      <c r="F5138" s="17">
        <v>1422</v>
      </c>
      <c r="H5138" s="17">
        <v>2</v>
      </c>
      <c r="I5138" s="17">
        <v>1</v>
      </c>
      <c r="J5138" s="17">
        <v>69</v>
      </c>
      <c r="N5138" s="18">
        <v>969</v>
      </c>
      <c r="P5138" s="17">
        <v>4</v>
      </c>
      <c r="Q5138" s="19">
        <v>969</v>
      </c>
      <c r="R5138" s="14">
        <v>160</v>
      </c>
      <c r="S5138" s="19">
        <v>155040</v>
      </c>
      <c r="AJ5138" s="19">
        <v>0</v>
      </c>
      <c r="AK5138" s="23">
        <v>0</v>
      </c>
      <c r="AM5138" s="19">
        <v>0</v>
      </c>
      <c r="AN5138" s="19">
        <v>155040</v>
      </c>
      <c r="AP5138" s="14">
        <v>155040</v>
      </c>
      <c r="AQ5138" s="12">
        <v>3.0000000000000001E-3</v>
      </c>
    </row>
    <row r="5139" spans="1:45" ht="63" x14ac:dyDescent="0.2">
      <c r="A5139" s="122">
        <f t="shared" si="574"/>
        <v>4316</v>
      </c>
      <c r="B5139" s="13">
        <v>1</v>
      </c>
      <c r="C5139" s="17" t="s">
        <v>52</v>
      </c>
      <c r="D5139" s="17">
        <v>2024</v>
      </c>
      <c r="E5139" s="17">
        <v>90</v>
      </c>
      <c r="F5139" s="17">
        <v>1090</v>
      </c>
      <c r="G5139" s="13">
        <v>3</v>
      </c>
      <c r="H5139" s="17">
        <v>0</v>
      </c>
      <c r="I5139" s="17">
        <v>2</v>
      </c>
      <c r="J5139" s="17">
        <v>3</v>
      </c>
      <c r="L5139" s="17">
        <v>195</v>
      </c>
      <c r="P5139" s="17">
        <v>2</v>
      </c>
      <c r="Q5139" s="19">
        <v>203</v>
      </c>
      <c r="R5139" s="14">
        <v>1000</v>
      </c>
      <c r="S5139" s="19">
        <v>203000</v>
      </c>
      <c r="T5139" s="17">
        <v>1</v>
      </c>
      <c r="U5139" s="17" t="s">
        <v>57</v>
      </c>
      <c r="V5139" s="17" t="s">
        <v>88</v>
      </c>
      <c r="W5139" s="4">
        <v>24</v>
      </c>
      <c r="Y5139" s="4">
        <v>24</v>
      </c>
      <c r="AB5139" s="17">
        <v>10</v>
      </c>
      <c r="AJ5139" s="19">
        <v>0</v>
      </c>
      <c r="AK5139" s="23">
        <v>10</v>
      </c>
      <c r="AM5139" s="19">
        <v>0</v>
      </c>
      <c r="AN5139" s="19">
        <v>203000</v>
      </c>
      <c r="AP5139" s="14">
        <v>203000</v>
      </c>
      <c r="AS5139" s="26">
        <v>6</v>
      </c>
    </row>
    <row r="5140" spans="1:45" ht="63" x14ac:dyDescent="0.2">
      <c r="L5140" s="17">
        <v>8</v>
      </c>
      <c r="Q5140" s="19">
        <v>0</v>
      </c>
      <c r="R5140" s="14" t="e">
        <v>#N/A</v>
      </c>
      <c r="S5140" s="19" t="e">
        <v>#N/A</v>
      </c>
      <c r="T5140" s="17">
        <v>2</v>
      </c>
      <c r="U5140" s="17" t="s">
        <v>57</v>
      </c>
      <c r="V5140" s="17" t="s">
        <v>56</v>
      </c>
      <c r="W5140" s="4">
        <v>32</v>
      </c>
      <c r="Y5140" s="4">
        <v>32</v>
      </c>
      <c r="AB5140" s="17">
        <v>13</v>
      </c>
      <c r="AJ5140" s="19">
        <v>0</v>
      </c>
      <c r="AK5140" s="23">
        <v>13</v>
      </c>
      <c r="AM5140" s="19">
        <v>0</v>
      </c>
      <c r="AN5140" s="19" t="e">
        <v>#N/A</v>
      </c>
      <c r="AP5140" s="14" t="e">
        <v>#N/A</v>
      </c>
    </row>
    <row r="5141" spans="1:45" ht="63" x14ac:dyDescent="0.2">
      <c r="A5141" s="2">
        <v>4317</v>
      </c>
      <c r="B5141" s="13">
        <v>2</v>
      </c>
      <c r="C5141" s="17" t="s">
        <v>52</v>
      </c>
      <c r="D5141" s="17">
        <v>34196</v>
      </c>
      <c r="E5141" s="17">
        <v>174</v>
      </c>
      <c r="F5141" s="17">
        <v>6790</v>
      </c>
      <c r="G5141" s="13">
        <v>3</v>
      </c>
      <c r="H5141" s="17">
        <v>0</v>
      </c>
      <c r="I5141" s="17">
        <v>0</v>
      </c>
      <c r="J5141" s="17">
        <v>75</v>
      </c>
      <c r="L5141" s="17">
        <v>75</v>
      </c>
      <c r="P5141" s="17">
        <v>2</v>
      </c>
      <c r="Q5141" s="19">
        <v>75</v>
      </c>
      <c r="R5141" s="14">
        <v>2000</v>
      </c>
      <c r="S5141" s="19">
        <v>150000</v>
      </c>
      <c r="T5141" s="17">
        <v>1</v>
      </c>
      <c r="U5141" s="17" t="s">
        <v>57</v>
      </c>
      <c r="V5141" s="17" t="s">
        <v>56</v>
      </c>
      <c r="W5141" s="4">
        <v>44</v>
      </c>
      <c r="Y5141" s="4">
        <v>44</v>
      </c>
      <c r="AB5141" s="17">
        <v>11</v>
      </c>
      <c r="AJ5141" s="19">
        <v>0</v>
      </c>
      <c r="AK5141" s="23">
        <v>11</v>
      </c>
      <c r="AM5141" s="19">
        <v>0</v>
      </c>
      <c r="AN5141" s="19">
        <v>150000</v>
      </c>
      <c r="AP5141" s="14">
        <v>150000</v>
      </c>
    </row>
    <row r="5142" spans="1:45" ht="63" x14ac:dyDescent="0.2">
      <c r="A5142" s="2">
        <f>+A5141+1</f>
        <v>4318</v>
      </c>
      <c r="B5142" s="13">
        <v>3</v>
      </c>
      <c r="C5142" s="17" t="s">
        <v>52</v>
      </c>
      <c r="D5142" s="17">
        <v>34197</v>
      </c>
      <c r="E5142" s="17">
        <v>175</v>
      </c>
      <c r="F5142" s="17">
        <v>6791</v>
      </c>
      <c r="G5142" s="13">
        <v>3</v>
      </c>
      <c r="H5142" s="17">
        <v>0</v>
      </c>
      <c r="I5142" s="17">
        <v>1</v>
      </c>
      <c r="J5142" s="17">
        <v>10</v>
      </c>
      <c r="L5142" s="17">
        <v>110</v>
      </c>
      <c r="P5142" s="17">
        <v>2</v>
      </c>
      <c r="Q5142" s="19">
        <v>110</v>
      </c>
      <c r="R5142" s="14">
        <v>2000</v>
      </c>
      <c r="S5142" s="19">
        <v>220000</v>
      </c>
      <c r="T5142" s="17">
        <v>1</v>
      </c>
      <c r="U5142" s="17" t="s">
        <v>57</v>
      </c>
      <c r="V5142" s="17" t="s">
        <v>56</v>
      </c>
      <c r="W5142" s="4">
        <v>75</v>
      </c>
      <c r="Y5142" s="4">
        <v>75</v>
      </c>
      <c r="AB5142" s="17">
        <v>15</v>
      </c>
      <c r="AJ5142" s="19">
        <v>0</v>
      </c>
      <c r="AK5142" s="23">
        <v>15</v>
      </c>
      <c r="AM5142" s="19">
        <v>0</v>
      </c>
      <c r="AN5142" s="19">
        <v>220000</v>
      </c>
      <c r="AP5142" s="14">
        <v>220000</v>
      </c>
    </row>
    <row r="5143" spans="1:45" ht="63" x14ac:dyDescent="0.2">
      <c r="A5143" s="122">
        <f t="shared" ref="A5143:A5147" si="575">+A5142+1</f>
        <v>4319</v>
      </c>
      <c r="B5143" s="13">
        <v>4</v>
      </c>
      <c r="C5143" s="17" t="s">
        <v>52</v>
      </c>
      <c r="D5143" s="17">
        <v>34198</v>
      </c>
      <c r="E5143" s="17">
        <v>176</v>
      </c>
      <c r="F5143" s="17">
        <v>6792</v>
      </c>
      <c r="G5143" s="13">
        <v>3</v>
      </c>
      <c r="H5143" s="17">
        <v>0</v>
      </c>
      <c r="I5143" s="17">
        <v>0</v>
      </c>
      <c r="J5143" s="17">
        <v>68</v>
      </c>
      <c r="L5143" s="17">
        <v>68</v>
      </c>
      <c r="P5143" s="17">
        <v>2</v>
      </c>
      <c r="Q5143" s="19">
        <v>68</v>
      </c>
      <c r="R5143" s="14">
        <v>2000</v>
      </c>
      <c r="S5143" s="19">
        <v>136000</v>
      </c>
      <c r="T5143" s="17">
        <v>1</v>
      </c>
      <c r="U5143" s="17" t="s">
        <v>57</v>
      </c>
      <c r="V5143" s="17" t="s">
        <v>56</v>
      </c>
      <c r="W5143" s="4">
        <v>103.5</v>
      </c>
      <c r="Y5143" s="4">
        <v>103.5</v>
      </c>
      <c r="AB5143" s="17">
        <v>1</v>
      </c>
      <c r="AJ5143" s="19">
        <v>0</v>
      </c>
      <c r="AK5143" s="23">
        <v>1</v>
      </c>
      <c r="AM5143" s="19">
        <v>0</v>
      </c>
      <c r="AN5143" s="19">
        <v>136000</v>
      </c>
      <c r="AP5143" s="14">
        <v>136000</v>
      </c>
    </row>
    <row r="5144" spans="1:45" x14ac:dyDescent="0.2">
      <c r="A5144" s="122">
        <f t="shared" si="575"/>
        <v>4320</v>
      </c>
      <c r="B5144" s="13">
        <v>5</v>
      </c>
      <c r="C5144" s="17" t="s">
        <v>52</v>
      </c>
      <c r="D5144" s="17">
        <v>34201</v>
      </c>
      <c r="E5144" s="17">
        <v>179</v>
      </c>
      <c r="F5144" s="17">
        <v>6795</v>
      </c>
      <c r="H5144" s="17">
        <v>2</v>
      </c>
      <c r="I5144" s="17">
        <v>0</v>
      </c>
      <c r="J5144" s="17">
        <v>40</v>
      </c>
      <c r="K5144" s="10">
        <v>840</v>
      </c>
      <c r="P5144" s="17">
        <v>1</v>
      </c>
      <c r="Q5144" s="19">
        <v>840</v>
      </c>
      <c r="R5144" s="14">
        <v>160</v>
      </c>
      <c r="S5144" s="19">
        <v>134400</v>
      </c>
      <c r="AJ5144" s="19">
        <v>0</v>
      </c>
      <c r="AK5144" s="23">
        <v>0</v>
      </c>
      <c r="AM5144" s="19">
        <v>0</v>
      </c>
      <c r="AN5144" s="19">
        <v>134400</v>
      </c>
      <c r="AP5144" s="14">
        <v>134400</v>
      </c>
    </row>
    <row r="5145" spans="1:45" ht="63" x14ac:dyDescent="0.2">
      <c r="A5145" s="122">
        <f t="shared" si="575"/>
        <v>4321</v>
      </c>
      <c r="B5145" s="13">
        <v>1</v>
      </c>
      <c r="C5145" s="17" t="s">
        <v>52</v>
      </c>
      <c r="D5145" s="17">
        <v>34199</v>
      </c>
      <c r="E5145" s="17">
        <v>177</v>
      </c>
      <c r="F5145" s="17">
        <v>6793</v>
      </c>
      <c r="G5145" s="13">
        <v>3</v>
      </c>
      <c r="H5145" s="17">
        <v>0</v>
      </c>
      <c r="I5145" s="17">
        <v>0</v>
      </c>
      <c r="J5145" s="17">
        <v>64</v>
      </c>
      <c r="L5145" s="17">
        <v>64</v>
      </c>
      <c r="P5145" s="17">
        <v>2</v>
      </c>
      <c r="Q5145" s="19">
        <v>64</v>
      </c>
      <c r="R5145" s="14">
        <v>2000</v>
      </c>
      <c r="S5145" s="19">
        <v>128000</v>
      </c>
      <c r="T5145" s="17">
        <v>1</v>
      </c>
      <c r="U5145" s="17" t="s">
        <v>57</v>
      </c>
      <c r="V5145" s="17" t="s">
        <v>56</v>
      </c>
      <c r="W5145" s="4">
        <v>64</v>
      </c>
      <c r="Y5145" s="4">
        <v>64</v>
      </c>
      <c r="AJ5145" s="19">
        <v>0</v>
      </c>
      <c r="AK5145" s="23">
        <v>0</v>
      </c>
      <c r="AM5145" s="19">
        <v>0</v>
      </c>
      <c r="AN5145" s="19">
        <v>128000</v>
      </c>
      <c r="AP5145" s="14">
        <v>128000</v>
      </c>
    </row>
    <row r="5146" spans="1:45" x14ac:dyDescent="0.2">
      <c r="A5146" s="122">
        <f t="shared" si="575"/>
        <v>4322</v>
      </c>
      <c r="B5146" s="13">
        <v>1</v>
      </c>
      <c r="C5146" s="17" t="s">
        <v>52</v>
      </c>
      <c r="D5146" s="17">
        <v>20638</v>
      </c>
      <c r="E5146" s="17">
        <v>134</v>
      </c>
      <c r="F5146" s="17">
        <v>4654</v>
      </c>
      <c r="H5146" s="17">
        <v>1</v>
      </c>
      <c r="I5146" s="17">
        <v>1</v>
      </c>
      <c r="J5146" s="17">
        <v>18</v>
      </c>
      <c r="K5146" s="10">
        <v>518</v>
      </c>
      <c r="P5146" s="17">
        <v>1</v>
      </c>
      <c r="Q5146" s="19">
        <v>518</v>
      </c>
      <c r="R5146" s="14">
        <v>200</v>
      </c>
      <c r="S5146" s="19">
        <v>103600</v>
      </c>
      <c r="AJ5146" s="19">
        <v>0</v>
      </c>
      <c r="AK5146" s="23">
        <v>0</v>
      </c>
      <c r="AM5146" s="19">
        <v>0</v>
      </c>
      <c r="AN5146" s="19">
        <v>103600</v>
      </c>
      <c r="AP5146" s="14">
        <v>103600</v>
      </c>
    </row>
    <row r="5147" spans="1:45" ht="63" x14ac:dyDescent="0.2">
      <c r="A5147" s="122">
        <f t="shared" si="575"/>
        <v>4323</v>
      </c>
      <c r="B5147" s="13">
        <v>1</v>
      </c>
      <c r="C5147" s="17" t="s">
        <v>52</v>
      </c>
      <c r="D5147" s="17">
        <v>20454</v>
      </c>
      <c r="E5147" s="17">
        <v>66</v>
      </c>
      <c r="F5147" s="17">
        <v>4620</v>
      </c>
      <c r="G5147" s="13">
        <v>6</v>
      </c>
      <c r="H5147" s="17">
        <v>0</v>
      </c>
      <c r="I5147" s="17">
        <v>2</v>
      </c>
      <c r="J5147" s="17">
        <v>25.01</v>
      </c>
      <c r="L5147" s="17">
        <v>210.01</v>
      </c>
      <c r="P5147" s="17">
        <v>2</v>
      </c>
      <c r="Q5147" s="19">
        <v>225.01</v>
      </c>
      <c r="R5147" s="14">
        <v>160</v>
      </c>
      <c r="S5147" s="19">
        <v>36001.599999999999</v>
      </c>
      <c r="T5147" s="17">
        <v>1</v>
      </c>
      <c r="U5147" s="17" t="s">
        <v>57</v>
      </c>
      <c r="V5147" s="17" t="s">
        <v>56</v>
      </c>
      <c r="W5147" s="4">
        <v>126</v>
      </c>
      <c r="Y5147" s="4">
        <v>126</v>
      </c>
      <c r="AB5147" s="17">
        <v>31</v>
      </c>
      <c r="AJ5147" s="19">
        <v>0</v>
      </c>
      <c r="AK5147" s="23">
        <v>31</v>
      </c>
      <c r="AM5147" s="19">
        <v>0</v>
      </c>
      <c r="AN5147" s="19">
        <v>36001.599999999999</v>
      </c>
      <c r="AP5147" s="14">
        <v>36001.599999999999</v>
      </c>
    </row>
    <row r="5148" spans="1:45" ht="63" x14ac:dyDescent="0.2">
      <c r="L5148" s="17">
        <v>15</v>
      </c>
      <c r="Q5148" s="19">
        <v>0</v>
      </c>
      <c r="R5148" s="14" t="e">
        <v>#N/A</v>
      </c>
      <c r="S5148" s="19" t="e">
        <v>#N/A</v>
      </c>
      <c r="T5148" s="17">
        <v>2</v>
      </c>
      <c r="U5148" s="17" t="s">
        <v>63</v>
      </c>
      <c r="V5148" s="17" t="s">
        <v>56</v>
      </c>
      <c r="W5148" s="4">
        <v>60</v>
      </c>
      <c r="Y5148" s="4">
        <v>60</v>
      </c>
      <c r="AB5148" s="17">
        <v>27</v>
      </c>
      <c r="AJ5148" s="19">
        <v>0</v>
      </c>
      <c r="AK5148" s="23">
        <v>27</v>
      </c>
      <c r="AM5148" s="19">
        <v>0</v>
      </c>
      <c r="AN5148" s="19" t="e">
        <v>#N/A</v>
      </c>
      <c r="AP5148" s="14" t="e">
        <v>#N/A</v>
      </c>
    </row>
    <row r="5149" spans="1:45" x14ac:dyDescent="0.2">
      <c r="A5149" s="2">
        <v>4324</v>
      </c>
      <c r="B5149" s="13">
        <v>1</v>
      </c>
      <c r="C5149" s="17" t="s">
        <v>52</v>
      </c>
      <c r="D5149" s="17">
        <v>2291</v>
      </c>
      <c r="E5149" s="17">
        <v>8</v>
      </c>
      <c r="F5149" s="17">
        <v>1593</v>
      </c>
      <c r="G5149" s="13">
        <v>3</v>
      </c>
      <c r="H5149" s="17">
        <v>5</v>
      </c>
      <c r="I5149" s="17">
        <v>1</v>
      </c>
      <c r="J5149" s="17">
        <v>26.03</v>
      </c>
      <c r="K5149" s="10">
        <v>2126.0300000000002</v>
      </c>
      <c r="P5149" s="17">
        <v>1</v>
      </c>
      <c r="Q5149" s="19">
        <v>2126.0300000000002</v>
      </c>
      <c r="R5149" s="14">
        <v>200</v>
      </c>
      <c r="S5149" s="19">
        <v>425206.00000000006</v>
      </c>
      <c r="AJ5149" s="19">
        <v>0</v>
      </c>
      <c r="AK5149" s="23">
        <v>0</v>
      </c>
      <c r="AM5149" s="19">
        <v>0</v>
      </c>
      <c r="AN5149" s="19">
        <v>425206.00000000006</v>
      </c>
      <c r="AP5149" s="14">
        <v>425206.00000000006</v>
      </c>
    </row>
    <row r="5150" spans="1:45" ht="63" x14ac:dyDescent="0.2">
      <c r="A5150" s="2">
        <v>4325</v>
      </c>
      <c r="B5150" s="13">
        <v>2</v>
      </c>
      <c r="C5150" s="17" t="s">
        <v>52</v>
      </c>
      <c r="D5150" s="17">
        <v>2073</v>
      </c>
      <c r="E5150" s="17">
        <v>89</v>
      </c>
      <c r="F5150" s="17">
        <v>1529</v>
      </c>
      <c r="G5150" s="13">
        <v>3</v>
      </c>
      <c r="H5150" s="17">
        <v>0</v>
      </c>
      <c r="I5150" s="17">
        <v>3</v>
      </c>
      <c r="J5150" s="17">
        <v>22</v>
      </c>
      <c r="L5150" s="17">
        <v>322</v>
      </c>
      <c r="P5150" s="17">
        <v>2</v>
      </c>
      <c r="Q5150" s="19">
        <v>322</v>
      </c>
      <c r="R5150" s="14">
        <v>1000</v>
      </c>
      <c r="S5150" s="19">
        <v>322000</v>
      </c>
      <c r="T5150" s="17">
        <v>1</v>
      </c>
      <c r="U5150" s="17" t="s">
        <v>57</v>
      </c>
      <c r="V5150" s="17" t="s">
        <v>56</v>
      </c>
      <c r="W5150" s="4">
        <v>78</v>
      </c>
      <c r="Y5150" s="4">
        <v>78</v>
      </c>
      <c r="AB5150" s="17">
        <v>29</v>
      </c>
      <c r="AJ5150" s="19">
        <v>0</v>
      </c>
      <c r="AK5150" s="23">
        <v>29</v>
      </c>
      <c r="AM5150" s="19">
        <v>0</v>
      </c>
      <c r="AN5150" s="19">
        <v>322000</v>
      </c>
      <c r="AP5150" s="14">
        <v>322000</v>
      </c>
    </row>
    <row r="5151" spans="1:45" x14ac:dyDescent="0.2">
      <c r="A5151" s="2">
        <f>+A5150+1</f>
        <v>4326</v>
      </c>
      <c r="B5151" s="13">
        <v>1</v>
      </c>
      <c r="C5151" s="17" t="s">
        <v>52</v>
      </c>
      <c r="D5151" s="17">
        <v>1135</v>
      </c>
      <c r="E5151" s="17">
        <v>31</v>
      </c>
      <c r="F5151" s="17">
        <v>715</v>
      </c>
      <c r="G5151" s="13">
        <v>1</v>
      </c>
      <c r="H5151" s="17">
        <v>0</v>
      </c>
      <c r="I5151" s="17">
        <v>3</v>
      </c>
      <c r="J5151" s="17">
        <v>67</v>
      </c>
      <c r="K5151" s="10">
        <v>367</v>
      </c>
      <c r="P5151" s="17">
        <v>1</v>
      </c>
      <c r="Q5151" s="19">
        <v>367</v>
      </c>
      <c r="R5151" s="14">
        <v>160</v>
      </c>
      <c r="S5151" s="19">
        <v>58720</v>
      </c>
      <c r="AJ5151" s="19">
        <v>0</v>
      </c>
      <c r="AK5151" s="23">
        <v>0</v>
      </c>
      <c r="AM5151" s="19">
        <v>0</v>
      </c>
      <c r="AN5151" s="19">
        <v>58720</v>
      </c>
      <c r="AP5151" s="14">
        <v>58720</v>
      </c>
    </row>
    <row r="5152" spans="1:45" x14ac:dyDescent="0.2">
      <c r="A5152" s="122">
        <f t="shared" ref="A5152:A5157" si="576">+A5151+1</f>
        <v>4327</v>
      </c>
      <c r="B5152" s="13">
        <v>2</v>
      </c>
      <c r="C5152" s="17" t="s">
        <v>52</v>
      </c>
      <c r="D5152" s="17">
        <v>28028</v>
      </c>
      <c r="E5152" s="17">
        <v>80</v>
      </c>
      <c r="F5152" s="17">
        <v>5065</v>
      </c>
      <c r="G5152" s="13">
        <v>1</v>
      </c>
      <c r="H5152" s="17">
        <v>0</v>
      </c>
      <c r="I5152" s="17">
        <v>3</v>
      </c>
      <c r="J5152" s="17">
        <v>15</v>
      </c>
      <c r="K5152" s="10" t="s">
        <v>461</v>
      </c>
      <c r="P5152" s="17">
        <v>4</v>
      </c>
      <c r="Q5152" s="19">
        <v>315</v>
      </c>
      <c r="R5152" s="14">
        <v>160</v>
      </c>
      <c r="S5152" s="19">
        <v>50400</v>
      </c>
      <c r="AJ5152" s="19">
        <v>0</v>
      </c>
      <c r="AK5152" s="23">
        <v>0</v>
      </c>
      <c r="AM5152" s="19">
        <v>0</v>
      </c>
      <c r="AN5152" s="19">
        <v>50400</v>
      </c>
      <c r="AP5152" s="14">
        <v>50400</v>
      </c>
    </row>
    <row r="5153" spans="1:45" x14ac:dyDescent="0.2">
      <c r="A5153" s="122">
        <f t="shared" si="576"/>
        <v>4328</v>
      </c>
      <c r="B5153" s="13">
        <v>3</v>
      </c>
      <c r="C5153" s="17" t="s">
        <v>52</v>
      </c>
      <c r="D5153" s="17">
        <v>1657</v>
      </c>
      <c r="E5153" s="17">
        <v>34</v>
      </c>
      <c r="F5153" s="17">
        <v>1465</v>
      </c>
      <c r="G5153" s="13">
        <v>3</v>
      </c>
      <c r="H5153" s="17">
        <v>3</v>
      </c>
      <c r="I5153" s="17">
        <v>3</v>
      </c>
      <c r="J5153" s="17">
        <v>33</v>
      </c>
      <c r="K5153" s="10">
        <v>1533</v>
      </c>
      <c r="P5153" s="17">
        <v>1</v>
      </c>
      <c r="Q5153" s="19">
        <v>1533</v>
      </c>
      <c r="R5153" s="14">
        <v>250</v>
      </c>
      <c r="S5153" s="19">
        <v>383250</v>
      </c>
      <c r="AJ5153" s="19">
        <v>0</v>
      </c>
      <c r="AK5153" s="23">
        <v>0</v>
      </c>
      <c r="AM5153" s="19">
        <v>0</v>
      </c>
      <c r="AN5153" s="19">
        <v>383250</v>
      </c>
      <c r="AP5153" s="14">
        <v>383250</v>
      </c>
    </row>
    <row r="5154" spans="1:45" x14ac:dyDescent="0.2">
      <c r="A5154" s="122">
        <f t="shared" si="576"/>
        <v>4329</v>
      </c>
      <c r="B5154" s="13">
        <v>4</v>
      </c>
      <c r="C5154" s="17" t="s">
        <v>52</v>
      </c>
      <c r="D5154" s="17">
        <v>1746</v>
      </c>
      <c r="E5154" s="17">
        <v>33</v>
      </c>
      <c r="F5154" s="17">
        <v>1457</v>
      </c>
      <c r="G5154" s="13">
        <v>3</v>
      </c>
      <c r="H5154" s="17">
        <v>5</v>
      </c>
      <c r="I5154" s="17">
        <v>0</v>
      </c>
      <c r="J5154" s="17">
        <v>61</v>
      </c>
      <c r="K5154" s="10">
        <v>2061</v>
      </c>
      <c r="P5154" s="17">
        <v>1</v>
      </c>
      <c r="Q5154" s="19">
        <v>2061</v>
      </c>
      <c r="R5154" s="14">
        <v>200</v>
      </c>
      <c r="S5154" s="19">
        <v>412200</v>
      </c>
      <c r="AJ5154" s="19">
        <v>0</v>
      </c>
      <c r="AK5154" s="23">
        <v>0</v>
      </c>
      <c r="AM5154" s="19">
        <v>0</v>
      </c>
      <c r="AN5154" s="19">
        <v>412200</v>
      </c>
      <c r="AP5154" s="14">
        <v>412200</v>
      </c>
    </row>
    <row r="5155" spans="1:45" x14ac:dyDescent="0.2">
      <c r="A5155" s="122">
        <f t="shared" si="576"/>
        <v>4330</v>
      </c>
      <c r="B5155" s="13">
        <v>5</v>
      </c>
      <c r="C5155" s="17" t="s">
        <v>52</v>
      </c>
      <c r="D5155" s="17">
        <v>1783</v>
      </c>
      <c r="E5155" s="17">
        <v>75</v>
      </c>
      <c r="F5155" s="17">
        <v>1137</v>
      </c>
      <c r="G5155" s="13">
        <v>3</v>
      </c>
      <c r="H5155" s="17">
        <v>0</v>
      </c>
      <c r="I5155" s="17">
        <v>1</v>
      </c>
      <c r="J5155" s="17">
        <v>66</v>
      </c>
      <c r="K5155" s="10">
        <v>166</v>
      </c>
      <c r="P5155" s="17">
        <v>1</v>
      </c>
      <c r="Q5155" s="19">
        <v>166</v>
      </c>
      <c r="R5155" s="14">
        <v>160</v>
      </c>
      <c r="S5155" s="19">
        <v>26560</v>
      </c>
      <c r="AJ5155" s="19">
        <v>0</v>
      </c>
      <c r="AK5155" s="23">
        <v>0</v>
      </c>
      <c r="AM5155" s="19">
        <v>0</v>
      </c>
      <c r="AN5155" s="19">
        <v>26560</v>
      </c>
      <c r="AP5155" s="14">
        <v>26560</v>
      </c>
    </row>
    <row r="5156" spans="1:45" x14ac:dyDescent="0.2">
      <c r="A5156" s="122">
        <f t="shared" si="576"/>
        <v>4331</v>
      </c>
      <c r="B5156" s="13">
        <v>6</v>
      </c>
      <c r="C5156" s="17" t="s">
        <v>52</v>
      </c>
      <c r="D5156" s="17">
        <v>1773</v>
      </c>
      <c r="E5156" s="17">
        <v>28</v>
      </c>
      <c r="F5156" s="17">
        <v>1123</v>
      </c>
      <c r="H5156" s="17">
        <v>1</v>
      </c>
      <c r="I5156" s="17">
        <v>3</v>
      </c>
      <c r="J5156" s="17">
        <v>5</v>
      </c>
      <c r="K5156" s="10">
        <v>705</v>
      </c>
      <c r="P5156" s="17">
        <v>1</v>
      </c>
      <c r="Q5156" s="19">
        <v>705</v>
      </c>
      <c r="R5156" s="14">
        <v>160</v>
      </c>
      <c r="S5156" s="19">
        <v>112800</v>
      </c>
      <c r="AJ5156" s="19">
        <v>0</v>
      </c>
      <c r="AK5156" s="23">
        <v>0</v>
      </c>
      <c r="AM5156" s="19">
        <v>0</v>
      </c>
      <c r="AN5156" s="19">
        <v>112800</v>
      </c>
      <c r="AP5156" s="14">
        <v>112800</v>
      </c>
    </row>
    <row r="5157" spans="1:45" ht="63" x14ac:dyDescent="0.2">
      <c r="A5157" s="122">
        <f t="shared" si="576"/>
        <v>4332</v>
      </c>
      <c r="B5157" s="13">
        <v>7</v>
      </c>
      <c r="C5157" s="17" t="s">
        <v>52</v>
      </c>
      <c r="D5157" s="17">
        <v>2074</v>
      </c>
      <c r="E5157" s="17">
        <v>87</v>
      </c>
      <c r="F5157" s="17">
        <v>1531</v>
      </c>
      <c r="G5157" s="13">
        <v>3</v>
      </c>
      <c r="H5157" s="17">
        <v>0</v>
      </c>
      <c r="I5157" s="17">
        <v>3</v>
      </c>
      <c r="J5157" s="17">
        <v>90</v>
      </c>
      <c r="L5157" s="17">
        <v>390</v>
      </c>
      <c r="P5157" s="17">
        <v>2</v>
      </c>
      <c r="Q5157" s="19">
        <v>390</v>
      </c>
      <c r="R5157" s="14">
        <v>500</v>
      </c>
      <c r="S5157" s="19">
        <v>195000</v>
      </c>
      <c r="T5157" s="17">
        <v>1</v>
      </c>
      <c r="U5157" s="17" t="s">
        <v>57</v>
      </c>
      <c r="V5157" s="17" t="s">
        <v>56</v>
      </c>
      <c r="W5157" s="4">
        <v>90</v>
      </c>
      <c r="Y5157" s="4" t="s">
        <v>234</v>
      </c>
      <c r="AB5157" s="17">
        <v>11</v>
      </c>
      <c r="AE5157" s="17">
        <v>0.1111111111111111</v>
      </c>
      <c r="AF5157" s="14">
        <v>2</v>
      </c>
      <c r="AG5157" s="54">
        <v>90</v>
      </c>
      <c r="AH5157" s="11">
        <v>0.89</v>
      </c>
      <c r="AI5157" s="14">
        <v>7250</v>
      </c>
      <c r="AJ5157" s="19">
        <v>580725</v>
      </c>
      <c r="AK5157" s="23">
        <v>11</v>
      </c>
      <c r="AL5157" s="11">
        <v>0.12</v>
      </c>
      <c r="AM5157" s="19">
        <v>511038</v>
      </c>
      <c r="AN5157" s="19">
        <v>684588</v>
      </c>
      <c r="AP5157" s="14">
        <v>684588</v>
      </c>
      <c r="AQ5157" s="12">
        <v>2.0000000000000001E-4</v>
      </c>
    </row>
    <row r="5158" spans="1:45" x14ac:dyDescent="0.2">
      <c r="Z5158" s="17">
        <v>10</v>
      </c>
      <c r="AF5158" s="14">
        <v>3</v>
      </c>
      <c r="AG5158" s="54">
        <v>90</v>
      </c>
      <c r="AH5158" s="11">
        <v>0.11</v>
      </c>
      <c r="AI5158" s="14">
        <v>7250</v>
      </c>
      <c r="AJ5158" s="19">
        <v>71775</v>
      </c>
      <c r="AK5158" s="23">
        <v>11</v>
      </c>
      <c r="AL5158" s="11">
        <v>0.12</v>
      </c>
      <c r="AM5158" s="19">
        <v>63162</v>
      </c>
      <c r="AN5158" s="19">
        <v>84612</v>
      </c>
      <c r="AP5158" s="14">
        <v>84612</v>
      </c>
      <c r="AQ5158" s="12">
        <v>3.0000000000000001E-3</v>
      </c>
    </row>
    <row r="5159" spans="1:45" x14ac:dyDescent="0.2">
      <c r="A5159" s="2">
        <v>4333</v>
      </c>
      <c r="B5159" s="13">
        <v>8</v>
      </c>
      <c r="C5159" s="17" t="s">
        <v>52</v>
      </c>
      <c r="D5159" s="17">
        <v>2113</v>
      </c>
      <c r="E5159" s="17">
        <v>29</v>
      </c>
      <c r="F5159" s="17">
        <v>1674</v>
      </c>
      <c r="H5159" s="17">
        <v>1</v>
      </c>
      <c r="I5159" s="17">
        <v>1</v>
      </c>
      <c r="J5159" s="17">
        <v>19</v>
      </c>
      <c r="K5159" s="10">
        <v>519</v>
      </c>
      <c r="P5159" s="17">
        <v>1</v>
      </c>
      <c r="Q5159" s="19">
        <v>519</v>
      </c>
      <c r="R5159" s="14">
        <v>160</v>
      </c>
      <c r="S5159" s="19">
        <v>83040</v>
      </c>
      <c r="AJ5159" s="19">
        <v>0</v>
      </c>
      <c r="AK5159" s="23">
        <v>0</v>
      </c>
      <c r="AM5159" s="19">
        <v>0</v>
      </c>
      <c r="AN5159" s="19">
        <v>83040</v>
      </c>
      <c r="AP5159" s="14">
        <v>83040</v>
      </c>
    </row>
    <row r="5160" spans="1:45" ht="63" x14ac:dyDescent="0.2">
      <c r="A5160" s="2">
        <f>+A5159+1</f>
        <v>4334</v>
      </c>
      <c r="B5160" s="13">
        <v>9</v>
      </c>
      <c r="C5160" s="17" t="s">
        <v>52</v>
      </c>
      <c r="D5160" s="17">
        <v>16507</v>
      </c>
      <c r="E5160" s="17">
        <v>141</v>
      </c>
      <c r="F5160" s="17">
        <v>3610</v>
      </c>
      <c r="G5160" s="13">
        <v>3</v>
      </c>
      <c r="H5160" s="17">
        <v>0</v>
      </c>
      <c r="I5160" s="17">
        <v>2</v>
      </c>
      <c r="J5160" s="17">
        <v>63</v>
      </c>
      <c r="L5160" s="17">
        <v>263</v>
      </c>
      <c r="P5160" s="17">
        <v>2</v>
      </c>
      <c r="Q5160" s="19">
        <v>263</v>
      </c>
      <c r="R5160" s="14">
        <v>1500</v>
      </c>
      <c r="S5160" s="19">
        <v>394500</v>
      </c>
      <c r="T5160" s="17">
        <v>1</v>
      </c>
      <c r="U5160" s="17" t="s">
        <v>57</v>
      </c>
      <c r="V5160" s="17" t="s">
        <v>56</v>
      </c>
      <c r="W5160" s="4">
        <v>112.5</v>
      </c>
      <c r="Y5160" s="4">
        <v>112.5</v>
      </c>
      <c r="AB5160" s="17">
        <v>14</v>
      </c>
      <c r="AJ5160" s="19">
        <v>0</v>
      </c>
      <c r="AK5160" s="23">
        <v>14</v>
      </c>
      <c r="AM5160" s="19">
        <v>0</v>
      </c>
      <c r="AN5160" s="19">
        <v>394500</v>
      </c>
      <c r="AP5160" s="14">
        <v>394500</v>
      </c>
    </row>
    <row r="5161" spans="1:45" x14ac:dyDescent="0.2">
      <c r="A5161" s="122">
        <f t="shared" ref="A5161:A5169" si="577">+A5160+1</f>
        <v>4335</v>
      </c>
      <c r="B5161" s="13">
        <v>10</v>
      </c>
      <c r="C5161" s="17" t="s">
        <v>52</v>
      </c>
      <c r="D5161" s="17">
        <v>16515</v>
      </c>
      <c r="E5161" s="17">
        <v>142</v>
      </c>
      <c r="F5161" s="17">
        <v>3618</v>
      </c>
      <c r="H5161" s="17">
        <v>0</v>
      </c>
      <c r="I5161" s="17">
        <v>0</v>
      </c>
      <c r="J5161" s="17">
        <v>76</v>
      </c>
      <c r="L5161" s="17">
        <v>76</v>
      </c>
      <c r="P5161" s="17">
        <v>4</v>
      </c>
      <c r="Q5161" s="19">
        <v>76</v>
      </c>
      <c r="R5161" s="14">
        <v>1500</v>
      </c>
      <c r="S5161" s="19">
        <v>114000</v>
      </c>
      <c r="AJ5161" s="19">
        <v>0</v>
      </c>
      <c r="AK5161" s="23">
        <v>0</v>
      </c>
      <c r="AM5161" s="19">
        <v>0</v>
      </c>
      <c r="AN5161" s="19">
        <v>114000</v>
      </c>
      <c r="AP5161" s="14">
        <v>114000</v>
      </c>
    </row>
    <row r="5162" spans="1:45" x14ac:dyDescent="0.2">
      <c r="A5162" s="122">
        <f t="shared" si="577"/>
        <v>4336</v>
      </c>
      <c r="B5162" s="13">
        <v>11</v>
      </c>
      <c r="C5162" s="17" t="s">
        <v>52</v>
      </c>
      <c r="D5162" s="17">
        <v>27047</v>
      </c>
      <c r="E5162" s="17">
        <v>161</v>
      </c>
      <c r="F5162" s="17">
        <v>5062</v>
      </c>
      <c r="H5162" s="17">
        <v>0</v>
      </c>
      <c r="I5162" s="17">
        <v>0</v>
      </c>
      <c r="J5162" s="17">
        <v>81</v>
      </c>
      <c r="L5162" s="17">
        <v>81</v>
      </c>
      <c r="P5162" s="17">
        <v>4</v>
      </c>
      <c r="Q5162" s="19">
        <v>81</v>
      </c>
      <c r="R5162" s="14">
        <v>1500</v>
      </c>
      <c r="S5162" s="19">
        <v>121500</v>
      </c>
      <c r="AJ5162" s="19">
        <v>0</v>
      </c>
      <c r="AK5162" s="23">
        <v>0</v>
      </c>
      <c r="AM5162" s="19">
        <v>0</v>
      </c>
      <c r="AN5162" s="19">
        <v>121500</v>
      </c>
      <c r="AP5162" s="14">
        <v>121500</v>
      </c>
    </row>
    <row r="5163" spans="1:45" x14ac:dyDescent="0.2">
      <c r="A5163" s="122">
        <f t="shared" si="577"/>
        <v>4337</v>
      </c>
      <c r="B5163" s="13">
        <v>12</v>
      </c>
      <c r="C5163" s="17" t="s">
        <v>65</v>
      </c>
      <c r="D5163" s="17">
        <v>410</v>
      </c>
      <c r="E5163" s="17">
        <v>71</v>
      </c>
      <c r="H5163" s="17">
        <v>6</v>
      </c>
      <c r="I5163" s="17">
        <v>1</v>
      </c>
      <c r="J5163" s="17">
        <v>20</v>
      </c>
      <c r="K5163" s="10">
        <v>2520</v>
      </c>
      <c r="P5163" s="17">
        <v>1</v>
      </c>
      <c r="Q5163" s="19">
        <v>2520</v>
      </c>
      <c r="R5163" s="14">
        <v>200</v>
      </c>
      <c r="S5163" s="19">
        <v>504000</v>
      </c>
      <c r="AJ5163" s="19">
        <v>0</v>
      </c>
      <c r="AK5163" s="23">
        <v>0</v>
      </c>
      <c r="AM5163" s="19">
        <v>0</v>
      </c>
      <c r="AN5163" s="19">
        <v>504000</v>
      </c>
      <c r="AP5163" s="14">
        <v>504000</v>
      </c>
      <c r="AQ5163" s="12">
        <v>1E-4</v>
      </c>
    </row>
    <row r="5164" spans="1:45" x14ac:dyDescent="0.2">
      <c r="A5164" s="122">
        <f t="shared" si="577"/>
        <v>4338</v>
      </c>
      <c r="B5164" s="13">
        <v>13</v>
      </c>
      <c r="C5164" s="17" t="s">
        <v>65</v>
      </c>
      <c r="D5164" s="17">
        <v>411</v>
      </c>
      <c r="E5164" s="17">
        <v>73</v>
      </c>
      <c r="H5164" s="17">
        <v>3</v>
      </c>
      <c r="I5164" s="17">
        <v>2</v>
      </c>
      <c r="J5164" s="17">
        <v>26</v>
      </c>
      <c r="K5164" s="10">
        <v>1426</v>
      </c>
      <c r="P5164" s="17">
        <v>1</v>
      </c>
      <c r="Q5164" s="19">
        <v>1426</v>
      </c>
      <c r="R5164" s="14">
        <v>200</v>
      </c>
      <c r="S5164" s="19">
        <v>285200</v>
      </c>
      <c r="AJ5164" s="19">
        <v>0</v>
      </c>
      <c r="AK5164" s="23">
        <v>0</v>
      </c>
      <c r="AM5164" s="19">
        <v>0</v>
      </c>
      <c r="AN5164" s="19">
        <v>285200</v>
      </c>
      <c r="AP5164" s="14">
        <v>285200</v>
      </c>
      <c r="AQ5164" s="12">
        <v>1E-4</v>
      </c>
    </row>
    <row r="5165" spans="1:45" ht="63" x14ac:dyDescent="0.2">
      <c r="A5165" s="122">
        <f t="shared" si="577"/>
        <v>4339</v>
      </c>
      <c r="B5165" s="13">
        <v>14</v>
      </c>
      <c r="C5165" s="17" t="s">
        <v>65</v>
      </c>
      <c r="D5165" s="17">
        <v>1260</v>
      </c>
      <c r="E5165" s="17">
        <v>118</v>
      </c>
      <c r="H5165" s="17">
        <v>2</v>
      </c>
      <c r="I5165" s="17">
        <v>0</v>
      </c>
      <c r="J5165" s="17">
        <v>43</v>
      </c>
      <c r="K5165" s="10">
        <v>829</v>
      </c>
      <c r="L5165" s="17">
        <v>14</v>
      </c>
      <c r="P5165" s="17">
        <v>5</v>
      </c>
      <c r="Q5165" s="19">
        <v>843</v>
      </c>
      <c r="R5165" s="14">
        <v>200</v>
      </c>
      <c r="S5165" s="19">
        <v>168600</v>
      </c>
      <c r="T5165" s="17">
        <v>1</v>
      </c>
      <c r="U5165" s="17" t="s">
        <v>57</v>
      </c>
      <c r="V5165" s="17" t="s">
        <v>56</v>
      </c>
      <c r="W5165" s="4">
        <v>56</v>
      </c>
      <c r="Y5165" s="4">
        <v>56</v>
      </c>
      <c r="AB5165" s="17">
        <v>17</v>
      </c>
      <c r="AJ5165" s="19">
        <v>0</v>
      </c>
      <c r="AK5165" s="23">
        <v>17</v>
      </c>
      <c r="AM5165" s="19">
        <v>0</v>
      </c>
      <c r="AN5165" s="19">
        <v>168600</v>
      </c>
      <c r="AP5165" s="14">
        <v>168600</v>
      </c>
      <c r="AQ5165" s="12">
        <v>2.0000000000000001E-4</v>
      </c>
    </row>
    <row r="5166" spans="1:45" ht="42" x14ac:dyDescent="0.2">
      <c r="A5166" s="122">
        <f t="shared" si="577"/>
        <v>4340</v>
      </c>
      <c r="B5166" s="13">
        <v>1</v>
      </c>
      <c r="C5166" s="17" t="s">
        <v>52</v>
      </c>
      <c r="D5166" s="17">
        <v>1651</v>
      </c>
      <c r="E5166" s="17">
        <v>32</v>
      </c>
      <c r="F5166" s="17">
        <v>1456</v>
      </c>
      <c r="G5166" s="13">
        <v>3</v>
      </c>
      <c r="H5166" s="17">
        <v>1</v>
      </c>
      <c r="I5166" s="17">
        <v>1</v>
      </c>
      <c r="J5166" s="17">
        <v>32</v>
      </c>
      <c r="K5166" s="10">
        <v>532</v>
      </c>
      <c r="P5166" s="17">
        <v>1</v>
      </c>
      <c r="Q5166" s="19">
        <v>532</v>
      </c>
      <c r="R5166" s="14">
        <v>200</v>
      </c>
      <c r="S5166" s="19">
        <v>106400</v>
      </c>
      <c r="AJ5166" s="19">
        <v>0</v>
      </c>
      <c r="AK5166" s="23">
        <v>0</v>
      </c>
      <c r="AM5166" s="19">
        <v>0</v>
      </c>
      <c r="AN5166" s="19">
        <v>106400</v>
      </c>
      <c r="AP5166" s="14">
        <v>106400</v>
      </c>
      <c r="AS5166" s="26" t="s">
        <v>462</v>
      </c>
    </row>
    <row r="5167" spans="1:45" x14ac:dyDescent="0.2">
      <c r="A5167" s="122">
        <f t="shared" si="577"/>
        <v>4341</v>
      </c>
      <c r="B5167" s="13">
        <v>2</v>
      </c>
      <c r="C5167" s="17" t="s">
        <v>52</v>
      </c>
      <c r="D5167" s="17">
        <v>1745</v>
      </c>
      <c r="E5167" s="17">
        <v>31</v>
      </c>
      <c r="F5167" s="17">
        <v>1455</v>
      </c>
      <c r="G5167" s="13">
        <v>3</v>
      </c>
      <c r="H5167" s="17">
        <v>19</v>
      </c>
      <c r="I5167" s="17">
        <v>0</v>
      </c>
      <c r="J5167" s="17">
        <v>33</v>
      </c>
      <c r="K5167" s="10">
        <v>7633</v>
      </c>
      <c r="P5167" s="17">
        <v>1</v>
      </c>
      <c r="Q5167" s="19">
        <v>7633</v>
      </c>
      <c r="R5167" s="14">
        <v>200</v>
      </c>
      <c r="S5167" s="19">
        <v>1526600</v>
      </c>
      <c r="AJ5167" s="19">
        <v>0</v>
      </c>
      <c r="AK5167" s="23">
        <v>0</v>
      </c>
      <c r="AM5167" s="19">
        <v>0</v>
      </c>
      <c r="AN5167" s="19">
        <v>1526600</v>
      </c>
      <c r="AP5167" s="14">
        <v>1526600</v>
      </c>
    </row>
    <row r="5168" spans="1:45" x14ac:dyDescent="0.2">
      <c r="A5168" s="122">
        <f t="shared" si="577"/>
        <v>4342</v>
      </c>
      <c r="B5168" s="13">
        <v>3</v>
      </c>
      <c r="C5168" s="17" t="s">
        <v>65</v>
      </c>
      <c r="D5168" s="17">
        <v>1254</v>
      </c>
      <c r="E5168" s="17">
        <v>72</v>
      </c>
      <c r="H5168" s="17">
        <v>1</v>
      </c>
      <c r="I5168" s="17">
        <v>3</v>
      </c>
      <c r="J5168" s="17">
        <v>0</v>
      </c>
      <c r="K5168" s="10">
        <v>700</v>
      </c>
      <c r="P5168" s="17">
        <v>1</v>
      </c>
      <c r="Q5168" s="19">
        <v>700</v>
      </c>
      <c r="R5168" s="14">
        <v>200</v>
      </c>
      <c r="S5168" s="19">
        <v>140000</v>
      </c>
      <c r="AJ5168" s="19">
        <v>0</v>
      </c>
      <c r="AK5168" s="23">
        <v>0</v>
      </c>
      <c r="AM5168" s="19">
        <v>0</v>
      </c>
      <c r="AN5168" s="19">
        <v>140000</v>
      </c>
      <c r="AP5168" s="14">
        <v>140000</v>
      </c>
      <c r="AQ5168" s="12">
        <v>1E-4</v>
      </c>
    </row>
    <row r="5169" spans="1:45" ht="63" x14ac:dyDescent="0.2">
      <c r="A5169" s="122">
        <f t="shared" si="577"/>
        <v>4343</v>
      </c>
      <c r="B5169" s="13">
        <v>1</v>
      </c>
      <c r="C5169" s="17" t="s">
        <v>52</v>
      </c>
      <c r="D5169" s="17">
        <v>2517</v>
      </c>
      <c r="E5169" s="17">
        <v>7</v>
      </c>
      <c r="F5169" s="17">
        <v>1592</v>
      </c>
      <c r="G5169" s="13">
        <v>3</v>
      </c>
      <c r="H5169" s="17">
        <v>8</v>
      </c>
      <c r="I5169" s="17">
        <v>0</v>
      </c>
      <c r="J5169" s="17">
        <v>72</v>
      </c>
      <c r="K5169" s="10">
        <v>3198</v>
      </c>
      <c r="L5169" s="17">
        <v>47.5</v>
      </c>
      <c r="P5169" s="17">
        <v>5</v>
      </c>
      <c r="Q5169" s="19">
        <v>3272</v>
      </c>
      <c r="R5169" s="14">
        <v>200</v>
      </c>
      <c r="S5169" s="19">
        <v>654400</v>
      </c>
      <c r="T5169" s="17">
        <v>1</v>
      </c>
      <c r="U5169" s="17" t="s">
        <v>57</v>
      </c>
      <c r="V5169" s="17" t="s">
        <v>56</v>
      </c>
      <c r="W5169" s="4">
        <v>198</v>
      </c>
      <c r="Y5169" s="4">
        <v>198</v>
      </c>
      <c r="AB5169" s="17">
        <v>31</v>
      </c>
      <c r="AJ5169" s="19">
        <v>0</v>
      </c>
      <c r="AK5169" s="23">
        <v>31</v>
      </c>
      <c r="AM5169" s="19">
        <v>0</v>
      </c>
      <c r="AN5169" s="19">
        <v>654400</v>
      </c>
      <c r="AP5169" s="14">
        <v>654400</v>
      </c>
    </row>
    <row r="5170" spans="1:45" ht="63" x14ac:dyDescent="0.2">
      <c r="L5170" s="17">
        <v>24.5</v>
      </c>
      <c r="Q5170" s="19">
        <v>0</v>
      </c>
      <c r="R5170" s="14" t="e">
        <v>#N/A</v>
      </c>
      <c r="S5170" s="19" t="e">
        <v>#N/A</v>
      </c>
      <c r="T5170" s="17">
        <v>2</v>
      </c>
      <c r="U5170" s="17" t="s">
        <v>57</v>
      </c>
      <c r="V5170" s="17" t="s">
        <v>56</v>
      </c>
      <c r="W5170" s="4">
        <v>98</v>
      </c>
      <c r="Y5170" s="4">
        <v>98</v>
      </c>
      <c r="AB5170" s="17">
        <v>25</v>
      </c>
      <c r="AJ5170" s="19">
        <v>0</v>
      </c>
      <c r="AK5170" s="23">
        <v>25</v>
      </c>
      <c r="AM5170" s="19">
        <v>0</v>
      </c>
      <c r="AN5170" s="19" t="e">
        <v>#N/A</v>
      </c>
      <c r="AP5170" s="14" t="e">
        <v>#N/A</v>
      </c>
    </row>
    <row r="5171" spans="1:45" ht="63" x14ac:dyDescent="0.2">
      <c r="A5171" s="2">
        <v>4344</v>
      </c>
      <c r="B5171" s="13">
        <v>1</v>
      </c>
      <c r="C5171" s="17" t="s">
        <v>52</v>
      </c>
      <c r="D5171" s="17">
        <v>2296</v>
      </c>
      <c r="E5171" s="17">
        <v>64</v>
      </c>
      <c r="F5171" s="17">
        <v>1788</v>
      </c>
      <c r="G5171" s="13">
        <v>3</v>
      </c>
      <c r="H5171" s="17">
        <v>0</v>
      </c>
      <c r="I5171" s="17">
        <v>0</v>
      </c>
      <c r="J5171" s="17">
        <v>99</v>
      </c>
      <c r="L5171" s="17">
        <v>99</v>
      </c>
      <c r="P5171" s="17">
        <v>2</v>
      </c>
      <c r="Q5171" s="19">
        <v>99</v>
      </c>
      <c r="R5171" s="14">
        <v>250</v>
      </c>
      <c r="S5171" s="19">
        <v>24750</v>
      </c>
      <c r="T5171" s="17">
        <v>1</v>
      </c>
      <c r="U5171" s="17" t="s">
        <v>57</v>
      </c>
      <c r="V5171" s="17" t="s">
        <v>56</v>
      </c>
      <c r="W5171" s="4">
        <v>162</v>
      </c>
      <c r="Y5171" s="4">
        <v>162</v>
      </c>
      <c r="AB5171" s="17">
        <v>16</v>
      </c>
      <c r="AJ5171" s="19">
        <v>0</v>
      </c>
      <c r="AK5171" s="23">
        <v>16</v>
      </c>
      <c r="AM5171" s="19">
        <v>0</v>
      </c>
      <c r="AN5171" s="19">
        <v>24750</v>
      </c>
      <c r="AP5171" s="14">
        <v>24750</v>
      </c>
    </row>
    <row r="5172" spans="1:45" x14ac:dyDescent="0.2">
      <c r="B5172" s="13">
        <v>2</v>
      </c>
      <c r="C5172" s="17" t="s">
        <v>65</v>
      </c>
      <c r="D5172" s="17">
        <v>2636</v>
      </c>
      <c r="E5172" s="17">
        <v>158</v>
      </c>
      <c r="H5172" s="17">
        <v>0</v>
      </c>
      <c r="I5172" s="17">
        <v>1</v>
      </c>
      <c r="J5172" s="17">
        <v>94.01</v>
      </c>
      <c r="K5172" s="10">
        <v>194.01</v>
      </c>
      <c r="Q5172" s="19">
        <v>194.01</v>
      </c>
      <c r="R5172" s="14" t="e">
        <v>#N/A</v>
      </c>
      <c r="S5172" s="19" t="e">
        <v>#N/A</v>
      </c>
      <c r="AE5172" s="17" t="s">
        <v>160</v>
      </c>
      <c r="AJ5172" s="19">
        <v>0</v>
      </c>
      <c r="AK5172" s="23">
        <v>0</v>
      </c>
      <c r="AM5172" s="19">
        <v>0</v>
      </c>
      <c r="AN5172" s="19" t="e">
        <v>#N/A</v>
      </c>
      <c r="AP5172" s="14" t="e">
        <v>#N/A</v>
      </c>
      <c r="AQ5172" s="12">
        <v>1E-4</v>
      </c>
    </row>
    <row r="5173" spans="1:45" x14ac:dyDescent="0.2">
      <c r="A5173" s="2">
        <v>4345</v>
      </c>
      <c r="B5173" s="13">
        <v>1</v>
      </c>
      <c r="C5173" s="17" t="s">
        <v>52</v>
      </c>
      <c r="D5173" s="17">
        <v>32176</v>
      </c>
      <c r="E5173" s="17">
        <v>34</v>
      </c>
      <c r="F5173" s="17">
        <v>6256</v>
      </c>
      <c r="G5173" s="13">
        <v>3</v>
      </c>
      <c r="H5173" s="17">
        <v>0</v>
      </c>
      <c r="I5173" s="17">
        <v>0</v>
      </c>
      <c r="J5173" s="17">
        <v>54</v>
      </c>
      <c r="L5173" s="17">
        <v>54</v>
      </c>
      <c r="P5173" s="17">
        <v>2</v>
      </c>
      <c r="Q5173" s="19">
        <v>54</v>
      </c>
      <c r="R5173" s="14">
        <v>200</v>
      </c>
      <c r="S5173" s="19">
        <v>10800</v>
      </c>
      <c r="AJ5173" s="19">
        <v>0</v>
      </c>
      <c r="AK5173" s="23">
        <v>0</v>
      </c>
      <c r="AM5173" s="19">
        <v>0</v>
      </c>
      <c r="AN5173" s="19">
        <v>10800</v>
      </c>
      <c r="AP5173" s="14">
        <v>10800</v>
      </c>
    </row>
    <row r="5174" spans="1:45" x14ac:dyDescent="0.2">
      <c r="B5174" s="13">
        <v>1</v>
      </c>
      <c r="C5174" s="17" t="s">
        <v>65</v>
      </c>
      <c r="D5174" s="17">
        <v>355</v>
      </c>
      <c r="E5174" s="17">
        <v>101</v>
      </c>
      <c r="H5174" s="17">
        <v>15</v>
      </c>
      <c r="I5174" s="17">
        <v>0</v>
      </c>
      <c r="J5174" s="17">
        <v>86</v>
      </c>
      <c r="K5174" s="10">
        <v>6086</v>
      </c>
      <c r="Q5174" s="19">
        <v>6086</v>
      </c>
      <c r="R5174" s="14" t="e">
        <v>#N/A</v>
      </c>
      <c r="S5174" s="19" t="e">
        <v>#N/A</v>
      </c>
      <c r="AE5174" s="17" t="s">
        <v>94</v>
      </c>
      <c r="AJ5174" s="19">
        <v>0</v>
      </c>
      <c r="AK5174" s="23">
        <v>0</v>
      </c>
      <c r="AM5174" s="19">
        <v>0</v>
      </c>
      <c r="AN5174" s="19" t="e">
        <v>#N/A</v>
      </c>
      <c r="AP5174" s="14" t="e">
        <v>#N/A</v>
      </c>
      <c r="AQ5174" s="12">
        <v>1E-4</v>
      </c>
    </row>
    <row r="5175" spans="1:45" x14ac:dyDescent="0.2">
      <c r="A5175" s="2">
        <v>4346</v>
      </c>
      <c r="B5175" s="13">
        <v>1</v>
      </c>
      <c r="C5175" s="17" t="s">
        <v>52</v>
      </c>
      <c r="D5175" s="17">
        <v>2106</v>
      </c>
      <c r="E5175" s="17">
        <v>12</v>
      </c>
      <c r="F5175" s="17">
        <v>1666</v>
      </c>
      <c r="G5175" s="13">
        <v>3</v>
      </c>
      <c r="H5175" s="17">
        <v>9</v>
      </c>
      <c r="I5175" s="17">
        <v>0</v>
      </c>
      <c r="J5175" s="17">
        <v>24</v>
      </c>
      <c r="K5175" s="10">
        <v>3624</v>
      </c>
      <c r="P5175" s="17">
        <v>1</v>
      </c>
      <c r="Q5175" s="19">
        <v>3624</v>
      </c>
      <c r="R5175" s="14">
        <v>200</v>
      </c>
      <c r="S5175" s="19">
        <v>724800</v>
      </c>
      <c r="AJ5175" s="19">
        <v>0</v>
      </c>
      <c r="AK5175" s="23">
        <v>0</v>
      </c>
      <c r="AM5175" s="19">
        <v>0</v>
      </c>
      <c r="AN5175" s="19">
        <v>724800</v>
      </c>
      <c r="AP5175" s="14">
        <v>724800</v>
      </c>
      <c r="AS5175" s="26">
        <v>26</v>
      </c>
    </row>
    <row r="5176" spans="1:45" x14ac:dyDescent="0.2">
      <c r="A5176" s="2">
        <f>+A5175+1</f>
        <v>4347</v>
      </c>
      <c r="B5176" s="13">
        <v>2</v>
      </c>
      <c r="C5176" s="17" t="s">
        <v>52</v>
      </c>
      <c r="D5176" s="17">
        <v>32177</v>
      </c>
      <c r="E5176" s="17">
        <v>51</v>
      </c>
      <c r="F5176" s="17">
        <v>6257</v>
      </c>
      <c r="G5176" s="13">
        <v>3</v>
      </c>
      <c r="H5176" s="17">
        <v>0</v>
      </c>
      <c r="I5176" s="17">
        <v>1</v>
      </c>
      <c r="J5176" s="17">
        <v>20</v>
      </c>
      <c r="N5176" s="18">
        <v>120</v>
      </c>
      <c r="P5176" s="17">
        <v>4</v>
      </c>
      <c r="Q5176" s="19">
        <v>120</v>
      </c>
      <c r="R5176" s="14">
        <v>2000</v>
      </c>
      <c r="S5176" s="19">
        <v>240000</v>
      </c>
      <c r="AJ5176" s="19">
        <v>0</v>
      </c>
      <c r="AK5176" s="23">
        <v>0</v>
      </c>
      <c r="AM5176" s="19">
        <v>0</v>
      </c>
      <c r="AN5176" s="19">
        <v>240000</v>
      </c>
      <c r="AP5176" s="14">
        <v>240000</v>
      </c>
      <c r="AQ5176" s="12">
        <v>3.0000000000000001E-3</v>
      </c>
    </row>
    <row r="5177" spans="1:45" x14ac:dyDescent="0.2">
      <c r="A5177" s="122">
        <f t="shared" ref="A5177:A5184" si="578">+A5176+1</f>
        <v>4348</v>
      </c>
      <c r="B5177" s="13">
        <v>1</v>
      </c>
      <c r="C5177" s="17" t="s">
        <v>52</v>
      </c>
      <c r="D5177" s="17">
        <v>17695</v>
      </c>
      <c r="E5177" s="17">
        <v>35</v>
      </c>
      <c r="F5177" s="17">
        <v>3823</v>
      </c>
      <c r="G5177" s="13">
        <v>3</v>
      </c>
      <c r="H5177" s="17">
        <v>14</v>
      </c>
      <c r="I5177" s="17">
        <v>3</v>
      </c>
      <c r="J5177" s="17">
        <v>11</v>
      </c>
      <c r="K5177" s="10">
        <v>5911</v>
      </c>
      <c r="P5177" s="17">
        <v>1</v>
      </c>
      <c r="Q5177" s="19">
        <v>5911</v>
      </c>
      <c r="R5177" s="14">
        <v>500</v>
      </c>
      <c r="S5177" s="19">
        <v>2955500</v>
      </c>
      <c r="AJ5177" s="19">
        <v>0</v>
      </c>
      <c r="AK5177" s="23">
        <v>0</v>
      </c>
      <c r="AM5177" s="19">
        <v>0</v>
      </c>
      <c r="AN5177" s="19">
        <v>2955500</v>
      </c>
      <c r="AP5177" s="14">
        <v>2955500</v>
      </c>
      <c r="AS5177" s="26">
        <v>86</v>
      </c>
    </row>
    <row r="5178" spans="1:45" x14ac:dyDescent="0.2">
      <c r="A5178" s="122">
        <f t="shared" si="578"/>
        <v>4349</v>
      </c>
      <c r="B5178" s="13">
        <v>2</v>
      </c>
      <c r="C5178" s="17" t="s">
        <v>52</v>
      </c>
      <c r="D5178" s="17">
        <v>32182</v>
      </c>
      <c r="E5178" s="17">
        <v>56</v>
      </c>
      <c r="F5178" s="17">
        <v>6262</v>
      </c>
      <c r="G5178" s="13">
        <v>3</v>
      </c>
      <c r="H5178" s="17">
        <v>0</v>
      </c>
      <c r="I5178" s="17">
        <v>1</v>
      </c>
      <c r="J5178" s="17">
        <v>19</v>
      </c>
      <c r="N5178" s="18">
        <v>119</v>
      </c>
      <c r="P5178" s="17">
        <v>4</v>
      </c>
      <c r="Q5178" s="19">
        <v>119</v>
      </c>
      <c r="R5178" s="14">
        <v>2000</v>
      </c>
      <c r="S5178" s="19">
        <v>238000</v>
      </c>
      <c r="AJ5178" s="19">
        <v>0</v>
      </c>
      <c r="AK5178" s="23">
        <v>0</v>
      </c>
      <c r="AM5178" s="19">
        <v>0</v>
      </c>
      <c r="AN5178" s="19">
        <v>238000</v>
      </c>
      <c r="AP5178" s="14">
        <v>238000</v>
      </c>
      <c r="AQ5178" s="12">
        <v>3.0000000000000001E-3</v>
      </c>
    </row>
    <row r="5179" spans="1:45" x14ac:dyDescent="0.2">
      <c r="A5179" s="122">
        <f t="shared" si="578"/>
        <v>4350</v>
      </c>
      <c r="B5179" s="13">
        <v>3</v>
      </c>
      <c r="C5179" s="17" t="s">
        <v>52</v>
      </c>
      <c r="D5179" s="17">
        <v>32183</v>
      </c>
      <c r="E5179" s="17">
        <v>57</v>
      </c>
      <c r="F5179" s="17">
        <v>6263</v>
      </c>
      <c r="G5179" s="13">
        <v>3</v>
      </c>
      <c r="H5179" s="17">
        <v>0</v>
      </c>
      <c r="I5179" s="17">
        <v>1</v>
      </c>
      <c r="J5179" s="17">
        <v>19</v>
      </c>
      <c r="N5179" s="18">
        <v>119</v>
      </c>
      <c r="P5179" s="17">
        <v>4</v>
      </c>
      <c r="Q5179" s="19">
        <v>119</v>
      </c>
      <c r="R5179" s="14">
        <v>2000</v>
      </c>
      <c r="S5179" s="19">
        <v>238000</v>
      </c>
      <c r="AJ5179" s="19">
        <v>0</v>
      </c>
      <c r="AK5179" s="23">
        <v>0</v>
      </c>
      <c r="AM5179" s="19">
        <v>0</v>
      </c>
      <c r="AN5179" s="19">
        <v>238000</v>
      </c>
      <c r="AP5179" s="14">
        <v>238000</v>
      </c>
      <c r="AQ5179" s="12">
        <v>3.0000000000000001E-3</v>
      </c>
    </row>
    <row r="5180" spans="1:45" x14ac:dyDescent="0.2">
      <c r="A5180" s="122">
        <f t="shared" si="578"/>
        <v>4351</v>
      </c>
      <c r="B5180" s="13">
        <v>4</v>
      </c>
      <c r="C5180" s="17" t="s">
        <v>52</v>
      </c>
      <c r="D5180" s="17">
        <v>32184</v>
      </c>
      <c r="E5180" s="17">
        <v>58</v>
      </c>
      <c r="F5180" s="17">
        <v>6264</v>
      </c>
      <c r="G5180" s="13">
        <v>3</v>
      </c>
      <c r="H5180" s="17">
        <v>0</v>
      </c>
      <c r="I5180" s="17">
        <v>1</v>
      </c>
      <c r="J5180" s="17">
        <v>19</v>
      </c>
      <c r="N5180" s="18">
        <v>119</v>
      </c>
      <c r="P5180" s="17">
        <v>4</v>
      </c>
      <c r="Q5180" s="19">
        <v>119</v>
      </c>
      <c r="R5180" s="14">
        <v>2000</v>
      </c>
      <c r="S5180" s="19">
        <v>238000</v>
      </c>
      <c r="AJ5180" s="19">
        <v>0</v>
      </c>
      <c r="AK5180" s="23">
        <v>0</v>
      </c>
      <c r="AM5180" s="19">
        <v>0</v>
      </c>
      <c r="AN5180" s="19">
        <v>238000</v>
      </c>
      <c r="AP5180" s="14">
        <v>238000</v>
      </c>
      <c r="AQ5180" s="12">
        <v>3.0000000000000001E-3</v>
      </c>
    </row>
    <row r="5181" spans="1:45" x14ac:dyDescent="0.2">
      <c r="A5181" s="122">
        <f t="shared" si="578"/>
        <v>4352</v>
      </c>
      <c r="B5181" s="13">
        <v>1</v>
      </c>
      <c r="C5181" s="17" t="s">
        <v>52</v>
      </c>
      <c r="D5181" s="17">
        <v>32178</v>
      </c>
      <c r="E5181" s="17">
        <v>52</v>
      </c>
      <c r="F5181" s="17">
        <v>6258</v>
      </c>
      <c r="G5181" s="13">
        <v>3</v>
      </c>
      <c r="H5181" s="17">
        <v>0</v>
      </c>
      <c r="I5181" s="17">
        <v>1</v>
      </c>
      <c r="J5181" s="17">
        <v>19</v>
      </c>
      <c r="N5181" s="18">
        <v>119</v>
      </c>
      <c r="P5181" s="17">
        <v>4</v>
      </c>
      <c r="Q5181" s="19">
        <v>119</v>
      </c>
      <c r="R5181" s="14">
        <v>2000</v>
      </c>
      <c r="S5181" s="19">
        <v>238000</v>
      </c>
      <c r="AJ5181" s="19">
        <v>0</v>
      </c>
      <c r="AK5181" s="23">
        <v>0</v>
      </c>
      <c r="AM5181" s="19">
        <v>0</v>
      </c>
      <c r="AN5181" s="19">
        <v>238000</v>
      </c>
      <c r="AP5181" s="14">
        <v>238000</v>
      </c>
      <c r="AQ5181" s="12">
        <v>3.0000000000000001E-3</v>
      </c>
      <c r="AS5181" s="26">
        <v>2</v>
      </c>
    </row>
    <row r="5182" spans="1:45" ht="63" x14ac:dyDescent="0.2">
      <c r="A5182" s="122">
        <f t="shared" si="578"/>
        <v>4353</v>
      </c>
      <c r="B5182" s="13">
        <v>1</v>
      </c>
      <c r="C5182" s="17" t="s">
        <v>52</v>
      </c>
      <c r="D5182" s="17">
        <v>32175</v>
      </c>
      <c r="E5182" s="17">
        <v>33</v>
      </c>
      <c r="F5182" s="17">
        <v>6255</v>
      </c>
      <c r="G5182" s="13">
        <v>3</v>
      </c>
      <c r="H5182" s="17">
        <v>0</v>
      </c>
      <c r="I5182" s="17">
        <v>0</v>
      </c>
      <c r="J5182" s="17">
        <v>93</v>
      </c>
      <c r="L5182" s="17">
        <v>93</v>
      </c>
      <c r="P5182" s="17">
        <v>2</v>
      </c>
      <c r="Q5182" s="19">
        <v>93</v>
      </c>
      <c r="R5182" s="14">
        <v>200</v>
      </c>
      <c r="S5182" s="19">
        <v>18600</v>
      </c>
      <c r="T5182" s="17">
        <v>1</v>
      </c>
      <c r="U5182" s="17" t="s">
        <v>57</v>
      </c>
      <c r="V5182" s="17" t="s">
        <v>56</v>
      </c>
      <c r="W5182" s="4">
        <v>93.75</v>
      </c>
      <c r="Y5182" s="4">
        <v>93.75</v>
      </c>
      <c r="AB5182" s="17">
        <v>27</v>
      </c>
      <c r="AJ5182" s="19">
        <v>0</v>
      </c>
      <c r="AK5182" s="23">
        <v>27</v>
      </c>
      <c r="AM5182" s="19">
        <v>0</v>
      </c>
      <c r="AN5182" s="19">
        <v>18600</v>
      </c>
      <c r="AP5182" s="14">
        <v>18600</v>
      </c>
    </row>
    <row r="5183" spans="1:45" x14ac:dyDescent="0.2">
      <c r="A5183" s="122">
        <f t="shared" si="578"/>
        <v>4354</v>
      </c>
      <c r="B5183" s="13">
        <v>1</v>
      </c>
      <c r="C5183" s="17" t="s">
        <v>52</v>
      </c>
      <c r="D5183" s="17">
        <v>14023</v>
      </c>
      <c r="E5183" s="17">
        <v>27</v>
      </c>
      <c r="F5183" s="17">
        <v>3261</v>
      </c>
      <c r="G5183" s="13">
        <v>3</v>
      </c>
      <c r="H5183" s="17">
        <v>4</v>
      </c>
      <c r="I5183" s="17">
        <v>1</v>
      </c>
      <c r="J5183" s="17">
        <v>17</v>
      </c>
      <c r="K5183" s="10">
        <v>1717</v>
      </c>
      <c r="P5183" s="17">
        <v>1</v>
      </c>
      <c r="Q5183" s="19">
        <v>1717</v>
      </c>
      <c r="R5183" s="14">
        <v>500</v>
      </c>
      <c r="S5183" s="19">
        <v>858500</v>
      </c>
      <c r="AJ5183" s="19">
        <v>0</v>
      </c>
      <c r="AK5183" s="23">
        <v>0</v>
      </c>
      <c r="AM5183" s="19">
        <v>0</v>
      </c>
      <c r="AN5183" s="19">
        <v>858500</v>
      </c>
      <c r="AP5183" s="14">
        <v>858500</v>
      </c>
    </row>
    <row r="5184" spans="1:45" x14ac:dyDescent="0.2">
      <c r="A5184" s="122">
        <f t="shared" si="578"/>
        <v>4355</v>
      </c>
      <c r="B5184" s="13">
        <v>2</v>
      </c>
      <c r="C5184" s="17" t="s">
        <v>52</v>
      </c>
      <c r="D5184" s="17">
        <v>36376</v>
      </c>
      <c r="E5184" s="17">
        <v>66</v>
      </c>
      <c r="F5184" s="17">
        <v>7103</v>
      </c>
      <c r="G5184" s="13">
        <v>3</v>
      </c>
      <c r="H5184" s="17">
        <v>0</v>
      </c>
      <c r="I5184" s="17">
        <v>0</v>
      </c>
      <c r="J5184" s="17">
        <v>53</v>
      </c>
      <c r="Q5184" s="19">
        <v>53</v>
      </c>
      <c r="R5184" s="14">
        <v>2000</v>
      </c>
      <c r="S5184" s="19">
        <v>106000</v>
      </c>
      <c r="AJ5184" s="19">
        <v>0</v>
      </c>
      <c r="AK5184" s="23">
        <v>0</v>
      </c>
      <c r="AM5184" s="19">
        <v>0</v>
      </c>
      <c r="AN5184" s="19">
        <v>106000</v>
      </c>
      <c r="AP5184" s="14">
        <v>106000</v>
      </c>
    </row>
    <row r="5185" spans="1:45" x14ac:dyDescent="0.2">
      <c r="R5185" s="14" t="e">
        <v>#N/A</v>
      </c>
    </row>
    <row r="5186" spans="1:45" ht="63" x14ac:dyDescent="0.2">
      <c r="A5186" s="2">
        <v>4356</v>
      </c>
      <c r="B5186" s="13">
        <v>1</v>
      </c>
      <c r="C5186" s="17" t="s">
        <v>52</v>
      </c>
      <c r="D5186" s="17">
        <v>2240</v>
      </c>
      <c r="E5186" s="17">
        <v>15</v>
      </c>
      <c r="F5186" s="17">
        <v>1575</v>
      </c>
      <c r="G5186" s="13">
        <v>3</v>
      </c>
      <c r="H5186" s="17">
        <v>2</v>
      </c>
      <c r="I5186" s="17">
        <v>3</v>
      </c>
      <c r="J5186" s="17">
        <v>15</v>
      </c>
      <c r="K5186" s="10">
        <v>1072.81</v>
      </c>
      <c r="L5186" s="17">
        <v>28.13</v>
      </c>
      <c r="P5186" s="17">
        <v>5</v>
      </c>
      <c r="Q5186" s="19">
        <v>1115</v>
      </c>
      <c r="R5186" s="14">
        <v>200</v>
      </c>
      <c r="S5186" s="19">
        <v>223000</v>
      </c>
      <c r="T5186" s="17">
        <v>1</v>
      </c>
      <c r="U5186" s="17" t="s">
        <v>57</v>
      </c>
      <c r="V5186" s="17" t="s">
        <v>56</v>
      </c>
      <c r="W5186" s="4">
        <v>112.5</v>
      </c>
      <c r="Y5186" s="4">
        <v>112.5</v>
      </c>
      <c r="AB5186" s="17">
        <v>31</v>
      </c>
      <c r="AJ5186" s="19">
        <v>0</v>
      </c>
      <c r="AK5186" s="23">
        <v>31</v>
      </c>
      <c r="AM5186" s="19">
        <v>0</v>
      </c>
      <c r="AN5186" s="19">
        <v>223000</v>
      </c>
      <c r="AP5186" s="14">
        <v>223000</v>
      </c>
    </row>
    <row r="5187" spans="1:45" ht="63" x14ac:dyDescent="0.2">
      <c r="L5187" s="17">
        <v>14.06</v>
      </c>
      <c r="Q5187" s="19">
        <v>0</v>
      </c>
      <c r="R5187" s="14" t="e">
        <v>#N/A</v>
      </c>
      <c r="S5187" s="19" t="e">
        <v>#N/A</v>
      </c>
      <c r="T5187" s="17">
        <v>2</v>
      </c>
      <c r="U5187" s="17" t="s">
        <v>57</v>
      </c>
      <c r="V5187" s="17" t="s">
        <v>56</v>
      </c>
      <c r="W5187" s="4">
        <v>56.25</v>
      </c>
      <c r="Y5187" s="4">
        <v>56.25</v>
      </c>
      <c r="AB5187" s="17">
        <v>18</v>
      </c>
      <c r="AJ5187" s="19">
        <v>0</v>
      </c>
      <c r="AK5187" s="23">
        <v>18</v>
      </c>
      <c r="AM5187" s="19">
        <v>0</v>
      </c>
      <c r="AN5187" s="19" t="e">
        <v>#N/A</v>
      </c>
      <c r="AP5187" s="14" t="e">
        <v>#N/A</v>
      </c>
    </row>
    <row r="5188" spans="1:45" x14ac:dyDescent="0.2">
      <c r="Q5188" s="19">
        <v>0</v>
      </c>
      <c r="R5188" s="14" t="e">
        <v>#N/A</v>
      </c>
    </row>
    <row r="5189" spans="1:45" x14ac:dyDescent="0.2">
      <c r="A5189" s="2">
        <v>4357</v>
      </c>
      <c r="B5189" s="13">
        <v>1</v>
      </c>
      <c r="C5189" s="17" t="s">
        <v>52</v>
      </c>
      <c r="D5189" s="17">
        <v>21832</v>
      </c>
      <c r="E5189" s="17">
        <v>109</v>
      </c>
      <c r="F5189" s="17">
        <v>4676</v>
      </c>
      <c r="G5189" s="13">
        <v>3</v>
      </c>
      <c r="H5189" s="17">
        <v>3</v>
      </c>
      <c r="I5189" s="17">
        <v>1</v>
      </c>
      <c r="J5189" s="17">
        <v>67</v>
      </c>
      <c r="K5189" s="10">
        <v>1367</v>
      </c>
      <c r="P5189" s="17">
        <v>1</v>
      </c>
      <c r="Q5189" s="19">
        <v>1367</v>
      </c>
      <c r="R5189" s="14">
        <v>160</v>
      </c>
      <c r="S5189" s="19">
        <v>218720</v>
      </c>
      <c r="AE5189" s="17" t="s">
        <v>449</v>
      </c>
      <c r="AJ5189" s="19">
        <v>0</v>
      </c>
      <c r="AK5189" s="23">
        <v>0</v>
      </c>
      <c r="AM5189" s="19">
        <v>0</v>
      </c>
      <c r="AN5189" s="19">
        <v>218720</v>
      </c>
      <c r="AP5189" s="14">
        <v>218720</v>
      </c>
      <c r="AQ5189" s="12">
        <v>3.0000000000000001E-3</v>
      </c>
      <c r="AS5189" s="26">
        <v>93</v>
      </c>
    </row>
    <row r="5190" spans="1:45" x14ac:dyDescent="0.2">
      <c r="A5190" s="2">
        <v>4358</v>
      </c>
      <c r="B5190" s="13">
        <v>2</v>
      </c>
      <c r="C5190" s="17" t="s">
        <v>65</v>
      </c>
      <c r="D5190" s="17">
        <v>1332</v>
      </c>
      <c r="E5190" s="17">
        <v>46</v>
      </c>
      <c r="H5190" s="17">
        <v>26</v>
      </c>
      <c r="I5190" s="17">
        <v>2</v>
      </c>
      <c r="J5190" s="17">
        <v>13</v>
      </c>
      <c r="K5190" s="10">
        <v>10613</v>
      </c>
      <c r="P5190" s="17">
        <v>1</v>
      </c>
      <c r="Q5190" s="19">
        <v>10613</v>
      </c>
      <c r="R5190" s="14">
        <v>160</v>
      </c>
      <c r="S5190" s="19">
        <v>1698080</v>
      </c>
      <c r="AJ5190" s="19">
        <v>0</v>
      </c>
      <c r="AK5190" s="23">
        <v>0</v>
      </c>
      <c r="AM5190" s="19">
        <v>0</v>
      </c>
      <c r="AN5190" s="19">
        <v>1698080</v>
      </c>
      <c r="AP5190" s="14">
        <v>1698080</v>
      </c>
      <c r="AQ5190" s="12">
        <v>1E-4</v>
      </c>
    </row>
    <row r="5191" spans="1:45" x14ac:dyDescent="0.2">
      <c r="A5191" s="2">
        <v>4359</v>
      </c>
      <c r="B5191" s="13">
        <v>1</v>
      </c>
      <c r="C5191" s="17" t="s">
        <v>52</v>
      </c>
      <c r="D5191" s="17">
        <v>2094</v>
      </c>
      <c r="E5191" s="17">
        <v>45</v>
      </c>
      <c r="F5191" s="17">
        <v>1563</v>
      </c>
      <c r="G5191" s="13">
        <v>3</v>
      </c>
      <c r="H5191" s="17">
        <v>0</v>
      </c>
      <c r="I5191" s="17">
        <v>3</v>
      </c>
      <c r="J5191" s="17">
        <v>17</v>
      </c>
      <c r="K5191" s="10">
        <v>317</v>
      </c>
      <c r="P5191" s="17">
        <v>1</v>
      </c>
      <c r="Q5191" s="19">
        <v>317</v>
      </c>
      <c r="R5191" s="14">
        <v>160</v>
      </c>
      <c r="S5191" s="19">
        <v>50720</v>
      </c>
      <c r="AJ5191" s="19">
        <v>0</v>
      </c>
      <c r="AK5191" s="23">
        <v>0</v>
      </c>
      <c r="AM5191" s="19">
        <v>0</v>
      </c>
      <c r="AN5191" s="19">
        <v>50720</v>
      </c>
      <c r="AP5191" s="14">
        <v>50720</v>
      </c>
      <c r="AS5191" s="26">
        <v>62</v>
      </c>
    </row>
    <row r="5192" spans="1:45" ht="63" x14ac:dyDescent="0.2">
      <c r="A5192" s="2">
        <v>4360</v>
      </c>
      <c r="B5192" s="13">
        <v>2</v>
      </c>
      <c r="C5192" s="17" t="s">
        <v>52</v>
      </c>
      <c r="D5192" s="17">
        <v>2234</v>
      </c>
      <c r="E5192" s="17">
        <v>43</v>
      </c>
      <c r="F5192" s="17">
        <v>1567</v>
      </c>
      <c r="G5192" s="13">
        <v>3</v>
      </c>
      <c r="H5192" s="17">
        <v>11</v>
      </c>
      <c r="I5192" s="17">
        <v>3</v>
      </c>
      <c r="J5192" s="17">
        <v>45</v>
      </c>
      <c r="K5192" s="10">
        <v>4694</v>
      </c>
      <c r="L5192" s="17">
        <v>51</v>
      </c>
      <c r="P5192" s="17">
        <v>5</v>
      </c>
      <c r="Q5192" s="19">
        <v>4745</v>
      </c>
      <c r="R5192" s="14">
        <v>160</v>
      </c>
      <c r="S5192" s="19">
        <v>759200</v>
      </c>
      <c r="T5192" s="17">
        <v>1</v>
      </c>
      <c r="U5192" s="17" t="s">
        <v>57</v>
      </c>
      <c r="V5192" s="17" t="s">
        <v>56</v>
      </c>
      <c r="W5192" s="4">
        <v>204</v>
      </c>
      <c r="Y5192" s="4">
        <v>204</v>
      </c>
      <c r="AB5192" s="17">
        <v>40</v>
      </c>
      <c r="AJ5192" s="19">
        <v>0</v>
      </c>
      <c r="AK5192" s="23">
        <v>40</v>
      </c>
      <c r="AM5192" s="19">
        <v>0</v>
      </c>
      <c r="AN5192" s="19">
        <v>759200</v>
      </c>
      <c r="AP5192" s="14">
        <v>759200</v>
      </c>
    </row>
    <row r="5193" spans="1:45" ht="42" x14ac:dyDescent="0.2">
      <c r="A5193" s="2">
        <f>+A5192+1</f>
        <v>4361</v>
      </c>
      <c r="B5193" s="13">
        <v>1</v>
      </c>
      <c r="C5193" s="17" t="s">
        <v>52</v>
      </c>
      <c r="D5193" s="17">
        <v>21833</v>
      </c>
      <c r="E5193" s="17">
        <v>110</v>
      </c>
      <c r="F5193" s="17">
        <v>4677</v>
      </c>
      <c r="G5193" s="13">
        <v>3</v>
      </c>
      <c r="H5193" s="17">
        <v>10</v>
      </c>
      <c r="I5193" s="17">
        <v>3</v>
      </c>
      <c r="J5193" s="17">
        <v>15</v>
      </c>
      <c r="M5193" s="15" t="s">
        <v>463</v>
      </c>
      <c r="P5193" s="17">
        <v>3</v>
      </c>
      <c r="Q5193" s="19">
        <v>4315</v>
      </c>
      <c r="R5193" s="14">
        <v>160</v>
      </c>
      <c r="S5193" s="19">
        <v>690400</v>
      </c>
      <c r="AE5193" s="17" t="s">
        <v>464</v>
      </c>
      <c r="AJ5193" s="19">
        <v>0</v>
      </c>
      <c r="AK5193" s="23">
        <v>0</v>
      </c>
      <c r="AM5193" s="19">
        <v>0</v>
      </c>
      <c r="AN5193" s="19">
        <v>690400</v>
      </c>
      <c r="AP5193" s="14">
        <v>690400</v>
      </c>
      <c r="AQ5193" s="12">
        <v>3.0000000000000001E-3</v>
      </c>
      <c r="AS5193" s="26" t="s">
        <v>465</v>
      </c>
    </row>
    <row r="5194" spans="1:45" x14ac:dyDescent="0.2">
      <c r="A5194" s="122">
        <f t="shared" ref="A5194:A5198" si="579">+A5193+1</f>
        <v>4362</v>
      </c>
      <c r="B5194" s="13">
        <v>1</v>
      </c>
      <c r="C5194" s="17" t="s">
        <v>52</v>
      </c>
      <c r="D5194" s="17">
        <v>2079</v>
      </c>
      <c r="E5194" s="17">
        <v>45</v>
      </c>
      <c r="F5194" s="17">
        <v>1539</v>
      </c>
      <c r="H5194" s="17">
        <v>0</v>
      </c>
      <c r="I5194" s="17">
        <v>1</v>
      </c>
      <c r="J5194" s="17">
        <v>47</v>
      </c>
      <c r="N5194" s="18">
        <v>147</v>
      </c>
      <c r="P5194" s="17">
        <v>4</v>
      </c>
      <c r="Q5194" s="19">
        <v>147</v>
      </c>
      <c r="R5194" s="14">
        <v>1500</v>
      </c>
      <c r="S5194" s="19">
        <v>220500</v>
      </c>
      <c r="AJ5194" s="19">
        <v>0</v>
      </c>
      <c r="AK5194" s="23">
        <v>0</v>
      </c>
      <c r="AM5194" s="19">
        <v>0</v>
      </c>
      <c r="AN5194" s="19">
        <v>220500</v>
      </c>
      <c r="AP5194" s="14">
        <v>220500</v>
      </c>
      <c r="AQ5194" s="12">
        <v>3.0000000000000001E-3</v>
      </c>
    </row>
    <row r="5195" spans="1:45" x14ac:dyDescent="0.2">
      <c r="A5195" s="122">
        <f t="shared" si="579"/>
        <v>4363</v>
      </c>
      <c r="B5195" s="13">
        <v>1</v>
      </c>
      <c r="C5195" s="17" t="s">
        <v>52</v>
      </c>
      <c r="D5195" s="17">
        <v>1648</v>
      </c>
      <c r="E5195" s="17">
        <v>25</v>
      </c>
      <c r="F5195" s="17">
        <v>1450</v>
      </c>
      <c r="G5195" s="13">
        <v>3</v>
      </c>
      <c r="H5195" s="17">
        <v>13</v>
      </c>
      <c r="I5195" s="17">
        <v>3</v>
      </c>
      <c r="J5195" s="17">
        <v>44</v>
      </c>
      <c r="K5195" s="10">
        <v>5544</v>
      </c>
      <c r="P5195" s="17">
        <v>1</v>
      </c>
      <c r="Q5195" s="19">
        <v>5544</v>
      </c>
      <c r="R5195" s="14">
        <v>160</v>
      </c>
      <c r="S5195" s="19">
        <v>887040</v>
      </c>
      <c r="AJ5195" s="19">
        <v>0</v>
      </c>
      <c r="AK5195" s="23">
        <v>0</v>
      </c>
      <c r="AM5195" s="19">
        <v>0</v>
      </c>
      <c r="AN5195" s="19">
        <v>887040</v>
      </c>
      <c r="AP5195" s="14">
        <v>887040</v>
      </c>
      <c r="AS5195" s="26">
        <v>42</v>
      </c>
    </row>
    <row r="5196" spans="1:45" x14ac:dyDescent="0.2">
      <c r="A5196" s="122">
        <f t="shared" si="579"/>
        <v>4364</v>
      </c>
      <c r="B5196" s="13">
        <v>1</v>
      </c>
      <c r="C5196" s="17" t="s">
        <v>52</v>
      </c>
      <c r="D5196" s="17">
        <v>16502</v>
      </c>
      <c r="E5196" s="17">
        <v>25</v>
      </c>
      <c r="F5196" s="17">
        <v>3605</v>
      </c>
      <c r="G5196" s="13">
        <v>3</v>
      </c>
      <c r="H5196" s="17">
        <v>12</v>
      </c>
      <c r="I5196" s="17">
        <v>0</v>
      </c>
      <c r="J5196" s="17">
        <v>39</v>
      </c>
      <c r="K5196" s="10">
        <v>4839</v>
      </c>
      <c r="P5196" s="17">
        <v>1</v>
      </c>
      <c r="Q5196" s="19">
        <v>4839</v>
      </c>
      <c r="R5196" s="14">
        <v>160</v>
      </c>
      <c r="S5196" s="19">
        <v>774240</v>
      </c>
      <c r="AE5196" s="17" t="s">
        <v>464</v>
      </c>
      <c r="AJ5196" s="19">
        <v>0</v>
      </c>
      <c r="AK5196" s="23">
        <v>0</v>
      </c>
      <c r="AM5196" s="19">
        <v>0</v>
      </c>
      <c r="AN5196" s="19">
        <v>774240</v>
      </c>
      <c r="AP5196" s="14">
        <v>774240</v>
      </c>
      <c r="AQ5196" s="12">
        <v>3.0000000000000001E-3</v>
      </c>
    </row>
    <row r="5197" spans="1:45" x14ac:dyDescent="0.2">
      <c r="A5197" s="122">
        <f t="shared" si="579"/>
        <v>4365</v>
      </c>
      <c r="B5197" s="13">
        <v>1</v>
      </c>
      <c r="C5197" s="17" t="s">
        <v>52</v>
      </c>
      <c r="D5197" s="17">
        <v>1693</v>
      </c>
      <c r="E5197" s="17">
        <v>19</v>
      </c>
      <c r="F5197" s="17">
        <v>1442</v>
      </c>
      <c r="G5197" s="13">
        <v>3</v>
      </c>
      <c r="H5197" s="17">
        <v>5</v>
      </c>
      <c r="I5197" s="17">
        <v>2</v>
      </c>
      <c r="J5197" s="17">
        <v>47</v>
      </c>
      <c r="K5197" s="10">
        <v>2247</v>
      </c>
      <c r="P5197" s="17">
        <v>1</v>
      </c>
      <c r="Q5197" s="19">
        <v>2247</v>
      </c>
      <c r="R5197" s="14">
        <v>160</v>
      </c>
      <c r="S5197" s="19">
        <v>359520</v>
      </c>
      <c r="AJ5197" s="19">
        <v>0</v>
      </c>
      <c r="AK5197" s="23">
        <v>0</v>
      </c>
      <c r="AM5197" s="19">
        <v>0</v>
      </c>
      <c r="AN5197" s="19">
        <v>359520</v>
      </c>
      <c r="AP5197" s="14">
        <v>359520</v>
      </c>
      <c r="AS5197" s="26">
        <v>77</v>
      </c>
    </row>
    <row r="5198" spans="1:45" x14ac:dyDescent="0.2">
      <c r="A5198" s="122">
        <f t="shared" si="579"/>
        <v>4366</v>
      </c>
      <c r="B5198" s="13">
        <v>2</v>
      </c>
      <c r="C5198" s="17" t="s">
        <v>52</v>
      </c>
      <c r="D5198" s="17">
        <v>21831</v>
      </c>
      <c r="E5198" s="17">
        <v>108</v>
      </c>
      <c r="F5198" s="17">
        <v>4675</v>
      </c>
      <c r="G5198" s="13">
        <v>3</v>
      </c>
      <c r="H5198" s="17">
        <v>10</v>
      </c>
      <c r="I5198" s="17">
        <v>3</v>
      </c>
      <c r="J5198" s="17">
        <v>32</v>
      </c>
      <c r="M5198" s="15" t="s">
        <v>466</v>
      </c>
      <c r="P5198" s="17">
        <v>3</v>
      </c>
      <c r="Q5198" s="19">
        <v>4332</v>
      </c>
      <c r="R5198" s="14">
        <v>160</v>
      </c>
      <c r="S5198" s="19">
        <v>693120</v>
      </c>
      <c r="AE5198" s="17" t="s">
        <v>467</v>
      </c>
      <c r="AJ5198" s="19">
        <v>0</v>
      </c>
      <c r="AK5198" s="23">
        <v>0</v>
      </c>
      <c r="AM5198" s="19">
        <v>0</v>
      </c>
      <c r="AN5198" s="19">
        <v>693120</v>
      </c>
      <c r="AP5198" s="14">
        <v>693120</v>
      </c>
      <c r="AQ5198" s="12">
        <v>3.0000000000000001E-3</v>
      </c>
    </row>
    <row r="5199" spans="1:45" x14ac:dyDescent="0.2">
      <c r="B5199" s="13">
        <v>1</v>
      </c>
      <c r="C5199" s="17" t="s">
        <v>65</v>
      </c>
      <c r="D5199" s="17">
        <v>304</v>
      </c>
      <c r="E5199" s="17">
        <v>40</v>
      </c>
      <c r="H5199" s="17">
        <v>10</v>
      </c>
      <c r="I5199" s="17">
        <v>2</v>
      </c>
      <c r="J5199" s="17">
        <v>84</v>
      </c>
      <c r="K5199" s="10">
        <v>4284</v>
      </c>
      <c r="Q5199" s="19">
        <v>4284</v>
      </c>
      <c r="R5199" s="14" t="e">
        <v>#N/A</v>
      </c>
      <c r="S5199" s="19" t="e">
        <v>#N/A</v>
      </c>
      <c r="AE5199" s="17" t="s">
        <v>468</v>
      </c>
      <c r="AJ5199" s="19">
        <v>0</v>
      </c>
      <c r="AK5199" s="23">
        <v>0</v>
      </c>
      <c r="AM5199" s="19">
        <v>0</v>
      </c>
      <c r="AN5199" s="19" t="e">
        <v>#N/A</v>
      </c>
      <c r="AP5199" s="14" t="e">
        <v>#N/A</v>
      </c>
      <c r="AQ5199" s="12">
        <v>1E-4</v>
      </c>
    </row>
    <row r="5200" spans="1:45" ht="63" x14ac:dyDescent="0.2">
      <c r="A5200" s="2">
        <v>4367</v>
      </c>
      <c r="B5200" s="13">
        <v>1</v>
      </c>
      <c r="C5200" s="17" t="s">
        <v>52</v>
      </c>
      <c r="D5200" s="17">
        <v>2239</v>
      </c>
      <c r="E5200" s="17">
        <v>6</v>
      </c>
      <c r="F5200" s="17">
        <v>1574</v>
      </c>
      <c r="G5200" s="13">
        <v>3</v>
      </c>
      <c r="H5200" s="17">
        <v>4</v>
      </c>
      <c r="I5200" s="17">
        <v>0</v>
      </c>
      <c r="J5200" s="17">
        <v>12</v>
      </c>
      <c r="K5200" s="10">
        <v>1590</v>
      </c>
      <c r="L5200" s="17">
        <v>22</v>
      </c>
      <c r="P5200" s="17">
        <v>5</v>
      </c>
      <c r="Q5200" s="19">
        <v>1612</v>
      </c>
      <c r="R5200" s="14">
        <v>200</v>
      </c>
      <c r="S5200" s="19">
        <v>322400</v>
      </c>
      <c r="T5200" s="17">
        <v>1</v>
      </c>
      <c r="U5200" s="17" t="s">
        <v>57</v>
      </c>
      <c r="V5200" s="17" t="s">
        <v>56</v>
      </c>
      <c r="W5200" s="4">
        <v>88</v>
      </c>
      <c r="Y5200" s="4">
        <v>88</v>
      </c>
      <c r="AB5200" s="17">
        <v>37</v>
      </c>
      <c r="AF5200" s="14">
        <v>2</v>
      </c>
      <c r="AG5200" s="54">
        <v>88</v>
      </c>
      <c r="AH5200" s="11">
        <v>1</v>
      </c>
      <c r="AI5200" s="14">
        <v>7250</v>
      </c>
      <c r="AJ5200" s="19">
        <v>638000</v>
      </c>
      <c r="AK5200" s="23">
        <v>37</v>
      </c>
      <c r="AL5200" s="11">
        <v>0.64</v>
      </c>
      <c r="AM5200" s="19">
        <v>229680</v>
      </c>
      <c r="AN5200" s="19">
        <v>552080</v>
      </c>
      <c r="AP5200" s="14">
        <v>552080</v>
      </c>
    </row>
    <row r="5201" spans="1:45" x14ac:dyDescent="0.2">
      <c r="B5201" s="13">
        <v>2</v>
      </c>
      <c r="C5201" s="17" t="s">
        <v>65</v>
      </c>
      <c r="D5201" s="17">
        <v>87</v>
      </c>
      <c r="E5201" s="17">
        <v>7</v>
      </c>
      <c r="H5201" s="17">
        <v>6</v>
      </c>
      <c r="I5201" s="17">
        <v>1</v>
      </c>
      <c r="J5201" s="17">
        <v>70</v>
      </c>
      <c r="K5201" s="10">
        <v>2570</v>
      </c>
      <c r="Q5201" s="19">
        <v>2570</v>
      </c>
      <c r="R5201" s="14" t="e">
        <v>#N/A</v>
      </c>
      <c r="S5201" s="19" t="e">
        <v>#N/A</v>
      </c>
      <c r="AD5201" s="14" t="s">
        <v>94</v>
      </c>
      <c r="AE5201" s="17" t="s">
        <v>469</v>
      </c>
      <c r="AJ5201" s="19">
        <v>0</v>
      </c>
      <c r="AK5201" s="23">
        <v>0</v>
      </c>
      <c r="AM5201" s="19">
        <v>0</v>
      </c>
      <c r="AN5201" s="19" t="e">
        <v>#N/A</v>
      </c>
      <c r="AP5201" s="14" t="e">
        <v>#N/A</v>
      </c>
      <c r="AQ5201" s="12">
        <v>1E-4</v>
      </c>
    </row>
    <row r="5202" spans="1:45" x14ac:dyDescent="0.2">
      <c r="A5202" s="2">
        <v>4368</v>
      </c>
      <c r="B5202" s="13">
        <v>1</v>
      </c>
      <c r="C5202" s="17" t="s">
        <v>52</v>
      </c>
      <c r="D5202" s="17">
        <v>17965</v>
      </c>
      <c r="E5202" s="17">
        <v>27</v>
      </c>
      <c r="F5202" s="17">
        <v>3914</v>
      </c>
      <c r="G5202" s="13">
        <v>3</v>
      </c>
      <c r="H5202" s="17">
        <v>10</v>
      </c>
      <c r="I5202" s="17">
        <v>2</v>
      </c>
      <c r="J5202" s="17">
        <v>83</v>
      </c>
      <c r="K5202" s="10">
        <v>4283</v>
      </c>
      <c r="P5202" s="17">
        <v>1</v>
      </c>
      <c r="Q5202" s="19">
        <v>4283</v>
      </c>
      <c r="R5202" s="14">
        <v>500</v>
      </c>
      <c r="S5202" s="19">
        <v>2141500</v>
      </c>
      <c r="AJ5202" s="19">
        <v>0</v>
      </c>
      <c r="AK5202" s="23">
        <v>0</v>
      </c>
      <c r="AM5202" s="19">
        <v>0</v>
      </c>
      <c r="AN5202" s="19">
        <v>2141500</v>
      </c>
      <c r="AP5202" s="14">
        <v>2141500</v>
      </c>
    </row>
    <row r="5203" spans="1:45" x14ac:dyDescent="0.2">
      <c r="A5203" s="2">
        <f>+A5202+1</f>
        <v>4369</v>
      </c>
      <c r="B5203" s="13">
        <v>2</v>
      </c>
      <c r="C5203" s="17" t="s">
        <v>52</v>
      </c>
      <c r="D5203" s="17">
        <v>17966</v>
      </c>
      <c r="E5203" s="17">
        <v>26</v>
      </c>
      <c r="F5203" s="17">
        <v>3915</v>
      </c>
      <c r="G5203" s="13">
        <v>3</v>
      </c>
      <c r="H5203" s="17">
        <v>22</v>
      </c>
      <c r="I5203" s="17">
        <v>0</v>
      </c>
      <c r="J5203" s="17">
        <v>22</v>
      </c>
      <c r="K5203" s="10">
        <v>8822</v>
      </c>
      <c r="P5203" s="17">
        <v>1</v>
      </c>
      <c r="Q5203" s="19">
        <v>8822</v>
      </c>
      <c r="R5203" s="14">
        <v>200</v>
      </c>
      <c r="S5203" s="19">
        <v>1764400</v>
      </c>
      <c r="AJ5203" s="19">
        <v>0</v>
      </c>
      <c r="AK5203" s="23">
        <v>0</v>
      </c>
      <c r="AM5203" s="19">
        <v>0</v>
      </c>
      <c r="AN5203" s="19">
        <v>1764400</v>
      </c>
      <c r="AP5203" s="14">
        <v>1764400</v>
      </c>
    </row>
    <row r="5204" spans="1:45" x14ac:dyDescent="0.2">
      <c r="A5204" s="122">
        <f t="shared" ref="A5204:A5232" si="580">+A5203+1</f>
        <v>4370</v>
      </c>
      <c r="B5204" s="13">
        <v>3</v>
      </c>
      <c r="C5204" s="17" t="s">
        <v>52</v>
      </c>
      <c r="D5204" s="17">
        <v>28219</v>
      </c>
      <c r="E5204" s="17">
        <v>212</v>
      </c>
      <c r="F5204" s="17">
        <v>5315</v>
      </c>
      <c r="H5204" s="17">
        <v>2</v>
      </c>
      <c r="I5204" s="17">
        <v>2</v>
      </c>
      <c r="J5204" s="17">
        <v>7</v>
      </c>
      <c r="K5204" s="10">
        <v>1007</v>
      </c>
      <c r="P5204" s="17">
        <v>1</v>
      </c>
      <c r="Q5204" s="19">
        <v>1007</v>
      </c>
      <c r="R5204" s="14">
        <v>200</v>
      </c>
      <c r="S5204" s="19">
        <v>201400</v>
      </c>
      <c r="AJ5204" s="19">
        <v>0</v>
      </c>
      <c r="AK5204" s="23">
        <v>0</v>
      </c>
      <c r="AM5204" s="19">
        <v>0</v>
      </c>
      <c r="AN5204" s="19">
        <v>201400</v>
      </c>
      <c r="AP5204" s="14">
        <v>201400</v>
      </c>
    </row>
    <row r="5205" spans="1:45" x14ac:dyDescent="0.2">
      <c r="A5205" s="122">
        <f t="shared" si="580"/>
        <v>4371</v>
      </c>
      <c r="B5205" s="13">
        <v>1</v>
      </c>
      <c r="C5205" s="17" t="s">
        <v>52</v>
      </c>
      <c r="D5205" s="17">
        <v>28218</v>
      </c>
      <c r="E5205" s="17">
        <v>163</v>
      </c>
      <c r="F5205" s="17">
        <v>5314</v>
      </c>
      <c r="H5205" s="17">
        <v>2</v>
      </c>
      <c r="I5205" s="17">
        <v>2</v>
      </c>
      <c r="J5205" s="17">
        <v>7</v>
      </c>
      <c r="K5205" s="10">
        <v>1007</v>
      </c>
      <c r="P5205" s="17">
        <v>1</v>
      </c>
      <c r="Q5205" s="19">
        <v>1007</v>
      </c>
      <c r="R5205" s="14">
        <v>200</v>
      </c>
      <c r="S5205" s="19">
        <v>201400</v>
      </c>
      <c r="AJ5205" s="19">
        <v>0</v>
      </c>
      <c r="AK5205" s="23">
        <v>0</v>
      </c>
      <c r="AM5205" s="19">
        <v>0</v>
      </c>
      <c r="AN5205" s="19">
        <v>201400</v>
      </c>
      <c r="AP5205" s="14">
        <v>201400</v>
      </c>
    </row>
    <row r="5206" spans="1:45" x14ac:dyDescent="0.2">
      <c r="A5206" s="122">
        <f t="shared" si="580"/>
        <v>4372</v>
      </c>
      <c r="B5206" s="13">
        <v>1</v>
      </c>
      <c r="C5206" s="17" t="s">
        <v>52</v>
      </c>
      <c r="D5206" s="17">
        <v>4863</v>
      </c>
      <c r="E5206" s="17">
        <v>11</v>
      </c>
      <c r="F5206" s="17">
        <v>2553</v>
      </c>
      <c r="G5206" s="13">
        <v>7</v>
      </c>
      <c r="H5206" s="17">
        <v>0</v>
      </c>
      <c r="I5206" s="17">
        <v>1</v>
      </c>
      <c r="J5206" s="17">
        <v>79</v>
      </c>
      <c r="K5206" s="10">
        <v>179</v>
      </c>
      <c r="P5206" s="17">
        <v>1</v>
      </c>
      <c r="Q5206" s="19">
        <v>179</v>
      </c>
      <c r="R5206" s="14">
        <v>880</v>
      </c>
      <c r="S5206" s="19">
        <v>157520</v>
      </c>
      <c r="AJ5206" s="19">
        <v>0</v>
      </c>
      <c r="AK5206" s="23">
        <v>0</v>
      </c>
      <c r="AM5206" s="19">
        <v>0</v>
      </c>
      <c r="AN5206" s="19">
        <v>157520</v>
      </c>
      <c r="AP5206" s="14">
        <v>157520</v>
      </c>
    </row>
    <row r="5207" spans="1:45" x14ac:dyDescent="0.2">
      <c r="A5207" s="122">
        <f t="shared" si="580"/>
        <v>4373</v>
      </c>
      <c r="B5207" s="13">
        <v>2</v>
      </c>
      <c r="C5207" s="17" t="s">
        <v>52</v>
      </c>
      <c r="D5207" s="17">
        <v>4863</v>
      </c>
      <c r="E5207" s="17">
        <v>11</v>
      </c>
      <c r="F5207" s="17">
        <v>2553</v>
      </c>
      <c r="G5207" s="13">
        <v>7</v>
      </c>
      <c r="H5207" s="17">
        <v>0</v>
      </c>
      <c r="I5207" s="17">
        <v>1</v>
      </c>
      <c r="J5207" s="17">
        <v>79</v>
      </c>
      <c r="K5207" s="10">
        <v>179</v>
      </c>
      <c r="P5207" s="17">
        <v>1</v>
      </c>
      <c r="Q5207" s="19">
        <v>179</v>
      </c>
      <c r="R5207" s="14">
        <v>880</v>
      </c>
      <c r="S5207" s="19">
        <v>157520</v>
      </c>
      <c r="AJ5207" s="19">
        <v>0</v>
      </c>
      <c r="AK5207" s="23">
        <v>0</v>
      </c>
      <c r="AM5207" s="19">
        <v>0</v>
      </c>
      <c r="AN5207" s="19">
        <v>157520</v>
      </c>
      <c r="AP5207" s="14">
        <v>157520</v>
      </c>
    </row>
    <row r="5208" spans="1:45" x14ac:dyDescent="0.2">
      <c r="A5208" s="122">
        <f t="shared" si="580"/>
        <v>4374</v>
      </c>
      <c r="B5208" s="13">
        <v>3</v>
      </c>
      <c r="C5208" s="17" t="s">
        <v>52</v>
      </c>
      <c r="D5208" s="17">
        <v>28217</v>
      </c>
      <c r="E5208" s="17">
        <v>162</v>
      </c>
      <c r="F5208" s="17">
        <v>5313</v>
      </c>
      <c r="H5208" s="17">
        <v>2</v>
      </c>
      <c r="I5208" s="17">
        <v>2</v>
      </c>
      <c r="J5208" s="17">
        <v>8</v>
      </c>
      <c r="K5208" s="10">
        <v>1008</v>
      </c>
      <c r="P5208" s="17">
        <v>1</v>
      </c>
      <c r="Q5208" s="19">
        <v>1008</v>
      </c>
      <c r="R5208" s="14">
        <v>200</v>
      </c>
      <c r="S5208" s="19">
        <v>201600</v>
      </c>
      <c r="AJ5208" s="19">
        <v>0</v>
      </c>
      <c r="AK5208" s="23">
        <v>0</v>
      </c>
      <c r="AM5208" s="19">
        <v>0</v>
      </c>
      <c r="AN5208" s="19">
        <v>201600</v>
      </c>
      <c r="AP5208" s="14">
        <v>201600</v>
      </c>
    </row>
    <row r="5209" spans="1:45" ht="63" x14ac:dyDescent="0.2">
      <c r="A5209" s="122">
        <f t="shared" si="580"/>
        <v>4375</v>
      </c>
      <c r="B5209" s="13">
        <v>1</v>
      </c>
      <c r="C5209" s="17" t="s">
        <v>52</v>
      </c>
      <c r="D5209" s="17">
        <v>1640</v>
      </c>
      <c r="E5209" s="17">
        <v>16</v>
      </c>
      <c r="F5209" s="17">
        <v>1431</v>
      </c>
      <c r="G5209" s="13">
        <v>3</v>
      </c>
      <c r="H5209" s="17">
        <v>3</v>
      </c>
      <c r="I5209" s="17">
        <v>2</v>
      </c>
      <c r="J5209" s="17">
        <v>48</v>
      </c>
      <c r="K5209" s="10">
        <v>1422.37</v>
      </c>
      <c r="L5209" s="17">
        <v>25.63</v>
      </c>
      <c r="P5209" s="17">
        <v>5</v>
      </c>
      <c r="Q5209" s="19">
        <v>1448</v>
      </c>
      <c r="R5209" s="14">
        <v>200</v>
      </c>
      <c r="S5209" s="19">
        <v>289600</v>
      </c>
      <c r="T5209" s="17">
        <v>1</v>
      </c>
      <c r="U5209" s="17" t="s">
        <v>57</v>
      </c>
      <c r="V5209" s="17" t="s">
        <v>56</v>
      </c>
      <c r="W5209" s="4">
        <v>102.5</v>
      </c>
      <c r="Y5209" s="4">
        <v>102.5</v>
      </c>
      <c r="AB5209" s="17">
        <v>31</v>
      </c>
      <c r="AJ5209" s="19">
        <v>0</v>
      </c>
      <c r="AK5209" s="23">
        <v>31</v>
      </c>
      <c r="AM5209" s="19">
        <v>0</v>
      </c>
      <c r="AN5209" s="19">
        <v>289600</v>
      </c>
      <c r="AP5209" s="14">
        <v>289600</v>
      </c>
      <c r="AS5209" s="26">
        <v>46</v>
      </c>
    </row>
    <row r="5210" spans="1:45" x14ac:dyDescent="0.2">
      <c r="A5210" s="122">
        <f t="shared" si="580"/>
        <v>4376</v>
      </c>
      <c r="B5210" s="13">
        <v>2</v>
      </c>
      <c r="C5210" s="17" t="s">
        <v>65</v>
      </c>
      <c r="D5210" s="17">
        <v>399</v>
      </c>
      <c r="E5210" s="17">
        <v>60</v>
      </c>
      <c r="H5210" s="17">
        <v>3</v>
      </c>
      <c r="I5210" s="17">
        <v>0</v>
      </c>
      <c r="J5210" s="17">
        <v>93</v>
      </c>
      <c r="K5210" s="10">
        <v>1293</v>
      </c>
      <c r="P5210" s="17">
        <v>1</v>
      </c>
      <c r="Q5210" s="19">
        <v>1293</v>
      </c>
      <c r="R5210" s="14">
        <v>200</v>
      </c>
      <c r="S5210" s="19">
        <v>258600</v>
      </c>
      <c r="AJ5210" s="19">
        <v>0</v>
      </c>
      <c r="AK5210" s="23">
        <v>0</v>
      </c>
      <c r="AM5210" s="19">
        <v>0</v>
      </c>
      <c r="AN5210" s="19">
        <v>258600</v>
      </c>
      <c r="AP5210" s="14">
        <v>258600</v>
      </c>
      <c r="AQ5210" s="12">
        <v>1E-4</v>
      </c>
    </row>
    <row r="5211" spans="1:45" x14ac:dyDescent="0.2">
      <c r="A5211" s="122">
        <f t="shared" si="580"/>
        <v>4377</v>
      </c>
      <c r="B5211" s="13">
        <v>1</v>
      </c>
      <c r="C5211" s="17" t="s">
        <v>52</v>
      </c>
      <c r="D5211" s="17">
        <v>24543</v>
      </c>
      <c r="E5211" s="17">
        <v>35</v>
      </c>
      <c r="F5211" s="17">
        <v>3950</v>
      </c>
      <c r="G5211" s="13">
        <v>6</v>
      </c>
      <c r="H5211" s="17">
        <v>0</v>
      </c>
      <c r="I5211" s="17">
        <v>1</v>
      </c>
      <c r="J5211" s="17">
        <v>80</v>
      </c>
      <c r="N5211" s="18">
        <v>180</v>
      </c>
      <c r="P5211" s="17">
        <v>4</v>
      </c>
      <c r="Q5211" s="19">
        <v>180</v>
      </c>
      <c r="R5211" s="14">
        <v>1500</v>
      </c>
      <c r="S5211" s="19">
        <v>270000</v>
      </c>
      <c r="AJ5211" s="19">
        <v>0</v>
      </c>
      <c r="AK5211" s="23">
        <v>0</v>
      </c>
      <c r="AM5211" s="19">
        <v>0</v>
      </c>
      <c r="AN5211" s="19">
        <v>270000</v>
      </c>
      <c r="AP5211" s="14">
        <v>270000</v>
      </c>
      <c r="AQ5211" s="12">
        <v>3.0000000000000001E-3</v>
      </c>
      <c r="AS5211" s="26">
        <v>1080</v>
      </c>
    </row>
    <row r="5212" spans="1:45" ht="63" x14ac:dyDescent="0.2">
      <c r="A5212" s="122">
        <f t="shared" si="580"/>
        <v>4378</v>
      </c>
      <c r="B5212" s="13">
        <v>1</v>
      </c>
      <c r="C5212" s="17" t="s">
        <v>52</v>
      </c>
      <c r="D5212" s="17">
        <v>1285</v>
      </c>
      <c r="E5212" s="17">
        <v>4</v>
      </c>
      <c r="F5212" s="17">
        <v>763</v>
      </c>
      <c r="G5212" s="13">
        <v>7</v>
      </c>
      <c r="H5212" s="17">
        <v>0</v>
      </c>
      <c r="I5212" s="17">
        <v>1</v>
      </c>
      <c r="J5212" s="17">
        <v>28</v>
      </c>
      <c r="L5212" s="17">
        <v>128</v>
      </c>
      <c r="P5212" s="17">
        <v>3</v>
      </c>
      <c r="Q5212" s="19">
        <v>128</v>
      </c>
      <c r="R5212" s="14">
        <v>4500</v>
      </c>
      <c r="S5212" s="19">
        <v>576000</v>
      </c>
      <c r="T5212" s="17">
        <v>1</v>
      </c>
      <c r="U5212" s="17" t="s">
        <v>63</v>
      </c>
      <c r="V5212" s="17" t="s">
        <v>56</v>
      </c>
      <c r="W5212" s="4">
        <v>124</v>
      </c>
      <c r="Y5212" s="4">
        <v>124</v>
      </c>
      <c r="AB5212" s="17">
        <v>21</v>
      </c>
      <c r="AJ5212" s="19">
        <v>0</v>
      </c>
      <c r="AK5212" s="23">
        <v>21</v>
      </c>
      <c r="AM5212" s="19">
        <v>0</v>
      </c>
      <c r="AN5212" s="19">
        <v>576000</v>
      </c>
      <c r="AP5212" s="14">
        <v>576000</v>
      </c>
    </row>
    <row r="5213" spans="1:45" x14ac:dyDescent="0.2">
      <c r="A5213" s="122">
        <f t="shared" si="580"/>
        <v>4379</v>
      </c>
      <c r="B5213" s="13">
        <v>1</v>
      </c>
      <c r="C5213" s="17" t="s">
        <v>52</v>
      </c>
      <c r="D5213" s="17">
        <v>2232</v>
      </c>
      <c r="E5213" s="17">
        <v>8</v>
      </c>
      <c r="F5213" s="17">
        <v>1565</v>
      </c>
      <c r="G5213" s="13">
        <v>3</v>
      </c>
      <c r="H5213" s="17">
        <v>2</v>
      </c>
      <c r="I5213" s="17">
        <v>0</v>
      </c>
      <c r="J5213" s="17">
        <v>72</v>
      </c>
      <c r="K5213" s="10">
        <v>872</v>
      </c>
      <c r="P5213" s="17">
        <v>1</v>
      </c>
      <c r="Q5213" s="19">
        <v>872</v>
      </c>
      <c r="R5213" s="14">
        <v>160</v>
      </c>
      <c r="S5213" s="19">
        <v>139520</v>
      </c>
      <c r="AJ5213" s="19">
        <v>0</v>
      </c>
      <c r="AK5213" s="23">
        <v>0</v>
      </c>
      <c r="AM5213" s="19">
        <v>0</v>
      </c>
      <c r="AN5213" s="19">
        <v>139520</v>
      </c>
      <c r="AP5213" s="14">
        <v>139520</v>
      </c>
      <c r="AS5213" s="26">
        <v>6</v>
      </c>
    </row>
    <row r="5214" spans="1:45" x14ac:dyDescent="0.2">
      <c r="A5214" s="122">
        <f t="shared" si="580"/>
        <v>4380</v>
      </c>
      <c r="B5214" s="13">
        <v>1</v>
      </c>
      <c r="C5214" s="17" t="s">
        <v>52</v>
      </c>
      <c r="D5214" s="17">
        <v>16688</v>
      </c>
      <c r="E5214" s="17">
        <v>83</v>
      </c>
      <c r="F5214" s="17">
        <v>3716</v>
      </c>
      <c r="G5214" s="13">
        <v>3</v>
      </c>
      <c r="H5214" s="17">
        <v>3</v>
      </c>
      <c r="I5214" s="17">
        <v>1</v>
      </c>
      <c r="J5214" s="17">
        <v>78</v>
      </c>
      <c r="K5214" s="10">
        <v>1378</v>
      </c>
      <c r="P5214" s="17">
        <v>1</v>
      </c>
      <c r="Q5214" s="19">
        <v>1378</v>
      </c>
      <c r="R5214" s="14">
        <v>160</v>
      </c>
      <c r="S5214" s="19">
        <v>220480</v>
      </c>
      <c r="AJ5214" s="19">
        <v>0</v>
      </c>
      <c r="AK5214" s="23">
        <v>0</v>
      </c>
      <c r="AM5214" s="19">
        <v>0</v>
      </c>
      <c r="AN5214" s="19">
        <v>220480</v>
      </c>
      <c r="AP5214" s="14">
        <v>220480</v>
      </c>
      <c r="AS5214" s="26">
        <v>10</v>
      </c>
    </row>
    <row r="5215" spans="1:45" x14ac:dyDescent="0.2">
      <c r="A5215" s="122">
        <f t="shared" si="580"/>
        <v>4381</v>
      </c>
      <c r="B5215" s="13">
        <v>1</v>
      </c>
      <c r="C5215" s="17" t="s">
        <v>52</v>
      </c>
      <c r="D5215" s="17">
        <v>33798</v>
      </c>
      <c r="E5215" s="17">
        <v>35</v>
      </c>
      <c r="F5215" s="17">
        <v>6384</v>
      </c>
      <c r="G5215" s="13">
        <v>3</v>
      </c>
      <c r="H5215" s="17">
        <v>0</v>
      </c>
      <c r="I5215" s="17">
        <v>1</v>
      </c>
      <c r="J5215" s="17">
        <v>88</v>
      </c>
      <c r="N5215" s="18">
        <v>188</v>
      </c>
      <c r="P5215" s="17">
        <v>4</v>
      </c>
      <c r="Q5215" s="19">
        <v>188</v>
      </c>
      <c r="R5215" s="14">
        <v>160</v>
      </c>
      <c r="S5215" s="19">
        <v>30080</v>
      </c>
      <c r="AJ5215" s="19">
        <v>0</v>
      </c>
      <c r="AK5215" s="23">
        <v>0</v>
      </c>
      <c r="AM5215" s="19">
        <v>0</v>
      </c>
      <c r="AN5215" s="19">
        <v>30080</v>
      </c>
      <c r="AP5215" s="14">
        <v>30080</v>
      </c>
      <c r="AQ5215" s="12">
        <v>3.0000000000000001E-3</v>
      </c>
    </row>
    <row r="5216" spans="1:45" x14ac:dyDescent="0.2">
      <c r="A5216" s="122">
        <f t="shared" si="580"/>
        <v>4382</v>
      </c>
      <c r="B5216" s="13">
        <v>2</v>
      </c>
      <c r="C5216" s="17" t="s">
        <v>65</v>
      </c>
      <c r="D5216" s="17">
        <v>2773</v>
      </c>
      <c r="E5216" s="17">
        <v>185</v>
      </c>
      <c r="H5216" s="17">
        <v>6</v>
      </c>
      <c r="I5216" s="17">
        <v>2</v>
      </c>
      <c r="J5216" s="17">
        <v>34</v>
      </c>
      <c r="K5216" s="10">
        <v>2634</v>
      </c>
      <c r="Q5216" s="19">
        <v>2634</v>
      </c>
      <c r="R5216" s="14">
        <v>160</v>
      </c>
      <c r="S5216" s="19">
        <v>421440</v>
      </c>
      <c r="AE5216" s="17" t="s">
        <v>95</v>
      </c>
      <c r="AJ5216" s="19">
        <v>0</v>
      </c>
      <c r="AK5216" s="23">
        <v>0</v>
      </c>
      <c r="AM5216" s="19">
        <v>0</v>
      </c>
      <c r="AN5216" s="19">
        <v>421440</v>
      </c>
      <c r="AP5216" s="14">
        <v>421440</v>
      </c>
      <c r="AQ5216" s="12">
        <v>1E-4</v>
      </c>
    </row>
    <row r="5217" spans="1:45" x14ac:dyDescent="0.2">
      <c r="A5217" s="122">
        <f t="shared" si="580"/>
        <v>4383</v>
      </c>
      <c r="B5217" s="13">
        <v>1</v>
      </c>
      <c r="C5217" s="17" t="s">
        <v>52</v>
      </c>
      <c r="D5217" s="17">
        <v>33800</v>
      </c>
      <c r="E5217" s="17">
        <v>37</v>
      </c>
      <c r="F5217" s="17">
        <v>6386</v>
      </c>
      <c r="G5217" s="13">
        <v>3</v>
      </c>
      <c r="H5217" s="17">
        <v>0</v>
      </c>
      <c r="I5217" s="17">
        <v>1</v>
      </c>
      <c r="J5217" s="17">
        <v>38</v>
      </c>
      <c r="N5217" s="18">
        <v>138</v>
      </c>
      <c r="P5217" s="17">
        <v>4</v>
      </c>
      <c r="Q5217" s="19">
        <v>138</v>
      </c>
      <c r="R5217" s="14">
        <v>160</v>
      </c>
      <c r="S5217" s="19">
        <v>22080</v>
      </c>
      <c r="AJ5217" s="19">
        <v>0</v>
      </c>
      <c r="AK5217" s="23">
        <v>0</v>
      </c>
      <c r="AM5217" s="19">
        <v>0</v>
      </c>
      <c r="AN5217" s="19">
        <v>22080</v>
      </c>
      <c r="AP5217" s="14">
        <v>22080</v>
      </c>
      <c r="AQ5217" s="12">
        <v>3.0000000000000001E-3</v>
      </c>
    </row>
    <row r="5218" spans="1:45" x14ac:dyDescent="0.2">
      <c r="A5218" s="122">
        <f t="shared" si="580"/>
        <v>4384</v>
      </c>
      <c r="B5218" s="13">
        <v>1</v>
      </c>
      <c r="C5218" s="17" t="s">
        <v>52</v>
      </c>
      <c r="D5218" s="17">
        <v>14022</v>
      </c>
      <c r="E5218" s="17">
        <v>26</v>
      </c>
      <c r="F5218" s="17">
        <v>3260</v>
      </c>
      <c r="G5218" s="13">
        <v>3</v>
      </c>
      <c r="H5218" s="17">
        <v>1</v>
      </c>
      <c r="I5218" s="17">
        <v>2</v>
      </c>
      <c r="J5218" s="17">
        <v>35</v>
      </c>
      <c r="K5218" s="10">
        <v>635</v>
      </c>
      <c r="P5218" s="17">
        <v>1</v>
      </c>
      <c r="Q5218" s="19">
        <v>635</v>
      </c>
      <c r="R5218" s="14">
        <v>160</v>
      </c>
      <c r="S5218" s="19">
        <v>101600</v>
      </c>
      <c r="AJ5218" s="19">
        <v>0</v>
      </c>
      <c r="AK5218" s="23">
        <v>0</v>
      </c>
      <c r="AM5218" s="19">
        <v>0</v>
      </c>
      <c r="AN5218" s="19">
        <v>101600</v>
      </c>
      <c r="AP5218" s="14">
        <v>101600</v>
      </c>
    </row>
    <row r="5219" spans="1:45" x14ac:dyDescent="0.2">
      <c r="A5219" s="122">
        <f t="shared" si="580"/>
        <v>4385</v>
      </c>
      <c r="B5219" s="13">
        <v>1</v>
      </c>
      <c r="C5219" s="17" t="s">
        <v>52</v>
      </c>
      <c r="D5219" s="17">
        <v>30963</v>
      </c>
      <c r="E5219" s="17">
        <v>89</v>
      </c>
      <c r="F5219" s="17">
        <v>5915</v>
      </c>
      <c r="G5219" s="13">
        <v>2</v>
      </c>
      <c r="H5219" s="17">
        <v>11</v>
      </c>
      <c r="I5219" s="17">
        <v>2</v>
      </c>
      <c r="J5219" s="17">
        <v>66.06</v>
      </c>
      <c r="K5219" s="10">
        <v>4666.0600000000004</v>
      </c>
      <c r="P5219" s="17">
        <v>1</v>
      </c>
      <c r="Q5219" s="19">
        <v>4666.0600000000004</v>
      </c>
      <c r="R5219" s="14">
        <v>160</v>
      </c>
      <c r="S5219" s="19">
        <v>746569.60000000009</v>
      </c>
      <c r="AJ5219" s="19">
        <v>0</v>
      </c>
      <c r="AK5219" s="23">
        <v>0</v>
      </c>
      <c r="AM5219" s="19">
        <v>0</v>
      </c>
      <c r="AN5219" s="19">
        <v>746569.60000000009</v>
      </c>
      <c r="AP5219" s="14">
        <v>746569.60000000009</v>
      </c>
    </row>
    <row r="5220" spans="1:45" x14ac:dyDescent="0.2">
      <c r="A5220" s="122">
        <f t="shared" si="580"/>
        <v>4386</v>
      </c>
      <c r="B5220" s="13">
        <v>1</v>
      </c>
      <c r="C5220" s="17" t="s">
        <v>65</v>
      </c>
      <c r="D5220" s="17">
        <v>867</v>
      </c>
      <c r="E5220" s="17">
        <v>138</v>
      </c>
      <c r="H5220" s="17">
        <v>11</v>
      </c>
      <c r="I5220" s="17">
        <v>3</v>
      </c>
      <c r="J5220" s="17">
        <v>93</v>
      </c>
      <c r="K5220" s="10">
        <v>4793</v>
      </c>
      <c r="Q5220" s="19">
        <v>4793</v>
      </c>
      <c r="R5220" s="14">
        <v>200</v>
      </c>
      <c r="S5220" s="19">
        <v>958600</v>
      </c>
      <c r="AE5220" s="17" t="s">
        <v>94</v>
      </c>
      <c r="AJ5220" s="19">
        <v>0</v>
      </c>
      <c r="AK5220" s="23">
        <v>0</v>
      </c>
      <c r="AM5220" s="19">
        <v>0</v>
      </c>
      <c r="AN5220" s="19">
        <v>958600</v>
      </c>
      <c r="AP5220" s="14">
        <v>958600</v>
      </c>
      <c r="AQ5220" s="12">
        <v>1E-4</v>
      </c>
    </row>
    <row r="5221" spans="1:45" x14ac:dyDescent="0.2">
      <c r="A5221" s="122">
        <f t="shared" si="580"/>
        <v>4387</v>
      </c>
      <c r="B5221" s="13">
        <v>1</v>
      </c>
      <c r="C5221" s="17" t="s">
        <v>52</v>
      </c>
      <c r="D5221" s="17">
        <v>2235</v>
      </c>
      <c r="E5221" s="17">
        <v>2</v>
      </c>
      <c r="F5221" s="17">
        <v>1568</v>
      </c>
      <c r="G5221" s="13">
        <v>3</v>
      </c>
      <c r="H5221" s="17">
        <v>25</v>
      </c>
      <c r="I5221" s="17">
        <v>2</v>
      </c>
      <c r="J5221" s="17">
        <v>53</v>
      </c>
      <c r="K5221" s="10">
        <v>10253</v>
      </c>
      <c r="P5221" s="17">
        <v>1</v>
      </c>
      <c r="Q5221" s="19">
        <v>10253</v>
      </c>
      <c r="R5221" s="14">
        <v>200</v>
      </c>
      <c r="S5221" s="19">
        <v>2050600</v>
      </c>
      <c r="AJ5221" s="19">
        <v>0</v>
      </c>
      <c r="AK5221" s="23">
        <v>0</v>
      </c>
      <c r="AM5221" s="19">
        <v>0</v>
      </c>
      <c r="AN5221" s="19">
        <v>2050600</v>
      </c>
      <c r="AP5221" s="14">
        <v>2050600</v>
      </c>
      <c r="AS5221" s="26">
        <v>135</v>
      </c>
    </row>
    <row r="5222" spans="1:45" x14ac:dyDescent="0.2">
      <c r="A5222" s="122">
        <f t="shared" si="580"/>
        <v>4388</v>
      </c>
      <c r="B5222" s="13">
        <v>1</v>
      </c>
      <c r="C5222" s="17" t="s">
        <v>65</v>
      </c>
      <c r="D5222" s="17">
        <v>526</v>
      </c>
      <c r="E5222" s="17">
        <v>130</v>
      </c>
      <c r="H5222" s="17">
        <v>16</v>
      </c>
      <c r="I5222" s="17">
        <v>3</v>
      </c>
      <c r="J5222" s="17">
        <v>97</v>
      </c>
      <c r="K5222" s="10">
        <v>6797</v>
      </c>
      <c r="Q5222" s="19">
        <v>6797</v>
      </c>
      <c r="R5222" s="14">
        <v>160</v>
      </c>
      <c r="S5222" s="19">
        <v>1087520</v>
      </c>
      <c r="AE5222" s="17" t="s">
        <v>94</v>
      </c>
      <c r="AJ5222" s="19">
        <v>0</v>
      </c>
      <c r="AK5222" s="23">
        <v>0</v>
      </c>
      <c r="AM5222" s="19">
        <v>0</v>
      </c>
      <c r="AN5222" s="19">
        <v>1087520</v>
      </c>
      <c r="AP5222" s="14">
        <v>1087520</v>
      </c>
      <c r="AQ5222" s="12">
        <v>1E-4</v>
      </c>
    </row>
    <row r="5223" spans="1:45" x14ac:dyDescent="0.2">
      <c r="A5223" s="122">
        <f t="shared" si="580"/>
        <v>4389</v>
      </c>
      <c r="B5223" s="13">
        <v>1</v>
      </c>
      <c r="C5223" s="17" t="s">
        <v>52</v>
      </c>
      <c r="D5223" s="17">
        <v>1697</v>
      </c>
      <c r="E5223" s="17">
        <v>41</v>
      </c>
      <c r="F5223" s="17">
        <v>1462</v>
      </c>
      <c r="G5223" s="13">
        <v>3</v>
      </c>
      <c r="H5223" s="17">
        <v>9</v>
      </c>
      <c r="I5223" s="17">
        <v>3</v>
      </c>
      <c r="J5223" s="17">
        <v>78</v>
      </c>
      <c r="K5223" s="10">
        <v>3978</v>
      </c>
      <c r="P5223" s="17">
        <v>1</v>
      </c>
      <c r="Q5223" s="19">
        <v>3978</v>
      </c>
      <c r="R5223" s="14">
        <v>200</v>
      </c>
      <c r="S5223" s="19">
        <v>795600</v>
      </c>
      <c r="AJ5223" s="19">
        <v>0</v>
      </c>
      <c r="AK5223" s="23">
        <v>0</v>
      </c>
      <c r="AM5223" s="19">
        <v>0</v>
      </c>
      <c r="AN5223" s="19">
        <v>795600</v>
      </c>
      <c r="AP5223" s="14">
        <v>795600</v>
      </c>
      <c r="AS5223" s="26">
        <v>108</v>
      </c>
    </row>
    <row r="5224" spans="1:45" x14ac:dyDescent="0.2">
      <c r="A5224" s="122">
        <f t="shared" si="580"/>
        <v>4390</v>
      </c>
      <c r="B5224" s="13">
        <v>2</v>
      </c>
      <c r="C5224" s="17" t="s">
        <v>52</v>
      </c>
      <c r="D5224" s="17">
        <v>1747</v>
      </c>
      <c r="E5224" s="17">
        <v>40</v>
      </c>
      <c r="F5224" s="17">
        <v>1461</v>
      </c>
      <c r="G5224" s="13">
        <v>3</v>
      </c>
      <c r="H5224" s="17">
        <v>6</v>
      </c>
      <c r="I5224" s="17">
        <v>1</v>
      </c>
      <c r="J5224" s="17">
        <v>76</v>
      </c>
      <c r="K5224" s="10">
        <v>2576</v>
      </c>
      <c r="P5224" s="17">
        <v>1</v>
      </c>
      <c r="Q5224" s="19">
        <v>2576</v>
      </c>
      <c r="R5224" s="14">
        <v>200</v>
      </c>
      <c r="S5224" s="19">
        <v>515200</v>
      </c>
      <c r="AJ5224" s="19">
        <v>0</v>
      </c>
      <c r="AK5224" s="23">
        <v>0</v>
      </c>
      <c r="AM5224" s="19">
        <v>0</v>
      </c>
      <c r="AN5224" s="19">
        <v>515200</v>
      </c>
      <c r="AP5224" s="14">
        <v>515200</v>
      </c>
    </row>
    <row r="5225" spans="1:45" x14ac:dyDescent="0.2">
      <c r="A5225" s="122">
        <f t="shared" si="580"/>
        <v>4391</v>
      </c>
      <c r="B5225" s="13">
        <v>3</v>
      </c>
      <c r="C5225" s="17" t="s">
        <v>52</v>
      </c>
      <c r="D5225" s="17">
        <v>21897</v>
      </c>
      <c r="E5225" s="17">
        <v>78</v>
      </c>
      <c r="F5225" s="17">
        <v>6181</v>
      </c>
      <c r="G5225" s="13">
        <v>3</v>
      </c>
      <c r="H5225" s="17">
        <v>6</v>
      </c>
      <c r="I5225" s="17">
        <v>0</v>
      </c>
      <c r="J5225" s="17">
        <v>35</v>
      </c>
      <c r="K5225" s="10">
        <v>2435</v>
      </c>
      <c r="P5225" s="17">
        <v>1</v>
      </c>
      <c r="Q5225" s="19">
        <v>2435</v>
      </c>
      <c r="R5225" s="14">
        <v>160</v>
      </c>
      <c r="S5225" s="19">
        <v>389600</v>
      </c>
      <c r="AJ5225" s="19">
        <v>0</v>
      </c>
      <c r="AK5225" s="23">
        <v>0</v>
      </c>
      <c r="AM5225" s="19">
        <v>0</v>
      </c>
      <c r="AN5225" s="19">
        <v>389600</v>
      </c>
      <c r="AP5225" s="14">
        <v>389600</v>
      </c>
    </row>
    <row r="5226" spans="1:45" x14ac:dyDescent="0.2">
      <c r="A5226" s="122">
        <f t="shared" si="580"/>
        <v>4392</v>
      </c>
      <c r="B5226" s="13">
        <v>1</v>
      </c>
      <c r="C5226" s="17" t="s">
        <v>52</v>
      </c>
      <c r="D5226" s="17">
        <v>2302</v>
      </c>
      <c r="E5226" s="17">
        <v>50</v>
      </c>
      <c r="F5226" s="17">
        <v>1057</v>
      </c>
      <c r="H5226" s="17">
        <v>0</v>
      </c>
      <c r="I5226" s="17">
        <v>0</v>
      </c>
      <c r="J5226" s="17">
        <v>35</v>
      </c>
      <c r="K5226" s="10">
        <v>35</v>
      </c>
      <c r="P5226" s="17">
        <v>1</v>
      </c>
      <c r="Q5226" s="19">
        <v>35</v>
      </c>
      <c r="R5226" s="14">
        <v>2000</v>
      </c>
      <c r="S5226" s="19">
        <v>70000</v>
      </c>
      <c r="AJ5226" s="19">
        <v>0</v>
      </c>
      <c r="AK5226" s="23">
        <v>0</v>
      </c>
      <c r="AM5226" s="19">
        <v>0</v>
      </c>
      <c r="AN5226" s="19">
        <v>70000</v>
      </c>
      <c r="AP5226" s="14">
        <v>70000</v>
      </c>
      <c r="AS5226" s="26">
        <v>47</v>
      </c>
    </row>
    <row r="5227" spans="1:45" x14ac:dyDescent="0.2">
      <c r="A5227" s="122">
        <f t="shared" si="580"/>
        <v>4393</v>
      </c>
      <c r="B5227" s="13">
        <v>1</v>
      </c>
      <c r="C5227" s="17" t="s">
        <v>52</v>
      </c>
      <c r="D5227" s="17">
        <v>17660</v>
      </c>
      <c r="E5227" s="17">
        <v>11</v>
      </c>
      <c r="F5227" s="17">
        <v>3788</v>
      </c>
      <c r="G5227" s="13">
        <v>3</v>
      </c>
      <c r="H5227" s="17">
        <v>17</v>
      </c>
      <c r="I5227" s="17">
        <v>0</v>
      </c>
      <c r="J5227" s="17">
        <v>61</v>
      </c>
      <c r="K5227" s="10">
        <v>6861</v>
      </c>
      <c r="P5227" s="17">
        <v>1</v>
      </c>
      <c r="Q5227" s="19">
        <v>6861</v>
      </c>
      <c r="R5227" s="14">
        <v>160</v>
      </c>
      <c r="S5227" s="19">
        <v>1097760</v>
      </c>
      <c r="AJ5227" s="19">
        <v>0</v>
      </c>
      <c r="AK5227" s="23">
        <v>0</v>
      </c>
      <c r="AM5227" s="19">
        <v>0</v>
      </c>
      <c r="AN5227" s="19">
        <v>1097760</v>
      </c>
      <c r="AP5227" s="14">
        <v>1097760</v>
      </c>
      <c r="AS5227" s="26">
        <v>51</v>
      </c>
    </row>
    <row r="5228" spans="1:45" ht="63" x14ac:dyDescent="0.2">
      <c r="A5228" s="122">
        <f t="shared" si="580"/>
        <v>4394</v>
      </c>
      <c r="B5228" s="13">
        <v>2</v>
      </c>
      <c r="C5228" s="17" t="s">
        <v>52</v>
      </c>
      <c r="D5228" s="17">
        <v>2185</v>
      </c>
      <c r="E5228" s="17">
        <v>58</v>
      </c>
      <c r="F5228" s="17">
        <v>1791</v>
      </c>
      <c r="G5228" s="13">
        <v>3</v>
      </c>
      <c r="H5228" s="17">
        <v>0</v>
      </c>
      <c r="I5228" s="17">
        <v>0</v>
      </c>
      <c r="J5228" s="17">
        <v>57</v>
      </c>
      <c r="L5228" s="17">
        <v>57</v>
      </c>
      <c r="P5228" s="17">
        <v>2</v>
      </c>
      <c r="Q5228" s="19">
        <v>57</v>
      </c>
      <c r="R5228" s="14">
        <v>2000</v>
      </c>
      <c r="S5228" s="19">
        <v>114000</v>
      </c>
      <c r="T5228" s="17">
        <v>1</v>
      </c>
      <c r="U5228" s="17" t="s">
        <v>57</v>
      </c>
      <c r="V5228" s="17" t="s">
        <v>56</v>
      </c>
      <c r="W5228" s="4">
        <v>216</v>
      </c>
      <c r="Y5228" s="4">
        <v>216</v>
      </c>
      <c r="AB5228" s="17">
        <v>15</v>
      </c>
      <c r="AJ5228" s="19">
        <v>0</v>
      </c>
      <c r="AK5228" s="23">
        <v>15</v>
      </c>
      <c r="AM5228" s="19">
        <v>0</v>
      </c>
      <c r="AN5228" s="19">
        <v>114000</v>
      </c>
      <c r="AP5228" s="14">
        <v>114000</v>
      </c>
    </row>
    <row r="5229" spans="1:45" x14ac:dyDescent="0.2">
      <c r="A5229" s="122">
        <f t="shared" si="580"/>
        <v>4395</v>
      </c>
      <c r="B5229" s="13">
        <v>3</v>
      </c>
      <c r="C5229" s="17" t="s">
        <v>52</v>
      </c>
      <c r="D5229" s="17">
        <v>2186</v>
      </c>
      <c r="E5229" s="17">
        <v>57</v>
      </c>
      <c r="F5229" s="17">
        <v>1793</v>
      </c>
      <c r="H5229" s="17">
        <v>0</v>
      </c>
      <c r="I5229" s="17">
        <v>1</v>
      </c>
      <c r="J5229" s="17">
        <v>54</v>
      </c>
      <c r="L5229" s="17">
        <v>154</v>
      </c>
      <c r="P5229" s="17">
        <v>2</v>
      </c>
      <c r="Q5229" s="19">
        <v>154</v>
      </c>
      <c r="R5229" s="14">
        <v>2000</v>
      </c>
      <c r="S5229" s="19">
        <v>308000</v>
      </c>
      <c r="AJ5229" s="19">
        <v>0</v>
      </c>
      <c r="AK5229" s="23">
        <v>0</v>
      </c>
      <c r="AM5229" s="19">
        <v>0</v>
      </c>
      <c r="AN5229" s="19">
        <v>308000</v>
      </c>
      <c r="AP5229" s="14">
        <v>308000</v>
      </c>
    </row>
    <row r="5230" spans="1:45" x14ac:dyDescent="0.2">
      <c r="A5230" s="122">
        <f t="shared" si="580"/>
        <v>4396</v>
      </c>
      <c r="B5230" s="13">
        <v>4</v>
      </c>
      <c r="C5230" s="17" t="s">
        <v>52</v>
      </c>
      <c r="D5230" s="17">
        <v>16059</v>
      </c>
      <c r="E5230" s="17">
        <v>132</v>
      </c>
      <c r="F5230" s="17">
        <v>3537</v>
      </c>
      <c r="H5230" s="17">
        <v>5</v>
      </c>
      <c r="I5230" s="17">
        <v>2</v>
      </c>
      <c r="J5230" s="17">
        <v>29</v>
      </c>
      <c r="K5230" s="10">
        <v>2229</v>
      </c>
      <c r="P5230" s="17">
        <v>1</v>
      </c>
      <c r="Q5230" s="19">
        <v>2229</v>
      </c>
      <c r="R5230" s="14">
        <v>160</v>
      </c>
      <c r="S5230" s="19">
        <v>356640</v>
      </c>
      <c r="AJ5230" s="19">
        <v>0</v>
      </c>
      <c r="AK5230" s="23">
        <v>0</v>
      </c>
      <c r="AM5230" s="19">
        <v>0</v>
      </c>
      <c r="AN5230" s="19">
        <v>356640</v>
      </c>
      <c r="AP5230" s="14">
        <v>356640</v>
      </c>
    </row>
    <row r="5231" spans="1:45" x14ac:dyDescent="0.2">
      <c r="A5231" s="122">
        <f t="shared" si="580"/>
        <v>4397</v>
      </c>
      <c r="B5231" s="13">
        <v>1</v>
      </c>
      <c r="C5231" s="17" t="s">
        <v>52</v>
      </c>
      <c r="D5231" s="17">
        <v>1236</v>
      </c>
      <c r="E5231" s="17">
        <v>7</v>
      </c>
      <c r="F5231" s="17">
        <v>263</v>
      </c>
      <c r="G5231" s="13">
        <v>6</v>
      </c>
      <c r="H5231" s="17">
        <v>3</v>
      </c>
      <c r="I5231" s="17">
        <v>0</v>
      </c>
      <c r="J5231" s="17">
        <v>17</v>
      </c>
      <c r="K5231" s="10">
        <v>1217</v>
      </c>
      <c r="P5231" s="17">
        <v>1</v>
      </c>
      <c r="Q5231" s="19">
        <v>1217</v>
      </c>
      <c r="R5231" s="14">
        <v>160</v>
      </c>
      <c r="S5231" s="19">
        <v>194720</v>
      </c>
      <c r="AJ5231" s="19">
        <v>0</v>
      </c>
      <c r="AK5231" s="23">
        <v>0</v>
      </c>
      <c r="AM5231" s="19">
        <v>0</v>
      </c>
      <c r="AN5231" s="19">
        <v>194720</v>
      </c>
      <c r="AP5231" s="14">
        <v>194720</v>
      </c>
    </row>
    <row r="5232" spans="1:45" ht="63" x14ac:dyDescent="0.2">
      <c r="A5232" s="122">
        <f t="shared" si="580"/>
        <v>4398</v>
      </c>
      <c r="B5232" s="13">
        <v>2</v>
      </c>
      <c r="C5232" s="17" t="s">
        <v>52</v>
      </c>
      <c r="D5232" s="17">
        <v>1763</v>
      </c>
      <c r="E5232" s="17">
        <v>18</v>
      </c>
      <c r="F5232" s="17">
        <v>771</v>
      </c>
      <c r="G5232" s="13">
        <v>6</v>
      </c>
      <c r="H5232" s="17">
        <v>2</v>
      </c>
      <c r="I5232" s="17">
        <v>2</v>
      </c>
      <c r="J5232" s="17">
        <v>95</v>
      </c>
      <c r="K5232" s="10">
        <v>1072.5</v>
      </c>
      <c r="L5232" s="17">
        <v>22.5</v>
      </c>
      <c r="P5232" s="17">
        <v>5</v>
      </c>
      <c r="Q5232" s="19">
        <v>1095</v>
      </c>
      <c r="R5232" s="14">
        <v>2250</v>
      </c>
      <c r="S5232" s="19">
        <v>2463750</v>
      </c>
      <c r="T5232" s="17">
        <v>1</v>
      </c>
      <c r="U5232" s="17" t="s">
        <v>63</v>
      </c>
      <c r="V5232" s="17" t="s">
        <v>56</v>
      </c>
      <c r="W5232" s="4">
        <v>90</v>
      </c>
      <c r="Y5232" s="4">
        <v>90</v>
      </c>
      <c r="AB5232" s="17">
        <v>22</v>
      </c>
      <c r="AJ5232" s="19">
        <v>0</v>
      </c>
      <c r="AK5232" s="23">
        <v>22</v>
      </c>
      <c r="AM5232" s="19">
        <v>0</v>
      </c>
      <c r="AN5232" s="19">
        <v>2463750</v>
      </c>
      <c r="AP5232" s="14">
        <v>2463750</v>
      </c>
    </row>
    <row r="5233" spans="1:45" x14ac:dyDescent="0.2">
      <c r="C5233" s="17" t="s">
        <v>52</v>
      </c>
      <c r="D5233" s="17">
        <v>16074</v>
      </c>
      <c r="E5233" s="17">
        <v>67</v>
      </c>
      <c r="F5233" s="17">
        <v>3552</v>
      </c>
      <c r="H5233" s="17">
        <v>35</v>
      </c>
      <c r="I5233" s="17">
        <v>3</v>
      </c>
      <c r="J5233" s="17">
        <v>70</v>
      </c>
      <c r="Q5233" s="19">
        <v>14370</v>
      </c>
      <c r="R5233" s="14" t="e">
        <v>#N/A</v>
      </c>
      <c r="AE5233" s="17" t="s">
        <v>181</v>
      </c>
    </row>
    <row r="5234" spans="1:45" x14ac:dyDescent="0.2">
      <c r="C5234" s="17" t="s">
        <v>52</v>
      </c>
      <c r="D5234" s="17">
        <v>16075</v>
      </c>
      <c r="E5234" s="17">
        <v>41</v>
      </c>
      <c r="F5234" s="17">
        <v>3553</v>
      </c>
      <c r="H5234" s="17">
        <v>9</v>
      </c>
      <c r="I5234" s="17">
        <v>3</v>
      </c>
      <c r="J5234" s="17">
        <v>22</v>
      </c>
      <c r="Q5234" s="19">
        <v>3922</v>
      </c>
      <c r="R5234" s="14" t="e">
        <v>#N/A</v>
      </c>
    </row>
    <row r="5235" spans="1:45" x14ac:dyDescent="0.2">
      <c r="C5235" s="17" t="s">
        <v>52</v>
      </c>
      <c r="D5235" s="17">
        <v>16076</v>
      </c>
      <c r="E5235" s="17">
        <v>40</v>
      </c>
      <c r="F5235" s="17">
        <v>3554</v>
      </c>
      <c r="H5235" s="17">
        <v>8</v>
      </c>
      <c r="I5235" s="17">
        <v>0</v>
      </c>
      <c r="J5235" s="17">
        <v>32.1</v>
      </c>
      <c r="Q5235" s="19">
        <v>3232.1</v>
      </c>
      <c r="R5235" s="14" t="e">
        <v>#N/A</v>
      </c>
    </row>
    <row r="5236" spans="1:45" x14ac:dyDescent="0.2">
      <c r="A5236" s="2">
        <v>4399</v>
      </c>
      <c r="B5236" s="13">
        <v>3</v>
      </c>
      <c r="C5236" s="17" t="s">
        <v>65</v>
      </c>
      <c r="D5236" s="17">
        <v>1270</v>
      </c>
      <c r="E5236" s="17">
        <v>129</v>
      </c>
      <c r="H5236" s="17">
        <v>3</v>
      </c>
      <c r="I5236" s="17">
        <v>1</v>
      </c>
      <c r="J5236" s="17">
        <v>60</v>
      </c>
      <c r="K5236" s="10">
        <v>1360</v>
      </c>
      <c r="Q5236" s="19">
        <v>1360</v>
      </c>
      <c r="R5236" s="14">
        <v>160</v>
      </c>
      <c r="S5236" s="19">
        <v>217600</v>
      </c>
      <c r="AE5236" s="17" t="s">
        <v>470</v>
      </c>
      <c r="AJ5236" s="19">
        <v>0</v>
      </c>
      <c r="AK5236" s="23">
        <v>0</v>
      </c>
      <c r="AM5236" s="19">
        <v>0</v>
      </c>
      <c r="AN5236" s="19">
        <v>217600</v>
      </c>
      <c r="AP5236" s="14">
        <v>217600</v>
      </c>
      <c r="AQ5236" s="12">
        <v>1E-4</v>
      </c>
    </row>
    <row r="5237" spans="1:45" x14ac:dyDescent="0.2">
      <c r="B5237" s="13">
        <v>4</v>
      </c>
      <c r="C5237" s="17" t="s">
        <v>65</v>
      </c>
      <c r="D5237" s="17">
        <v>1271</v>
      </c>
      <c r="E5237" s="17">
        <v>130</v>
      </c>
      <c r="H5237" s="17">
        <v>37</v>
      </c>
      <c r="I5237" s="17">
        <v>0</v>
      </c>
      <c r="J5237" s="17">
        <v>80</v>
      </c>
      <c r="K5237" s="10">
        <v>14880</v>
      </c>
      <c r="Q5237" s="19">
        <v>14880</v>
      </c>
      <c r="R5237" s="14" t="e">
        <v>#N/A</v>
      </c>
      <c r="S5237" s="19" t="e">
        <v>#N/A</v>
      </c>
      <c r="AJ5237" s="19">
        <v>0</v>
      </c>
      <c r="AK5237" s="23">
        <v>0</v>
      </c>
      <c r="AM5237" s="19">
        <v>0</v>
      </c>
      <c r="AN5237" s="19" t="e">
        <v>#N/A</v>
      </c>
      <c r="AP5237" s="14" t="e">
        <v>#N/A</v>
      </c>
      <c r="AQ5237" s="12">
        <v>1E-4</v>
      </c>
    </row>
    <row r="5238" spans="1:45" x14ac:dyDescent="0.2">
      <c r="A5238" s="2">
        <v>4400</v>
      </c>
      <c r="B5238" s="13">
        <v>5</v>
      </c>
      <c r="C5238" s="17" t="s">
        <v>65</v>
      </c>
      <c r="D5238" s="17">
        <v>1272</v>
      </c>
      <c r="E5238" s="17">
        <v>131</v>
      </c>
      <c r="H5238" s="17">
        <v>10</v>
      </c>
      <c r="I5238" s="17">
        <v>0</v>
      </c>
      <c r="J5238" s="17">
        <v>46</v>
      </c>
      <c r="K5238" s="10">
        <v>4046</v>
      </c>
      <c r="Q5238" s="19">
        <v>4046</v>
      </c>
      <c r="R5238" s="14">
        <v>160</v>
      </c>
      <c r="S5238" s="19">
        <v>647360</v>
      </c>
      <c r="AJ5238" s="19">
        <v>0</v>
      </c>
      <c r="AK5238" s="23">
        <v>0</v>
      </c>
      <c r="AM5238" s="19">
        <v>0</v>
      </c>
      <c r="AN5238" s="19">
        <v>647360</v>
      </c>
      <c r="AP5238" s="14">
        <v>647360</v>
      </c>
      <c r="AQ5238" s="12">
        <v>1E-4</v>
      </c>
    </row>
    <row r="5239" spans="1:45" x14ac:dyDescent="0.2">
      <c r="B5239" s="13">
        <v>1</v>
      </c>
      <c r="C5239" s="17" t="s">
        <v>97</v>
      </c>
      <c r="D5239" s="17">
        <v>146</v>
      </c>
      <c r="G5239" s="13">
        <v>3</v>
      </c>
      <c r="H5239" s="17">
        <v>12</v>
      </c>
      <c r="I5239" s="17">
        <v>0</v>
      </c>
      <c r="J5239" s="17">
        <v>0</v>
      </c>
      <c r="K5239" s="10">
        <v>4800</v>
      </c>
      <c r="P5239" s="17">
        <v>1</v>
      </c>
      <c r="Q5239" s="19">
        <v>4800</v>
      </c>
      <c r="R5239" s="14" t="e">
        <v>#N/A</v>
      </c>
      <c r="S5239" s="19" t="e">
        <v>#N/A</v>
      </c>
      <c r="AJ5239" s="19">
        <v>0</v>
      </c>
      <c r="AK5239" s="23">
        <v>0</v>
      </c>
      <c r="AM5239" s="19">
        <v>0</v>
      </c>
      <c r="AN5239" s="19" t="e">
        <v>#N/A</v>
      </c>
      <c r="AP5239" s="14" t="e">
        <v>#N/A</v>
      </c>
      <c r="AQ5239" s="12">
        <v>1E-4</v>
      </c>
    </row>
    <row r="5240" spans="1:45" x14ac:dyDescent="0.2">
      <c r="A5240" s="2">
        <v>4401</v>
      </c>
      <c r="B5240" s="13">
        <v>1</v>
      </c>
      <c r="C5240" s="17" t="s">
        <v>52</v>
      </c>
      <c r="D5240" s="17">
        <v>16503</v>
      </c>
      <c r="E5240" s="17">
        <v>26</v>
      </c>
      <c r="F5240" s="17">
        <v>3606</v>
      </c>
      <c r="H5240" s="17">
        <v>8</v>
      </c>
      <c r="I5240" s="17">
        <v>0</v>
      </c>
      <c r="J5240" s="17">
        <v>7</v>
      </c>
      <c r="M5240" s="15">
        <v>3207</v>
      </c>
      <c r="P5240" s="17">
        <v>3</v>
      </c>
      <c r="Q5240" s="19">
        <v>3207</v>
      </c>
      <c r="R5240" s="14">
        <v>160</v>
      </c>
      <c r="S5240" s="19">
        <v>513120</v>
      </c>
      <c r="AE5240" s="17" t="s">
        <v>449</v>
      </c>
      <c r="AJ5240" s="19">
        <v>0</v>
      </c>
      <c r="AK5240" s="23">
        <v>0</v>
      </c>
      <c r="AM5240" s="19">
        <v>0</v>
      </c>
      <c r="AN5240" s="19">
        <v>513120</v>
      </c>
      <c r="AP5240" s="14">
        <v>513120</v>
      </c>
      <c r="AQ5240" s="12">
        <v>3.0000000000000001E-3</v>
      </c>
    </row>
    <row r="5241" spans="1:45" x14ac:dyDescent="0.2">
      <c r="B5241" s="13">
        <v>2</v>
      </c>
      <c r="C5241" s="17" t="s">
        <v>65</v>
      </c>
      <c r="D5241" s="17">
        <v>3535</v>
      </c>
      <c r="E5241" s="17">
        <v>197</v>
      </c>
      <c r="H5241" s="17">
        <v>6</v>
      </c>
      <c r="I5241" s="17">
        <v>1</v>
      </c>
      <c r="J5241" s="17">
        <v>96</v>
      </c>
      <c r="K5241" s="10">
        <v>2596</v>
      </c>
      <c r="Q5241" s="19">
        <v>2596</v>
      </c>
      <c r="R5241" s="14" t="e">
        <v>#N/A</v>
      </c>
      <c r="S5241" s="19" t="e">
        <v>#N/A</v>
      </c>
      <c r="AJ5241" s="19">
        <v>0</v>
      </c>
      <c r="AK5241" s="23">
        <v>0</v>
      </c>
      <c r="AM5241" s="19">
        <v>0</v>
      </c>
      <c r="AN5241" s="19" t="e">
        <v>#N/A</v>
      </c>
      <c r="AP5241" s="14" t="e">
        <v>#N/A</v>
      </c>
      <c r="AQ5241" s="12">
        <v>1E-4</v>
      </c>
    </row>
    <row r="5242" spans="1:45" x14ac:dyDescent="0.2">
      <c r="A5242" s="2">
        <v>4402</v>
      </c>
      <c r="B5242" s="13">
        <v>1</v>
      </c>
      <c r="C5242" s="17" t="s">
        <v>52</v>
      </c>
      <c r="D5242" s="17">
        <v>14305</v>
      </c>
      <c r="E5242" s="17">
        <v>2</v>
      </c>
      <c r="F5242" s="17">
        <v>3407</v>
      </c>
      <c r="G5242" s="13">
        <v>3</v>
      </c>
      <c r="H5242" s="17">
        <v>3</v>
      </c>
      <c r="I5242" s="17">
        <v>2</v>
      </c>
      <c r="J5242" s="17">
        <v>12</v>
      </c>
      <c r="K5242" s="10">
        <v>1412</v>
      </c>
      <c r="P5242" s="17">
        <v>1</v>
      </c>
      <c r="Q5242" s="19">
        <v>1412</v>
      </c>
      <c r="R5242" s="14">
        <v>200</v>
      </c>
      <c r="S5242" s="19">
        <v>282400</v>
      </c>
      <c r="AJ5242" s="19">
        <v>0</v>
      </c>
      <c r="AK5242" s="23">
        <v>0</v>
      </c>
      <c r="AM5242" s="19">
        <v>0</v>
      </c>
      <c r="AN5242" s="19">
        <v>282400</v>
      </c>
      <c r="AP5242" s="14">
        <v>282400</v>
      </c>
      <c r="AS5242" s="26">
        <v>19</v>
      </c>
    </row>
    <row r="5243" spans="1:45" x14ac:dyDescent="0.2">
      <c r="A5243" s="2">
        <f>+A5242+1</f>
        <v>4403</v>
      </c>
      <c r="B5243" s="13">
        <v>1</v>
      </c>
      <c r="C5243" s="17" t="s">
        <v>52</v>
      </c>
      <c r="D5243" s="17">
        <v>2092</v>
      </c>
      <c r="E5243" s="17">
        <v>48</v>
      </c>
      <c r="F5243" s="17">
        <v>1561</v>
      </c>
      <c r="G5243" s="13">
        <v>3</v>
      </c>
      <c r="H5243" s="17">
        <v>3</v>
      </c>
      <c r="I5243" s="17">
        <v>3</v>
      </c>
      <c r="J5243" s="17">
        <v>45</v>
      </c>
      <c r="K5243" s="10">
        <v>1545</v>
      </c>
      <c r="P5243" s="17">
        <v>1</v>
      </c>
      <c r="Q5243" s="19">
        <v>1545</v>
      </c>
      <c r="R5243" s="14">
        <v>200</v>
      </c>
      <c r="S5243" s="19">
        <v>309000</v>
      </c>
      <c r="AJ5243" s="19">
        <v>0</v>
      </c>
      <c r="AK5243" s="23">
        <v>0</v>
      </c>
      <c r="AM5243" s="19">
        <v>0</v>
      </c>
      <c r="AN5243" s="19">
        <v>309000</v>
      </c>
      <c r="AP5243" s="14">
        <v>309000</v>
      </c>
      <c r="AS5243" s="26">
        <v>105</v>
      </c>
    </row>
    <row r="5244" spans="1:45" x14ac:dyDescent="0.2">
      <c r="A5244" s="122">
        <f t="shared" ref="A5244:A5247" si="581">+A5243+1</f>
        <v>4404</v>
      </c>
      <c r="B5244" s="13">
        <v>2</v>
      </c>
      <c r="C5244" s="17" t="s">
        <v>52</v>
      </c>
      <c r="D5244" s="17">
        <v>2284</v>
      </c>
      <c r="E5244" s="17">
        <v>47</v>
      </c>
      <c r="F5244" s="17">
        <v>1772</v>
      </c>
      <c r="G5244" s="13">
        <v>3</v>
      </c>
      <c r="H5244" s="17">
        <v>6</v>
      </c>
      <c r="I5244" s="17">
        <v>3</v>
      </c>
      <c r="J5244" s="17">
        <v>45</v>
      </c>
      <c r="K5244" s="10">
        <v>2745</v>
      </c>
      <c r="P5244" s="17">
        <v>1</v>
      </c>
      <c r="Q5244" s="19">
        <v>2745</v>
      </c>
      <c r="R5244" s="14">
        <v>200</v>
      </c>
      <c r="S5244" s="19">
        <v>549000</v>
      </c>
      <c r="AJ5244" s="19">
        <v>0</v>
      </c>
      <c r="AK5244" s="23">
        <v>0</v>
      </c>
      <c r="AM5244" s="19">
        <v>0</v>
      </c>
      <c r="AN5244" s="19">
        <v>549000</v>
      </c>
      <c r="AP5244" s="14">
        <v>549000</v>
      </c>
    </row>
    <row r="5245" spans="1:45" ht="63" x14ac:dyDescent="0.2">
      <c r="A5245" s="122">
        <f t="shared" si="581"/>
        <v>4405</v>
      </c>
      <c r="B5245" s="13">
        <v>3</v>
      </c>
      <c r="C5245" s="17" t="s">
        <v>52</v>
      </c>
      <c r="D5245" s="17">
        <v>14304</v>
      </c>
      <c r="E5245" s="17">
        <v>1</v>
      </c>
      <c r="F5245" s="17">
        <v>3406</v>
      </c>
      <c r="G5245" s="13">
        <v>3</v>
      </c>
      <c r="H5245" s="17">
        <v>9</v>
      </c>
      <c r="I5245" s="17">
        <v>1</v>
      </c>
      <c r="J5245" s="17">
        <v>74</v>
      </c>
      <c r="K5245" s="10">
        <v>3726.5</v>
      </c>
      <c r="L5245" s="17">
        <v>47.5</v>
      </c>
      <c r="P5245" s="17">
        <v>5</v>
      </c>
      <c r="Q5245" s="19">
        <v>3774</v>
      </c>
      <c r="R5245" s="14">
        <v>200</v>
      </c>
      <c r="S5245" s="19">
        <v>754800</v>
      </c>
      <c r="T5245" s="17">
        <v>1</v>
      </c>
      <c r="U5245" s="17" t="s">
        <v>57</v>
      </c>
      <c r="V5245" s="17" t="s">
        <v>56</v>
      </c>
      <c r="W5245" s="4">
        <v>190</v>
      </c>
      <c r="Y5245" s="4">
        <v>190</v>
      </c>
      <c r="AB5245" s="17">
        <v>27</v>
      </c>
      <c r="AJ5245" s="19">
        <v>0</v>
      </c>
      <c r="AK5245" s="23">
        <v>27</v>
      </c>
      <c r="AM5245" s="19">
        <v>0</v>
      </c>
      <c r="AN5245" s="19">
        <v>754800</v>
      </c>
      <c r="AP5245" s="14">
        <v>754800</v>
      </c>
    </row>
    <row r="5246" spans="1:45" x14ac:dyDescent="0.2">
      <c r="A5246" s="122">
        <f>+A5245+1</f>
        <v>4406</v>
      </c>
      <c r="C5246" s="17" t="s">
        <v>52</v>
      </c>
      <c r="D5246" s="17">
        <v>16504</v>
      </c>
      <c r="E5246" s="17">
        <v>29</v>
      </c>
      <c r="F5246" s="17">
        <v>3607</v>
      </c>
      <c r="H5246" s="17">
        <v>8</v>
      </c>
      <c r="I5246" s="17">
        <v>2</v>
      </c>
      <c r="J5246" s="17">
        <v>35.799999999999997</v>
      </c>
      <c r="M5246" s="15" t="s">
        <v>471</v>
      </c>
      <c r="P5246" s="17">
        <v>2</v>
      </c>
      <c r="Q5246" s="19">
        <v>3435.8</v>
      </c>
      <c r="R5246" s="14">
        <v>160</v>
      </c>
      <c r="S5246" s="19">
        <v>549728</v>
      </c>
      <c r="AE5246" s="17" t="s">
        <v>472</v>
      </c>
      <c r="AM5246" s="19">
        <v>0</v>
      </c>
      <c r="AN5246" s="19">
        <v>549728</v>
      </c>
      <c r="AP5246" s="14">
        <v>549728</v>
      </c>
      <c r="AQ5246" s="12">
        <v>3.0000000000000001E-3</v>
      </c>
    </row>
    <row r="5247" spans="1:45" x14ac:dyDescent="0.2">
      <c r="A5247" s="122">
        <f t="shared" si="581"/>
        <v>4407</v>
      </c>
      <c r="C5247" s="17" t="s">
        <v>52</v>
      </c>
      <c r="D5247" s="17">
        <v>16506</v>
      </c>
      <c r="E5247" s="17">
        <v>28</v>
      </c>
      <c r="F5247" s="17">
        <v>3609</v>
      </c>
      <c r="G5247" s="13">
        <v>3</v>
      </c>
      <c r="H5247" s="17">
        <v>7</v>
      </c>
      <c r="I5247" s="17">
        <v>2</v>
      </c>
      <c r="J5247" s="17">
        <v>20</v>
      </c>
      <c r="M5247" s="15" t="s">
        <v>473</v>
      </c>
      <c r="P5247" s="17">
        <v>2</v>
      </c>
      <c r="Q5247" s="19">
        <v>3020</v>
      </c>
      <c r="R5247" s="14">
        <v>160</v>
      </c>
      <c r="S5247" s="19">
        <v>483200</v>
      </c>
      <c r="AE5247" s="17" t="s">
        <v>472</v>
      </c>
      <c r="AM5247" s="19">
        <v>0</v>
      </c>
      <c r="AN5247" s="19">
        <v>483200</v>
      </c>
      <c r="AP5247" s="14">
        <v>483200</v>
      </c>
      <c r="AQ5247" s="12">
        <v>3.0000000000000001E-3</v>
      </c>
    </row>
    <row r="5248" spans="1:45" x14ac:dyDescent="0.2">
      <c r="B5248" s="13">
        <v>4</v>
      </c>
      <c r="C5248" s="17" t="s">
        <v>65</v>
      </c>
      <c r="D5248" s="17">
        <v>3534</v>
      </c>
      <c r="E5248" s="17">
        <v>196</v>
      </c>
      <c r="H5248" s="17">
        <v>9</v>
      </c>
      <c r="I5248" s="17">
        <v>1</v>
      </c>
      <c r="J5248" s="17">
        <v>25</v>
      </c>
      <c r="K5248" s="10">
        <v>3725</v>
      </c>
      <c r="P5248" s="17">
        <v>1</v>
      </c>
      <c r="Q5248" s="19">
        <v>3725</v>
      </c>
      <c r="R5248" s="14" t="e">
        <v>#N/A</v>
      </c>
      <c r="S5248" s="19" t="e">
        <v>#N/A</v>
      </c>
      <c r="AJ5248" s="19">
        <v>0</v>
      </c>
      <c r="AK5248" s="23">
        <v>0</v>
      </c>
      <c r="AM5248" s="19">
        <v>0</v>
      </c>
      <c r="AN5248" s="19" t="e">
        <v>#N/A</v>
      </c>
      <c r="AP5248" s="14" t="e">
        <v>#N/A</v>
      </c>
      <c r="AQ5248" s="12">
        <v>1E-4</v>
      </c>
    </row>
    <row r="5249" spans="1:45" s="19" customFormat="1" x14ac:dyDescent="0.2">
      <c r="A5249" s="2"/>
      <c r="B5249" s="13">
        <v>5</v>
      </c>
      <c r="C5249" s="17" t="s">
        <v>97</v>
      </c>
      <c r="D5249" s="17">
        <v>6</v>
      </c>
      <c r="E5249" s="17"/>
      <c r="F5249" s="17"/>
      <c r="G5249" s="13">
        <v>3</v>
      </c>
      <c r="H5249" s="17">
        <v>7</v>
      </c>
      <c r="I5249" s="17">
        <v>0</v>
      </c>
      <c r="J5249" s="17">
        <v>75</v>
      </c>
      <c r="K5249" s="10">
        <v>2875</v>
      </c>
      <c r="L5249" s="17"/>
      <c r="M5249" s="15"/>
      <c r="N5249" s="18"/>
      <c r="O5249" s="14"/>
      <c r="P5249" s="17">
        <v>1</v>
      </c>
      <c r="Q5249" s="19">
        <v>2875</v>
      </c>
      <c r="R5249" s="14" t="e">
        <v>#N/A</v>
      </c>
      <c r="S5249" s="19" t="e">
        <v>#N/A</v>
      </c>
      <c r="T5249" s="17"/>
      <c r="U5249" s="17"/>
      <c r="V5249" s="17"/>
      <c r="W5249" s="4"/>
      <c r="X5249" s="17"/>
      <c r="Y5249" s="4"/>
      <c r="Z5249" s="17"/>
      <c r="AA5249" s="17"/>
      <c r="AB5249" s="17"/>
      <c r="AC5249" s="14"/>
      <c r="AD5249" s="14"/>
      <c r="AE5249" s="17"/>
      <c r="AF5249" s="14"/>
      <c r="AG5249" s="54"/>
      <c r="AH5249" s="11"/>
      <c r="AI5249" s="14"/>
      <c r="AJ5249" s="19">
        <v>0</v>
      </c>
      <c r="AK5249" s="23">
        <v>0</v>
      </c>
      <c r="AL5249" s="11"/>
      <c r="AM5249" s="19">
        <v>0</v>
      </c>
      <c r="AN5249" s="19" t="e">
        <v>#N/A</v>
      </c>
      <c r="AO5249" s="14"/>
      <c r="AP5249" s="14" t="e">
        <v>#N/A</v>
      </c>
      <c r="AQ5249" s="12">
        <v>1E-4</v>
      </c>
      <c r="AS5249" s="26"/>
    </row>
    <row r="5250" spans="1:45" s="19" customFormat="1" x14ac:dyDescent="0.2">
      <c r="A5250" s="2"/>
      <c r="B5250" s="13">
        <v>1</v>
      </c>
      <c r="C5250" s="17" t="s">
        <v>97</v>
      </c>
      <c r="D5250" s="17">
        <v>7</v>
      </c>
      <c r="E5250" s="17"/>
      <c r="F5250" s="17"/>
      <c r="G5250" s="13">
        <v>3</v>
      </c>
      <c r="H5250" s="17">
        <v>2</v>
      </c>
      <c r="I5250" s="17">
        <v>2</v>
      </c>
      <c r="J5250" s="17">
        <v>0</v>
      </c>
      <c r="K5250" s="10">
        <v>1000</v>
      </c>
      <c r="L5250" s="17"/>
      <c r="M5250" s="15"/>
      <c r="N5250" s="18"/>
      <c r="O5250" s="14"/>
      <c r="P5250" s="17">
        <v>1</v>
      </c>
      <c r="Q5250" s="19">
        <v>1000</v>
      </c>
      <c r="R5250" s="14" t="e">
        <v>#N/A</v>
      </c>
      <c r="S5250" s="19" t="e">
        <v>#N/A</v>
      </c>
      <c r="T5250" s="17"/>
      <c r="U5250" s="17"/>
      <c r="V5250" s="17"/>
      <c r="W5250" s="4"/>
      <c r="X5250" s="17"/>
      <c r="Y5250" s="4"/>
      <c r="Z5250" s="17"/>
      <c r="AA5250" s="17"/>
      <c r="AB5250" s="17"/>
      <c r="AC5250" s="14"/>
      <c r="AD5250" s="14"/>
      <c r="AE5250" s="17"/>
      <c r="AF5250" s="14"/>
      <c r="AG5250" s="54"/>
      <c r="AH5250" s="11"/>
      <c r="AI5250" s="14"/>
      <c r="AJ5250" s="19">
        <v>0</v>
      </c>
      <c r="AK5250" s="23">
        <v>0</v>
      </c>
      <c r="AL5250" s="11"/>
      <c r="AM5250" s="19">
        <v>0</v>
      </c>
      <c r="AN5250" s="19" t="e">
        <v>#N/A</v>
      </c>
      <c r="AO5250" s="14"/>
      <c r="AP5250" s="14" t="e">
        <v>#N/A</v>
      </c>
      <c r="AQ5250" s="12">
        <v>1E-4</v>
      </c>
      <c r="AS5250" s="26"/>
    </row>
    <row r="5251" spans="1:45" s="19" customFormat="1" x14ac:dyDescent="0.2">
      <c r="A5251" s="2"/>
      <c r="B5251" s="13">
        <v>2</v>
      </c>
      <c r="C5251" s="17" t="s">
        <v>97</v>
      </c>
      <c r="D5251" s="17">
        <v>8</v>
      </c>
      <c r="E5251" s="17"/>
      <c r="F5251" s="17"/>
      <c r="G5251" s="13">
        <v>3</v>
      </c>
      <c r="H5251" s="17">
        <v>1</v>
      </c>
      <c r="I5251" s="17">
        <v>2</v>
      </c>
      <c r="J5251" s="17">
        <v>50</v>
      </c>
      <c r="K5251" s="10">
        <v>650</v>
      </c>
      <c r="L5251" s="17"/>
      <c r="M5251" s="15"/>
      <c r="N5251" s="18"/>
      <c r="O5251" s="14"/>
      <c r="P5251" s="17">
        <v>1</v>
      </c>
      <c r="Q5251" s="19">
        <v>650</v>
      </c>
      <c r="R5251" s="14" t="e">
        <v>#N/A</v>
      </c>
      <c r="S5251" s="19" t="e">
        <v>#N/A</v>
      </c>
      <c r="T5251" s="17"/>
      <c r="U5251" s="17"/>
      <c r="V5251" s="17"/>
      <c r="W5251" s="4"/>
      <c r="X5251" s="17"/>
      <c r="Y5251" s="4"/>
      <c r="Z5251" s="17"/>
      <c r="AA5251" s="17"/>
      <c r="AB5251" s="17"/>
      <c r="AC5251" s="14"/>
      <c r="AD5251" s="14"/>
      <c r="AE5251" s="17"/>
      <c r="AF5251" s="14"/>
      <c r="AG5251" s="54"/>
      <c r="AH5251" s="11"/>
      <c r="AI5251" s="14"/>
      <c r="AJ5251" s="19">
        <v>0</v>
      </c>
      <c r="AK5251" s="23">
        <v>0</v>
      </c>
      <c r="AL5251" s="11"/>
      <c r="AM5251" s="19">
        <v>0</v>
      </c>
      <c r="AN5251" s="19" t="e">
        <v>#N/A</v>
      </c>
      <c r="AO5251" s="14"/>
      <c r="AP5251" s="14" t="e">
        <v>#N/A</v>
      </c>
      <c r="AQ5251" s="12">
        <v>1E-4</v>
      </c>
      <c r="AS5251" s="26"/>
    </row>
    <row r="5252" spans="1:45" s="19" customFormat="1" x14ac:dyDescent="0.2">
      <c r="A5252" s="2">
        <v>4408</v>
      </c>
      <c r="B5252" s="13">
        <v>3</v>
      </c>
      <c r="C5252" s="17" t="s">
        <v>65</v>
      </c>
      <c r="D5252" s="17">
        <v>419</v>
      </c>
      <c r="E5252" s="17">
        <v>81</v>
      </c>
      <c r="F5252" s="17"/>
      <c r="G5252" s="13"/>
      <c r="H5252" s="17">
        <v>3</v>
      </c>
      <c r="I5252" s="17">
        <v>3</v>
      </c>
      <c r="J5252" s="17">
        <v>73</v>
      </c>
      <c r="K5252" s="10">
        <v>1573</v>
      </c>
      <c r="L5252" s="17"/>
      <c r="M5252" s="15"/>
      <c r="N5252" s="18"/>
      <c r="O5252" s="14"/>
      <c r="P5252" s="17">
        <v>1</v>
      </c>
      <c r="Q5252" s="19">
        <v>1573</v>
      </c>
      <c r="R5252" s="14">
        <v>160</v>
      </c>
      <c r="S5252" s="19">
        <v>251680</v>
      </c>
      <c r="T5252" s="17"/>
      <c r="U5252" s="17"/>
      <c r="V5252" s="17"/>
      <c r="W5252" s="4"/>
      <c r="X5252" s="17"/>
      <c r="Y5252" s="4"/>
      <c r="Z5252" s="17"/>
      <c r="AA5252" s="17"/>
      <c r="AB5252" s="17"/>
      <c r="AC5252" s="14"/>
      <c r="AD5252" s="14"/>
      <c r="AE5252" s="17"/>
      <c r="AF5252" s="14"/>
      <c r="AG5252" s="54"/>
      <c r="AH5252" s="11"/>
      <c r="AI5252" s="14"/>
      <c r="AJ5252" s="19">
        <v>0</v>
      </c>
      <c r="AK5252" s="23">
        <v>0</v>
      </c>
      <c r="AL5252" s="11"/>
      <c r="AM5252" s="19">
        <v>0</v>
      </c>
      <c r="AN5252" s="19">
        <v>251680</v>
      </c>
      <c r="AO5252" s="14"/>
      <c r="AP5252" s="14">
        <v>251680</v>
      </c>
      <c r="AQ5252" s="12">
        <v>1E-4</v>
      </c>
      <c r="AS5252" s="26"/>
    </row>
    <row r="5253" spans="1:45" s="19" customFormat="1" x14ac:dyDescent="0.2">
      <c r="A5253" s="2">
        <f>+A5252+1</f>
        <v>4409</v>
      </c>
      <c r="B5253" s="13">
        <v>4</v>
      </c>
      <c r="C5253" s="17" t="s">
        <v>65</v>
      </c>
      <c r="D5253" s="17">
        <v>1273</v>
      </c>
      <c r="E5253" s="17">
        <v>132</v>
      </c>
      <c r="F5253" s="17"/>
      <c r="G5253" s="13"/>
      <c r="H5253" s="17">
        <v>4</v>
      </c>
      <c r="I5253" s="17">
        <v>2</v>
      </c>
      <c r="J5253" s="17">
        <v>88</v>
      </c>
      <c r="K5253" s="10">
        <v>1888</v>
      </c>
      <c r="L5253" s="17"/>
      <c r="M5253" s="15"/>
      <c r="N5253" s="18"/>
      <c r="O5253" s="14"/>
      <c r="P5253" s="17">
        <v>1</v>
      </c>
      <c r="Q5253" s="19">
        <v>1888</v>
      </c>
      <c r="R5253" s="14">
        <v>1500</v>
      </c>
      <c r="S5253" s="19">
        <v>2832000</v>
      </c>
      <c r="T5253" s="17"/>
      <c r="U5253" s="17"/>
      <c r="V5253" s="17"/>
      <c r="W5253" s="4"/>
      <c r="X5253" s="17"/>
      <c r="Y5253" s="4"/>
      <c r="Z5253" s="17"/>
      <c r="AA5253" s="17"/>
      <c r="AB5253" s="17"/>
      <c r="AC5253" s="14"/>
      <c r="AD5253" s="14"/>
      <c r="AE5253" s="17" t="s">
        <v>95</v>
      </c>
      <c r="AF5253" s="14"/>
      <c r="AG5253" s="54"/>
      <c r="AH5253" s="11"/>
      <c r="AI5253" s="14"/>
      <c r="AJ5253" s="19">
        <v>0</v>
      </c>
      <c r="AK5253" s="23">
        <v>0</v>
      </c>
      <c r="AL5253" s="11"/>
      <c r="AM5253" s="19">
        <v>0</v>
      </c>
      <c r="AN5253" s="19">
        <v>2832000</v>
      </c>
      <c r="AO5253" s="14"/>
      <c r="AP5253" s="14">
        <v>2832000</v>
      </c>
      <c r="AQ5253" s="12">
        <v>1E-4</v>
      </c>
      <c r="AS5253" s="26"/>
    </row>
    <row r="5254" spans="1:45" s="19" customFormat="1" x14ac:dyDescent="0.2">
      <c r="A5254" s="122">
        <f t="shared" ref="A5254:A5255" si="582">+A5253+1</f>
        <v>4410</v>
      </c>
      <c r="B5254" s="13">
        <v>1</v>
      </c>
      <c r="C5254" s="17" t="s">
        <v>65</v>
      </c>
      <c r="D5254" s="17">
        <v>440</v>
      </c>
      <c r="E5254" s="17">
        <v>104</v>
      </c>
      <c r="F5254" s="17"/>
      <c r="G5254" s="13"/>
      <c r="H5254" s="17">
        <v>11</v>
      </c>
      <c r="I5254" s="17">
        <v>3</v>
      </c>
      <c r="J5254" s="17">
        <v>8</v>
      </c>
      <c r="K5254" s="10">
        <v>4708</v>
      </c>
      <c r="L5254" s="17"/>
      <c r="M5254" s="15"/>
      <c r="N5254" s="18"/>
      <c r="O5254" s="14"/>
      <c r="P5254" s="17">
        <v>1</v>
      </c>
      <c r="Q5254" s="19">
        <v>4708</v>
      </c>
      <c r="R5254" s="14">
        <v>160</v>
      </c>
      <c r="S5254" s="19">
        <v>753280</v>
      </c>
      <c r="T5254" s="17"/>
      <c r="U5254" s="17"/>
      <c r="V5254" s="17"/>
      <c r="W5254" s="4"/>
      <c r="X5254" s="17"/>
      <c r="Y5254" s="4"/>
      <c r="Z5254" s="17"/>
      <c r="AA5254" s="17"/>
      <c r="AB5254" s="17"/>
      <c r="AC5254" s="14"/>
      <c r="AD5254" s="14"/>
      <c r="AE5254" s="17"/>
      <c r="AF5254" s="14"/>
      <c r="AG5254" s="54"/>
      <c r="AH5254" s="11"/>
      <c r="AI5254" s="14"/>
      <c r="AJ5254" s="19">
        <v>0</v>
      </c>
      <c r="AK5254" s="23">
        <v>0</v>
      </c>
      <c r="AL5254" s="11"/>
      <c r="AM5254" s="19">
        <v>0</v>
      </c>
      <c r="AN5254" s="19">
        <v>753280</v>
      </c>
      <c r="AO5254" s="14"/>
      <c r="AP5254" s="14">
        <v>753280</v>
      </c>
      <c r="AQ5254" s="12">
        <v>1E-4</v>
      </c>
      <c r="AS5254" s="26"/>
    </row>
    <row r="5255" spans="1:45" s="19" customFormat="1" x14ac:dyDescent="0.2">
      <c r="A5255" s="122">
        <f t="shared" si="582"/>
        <v>4411</v>
      </c>
      <c r="B5255" s="13">
        <v>2</v>
      </c>
      <c r="C5255" s="17" t="s">
        <v>65</v>
      </c>
      <c r="D5255" s="17">
        <v>3838</v>
      </c>
      <c r="E5255" s="17">
        <v>205</v>
      </c>
      <c r="F5255" s="17"/>
      <c r="G5255" s="13"/>
      <c r="H5255" s="17">
        <v>0</v>
      </c>
      <c r="I5255" s="17">
        <v>0</v>
      </c>
      <c r="J5255" s="17">
        <v>97</v>
      </c>
      <c r="K5255" s="10"/>
      <c r="L5255" s="17"/>
      <c r="M5255" s="15"/>
      <c r="N5255" s="18">
        <v>97</v>
      </c>
      <c r="O5255" s="14"/>
      <c r="P5255" s="17">
        <v>4</v>
      </c>
      <c r="Q5255" s="19">
        <v>97</v>
      </c>
      <c r="R5255" s="14">
        <v>1200</v>
      </c>
      <c r="S5255" s="19">
        <v>116400</v>
      </c>
      <c r="T5255" s="17"/>
      <c r="U5255" s="17"/>
      <c r="V5255" s="17"/>
      <c r="W5255" s="4"/>
      <c r="X5255" s="17"/>
      <c r="Y5255" s="4"/>
      <c r="Z5255" s="17"/>
      <c r="AA5255" s="17"/>
      <c r="AB5255" s="17"/>
      <c r="AC5255" s="14"/>
      <c r="AD5255" s="14"/>
      <c r="AE5255" s="17" t="s">
        <v>95</v>
      </c>
      <c r="AF5255" s="14"/>
      <c r="AG5255" s="54"/>
      <c r="AH5255" s="11"/>
      <c r="AI5255" s="14"/>
      <c r="AJ5255" s="19">
        <v>0</v>
      </c>
      <c r="AK5255" s="23">
        <v>0</v>
      </c>
      <c r="AL5255" s="11"/>
      <c r="AM5255" s="19">
        <v>0</v>
      </c>
      <c r="AN5255" s="19">
        <v>116400</v>
      </c>
      <c r="AO5255" s="14"/>
      <c r="AP5255" s="14">
        <v>116400</v>
      </c>
      <c r="AQ5255" s="12">
        <v>3.0000000000000001E-3</v>
      </c>
      <c r="AS5255" s="26"/>
    </row>
    <row r="5256" spans="1:45" s="19" customFormat="1" x14ac:dyDescent="0.2">
      <c r="A5256" s="2"/>
      <c r="B5256" s="13">
        <v>3</v>
      </c>
      <c r="C5256" s="17" t="s">
        <v>65</v>
      </c>
      <c r="D5256" s="17">
        <v>3848</v>
      </c>
      <c r="E5256" s="17">
        <v>215</v>
      </c>
      <c r="F5256" s="17"/>
      <c r="G5256" s="13"/>
      <c r="H5256" s="17">
        <v>0</v>
      </c>
      <c r="I5256" s="17">
        <v>1</v>
      </c>
      <c r="J5256" s="17">
        <v>2</v>
      </c>
      <c r="K5256" s="10">
        <v>102</v>
      </c>
      <c r="L5256" s="17"/>
      <c r="M5256" s="15"/>
      <c r="N5256" s="18"/>
      <c r="O5256" s="14"/>
      <c r="P5256" s="17">
        <v>1</v>
      </c>
      <c r="Q5256" s="19">
        <v>102</v>
      </c>
      <c r="R5256" s="14" t="e">
        <v>#N/A</v>
      </c>
      <c r="S5256" s="19" t="e">
        <v>#N/A</v>
      </c>
      <c r="T5256" s="17"/>
      <c r="U5256" s="17"/>
      <c r="V5256" s="17"/>
      <c r="W5256" s="4"/>
      <c r="X5256" s="17"/>
      <c r="Y5256" s="4"/>
      <c r="Z5256" s="17"/>
      <c r="AA5256" s="17"/>
      <c r="AB5256" s="17"/>
      <c r="AC5256" s="14"/>
      <c r="AD5256" s="14"/>
      <c r="AE5256" s="17"/>
      <c r="AF5256" s="14"/>
      <c r="AG5256" s="54"/>
      <c r="AH5256" s="11"/>
      <c r="AI5256" s="14"/>
      <c r="AJ5256" s="19">
        <v>0</v>
      </c>
      <c r="AK5256" s="23">
        <v>0</v>
      </c>
      <c r="AL5256" s="11"/>
      <c r="AM5256" s="19">
        <v>0</v>
      </c>
      <c r="AN5256" s="19" t="e">
        <v>#N/A</v>
      </c>
      <c r="AO5256" s="14"/>
      <c r="AP5256" s="14" t="e">
        <v>#N/A</v>
      </c>
      <c r="AQ5256" s="12">
        <v>1E-4</v>
      </c>
      <c r="AS5256" s="26"/>
    </row>
    <row r="5257" spans="1:45" s="19" customFormat="1" x14ac:dyDescent="0.2">
      <c r="A5257" s="2">
        <v>4412</v>
      </c>
      <c r="B5257" s="13">
        <v>1</v>
      </c>
      <c r="C5257" s="17" t="s">
        <v>65</v>
      </c>
      <c r="D5257" s="17">
        <v>3842</v>
      </c>
      <c r="E5257" s="17">
        <v>209</v>
      </c>
      <c r="F5257" s="17"/>
      <c r="G5257" s="13"/>
      <c r="H5257" s="17">
        <v>0</v>
      </c>
      <c r="I5257" s="17">
        <v>1</v>
      </c>
      <c r="J5257" s="17">
        <v>27</v>
      </c>
      <c r="K5257" s="10">
        <v>127</v>
      </c>
      <c r="L5257" s="17"/>
      <c r="M5257" s="15"/>
      <c r="N5257" s="18"/>
      <c r="O5257" s="14"/>
      <c r="P5257" s="17">
        <v>1</v>
      </c>
      <c r="Q5257" s="19">
        <v>127</v>
      </c>
      <c r="R5257" s="14">
        <v>200</v>
      </c>
      <c r="S5257" s="19">
        <v>25400</v>
      </c>
      <c r="T5257" s="17"/>
      <c r="U5257" s="17"/>
      <c r="V5257" s="17"/>
      <c r="W5257" s="4"/>
      <c r="X5257" s="17"/>
      <c r="Y5257" s="4"/>
      <c r="Z5257" s="17"/>
      <c r="AA5257" s="17"/>
      <c r="AB5257" s="17"/>
      <c r="AC5257" s="14"/>
      <c r="AD5257" s="14"/>
      <c r="AE5257" s="17" t="s">
        <v>95</v>
      </c>
      <c r="AF5257" s="14"/>
      <c r="AG5257" s="54"/>
      <c r="AH5257" s="11"/>
      <c r="AI5257" s="14"/>
      <c r="AJ5257" s="19">
        <v>0</v>
      </c>
      <c r="AK5257" s="23">
        <v>0</v>
      </c>
      <c r="AL5257" s="11"/>
      <c r="AM5257" s="19">
        <v>0</v>
      </c>
      <c r="AN5257" s="19">
        <v>25400</v>
      </c>
      <c r="AO5257" s="14"/>
      <c r="AP5257" s="14">
        <v>25400</v>
      </c>
      <c r="AQ5257" s="12">
        <v>1E-4</v>
      </c>
      <c r="AS5257" s="26"/>
    </row>
    <row r="5258" spans="1:45" s="19" customFormat="1" x14ac:dyDescent="0.2">
      <c r="A5258" s="2">
        <v>4413</v>
      </c>
      <c r="B5258" s="13">
        <v>1</v>
      </c>
      <c r="C5258" s="17" t="s">
        <v>65</v>
      </c>
      <c r="D5258" s="17">
        <v>3837</v>
      </c>
      <c r="E5258" s="17">
        <v>204</v>
      </c>
      <c r="F5258" s="17"/>
      <c r="G5258" s="13"/>
      <c r="H5258" s="17">
        <v>0</v>
      </c>
      <c r="I5258" s="17">
        <v>0</v>
      </c>
      <c r="J5258" s="17">
        <v>97</v>
      </c>
      <c r="K5258" s="10"/>
      <c r="L5258" s="17"/>
      <c r="M5258" s="15"/>
      <c r="N5258" s="18">
        <v>97</v>
      </c>
      <c r="O5258" s="14"/>
      <c r="P5258" s="17">
        <v>4</v>
      </c>
      <c r="Q5258" s="19">
        <v>97</v>
      </c>
      <c r="R5258" s="14">
        <v>1200</v>
      </c>
      <c r="S5258" s="19">
        <v>116400</v>
      </c>
      <c r="T5258" s="17"/>
      <c r="U5258" s="17"/>
      <c r="V5258" s="17"/>
      <c r="W5258" s="4"/>
      <c r="X5258" s="17"/>
      <c r="Y5258" s="4"/>
      <c r="Z5258" s="17"/>
      <c r="AA5258" s="17"/>
      <c r="AB5258" s="17"/>
      <c r="AC5258" s="14"/>
      <c r="AD5258" s="14"/>
      <c r="AE5258" s="17" t="s">
        <v>95</v>
      </c>
      <c r="AF5258" s="14"/>
      <c r="AG5258" s="54"/>
      <c r="AH5258" s="11"/>
      <c r="AI5258" s="14"/>
      <c r="AJ5258" s="19">
        <v>0</v>
      </c>
      <c r="AK5258" s="23">
        <v>0</v>
      </c>
      <c r="AL5258" s="11"/>
      <c r="AM5258" s="19">
        <v>0</v>
      </c>
      <c r="AN5258" s="19">
        <v>116400</v>
      </c>
      <c r="AO5258" s="14"/>
      <c r="AP5258" s="14">
        <v>116400</v>
      </c>
      <c r="AQ5258" s="12">
        <v>3.0000000000000001E-3</v>
      </c>
      <c r="AS5258" s="26"/>
    </row>
    <row r="5259" spans="1:45" s="19" customFormat="1" x14ac:dyDescent="0.2">
      <c r="A5259" s="2"/>
      <c r="B5259" s="13">
        <v>2</v>
      </c>
      <c r="C5259" s="17" t="s">
        <v>65</v>
      </c>
      <c r="D5259" s="17">
        <v>3894</v>
      </c>
      <c r="E5259" s="17">
        <v>220</v>
      </c>
      <c r="F5259" s="17"/>
      <c r="G5259" s="13"/>
      <c r="H5259" s="17">
        <v>0</v>
      </c>
      <c r="I5259" s="17">
        <v>1</v>
      </c>
      <c r="J5259" s="17">
        <v>43</v>
      </c>
      <c r="K5259" s="10">
        <v>143</v>
      </c>
      <c r="L5259" s="17"/>
      <c r="M5259" s="15"/>
      <c r="N5259" s="18"/>
      <c r="O5259" s="14"/>
      <c r="P5259" s="17">
        <v>1</v>
      </c>
      <c r="Q5259" s="19">
        <v>143</v>
      </c>
      <c r="R5259" s="14" t="e">
        <v>#N/A</v>
      </c>
      <c r="S5259" s="19" t="e">
        <v>#N/A</v>
      </c>
      <c r="T5259" s="17"/>
      <c r="U5259" s="17"/>
      <c r="V5259" s="17"/>
      <c r="W5259" s="4"/>
      <c r="X5259" s="17"/>
      <c r="Y5259" s="4"/>
      <c r="Z5259" s="17"/>
      <c r="AA5259" s="17"/>
      <c r="AB5259" s="17"/>
      <c r="AC5259" s="14"/>
      <c r="AD5259" s="14"/>
      <c r="AE5259" s="17" t="s">
        <v>95</v>
      </c>
      <c r="AF5259" s="14"/>
      <c r="AG5259" s="54"/>
      <c r="AH5259" s="11"/>
      <c r="AI5259" s="14"/>
      <c r="AJ5259" s="19">
        <v>0</v>
      </c>
      <c r="AK5259" s="23">
        <v>0</v>
      </c>
      <c r="AL5259" s="11"/>
      <c r="AM5259" s="19">
        <v>0</v>
      </c>
      <c r="AN5259" s="19" t="e">
        <v>#N/A</v>
      </c>
      <c r="AO5259" s="14"/>
      <c r="AP5259" s="14" t="e">
        <v>#N/A</v>
      </c>
      <c r="AQ5259" s="12">
        <v>1E-4</v>
      </c>
      <c r="AS5259" s="26"/>
    </row>
    <row r="5260" spans="1:45" s="19" customFormat="1" x14ac:dyDescent="0.2">
      <c r="A5260" s="2">
        <v>4414</v>
      </c>
      <c r="B5260" s="13">
        <v>1</v>
      </c>
      <c r="C5260" s="17" t="s">
        <v>65</v>
      </c>
      <c r="D5260" s="17">
        <v>3847</v>
      </c>
      <c r="E5260" s="17">
        <v>214</v>
      </c>
      <c r="F5260" s="17"/>
      <c r="G5260" s="13"/>
      <c r="H5260" s="17">
        <v>0</v>
      </c>
      <c r="I5260" s="17">
        <v>1</v>
      </c>
      <c r="J5260" s="17">
        <v>44</v>
      </c>
      <c r="K5260" s="10">
        <v>144</v>
      </c>
      <c r="L5260" s="17"/>
      <c r="M5260" s="15"/>
      <c r="N5260" s="18"/>
      <c r="O5260" s="14"/>
      <c r="P5260" s="17">
        <v>1</v>
      </c>
      <c r="Q5260" s="19">
        <v>144</v>
      </c>
      <c r="R5260" s="14">
        <v>200</v>
      </c>
      <c r="S5260" s="19">
        <v>28800</v>
      </c>
      <c r="T5260" s="17"/>
      <c r="U5260" s="17"/>
      <c r="V5260" s="17"/>
      <c r="W5260" s="4"/>
      <c r="X5260" s="17"/>
      <c r="Y5260" s="4"/>
      <c r="Z5260" s="17"/>
      <c r="AA5260" s="17"/>
      <c r="AB5260" s="17"/>
      <c r="AC5260" s="14"/>
      <c r="AD5260" s="14"/>
      <c r="AE5260" s="17"/>
      <c r="AF5260" s="14"/>
      <c r="AG5260" s="54"/>
      <c r="AH5260" s="11"/>
      <c r="AI5260" s="14"/>
      <c r="AJ5260" s="19">
        <v>0</v>
      </c>
      <c r="AK5260" s="23">
        <v>0</v>
      </c>
      <c r="AL5260" s="11"/>
      <c r="AM5260" s="19">
        <v>0</v>
      </c>
      <c r="AN5260" s="19">
        <v>28800</v>
      </c>
      <c r="AO5260" s="14"/>
      <c r="AP5260" s="14">
        <v>28800</v>
      </c>
      <c r="AQ5260" s="12">
        <v>1E-4</v>
      </c>
      <c r="AS5260" s="26"/>
    </row>
    <row r="5261" spans="1:45" s="19" customFormat="1" x14ac:dyDescent="0.2">
      <c r="A5261" s="2">
        <v>4415</v>
      </c>
      <c r="B5261" s="13">
        <v>1</v>
      </c>
      <c r="C5261" s="17" t="s">
        <v>65</v>
      </c>
      <c r="D5261" s="17">
        <v>439</v>
      </c>
      <c r="E5261" s="17">
        <v>103</v>
      </c>
      <c r="F5261" s="17"/>
      <c r="G5261" s="13"/>
      <c r="H5261" s="17">
        <v>6</v>
      </c>
      <c r="I5261" s="17">
        <v>1</v>
      </c>
      <c r="J5261" s="17">
        <v>13</v>
      </c>
      <c r="K5261" s="10">
        <v>2513</v>
      </c>
      <c r="L5261" s="17"/>
      <c r="M5261" s="15"/>
      <c r="N5261" s="18"/>
      <c r="O5261" s="14"/>
      <c r="P5261" s="17">
        <v>1</v>
      </c>
      <c r="Q5261" s="19">
        <v>2513</v>
      </c>
      <c r="R5261" s="14">
        <v>160</v>
      </c>
      <c r="S5261" s="19">
        <v>402080</v>
      </c>
      <c r="T5261" s="17"/>
      <c r="U5261" s="17"/>
      <c r="V5261" s="17"/>
      <c r="W5261" s="4"/>
      <c r="X5261" s="17"/>
      <c r="Y5261" s="4"/>
      <c r="Z5261" s="17"/>
      <c r="AA5261" s="17"/>
      <c r="AB5261" s="17"/>
      <c r="AC5261" s="14"/>
      <c r="AD5261" s="14"/>
      <c r="AE5261" s="17"/>
      <c r="AF5261" s="14"/>
      <c r="AG5261" s="54"/>
      <c r="AH5261" s="11"/>
      <c r="AI5261" s="14"/>
      <c r="AJ5261" s="19">
        <v>0</v>
      </c>
      <c r="AK5261" s="23">
        <v>0</v>
      </c>
      <c r="AL5261" s="11"/>
      <c r="AM5261" s="19">
        <v>0</v>
      </c>
      <c r="AN5261" s="19">
        <v>402080</v>
      </c>
      <c r="AO5261" s="14"/>
      <c r="AP5261" s="14">
        <v>402080</v>
      </c>
      <c r="AQ5261" s="12">
        <v>1E-4</v>
      </c>
      <c r="AS5261" s="26"/>
    </row>
    <row r="5262" spans="1:45" s="19" customFormat="1" x14ac:dyDescent="0.2">
      <c r="A5262" s="2">
        <v>4416</v>
      </c>
      <c r="B5262" s="13">
        <v>1</v>
      </c>
      <c r="C5262" s="17" t="s">
        <v>65</v>
      </c>
      <c r="D5262" s="17">
        <v>3845</v>
      </c>
      <c r="E5262" s="17">
        <v>212</v>
      </c>
      <c r="F5262" s="17"/>
      <c r="G5262" s="13"/>
      <c r="H5262" s="17">
        <v>0</v>
      </c>
      <c r="I5262" s="17">
        <v>1</v>
      </c>
      <c r="J5262" s="17">
        <v>31</v>
      </c>
      <c r="K5262" s="10">
        <v>131</v>
      </c>
      <c r="L5262" s="17"/>
      <c r="M5262" s="15"/>
      <c r="N5262" s="18"/>
      <c r="O5262" s="14"/>
      <c r="P5262" s="17">
        <v>1</v>
      </c>
      <c r="Q5262" s="19">
        <v>131</v>
      </c>
      <c r="R5262" s="14">
        <v>160</v>
      </c>
      <c r="S5262" s="19">
        <v>20960</v>
      </c>
      <c r="T5262" s="17"/>
      <c r="U5262" s="17"/>
      <c r="V5262" s="17"/>
      <c r="W5262" s="4"/>
      <c r="X5262" s="17"/>
      <c r="Y5262" s="4"/>
      <c r="Z5262" s="17"/>
      <c r="AA5262" s="17"/>
      <c r="AB5262" s="17"/>
      <c r="AC5262" s="14"/>
      <c r="AD5262" s="14"/>
      <c r="AE5262" s="17" t="s">
        <v>95</v>
      </c>
      <c r="AF5262" s="14"/>
      <c r="AG5262" s="54"/>
      <c r="AH5262" s="11"/>
      <c r="AI5262" s="14"/>
      <c r="AJ5262" s="19">
        <v>0</v>
      </c>
      <c r="AK5262" s="23">
        <v>0</v>
      </c>
      <c r="AL5262" s="11"/>
      <c r="AM5262" s="19">
        <v>0</v>
      </c>
      <c r="AN5262" s="19">
        <v>20960</v>
      </c>
      <c r="AO5262" s="14"/>
      <c r="AP5262" s="14">
        <v>20960</v>
      </c>
      <c r="AQ5262" s="12">
        <v>1E-4</v>
      </c>
      <c r="AS5262" s="26"/>
    </row>
    <row r="5263" spans="1:45" s="19" customFormat="1" x14ac:dyDescent="0.2">
      <c r="A5263" s="2"/>
      <c r="B5263" s="13">
        <v>1</v>
      </c>
      <c r="C5263" s="17" t="s">
        <v>65</v>
      </c>
      <c r="D5263" s="17">
        <v>3149</v>
      </c>
      <c r="E5263" s="17">
        <v>65</v>
      </c>
      <c r="F5263" s="17"/>
      <c r="G5263" s="13"/>
      <c r="H5263" s="17">
        <v>0</v>
      </c>
      <c r="I5263" s="17">
        <v>0</v>
      </c>
      <c r="J5263" s="17">
        <v>78</v>
      </c>
      <c r="K5263" s="10"/>
      <c r="L5263" s="17">
        <v>78</v>
      </c>
      <c r="M5263" s="15"/>
      <c r="N5263" s="18"/>
      <c r="O5263" s="14"/>
      <c r="P5263" s="17">
        <v>2</v>
      </c>
      <c r="Q5263" s="19">
        <v>78</v>
      </c>
      <c r="R5263" s="14" t="e">
        <v>#N/A</v>
      </c>
      <c r="S5263" s="19" t="e">
        <v>#N/A</v>
      </c>
      <c r="T5263" s="17"/>
      <c r="U5263" s="17"/>
      <c r="V5263" s="17"/>
      <c r="W5263" s="4"/>
      <c r="X5263" s="17"/>
      <c r="Y5263" s="4"/>
      <c r="Z5263" s="17"/>
      <c r="AA5263" s="17"/>
      <c r="AB5263" s="17"/>
      <c r="AC5263" s="14"/>
      <c r="AD5263" s="14"/>
      <c r="AE5263" s="17"/>
      <c r="AF5263" s="14"/>
      <c r="AG5263" s="54"/>
      <c r="AH5263" s="11"/>
      <c r="AI5263" s="14"/>
      <c r="AJ5263" s="19">
        <v>0</v>
      </c>
      <c r="AK5263" s="23">
        <v>0</v>
      </c>
      <c r="AL5263" s="11"/>
      <c r="AM5263" s="19">
        <v>0</v>
      </c>
      <c r="AN5263" s="19" t="e">
        <v>#N/A</v>
      </c>
      <c r="AO5263" s="14"/>
      <c r="AP5263" s="14" t="e">
        <v>#N/A</v>
      </c>
      <c r="AQ5263" s="12">
        <v>3.0000000000000001E-3</v>
      </c>
      <c r="AS5263" s="26"/>
    </row>
    <row r="5264" spans="1:45" s="19" customFormat="1" ht="63" x14ac:dyDescent="0.2">
      <c r="A5264" s="2"/>
      <c r="B5264" s="13">
        <v>2</v>
      </c>
      <c r="C5264" s="17" t="s">
        <v>65</v>
      </c>
      <c r="D5264" s="17">
        <v>3150</v>
      </c>
      <c r="E5264" s="17">
        <v>66</v>
      </c>
      <c r="F5264" s="17"/>
      <c r="G5264" s="13"/>
      <c r="H5264" s="17">
        <v>0</v>
      </c>
      <c r="I5264" s="17">
        <v>2</v>
      </c>
      <c r="J5264" s="17">
        <v>32</v>
      </c>
      <c r="K5264" s="10"/>
      <c r="L5264" s="17">
        <v>232</v>
      </c>
      <c r="M5264" s="15"/>
      <c r="N5264" s="18"/>
      <c r="O5264" s="14"/>
      <c r="P5264" s="17">
        <v>2</v>
      </c>
      <c r="Q5264" s="19">
        <v>232</v>
      </c>
      <c r="R5264" s="14" t="e">
        <v>#N/A</v>
      </c>
      <c r="S5264" s="19" t="e">
        <v>#N/A</v>
      </c>
      <c r="T5264" s="17"/>
      <c r="U5264" s="17" t="s">
        <v>57</v>
      </c>
      <c r="V5264" s="17" t="s">
        <v>56</v>
      </c>
      <c r="W5264" s="4">
        <v>84</v>
      </c>
      <c r="X5264" s="17"/>
      <c r="Y5264" s="4" t="s">
        <v>326</v>
      </c>
      <c r="Z5264" s="17"/>
      <c r="AA5264" s="17"/>
      <c r="AB5264" s="17">
        <v>25</v>
      </c>
      <c r="AC5264" s="14"/>
      <c r="AD5264" s="14"/>
      <c r="AE5264" s="17"/>
      <c r="AF5264" s="14"/>
      <c r="AG5264" s="54"/>
      <c r="AH5264" s="11"/>
      <c r="AI5264" s="14"/>
      <c r="AJ5264" s="19">
        <v>0</v>
      </c>
      <c r="AK5264" s="23">
        <v>25</v>
      </c>
      <c r="AL5264" s="11"/>
      <c r="AM5264" s="19">
        <v>0</v>
      </c>
      <c r="AN5264" s="19" t="e">
        <v>#N/A</v>
      </c>
      <c r="AO5264" s="14"/>
      <c r="AP5264" s="14" t="e">
        <v>#N/A</v>
      </c>
      <c r="AQ5264" s="12">
        <v>1E-4</v>
      </c>
      <c r="AS5264" s="26"/>
    </row>
    <row r="5265" spans="1:45" ht="63" x14ac:dyDescent="0.2">
      <c r="A5265" s="2">
        <v>4417</v>
      </c>
      <c r="B5265" s="13">
        <v>1</v>
      </c>
      <c r="C5265" s="17" t="s">
        <v>52</v>
      </c>
      <c r="D5265" s="17">
        <v>1202</v>
      </c>
      <c r="E5265" s="17">
        <v>3</v>
      </c>
      <c r="F5265" s="17">
        <v>932</v>
      </c>
      <c r="G5265" s="13">
        <v>2</v>
      </c>
      <c r="H5265" s="17">
        <v>0</v>
      </c>
      <c r="I5265" s="17">
        <v>0</v>
      </c>
      <c r="J5265" s="17">
        <v>30</v>
      </c>
      <c r="L5265" s="17">
        <v>30</v>
      </c>
      <c r="P5265" s="17">
        <v>2</v>
      </c>
      <c r="Q5265" s="19">
        <v>30</v>
      </c>
      <c r="R5265" s="14">
        <v>4500</v>
      </c>
      <c r="S5265" s="19">
        <v>135000</v>
      </c>
      <c r="T5265" s="17">
        <v>1</v>
      </c>
      <c r="U5265" s="17" t="s">
        <v>57</v>
      </c>
      <c r="V5265" s="17" t="s">
        <v>56</v>
      </c>
      <c r="W5265" s="4">
        <v>85</v>
      </c>
      <c r="Y5265" s="4">
        <v>49</v>
      </c>
      <c r="Z5265" s="17">
        <v>36</v>
      </c>
      <c r="AB5265" s="17">
        <v>11</v>
      </c>
      <c r="AJ5265" s="19">
        <v>0</v>
      </c>
      <c r="AK5265" s="23">
        <v>11</v>
      </c>
      <c r="AM5265" s="19">
        <v>0</v>
      </c>
      <c r="AN5265" s="19">
        <v>135000</v>
      </c>
      <c r="AP5265" s="14">
        <v>135000</v>
      </c>
    </row>
    <row r="5266" spans="1:45" x14ac:dyDescent="0.2">
      <c r="B5266" s="13">
        <v>2</v>
      </c>
      <c r="C5266" s="17" t="s">
        <v>65</v>
      </c>
      <c r="D5266" s="17">
        <v>3840</v>
      </c>
      <c r="E5266" s="17">
        <v>207</v>
      </c>
      <c r="H5266" s="17">
        <v>0</v>
      </c>
      <c r="I5266" s="17">
        <v>1</v>
      </c>
      <c r="J5266" s="17">
        <v>10</v>
      </c>
      <c r="K5266" s="10">
        <v>110</v>
      </c>
      <c r="P5266" s="17">
        <v>1</v>
      </c>
      <c r="Q5266" s="19">
        <v>110</v>
      </c>
      <c r="R5266" s="14" t="e">
        <v>#N/A</v>
      </c>
      <c r="S5266" s="19" t="e">
        <v>#N/A</v>
      </c>
      <c r="AE5266" s="17" t="s">
        <v>95</v>
      </c>
      <c r="AJ5266" s="19">
        <v>0</v>
      </c>
      <c r="AK5266" s="23">
        <v>0</v>
      </c>
      <c r="AM5266" s="19">
        <v>0</v>
      </c>
      <c r="AN5266" s="19" t="e">
        <v>#N/A</v>
      </c>
      <c r="AP5266" s="14" t="e">
        <v>#N/A</v>
      </c>
      <c r="AQ5266" s="12">
        <v>1E-4</v>
      </c>
    </row>
    <row r="5267" spans="1:45" x14ac:dyDescent="0.2">
      <c r="A5267" s="2">
        <v>4418</v>
      </c>
      <c r="B5267" s="13">
        <v>1</v>
      </c>
      <c r="C5267" s="17" t="s">
        <v>65</v>
      </c>
      <c r="D5267" s="17">
        <v>3846</v>
      </c>
      <c r="E5267" s="17">
        <v>213</v>
      </c>
      <c r="H5267" s="17">
        <v>0</v>
      </c>
      <c r="I5267" s="17">
        <v>1</v>
      </c>
      <c r="J5267" s="17">
        <v>41</v>
      </c>
      <c r="K5267" s="10">
        <v>141</v>
      </c>
      <c r="P5267" s="17">
        <v>1</v>
      </c>
      <c r="Q5267" s="19">
        <v>141</v>
      </c>
      <c r="R5267" s="14">
        <v>200</v>
      </c>
      <c r="S5267" s="19">
        <v>28200</v>
      </c>
      <c r="AE5267" s="17" t="s">
        <v>95</v>
      </c>
      <c r="AJ5267" s="19">
        <v>0</v>
      </c>
      <c r="AK5267" s="23">
        <v>0</v>
      </c>
      <c r="AM5267" s="19">
        <v>0</v>
      </c>
      <c r="AN5267" s="19">
        <v>28200</v>
      </c>
      <c r="AP5267" s="14">
        <v>28200</v>
      </c>
      <c r="AQ5267" s="12">
        <v>1E-4</v>
      </c>
    </row>
    <row r="5268" spans="1:45" x14ac:dyDescent="0.2">
      <c r="A5268" s="2">
        <f>+A5267+1</f>
        <v>4419</v>
      </c>
      <c r="B5268" s="13">
        <v>1</v>
      </c>
      <c r="C5268" s="17" t="s">
        <v>65</v>
      </c>
      <c r="D5268" s="17">
        <v>3839</v>
      </c>
      <c r="E5268" s="17">
        <v>206</v>
      </c>
      <c r="H5268" s="17">
        <v>0</v>
      </c>
      <c r="I5268" s="17">
        <v>1</v>
      </c>
      <c r="J5268" s="17">
        <v>4</v>
      </c>
      <c r="K5268" s="10">
        <v>104</v>
      </c>
      <c r="P5268" s="17">
        <v>1</v>
      </c>
      <c r="Q5268" s="19">
        <v>104</v>
      </c>
      <c r="R5268" s="14">
        <v>1200</v>
      </c>
      <c r="S5268" s="19">
        <v>124800</v>
      </c>
      <c r="AE5268" s="17" t="s">
        <v>95</v>
      </c>
      <c r="AJ5268" s="19">
        <v>0</v>
      </c>
      <c r="AK5268" s="23">
        <v>0</v>
      </c>
      <c r="AM5268" s="19">
        <v>0</v>
      </c>
      <c r="AN5268" s="19">
        <v>124800</v>
      </c>
      <c r="AP5268" s="14">
        <v>124800</v>
      </c>
      <c r="AQ5268" s="12">
        <v>1E-4</v>
      </c>
    </row>
    <row r="5269" spans="1:45" x14ac:dyDescent="0.2">
      <c r="A5269" s="122">
        <f t="shared" ref="A5269:A5273" si="583">+A5268+1</f>
        <v>4420</v>
      </c>
      <c r="B5269" s="13">
        <v>1</v>
      </c>
      <c r="C5269" s="17" t="s">
        <v>65</v>
      </c>
      <c r="D5269" s="17">
        <v>3862</v>
      </c>
      <c r="E5269" s="17">
        <v>215</v>
      </c>
      <c r="H5269" s="17">
        <v>0</v>
      </c>
      <c r="I5269" s="17">
        <v>0</v>
      </c>
      <c r="J5269" s="17">
        <v>70</v>
      </c>
      <c r="N5269" s="18">
        <v>70</v>
      </c>
      <c r="P5269" s="17">
        <v>1</v>
      </c>
      <c r="Q5269" s="19">
        <v>70</v>
      </c>
      <c r="R5269" s="14">
        <v>200</v>
      </c>
      <c r="S5269" s="19">
        <v>14000</v>
      </c>
      <c r="AJ5269" s="19">
        <v>0</v>
      </c>
      <c r="AK5269" s="23">
        <v>0</v>
      </c>
      <c r="AM5269" s="19">
        <v>0</v>
      </c>
      <c r="AN5269" s="19">
        <v>14000</v>
      </c>
      <c r="AP5269" s="14">
        <v>14000</v>
      </c>
      <c r="AQ5269" s="12">
        <v>3.0000000000000001E-3</v>
      </c>
    </row>
    <row r="5270" spans="1:45" x14ac:dyDescent="0.2">
      <c r="A5270" s="122">
        <f t="shared" si="583"/>
        <v>4421</v>
      </c>
      <c r="B5270" s="13">
        <v>1</v>
      </c>
      <c r="C5270" s="17" t="s">
        <v>65</v>
      </c>
      <c r="D5270" s="17">
        <v>1267</v>
      </c>
      <c r="E5270" s="17">
        <v>125</v>
      </c>
      <c r="H5270" s="17">
        <v>38</v>
      </c>
      <c r="I5270" s="17">
        <v>2</v>
      </c>
      <c r="J5270" s="17">
        <v>13</v>
      </c>
      <c r="K5270" s="10">
        <v>15413</v>
      </c>
      <c r="Q5270" s="19">
        <v>15413</v>
      </c>
      <c r="R5270" s="14">
        <v>375</v>
      </c>
      <c r="S5270" s="19">
        <v>5779875</v>
      </c>
      <c r="AE5270" s="17" t="s">
        <v>94</v>
      </c>
      <c r="AJ5270" s="19">
        <v>0</v>
      </c>
      <c r="AK5270" s="23">
        <v>0</v>
      </c>
      <c r="AM5270" s="19">
        <v>0</v>
      </c>
      <c r="AN5270" s="19">
        <v>5779875</v>
      </c>
      <c r="AP5270" s="14">
        <v>5779875</v>
      </c>
      <c r="AQ5270" s="12">
        <v>1E-4</v>
      </c>
    </row>
    <row r="5271" spans="1:45" ht="63" x14ac:dyDescent="0.2">
      <c r="A5271" s="122">
        <f t="shared" si="583"/>
        <v>4422</v>
      </c>
      <c r="B5271" s="13">
        <v>1</v>
      </c>
      <c r="C5271" s="17" t="s">
        <v>52</v>
      </c>
      <c r="D5271" s="17">
        <v>29803</v>
      </c>
      <c r="E5271" s="17">
        <v>111</v>
      </c>
      <c r="F5271" s="17">
        <v>5509</v>
      </c>
      <c r="G5271" s="13">
        <v>3</v>
      </c>
      <c r="H5271" s="17">
        <v>6</v>
      </c>
      <c r="I5271" s="17">
        <v>1</v>
      </c>
      <c r="J5271" s="17">
        <v>91</v>
      </c>
      <c r="K5271" s="10">
        <v>2560</v>
      </c>
      <c r="L5271" s="17">
        <v>31</v>
      </c>
      <c r="P5271" s="17">
        <v>5</v>
      </c>
      <c r="Q5271" s="19">
        <v>2591</v>
      </c>
      <c r="R5271" s="14">
        <v>160</v>
      </c>
      <c r="S5271" s="19">
        <v>414560</v>
      </c>
      <c r="T5271" s="17">
        <v>1</v>
      </c>
      <c r="U5271" s="17" t="s">
        <v>57</v>
      </c>
      <c r="V5271" s="17" t="s">
        <v>56</v>
      </c>
      <c r="W5271" s="4">
        <v>124</v>
      </c>
      <c r="Y5271" s="4">
        <v>124</v>
      </c>
      <c r="AB5271" s="17">
        <v>20</v>
      </c>
      <c r="AJ5271" s="19">
        <v>0</v>
      </c>
      <c r="AK5271" s="23">
        <v>20</v>
      </c>
      <c r="AM5271" s="19">
        <v>0</v>
      </c>
      <c r="AN5271" s="19">
        <v>414560</v>
      </c>
      <c r="AP5271" s="14">
        <v>414560</v>
      </c>
    </row>
    <row r="5272" spans="1:45" x14ac:dyDescent="0.2">
      <c r="A5272" s="122">
        <f t="shared" si="583"/>
        <v>4423</v>
      </c>
      <c r="B5272" s="13">
        <v>1</v>
      </c>
      <c r="C5272" s="17" t="s">
        <v>52</v>
      </c>
      <c r="D5272" s="17">
        <v>29802</v>
      </c>
      <c r="E5272" s="17">
        <v>121</v>
      </c>
      <c r="F5272" s="17">
        <v>5508</v>
      </c>
      <c r="G5272" s="13">
        <v>3</v>
      </c>
      <c r="H5272" s="17">
        <v>7</v>
      </c>
      <c r="I5272" s="17">
        <v>0</v>
      </c>
      <c r="J5272" s="17">
        <v>90.05</v>
      </c>
      <c r="K5272" s="10">
        <v>2890.05</v>
      </c>
      <c r="P5272" s="17">
        <v>1</v>
      </c>
      <c r="Q5272" s="19">
        <v>2890.05</v>
      </c>
      <c r="R5272" s="14">
        <v>160</v>
      </c>
      <c r="S5272" s="19">
        <v>462408</v>
      </c>
      <c r="AJ5272" s="19">
        <v>0</v>
      </c>
      <c r="AK5272" s="23">
        <v>0</v>
      </c>
      <c r="AM5272" s="19">
        <v>0</v>
      </c>
      <c r="AN5272" s="19">
        <v>462408</v>
      </c>
      <c r="AP5272" s="14">
        <v>462408</v>
      </c>
    </row>
    <row r="5273" spans="1:45" x14ac:dyDescent="0.2">
      <c r="A5273" s="122">
        <f t="shared" si="583"/>
        <v>4424</v>
      </c>
      <c r="B5273" s="13">
        <v>1</v>
      </c>
      <c r="C5273" s="17" t="s">
        <v>52</v>
      </c>
      <c r="D5273" s="17">
        <v>18145</v>
      </c>
      <c r="E5273" s="17">
        <v>92</v>
      </c>
      <c r="F5273" s="17">
        <v>4067</v>
      </c>
      <c r="G5273" s="13">
        <v>3</v>
      </c>
      <c r="H5273" s="17">
        <v>6</v>
      </c>
      <c r="I5273" s="17">
        <v>2</v>
      </c>
      <c r="J5273" s="17">
        <v>56.06</v>
      </c>
      <c r="K5273" s="10">
        <v>2656.06</v>
      </c>
      <c r="P5273" s="17">
        <v>5</v>
      </c>
      <c r="Q5273" s="19">
        <v>2656.06</v>
      </c>
      <c r="R5273" s="14">
        <v>160</v>
      </c>
      <c r="S5273" s="19">
        <v>424969.6</v>
      </c>
      <c r="AJ5273" s="19">
        <v>0</v>
      </c>
      <c r="AK5273" s="23">
        <v>0</v>
      </c>
      <c r="AM5273" s="19">
        <v>0</v>
      </c>
      <c r="AN5273" s="19">
        <v>424969.6</v>
      </c>
      <c r="AP5273" s="14">
        <v>424969.6</v>
      </c>
      <c r="AS5273" s="26">
        <v>360</v>
      </c>
    </row>
    <row r="5274" spans="1:45" x14ac:dyDescent="0.2">
      <c r="P5274" s="17">
        <v>1</v>
      </c>
      <c r="Q5274" s="19">
        <v>2638</v>
      </c>
      <c r="R5274" s="14">
        <v>160</v>
      </c>
      <c r="S5274" s="19">
        <v>422080</v>
      </c>
      <c r="T5274" s="17">
        <v>1</v>
      </c>
      <c r="AJ5274" s="19">
        <v>0</v>
      </c>
      <c r="AK5274" s="23">
        <v>0</v>
      </c>
      <c r="AM5274" s="19">
        <v>0</v>
      </c>
      <c r="AN5274" s="19">
        <v>422080</v>
      </c>
      <c r="AP5274" s="14">
        <v>422080</v>
      </c>
    </row>
    <row r="5275" spans="1:45" x14ac:dyDescent="0.2">
      <c r="P5275" s="17">
        <v>2</v>
      </c>
      <c r="Q5275" s="19">
        <v>18</v>
      </c>
      <c r="R5275" s="14">
        <v>160</v>
      </c>
      <c r="S5275" s="19">
        <v>2880</v>
      </c>
      <c r="T5275" s="17">
        <v>2</v>
      </c>
      <c r="W5275" s="4">
        <v>72</v>
      </c>
      <c r="Y5275" s="4" t="s">
        <v>407</v>
      </c>
      <c r="AF5275" s="14">
        <v>2</v>
      </c>
      <c r="AG5275" s="54">
        <v>72</v>
      </c>
      <c r="AH5275" s="11">
        <v>0.78</v>
      </c>
      <c r="AI5275" s="14">
        <v>7250</v>
      </c>
      <c r="AJ5275" s="19">
        <v>407160</v>
      </c>
      <c r="AK5275" s="23">
        <v>0</v>
      </c>
      <c r="AM5275" s="19">
        <v>407160</v>
      </c>
      <c r="AN5275" s="19">
        <v>409406.4</v>
      </c>
      <c r="AP5275" s="14">
        <v>409406.4</v>
      </c>
    </row>
    <row r="5276" spans="1:45" x14ac:dyDescent="0.2">
      <c r="T5276" s="17">
        <v>3</v>
      </c>
      <c r="Z5276" s="17">
        <v>16</v>
      </c>
      <c r="AF5276" s="14">
        <v>3</v>
      </c>
      <c r="AG5276" s="54">
        <v>72</v>
      </c>
      <c r="AH5276" s="11">
        <v>0.22</v>
      </c>
      <c r="AI5276" s="14">
        <v>7250</v>
      </c>
      <c r="AJ5276" s="19">
        <v>114840</v>
      </c>
      <c r="AK5276" s="23">
        <v>5</v>
      </c>
      <c r="AL5276" s="11">
        <v>0.05</v>
      </c>
      <c r="AM5276" s="19">
        <v>109098</v>
      </c>
      <c r="AN5276" s="19">
        <v>109098</v>
      </c>
      <c r="AP5276" s="14">
        <v>109098</v>
      </c>
      <c r="AQ5276" s="12">
        <v>3.0000000000000001E-3</v>
      </c>
    </row>
    <row r="5277" spans="1:45" ht="63" x14ac:dyDescent="0.2">
      <c r="A5277" s="2">
        <v>4425</v>
      </c>
      <c r="B5277" s="13">
        <v>2</v>
      </c>
      <c r="C5277" s="17" t="s">
        <v>52</v>
      </c>
      <c r="D5277" s="17">
        <v>29806</v>
      </c>
      <c r="E5277" s="17">
        <v>114</v>
      </c>
      <c r="F5277" s="17">
        <v>5512</v>
      </c>
      <c r="G5277" s="13">
        <v>3</v>
      </c>
      <c r="H5277" s="17">
        <v>3</v>
      </c>
      <c r="I5277" s="17">
        <v>2</v>
      </c>
      <c r="J5277" s="17">
        <v>8.02</v>
      </c>
      <c r="K5277" s="10">
        <v>1408.02</v>
      </c>
      <c r="P5277" s="17">
        <v>1</v>
      </c>
      <c r="Q5277" s="19">
        <v>1408.02</v>
      </c>
      <c r="R5277" s="14">
        <v>160</v>
      </c>
      <c r="S5277" s="19">
        <v>225283.20000000001</v>
      </c>
      <c r="AJ5277" s="19">
        <v>0</v>
      </c>
      <c r="AK5277" s="23">
        <v>0</v>
      </c>
      <c r="AM5277" s="19">
        <v>0</v>
      </c>
      <c r="AN5277" s="19">
        <v>225283.20000000001</v>
      </c>
      <c r="AP5277" s="14">
        <v>225283.20000000001</v>
      </c>
      <c r="AR5277" s="19">
        <v>360</v>
      </c>
    </row>
    <row r="5278" spans="1:45" x14ac:dyDescent="0.2">
      <c r="A5278" s="2">
        <v>4426</v>
      </c>
      <c r="B5278" s="13">
        <v>3</v>
      </c>
      <c r="C5278" s="17" t="s">
        <v>65</v>
      </c>
      <c r="D5278" s="17">
        <v>3841</v>
      </c>
      <c r="E5278" s="17">
        <v>208</v>
      </c>
      <c r="H5278" s="17">
        <v>0</v>
      </c>
      <c r="I5278" s="17">
        <v>1</v>
      </c>
      <c r="J5278" s="17">
        <v>22</v>
      </c>
      <c r="K5278" s="10">
        <v>122</v>
      </c>
      <c r="P5278" s="17">
        <v>1</v>
      </c>
      <c r="Q5278" s="19">
        <v>122</v>
      </c>
      <c r="R5278" s="14">
        <v>1200</v>
      </c>
      <c r="S5278" s="19">
        <v>146400</v>
      </c>
      <c r="AE5278" s="17" t="s">
        <v>95</v>
      </c>
      <c r="AJ5278" s="19">
        <v>0</v>
      </c>
      <c r="AK5278" s="23">
        <v>0</v>
      </c>
      <c r="AM5278" s="19">
        <v>0</v>
      </c>
      <c r="AN5278" s="19">
        <v>146400</v>
      </c>
      <c r="AP5278" s="14">
        <v>146400</v>
      </c>
      <c r="AQ5278" s="12">
        <v>1E-4</v>
      </c>
    </row>
    <row r="5279" spans="1:45" x14ac:dyDescent="0.2">
      <c r="A5279" s="2">
        <v>4427</v>
      </c>
      <c r="B5279" s="13">
        <v>1</v>
      </c>
      <c r="C5279" s="17" t="s">
        <v>52</v>
      </c>
      <c r="D5279" s="17">
        <v>29805</v>
      </c>
      <c r="E5279" s="17">
        <v>113</v>
      </c>
      <c r="F5279" s="17">
        <v>5511</v>
      </c>
      <c r="G5279" s="13">
        <v>3</v>
      </c>
      <c r="H5279" s="17">
        <v>1</v>
      </c>
      <c r="I5279" s="17">
        <v>0</v>
      </c>
      <c r="J5279" s="17">
        <v>74.03</v>
      </c>
      <c r="K5279" s="10" t="s">
        <v>474</v>
      </c>
      <c r="P5279" s="17">
        <v>1</v>
      </c>
      <c r="Q5279" s="19">
        <v>474.03</v>
      </c>
      <c r="R5279" s="14">
        <v>160</v>
      </c>
      <c r="S5279" s="19">
        <v>75844.799999999988</v>
      </c>
      <c r="AJ5279" s="19">
        <v>0</v>
      </c>
      <c r="AK5279" s="23">
        <v>0</v>
      </c>
      <c r="AM5279" s="19">
        <v>0</v>
      </c>
      <c r="AN5279" s="19">
        <v>75844.799999999988</v>
      </c>
      <c r="AP5279" s="14">
        <v>75844.799999999988</v>
      </c>
    </row>
    <row r="5280" spans="1:45" ht="63" x14ac:dyDescent="0.2">
      <c r="A5280" s="2">
        <v>4428</v>
      </c>
      <c r="B5280" s="13">
        <v>2</v>
      </c>
      <c r="C5280" s="17" t="s">
        <v>52</v>
      </c>
      <c r="D5280" s="17">
        <v>31260</v>
      </c>
      <c r="E5280" s="17">
        <v>116</v>
      </c>
      <c r="F5280" s="17">
        <v>6180</v>
      </c>
      <c r="G5280" s="13">
        <v>3</v>
      </c>
      <c r="H5280" s="17">
        <v>2</v>
      </c>
      <c r="I5280" s="17">
        <v>2</v>
      </c>
      <c r="J5280" s="17">
        <v>76.040000000000006</v>
      </c>
      <c r="K5280" s="10" t="s">
        <v>475</v>
      </c>
      <c r="P5280" s="17">
        <v>1</v>
      </c>
      <c r="Q5280" s="19">
        <v>1076.04</v>
      </c>
      <c r="R5280" s="14">
        <v>160</v>
      </c>
      <c r="S5280" s="19">
        <v>172166.39999999999</v>
      </c>
      <c r="U5280" s="17" t="s">
        <v>57</v>
      </c>
      <c r="V5280" s="17" t="s">
        <v>56</v>
      </c>
      <c r="AF5280" s="14">
        <v>2</v>
      </c>
      <c r="AJ5280" s="19">
        <v>0</v>
      </c>
      <c r="AK5280" s="23">
        <v>0</v>
      </c>
      <c r="AM5280" s="19">
        <v>0</v>
      </c>
      <c r="AN5280" s="19">
        <v>172166.39999999999</v>
      </c>
      <c r="AP5280" s="14">
        <v>172166.39999999999</v>
      </c>
    </row>
    <row r="5281" spans="1:45" x14ac:dyDescent="0.2">
      <c r="R5281" s="14" t="e">
        <v>#N/A</v>
      </c>
      <c r="AF5281" s="14">
        <v>3</v>
      </c>
    </row>
    <row r="5282" spans="1:45" ht="63" x14ac:dyDescent="0.2">
      <c r="A5282" s="2">
        <v>4429</v>
      </c>
      <c r="B5282" s="13">
        <v>3</v>
      </c>
      <c r="C5282" s="17" t="s">
        <v>52</v>
      </c>
      <c r="D5282" s="17">
        <v>21966</v>
      </c>
      <c r="E5282" s="17">
        <v>29</v>
      </c>
      <c r="F5282" s="17">
        <v>4745</v>
      </c>
      <c r="G5282" s="13">
        <v>7</v>
      </c>
      <c r="H5282" s="17">
        <v>0</v>
      </c>
      <c r="I5282" s="17">
        <v>0</v>
      </c>
      <c r="J5282" s="17">
        <v>75</v>
      </c>
      <c r="L5282" s="17">
        <v>75</v>
      </c>
      <c r="P5282" s="17">
        <v>2</v>
      </c>
      <c r="Q5282" s="19">
        <v>75</v>
      </c>
      <c r="R5282" s="14">
        <v>1000</v>
      </c>
      <c r="S5282" s="19">
        <v>75000</v>
      </c>
      <c r="T5282" s="17">
        <v>1</v>
      </c>
      <c r="U5282" s="17" t="s">
        <v>57</v>
      </c>
      <c r="V5282" s="17" t="s">
        <v>56</v>
      </c>
      <c r="W5282" s="4">
        <v>126</v>
      </c>
      <c r="AB5282" s="17">
        <v>13</v>
      </c>
      <c r="AJ5282" s="19">
        <v>0</v>
      </c>
      <c r="AK5282" s="23">
        <v>13</v>
      </c>
      <c r="AM5282" s="19">
        <v>0</v>
      </c>
      <c r="AN5282" s="19">
        <v>75000</v>
      </c>
      <c r="AP5282" s="14">
        <v>75000</v>
      </c>
    </row>
    <row r="5283" spans="1:45" x14ac:dyDescent="0.2">
      <c r="A5283" s="2">
        <f>+A5282+1</f>
        <v>4430</v>
      </c>
      <c r="B5283" s="13">
        <v>1</v>
      </c>
      <c r="C5283" s="17" t="s">
        <v>52</v>
      </c>
      <c r="D5283" s="17">
        <v>18146</v>
      </c>
      <c r="E5283" s="17">
        <v>93</v>
      </c>
      <c r="F5283" s="17">
        <v>4068</v>
      </c>
      <c r="G5283" s="13">
        <v>3</v>
      </c>
      <c r="H5283" s="17">
        <v>5</v>
      </c>
      <c r="I5283" s="17">
        <v>3</v>
      </c>
      <c r="J5283" s="17">
        <v>41</v>
      </c>
      <c r="Q5283" s="19">
        <v>2341</v>
      </c>
      <c r="R5283" s="14">
        <v>160</v>
      </c>
      <c r="S5283" s="19">
        <v>374560</v>
      </c>
      <c r="AJ5283" s="19">
        <v>0</v>
      </c>
      <c r="AK5283" s="23">
        <v>0</v>
      </c>
      <c r="AM5283" s="19">
        <v>0</v>
      </c>
      <c r="AN5283" s="19">
        <v>374560</v>
      </c>
      <c r="AP5283" s="14">
        <v>374560</v>
      </c>
    </row>
    <row r="5284" spans="1:45" ht="63" x14ac:dyDescent="0.2">
      <c r="A5284" s="122">
        <f t="shared" ref="A5284:A5295" si="584">+A5283+1</f>
        <v>4431</v>
      </c>
      <c r="B5284" s="13">
        <v>1</v>
      </c>
      <c r="C5284" s="17" t="s">
        <v>52</v>
      </c>
      <c r="D5284" s="17">
        <v>29807</v>
      </c>
      <c r="E5284" s="17">
        <v>115</v>
      </c>
      <c r="F5284" s="17">
        <v>5513</v>
      </c>
      <c r="G5284" s="13">
        <v>3</v>
      </c>
      <c r="H5284" s="17">
        <v>0</v>
      </c>
      <c r="I5284" s="17">
        <v>0</v>
      </c>
      <c r="J5284" s="17">
        <v>73.05</v>
      </c>
      <c r="L5284" s="17">
        <v>73.05</v>
      </c>
      <c r="P5284" s="17">
        <v>2</v>
      </c>
      <c r="Q5284" s="19">
        <v>73.05</v>
      </c>
      <c r="R5284" s="14">
        <v>160</v>
      </c>
      <c r="S5284" s="19">
        <v>11688</v>
      </c>
      <c r="T5284" s="17">
        <v>1</v>
      </c>
      <c r="U5284" s="17" t="s">
        <v>57</v>
      </c>
      <c r="V5284" s="17" t="s">
        <v>56</v>
      </c>
      <c r="W5284" s="4">
        <v>45</v>
      </c>
      <c r="Y5284" s="4">
        <v>45</v>
      </c>
      <c r="AA5284" s="17">
        <v>21</v>
      </c>
      <c r="AJ5284" s="19">
        <v>0</v>
      </c>
      <c r="AK5284" s="23">
        <v>0</v>
      </c>
      <c r="AM5284" s="19">
        <v>0</v>
      </c>
      <c r="AN5284" s="19">
        <v>11688</v>
      </c>
      <c r="AP5284" s="14">
        <v>11688</v>
      </c>
    </row>
    <row r="5285" spans="1:45" x14ac:dyDescent="0.2">
      <c r="A5285" s="122">
        <f t="shared" si="584"/>
        <v>4432</v>
      </c>
      <c r="B5285" s="13">
        <v>1</v>
      </c>
      <c r="C5285" s="17" t="s">
        <v>52</v>
      </c>
      <c r="D5285" s="17">
        <v>29173</v>
      </c>
      <c r="E5285" s="17">
        <v>269</v>
      </c>
      <c r="F5285" s="17">
        <v>5368</v>
      </c>
      <c r="G5285" s="13">
        <v>1</v>
      </c>
      <c r="H5285" s="17">
        <v>0</v>
      </c>
      <c r="I5285" s="17">
        <v>0</v>
      </c>
      <c r="J5285" s="17">
        <v>67</v>
      </c>
      <c r="K5285" s="10">
        <v>67</v>
      </c>
      <c r="P5285" s="17">
        <v>1</v>
      </c>
      <c r="Q5285" s="19">
        <v>67</v>
      </c>
      <c r="R5285" s="14">
        <v>200</v>
      </c>
      <c r="S5285" s="19">
        <v>13400</v>
      </c>
      <c r="AJ5285" s="19">
        <v>0</v>
      </c>
      <c r="AK5285" s="23">
        <v>0</v>
      </c>
      <c r="AM5285" s="19">
        <v>0</v>
      </c>
      <c r="AN5285" s="19">
        <v>13400</v>
      </c>
      <c r="AP5285" s="14">
        <v>13400</v>
      </c>
      <c r="AS5285" s="26">
        <v>40</v>
      </c>
    </row>
    <row r="5286" spans="1:45" x14ac:dyDescent="0.2">
      <c r="A5286" s="122">
        <f t="shared" si="584"/>
        <v>4433</v>
      </c>
      <c r="B5286" s="13">
        <v>2</v>
      </c>
      <c r="C5286" s="17" t="s">
        <v>52</v>
      </c>
      <c r="D5286" s="17">
        <v>29174</v>
      </c>
      <c r="E5286" s="17">
        <v>270</v>
      </c>
      <c r="F5286" s="17">
        <v>5369</v>
      </c>
      <c r="G5286" s="13">
        <v>1</v>
      </c>
      <c r="H5286" s="17">
        <v>0</v>
      </c>
      <c r="I5286" s="17">
        <v>0</v>
      </c>
      <c r="J5286" s="17">
        <v>65</v>
      </c>
      <c r="K5286" s="10">
        <v>65</v>
      </c>
      <c r="P5286" s="17">
        <v>1</v>
      </c>
      <c r="Q5286" s="19">
        <v>65</v>
      </c>
      <c r="R5286" s="14">
        <v>200</v>
      </c>
      <c r="S5286" s="19">
        <v>13000</v>
      </c>
      <c r="AJ5286" s="19">
        <v>0</v>
      </c>
      <c r="AK5286" s="23">
        <v>0</v>
      </c>
      <c r="AM5286" s="19">
        <v>0</v>
      </c>
      <c r="AN5286" s="19">
        <v>13000</v>
      </c>
      <c r="AP5286" s="14">
        <v>13000</v>
      </c>
    </row>
    <row r="5287" spans="1:45" x14ac:dyDescent="0.2">
      <c r="A5287" s="122">
        <f t="shared" si="584"/>
        <v>4434</v>
      </c>
      <c r="B5287" s="13">
        <v>3</v>
      </c>
      <c r="C5287" s="17" t="s">
        <v>52</v>
      </c>
      <c r="D5287" s="17">
        <v>29175</v>
      </c>
      <c r="E5287" s="17">
        <v>271</v>
      </c>
      <c r="F5287" s="17">
        <v>5370</v>
      </c>
      <c r="G5287" s="13">
        <v>1</v>
      </c>
      <c r="H5287" s="17">
        <v>0</v>
      </c>
      <c r="I5287" s="17">
        <v>0</v>
      </c>
      <c r="J5287" s="17">
        <v>65</v>
      </c>
      <c r="K5287" s="10">
        <v>65</v>
      </c>
      <c r="P5287" s="17">
        <v>1</v>
      </c>
      <c r="Q5287" s="19">
        <v>65</v>
      </c>
      <c r="R5287" s="14">
        <v>200</v>
      </c>
      <c r="S5287" s="19">
        <v>13000</v>
      </c>
      <c r="AJ5287" s="19">
        <v>0</v>
      </c>
      <c r="AK5287" s="23">
        <v>0</v>
      </c>
      <c r="AM5287" s="19">
        <v>0</v>
      </c>
      <c r="AN5287" s="19">
        <v>13000</v>
      </c>
      <c r="AP5287" s="14">
        <v>13000</v>
      </c>
    </row>
    <row r="5288" spans="1:45" x14ac:dyDescent="0.2">
      <c r="A5288" s="122">
        <f t="shared" si="584"/>
        <v>4435</v>
      </c>
      <c r="B5288" s="13">
        <v>4</v>
      </c>
      <c r="C5288" s="17" t="s">
        <v>52</v>
      </c>
      <c r="D5288" s="17">
        <v>1928</v>
      </c>
      <c r="E5288" s="17">
        <v>50</v>
      </c>
      <c r="F5288" s="17">
        <v>1294</v>
      </c>
      <c r="G5288" s="13">
        <v>2</v>
      </c>
      <c r="H5288" s="17">
        <v>3</v>
      </c>
      <c r="I5288" s="17">
        <v>2</v>
      </c>
      <c r="J5288" s="17">
        <v>29</v>
      </c>
      <c r="K5288" s="10">
        <v>1429</v>
      </c>
      <c r="P5288" s="17">
        <v>1</v>
      </c>
      <c r="Q5288" s="19">
        <v>1429</v>
      </c>
      <c r="R5288" s="14">
        <v>160</v>
      </c>
      <c r="S5288" s="19">
        <v>228640</v>
      </c>
      <c r="AJ5288" s="19">
        <v>0</v>
      </c>
      <c r="AK5288" s="23">
        <v>0</v>
      </c>
      <c r="AM5288" s="19">
        <v>0</v>
      </c>
      <c r="AN5288" s="19">
        <v>228640</v>
      </c>
      <c r="AP5288" s="14">
        <v>228640</v>
      </c>
    </row>
    <row r="5289" spans="1:45" x14ac:dyDescent="0.2">
      <c r="A5289" s="122">
        <f t="shared" si="584"/>
        <v>4436</v>
      </c>
      <c r="B5289" s="13">
        <v>5</v>
      </c>
      <c r="C5289" s="17" t="s">
        <v>52</v>
      </c>
      <c r="D5289" s="17">
        <v>1859</v>
      </c>
      <c r="E5289" s="17">
        <v>106</v>
      </c>
      <c r="F5289" s="17">
        <v>1249</v>
      </c>
      <c r="H5289" s="17">
        <v>5</v>
      </c>
      <c r="I5289" s="17">
        <v>3</v>
      </c>
      <c r="J5289" s="17">
        <v>87</v>
      </c>
      <c r="K5289" s="10">
        <v>2387</v>
      </c>
      <c r="P5289" s="17">
        <v>1</v>
      </c>
      <c r="Q5289" s="19">
        <v>2387</v>
      </c>
      <c r="R5289" s="14">
        <v>160</v>
      </c>
      <c r="S5289" s="19">
        <v>381920</v>
      </c>
      <c r="AJ5289" s="19">
        <v>0</v>
      </c>
      <c r="AK5289" s="23">
        <v>0</v>
      </c>
      <c r="AM5289" s="19">
        <v>0</v>
      </c>
      <c r="AN5289" s="19">
        <v>381920</v>
      </c>
      <c r="AP5289" s="14">
        <v>381920</v>
      </c>
    </row>
    <row r="5290" spans="1:45" x14ac:dyDescent="0.2">
      <c r="A5290" s="122">
        <f t="shared" si="584"/>
        <v>4437</v>
      </c>
      <c r="B5290" s="13">
        <v>6</v>
      </c>
      <c r="C5290" s="17" t="s">
        <v>52</v>
      </c>
      <c r="D5290" s="17">
        <v>2019</v>
      </c>
      <c r="E5290" s="17">
        <v>102</v>
      </c>
      <c r="F5290" s="17">
        <v>1085</v>
      </c>
      <c r="H5290" s="17">
        <v>0</v>
      </c>
      <c r="I5290" s="17">
        <v>2</v>
      </c>
      <c r="J5290" s="17">
        <v>42</v>
      </c>
      <c r="K5290" s="10">
        <v>242</v>
      </c>
      <c r="P5290" s="17">
        <v>1</v>
      </c>
      <c r="Q5290" s="19">
        <v>242</v>
      </c>
      <c r="R5290" s="14">
        <v>1500</v>
      </c>
      <c r="S5290" s="19">
        <v>363000</v>
      </c>
      <c r="AJ5290" s="19">
        <v>0</v>
      </c>
      <c r="AK5290" s="23">
        <v>0</v>
      </c>
      <c r="AM5290" s="19">
        <v>0</v>
      </c>
      <c r="AN5290" s="19">
        <v>363000</v>
      </c>
      <c r="AP5290" s="14">
        <v>363000</v>
      </c>
    </row>
    <row r="5291" spans="1:45" x14ac:dyDescent="0.2">
      <c r="A5291" s="122">
        <f t="shared" si="584"/>
        <v>4438</v>
      </c>
      <c r="B5291" s="13">
        <v>1</v>
      </c>
      <c r="C5291" s="17" t="s">
        <v>52</v>
      </c>
      <c r="D5291" s="17">
        <v>1932</v>
      </c>
      <c r="E5291" s="17">
        <v>46</v>
      </c>
      <c r="F5291" s="17">
        <v>1297</v>
      </c>
      <c r="G5291" s="13">
        <v>2</v>
      </c>
      <c r="H5291" s="17">
        <v>14</v>
      </c>
      <c r="I5291" s="17">
        <v>2</v>
      </c>
      <c r="J5291" s="17">
        <v>60</v>
      </c>
      <c r="K5291" s="10">
        <v>5860</v>
      </c>
      <c r="P5291" s="17">
        <v>1</v>
      </c>
      <c r="Q5291" s="19">
        <v>5860</v>
      </c>
      <c r="R5291" s="14">
        <v>200</v>
      </c>
      <c r="S5291" s="19">
        <v>1172000</v>
      </c>
      <c r="AJ5291" s="19">
        <v>0</v>
      </c>
      <c r="AK5291" s="23">
        <v>0</v>
      </c>
      <c r="AM5291" s="19">
        <v>0</v>
      </c>
      <c r="AN5291" s="19">
        <v>1172000</v>
      </c>
      <c r="AP5291" s="14">
        <v>1172000</v>
      </c>
    </row>
    <row r="5292" spans="1:45" ht="63" x14ac:dyDescent="0.2">
      <c r="A5292" s="122">
        <f t="shared" si="584"/>
        <v>4439</v>
      </c>
      <c r="B5292" s="13">
        <v>2</v>
      </c>
      <c r="C5292" s="17" t="s">
        <v>52</v>
      </c>
      <c r="D5292" s="17">
        <v>2022</v>
      </c>
      <c r="E5292" s="17">
        <v>98</v>
      </c>
      <c r="F5292" s="17">
        <v>1088</v>
      </c>
      <c r="G5292" s="13">
        <v>3</v>
      </c>
      <c r="H5292" s="17">
        <v>0</v>
      </c>
      <c r="I5292" s="17">
        <v>2</v>
      </c>
      <c r="J5292" s="17">
        <v>83</v>
      </c>
      <c r="L5292" s="17">
        <v>283</v>
      </c>
      <c r="P5292" s="17">
        <v>2</v>
      </c>
      <c r="Q5292" s="19">
        <v>283</v>
      </c>
      <c r="R5292" s="14">
        <v>2000</v>
      </c>
      <c r="S5292" s="19">
        <v>566000</v>
      </c>
      <c r="T5292" s="17">
        <v>1</v>
      </c>
      <c r="U5292" s="17" t="s">
        <v>57</v>
      </c>
      <c r="V5292" s="17" t="s">
        <v>56</v>
      </c>
      <c r="W5292" s="4">
        <v>252</v>
      </c>
      <c r="Y5292" s="4">
        <v>252</v>
      </c>
      <c r="AB5292" s="17">
        <v>31</v>
      </c>
      <c r="AJ5292" s="19">
        <v>0</v>
      </c>
      <c r="AK5292" s="23">
        <v>31</v>
      </c>
      <c r="AM5292" s="19">
        <v>0</v>
      </c>
      <c r="AN5292" s="19">
        <v>566000</v>
      </c>
      <c r="AP5292" s="14">
        <v>566000</v>
      </c>
    </row>
    <row r="5293" spans="1:45" x14ac:dyDescent="0.2">
      <c r="A5293" s="122">
        <f t="shared" si="584"/>
        <v>4440</v>
      </c>
      <c r="B5293" s="13">
        <v>3</v>
      </c>
      <c r="C5293" s="17" t="s">
        <v>52</v>
      </c>
      <c r="D5293" s="17">
        <v>27906</v>
      </c>
      <c r="E5293" s="17">
        <v>201</v>
      </c>
      <c r="F5293" s="17">
        <v>5087</v>
      </c>
      <c r="H5293" s="17">
        <v>2</v>
      </c>
      <c r="I5293" s="17">
        <v>2</v>
      </c>
      <c r="J5293" s="17">
        <v>68</v>
      </c>
      <c r="K5293" s="10">
        <v>1068</v>
      </c>
      <c r="P5293" s="17">
        <v>1</v>
      </c>
      <c r="Q5293" s="19">
        <v>1068</v>
      </c>
      <c r="R5293" s="14">
        <v>160</v>
      </c>
      <c r="S5293" s="19">
        <v>170880</v>
      </c>
      <c r="AJ5293" s="19">
        <v>0</v>
      </c>
      <c r="AK5293" s="23">
        <v>0</v>
      </c>
      <c r="AM5293" s="19">
        <v>0</v>
      </c>
      <c r="AN5293" s="19">
        <v>170880</v>
      </c>
      <c r="AP5293" s="14">
        <v>170880</v>
      </c>
    </row>
    <row r="5294" spans="1:45" x14ac:dyDescent="0.2">
      <c r="A5294" s="122">
        <f t="shared" si="584"/>
        <v>4441</v>
      </c>
      <c r="B5294" s="13">
        <v>4</v>
      </c>
      <c r="C5294" s="17" t="s">
        <v>52</v>
      </c>
      <c r="D5294" s="17">
        <v>27907</v>
      </c>
      <c r="E5294" s="17">
        <v>202</v>
      </c>
      <c r="F5294" s="17">
        <v>5088</v>
      </c>
      <c r="H5294" s="17">
        <v>1</v>
      </c>
      <c r="I5294" s="17">
        <v>3</v>
      </c>
      <c r="J5294" s="17">
        <v>92</v>
      </c>
      <c r="K5294" s="10">
        <v>792</v>
      </c>
      <c r="P5294" s="17">
        <v>1</v>
      </c>
      <c r="Q5294" s="19">
        <v>792</v>
      </c>
      <c r="R5294" s="14">
        <v>160</v>
      </c>
      <c r="S5294" s="19">
        <v>126720</v>
      </c>
      <c r="AJ5294" s="19">
        <v>0</v>
      </c>
      <c r="AK5294" s="23">
        <v>0</v>
      </c>
      <c r="AM5294" s="19">
        <v>0</v>
      </c>
      <c r="AN5294" s="19">
        <v>126720</v>
      </c>
      <c r="AP5294" s="14">
        <v>126720</v>
      </c>
    </row>
    <row r="5295" spans="1:45" x14ac:dyDescent="0.2">
      <c r="A5295" s="122">
        <f t="shared" si="584"/>
        <v>4442</v>
      </c>
      <c r="B5295" s="13">
        <v>5</v>
      </c>
      <c r="C5295" s="17" t="s">
        <v>52</v>
      </c>
      <c r="D5295" s="17">
        <v>27908</v>
      </c>
      <c r="E5295" s="17">
        <v>203</v>
      </c>
      <c r="F5295" s="17">
        <v>5089</v>
      </c>
      <c r="H5295" s="17">
        <v>0</v>
      </c>
      <c r="I5295" s="17">
        <v>2</v>
      </c>
      <c r="J5295" s="17">
        <v>92</v>
      </c>
      <c r="K5295" s="10">
        <v>292</v>
      </c>
      <c r="P5295" s="17">
        <v>1</v>
      </c>
      <c r="Q5295" s="19">
        <v>292</v>
      </c>
      <c r="R5295" s="14">
        <v>160</v>
      </c>
      <c r="S5295" s="19">
        <v>46720</v>
      </c>
      <c r="AJ5295" s="19">
        <v>0</v>
      </c>
      <c r="AK5295" s="23">
        <v>0</v>
      </c>
      <c r="AM5295" s="19">
        <v>0</v>
      </c>
      <c r="AN5295" s="19">
        <v>46720</v>
      </c>
      <c r="AP5295" s="14">
        <v>46720</v>
      </c>
    </row>
    <row r="5296" spans="1:45" x14ac:dyDescent="0.2">
      <c r="C5296" s="17" t="s">
        <v>52</v>
      </c>
      <c r="D5296" s="17">
        <v>40300</v>
      </c>
      <c r="E5296" s="17">
        <v>130</v>
      </c>
      <c r="F5296" s="17">
        <v>7953</v>
      </c>
      <c r="H5296" s="17">
        <v>4</v>
      </c>
      <c r="I5296" s="17">
        <v>1</v>
      </c>
      <c r="J5296" s="17">
        <v>89</v>
      </c>
      <c r="K5296" s="10" t="s">
        <v>476</v>
      </c>
      <c r="P5296" s="17">
        <v>1</v>
      </c>
      <c r="Q5296" s="19">
        <v>1789</v>
      </c>
      <c r="R5296" s="14" t="e">
        <v>#N/A</v>
      </c>
    </row>
    <row r="5297" spans="1:45" x14ac:dyDescent="0.2">
      <c r="C5297" s="17" t="s">
        <v>52</v>
      </c>
      <c r="D5297" s="17">
        <v>40301</v>
      </c>
      <c r="E5297" s="17">
        <v>131</v>
      </c>
      <c r="F5297" s="17">
        <v>7954</v>
      </c>
      <c r="H5297" s="17">
        <v>4</v>
      </c>
      <c r="I5297" s="17">
        <v>2</v>
      </c>
      <c r="J5297" s="17">
        <v>6</v>
      </c>
      <c r="K5297" s="10" t="s">
        <v>477</v>
      </c>
      <c r="P5297" s="17">
        <v>1</v>
      </c>
      <c r="Q5297" s="19">
        <v>1806</v>
      </c>
      <c r="R5297" s="14" t="e">
        <v>#N/A</v>
      </c>
    </row>
    <row r="5298" spans="1:45" x14ac:dyDescent="0.2">
      <c r="C5298" s="17" t="s">
        <v>52</v>
      </c>
      <c r="D5298" s="17">
        <v>40299</v>
      </c>
      <c r="E5298" s="17">
        <v>129</v>
      </c>
      <c r="F5298" s="17">
        <v>7952</v>
      </c>
      <c r="H5298" s="17">
        <v>0</v>
      </c>
      <c r="I5298" s="17">
        <v>1</v>
      </c>
      <c r="J5298" s="17">
        <v>74</v>
      </c>
      <c r="K5298" s="10" t="s">
        <v>298</v>
      </c>
      <c r="P5298" s="17">
        <v>1</v>
      </c>
      <c r="Q5298" s="19">
        <v>174</v>
      </c>
      <c r="R5298" s="14" t="e">
        <v>#N/A</v>
      </c>
    </row>
    <row r="5299" spans="1:45" x14ac:dyDescent="0.2">
      <c r="B5299" s="13">
        <v>6</v>
      </c>
      <c r="C5299" s="17" t="s">
        <v>65</v>
      </c>
      <c r="D5299" s="17">
        <v>2632</v>
      </c>
      <c r="E5299" s="17">
        <v>51</v>
      </c>
      <c r="H5299" s="17">
        <v>12</v>
      </c>
      <c r="I5299" s="17">
        <v>0</v>
      </c>
      <c r="J5299" s="17">
        <v>58</v>
      </c>
      <c r="K5299" s="10">
        <v>4858</v>
      </c>
      <c r="Q5299" s="19">
        <v>4858</v>
      </c>
      <c r="R5299" s="14" t="e">
        <v>#N/A</v>
      </c>
      <c r="S5299" s="19" t="e">
        <v>#N/A</v>
      </c>
      <c r="AE5299" s="17" t="s">
        <v>94</v>
      </c>
      <c r="AJ5299" s="19">
        <v>0</v>
      </c>
      <c r="AK5299" s="23">
        <v>0</v>
      </c>
      <c r="AM5299" s="19">
        <v>0</v>
      </c>
      <c r="AN5299" s="19" t="e">
        <v>#N/A</v>
      </c>
      <c r="AP5299" s="14" t="e">
        <v>#N/A</v>
      </c>
      <c r="AQ5299" s="12">
        <v>1E-4</v>
      </c>
    </row>
    <row r="5300" spans="1:45" x14ac:dyDescent="0.2">
      <c r="A5300" s="2">
        <v>4443</v>
      </c>
      <c r="B5300" s="13">
        <v>1</v>
      </c>
      <c r="C5300" s="17" t="s">
        <v>52</v>
      </c>
      <c r="D5300" s="17">
        <v>1933</v>
      </c>
      <c r="E5300" s="17">
        <v>45</v>
      </c>
      <c r="F5300" s="17">
        <v>1298</v>
      </c>
      <c r="G5300" s="13">
        <v>2</v>
      </c>
      <c r="H5300" s="17">
        <v>16</v>
      </c>
      <c r="I5300" s="17">
        <v>0</v>
      </c>
      <c r="J5300" s="17">
        <v>15</v>
      </c>
      <c r="K5300" s="10">
        <v>6415</v>
      </c>
      <c r="P5300" s="17">
        <v>1</v>
      </c>
      <c r="Q5300" s="19">
        <v>6415</v>
      </c>
      <c r="R5300" s="14">
        <v>200</v>
      </c>
      <c r="S5300" s="19">
        <v>1283000</v>
      </c>
      <c r="AJ5300" s="19">
        <v>0</v>
      </c>
      <c r="AK5300" s="23">
        <v>0</v>
      </c>
      <c r="AM5300" s="19">
        <v>0</v>
      </c>
      <c r="AN5300" s="19">
        <v>1283000</v>
      </c>
      <c r="AP5300" s="14">
        <v>1283000</v>
      </c>
    </row>
    <row r="5301" spans="1:45" ht="63" x14ac:dyDescent="0.2">
      <c r="A5301" s="2">
        <f>+A5300+1</f>
        <v>4444</v>
      </c>
      <c r="B5301" s="13">
        <v>2</v>
      </c>
      <c r="C5301" s="17" t="s">
        <v>52</v>
      </c>
      <c r="D5301" s="17">
        <v>31073</v>
      </c>
      <c r="E5301" s="17">
        <v>133</v>
      </c>
      <c r="F5301" s="17">
        <v>6023</v>
      </c>
      <c r="G5301" s="13">
        <v>2</v>
      </c>
      <c r="H5301" s="17">
        <v>0</v>
      </c>
      <c r="I5301" s="17">
        <v>1</v>
      </c>
      <c r="J5301" s="17">
        <v>17.059999999999999</v>
      </c>
      <c r="K5301" s="10">
        <v>117.06</v>
      </c>
      <c r="P5301" s="17">
        <v>1</v>
      </c>
      <c r="Q5301" s="19">
        <v>117.06</v>
      </c>
      <c r="R5301" s="14">
        <v>250</v>
      </c>
      <c r="S5301" s="19">
        <v>29265</v>
      </c>
      <c r="U5301" s="17" t="s">
        <v>57</v>
      </c>
      <c r="V5301" s="17" t="s">
        <v>56</v>
      </c>
      <c r="W5301" s="4">
        <v>125</v>
      </c>
      <c r="Y5301" s="4" t="s">
        <v>241</v>
      </c>
      <c r="AB5301" s="17">
        <v>2</v>
      </c>
      <c r="AF5301" s="14">
        <v>2</v>
      </c>
      <c r="AG5301" s="54">
        <v>125</v>
      </c>
      <c r="AH5301" s="11">
        <v>1</v>
      </c>
      <c r="AI5301" s="14">
        <v>7250</v>
      </c>
      <c r="AJ5301" s="19">
        <v>906250</v>
      </c>
      <c r="AK5301" s="23">
        <v>2</v>
      </c>
      <c r="AL5301" s="11">
        <v>0.02</v>
      </c>
      <c r="AM5301" s="19">
        <v>888125</v>
      </c>
      <c r="AN5301" s="19">
        <v>917390</v>
      </c>
      <c r="AP5301" s="14">
        <v>917390</v>
      </c>
    </row>
    <row r="5302" spans="1:45" ht="63" x14ac:dyDescent="0.2">
      <c r="A5302" s="122">
        <f>+A5301+1</f>
        <v>4445</v>
      </c>
      <c r="B5302" s="13">
        <v>3</v>
      </c>
      <c r="C5302" s="17" t="s">
        <v>52</v>
      </c>
      <c r="D5302" s="17">
        <v>2320</v>
      </c>
      <c r="E5302" s="17">
        <v>97</v>
      </c>
      <c r="F5302" s="17">
        <v>1526</v>
      </c>
      <c r="H5302" s="17">
        <v>0</v>
      </c>
      <c r="I5302" s="17">
        <v>2</v>
      </c>
      <c r="J5302" s="17">
        <v>81</v>
      </c>
      <c r="K5302" s="10">
        <v>281</v>
      </c>
      <c r="P5302" s="17">
        <v>1</v>
      </c>
      <c r="Q5302" s="19">
        <v>281</v>
      </c>
      <c r="R5302" s="14">
        <v>2000</v>
      </c>
      <c r="S5302" s="19">
        <v>562000</v>
      </c>
      <c r="U5302" s="17" t="s">
        <v>57</v>
      </c>
      <c r="V5302" s="17" t="s">
        <v>56</v>
      </c>
      <c r="W5302" s="4">
        <v>125</v>
      </c>
      <c r="Y5302" s="4" t="s">
        <v>241</v>
      </c>
      <c r="AB5302" s="17">
        <v>1</v>
      </c>
      <c r="AF5302" s="14">
        <v>2</v>
      </c>
      <c r="AG5302" s="54">
        <v>125</v>
      </c>
      <c r="AH5302" s="11">
        <v>1</v>
      </c>
      <c r="AI5302" s="14">
        <v>7250</v>
      </c>
      <c r="AJ5302" s="19">
        <v>906250</v>
      </c>
      <c r="AK5302" s="23">
        <v>1</v>
      </c>
      <c r="AL5302" s="11">
        <v>0.02</v>
      </c>
      <c r="AM5302" s="19">
        <v>888125</v>
      </c>
      <c r="AN5302" s="19">
        <v>1450125</v>
      </c>
      <c r="AP5302" s="14">
        <v>1450125</v>
      </c>
    </row>
    <row r="5303" spans="1:45" x14ac:dyDescent="0.2">
      <c r="B5303" s="13">
        <v>4</v>
      </c>
      <c r="C5303" s="17" t="s">
        <v>65</v>
      </c>
      <c r="D5303" s="17">
        <v>3525</v>
      </c>
      <c r="E5303" s="17">
        <v>418</v>
      </c>
      <c r="H5303" s="17">
        <v>0</v>
      </c>
      <c r="I5303" s="17">
        <v>1</v>
      </c>
      <c r="J5303" s="17">
        <v>6</v>
      </c>
      <c r="K5303" s="10">
        <v>106</v>
      </c>
      <c r="Q5303" s="19">
        <v>106</v>
      </c>
      <c r="R5303" s="14" t="e">
        <v>#N/A</v>
      </c>
      <c r="S5303" s="19" t="e">
        <v>#N/A</v>
      </c>
      <c r="AJ5303" s="19">
        <v>0</v>
      </c>
      <c r="AK5303" s="23">
        <v>0</v>
      </c>
      <c r="AM5303" s="19">
        <v>0</v>
      </c>
      <c r="AN5303" s="19" t="e">
        <v>#N/A</v>
      </c>
      <c r="AP5303" s="14" t="e">
        <v>#N/A</v>
      </c>
      <c r="AQ5303" s="12">
        <v>1E-4</v>
      </c>
    </row>
    <row r="5304" spans="1:45" x14ac:dyDescent="0.2">
      <c r="B5304" s="13">
        <v>1</v>
      </c>
      <c r="C5304" s="17" t="s">
        <v>65</v>
      </c>
      <c r="D5304" s="17">
        <v>464</v>
      </c>
      <c r="E5304" s="17">
        <v>16</v>
      </c>
      <c r="H5304" s="17">
        <v>9</v>
      </c>
      <c r="I5304" s="17">
        <v>2</v>
      </c>
      <c r="J5304" s="17">
        <v>80</v>
      </c>
      <c r="K5304" s="10">
        <v>3880</v>
      </c>
      <c r="Q5304" s="19">
        <v>3880</v>
      </c>
      <c r="R5304" s="14" t="e">
        <v>#N/A</v>
      </c>
      <c r="S5304" s="19" t="e">
        <v>#N/A</v>
      </c>
      <c r="AE5304" s="17" t="s">
        <v>478</v>
      </c>
      <c r="AJ5304" s="19">
        <v>0</v>
      </c>
      <c r="AK5304" s="23">
        <v>0</v>
      </c>
      <c r="AM5304" s="19">
        <v>0</v>
      </c>
      <c r="AN5304" s="19" t="e">
        <v>#N/A</v>
      </c>
      <c r="AP5304" s="14" t="e">
        <v>#N/A</v>
      </c>
      <c r="AQ5304" s="12">
        <v>1E-4</v>
      </c>
    </row>
    <row r="5305" spans="1:45" x14ac:dyDescent="0.2">
      <c r="A5305" s="2">
        <v>4446</v>
      </c>
      <c r="B5305" s="13">
        <v>1</v>
      </c>
      <c r="C5305" s="17" t="s">
        <v>52</v>
      </c>
      <c r="D5305" s="17">
        <v>7305</v>
      </c>
      <c r="E5305" s="17">
        <v>6</v>
      </c>
      <c r="F5305" s="17">
        <v>3021</v>
      </c>
      <c r="G5305" s="13">
        <v>4</v>
      </c>
      <c r="H5305" s="17">
        <v>0</v>
      </c>
      <c r="I5305" s="17">
        <v>0</v>
      </c>
      <c r="J5305" s="17">
        <v>75.03</v>
      </c>
      <c r="L5305" s="17">
        <v>75.03</v>
      </c>
      <c r="P5305" s="17">
        <v>2</v>
      </c>
      <c r="Q5305" s="19">
        <v>75.03</v>
      </c>
      <c r="R5305" s="14">
        <v>2000</v>
      </c>
      <c r="S5305" s="19">
        <v>150060</v>
      </c>
      <c r="AJ5305" s="19">
        <v>0</v>
      </c>
      <c r="AK5305" s="23">
        <v>0</v>
      </c>
      <c r="AM5305" s="19">
        <v>0</v>
      </c>
      <c r="AN5305" s="19">
        <v>150060</v>
      </c>
      <c r="AP5305" s="14">
        <v>150060</v>
      </c>
    </row>
    <row r="5306" spans="1:45" x14ac:dyDescent="0.2">
      <c r="A5306" s="2">
        <v>4447</v>
      </c>
      <c r="B5306" s="13">
        <v>2</v>
      </c>
      <c r="C5306" s="17" t="s">
        <v>52</v>
      </c>
      <c r="D5306" s="17">
        <v>28072</v>
      </c>
      <c r="E5306" s="17">
        <v>81</v>
      </c>
      <c r="F5306" s="17">
        <v>5278</v>
      </c>
      <c r="G5306" s="13">
        <v>4</v>
      </c>
      <c r="H5306" s="17">
        <v>5</v>
      </c>
      <c r="I5306" s="17">
        <v>3</v>
      </c>
      <c r="J5306" s="17">
        <v>57</v>
      </c>
      <c r="K5306" s="10">
        <v>2357</v>
      </c>
      <c r="P5306" s="17" t="s">
        <v>122</v>
      </c>
      <c r="Q5306" s="19">
        <v>2357</v>
      </c>
      <c r="R5306" s="14">
        <v>500</v>
      </c>
      <c r="S5306" s="19">
        <v>1178500</v>
      </c>
      <c r="AJ5306" s="19">
        <v>0</v>
      </c>
      <c r="AK5306" s="23">
        <v>0</v>
      </c>
      <c r="AM5306" s="19">
        <v>0</v>
      </c>
      <c r="AN5306" s="19">
        <v>1178500</v>
      </c>
      <c r="AP5306" s="14">
        <v>1178500</v>
      </c>
    </row>
    <row r="5307" spans="1:45" x14ac:dyDescent="0.2">
      <c r="A5307" s="2">
        <v>4448</v>
      </c>
      <c r="B5307" s="13">
        <v>3</v>
      </c>
      <c r="C5307" s="17" t="s">
        <v>69</v>
      </c>
      <c r="E5307" s="17">
        <v>2328</v>
      </c>
      <c r="F5307" s="17">
        <v>6</v>
      </c>
      <c r="G5307" s="13">
        <v>1</v>
      </c>
      <c r="H5307" s="17">
        <v>15</v>
      </c>
      <c r="I5307" s="17">
        <v>2</v>
      </c>
      <c r="J5307" s="17">
        <v>51</v>
      </c>
      <c r="K5307" s="10">
        <v>6251</v>
      </c>
      <c r="P5307" s="17" t="s">
        <v>122</v>
      </c>
      <c r="Q5307" s="19">
        <v>6251</v>
      </c>
      <c r="R5307" s="14">
        <v>160</v>
      </c>
      <c r="S5307" s="19">
        <v>1000160</v>
      </c>
      <c r="AJ5307" s="19">
        <v>0</v>
      </c>
      <c r="AK5307" s="23">
        <v>0</v>
      </c>
      <c r="AM5307" s="19">
        <v>0</v>
      </c>
      <c r="AN5307" s="19">
        <v>1000160</v>
      </c>
      <c r="AP5307" s="14">
        <v>1000160</v>
      </c>
      <c r="AQ5307" s="12">
        <v>1E-4</v>
      </c>
    </row>
    <row r="5308" spans="1:45" x14ac:dyDescent="0.2">
      <c r="B5308" s="13">
        <v>1</v>
      </c>
      <c r="C5308" s="17" t="s">
        <v>52</v>
      </c>
      <c r="D5308" s="17">
        <v>15863</v>
      </c>
      <c r="E5308" s="17">
        <v>119</v>
      </c>
      <c r="F5308" s="17">
        <v>3453</v>
      </c>
      <c r="H5308" s="17">
        <v>9</v>
      </c>
      <c r="I5308" s="17">
        <v>0</v>
      </c>
      <c r="J5308" s="17">
        <v>89</v>
      </c>
      <c r="K5308" s="10">
        <v>3689</v>
      </c>
      <c r="P5308" s="17">
        <v>1</v>
      </c>
      <c r="Q5308" s="19">
        <v>3689</v>
      </c>
      <c r="R5308" s="14" t="e">
        <v>#N/A</v>
      </c>
      <c r="S5308" s="19" t="e">
        <v>#N/A</v>
      </c>
      <c r="AJ5308" s="19">
        <v>0</v>
      </c>
      <c r="AK5308" s="23">
        <v>0</v>
      </c>
      <c r="AM5308" s="19">
        <v>0</v>
      </c>
      <c r="AN5308" s="19" t="e">
        <v>#N/A</v>
      </c>
      <c r="AP5308" s="14" t="e">
        <v>#N/A</v>
      </c>
      <c r="AQ5308" s="12">
        <v>1E-4</v>
      </c>
    </row>
    <row r="5309" spans="1:45" x14ac:dyDescent="0.2">
      <c r="A5309" s="2">
        <v>4449</v>
      </c>
      <c r="B5309" s="13">
        <v>1</v>
      </c>
      <c r="C5309" s="17" t="s">
        <v>65</v>
      </c>
      <c r="D5309" s="17">
        <v>455</v>
      </c>
      <c r="E5309" s="17">
        <v>7</v>
      </c>
      <c r="H5309" s="17">
        <v>10</v>
      </c>
      <c r="I5309" s="17">
        <v>2</v>
      </c>
      <c r="J5309" s="17">
        <v>90</v>
      </c>
      <c r="K5309" s="10">
        <v>4290</v>
      </c>
      <c r="Q5309" s="19">
        <v>4290</v>
      </c>
      <c r="R5309" s="14">
        <v>160</v>
      </c>
      <c r="S5309" s="19">
        <v>686400</v>
      </c>
      <c r="AE5309" s="17" t="s">
        <v>160</v>
      </c>
      <c r="AJ5309" s="19">
        <v>0</v>
      </c>
      <c r="AK5309" s="23">
        <v>0</v>
      </c>
      <c r="AM5309" s="19">
        <v>0</v>
      </c>
      <c r="AN5309" s="19">
        <v>686400</v>
      </c>
      <c r="AP5309" s="14">
        <v>686400</v>
      </c>
      <c r="AQ5309" s="12">
        <v>1E-4</v>
      </c>
    </row>
    <row r="5310" spans="1:45" x14ac:dyDescent="0.2">
      <c r="A5310" s="2">
        <f>+A5309+1</f>
        <v>4450</v>
      </c>
      <c r="B5310" s="13">
        <v>1</v>
      </c>
      <c r="C5310" s="17" t="s">
        <v>52</v>
      </c>
      <c r="D5310" s="17">
        <v>31907</v>
      </c>
      <c r="E5310" s="17">
        <v>98</v>
      </c>
      <c r="F5310" s="17">
        <v>6134</v>
      </c>
      <c r="G5310" s="13">
        <v>2</v>
      </c>
      <c r="H5310" s="17">
        <v>8</v>
      </c>
      <c r="I5310" s="17">
        <v>2</v>
      </c>
      <c r="J5310" s="17">
        <v>89</v>
      </c>
      <c r="K5310" s="10">
        <v>3489</v>
      </c>
      <c r="P5310" s="17">
        <v>1</v>
      </c>
      <c r="Q5310" s="19">
        <v>3489</v>
      </c>
      <c r="R5310" s="14">
        <v>160</v>
      </c>
      <c r="S5310" s="19">
        <v>558240</v>
      </c>
      <c r="AJ5310" s="19">
        <v>0</v>
      </c>
      <c r="AK5310" s="23">
        <v>0</v>
      </c>
      <c r="AM5310" s="19">
        <v>0</v>
      </c>
      <c r="AN5310" s="19">
        <v>558240</v>
      </c>
      <c r="AP5310" s="14">
        <v>558240</v>
      </c>
      <c r="AS5310" s="26">
        <v>29</v>
      </c>
    </row>
    <row r="5311" spans="1:45" x14ac:dyDescent="0.2">
      <c r="A5311" s="122">
        <f t="shared" ref="A5311:A5312" si="585">+A5310+1</f>
        <v>4451</v>
      </c>
      <c r="B5311" s="13">
        <v>2</v>
      </c>
      <c r="C5311" s="17" t="s">
        <v>65</v>
      </c>
      <c r="D5311" s="17">
        <v>3441</v>
      </c>
      <c r="E5311" s="17">
        <v>252</v>
      </c>
      <c r="H5311" s="17">
        <v>9</v>
      </c>
      <c r="I5311" s="17">
        <v>2</v>
      </c>
      <c r="J5311" s="17">
        <v>93</v>
      </c>
      <c r="K5311" s="10">
        <v>3893</v>
      </c>
      <c r="P5311" s="17">
        <v>1</v>
      </c>
      <c r="Q5311" s="19">
        <v>3893</v>
      </c>
      <c r="R5311" s="14">
        <v>160</v>
      </c>
      <c r="S5311" s="19">
        <v>622880</v>
      </c>
      <c r="AJ5311" s="19">
        <v>0</v>
      </c>
      <c r="AK5311" s="23">
        <v>0</v>
      </c>
      <c r="AM5311" s="19">
        <v>0</v>
      </c>
      <c r="AN5311" s="19">
        <v>622880</v>
      </c>
      <c r="AP5311" s="14">
        <v>622880</v>
      </c>
      <c r="AQ5311" s="12">
        <v>1E-4</v>
      </c>
    </row>
    <row r="5312" spans="1:45" ht="63" x14ac:dyDescent="0.2">
      <c r="A5312" s="122">
        <f t="shared" si="585"/>
        <v>4452</v>
      </c>
      <c r="B5312" s="13">
        <v>1</v>
      </c>
      <c r="C5312" s="17" t="s">
        <v>52</v>
      </c>
      <c r="D5312" s="17">
        <v>1308</v>
      </c>
      <c r="E5312" s="17">
        <v>2</v>
      </c>
      <c r="F5312" s="17">
        <v>905</v>
      </c>
      <c r="G5312" s="13">
        <v>2</v>
      </c>
      <c r="H5312" s="17">
        <v>0</v>
      </c>
      <c r="I5312" s="17">
        <v>1</v>
      </c>
      <c r="J5312" s="17">
        <v>8</v>
      </c>
      <c r="L5312" s="17">
        <v>108</v>
      </c>
      <c r="P5312" s="17">
        <v>2</v>
      </c>
      <c r="Q5312" s="19">
        <v>108</v>
      </c>
      <c r="R5312" s="14">
        <v>160</v>
      </c>
      <c r="S5312" s="19">
        <v>17280</v>
      </c>
      <c r="T5312" s="17">
        <v>1</v>
      </c>
      <c r="U5312" s="17" t="s">
        <v>57</v>
      </c>
      <c r="V5312" s="17" t="s">
        <v>56</v>
      </c>
      <c r="W5312" s="4">
        <v>100</v>
      </c>
      <c r="Y5312" s="4">
        <v>100</v>
      </c>
      <c r="AB5312" s="17">
        <v>12</v>
      </c>
      <c r="AJ5312" s="19">
        <v>0</v>
      </c>
      <c r="AK5312" s="23">
        <v>12</v>
      </c>
      <c r="AM5312" s="19">
        <v>0</v>
      </c>
      <c r="AN5312" s="19">
        <v>17280</v>
      </c>
      <c r="AP5312" s="14">
        <v>17280</v>
      </c>
    </row>
    <row r="5313" spans="1:45" x14ac:dyDescent="0.2">
      <c r="R5313" s="14" t="e">
        <v>#N/A</v>
      </c>
    </row>
    <row r="5314" spans="1:45" x14ac:dyDescent="0.2">
      <c r="A5314" s="2">
        <v>4453</v>
      </c>
      <c r="B5314" s="13">
        <v>2</v>
      </c>
      <c r="C5314" s="17" t="s">
        <v>52</v>
      </c>
      <c r="D5314" s="17">
        <v>35346</v>
      </c>
      <c r="E5314" s="17">
        <v>195</v>
      </c>
      <c r="F5314" s="17">
        <v>7047</v>
      </c>
      <c r="H5314" s="17">
        <v>3</v>
      </c>
      <c r="I5314" s="17">
        <v>1</v>
      </c>
      <c r="J5314" s="17">
        <v>17</v>
      </c>
      <c r="K5314" s="10">
        <v>1317</v>
      </c>
      <c r="P5314" s="17">
        <v>1</v>
      </c>
      <c r="Q5314" s="19">
        <v>1317</v>
      </c>
      <c r="R5314" s="14">
        <v>500</v>
      </c>
      <c r="S5314" s="19">
        <v>658500</v>
      </c>
      <c r="AJ5314" s="19">
        <v>0</v>
      </c>
      <c r="AK5314" s="23">
        <v>0</v>
      </c>
      <c r="AM5314" s="19">
        <v>0</v>
      </c>
      <c r="AN5314" s="19">
        <v>658500</v>
      </c>
      <c r="AP5314" s="14">
        <v>658500</v>
      </c>
    </row>
    <row r="5315" spans="1:45" ht="63" x14ac:dyDescent="0.2">
      <c r="A5315" s="2">
        <v>4454</v>
      </c>
      <c r="B5315" s="13">
        <v>3</v>
      </c>
      <c r="C5315" s="17" t="s">
        <v>52</v>
      </c>
      <c r="D5315" s="17">
        <v>35347</v>
      </c>
      <c r="E5315" s="17">
        <v>196</v>
      </c>
      <c r="F5315" s="17">
        <v>7048</v>
      </c>
      <c r="G5315" s="13">
        <v>3</v>
      </c>
      <c r="H5315" s="17">
        <v>4</v>
      </c>
      <c r="I5315" s="17">
        <v>1</v>
      </c>
      <c r="J5315" s="17">
        <v>75</v>
      </c>
      <c r="K5315" s="10">
        <v>1735</v>
      </c>
      <c r="L5315" s="17">
        <v>28</v>
      </c>
      <c r="P5315" s="17">
        <v>5</v>
      </c>
      <c r="Q5315" s="19">
        <v>1775</v>
      </c>
      <c r="R5315" s="14">
        <v>500</v>
      </c>
      <c r="S5315" s="19">
        <v>887500</v>
      </c>
      <c r="T5315" s="17">
        <v>1</v>
      </c>
      <c r="U5315" s="17" t="s">
        <v>57</v>
      </c>
      <c r="V5315" s="17" t="s">
        <v>56</v>
      </c>
      <c r="W5315" s="4">
        <v>112</v>
      </c>
      <c r="Y5315" s="4">
        <v>112</v>
      </c>
      <c r="AB5315" s="17">
        <v>8</v>
      </c>
      <c r="AJ5315" s="19">
        <v>0</v>
      </c>
      <c r="AK5315" s="23">
        <v>8</v>
      </c>
      <c r="AM5315" s="19">
        <v>0</v>
      </c>
      <c r="AN5315" s="19">
        <v>887500</v>
      </c>
      <c r="AP5315" s="14">
        <v>887500</v>
      </c>
    </row>
    <row r="5316" spans="1:45" ht="63" x14ac:dyDescent="0.2">
      <c r="G5316" s="13">
        <v>3</v>
      </c>
      <c r="L5316" s="17">
        <v>12</v>
      </c>
      <c r="Q5316" s="19">
        <v>0</v>
      </c>
      <c r="R5316" s="14" t="e">
        <v>#N/A</v>
      </c>
      <c r="S5316" s="19" t="e">
        <v>#N/A</v>
      </c>
      <c r="T5316" s="17">
        <v>2</v>
      </c>
      <c r="U5316" s="17" t="s">
        <v>57</v>
      </c>
      <c r="V5316" s="17" t="s">
        <v>56</v>
      </c>
      <c r="W5316" s="4">
        <v>48</v>
      </c>
      <c r="Y5316" s="4">
        <v>48</v>
      </c>
      <c r="AB5316" s="17">
        <v>6</v>
      </c>
      <c r="AJ5316" s="19">
        <v>0</v>
      </c>
      <c r="AK5316" s="23">
        <v>6</v>
      </c>
      <c r="AM5316" s="19">
        <v>0</v>
      </c>
      <c r="AN5316" s="19" t="e">
        <v>#N/A</v>
      </c>
      <c r="AP5316" s="14" t="e">
        <v>#N/A</v>
      </c>
    </row>
    <row r="5317" spans="1:45" x14ac:dyDescent="0.2">
      <c r="A5317" s="2">
        <v>4455</v>
      </c>
      <c r="B5317" s="13">
        <v>1</v>
      </c>
      <c r="C5317" s="17" t="s">
        <v>69</v>
      </c>
      <c r="E5317" s="17">
        <v>164</v>
      </c>
      <c r="F5317" s="17">
        <v>1</v>
      </c>
      <c r="G5317" s="13">
        <v>2</v>
      </c>
      <c r="H5317" s="17">
        <v>4</v>
      </c>
      <c r="I5317" s="17">
        <v>2</v>
      </c>
      <c r="J5317" s="17">
        <v>3</v>
      </c>
      <c r="K5317" s="10">
        <v>1803</v>
      </c>
      <c r="P5317" s="17">
        <v>1</v>
      </c>
      <c r="Q5317" s="19">
        <v>1803</v>
      </c>
      <c r="R5317" s="14">
        <v>160</v>
      </c>
      <c r="S5317" s="19">
        <v>288480</v>
      </c>
      <c r="AJ5317" s="19">
        <v>0</v>
      </c>
      <c r="AK5317" s="23">
        <v>0</v>
      </c>
      <c r="AM5317" s="19">
        <v>0</v>
      </c>
      <c r="AN5317" s="19">
        <v>288480</v>
      </c>
      <c r="AP5317" s="14">
        <v>288480</v>
      </c>
      <c r="AQ5317" s="12">
        <v>1E-4</v>
      </c>
    </row>
    <row r="5318" spans="1:45" x14ac:dyDescent="0.2">
      <c r="A5318" s="2">
        <f>+A5317+1</f>
        <v>4456</v>
      </c>
      <c r="B5318" s="13">
        <v>1</v>
      </c>
      <c r="C5318" s="17" t="s">
        <v>52</v>
      </c>
      <c r="D5318" s="17">
        <v>35341</v>
      </c>
      <c r="E5318" s="17">
        <v>274</v>
      </c>
      <c r="F5318" s="17">
        <v>7042</v>
      </c>
      <c r="H5318" s="17">
        <v>0</v>
      </c>
      <c r="I5318" s="17">
        <v>1</v>
      </c>
      <c r="J5318" s="17">
        <v>43</v>
      </c>
      <c r="N5318" s="18">
        <v>143</v>
      </c>
      <c r="P5318" s="17">
        <v>4</v>
      </c>
      <c r="Q5318" s="19">
        <v>143</v>
      </c>
      <c r="R5318" s="14">
        <v>2000</v>
      </c>
      <c r="S5318" s="19">
        <v>286000</v>
      </c>
      <c r="AJ5318" s="19">
        <v>0</v>
      </c>
      <c r="AK5318" s="23">
        <v>0</v>
      </c>
      <c r="AM5318" s="19">
        <v>0</v>
      </c>
      <c r="AN5318" s="19">
        <v>286000</v>
      </c>
      <c r="AP5318" s="14">
        <v>286000</v>
      </c>
      <c r="AQ5318" s="12">
        <v>3.0000000000000001E-3</v>
      </c>
    </row>
    <row r="5319" spans="1:45" x14ac:dyDescent="0.2">
      <c r="A5319" s="122">
        <f t="shared" ref="A5319:A5320" si="586">+A5318+1</f>
        <v>4457</v>
      </c>
      <c r="B5319" s="13">
        <v>1</v>
      </c>
      <c r="C5319" s="17" t="s">
        <v>52</v>
      </c>
      <c r="D5319" s="17">
        <v>35134</v>
      </c>
      <c r="E5319" s="17">
        <v>267</v>
      </c>
      <c r="F5319" s="17">
        <v>7004</v>
      </c>
      <c r="H5319" s="17">
        <v>0</v>
      </c>
      <c r="I5319" s="17">
        <v>2</v>
      </c>
      <c r="J5319" s="17">
        <v>4</v>
      </c>
      <c r="N5319" s="18">
        <v>204</v>
      </c>
      <c r="P5319" s="17">
        <v>4</v>
      </c>
      <c r="Q5319" s="19">
        <v>204</v>
      </c>
      <c r="R5319" s="14">
        <v>160</v>
      </c>
      <c r="S5319" s="19">
        <v>32640</v>
      </c>
      <c r="AE5319" s="17" t="s">
        <v>479</v>
      </c>
      <c r="AJ5319" s="19">
        <v>0</v>
      </c>
      <c r="AK5319" s="23">
        <v>0</v>
      </c>
      <c r="AM5319" s="19">
        <v>0</v>
      </c>
      <c r="AN5319" s="19">
        <v>32640</v>
      </c>
      <c r="AP5319" s="14">
        <v>32640</v>
      </c>
      <c r="AQ5319" s="12">
        <v>3.0000000000000001E-3</v>
      </c>
    </row>
    <row r="5320" spans="1:45" ht="63" x14ac:dyDescent="0.2">
      <c r="A5320" s="122">
        <f t="shared" si="586"/>
        <v>4458</v>
      </c>
      <c r="B5320" s="13">
        <v>2</v>
      </c>
      <c r="C5320" s="17" t="s">
        <v>52</v>
      </c>
      <c r="D5320" s="17">
        <v>35342</v>
      </c>
      <c r="E5320" s="17">
        <v>275</v>
      </c>
      <c r="F5320" s="17">
        <v>7043</v>
      </c>
      <c r="G5320" s="13">
        <v>3</v>
      </c>
      <c r="H5320" s="17">
        <v>0</v>
      </c>
      <c r="I5320" s="17">
        <v>1</v>
      </c>
      <c r="J5320" s="17">
        <v>69</v>
      </c>
      <c r="L5320" s="17" t="s">
        <v>480</v>
      </c>
      <c r="P5320" s="17">
        <v>2</v>
      </c>
      <c r="Q5320" s="19">
        <v>169</v>
      </c>
      <c r="R5320" s="14">
        <v>2000</v>
      </c>
      <c r="S5320" s="19">
        <v>338000</v>
      </c>
      <c r="T5320" s="17">
        <v>1</v>
      </c>
      <c r="U5320" s="17" t="s">
        <v>57</v>
      </c>
      <c r="V5320" s="17" t="s">
        <v>56</v>
      </c>
      <c r="W5320" s="4">
        <v>80</v>
      </c>
      <c r="Y5320" s="4">
        <v>65</v>
      </c>
      <c r="AB5320" s="17" t="s">
        <v>481</v>
      </c>
      <c r="AF5320" s="14">
        <v>2</v>
      </c>
      <c r="AG5320" s="54">
        <v>80</v>
      </c>
      <c r="AH5320" s="11">
        <v>0.81</v>
      </c>
      <c r="AI5320" s="14">
        <v>7250</v>
      </c>
      <c r="AJ5320" s="19">
        <v>469800.00000000006</v>
      </c>
      <c r="AK5320" s="23" t="s">
        <v>481</v>
      </c>
      <c r="AL5320" s="11">
        <v>0.09</v>
      </c>
      <c r="AM5320" s="19">
        <v>427518.00000000006</v>
      </c>
      <c r="AN5320" s="19">
        <v>701298</v>
      </c>
      <c r="AP5320" s="14">
        <v>701298</v>
      </c>
    </row>
    <row r="5321" spans="1:45" ht="63" x14ac:dyDescent="0.2">
      <c r="AF5321" s="14">
        <v>3</v>
      </c>
      <c r="AG5321" s="54">
        <v>80</v>
      </c>
      <c r="AH5321" s="11">
        <v>0.19</v>
      </c>
      <c r="AI5321" s="14">
        <v>7250</v>
      </c>
      <c r="AJ5321" s="19">
        <v>110200</v>
      </c>
      <c r="AK5321" s="23">
        <v>9</v>
      </c>
      <c r="AL5321" s="11">
        <v>0.09</v>
      </c>
      <c r="AM5321" s="19">
        <v>100282</v>
      </c>
      <c r="AN5321" s="19">
        <v>164502</v>
      </c>
      <c r="AP5321" s="14">
        <v>164502</v>
      </c>
      <c r="AQ5321" s="12">
        <v>3.0000000000000001E-3</v>
      </c>
      <c r="AR5321" s="19">
        <v>591.42600000000004</v>
      </c>
    </row>
    <row r="5322" spans="1:45" x14ac:dyDescent="0.2">
      <c r="A5322" s="2">
        <v>4459</v>
      </c>
      <c r="B5322" s="13">
        <v>1</v>
      </c>
      <c r="C5322" s="17" t="s">
        <v>52</v>
      </c>
      <c r="D5322" s="17">
        <v>2464</v>
      </c>
      <c r="E5322" s="17">
        <v>44</v>
      </c>
      <c r="F5322" s="17">
        <v>1299</v>
      </c>
      <c r="G5322" s="13">
        <v>2</v>
      </c>
      <c r="H5322" s="17">
        <v>10</v>
      </c>
      <c r="I5322" s="17">
        <v>0</v>
      </c>
      <c r="J5322" s="17">
        <v>13</v>
      </c>
      <c r="K5322" s="10">
        <v>4013</v>
      </c>
      <c r="P5322" s="17">
        <v>1</v>
      </c>
      <c r="Q5322" s="19">
        <v>4013</v>
      </c>
      <c r="R5322" s="14">
        <v>200</v>
      </c>
      <c r="S5322" s="19">
        <v>802600</v>
      </c>
      <c r="AJ5322" s="19">
        <v>0</v>
      </c>
      <c r="AK5322" s="23">
        <v>0</v>
      </c>
      <c r="AM5322" s="19">
        <v>0</v>
      </c>
      <c r="AN5322" s="19">
        <v>802600</v>
      </c>
      <c r="AP5322" s="14">
        <v>802600</v>
      </c>
    </row>
    <row r="5323" spans="1:45" x14ac:dyDescent="0.2">
      <c r="A5323" s="2">
        <f>+A5322+1</f>
        <v>4460</v>
      </c>
      <c r="B5323" s="13">
        <v>2</v>
      </c>
      <c r="C5323" s="17" t="s">
        <v>52</v>
      </c>
      <c r="D5323" s="17">
        <v>35344</v>
      </c>
      <c r="E5323" s="17">
        <v>277</v>
      </c>
      <c r="F5323" s="17">
        <v>7045</v>
      </c>
      <c r="H5323" s="17">
        <v>0</v>
      </c>
      <c r="I5323" s="17">
        <v>1</v>
      </c>
      <c r="J5323" s="17">
        <v>14</v>
      </c>
      <c r="K5323" s="10">
        <v>114</v>
      </c>
      <c r="P5323" s="17">
        <v>1</v>
      </c>
      <c r="Q5323" s="19">
        <v>114</v>
      </c>
      <c r="R5323" s="14">
        <v>2000</v>
      </c>
      <c r="S5323" s="19">
        <v>228000</v>
      </c>
      <c r="AJ5323" s="19">
        <v>0</v>
      </c>
      <c r="AK5323" s="23">
        <v>0</v>
      </c>
      <c r="AM5323" s="19">
        <v>0</v>
      </c>
      <c r="AN5323" s="19">
        <v>228000</v>
      </c>
      <c r="AP5323" s="14">
        <v>228000</v>
      </c>
    </row>
    <row r="5324" spans="1:45" ht="105" x14ac:dyDescent="0.2">
      <c r="A5324" s="122">
        <f>+A5323+1</f>
        <v>4461</v>
      </c>
      <c r="B5324" s="13">
        <v>3</v>
      </c>
      <c r="C5324" s="17" t="s">
        <v>65</v>
      </c>
      <c r="D5324" s="17">
        <v>1783</v>
      </c>
      <c r="E5324" s="17">
        <v>125</v>
      </c>
      <c r="H5324" s="17">
        <v>7</v>
      </c>
      <c r="I5324" s="17">
        <v>3</v>
      </c>
      <c r="J5324" s="17">
        <v>40</v>
      </c>
      <c r="K5324" s="10">
        <v>3140</v>
      </c>
      <c r="P5324" s="17">
        <v>1</v>
      </c>
      <c r="Q5324" s="19">
        <v>3140</v>
      </c>
      <c r="R5324" s="14">
        <v>200</v>
      </c>
      <c r="S5324" s="19">
        <v>628000</v>
      </c>
      <c r="AJ5324" s="19">
        <v>0</v>
      </c>
      <c r="AK5324" s="23">
        <v>0</v>
      </c>
      <c r="AM5324" s="19">
        <v>0</v>
      </c>
      <c r="AN5324" s="19">
        <v>628000</v>
      </c>
      <c r="AP5324" s="14">
        <v>628000</v>
      </c>
      <c r="AQ5324" s="12">
        <v>1E-4</v>
      </c>
      <c r="AR5324" s="19" t="s">
        <v>482</v>
      </c>
    </row>
    <row r="5325" spans="1:45" x14ac:dyDescent="0.2">
      <c r="B5325" s="13">
        <v>4</v>
      </c>
      <c r="C5325" s="17" t="s">
        <v>65</v>
      </c>
      <c r="D5325" s="17">
        <v>2931</v>
      </c>
      <c r="E5325" s="17">
        <v>417</v>
      </c>
      <c r="H5325" s="17">
        <v>0</v>
      </c>
      <c r="I5325" s="17">
        <v>1</v>
      </c>
      <c r="J5325" s="17">
        <v>3</v>
      </c>
      <c r="K5325" s="10">
        <v>103</v>
      </c>
      <c r="Q5325" s="19">
        <v>103</v>
      </c>
      <c r="R5325" s="14" t="e">
        <v>#N/A</v>
      </c>
      <c r="S5325" s="19" t="e">
        <v>#N/A</v>
      </c>
      <c r="AE5325" s="17" t="s">
        <v>86</v>
      </c>
      <c r="AJ5325" s="19">
        <v>0</v>
      </c>
      <c r="AK5325" s="23">
        <v>0</v>
      </c>
      <c r="AM5325" s="19">
        <v>0</v>
      </c>
      <c r="AN5325" s="19" t="e">
        <v>#N/A</v>
      </c>
      <c r="AP5325" s="14" t="e">
        <v>#N/A</v>
      </c>
      <c r="AQ5325" s="12">
        <v>1E-4</v>
      </c>
    </row>
    <row r="5326" spans="1:45" x14ac:dyDescent="0.2">
      <c r="A5326" s="2">
        <v>4462</v>
      </c>
      <c r="B5326" s="13">
        <v>1</v>
      </c>
      <c r="C5326" s="17" t="s">
        <v>52</v>
      </c>
      <c r="D5326" s="17">
        <v>2309</v>
      </c>
      <c r="E5326" s="17">
        <v>105</v>
      </c>
      <c r="F5326" s="17">
        <v>1080</v>
      </c>
      <c r="H5326" s="17">
        <v>2</v>
      </c>
      <c r="I5326" s="17">
        <v>1</v>
      </c>
      <c r="J5326" s="17">
        <v>7</v>
      </c>
      <c r="K5326" s="10">
        <v>907</v>
      </c>
      <c r="P5326" s="17">
        <v>1</v>
      </c>
      <c r="Q5326" s="19">
        <v>907</v>
      </c>
      <c r="R5326" s="14">
        <v>500</v>
      </c>
      <c r="S5326" s="19">
        <v>453500</v>
      </c>
      <c r="AJ5326" s="19">
        <v>0</v>
      </c>
      <c r="AK5326" s="23">
        <v>0</v>
      </c>
      <c r="AM5326" s="19">
        <v>0</v>
      </c>
      <c r="AN5326" s="19">
        <v>453500</v>
      </c>
      <c r="AP5326" s="14">
        <v>453500</v>
      </c>
    </row>
    <row r="5327" spans="1:45" ht="63" x14ac:dyDescent="0.2">
      <c r="A5327" s="2">
        <f>+A5326+1</f>
        <v>4463</v>
      </c>
      <c r="B5327" s="13">
        <v>1</v>
      </c>
      <c r="C5327" s="17" t="s">
        <v>52</v>
      </c>
      <c r="D5327" s="17">
        <v>3170</v>
      </c>
      <c r="E5327" s="17">
        <v>24</v>
      </c>
      <c r="F5327" s="17">
        <v>2099</v>
      </c>
      <c r="G5327" s="13">
        <v>1</v>
      </c>
      <c r="H5327" s="17">
        <v>24</v>
      </c>
      <c r="I5327" s="17">
        <v>2</v>
      </c>
      <c r="J5327" s="17">
        <v>18</v>
      </c>
      <c r="K5327" s="10">
        <v>9818</v>
      </c>
      <c r="P5327" s="17">
        <v>1</v>
      </c>
      <c r="Q5327" s="19">
        <v>9818</v>
      </c>
      <c r="R5327" s="14">
        <v>200</v>
      </c>
      <c r="S5327" s="19">
        <v>1963600</v>
      </c>
      <c r="AJ5327" s="19">
        <v>0</v>
      </c>
      <c r="AK5327" s="23">
        <v>0</v>
      </c>
      <c r="AM5327" s="19">
        <v>0</v>
      </c>
      <c r="AN5327" s="19">
        <v>1963600</v>
      </c>
      <c r="AP5327" s="14">
        <v>1963600</v>
      </c>
      <c r="AR5327" s="19">
        <v>113</v>
      </c>
      <c r="AS5327" s="26">
        <v>3863</v>
      </c>
    </row>
    <row r="5328" spans="1:45" ht="63" x14ac:dyDescent="0.2">
      <c r="A5328" s="122">
        <f t="shared" ref="A5328:A5331" si="587">+A5327+1</f>
        <v>4464</v>
      </c>
      <c r="B5328" s="13">
        <v>2</v>
      </c>
      <c r="C5328" s="17" t="s">
        <v>52</v>
      </c>
      <c r="D5328" s="17">
        <v>1902</v>
      </c>
      <c r="E5328" s="17">
        <v>98</v>
      </c>
      <c r="F5328" s="17">
        <v>487</v>
      </c>
      <c r="G5328" s="13">
        <v>2</v>
      </c>
      <c r="H5328" s="17">
        <v>4</v>
      </c>
      <c r="I5328" s="17">
        <v>1</v>
      </c>
      <c r="J5328" s="17">
        <v>60</v>
      </c>
      <c r="K5328" s="10">
        <v>1760</v>
      </c>
      <c r="P5328" s="17">
        <v>1</v>
      </c>
      <c r="Q5328" s="19">
        <v>1760</v>
      </c>
      <c r="R5328" s="14">
        <v>160</v>
      </c>
      <c r="S5328" s="19">
        <v>281600</v>
      </c>
      <c r="AJ5328" s="19">
        <v>0</v>
      </c>
      <c r="AK5328" s="23">
        <v>0</v>
      </c>
      <c r="AM5328" s="19">
        <v>0</v>
      </c>
      <c r="AN5328" s="19">
        <v>281600</v>
      </c>
      <c r="AP5328" s="14">
        <v>281600</v>
      </c>
      <c r="AR5328" s="19">
        <v>3750</v>
      </c>
    </row>
    <row r="5329" spans="1:45" x14ac:dyDescent="0.2">
      <c r="A5329" s="122">
        <f t="shared" si="587"/>
        <v>4465</v>
      </c>
      <c r="B5329" s="13">
        <v>3</v>
      </c>
      <c r="C5329" s="17" t="s">
        <v>52</v>
      </c>
      <c r="D5329" s="17">
        <v>1948</v>
      </c>
      <c r="E5329" s="17">
        <v>43</v>
      </c>
      <c r="F5329" s="17">
        <v>1305</v>
      </c>
      <c r="G5329" s="13">
        <v>2</v>
      </c>
      <c r="H5329" s="17">
        <v>8</v>
      </c>
      <c r="I5329" s="17">
        <v>1</v>
      </c>
      <c r="J5329" s="17">
        <v>90</v>
      </c>
      <c r="K5329" s="10">
        <v>3390</v>
      </c>
      <c r="P5329" s="17">
        <v>1</v>
      </c>
      <c r="Q5329" s="19">
        <v>3390</v>
      </c>
      <c r="R5329" s="14">
        <v>160</v>
      </c>
      <c r="S5329" s="19">
        <v>542400</v>
      </c>
      <c r="AJ5329" s="19">
        <v>0</v>
      </c>
      <c r="AK5329" s="23">
        <v>0</v>
      </c>
      <c r="AM5329" s="19">
        <v>0</v>
      </c>
      <c r="AN5329" s="19">
        <v>542400</v>
      </c>
      <c r="AP5329" s="14">
        <v>542400</v>
      </c>
    </row>
    <row r="5330" spans="1:45" x14ac:dyDescent="0.2">
      <c r="A5330" s="122">
        <f t="shared" si="587"/>
        <v>4466</v>
      </c>
      <c r="B5330" s="13">
        <v>4</v>
      </c>
      <c r="C5330" s="17" t="s">
        <v>52</v>
      </c>
      <c r="D5330" s="17">
        <v>3179</v>
      </c>
      <c r="E5330" s="17">
        <v>41</v>
      </c>
      <c r="F5330" s="17">
        <v>2108</v>
      </c>
      <c r="G5330" s="13">
        <v>2</v>
      </c>
      <c r="H5330" s="17">
        <v>8</v>
      </c>
      <c r="I5330" s="17">
        <v>0</v>
      </c>
      <c r="J5330" s="17">
        <v>45</v>
      </c>
      <c r="K5330" s="10">
        <v>3245</v>
      </c>
      <c r="P5330" s="17">
        <v>1</v>
      </c>
      <c r="Q5330" s="19">
        <v>3245</v>
      </c>
      <c r="R5330" s="14">
        <v>200</v>
      </c>
      <c r="S5330" s="19">
        <v>649000</v>
      </c>
      <c r="AJ5330" s="19">
        <v>0</v>
      </c>
      <c r="AK5330" s="23">
        <v>0</v>
      </c>
      <c r="AM5330" s="19">
        <v>0</v>
      </c>
      <c r="AN5330" s="19">
        <v>649000</v>
      </c>
      <c r="AP5330" s="14">
        <v>649000</v>
      </c>
    </row>
    <row r="5331" spans="1:45" ht="63" x14ac:dyDescent="0.2">
      <c r="A5331" s="122">
        <f t="shared" si="587"/>
        <v>4467</v>
      </c>
      <c r="B5331" s="13">
        <v>5</v>
      </c>
      <c r="C5331" s="17" t="s">
        <v>52</v>
      </c>
      <c r="D5331" s="17">
        <v>18631</v>
      </c>
      <c r="E5331" s="17">
        <v>292</v>
      </c>
      <c r="F5331" s="17">
        <v>3645</v>
      </c>
      <c r="G5331" s="13">
        <v>2</v>
      </c>
      <c r="H5331" s="17">
        <v>0</v>
      </c>
      <c r="I5331" s="17">
        <v>1</v>
      </c>
      <c r="J5331" s="17">
        <v>0</v>
      </c>
      <c r="L5331" s="17">
        <v>100</v>
      </c>
      <c r="P5331" s="17">
        <v>2</v>
      </c>
      <c r="Q5331" s="19">
        <v>100</v>
      </c>
      <c r="R5331" s="14">
        <v>4500</v>
      </c>
      <c r="S5331" s="19">
        <v>450000</v>
      </c>
      <c r="T5331" s="17">
        <v>1</v>
      </c>
      <c r="U5331" s="17" t="s">
        <v>57</v>
      </c>
      <c r="V5331" s="17" t="s">
        <v>56</v>
      </c>
      <c r="W5331" s="4">
        <v>120</v>
      </c>
      <c r="Y5331" s="4" t="s">
        <v>483</v>
      </c>
      <c r="AB5331" s="17">
        <v>18</v>
      </c>
      <c r="AE5331" s="17">
        <v>0.41666666666666669</v>
      </c>
      <c r="AF5331" s="14">
        <v>2</v>
      </c>
      <c r="AG5331" s="54">
        <v>120</v>
      </c>
      <c r="AH5331" s="11">
        <v>0.57999999999999996</v>
      </c>
      <c r="AI5331" s="14">
        <v>8100</v>
      </c>
      <c r="AJ5331" s="19">
        <v>563760</v>
      </c>
      <c r="AK5331" s="23">
        <v>19</v>
      </c>
      <c r="AL5331" s="11">
        <v>0.28000000000000003</v>
      </c>
      <c r="AM5331" s="19">
        <v>405907.19999999995</v>
      </c>
      <c r="AN5331" s="19">
        <v>855907.2</v>
      </c>
      <c r="AP5331" s="14">
        <v>855907.2</v>
      </c>
      <c r="AQ5331" s="12">
        <v>2.0000000000000001E-4</v>
      </c>
    </row>
    <row r="5332" spans="1:45" x14ac:dyDescent="0.2">
      <c r="Z5332" s="17" t="s">
        <v>280</v>
      </c>
      <c r="AF5332" s="14">
        <v>3</v>
      </c>
      <c r="AG5332" s="54">
        <v>120</v>
      </c>
      <c r="AH5332" s="11">
        <v>0.42</v>
      </c>
      <c r="AI5332" s="14">
        <v>8100</v>
      </c>
      <c r="AJ5332" s="19">
        <v>408240</v>
      </c>
      <c r="AK5332" s="23">
        <v>19</v>
      </c>
      <c r="AL5332" s="11">
        <v>0.28000000000000003</v>
      </c>
      <c r="AM5332" s="19">
        <v>293932.79999999999</v>
      </c>
      <c r="AN5332" s="19">
        <v>293932.79999999999</v>
      </c>
      <c r="AP5332" s="14">
        <v>293932.79999999999</v>
      </c>
      <c r="AQ5332" s="12">
        <v>3.0000000000000001E-3</v>
      </c>
    </row>
    <row r="5333" spans="1:45" x14ac:dyDescent="0.2">
      <c r="A5333" s="2">
        <v>4468</v>
      </c>
      <c r="B5333" s="13">
        <v>6</v>
      </c>
      <c r="C5333" s="17" t="s">
        <v>52</v>
      </c>
      <c r="D5333" s="17">
        <v>1851</v>
      </c>
      <c r="E5333" s="17">
        <v>122</v>
      </c>
      <c r="F5333" s="17">
        <v>1242</v>
      </c>
      <c r="H5333" s="17">
        <v>6</v>
      </c>
      <c r="I5333" s="17">
        <v>0</v>
      </c>
      <c r="J5333" s="17">
        <v>31</v>
      </c>
      <c r="K5333" s="10">
        <v>2431</v>
      </c>
      <c r="P5333" s="17">
        <v>1</v>
      </c>
      <c r="Q5333" s="19">
        <v>2431</v>
      </c>
      <c r="R5333" s="14">
        <v>160</v>
      </c>
      <c r="S5333" s="19">
        <v>388960</v>
      </c>
      <c r="AJ5333" s="19">
        <v>0</v>
      </c>
      <c r="AK5333" s="23">
        <v>0</v>
      </c>
      <c r="AM5333" s="19">
        <v>0</v>
      </c>
      <c r="AN5333" s="19">
        <v>388960</v>
      </c>
      <c r="AP5333" s="14">
        <v>388960</v>
      </c>
    </row>
    <row r="5334" spans="1:45" x14ac:dyDescent="0.2">
      <c r="A5334" s="2">
        <f>+A5333+1</f>
        <v>4469</v>
      </c>
      <c r="B5334" s="13">
        <v>7</v>
      </c>
      <c r="C5334" s="17" t="s">
        <v>52</v>
      </c>
      <c r="D5334" s="17">
        <v>1852</v>
      </c>
      <c r="E5334" s="17">
        <v>119</v>
      </c>
      <c r="F5334" s="17">
        <v>1241</v>
      </c>
      <c r="H5334" s="17">
        <v>3</v>
      </c>
      <c r="I5334" s="17">
        <v>0</v>
      </c>
      <c r="J5334" s="17">
        <v>1</v>
      </c>
      <c r="K5334" s="10">
        <v>1201</v>
      </c>
      <c r="P5334" s="17">
        <v>1</v>
      </c>
      <c r="Q5334" s="19">
        <v>1201</v>
      </c>
      <c r="R5334" s="14">
        <v>160</v>
      </c>
      <c r="S5334" s="19">
        <v>192160</v>
      </c>
      <c r="AJ5334" s="19">
        <v>0</v>
      </c>
      <c r="AK5334" s="23">
        <v>0</v>
      </c>
      <c r="AM5334" s="19">
        <v>0</v>
      </c>
      <c r="AN5334" s="19">
        <v>192160</v>
      </c>
      <c r="AP5334" s="14">
        <v>192160</v>
      </c>
    </row>
    <row r="5335" spans="1:45" ht="63" x14ac:dyDescent="0.2">
      <c r="A5335" s="122">
        <f t="shared" ref="A5335:A5338" si="588">+A5334+1</f>
        <v>4470</v>
      </c>
      <c r="B5335" s="13">
        <v>8</v>
      </c>
      <c r="C5335" s="17" t="s">
        <v>52</v>
      </c>
      <c r="D5335" s="17">
        <v>2014</v>
      </c>
      <c r="E5335" s="17">
        <v>61</v>
      </c>
      <c r="F5335" s="17">
        <v>1067</v>
      </c>
      <c r="G5335" s="13">
        <v>3</v>
      </c>
      <c r="H5335" s="17">
        <v>9</v>
      </c>
      <c r="I5335" s="17">
        <v>2</v>
      </c>
      <c r="J5335" s="17">
        <v>67</v>
      </c>
      <c r="K5335" s="10">
        <v>3838.5</v>
      </c>
      <c r="L5335" s="17">
        <v>28.5</v>
      </c>
      <c r="P5335" s="17">
        <v>1</v>
      </c>
      <c r="Q5335" s="19">
        <v>3867</v>
      </c>
      <c r="R5335" s="14">
        <v>500</v>
      </c>
      <c r="S5335" s="19">
        <v>1933500</v>
      </c>
      <c r="T5335" s="17">
        <v>1</v>
      </c>
      <c r="U5335" s="17" t="s">
        <v>57</v>
      </c>
      <c r="V5335" s="17" t="s">
        <v>88</v>
      </c>
      <c r="W5335" s="4">
        <v>114</v>
      </c>
      <c r="Y5335" s="4">
        <v>114</v>
      </c>
      <c r="AB5335" s="17">
        <v>12</v>
      </c>
      <c r="AJ5335" s="19">
        <v>0</v>
      </c>
      <c r="AK5335" s="23">
        <v>12</v>
      </c>
      <c r="AM5335" s="19">
        <v>0</v>
      </c>
      <c r="AN5335" s="19">
        <v>1933500</v>
      </c>
      <c r="AP5335" s="14">
        <v>1933500</v>
      </c>
    </row>
    <row r="5336" spans="1:45" x14ac:dyDescent="0.2">
      <c r="A5336" s="122">
        <f t="shared" si="588"/>
        <v>4471</v>
      </c>
      <c r="B5336" s="13">
        <v>9</v>
      </c>
      <c r="C5336" s="17" t="s">
        <v>52</v>
      </c>
      <c r="D5336" s="17">
        <v>3650</v>
      </c>
      <c r="E5336" s="17">
        <v>16</v>
      </c>
      <c r="F5336" s="17">
        <v>2383</v>
      </c>
      <c r="H5336" s="17">
        <v>5</v>
      </c>
      <c r="I5336" s="17">
        <v>3</v>
      </c>
      <c r="J5336" s="17">
        <v>46</v>
      </c>
      <c r="K5336" s="10">
        <v>2346</v>
      </c>
      <c r="P5336" s="17">
        <v>1</v>
      </c>
      <c r="Q5336" s="19">
        <v>2346</v>
      </c>
      <c r="R5336" s="14">
        <v>160</v>
      </c>
      <c r="S5336" s="19">
        <v>375360</v>
      </c>
      <c r="AJ5336" s="19">
        <v>0</v>
      </c>
      <c r="AK5336" s="23">
        <v>0</v>
      </c>
      <c r="AM5336" s="19">
        <v>0</v>
      </c>
      <c r="AN5336" s="19">
        <v>375360</v>
      </c>
      <c r="AP5336" s="14">
        <v>375360</v>
      </c>
    </row>
    <row r="5337" spans="1:45" x14ac:dyDescent="0.2">
      <c r="A5337" s="122">
        <f t="shared" si="588"/>
        <v>4472</v>
      </c>
      <c r="B5337" s="13">
        <v>1</v>
      </c>
      <c r="C5337" s="17" t="s">
        <v>52</v>
      </c>
      <c r="D5337" s="17">
        <v>1893</v>
      </c>
      <c r="E5337" s="17">
        <v>31</v>
      </c>
      <c r="F5337" s="17">
        <v>1283</v>
      </c>
      <c r="G5337" s="13">
        <v>2</v>
      </c>
      <c r="H5337" s="17">
        <v>3</v>
      </c>
      <c r="I5337" s="17">
        <v>3</v>
      </c>
      <c r="J5337" s="17">
        <v>95</v>
      </c>
      <c r="K5337" s="10">
        <v>1595</v>
      </c>
      <c r="P5337" s="17">
        <v>1</v>
      </c>
      <c r="Q5337" s="19">
        <v>1595</v>
      </c>
      <c r="R5337" s="14">
        <v>160</v>
      </c>
      <c r="S5337" s="19">
        <v>255200</v>
      </c>
      <c r="AJ5337" s="19">
        <v>0</v>
      </c>
      <c r="AK5337" s="23">
        <v>0</v>
      </c>
      <c r="AM5337" s="19">
        <v>0</v>
      </c>
      <c r="AN5337" s="19">
        <v>255200</v>
      </c>
      <c r="AP5337" s="14">
        <v>255200</v>
      </c>
    </row>
    <row r="5338" spans="1:45" ht="63" x14ac:dyDescent="0.2">
      <c r="A5338" s="122">
        <f t="shared" si="588"/>
        <v>4473</v>
      </c>
      <c r="B5338" s="13">
        <v>1</v>
      </c>
      <c r="C5338" s="17" t="s">
        <v>65</v>
      </c>
      <c r="D5338" s="17">
        <v>1137</v>
      </c>
      <c r="E5338" s="17">
        <v>160</v>
      </c>
      <c r="H5338" s="17">
        <v>6</v>
      </c>
      <c r="I5338" s="17">
        <v>3</v>
      </c>
      <c r="J5338" s="17">
        <v>76</v>
      </c>
      <c r="K5338" s="10">
        <v>2776</v>
      </c>
      <c r="Q5338" s="19">
        <v>2776</v>
      </c>
      <c r="R5338" s="14">
        <v>160</v>
      </c>
      <c r="S5338" s="19">
        <v>444160</v>
      </c>
      <c r="AE5338" s="17" t="s">
        <v>94</v>
      </c>
      <c r="AJ5338" s="19">
        <v>0</v>
      </c>
      <c r="AK5338" s="23">
        <v>0</v>
      </c>
      <c r="AM5338" s="19">
        <v>0</v>
      </c>
      <c r="AN5338" s="19">
        <v>444160</v>
      </c>
      <c r="AP5338" s="14">
        <v>444160</v>
      </c>
      <c r="AQ5338" s="12">
        <v>1E-4</v>
      </c>
      <c r="AR5338" s="19">
        <v>270</v>
      </c>
    </row>
    <row r="5339" spans="1:45" x14ac:dyDescent="0.2">
      <c r="B5339" s="13">
        <v>2</v>
      </c>
      <c r="C5339" s="17" t="s">
        <v>97</v>
      </c>
      <c r="D5339" s="17">
        <v>284</v>
      </c>
      <c r="G5339" s="13">
        <v>2</v>
      </c>
      <c r="H5339" s="17">
        <v>3</v>
      </c>
      <c r="I5339" s="17">
        <v>0</v>
      </c>
      <c r="J5339" s="17">
        <v>0</v>
      </c>
      <c r="K5339" s="10">
        <v>1200</v>
      </c>
      <c r="Q5339" s="19">
        <v>1200</v>
      </c>
      <c r="R5339" s="14" t="e">
        <v>#N/A</v>
      </c>
      <c r="S5339" s="19" t="e">
        <v>#N/A</v>
      </c>
      <c r="AJ5339" s="19">
        <v>0</v>
      </c>
      <c r="AK5339" s="23">
        <v>0</v>
      </c>
      <c r="AM5339" s="19">
        <v>0</v>
      </c>
      <c r="AN5339" s="19" t="e">
        <v>#N/A</v>
      </c>
      <c r="AP5339" s="14" t="e">
        <v>#N/A</v>
      </c>
      <c r="AQ5339" s="12">
        <v>1E-4</v>
      </c>
    </row>
    <row r="5340" spans="1:45" x14ac:dyDescent="0.2">
      <c r="A5340" s="2">
        <v>4474</v>
      </c>
      <c r="B5340" s="13">
        <v>1</v>
      </c>
      <c r="C5340" s="17" t="s">
        <v>52</v>
      </c>
      <c r="D5340" s="17">
        <v>2958</v>
      </c>
      <c r="E5340" s="17">
        <v>20</v>
      </c>
      <c r="F5340" s="17">
        <v>2022</v>
      </c>
      <c r="G5340" s="13">
        <v>2</v>
      </c>
      <c r="H5340" s="17">
        <v>0</v>
      </c>
      <c r="I5340" s="17">
        <v>0</v>
      </c>
      <c r="J5340" s="17">
        <v>58</v>
      </c>
      <c r="K5340" s="10">
        <v>58</v>
      </c>
      <c r="P5340" s="17">
        <v>1</v>
      </c>
      <c r="Q5340" s="19">
        <v>58</v>
      </c>
      <c r="R5340" s="14">
        <v>250</v>
      </c>
      <c r="S5340" s="19">
        <v>14500</v>
      </c>
      <c r="AJ5340" s="19">
        <v>0</v>
      </c>
      <c r="AK5340" s="23">
        <v>0</v>
      </c>
      <c r="AM5340" s="19">
        <v>0</v>
      </c>
      <c r="AN5340" s="19">
        <v>14500</v>
      </c>
      <c r="AP5340" s="14">
        <v>14500</v>
      </c>
    </row>
    <row r="5341" spans="1:45" x14ac:dyDescent="0.2">
      <c r="A5341" s="2">
        <f>+A5340+1</f>
        <v>4475</v>
      </c>
      <c r="B5341" s="13">
        <v>1</v>
      </c>
      <c r="C5341" s="17" t="s">
        <v>52</v>
      </c>
      <c r="D5341" s="17">
        <v>1924</v>
      </c>
      <c r="E5341" s="17">
        <v>29</v>
      </c>
      <c r="F5341" s="17">
        <v>1289</v>
      </c>
      <c r="G5341" s="13">
        <v>2</v>
      </c>
      <c r="H5341" s="17">
        <v>1</v>
      </c>
      <c r="I5341" s="17">
        <v>0</v>
      </c>
      <c r="J5341" s="17">
        <v>12</v>
      </c>
      <c r="K5341" s="10">
        <v>412</v>
      </c>
      <c r="P5341" s="17">
        <v>1</v>
      </c>
      <c r="Q5341" s="19">
        <v>412</v>
      </c>
      <c r="R5341" s="14">
        <v>160</v>
      </c>
      <c r="S5341" s="19">
        <v>65920</v>
      </c>
      <c r="AJ5341" s="19">
        <v>0</v>
      </c>
      <c r="AK5341" s="23">
        <v>0</v>
      </c>
      <c r="AM5341" s="19">
        <v>0</v>
      </c>
      <c r="AN5341" s="19">
        <v>65920</v>
      </c>
      <c r="AP5341" s="14">
        <v>65920</v>
      </c>
      <c r="AS5341" s="26">
        <v>53</v>
      </c>
    </row>
    <row r="5342" spans="1:45" x14ac:dyDescent="0.2">
      <c r="A5342" s="122">
        <f t="shared" ref="A5342:A5343" si="589">+A5341+1</f>
        <v>4476</v>
      </c>
      <c r="B5342" s="13">
        <v>2</v>
      </c>
      <c r="C5342" s="17" t="s">
        <v>52</v>
      </c>
      <c r="D5342" s="17">
        <v>1652</v>
      </c>
      <c r="E5342" s="17">
        <v>35</v>
      </c>
      <c r="F5342" s="17">
        <v>1458</v>
      </c>
      <c r="G5342" s="13">
        <v>3</v>
      </c>
      <c r="H5342" s="17">
        <v>12</v>
      </c>
      <c r="I5342" s="17">
        <v>2</v>
      </c>
      <c r="J5342" s="17">
        <v>31</v>
      </c>
      <c r="K5342" s="10">
        <v>5031</v>
      </c>
      <c r="P5342" s="17">
        <v>1</v>
      </c>
      <c r="Q5342" s="19">
        <v>5031</v>
      </c>
      <c r="R5342" s="14">
        <v>200</v>
      </c>
      <c r="S5342" s="19">
        <v>1006200</v>
      </c>
      <c r="AJ5342" s="19">
        <v>0</v>
      </c>
      <c r="AK5342" s="23">
        <v>0</v>
      </c>
      <c r="AM5342" s="19">
        <v>0</v>
      </c>
      <c r="AN5342" s="19">
        <v>1006200</v>
      </c>
      <c r="AP5342" s="14">
        <v>1006200</v>
      </c>
    </row>
    <row r="5343" spans="1:45" ht="231" x14ac:dyDescent="0.2">
      <c r="A5343" s="122">
        <f t="shared" si="589"/>
        <v>4477</v>
      </c>
      <c r="B5343" s="13">
        <v>3</v>
      </c>
      <c r="C5343" s="17" t="s">
        <v>52</v>
      </c>
      <c r="D5343" s="17">
        <v>2350</v>
      </c>
      <c r="E5343" s="17">
        <v>60</v>
      </c>
      <c r="F5343" s="17">
        <v>1066</v>
      </c>
      <c r="H5343" s="17">
        <v>0</v>
      </c>
      <c r="I5343" s="17">
        <v>0</v>
      </c>
      <c r="J5343" s="17">
        <v>40</v>
      </c>
      <c r="L5343" s="17">
        <v>40</v>
      </c>
      <c r="P5343" s="17">
        <v>2</v>
      </c>
      <c r="Q5343" s="19">
        <v>40</v>
      </c>
      <c r="R5343" s="14">
        <v>1300</v>
      </c>
      <c r="S5343" s="19">
        <v>52000</v>
      </c>
      <c r="T5343" s="17">
        <v>1</v>
      </c>
      <c r="U5343" s="17" t="s">
        <v>63</v>
      </c>
      <c r="V5343" s="17" t="s">
        <v>56</v>
      </c>
      <c r="W5343" s="4">
        <v>160</v>
      </c>
      <c r="Y5343" s="4" t="s">
        <v>484</v>
      </c>
      <c r="AB5343" s="17" t="s">
        <v>485</v>
      </c>
      <c r="AC5343" s="14" t="s">
        <v>486</v>
      </c>
      <c r="AF5343" s="14">
        <v>2</v>
      </c>
      <c r="AG5343" s="54">
        <v>160</v>
      </c>
      <c r="AH5343" s="11">
        <v>0.91</v>
      </c>
      <c r="AI5343" s="14">
        <v>8100</v>
      </c>
      <c r="AJ5343" s="19">
        <v>1179360</v>
      </c>
      <c r="AK5343" s="23">
        <v>21</v>
      </c>
      <c r="AL5343" s="11">
        <v>0.32</v>
      </c>
      <c r="AM5343" s="19">
        <v>801964.8</v>
      </c>
      <c r="AN5343" s="19">
        <v>853964.80000000005</v>
      </c>
      <c r="AP5343" s="14">
        <v>853964.80000000005</v>
      </c>
    </row>
    <row r="5344" spans="1:45" x14ac:dyDescent="0.2">
      <c r="R5344" s="14" t="e">
        <v>#N/A</v>
      </c>
      <c r="T5344" s="17" t="s">
        <v>288</v>
      </c>
      <c r="Z5344" s="17" t="s">
        <v>272</v>
      </c>
      <c r="AB5344" s="17" t="s">
        <v>485</v>
      </c>
      <c r="AF5344" s="14">
        <v>3</v>
      </c>
      <c r="AG5344" s="54">
        <v>160</v>
      </c>
      <c r="AH5344" s="11">
        <v>0.09</v>
      </c>
      <c r="AI5344" s="14">
        <v>8100</v>
      </c>
      <c r="AJ5344" s="19">
        <v>116639.99999999999</v>
      </c>
      <c r="AK5344" s="23">
        <v>21</v>
      </c>
      <c r="AL5344" s="11">
        <v>0.32</v>
      </c>
      <c r="AM5344" s="19">
        <v>79315.199999999983</v>
      </c>
      <c r="AN5344" s="19">
        <v>83995.199999999983</v>
      </c>
      <c r="AP5344" s="14">
        <v>83995.199999999983</v>
      </c>
      <c r="AQ5344" s="12">
        <v>3.0000000000000001E-3</v>
      </c>
    </row>
    <row r="5345" spans="1:45" x14ac:dyDescent="0.2">
      <c r="A5345" s="2">
        <v>4478</v>
      </c>
      <c r="B5345" s="13">
        <v>4</v>
      </c>
      <c r="C5345" s="17" t="s">
        <v>52</v>
      </c>
      <c r="D5345" s="17">
        <v>15188</v>
      </c>
      <c r="E5345" s="17">
        <v>159</v>
      </c>
      <c r="F5345" s="17">
        <v>3503</v>
      </c>
      <c r="H5345" s="17">
        <v>7</v>
      </c>
      <c r="I5345" s="17">
        <v>3</v>
      </c>
      <c r="J5345" s="17">
        <v>60</v>
      </c>
      <c r="K5345" s="10">
        <v>3160</v>
      </c>
      <c r="P5345" s="17">
        <v>1</v>
      </c>
      <c r="Q5345" s="19">
        <v>3160</v>
      </c>
      <c r="R5345" s="14">
        <v>2000</v>
      </c>
      <c r="S5345" s="19">
        <v>6320000</v>
      </c>
      <c r="AJ5345" s="19">
        <v>0</v>
      </c>
      <c r="AK5345" s="23">
        <v>0</v>
      </c>
      <c r="AM5345" s="19">
        <v>0</v>
      </c>
      <c r="AN5345" s="19">
        <v>6320000</v>
      </c>
      <c r="AP5345" s="14">
        <v>6320000</v>
      </c>
    </row>
    <row r="5346" spans="1:45" x14ac:dyDescent="0.2">
      <c r="A5346" s="2">
        <f>+A5345+1</f>
        <v>4479</v>
      </c>
      <c r="B5346" s="13">
        <v>1</v>
      </c>
      <c r="C5346" s="17" t="s">
        <v>52</v>
      </c>
      <c r="D5346" s="17">
        <v>15190</v>
      </c>
      <c r="E5346" s="17">
        <v>157</v>
      </c>
      <c r="F5346" s="17">
        <v>3505</v>
      </c>
      <c r="H5346" s="17">
        <v>10</v>
      </c>
      <c r="I5346" s="17">
        <v>0</v>
      </c>
      <c r="J5346" s="17">
        <v>4</v>
      </c>
      <c r="K5346" s="10">
        <v>4004</v>
      </c>
      <c r="P5346" s="17">
        <v>1</v>
      </c>
      <c r="Q5346" s="19">
        <v>4004</v>
      </c>
      <c r="R5346" s="14">
        <v>200</v>
      </c>
      <c r="S5346" s="19">
        <v>800800</v>
      </c>
      <c r="AJ5346" s="19">
        <v>0</v>
      </c>
      <c r="AK5346" s="23">
        <v>0</v>
      </c>
      <c r="AM5346" s="19">
        <v>0</v>
      </c>
      <c r="AN5346" s="19">
        <v>800800</v>
      </c>
      <c r="AP5346" s="14">
        <v>800800</v>
      </c>
      <c r="AS5346" s="26">
        <v>55</v>
      </c>
    </row>
    <row r="5347" spans="1:45" ht="42" x14ac:dyDescent="0.2">
      <c r="A5347" s="122">
        <f t="shared" ref="A5347:A5349" si="590">+A5346+1</f>
        <v>4480</v>
      </c>
      <c r="B5347" s="13">
        <v>2</v>
      </c>
      <c r="C5347" s="17" t="s">
        <v>52</v>
      </c>
      <c r="D5347" s="17">
        <v>27903</v>
      </c>
      <c r="E5347" s="17">
        <v>208</v>
      </c>
      <c r="F5347" s="17">
        <v>5084</v>
      </c>
      <c r="H5347" s="17">
        <v>0</v>
      </c>
      <c r="I5347" s="17">
        <v>1</v>
      </c>
      <c r="J5347" s="17">
        <v>18</v>
      </c>
      <c r="L5347" s="17">
        <v>118</v>
      </c>
      <c r="P5347" s="17">
        <v>2</v>
      </c>
      <c r="Q5347" s="19">
        <v>118</v>
      </c>
      <c r="R5347" s="14">
        <v>250</v>
      </c>
      <c r="S5347" s="19">
        <v>29500</v>
      </c>
      <c r="T5347" s="17">
        <v>1</v>
      </c>
      <c r="V5347" s="17" t="s">
        <v>183</v>
      </c>
      <c r="W5347" s="4">
        <v>131.25</v>
      </c>
      <c r="Y5347" s="4">
        <v>131.25</v>
      </c>
      <c r="AB5347" s="17">
        <v>6</v>
      </c>
      <c r="AJ5347" s="19">
        <v>0</v>
      </c>
      <c r="AK5347" s="23">
        <v>6</v>
      </c>
      <c r="AM5347" s="19">
        <v>0</v>
      </c>
      <c r="AN5347" s="19">
        <v>29500</v>
      </c>
      <c r="AP5347" s="14">
        <v>29500</v>
      </c>
    </row>
    <row r="5348" spans="1:45" x14ac:dyDescent="0.2">
      <c r="A5348" s="122">
        <f t="shared" si="590"/>
        <v>4481</v>
      </c>
      <c r="B5348" s="13">
        <v>3</v>
      </c>
      <c r="C5348" s="17" t="s">
        <v>52</v>
      </c>
      <c r="D5348" s="17">
        <v>27904</v>
      </c>
      <c r="E5348" s="17">
        <v>209</v>
      </c>
      <c r="F5348" s="17">
        <v>5085</v>
      </c>
      <c r="H5348" s="17">
        <v>0</v>
      </c>
      <c r="I5348" s="17">
        <v>1</v>
      </c>
      <c r="J5348" s="17">
        <v>1</v>
      </c>
      <c r="N5348" s="18">
        <v>101</v>
      </c>
      <c r="P5348" s="17">
        <v>4</v>
      </c>
      <c r="Q5348" s="19">
        <v>101</v>
      </c>
      <c r="R5348" s="14">
        <v>250</v>
      </c>
      <c r="S5348" s="19">
        <v>25250</v>
      </c>
      <c r="AJ5348" s="19">
        <v>0</v>
      </c>
      <c r="AK5348" s="23">
        <v>0</v>
      </c>
      <c r="AM5348" s="19">
        <v>0</v>
      </c>
      <c r="AN5348" s="19">
        <v>25250</v>
      </c>
      <c r="AP5348" s="14">
        <v>25250</v>
      </c>
      <c r="AQ5348" s="12">
        <v>3.0000000000000001E-3</v>
      </c>
    </row>
    <row r="5349" spans="1:45" x14ac:dyDescent="0.2">
      <c r="A5349" s="122">
        <f t="shared" si="590"/>
        <v>4482</v>
      </c>
      <c r="B5349" s="13">
        <v>4</v>
      </c>
      <c r="C5349" s="17" t="s">
        <v>52</v>
      </c>
      <c r="D5349" s="17">
        <v>27905</v>
      </c>
      <c r="E5349" s="17">
        <v>210</v>
      </c>
      <c r="F5349" s="17">
        <v>5086</v>
      </c>
      <c r="H5349" s="17">
        <v>0</v>
      </c>
      <c r="I5349" s="17">
        <v>1</v>
      </c>
      <c r="J5349" s="17">
        <v>54</v>
      </c>
      <c r="N5349" s="18">
        <v>154</v>
      </c>
      <c r="P5349" s="17">
        <v>4</v>
      </c>
      <c r="Q5349" s="19">
        <v>154</v>
      </c>
      <c r="R5349" s="14">
        <v>250</v>
      </c>
      <c r="S5349" s="19">
        <v>38500</v>
      </c>
      <c r="AJ5349" s="19">
        <v>0</v>
      </c>
      <c r="AK5349" s="23">
        <v>0</v>
      </c>
      <c r="AM5349" s="19">
        <v>0</v>
      </c>
      <c r="AN5349" s="19">
        <v>38500</v>
      </c>
      <c r="AP5349" s="14">
        <v>38500</v>
      </c>
      <c r="AQ5349" s="12">
        <v>3.0000000000000001E-3</v>
      </c>
    </row>
    <row r="5350" spans="1:45" x14ac:dyDescent="0.2">
      <c r="B5350" s="13">
        <v>5</v>
      </c>
      <c r="C5350" s="17" t="s">
        <v>65</v>
      </c>
      <c r="D5350" s="17">
        <v>150</v>
      </c>
      <c r="E5350" s="17">
        <v>51</v>
      </c>
      <c r="H5350" s="17">
        <v>1</v>
      </c>
      <c r="I5350" s="17">
        <v>1</v>
      </c>
      <c r="J5350" s="17">
        <v>0.06</v>
      </c>
      <c r="K5350" s="10">
        <v>500.06</v>
      </c>
      <c r="Q5350" s="19">
        <v>500.06</v>
      </c>
      <c r="R5350" s="14" t="e">
        <v>#N/A</v>
      </c>
      <c r="S5350" s="19" t="e">
        <v>#N/A</v>
      </c>
      <c r="AJ5350" s="19">
        <v>0</v>
      </c>
      <c r="AK5350" s="23">
        <v>0</v>
      </c>
      <c r="AM5350" s="19">
        <v>0</v>
      </c>
      <c r="AN5350" s="19" t="e">
        <v>#N/A</v>
      </c>
      <c r="AP5350" s="14" t="e">
        <v>#N/A</v>
      </c>
    </row>
    <row r="5351" spans="1:45" x14ac:dyDescent="0.2">
      <c r="B5351" s="13">
        <v>6</v>
      </c>
      <c r="C5351" s="17" t="s">
        <v>65</v>
      </c>
      <c r="D5351" s="17">
        <v>605</v>
      </c>
      <c r="E5351" s="17">
        <v>50</v>
      </c>
      <c r="H5351" s="17">
        <v>5</v>
      </c>
      <c r="I5351" s="17">
        <v>1</v>
      </c>
      <c r="J5351" s="17">
        <v>26</v>
      </c>
      <c r="K5351" s="10">
        <v>2126</v>
      </c>
      <c r="Q5351" s="19">
        <v>2126</v>
      </c>
      <c r="R5351" s="14" t="e">
        <v>#N/A</v>
      </c>
      <c r="S5351" s="19" t="e">
        <v>#N/A</v>
      </c>
      <c r="AE5351" s="17" t="s">
        <v>94</v>
      </c>
      <c r="AJ5351" s="19">
        <v>0</v>
      </c>
      <c r="AK5351" s="23">
        <v>0</v>
      </c>
      <c r="AM5351" s="19">
        <v>0</v>
      </c>
      <c r="AN5351" s="19" t="e">
        <v>#N/A</v>
      </c>
      <c r="AP5351" s="14" t="e">
        <v>#N/A</v>
      </c>
      <c r="AQ5351" s="12">
        <v>1E-4</v>
      </c>
    </row>
    <row r="5352" spans="1:45" x14ac:dyDescent="0.2">
      <c r="A5352" s="2">
        <v>4483</v>
      </c>
      <c r="B5352" s="13">
        <v>7</v>
      </c>
      <c r="C5352" s="17" t="s">
        <v>65</v>
      </c>
      <c r="D5352" s="17">
        <v>921</v>
      </c>
      <c r="E5352" s="17">
        <v>156</v>
      </c>
      <c r="H5352" s="17">
        <v>12</v>
      </c>
      <c r="I5352" s="17">
        <v>0</v>
      </c>
      <c r="J5352" s="17">
        <v>13</v>
      </c>
      <c r="K5352" s="10">
        <v>4813</v>
      </c>
      <c r="Q5352" s="19">
        <v>4813</v>
      </c>
      <c r="R5352" s="14">
        <v>160</v>
      </c>
      <c r="S5352" s="19">
        <v>770080</v>
      </c>
      <c r="AE5352" s="17" t="s">
        <v>94</v>
      </c>
      <c r="AJ5352" s="19">
        <v>0</v>
      </c>
      <c r="AK5352" s="23">
        <v>0</v>
      </c>
      <c r="AM5352" s="19">
        <v>0</v>
      </c>
      <c r="AN5352" s="19">
        <v>770080</v>
      </c>
      <c r="AP5352" s="14">
        <v>770080</v>
      </c>
      <c r="AQ5352" s="12">
        <v>1E-4</v>
      </c>
    </row>
    <row r="5353" spans="1:45" x14ac:dyDescent="0.2">
      <c r="A5353" s="2">
        <f>+A5352+1</f>
        <v>4484</v>
      </c>
      <c r="B5353" s="13">
        <v>1</v>
      </c>
      <c r="C5353" s="17" t="s">
        <v>52</v>
      </c>
      <c r="D5353" s="17">
        <v>27902</v>
      </c>
      <c r="E5353" s="17">
        <v>211</v>
      </c>
      <c r="F5353" s="17">
        <v>5083</v>
      </c>
      <c r="H5353" s="17">
        <v>4</v>
      </c>
      <c r="I5353" s="17">
        <v>3</v>
      </c>
      <c r="J5353" s="17">
        <v>56</v>
      </c>
      <c r="K5353" s="10">
        <v>1956</v>
      </c>
      <c r="P5353" s="17">
        <v>1</v>
      </c>
      <c r="Q5353" s="19">
        <v>1956</v>
      </c>
      <c r="R5353" s="14">
        <v>160</v>
      </c>
      <c r="S5353" s="19">
        <v>312960</v>
      </c>
      <c r="AJ5353" s="19">
        <v>0</v>
      </c>
      <c r="AK5353" s="23">
        <v>0</v>
      </c>
      <c r="AM5353" s="19">
        <v>0</v>
      </c>
      <c r="AN5353" s="19">
        <v>312960</v>
      </c>
      <c r="AP5353" s="14">
        <v>312960</v>
      </c>
      <c r="AS5353" s="26">
        <v>15</v>
      </c>
    </row>
    <row r="5354" spans="1:45" x14ac:dyDescent="0.2">
      <c r="A5354" s="122">
        <f t="shared" ref="A5354:A5363" si="591">+A5353+1</f>
        <v>4485</v>
      </c>
      <c r="B5354" s="13">
        <v>1</v>
      </c>
      <c r="C5354" s="17" t="s">
        <v>69</v>
      </c>
      <c r="E5354" s="17">
        <v>151</v>
      </c>
      <c r="F5354" s="17">
        <v>18</v>
      </c>
      <c r="G5354" s="13">
        <v>2</v>
      </c>
      <c r="H5354" s="17">
        <v>0</v>
      </c>
      <c r="I5354" s="17">
        <v>2</v>
      </c>
      <c r="J5354" s="17">
        <v>88</v>
      </c>
      <c r="K5354" s="10">
        <v>288</v>
      </c>
      <c r="P5354" s="17">
        <v>1</v>
      </c>
      <c r="Q5354" s="19">
        <v>288</v>
      </c>
      <c r="R5354" s="14">
        <v>250</v>
      </c>
      <c r="S5354" s="19">
        <v>72000</v>
      </c>
      <c r="AJ5354" s="19">
        <v>0</v>
      </c>
      <c r="AK5354" s="23">
        <v>0</v>
      </c>
      <c r="AM5354" s="19">
        <v>0</v>
      </c>
      <c r="AN5354" s="19">
        <v>72000</v>
      </c>
      <c r="AP5354" s="14">
        <v>72000</v>
      </c>
      <c r="AQ5354" s="12">
        <v>1E-4</v>
      </c>
    </row>
    <row r="5355" spans="1:45" x14ac:dyDescent="0.2">
      <c r="A5355" s="122">
        <f t="shared" si="591"/>
        <v>4486</v>
      </c>
      <c r="B5355" s="13">
        <v>2</v>
      </c>
      <c r="C5355" s="17" t="s">
        <v>69</v>
      </c>
      <c r="E5355" s="17">
        <v>151</v>
      </c>
      <c r="F5355" s="17">
        <v>19</v>
      </c>
      <c r="G5355" s="13">
        <v>2</v>
      </c>
      <c r="H5355" s="17">
        <v>0</v>
      </c>
      <c r="I5355" s="17">
        <v>3</v>
      </c>
      <c r="J5355" s="17">
        <v>48</v>
      </c>
      <c r="K5355" s="10">
        <v>348</v>
      </c>
      <c r="P5355" s="17">
        <v>1</v>
      </c>
      <c r="Q5355" s="19">
        <v>348</v>
      </c>
      <c r="R5355" s="14">
        <v>250</v>
      </c>
      <c r="S5355" s="19">
        <v>87000</v>
      </c>
      <c r="AJ5355" s="19">
        <v>0</v>
      </c>
      <c r="AK5355" s="23">
        <v>0</v>
      </c>
      <c r="AM5355" s="19">
        <v>0</v>
      </c>
      <c r="AN5355" s="19">
        <v>87000</v>
      </c>
      <c r="AP5355" s="14">
        <v>87000</v>
      </c>
      <c r="AQ5355" s="12">
        <v>1E-4</v>
      </c>
    </row>
    <row r="5356" spans="1:45" x14ac:dyDescent="0.2">
      <c r="A5356" s="122">
        <f t="shared" si="591"/>
        <v>4487</v>
      </c>
      <c r="B5356" s="13">
        <v>1</v>
      </c>
      <c r="C5356" s="17" t="s">
        <v>52</v>
      </c>
      <c r="D5356" s="17">
        <v>1499</v>
      </c>
      <c r="E5356" s="17">
        <v>62</v>
      </c>
      <c r="F5356" s="17">
        <v>1068</v>
      </c>
      <c r="H5356" s="17">
        <v>7</v>
      </c>
      <c r="I5356" s="17">
        <v>1</v>
      </c>
      <c r="J5356" s="17">
        <v>96</v>
      </c>
      <c r="K5356" s="10">
        <v>2996</v>
      </c>
      <c r="P5356" s="17">
        <v>1</v>
      </c>
      <c r="Q5356" s="19">
        <v>2996</v>
      </c>
      <c r="R5356" s="14">
        <v>200</v>
      </c>
      <c r="S5356" s="19">
        <v>599200</v>
      </c>
      <c r="AJ5356" s="19">
        <v>0</v>
      </c>
      <c r="AK5356" s="23">
        <v>0</v>
      </c>
      <c r="AM5356" s="19">
        <v>0</v>
      </c>
      <c r="AN5356" s="19">
        <v>599200</v>
      </c>
      <c r="AP5356" s="14">
        <v>599200</v>
      </c>
      <c r="AS5356" s="26">
        <v>85</v>
      </c>
    </row>
    <row r="5357" spans="1:45" x14ac:dyDescent="0.2">
      <c r="A5357" s="122">
        <f t="shared" si="591"/>
        <v>4488</v>
      </c>
      <c r="B5357" s="13">
        <v>2</v>
      </c>
      <c r="C5357" s="17" t="s">
        <v>52</v>
      </c>
      <c r="D5357" s="17">
        <v>1713</v>
      </c>
      <c r="E5357" s="17">
        <v>11</v>
      </c>
      <c r="F5357" s="17">
        <v>1391</v>
      </c>
      <c r="H5357" s="17">
        <v>11</v>
      </c>
      <c r="I5357" s="17">
        <v>3</v>
      </c>
      <c r="J5357" s="17">
        <v>9</v>
      </c>
      <c r="K5357" s="10">
        <v>4709</v>
      </c>
      <c r="P5357" s="17">
        <v>1</v>
      </c>
      <c r="Q5357" s="19">
        <v>4709</v>
      </c>
      <c r="R5357" s="14">
        <v>200</v>
      </c>
      <c r="S5357" s="19">
        <v>941800</v>
      </c>
      <c r="AJ5357" s="19">
        <v>0</v>
      </c>
      <c r="AK5357" s="23">
        <v>0</v>
      </c>
      <c r="AM5357" s="19">
        <v>0</v>
      </c>
      <c r="AN5357" s="19">
        <v>941800</v>
      </c>
      <c r="AP5357" s="14">
        <v>941800</v>
      </c>
    </row>
    <row r="5358" spans="1:45" x14ac:dyDescent="0.2">
      <c r="A5358" s="122">
        <f t="shared" si="591"/>
        <v>4489</v>
      </c>
      <c r="B5358" s="13">
        <v>3</v>
      </c>
      <c r="C5358" s="17" t="s">
        <v>52</v>
      </c>
      <c r="D5358" s="17">
        <v>1867</v>
      </c>
      <c r="E5358" s="17">
        <v>112</v>
      </c>
      <c r="F5358" s="17">
        <v>1257</v>
      </c>
      <c r="H5358" s="17">
        <v>6</v>
      </c>
      <c r="I5358" s="17">
        <v>2</v>
      </c>
      <c r="J5358" s="17">
        <v>35</v>
      </c>
      <c r="K5358" s="10">
        <v>2635</v>
      </c>
      <c r="P5358" s="17">
        <v>1</v>
      </c>
      <c r="Q5358" s="19">
        <v>2635</v>
      </c>
      <c r="R5358" s="14">
        <v>160</v>
      </c>
      <c r="S5358" s="19">
        <v>421600</v>
      </c>
      <c r="AJ5358" s="19">
        <v>0</v>
      </c>
      <c r="AK5358" s="23">
        <v>0</v>
      </c>
      <c r="AM5358" s="19">
        <v>0</v>
      </c>
      <c r="AN5358" s="19">
        <v>421600</v>
      </c>
      <c r="AP5358" s="14">
        <v>421600</v>
      </c>
    </row>
    <row r="5359" spans="1:45" ht="42" x14ac:dyDescent="0.2">
      <c r="A5359" s="122">
        <f t="shared" si="591"/>
        <v>4490</v>
      </c>
      <c r="B5359" s="13">
        <v>1</v>
      </c>
      <c r="C5359" s="17" t="s">
        <v>52</v>
      </c>
      <c r="D5359" s="17">
        <v>8353</v>
      </c>
      <c r="E5359" s="17">
        <v>25</v>
      </c>
      <c r="F5359" s="17">
        <v>3121</v>
      </c>
      <c r="G5359" s="13">
        <v>3</v>
      </c>
      <c r="H5359" s="17">
        <v>5</v>
      </c>
      <c r="I5359" s="17">
        <v>3</v>
      </c>
      <c r="J5359" s="17">
        <v>72.06</v>
      </c>
      <c r="K5359" s="10" t="s">
        <v>487</v>
      </c>
      <c r="L5359" s="17" t="s">
        <v>488</v>
      </c>
      <c r="P5359" s="17">
        <v>5</v>
      </c>
      <c r="Q5359" s="19">
        <v>2372.06</v>
      </c>
      <c r="R5359" s="14">
        <v>500</v>
      </c>
      <c r="S5359" s="19">
        <v>1186030</v>
      </c>
      <c r="T5359" s="17">
        <v>1</v>
      </c>
      <c r="V5359" s="17" t="s">
        <v>183</v>
      </c>
      <c r="W5359" s="4">
        <v>313.5</v>
      </c>
      <c r="Y5359" s="4">
        <v>313.5</v>
      </c>
      <c r="AB5359" s="17">
        <v>18</v>
      </c>
      <c r="AJ5359" s="19">
        <v>0</v>
      </c>
      <c r="AK5359" s="23">
        <v>18</v>
      </c>
      <c r="AM5359" s="19">
        <v>0</v>
      </c>
      <c r="AN5359" s="19">
        <v>1186030</v>
      </c>
      <c r="AP5359" s="14">
        <v>1186030</v>
      </c>
    </row>
    <row r="5360" spans="1:45" x14ac:dyDescent="0.2">
      <c r="A5360" s="122">
        <f t="shared" si="591"/>
        <v>4491</v>
      </c>
      <c r="B5360" s="13">
        <v>2</v>
      </c>
      <c r="C5360" s="17" t="s">
        <v>52</v>
      </c>
      <c r="D5360" s="17">
        <v>11801</v>
      </c>
      <c r="E5360" s="17">
        <v>24</v>
      </c>
      <c r="F5360" s="17">
        <v>3218</v>
      </c>
      <c r="G5360" s="13">
        <v>3</v>
      </c>
      <c r="H5360" s="17">
        <v>4</v>
      </c>
      <c r="I5360" s="17">
        <v>3</v>
      </c>
      <c r="J5360" s="17">
        <v>64</v>
      </c>
      <c r="K5360" s="10">
        <v>1964</v>
      </c>
      <c r="P5360" s="17">
        <v>1</v>
      </c>
      <c r="Q5360" s="19">
        <v>1964</v>
      </c>
      <c r="R5360" s="14">
        <v>160</v>
      </c>
      <c r="S5360" s="19">
        <v>314240</v>
      </c>
      <c r="AJ5360" s="19">
        <v>0</v>
      </c>
      <c r="AK5360" s="23">
        <v>0</v>
      </c>
      <c r="AM5360" s="19">
        <v>0</v>
      </c>
      <c r="AN5360" s="19">
        <v>314240</v>
      </c>
      <c r="AP5360" s="14">
        <v>314240</v>
      </c>
    </row>
    <row r="5361" spans="1:45" x14ac:dyDescent="0.2">
      <c r="A5361" s="122">
        <f t="shared" si="591"/>
        <v>4492</v>
      </c>
      <c r="B5361" s="13">
        <v>3</v>
      </c>
      <c r="C5361" s="17" t="s">
        <v>52</v>
      </c>
      <c r="D5361" s="17">
        <v>14799</v>
      </c>
      <c r="E5361" s="17">
        <v>29</v>
      </c>
      <c r="F5361" s="17">
        <v>3351</v>
      </c>
      <c r="G5361" s="13">
        <v>3</v>
      </c>
      <c r="H5361" s="17">
        <v>3</v>
      </c>
      <c r="I5361" s="17">
        <v>2</v>
      </c>
      <c r="J5361" s="17">
        <v>56</v>
      </c>
      <c r="K5361" s="10">
        <v>1456</v>
      </c>
      <c r="P5361" s="17">
        <v>1</v>
      </c>
      <c r="Q5361" s="19">
        <v>1456</v>
      </c>
      <c r="R5361" s="14">
        <v>160</v>
      </c>
      <c r="S5361" s="19">
        <v>232960</v>
      </c>
      <c r="AJ5361" s="19">
        <v>0</v>
      </c>
      <c r="AK5361" s="23">
        <v>0</v>
      </c>
      <c r="AM5361" s="19">
        <v>0</v>
      </c>
      <c r="AN5361" s="19">
        <v>232960</v>
      </c>
      <c r="AP5361" s="14">
        <v>232960</v>
      </c>
    </row>
    <row r="5362" spans="1:45" ht="63" x14ac:dyDescent="0.2">
      <c r="A5362" s="122">
        <f t="shared" si="591"/>
        <v>4493</v>
      </c>
      <c r="B5362" s="13">
        <v>4</v>
      </c>
      <c r="C5362" s="17" t="s">
        <v>52</v>
      </c>
      <c r="D5362" s="17">
        <v>15964</v>
      </c>
      <c r="E5362" s="17">
        <v>27</v>
      </c>
      <c r="F5362" s="17">
        <v>3473</v>
      </c>
      <c r="G5362" s="13">
        <v>3</v>
      </c>
      <c r="H5362" s="17">
        <v>0</v>
      </c>
      <c r="I5362" s="17">
        <v>0</v>
      </c>
      <c r="J5362" s="17">
        <v>50</v>
      </c>
      <c r="L5362" s="17" t="s">
        <v>280</v>
      </c>
      <c r="P5362" s="17">
        <v>2</v>
      </c>
      <c r="Q5362" s="19">
        <v>50</v>
      </c>
      <c r="R5362" s="14">
        <v>2000</v>
      </c>
      <c r="S5362" s="19">
        <v>100000</v>
      </c>
      <c r="U5362" s="17" t="s">
        <v>57</v>
      </c>
      <c r="V5362" s="17" t="s">
        <v>56</v>
      </c>
      <c r="W5362" s="4" t="s">
        <v>403</v>
      </c>
      <c r="Y5362" s="4" t="s">
        <v>403</v>
      </c>
      <c r="AB5362" s="17" t="s">
        <v>360</v>
      </c>
      <c r="AJ5362" s="19">
        <v>0</v>
      </c>
      <c r="AK5362" s="23" t="s">
        <v>360</v>
      </c>
      <c r="AM5362" s="19">
        <v>0</v>
      </c>
      <c r="AN5362" s="19">
        <v>100000</v>
      </c>
      <c r="AP5362" s="14">
        <v>100000</v>
      </c>
    </row>
    <row r="5363" spans="1:45" x14ac:dyDescent="0.2">
      <c r="A5363" s="122">
        <f t="shared" si="591"/>
        <v>4494</v>
      </c>
      <c r="B5363" s="13">
        <v>1</v>
      </c>
      <c r="C5363" s="17" t="s">
        <v>52</v>
      </c>
      <c r="D5363" s="17">
        <v>2395</v>
      </c>
      <c r="E5363" s="17">
        <v>59</v>
      </c>
      <c r="F5363" s="17">
        <v>1734</v>
      </c>
      <c r="G5363" s="13">
        <v>4</v>
      </c>
      <c r="H5363" s="17">
        <v>0</v>
      </c>
      <c r="I5363" s="17">
        <v>0</v>
      </c>
      <c r="J5363" s="17">
        <v>25</v>
      </c>
      <c r="K5363" s="10">
        <v>25</v>
      </c>
      <c r="P5363" s="17">
        <v>1</v>
      </c>
      <c r="Q5363" s="19">
        <v>25</v>
      </c>
      <c r="R5363" s="14">
        <v>250</v>
      </c>
      <c r="S5363" s="19">
        <v>6250</v>
      </c>
      <c r="AF5363" s="14">
        <v>2</v>
      </c>
      <c r="AJ5363" s="19">
        <v>0</v>
      </c>
      <c r="AK5363" s="23">
        <v>0</v>
      </c>
      <c r="AM5363" s="19">
        <v>0</v>
      </c>
      <c r="AN5363" s="19">
        <v>6250</v>
      </c>
      <c r="AP5363" s="14">
        <v>6250</v>
      </c>
    </row>
    <row r="5364" spans="1:45" x14ac:dyDescent="0.2">
      <c r="AF5364" s="14">
        <v>3</v>
      </c>
    </row>
    <row r="5365" spans="1:45" x14ac:dyDescent="0.2">
      <c r="A5365" s="2">
        <f>+A5363+1</f>
        <v>4495</v>
      </c>
      <c r="B5365" s="13">
        <v>2</v>
      </c>
      <c r="C5365" s="17" t="s">
        <v>52</v>
      </c>
      <c r="D5365" s="17">
        <v>1846</v>
      </c>
      <c r="E5365" s="17">
        <v>95</v>
      </c>
      <c r="F5365" s="17">
        <v>1236</v>
      </c>
      <c r="H5365" s="17">
        <v>0</v>
      </c>
      <c r="I5365" s="17">
        <v>2</v>
      </c>
      <c r="J5365" s="17">
        <v>43</v>
      </c>
      <c r="K5365" s="10">
        <v>243</v>
      </c>
      <c r="P5365" s="17">
        <v>1</v>
      </c>
      <c r="Q5365" s="19">
        <v>243</v>
      </c>
      <c r="R5365" s="14">
        <v>200</v>
      </c>
      <c r="S5365" s="19">
        <v>48600</v>
      </c>
      <c r="AJ5365" s="19">
        <v>0</v>
      </c>
      <c r="AK5365" s="23">
        <v>0</v>
      </c>
      <c r="AM5365" s="19">
        <v>0</v>
      </c>
      <c r="AN5365" s="19">
        <v>48600</v>
      </c>
      <c r="AP5365" s="14">
        <v>48600</v>
      </c>
    </row>
    <row r="5366" spans="1:45" x14ac:dyDescent="0.2">
      <c r="A5366" s="122">
        <v>4496</v>
      </c>
      <c r="B5366" s="13">
        <v>1</v>
      </c>
      <c r="C5366" s="17" t="s">
        <v>52</v>
      </c>
      <c r="D5366" s="17">
        <v>1506</v>
      </c>
      <c r="E5366" s="17">
        <v>115</v>
      </c>
      <c r="F5366" s="17">
        <v>1079</v>
      </c>
      <c r="H5366" s="17">
        <v>2</v>
      </c>
      <c r="I5366" s="17">
        <v>1</v>
      </c>
      <c r="J5366" s="17">
        <v>92</v>
      </c>
      <c r="K5366" s="10">
        <v>992</v>
      </c>
      <c r="P5366" s="17">
        <v>1</v>
      </c>
      <c r="Q5366" s="19">
        <v>992</v>
      </c>
      <c r="R5366" s="14">
        <v>200</v>
      </c>
      <c r="S5366" s="19">
        <v>198400</v>
      </c>
      <c r="AJ5366" s="19">
        <v>0</v>
      </c>
      <c r="AK5366" s="23">
        <v>0</v>
      </c>
      <c r="AM5366" s="19">
        <v>0</v>
      </c>
      <c r="AN5366" s="19">
        <v>198400</v>
      </c>
      <c r="AP5366" s="14">
        <v>198400</v>
      </c>
      <c r="AS5366" s="26">
        <v>28</v>
      </c>
    </row>
    <row r="5367" spans="1:45" x14ac:dyDescent="0.2">
      <c r="A5367" s="122">
        <v>4497</v>
      </c>
      <c r="B5367" s="13">
        <v>2</v>
      </c>
      <c r="C5367" s="17" t="s">
        <v>65</v>
      </c>
      <c r="D5367" s="17">
        <v>2014</v>
      </c>
      <c r="E5367" s="17">
        <v>48</v>
      </c>
      <c r="H5367" s="17">
        <v>5</v>
      </c>
      <c r="I5367" s="17">
        <v>0</v>
      </c>
      <c r="J5367" s="17">
        <v>92</v>
      </c>
      <c r="K5367" s="10">
        <v>2092</v>
      </c>
      <c r="P5367" s="17">
        <v>1</v>
      </c>
      <c r="Q5367" s="19">
        <v>2092</v>
      </c>
      <c r="R5367" s="14">
        <v>160</v>
      </c>
      <c r="S5367" s="19">
        <v>334720</v>
      </c>
      <c r="AJ5367" s="19">
        <v>0</v>
      </c>
      <c r="AK5367" s="23">
        <v>0</v>
      </c>
      <c r="AM5367" s="19">
        <v>0</v>
      </c>
      <c r="AN5367" s="19">
        <v>334720</v>
      </c>
      <c r="AP5367" s="14">
        <v>334720</v>
      </c>
      <c r="AQ5367" s="12">
        <v>1E-4</v>
      </c>
    </row>
    <row r="5368" spans="1:45" x14ac:dyDescent="0.2">
      <c r="A5368" s="122">
        <f>+A5367+1</f>
        <v>4498</v>
      </c>
      <c r="B5368" s="13">
        <v>1</v>
      </c>
      <c r="C5368" s="17" t="s">
        <v>52</v>
      </c>
      <c r="D5368" s="17">
        <v>30942</v>
      </c>
      <c r="E5368" s="17">
        <v>124</v>
      </c>
      <c r="F5368" s="17">
        <v>5894</v>
      </c>
      <c r="G5368" s="13">
        <v>2</v>
      </c>
      <c r="H5368" s="17">
        <v>1</v>
      </c>
      <c r="I5368" s="17">
        <v>3</v>
      </c>
      <c r="J5368" s="17">
        <v>62.09</v>
      </c>
      <c r="K5368" s="10">
        <v>762.09</v>
      </c>
      <c r="P5368" s="17">
        <v>1</v>
      </c>
      <c r="Q5368" s="19">
        <v>762.09</v>
      </c>
      <c r="R5368" s="14">
        <v>160</v>
      </c>
      <c r="S5368" s="19">
        <v>121934.40000000001</v>
      </c>
      <c r="AJ5368" s="19">
        <v>0</v>
      </c>
      <c r="AK5368" s="23">
        <v>0</v>
      </c>
      <c r="AM5368" s="19">
        <v>0</v>
      </c>
      <c r="AN5368" s="19">
        <v>121934.40000000001</v>
      </c>
      <c r="AP5368" s="14">
        <v>121934.40000000001</v>
      </c>
    </row>
    <row r="5369" spans="1:45" ht="42" x14ac:dyDescent="0.2">
      <c r="A5369" s="122">
        <f t="shared" ref="A5369:A5372" si="592">+A5368+1</f>
        <v>4499</v>
      </c>
      <c r="B5369" s="13">
        <v>2</v>
      </c>
      <c r="C5369" s="17" t="s">
        <v>52</v>
      </c>
      <c r="D5369" s="17">
        <v>12318</v>
      </c>
      <c r="E5369" s="17">
        <v>140</v>
      </c>
      <c r="F5369" s="17">
        <v>3230</v>
      </c>
      <c r="H5369" s="17">
        <v>0</v>
      </c>
      <c r="I5369" s="17">
        <v>1</v>
      </c>
      <c r="J5369" s="17">
        <v>25.04</v>
      </c>
      <c r="L5369" s="17">
        <v>125.04</v>
      </c>
      <c r="P5369" s="17">
        <v>2</v>
      </c>
      <c r="Q5369" s="19">
        <v>125.03999999999999</v>
      </c>
      <c r="R5369" s="14">
        <v>250</v>
      </c>
      <c r="S5369" s="19">
        <v>31259.999999999996</v>
      </c>
      <c r="T5369" s="17">
        <v>1</v>
      </c>
      <c r="V5369" s="17" t="s">
        <v>183</v>
      </c>
      <c r="W5369" s="4">
        <v>194.25</v>
      </c>
      <c r="Y5369" s="4">
        <v>194.25</v>
      </c>
      <c r="AB5369" s="17">
        <v>16</v>
      </c>
      <c r="AJ5369" s="19">
        <v>0</v>
      </c>
      <c r="AK5369" s="23">
        <v>16</v>
      </c>
      <c r="AM5369" s="19">
        <v>0</v>
      </c>
      <c r="AN5369" s="19">
        <v>31259.999999999996</v>
      </c>
      <c r="AP5369" s="14">
        <v>31259.999999999996</v>
      </c>
    </row>
    <row r="5370" spans="1:45" x14ac:dyDescent="0.2">
      <c r="A5370" s="122">
        <f t="shared" si="592"/>
        <v>4500</v>
      </c>
      <c r="B5370" s="13">
        <v>3</v>
      </c>
      <c r="C5370" s="17" t="s">
        <v>65</v>
      </c>
      <c r="D5370" s="17">
        <v>813</v>
      </c>
      <c r="E5370" s="17">
        <v>33</v>
      </c>
      <c r="H5370" s="17">
        <v>2</v>
      </c>
      <c r="I5370" s="17">
        <v>0</v>
      </c>
      <c r="J5370" s="17">
        <v>20</v>
      </c>
      <c r="K5370" s="10">
        <v>820</v>
      </c>
      <c r="Q5370" s="19">
        <v>820</v>
      </c>
      <c r="R5370" s="14">
        <v>160</v>
      </c>
      <c r="S5370" s="19">
        <v>131200</v>
      </c>
      <c r="AE5370" s="17" t="s">
        <v>94</v>
      </c>
      <c r="AJ5370" s="19">
        <v>0</v>
      </c>
      <c r="AK5370" s="23">
        <v>0</v>
      </c>
      <c r="AM5370" s="19">
        <v>0</v>
      </c>
      <c r="AN5370" s="19">
        <v>131200</v>
      </c>
      <c r="AP5370" s="14">
        <v>131200</v>
      </c>
      <c r="AQ5370" s="12">
        <v>1E-4</v>
      </c>
    </row>
    <row r="5371" spans="1:45" x14ac:dyDescent="0.2">
      <c r="A5371" s="122">
        <f t="shared" si="592"/>
        <v>4501</v>
      </c>
      <c r="B5371" s="13">
        <v>1</v>
      </c>
      <c r="C5371" s="17" t="s">
        <v>52</v>
      </c>
      <c r="D5371" s="17">
        <v>2071</v>
      </c>
      <c r="E5371" s="17">
        <v>18</v>
      </c>
      <c r="F5371" s="17">
        <v>1819</v>
      </c>
      <c r="G5371" s="13">
        <v>3</v>
      </c>
      <c r="H5371" s="17">
        <v>1</v>
      </c>
      <c r="I5371" s="17">
        <v>2</v>
      </c>
      <c r="J5371" s="17">
        <v>29</v>
      </c>
      <c r="K5371" s="10">
        <v>629</v>
      </c>
      <c r="P5371" s="17">
        <v>1</v>
      </c>
      <c r="Q5371" s="19">
        <v>629</v>
      </c>
      <c r="R5371" s="14">
        <v>200</v>
      </c>
      <c r="S5371" s="19">
        <v>125800</v>
      </c>
      <c r="AJ5371" s="19">
        <v>0</v>
      </c>
      <c r="AK5371" s="23">
        <v>0</v>
      </c>
      <c r="AM5371" s="19">
        <v>0</v>
      </c>
      <c r="AN5371" s="19">
        <v>125800</v>
      </c>
      <c r="AP5371" s="14">
        <v>125800</v>
      </c>
    </row>
    <row r="5372" spans="1:45" x14ac:dyDescent="0.2">
      <c r="A5372" s="122">
        <f t="shared" si="592"/>
        <v>4502</v>
      </c>
      <c r="B5372" s="13">
        <v>2</v>
      </c>
      <c r="C5372" s="17" t="s">
        <v>52</v>
      </c>
      <c r="D5372" s="17">
        <v>2341</v>
      </c>
      <c r="E5372" s="17">
        <v>19</v>
      </c>
      <c r="F5372" s="17">
        <v>1820</v>
      </c>
      <c r="G5372" s="13">
        <v>3</v>
      </c>
      <c r="H5372" s="17">
        <v>2</v>
      </c>
      <c r="I5372" s="17">
        <v>1</v>
      </c>
      <c r="J5372" s="17">
        <v>34</v>
      </c>
      <c r="K5372" s="10">
        <v>934</v>
      </c>
      <c r="P5372" s="17">
        <v>1</v>
      </c>
      <c r="Q5372" s="19">
        <v>934</v>
      </c>
      <c r="R5372" s="14">
        <v>200</v>
      </c>
      <c r="S5372" s="19">
        <v>186800</v>
      </c>
      <c r="AJ5372" s="19">
        <v>0</v>
      </c>
      <c r="AK5372" s="23">
        <v>0</v>
      </c>
      <c r="AM5372" s="19">
        <v>0</v>
      </c>
      <c r="AN5372" s="19">
        <v>186800</v>
      </c>
      <c r="AP5372" s="14">
        <v>186800</v>
      </c>
    </row>
    <row r="5373" spans="1:45" x14ac:dyDescent="0.2">
      <c r="B5373" s="13">
        <v>3</v>
      </c>
      <c r="C5373" s="17" t="s">
        <v>65</v>
      </c>
      <c r="D5373" s="17">
        <v>3493</v>
      </c>
      <c r="E5373" s="17">
        <v>67</v>
      </c>
      <c r="H5373" s="17">
        <v>0</v>
      </c>
      <c r="I5373" s="17">
        <v>0</v>
      </c>
      <c r="J5373" s="17">
        <v>38</v>
      </c>
      <c r="N5373" s="18">
        <v>38</v>
      </c>
      <c r="Q5373" s="19">
        <v>38</v>
      </c>
      <c r="R5373" s="14" t="e">
        <v>#N/A</v>
      </c>
      <c r="S5373" s="19" t="e">
        <v>#N/A</v>
      </c>
      <c r="AE5373" s="17" t="s">
        <v>254</v>
      </c>
      <c r="AJ5373" s="19">
        <v>0</v>
      </c>
      <c r="AK5373" s="23">
        <v>0</v>
      </c>
      <c r="AM5373" s="19">
        <v>0</v>
      </c>
      <c r="AN5373" s="19" t="e">
        <v>#N/A</v>
      </c>
      <c r="AP5373" s="14" t="e">
        <v>#N/A</v>
      </c>
      <c r="AQ5373" s="12">
        <v>3.0000000000000001E-3</v>
      </c>
    </row>
    <row r="5374" spans="1:45" x14ac:dyDescent="0.2">
      <c r="A5374" s="2">
        <v>4503</v>
      </c>
      <c r="B5374" s="13">
        <v>1</v>
      </c>
      <c r="C5374" s="17" t="s">
        <v>52</v>
      </c>
      <c r="D5374" s="17">
        <v>1849</v>
      </c>
      <c r="E5374" s="17">
        <v>121</v>
      </c>
      <c r="F5374" s="17">
        <v>1239</v>
      </c>
      <c r="H5374" s="17">
        <v>1</v>
      </c>
      <c r="I5374" s="17">
        <v>0</v>
      </c>
      <c r="J5374" s="17">
        <v>91</v>
      </c>
      <c r="K5374" s="10">
        <v>491</v>
      </c>
      <c r="P5374" s="17">
        <v>1</v>
      </c>
      <c r="Q5374" s="19">
        <v>491</v>
      </c>
      <c r="R5374" s="14">
        <v>160</v>
      </c>
      <c r="S5374" s="19">
        <v>78560</v>
      </c>
      <c r="AJ5374" s="19">
        <v>0</v>
      </c>
      <c r="AK5374" s="23">
        <v>0</v>
      </c>
      <c r="AM5374" s="19">
        <v>0</v>
      </c>
      <c r="AN5374" s="19">
        <v>78560</v>
      </c>
      <c r="AP5374" s="14">
        <v>78560</v>
      </c>
    </row>
    <row r="5375" spans="1:45" ht="42" x14ac:dyDescent="0.2">
      <c r="A5375" s="2">
        <v>4504</v>
      </c>
      <c r="B5375" s="13">
        <v>2</v>
      </c>
      <c r="C5375" s="17" t="s">
        <v>52</v>
      </c>
      <c r="D5375" s="17">
        <v>35336</v>
      </c>
      <c r="E5375" s="17">
        <v>268</v>
      </c>
      <c r="F5375" s="17">
        <v>7033</v>
      </c>
      <c r="H5375" s="17">
        <v>0</v>
      </c>
      <c r="I5375" s="17">
        <v>2</v>
      </c>
      <c r="J5375" s="17">
        <v>59</v>
      </c>
      <c r="L5375" s="17">
        <v>259</v>
      </c>
      <c r="P5375" s="17">
        <v>2</v>
      </c>
      <c r="Q5375" s="19">
        <v>259</v>
      </c>
      <c r="R5375" s="14">
        <v>250</v>
      </c>
      <c r="S5375" s="19">
        <v>64750</v>
      </c>
      <c r="T5375" s="17">
        <v>1</v>
      </c>
      <c r="V5375" s="17" t="s">
        <v>489</v>
      </c>
      <c r="W5375" s="4">
        <v>32</v>
      </c>
      <c r="Y5375" s="4">
        <v>32</v>
      </c>
      <c r="AB5375" s="17">
        <v>15</v>
      </c>
      <c r="AJ5375" s="19">
        <v>0</v>
      </c>
      <c r="AK5375" s="23">
        <v>15</v>
      </c>
      <c r="AM5375" s="19">
        <v>0</v>
      </c>
      <c r="AN5375" s="19">
        <v>64750</v>
      </c>
      <c r="AP5375" s="14">
        <v>64750</v>
      </c>
    </row>
    <row r="5376" spans="1:45" x14ac:dyDescent="0.2">
      <c r="A5376" s="2">
        <f>+A5375+1</f>
        <v>4505</v>
      </c>
      <c r="B5376" s="13">
        <v>3</v>
      </c>
      <c r="C5376" s="17" t="s">
        <v>52</v>
      </c>
      <c r="D5376" s="17">
        <v>35337</v>
      </c>
      <c r="E5376" s="17">
        <v>269</v>
      </c>
      <c r="F5376" s="17">
        <v>7034</v>
      </c>
      <c r="H5376" s="17">
        <v>0</v>
      </c>
      <c r="I5376" s="17">
        <v>0</v>
      </c>
      <c r="J5376" s="17">
        <v>89</v>
      </c>
      <c r="K5376" s="10">
        <v>89</v>
      </c>
      <c r="P5376" s="17">
        <v>1</v>
      </c>
      <c r="Q5376" s="19">
        <v>89</v>
      </c>
      <c r="R5376" s="14">
        <v>160</v>
      </c>
      <c r="S5376" s="19">
        <v>14240</v>
      </c>
      <c r="AJ5376" s="19">
        <v>0</v>
      </c>
      <c r="AK5376" s="23">
        <v>0</v>
      </c>
      <c r="AM5376" s="19">
        <v>0</v>
      </c>
      <c r="AN5376" s="19">
        <v>14240</v>
      </c>
      <c r="AP5376" s="14">
        <v>14240</v>
      </c>
    </row>
    <row r="5377" spans="1:45" x14ac:dyDescent="0.2">
      <c r="A5377" s="122">
        <f t="shared" ref="A5377:A5378" si="593">+A5376+1</f>
        <v>4506</v>
      </c>
      <c r="B5377" s="13">
        <v>1</v>
      </c>
      <c r="C5377" s="17" t="s">
        <v>65</v>
      </c>
      <c r="D5377" s="17">
        <v>375</v>
      </c>
      <c r="E5377" s="17">
        <v>8</v>
      </c>
      <c r="H5377" s="17">
        <v>7</v>
      </c>
      <c r="I5377" s="17">
        <v>0</v>
      </c>
      <c r="J5377" s="17">
        <v>36</v>
      </c>
      <c r="K5377" s="10">
        <v>2836</v>
      </c>
      <c r="P5377" s="17">
        <v>1</v>
      </c>
      <c r="Q5377" s="19">
        <v>2836</v>
      </c>
      <c r="R5377" s="14">
        <v>250</v>
      </c>
      <c r="S5377" s="19">
        <v>709000</v>
      </c>
      <c r="AJ5377" s="19">
        <v>0</v>
      </c>
      <c r="AK5377" s="23">
        <v>0</v>
      </c>
      <c r="AM5377" s="19">
        <v>0</v>
      </c>
      <c r="AN5377" s="19">
        <v>709000</v>
      </c>
      <c r="AP5377" s="14">
        <v>709000</v>
      </c>
      <c r="AQ5377" s="12">
        <v>1E-4</v>
      </c>
    </row>
    <row r="5378" spans="1:45" x14ac:dyDescent="0.2">
      <c r="A5378" s="122">
        <f t="shared" si="593"/>
        <v>4507</v>
      </c>
      <c r="B5378" s="13">
        <v>2</v>
      </c>
      <c r="C5378" s="17" t="s">
        <v>65</v>
      </c>
      <c r="D5378" s="17">
        <v>1987</v>
      </c>
      <c r="E5378" s="17">
        <v>2</v>
      </c>
      <c r="H5378" s="17">
        <v>8</v>
      </c>
      <c r="I5378" s="17">
        <v>2</v>
      </c>
      <c r="J5378" s="17">
        <v>40</v>
      </c>
      <c r="K5378" s="10">
        <v>3440</v>
      </c>
      <c r="P5378" s="17">
        <v>5</v>
      </c>
      <c r="Q5378" s="19">
        <v>3440</v>
      </c>
      <c r="R5378" s="14">
        <v>500</v>
      </c>
      <c r="S5378" s="19">
        <v>1720000</v>
      </c>
    </row>
    <row r="5379" spans="1:45" x14ac:dyDescent="0.2">
      <c r="P5379" s="17">
        <v>1</v>
      </c>
      <c r="Q5379" s="19">
        <v>3290</v>
      </c>
      <c r="R5379" s="14">
        <v>500</v>
      </c>
      <c r="S5379" s="19">
        <v>1645000</v>
      </c>
      <c r="AN5379" s="19">
        <v>1645000</v>
      </c>
      <c r="AP5379" s="14">
        <v>1645000</v>
      </c>
      <c r="AQ5379" s="12">
        <v>1E-4</v>
      </c>
    </row>
    <row r="5380" spans="1:45" x14ac:dyDescent="0.2">
      <c r="P5380" s="17">
        <v>2</v>
      </c>
      <c r="Q5380" s="19">
        <v>150</v>
      </c>
      <c r="R5380" s="14">
        <v>500</v>
      </c>
      <c r="S5380" s="19">
        <v>75000</v>
      </c>
      <c r="AE5380" s="17">
        <v>3290</v>
      </c>
      <c r="AN5380" s="19">
        <v>75000</v>
      </c>
      <c r="AP5380" s="14">
        <v>75000</v>
      </c>
      <c r="AQ5380" s="12">
        <v>2.0000000000000001E-4</v>
      </c>
    </row>
    <row r="5381" spans="1:45" ht="63" x14ac:dyDescent="0.2">
      <c r="T5381" s="17" t="s">
        <v>122</v>
      </c>
      <c r="U5381" s="17" t="s">
        <v>57</v>
      </c>
      <c r="V5381" s="17" t="s">
        <v>56</v>
      </c>
      <c r="W5381" s="4" t="s">
        <v>490</v>
      </c>
      <c r="Y5381" s="4" t="s">
        <v>491</v>
      </c>
      <c r="AE5381" s="17">
        <v>39</v>
      </c>
      <c r="AF5381" s="14">
        <v>2</v>
      </c>
      <c r="AG5381" s="54">
        <v>81</v>
      </c>
      <c r="AH5381" s="11">
        <v>0.78</v>
      </c>
      <c r="AI5381" s="14">
        <v>7250</v>
      </c>
      <c r="AJ5381" s="19">
        <v>458055</v>
      </c>
      <c r="AK5381" s="23">
        <v>39</v>
      </c>
      <c r="AL5381" s="11">
        <v>0.68</v>
      </c>
      <c r="AM5381" s="19">
        <v>146577.59999999998</v>
      </c>
      <c r="AN5381" s="19">
        <v>146577.59999999998</v>
      </c>
      <c r="AP5381" s="14">
        <v>146577.59999999998</v>
      </c>
    </row>
    <row r="5382" spans="1:45" x14ac:dyDescent="0.2">
      <c r="Z5382" s="17" t="s">
        <v>492</v>
      </c>
      <c r="AF5382" s="14">
        <v>3</v>
      </c>
      <c r="AG5382" s="54">
        <v>81</v>
      </c>
      <c r="AH5382" s="11">
        <v>0.22</v>
      </c>
      <c r="AI5382" s="14">
        <v>7250</v>
      </c>
      <c r="AJ5382" s="19">
        <v>129195</v>
      </c>
      <c r="AK5382" s="23">
        <v>39</v>
      </c>
      <c r="AL5382" s="11">
        <v>0.68</v>
      </c>
      <c r="AM5382" s="19">
        <v>41342.399999999994</v>
      </c>
      <c r="AN5382" s="19">
        <v>41342.399999999994</v>
      </c>
      <c r="AP5382" s="14">
        <v>41342.399999999994</v>
      </c>
      <c r="AQ5382" s="12">
        <v>3.0000000000000001E-3</v>
      </c>
    </row>
    <row r="5383" spans="1:45" ht="63" x14ac:dyDescent="0.2">
      <c r="P5383" s="17">
        <v>2</v>
      </c>
      <c r="T5383" s="17" t="s">
        <v>288</v>
      </c>
      <c r="U5383" s="17" t="s">
        <v>57</v>
      </c>
      <c r="V5383" s="17" t="s">
        <v>56</v>
      </c>
      <c r="W5383" s="4" t="s">
        <v>226</v>
      </c>
      <c r="AF5383" s="14">
        <v>2</v>
      </c>
      <c r="AG5383" s="54">
        <v>48</v>
      </c>
      <c r="AJ5383" s="19">
        <v>0</v>
      </c>
      <c r="AM5383" s="19">
        <v>0</v>
      </c>
      <c r="AN5383" s="19">
        <v>0</v>
      </c>
      <c r="AP5383" s="14">
        <v>0</v>
      </c>
    </row>
    <row r="5384" spans="1:45" x14ac:dyDescent="0.2">
      <c r="B5384" s="13">
        <v>3</v>
      </c>
      <c r="C5384" s="17" t="s">
        <v>65</v>
      </c>
      <c r="D5384" s="17">
        <v>3449</v>
      </c>
      <c r="E5384" s="17">
        <v>65</v>
      </c>
      <c r="H5384" s="17">
        <v>2</v>
      </c>
      <c r="I5384" s="17">
        <v>0</v>
      </c>
      <c r="J5384" s="17">
        <v>34</v>
      </c>
      <c r="Q5384" s="19">
        <v>834</v>
      </c>
      <c r="R5384" s="14" t="e">
        <v>#N/A</v>
      </c>
      <c r="S5384" s="19" t="e">
        <v>#N/A</v>
      </c>
      <c r="AJ5384" s="19">
        <v>0</v>
      </c>
      <c r="AK5384" s="23">
        <v>0</v>
      </c>
      <c r="AM5384" s="19">
        <v>0</v>
      </c>
      <c r="AN5384" s="19" t="e">
        <v>#N/A</v>
      </c>
      <c r="AP5384" s="14" t="e">
        <v>#N/A</v>
      </c>
    </row>
    <row r="5385" spans="1:45" x14ac:dyDescent="0.2">
      <c r="B5385" s="13">
        <v>4</v>
      </c>
      <c r="C5385" s="17" t="s">
        <v>65</v>
      </c>
      <c r="D5385" s="17">
        <v>379</v>
      </c>
      <c r="E5385" s="17">
        <v>34</v>
      </c>
      <c r="H5385" s="17">
        <v>9</v>
      </c>
      <c r="I5385" s="17">
        <v>1</v>
      </c>
      <c r="J5385" s="17">
        <v>56</v>
      </c>
      <c r="K5385" s="10">
        <v>3756</v>
      </c>
      <c r="Q5385" s="19">
        <v>3756</v>
      </c>
      <c r="R5385" s="14" t="e">
        <v>#N/A</v>
      </c>
      <c r="S5385" s="19" t="e">
        <v>#N/A</v>
      </c>
      <c r="AE5385" s="17" t="s">
        <v>493</v>
      </c>
      <c r="AJ5385" s="19">
        <v>0</v>
      </c>
      <c r="AK5385" s="23">
        <v>0</v>
      </c>
      <c r="AM5385" s="19">
        <v>0</v>
      </c>
      <c r="AN5385" s="19" t="e">
        <v>#N/A</v>
      </c>
      <c r="AP5385" s="14" t="e">
        <v>#N/A</v>
      </c>
      <c r="AQ5385" s="12">
        <v>1E-4</v>
      </c>
    </row>
    <row r="5386" spans="1:45" x14ac:dyDescent="0.2">
      <c r="A5386" s="2">
        <v>4508</v>
      </c>
      <c r="B5386" s="13">
        <v>1</v>
      </c>
      <c r="C5386" s="17" t="s">
        <v>52</v>
      </c>
      <c r="D5386" s="17">
        <v>5536</v>
      </c>
      <c r="E5386" s="17">
        <v>129</v>
      </c>
      <c r="F5386" s="17">
        <v>3025</v>
      </c>
      <c r="H5386" s="17">
        <v>0</v>
      </c>
      <c r="I5386" s="17">
        <v>1</v>
      </c>
      <c r="J5386" s="17">
        <v>57.04</v>
      </c>
      <c r="K5386" s="10">
        <v>157.04</v>
      </c>
      <c r="P5386" s="17">
        <v>1</v>
      </c>
      <c r="Q5386" s="19">
        <v>157.04</v>
      </c>
      <c r="R5386" s="14">
        <v>2000</v>
      </c>
      <c r="S5386" s="19">
        <v>314080</v>
      </c>
      <c r="AJ5386" s="19">
        <v>0</v>
      </c>
      <c r="AK5386" s="23">
        <v>0</v>
      </c>
      <c r="AM5386" s="19">
        <v>0</v>
      </c>
      <c r="AN5386" s="19">
        <v>314080</v>
      </c>
      <c r="AP5386" s="14">
        <v>314080</v>
      </c>
    </row>
    <row r="5387" spans="1:45" x14ac:dyDescent="0.2">
      <c r="A5387" s="2">
        <f>+A5386+1</f>
        <v>4509</v>
      </c>
      <c r="B5387" s="13">
        <v>1</v>
      </c>
      <c r="C5387" s="17" t="s">
        <v>69</v>
      </c>
      <c r="E5387" s="17">
        <v>157</v>
      </c>
      <c r="F5387" s="17">
        <v>3</v>
      </c>
      <c r="G5387" s="13">
        <v>1</v>
      </c>
      <c r="H5387" s="17">
        <v>14</v>
      </c>
      <c r="I5387" s="17">
        <v>0</v>
      </c>
      <c r="J5387" s="17">
        <v>87</v>
      </c>
      <c r="K5387" s="10">
        <v>5687</v>
      </c>
      <c r="P5387" s="17">
        <v>1</v>
      </c>
      <c r="Q5387" s="19">
        <v>5687</v>
      </c>
      <c r="R5387" s="14">
        <v>160</v>
      </c>
      <c r="S5387" s="19">
        <v>909920</v>
      </c>
      <c r="AJ5387" s="19">
        <v>0</v>
      </c>
      <c r="AK5387" s="23">
        <v>0</v>
      </c>
      <c r="AM5387" s="19">
        <v>0</v>
      </c>
      <c r="AN5387" s="19">
        <v>909920</v>
      </c>
      <c r="AP5387" s="14">
        <v>909920</v>
      </c>
      <c r="AQ5387" s="12">
        <v>1E-4</v>
      </c>
    </row>
    <row r="5388" spans="1:45" ht="63" x14ac:dyDescent="0.2">
      <c r="A5388" s="122">
        <f t="shared" ref="A5388:A5391" si="594">+A5387+1</f>
        <v>4510</v>
      </c>
      <c r="B5388" s="13">
        <v>1</v>
      </c>
      <c r="C5388" s="17" t="s">
        <v>52</v>
      </c>
      <c r="D5388" s="17">
        <v>2306</v>
      </c>
      <c r="E5388" s="17">
        <v>56</v>
      </c>
      <c r="F5388" s="17">
        <v>1062</v>
      </c>
      <c r="H5388" s="17">
        <v>2</v>
      </c>
      <c r="I5388" s="17">
        <v>2</v>
      </c>
      <c r="J5388" s="17">
        <v>74.08</v>
      </c>
      <c r="K5388" s="10">
        <v>1074.08</v>
      </c>
      <c r="P5388" s="17">
        <v>1</v>
      </c>
      <c r="Q5388" s="19">
        <v>1074.08</v>
      </c>
      <c r="R5388" s="14">
        <v>1000</v>
      </c>
      <c r="S5388" s="19">
        <v>1074080</v>
      </c>
      <c r="AJ5388" s="19">
        <v>0</v>
      </c>
      <c r="AK5388" s="23">
        <v>0</v>
      </c>
      <c r="AM5388" s="19">
        <v>0</v>
      </c>
      <c r="AN5388" s="19">
        <v>1074080</v>
      </c>
      <c r="AP5388" s="14">
        <v>1074080</v>
      </c>
      <c r="AR5388" s="19">
        <v>97</v>
      </c>
      <c r="AS5388" s="26">
        <v>397</v>
      </c>
    </row>
    <row r="5389" spans="1:45" ht="63" x14ac:dyDescent="0.2">
      <c r="A5389" s="122">
        <f t="shared" si="594"/>
        <v>4511</v>
      </c>
      <c r="B5389" s="13">
        <v>2</v>
      </c>
      <c r="C5389" s="17" t="s">
        <v>52</v>
      </c>
      <c r="D5389" s="17">
        <v>16071</v>
      </c>
      <c r="E5389" s="17">
        <v>122</v>
      </c>
      <c r="F5389" s="17">
        <v>3549</v>
      </c>
      <c r="H5389" s="17">
        <v>6</v>
      </c>
      <c r="I5389" s="17">
        <v>3</v>
      </c>
      <c r="J5389" s="17">
        <v>57.02</v>
      </c>
      <c r="K5389" s="10">
        <v>2757.02</v>
      </c>
      <c r="P5389" s="17">
        <v>1</v>
      </c>
      <c r="Q5389" s="19">
        <v>2757.02</v>
      </c>
      <c r="R5389" s="14">
        <v>250</v>
      </c>
      <c r="S5389" s="19">
        <v>689255</v>
      </c>
      <c r="AJ5389" s="19">
        <v>0</v>
      </c>
      <c r="AK5389" s="23">
        <v>0</v>
      </c>
      <c r="AM5389" s="19">
        <v>0</v>
      </c>
      <c r="AN5389" s="19">
        <v>689255</v>
      </c>
      <c r="AP5389" s="14">
        <v>689255</v>
      </c>
      <c r="AR5389" s="19">
        <v>300</v>
      </c>
    </row>
    <row r="5390" spans="1:45" x14ac:dyDescent="0.2">
      <c r="A5390" s="122">
        <f t="shared" si="594"/>
        <v>4512</v>
      </c>
      <c r="B5390" s="13">
        <v>3</v>
      </c>
      <c r="C5390" s="17" t="s">
        <v>65</v>
      </c>
      <c r="D5390" s="17">
        <v>1986</v>
      </c>
      <c r="E5390" s="17">
        <v>1</v>
      </c>
      <c r="H5390" s="17">
        <v>13</v>
      </c>
      <c r="I5390" s="17">
        <v>1</v>
      </c>
      <c r="J5390" s="17">
        <v>21.5</v>
      </c>
      <c r="K5390" s="10">
        <v>5321.5</v>
      </c>
      <c r="P5390" s="17">
        <v>1</v>
      </c>
      <c r="Q5390" s="19">
        <v>5321.5</v>
      </c>
      <c r="R5390" s="14">
        <v>500</v>
      </c>
      <c r="S5390" s="19">
        <v>2660750</v>
      </c>
      <c r="AE5390" s="17" t="s">
        <v>494</v>
      </c>
      <c r="AJ5390" s="19">
        <v>0</v>
      </c>
      <c r="AK5390" s="23">
        <v>0</v>
      </c>
      <c r="AM5390" s="19">
        <v>0</v>
      </c>
      <c r="AN5390" s="19">
        <v>2660750</v>
      </c>
      <c r="AP5390" s="14">
        <v>2660750</v>
      </c>
      <c r="AQ5390" s="12">
        <v>1E-4</v>
      </c>
    </row>
    <row r="5391" spans="1:45" x14ac:dyDescent="0.2">
      <c r="A5391" s="122">
        <f t="shared" si="594"/>
        <v>4513</v>
      </c>
      <c r="B5391" s="13">
        <v>4</v>
      </c>
      <c r="C5391" s="17" t="s">
        <v>115</v>
      </c>
      <c r="J5391" s="17">
        <v>44</v>
      </c>
      <c r="P5391" s="17">
        <v>5</v>
      </c>
      <c r="Q5391" s="19">
        <v>44</v>
      </c>
      <c r="R5391" s="14">
        <v>250</v>
      </c>
      <c r="S5391" s="19">
        <v>11000</v>
      </c>
      <c r="AF5391" s="14">
        <v>2</v>
      </c>
      <c r="AG5391" s="54">
        <v>176</v>
      </c>
      <c r="AH5391" s="11">
        <v>0.91</v>
      </c>
      <c r="AI5391" s="14">
        <v>8100</v>
      </c>
      <c r="AJ5391" s="19">
        <v>1297296</v>
      </c>
      <c r="AK5391" s="23">
        <v>30</v>
      </c>
      <c r="AL5391" s="11">
        <v>0.5</v>
      </c>
      <c r="AM5391" s="19">
        <v>648648</v>
      </c>
      <c r="AN5391" s="19">
        <v>658658</v>
      </c>
      <c r="AP5391" s="14">
        <v>658658</v>
      </c>
      <c r="AQ5391" s="12">
        <v>2.0000000000000001E-4</v>
      </c>
    </row>
    <row r="5392" spans="1:45" x14ac:dyDescent="0.2">
      <c r="AF5392" s="14">
        <v>3</v>
      </c>
      <c r="AG5392" s="54">
        <v>176</v>
      </c>
      <c r="AH5392" s="11">
        <v>0.09</v>
      </c>
      <c r="AI5392" s="14">
        <v>8100</v>
      </c>
      <c r="AJ5392" s="19">
        <v>128304</v>
      </c>
      <c r="AK5392" s="23">
        <v>30</v>
      </c>
      <c r="AL5392" s="11">
        <v>0.5</v>
      </c>
      <c r="AM5392" s="19">
        <v>64152</v>
      </c>
      <c r="AN5392" s="19">
        <v>65142</v>
      </c>
      <c r="AP5392" s="14">
        <v>65142</v>
      </c>
      <c r="AQ5392" s="12">
        <v>3.0000000000000001E-3</v>
      </c>
    </row>
    <row r="5393" spans="1:45" x14ac:dyDescent="0.2">
      <c r="B5393" s="13">
        <v>4</v>
      </c>
      <c r="C5393" s="17" t="s">
        <v>65</v>
      </c>
      <c r="D5393" s="17">
        <v>3450</v>
      </c>
      <c r="E5393" s="17">
        <v>66</v>
      </c>
      <c r="H5393" s="17">
        <v>2</v>
      </c>
      <c r="I5393" s="17">
        <v>1</v>
      </c>
      <c r="J5393" s="17">
        <v>96</v>
      </c>
      <c r="K5393" s="10">
        <v>996</v>
      </c>
      <c r="Q5393" s="19">
        <v>996</v>
      </c>
      <c r="R5393" s="14" t="e">
        <v>#N/A</v>
      </c>
      <c r="S5393" s="19" t="e">
        <v>#N/A</v>
      </c>
      <c r="AE5393" s="17" t="s">
        <v>495</v>
      </c>
      <c r="AJ5393" s="19">
        <v>0</v>
      </c>
      <c r="AK5393" s="23">
        <v>0</v>
      </c>
      <c r="AM5393" s="19">
        <v>0</v>
      </c>
      <c r="AN5393" s="19" t="e">
        <v>#N/A</v>
      </c>
      <c r="AP5393" s="14" t="e">
        <v>#N/A</v>
      </c>
    </row>
    <row r="5394" spans="1:45" x14ac:dyDescent="0.2">
      <c r="A5394" s="2">
        <v>4514</v>
      </c>
      <c r="B5394" s="13">
        <v>1</v>
      </c>
      <c r="C5394" s="17" t="s">
        <v>52</v>
      </c>
      <c r="D5394" s="17">
        <v>3181</v>
      </c>
      <c r="E5394" s="17">
        <v>44</v>
      </c>
      <c r="F5394" s="17">
        <v>2110</v>
      </c>
      <c r="G5394" s="13">
        <v>2</v>
      </c>
      <c r="H5394" s="17">
        <v>2</v>
      </c>
      <c r="I5394" s="17">
        <v>2</v>
      </c>
      <c r="J5394" s="17">
        <v>7</v>
      </c>
      <c r="K5394" s="10">
        <v>1007</v>
      </c>
      <c r="P5394" s="17">
        <v>1</v>
      </c>
      <c r="Q5394" s="19">
        <v>1007</v>
      </c>
      <c r="R5394" s="14">
        <v>200</v>
      </c>
      <c r="S5394" s="19">
        <v>201400</v>
      </c>
      <c r="AJ5394" s="19">
        <v>0</v>
      </c>
      <c r="AK5394" s="23">
        <v>0</v>
      </c>
      <c r="AM5394" s="19">
        <v>0</v>
      </c>
      <c r="AN5394" s="19">
        <v>201400</v>
      </c>
      <c r="AP5394" s="14">
        <v>201400</v>
      </c>
    </row>
    <row r="5395" spans="1:45" x14ac:dyDescent="0.2">
      <c r="A5395" s="2">
        <f>+A5394+1</f>
        <v>4515</v>
      </c>
      <c r="B5395" s="13">
        <v>2</v>
      </c>
      <c r="C5395" s="17" t="s">
        <v>52</v>
      </c>
      <c r="D5395" s="17">
        <v>3182</v>
      </c>
      <c r="E5395" s="17">
        <v>45</v>
      </c>
      <c r="F5395" s="17">
        <v>2111</v>
      </c>
      <c r="G5395" s="13">
        <v>2</v>
      </c>
      <c r="H5395" s="17">
        <v>6</v>
      </c>
      <c r="I5395" s="17">
        <v>3</v>
      </c>
      <c r="J5395" s="17">
        <v>48</v>
      </c>
      <c r="K5395" s="10">
        <v>2748</v>
      </c>
      <c r="Q5395" s="19">
        <v>2748</v>
      </c>
      <c r="R5395" s="14">
        <v>200</v>
      </c>
      <c r="S5395" s="19">
        <v>549600</v>
      </c>
      <c r="AJ5395" s="19">
        <v>0</v>
      </c>
      <c r="AK5395" s="23">
        <v>0</v>
      </c>
      <c r="AM5395" s="19">
        <v>0</v>
      </c>
      <c r="AN5395" s="19">
        <v>549600</v>
      </c>
      <c r="AP5395" s="14">
        <v>549600</v>
      </c>
    </row>
    <row r="5396" spans="1:45" ht="42" x14ac:dyDescent="0.2">
      <c r="A5396" s="122">
        <f>+A5395+1</f>
        <v>4516</v>
      </c>
      <c r="B5396" s="13">
        <v>1</v>
      </c>
      <c r="C5396" s="17" t="s">
        <v>52</v>
      </c>
      <c r="D5396" s="17">
        <v>5535</v>
      </c>
      <c r="E5396" s="17">
        <v>128</v>
      </c>
      <c r="F5396" s="17">
        <v>3024</v>
      </c>
      <c r="H5396" s="17">
        <v>0</v>
      </c>
      <c r="I5396" s="17">
        <v>1</v>
      </c>
      <c r="J5396" s="17">
        <v>96.02</v>
      </c>
      <c r="L5396" s="17">
        <v>196.02</v>
      </c>
      <c r="P5396" s="17">
        <v>1</v>
      </c>
      <c r="Q5396" s="19">
        <v>196.01999999999998</v>
      </c>
      <c r="R5396" s="14">
        <v>2000</v>
      </c>
      <c r="S5396" s="19">
        <v>392039.99999999994</v>
      </c>
      <c r="T5396" s="17">
        <v>1</v>
      </c>
      <c r="V5396" s="17" t="s">
        <v>183</v>
      </c>
      <c r="W5396" s="4">
        <v>88</v>
      </c>
      <c r="Y5396" s="4">
        <v>88</v>
      </c>
      <c r="AB5396" s="17">
        <v>16</v>
      </c>
      <c r="AJ5396" s="19">
        <v>0</v>
      </c>
      <c r="AK5396" s="23">
        <v>16</v>
      </c>
      <c r="AM5396" s="19">
        <v>0</v>
      </c>
      <c r="AN5396" s="19">
        <v>392039.99999999994</v>
      </c>
      <c r="AP5396" s="14">
        <v>392039.99999999994</v>
      </c>
    </row>
    <row r="5397" spans="1:45" ht="42" x14ac:dyDescent="0.2">
      <c r="Q5397" s="19">
        <v>0</v>
      </c>
      <c r="R5397" s="14" t="e">
        <v>#N/A</v>
      </c>
      <c r="S5397" s="19" t="e">
        <v>#N/A</v>
      </c>
      <c r="T5397" s="17">
        <v>2</v>
      </c>
      <c r="V5397" s="17" t="s">
        <v>183</v>
      </c>
      <c r="W5397" s="4">
        <v>32</v>
      </c>
      <c r="Y5397" s="4">
        <v>32</v>
      </c>
      <c r="AB5397" s="17">
        <v>13</v>
      </c>
      <c r="AJ5397" s="19">
        <v>0</v>
      </c>
      <c r="AK5397" s="23">
        <v>13</v>
      </c>
      <c r="AM5397" s="19">
        <v>0</v>
      </c>
      <c r="AN5397" s="19" t="e">
        <v>#N/A</v>
      </c>
      <c r="AP5397" s="14" t="e">
        <v>#N/A</v>
      </c>
    </row>
    <row r="5398" spans="1:45" ht="42" x14ac:dyDescent="0.2">
      <c r="Q5398" s="19">
        <v>0</v>
      </c>
      <c r="R5398" s="14" t="e">
        <v>#N/A</v>
      </c>
      <c r="S5398" s="19" t="e">
        <v>#N/A</v>
      </c>
      <c r="T5398" s="17">
        <v>3</v>
      </c>
      <c r="V5398" s="17" t="s">
        <v>183</v>
      </c>
      <c r="W5398" s="4">
        <v>48</v>
      </c>
      <c r="Y5398" s="4">
        <v>48</v>
      </c>
      <c r="AB5398" s="17">
        <v>11</v>
      </c>
      <c r="AJ5398" s="19">
        <v>0</v>
      </c>
      <c r="AK5398" s="23">
        <v>11</v>
      </c>
      <c r="AM5398" s="19">
        <v>0</v>
      </c>
      <c r="AN5398" s="19" t="e">
        <v>#N/A</v>
      </c>
      <c r="AP5398" s="14" t="e">
        <v>#N/A</v>
      </c>
    </row>
    <row r="5399" spans="1:45" ht="42" x14ac:dyDescent="0.2">
      <c r="Q5399" s="19">
        <v>0</v>
      </c>
      <c r="R5399" s="14" t="e">
        <v>#N/A</v>
      </c>
      <c r="S5399" s="19" t="e">
        <v>#N/A</v>
      </c>
      <c r="T5399" s="17">
        <v>4</v>
      </c>
      <c r="V5399" s="17" t="s">
        <v>183</v>
      </c>
      <c r="W5399" s="4">
        <v>48</v>
      </c>
      <c r="Y5399" s="4">
        <v>48</v>
      </c>
      <c r="AB5399" s="17">
        <v>17</v>
      </c>
      <c r="AJ5399" s="19">
        <v>0</v>
      </c>
      <c r="AK5399" s="23">
        <v>17</v>
      </c>
      <c r="AM5399" s="19">
        <v>0</v>
      </c>
      <c r="AN5399" s="19" t="e">
        <v>#N/A</v>
      </c>
      <c r="AP5399" s="14" t="e">
        <v>#N/A</v>
      </c>
    </row>
    <row r="5400" spans="1:45" x14ac:dyDescent="0.2">
      <c r="A5400" s="2">
        <v>4517</v>
      </c>
      <c r="B5400" s="13">
        <v>1</v>
      </c>
      <c r="C5400" s="17" t="s">
        <v>52</v>
      </c>
      <c r="D5400" s="17">
        <v>5537</v>
      </c>
      <c r="E5400" s="17">
        <v>130</v>
      </c>
      <c r="F5400" s="17">
        <v>3026</v>
      </c>
      <c r="H5400" s="17">
        <v>0</v>
      </c>
      <c r="I5400" s="17">
        <v>1</v>
      </c>
      <c r="J5400" s="17">
        <v>1.02</v>
      </c>
      <c r="K5400" s="10">
        <v>101.02</v>
      </c>
      <c r="P5400" s="17">
        <v>1</v>
      </c>
      <c r="Q5400" s="19">
        <v>101.02</v>
      </c>
      <c r="R5400" s="14">
        <v>2000</v>
      </c>
      <c r="S5400" s="19">
        <v>202040</v>
      </c>
      <c r="AJ5400" s="19">
        <v>0</v>
      </c>
      <c r="AK5400" s="23">
        <v>0</v>
      </c>
      <c r="AM5400" s="19">
        <v>0</v>
      </c>
      <c r="AN5400" s="19">
        <v>202040</v>
      </c>
      <c r="AP5400" s="14">
        <v>202040</v>
      </c>
    </row>
    <row r="5401" spans="1:45" x14ac:dyDescent="0.2">
      <c r="A5401" s="2">
        <f>+A5400+1</f>
        <v>4518</v>
      </c>
      <c r="B5401" s="13">
        <v>2</v>
      </c>
      <c r="C5401" s="17" t="s">
        <v>65</v>
      </c>
      <c r="D5401" s="17">
        <v>3858</v>
      </c>
      <c r="E5401" s="17">
        <v>129</v>
      </c>
      <c r="H5401" s="17">
        <v>4</v>
      </c>
      <c r="I5401" s="17">
        <v>3</v>
      </c>
      <c r="J5401" s="17">
        <v>81</v>
      </c>
      <c r="K5401" s="10">
        <v>1981</v>
      </c>
      <c r="Q5401" s="19">
        <v>1981</v>
      </c>
      <c r="R5401" s="14">
        <v>200</v>
      </c>
      <c r="S5401" s="19">
        <v>396200</v>
      </c>
      <c r="AE5401" s="17" t="s">
        <v>94</v>
      </c>
      <c r="AJ5401" s="19">
        <v>0</v>
      </c>
      <c r="AK5401" s="23">
        <v>0</v>
      </c>
      <c r="AM5401" s="19">
        <v>0</v>
      </c>
      <c r="AN5401" s="19">
        <v>396200</v>
      </c>
      <c r="AP5401" s="14">
        <v>396200</v>
      </c>
      <c r="AQ5401" s="12">
        <v>1E-4</v>
      </c>
    </row>
    <row r="5402" spans="1:45" x14ac:dyDescent="0.2">
      <c r="A5402" s="122">
        <f t="shared" ref="A5402:A5404" si="595">+A5401+1</f>
        <v>4519</v>
      </c>
      <c r="B5402" s="13">
        <v>1</v>
      </c>
      <c r="C5402" s="17" t="s">
        <v>52</v>
      </c>
      <c r="D5402" s="17">
        <v>31055</v>
      </c>
      <c r="E5402" s="17">
        <v>109</v>
      </c>
      <c r="F5402" s="17">
        <v>6005</v>
      </c>
      <c r="G5402" s="13">
        <v>2</v>
      </c>
      <c r="H5402" s="17">
        <v>3</v>
      </c>
      <c r="I5402" s="17">
        <v>3</v>
      </c>
      <c r="J5402" s="17">
        <v>10.08</v>
      </c>
      <c r="K5402" s="10">
        <v>1510.08</v>
      </c>
      <c r="P5402" s="17">
        <v>1</v>
      </c>
      <c r="Q5402" s="19">
        <v>1510.08</v>
      </c>
      <c r="R5402" s="14">
        <v>200</v>
      </c>
      <c r="S5402" s="19">
        <v>302016</v>
      </c>
      <c r="AJ5402" s="19">
        <v>0</v>
      </c>
      <c r="AK5402" s="23">
        <v>0</v>
      </c>
      <c r="AM5402" s="19">
        <v>0</v>
      </c>
      <c r="AN5402" s="19">
        <v>302016</v>
      </c>
      <c r="AP5402" s="14">
        <v>302016</v>
      </c>
      <c r="AS5402" s="26">
        <v>27</v>
      </c>
    </row>
    <row r="5403" spans="1:45" ht="63" x14ac:dyDescent="0.2">
      <c r="A5403" s="122">
        <f t="shared" si="595"/>
        <v>4520</v>
      </c>
      <c r="B5403" s="13">
        <v>2</v>
      </c>
      <c r="C5403" s="17" t="s">
        <v>52</v>
      </c>
      <c r="D5403" s="17">
        <v>31056</v>
      </c>
      <c r="E5403" s="17">
        <v>110</v>
      </c>
      <c r="F5403" s="17">
        <v>6006</v>
      </c>
      <c r="G5403" s="13">
        <v>2</v>
      </c>
      <c r="H5403" s="17">
        <v>1</v>
      </c>
      <c r="I5403" s="17">
        <v>3</v>
      </c>
      <c r="J5403" s="17">
        <v>93.09</v>
      </c>
      <c r="L5403" s="17">
        <v>793.09</v>
      </c>
      <c r="P5403" s="17">
        <v>2</v>
      </c>
      <c r="Q5403" s="19">
        <v>793.09</v>
      </c>
      <c r="R5403" s="14">
        <v>200</v>
      </c>
      <c r="S5403" s="19">
        <v>158618</v>
      </c>
      <c r="T5403" s="17">
        <v>1</v>
      </c>
      <c r="V5403" s="17" t="s">
        <v>496</v>
      </c>
      <c r="W5403" s="4">
        <v>105</v>
      </c>
      <c r="Y5403" s="4">
        <v>105</v>
      </c>
      <c r="AB5403" s="17">
        <v>21</v>
      </c>
      <c r="AJ5403" s="19">
        <v>0</v>
      </c>
      <c r="AK5403" s="23">
        <v>21</v>
      </c>
      <c r="AM5403" s="19">
        <v>0</v>
      </c>
      <c r="AN5403" s="19">
        <v>158618</v>
      </c>
      <c r="AP5403" s="14">
        <v>158618</v>
      </c>
    </row>
    <row r="5404" spans="1:45" ht="42" x14ac:dyDescent="0.2">
      <c r="A5404" s="122">
        <f t="shared" si="595"/>
        <v>4521</v>
      </c>
      <c r="B5404" s="13">
        <v>3</v>
      </c>
      <c r="C5404" s="17" t="s">
        <v>52</v>
      </c>
      <c r="D5404" s="17">
        <v>31057</v>
      </c>
      <c r="E5404" s="17">
        <v>111</v>
      </c>
      <c r="F5404" s="17">
        <v>6007</v>
      </c>
      <c r="G5404" s="13">
        <v>2</v>
      </c>
      <c r="H5404" s="17">
        <v>3</v>
      </c>
      <c r="I5404" s="17">
        <v>0</v>
      </c>
      <c r="J5404" s="17">
        <v>35.020000000000003</v>
      </c>
      <c r="L5404" s="17">
        <v>1235.02</v>
      </c>
      <c r="P5404" s="17">
        <v>2</v>
      </c>
      <c r="Q5404" s="19">
        <v>1235.02</v>
      </c>
      <c r="R5404" s="14">
        <v>250</v>
      </c>
      <c r="S5404" s="19">
        <v>308755</v>
      </c>
      <c r="T5404" s="17">
        <v>1</v>
      </c>
      <c r="V5404" s="17" t="s">
        <v>183</v>
      </c>
      <c r="W5404" s="4">
        <v>120</v>
      </c>
      <c r="Y5404" s="4">
        <v>120</v>
      </c>
      <c r="AB5404" s="17">
        <v>15</v>
      </c>
      <c r="AJ5404" s="19">
        <v>0</v>
      </c>
      <c r="AK5404" s="23">
        <v>15</v>
      </c>
      <c r="AM5404" s="19">
        <v>0</v>
      </c>
      <c r="AN5404" s="19">
        <v>308755</v>
      </c>
      <c r="AP5404" s="14">
        <v>308755</v>
      </c>
    </row>
    <row r="5405" spans="1:45" x14ac:dyDescent="0.2">
      <c r="B5405" s="13">
        <v>4</v>
      </c>
      <c r="C5405" s="17" t="s">
        <v>65</v>
      </c>
      <c r="D5405" s="17">
        <v>305</v>
      </c>
      <c r="E5405" s="17">
        <v>43</v>
      </c>
      <c r="H5405" s="17">
        <v>9</v>
      </c>
      <c r="I5405" s="17">
        <v>0</v>
      </c>
      <c r="J5405" s="17">
        <v>66</v>
      </c>
      <c r="K5405" s="10">
        <v>3666</v>
      </c>
      <c r="Q5405" s="19">
        <v>3666</v>
      </c>
      <c r="R5405" s="14" t="e">
        <v>#N/A</v>
      </c>
      <c r="S5405" s="19" t="e">
        <v>#N/A</v>
      </c>
      <c r="AE5405" s="17" t="s">
        <v>94</v>
      </c>
      <c r="AJ5405" s="19">
        <v>0</v>
      </c>
      <c r="AK5405" s="23">
        <v>0</v>
      </c>
      <c r="AM5405" s="19">
        <v>0</v>
      </c>
      <c r="AN5405" s="19" t="e">
        <v>#N/A</v>
      </c>
      <c r="AP5405" s="14" t="e">
        <v>#N/A</v>
      </c>
      <c r="AQ5405" s="12">
        <v>1E-4</v>
      </c>
    </row>
    <row r="5406" spans="1:45" x14ac:dyDescent="0.2">
      <c r="B5406" s="13">
        <v>5</v>
      </c>
      <c r="C5406" s="17" t="s">
        <v>65</v>
      </c>
      <c r="D5406" s="17">
        <v>332</v>
      </c>
      <c r="E5406" s="17">
        <v>77</v>
      </c>
      <c r="H5406" s="17">
        <v>16</v>
      </c>
      <c r="I5406" s="17">
        <v>1</v>
      </c>
      <c r="J5406" s="17">
        <v>70</v>
      </c>
      <c r="K5406" s="10">
        <v>6570</v>
      </c>
      <c r="Q5406" s="19">
        <v>6570</v>
      </c>
      <c r="R5406" s="14" t="e">
        <v>#N/A</v>
      </c>
      <c r="S5406" s="19" t="e">
        <v>#N/A</v>
      </c>
      <c r="AE5406" s="17" t="s">
        <v>94</v>
      </c>
      <c r="AJ5406" s="19">
        <v>0</v>
      </c>
      <c r="AK5406" s="23">
        <v>0</v>
      </c>
      <c r="AM5406" s="19">
        <v>0</v>
      </c>
      <c r="AN5406" s="19" t="e">
        <v>#N/A</v>
      </c>
      <c r="AP5406" s="14" t="e">
        <v>#N/A</v>
      </c>
      <c r="AQ5406" s="12">
        <v>1E-4</v>
      </c>
    </row>
    <row r="5407" spans="1:45" x14ac:dyDescent="0.2">
      <c r="A5407" s="2">
        <v>4522</v>
      </c>
      <c r="B5407" s="13">
        <v>6</v>
      </c>
      <c r="C5407" s="17" t="s">
        <v>65</v>
      </c>
      <c r="D5407" s="17">
        <v>2013</v>
      </c>
      <c r="E5407" s="17">
        <v>47</v>
      </c>
      <c r="H5407" s="17">
        <v>4</v>
      </c>
      <c r="I5407" s="17">
        <v>0</v>
      </c>
      <c r="J5407" s="17">
        <v>63</v>
      </c>
      <c r="K5407" s="10">
        <v>1663</v>
      </c>
      <c r="P5407" s="17">
        <v>1</v>
      </c>
      <c r="Q5407" s="19">
        <v>1663</v>
      </c>
      <c r="R5407" s="14">
        <v>160</v>
      </c>
      <c r="S5407" s="19">
        <v>266080</v>
      </c>
      <c r="AJ5407" s="19">
        <v>0</v>
      </c>
      <c r="AK5407" s="23">
        <v>0</v>
      </c>
      <c r="AM5407" s="19">
        <v>0</v>
      </c>
      <c r="AN5407" s="19">
        <v>266080</v>
      </c>
      <c r="AP5407" s="14">
        <v>266080</v>
      </c>
      <c r="AQ5407" s="12">
        <v>1E-4</v>
      </c>
    </row>
    <row r="5408" spans="1:45" x14ac:dyDescent="0.2">
      <c r="B5408" s="13">
        <v>1</v>
      </c>
      <c r="C5408" s="17" t="s">
        <v>65</v>
      </c>
      <c r="D5408" s="17">
        <v>33</v>
      </c>
      <c r="E5408" s="17">
        <v>41</v>
      </c>
      <c r="H5408" s="17">
        <v>2</v>
      </c>
      <c r="I5408" s="17">
        <v>2</v>
      </c>
      <c r="J5408" s="17">
        <v>46</v>
      </c>
      <c r="K5408" s="10">
        <v>1046</v>
      </c>
      <c r="Q5408" s="19">
        <v>1046</v>
      </c>
      <c r="R5408" s="14" t="e">
        <v>#N/A</v>
      </c>
      <c r="S5408" s="19" t="e">
        <v>#N/A</v>
      </c>
      <c r="AE5408" s="17" t="s">
        <v>94</v>
      </c>
      <c r="AJ5408" s="19">
        <v>0</v>
      </c>
      <c r="AK5408" s="23">
        <v>0</v>
      </c>
      <c r="AM5408" s="19">
        <v>0</v>
      </c>
      <c r="AN5408" s="19" t="e">
        <v>#N/A</v>
      </c>
      <c r="AP5408" s="14" t="e">
        <v>#N/A</v>
      </c>
      <c r="AQ5408" s="12">
        <v>1E-4</v>
      </c>
    </row>
    <row r="5409" spans="1:45" x14ac:dyDescent="0.2">
      <c r="A5409" s="2">
        <v>4523</v>
      </c>
      <c r="B5409" s="13">
        <v>1</v>
      </c>
      <c r="C5409" s="17" t="s">
        <v>52</v>
      </c>
      <c r="D5409" s="17">
        <v>23588</v>
      </c>
      <c r="E5409" s="17">
        <v>37</v>
      </c>
      <c r="F5409" s="17">
        <v>4829</v>
      </c>
      <c r="G5409" s="13">
        <v>2</v>
      </c>
      <c r="H5409" s="17">
        <v>2</v>
      </c>
      <c r="I5409" s="17">
        <v>3</v>
      </c>
      <c r="J5409" s="17">
        <v>96</v>
      </c>
      <c r="K5409" s="10">
        <v>1196</v>
      </c>
      <c r="P5409" s="17">
        <v>1</v>
      </c>
      <c r="Q5409" s="19">
        <v>1196</v>
      </c>
      <c r="R5409" s="14">
        <v>200</v>
      </c>
      <c r="S5409" s="19">
        <v>239200</v>
      </c>
      <c r="AJ5409" s="19">
        <v>0</v>
      </c>
      <c r="AK5409" s="23">
        <v>0</v>
      </c>
      <c r="AM5409" s="19">
        <v>0</v>
      </c>
      <c r="AN5409" s="19">
        <v>239200</v>
      </c>
      <c r="AP5409" s="14">
        <v>239200</v>
      </c>
    </row>
    <row r="5410" spans="1:45" x14ac:dyDescent="0.2">
      <c r="A5410" s="2">
        <f>+A5409+1</f>
        <v>4524</v>
      </c>
      <c r="B5410" s="13">
        <v>1</v>
      </c>
      <c r="C5410" s="17" t="s">
        <v>52</v>
      </c>
      <c r="D5410" s="17">
        <v>29197</v>
      </c>
      <c r="E5410" s="17">
        <v>141</v>
      </c>
      <c r="F5410" s="17">
        <v>5392</v>
      </c>
      <c r="G5410" s="13">
        <v>1</v>
      </c>
      <c r="H5410" s="17">
        <v>0</v>
      </c>
      <c r="I5410" s="17">
        <v>1</v>
      </c>
      <c r="J5410" s="17">
        <v>6</v>
      </c>
      <c r="K5410" s="10">
        <v>106</v>
      </c>
      <c r="P5410" s="17">
        <v>1</v>
      </c>
      <c r="Q5410" s="19">
        <v>106</v>
      </c>
      <c r="R5410" s="14">
        <v>3000</v>
      </c>
      <c r="S5410" s="19">
        <v>318000</v>
      </c>
      <c r="AJ5410" s="19">
        <v>0</v>
      </c>
      <c r="AK5410" s="23">
        <v>0</v>
      </c>
      <c r="AM5410" s="19">
        <v>0</v>
      </c>
      <c r="AN5410" s="19">
        <v>318000</v>
      </c>
      <c r="AP5410" s="14">
        <v>318000</v>
      </c>
      <c r="AS5410" s="26">
        <v>49</v>
      </c>
    </row>
    <row r="5411" spans="1:45" x14ac:dyDescent="0.2">
      <c r="A5411" s="122">
        <f t="shared" ref="A5411:A5431" si="596">+A5410+1</f>
        <v>4525</v>
      </c>
      <c r="B5411" s="13">
        <v>3</v>
      </c>
      <c r="C5411" s="17" t="s">
        <v>52</v>
      </c>
      <c r="D5411" s="17">
        <v>1880</v>
      </c>
      <c r="E5411" s="17">
        <v>7</v>
      </c>
      <c r="F5411" s="17">
        <v>1270</v>
      </c>
      <c r="G5411" s="13">
        <v>2</v>
      </c>
      <c r="H5411" s="17">
        <v>2</v>
      </c>
      <c r="I5411" s="17">
        <v>0</v>
      </c>
      <c r="J5411" s="17">
        <v>46</v>
      </c>
      <c r="K5411" s="10">
        <v>846</v>
      </c>
      <c r="P5411" s="17">
        <v>1</v>
      </c>
      <c r="Q5411" s="19">
        <v>846</v>
      </c>
      <c r="R5411" s="14">
        <v>160</v>
      </c>
      <c r="S5411" s="19">
        <v>135360</v>
      </c>
      <c r="AJ5411" s="19">
        <v>0</v>
      </c>
      <c r="AK5411" s="23">
        <v>0</v>
      </c>
      <c r="AM5411" s="19">
        <v>0</v>
      </c>
      <c r="AN5411" s="19">
        <v>135360</v>
      </c>
      <c r="AP5411" s="14">
        <v>135360</v>
      </c>
    </row>
    <row r="5412" spans="1:45" x14ac:dyDescent="0.2">
      <c r="A5412" s="122">
        <f t="shared" si="596"/>
        <v>4526</v>
      </c>
      <c r="B5412" s="13">
        <v>4</v>
      </c>
      <c r="C5412" s="17" t="s">
        <v>52</v>
      </c>
      <c r="D5412" s="17">
        <v>11829</v>
      </c>
      <c r="E5412" s="17">
        <v>56</v>
      </c>
      <c r="F5412" s="17">
        <v>3221</v>
      </c>
      <c r="G5412" s="13">
        <v>2</v>
      </c>
      <c r="H5412" s="17">
        <v>3</v>
      </c>
      <c r="I5412" s="17">
        <v>2</v>
      </c>
      <c r="J5412" s="17">
        <v>87.06</v>
      </c>
      <c r="K5412" s="10">
        <v>1487.06</v>
      </c>
      <c r="P5412" s="17">
        <v>1</v>
      </c>
      <c r="Q5412" s="19">
        <v>1487.06</v>
      </c>
      <c r="R5412" s="14">
        <v>160</v>
      </c>
      <c r="S5412" s="19">
        <v>237929.59999999998</v>
      </c>
      <c r="AJ5412" s="19">
        <v>0</v>
      </c>
      <c r="AK5412" s="23">
        <v>0</v>
      </c>
      <c r="AM5412" s="19">
        <v>0</v>
      </c>
      <c r="AN5412" s="19">
        <v>237929.59999999998</v>
      </c>
      <c r="AP5412" s="14">
        <v>237929.59999999998</v>
      </c>
    </row>
    <row r="5413" spans="1:45" x14ac:dyDescent="0.2">
      <c r="A5413" s="122">
        <f t="shared" si="596"/>
        <v>4527</v>
      </c>
      <c r="B5413" s="13">
        <v>5</v>
      </c>
      <c r="C5413" s="17" t="s">
        <v>52</v>
      </c>
      <c r="D5413" s="17">
        <v>14021</v>
      </c>
      <c r="E5413" s="17">
        <v>33</v>
      </c>
      <c r="F5413" s="17">
        <v>3299</v>
      </c>
      <c r="G5413" s="13">
        <v>2</v>
      </c>
      <c r="H5413" s="17">
        <v>6</v>
      </c>
      <c r="I5413" s="17">
        <v>1</v>
      </c>
      <c r="J5413" s="17">
        <v>37</v>
      </c>
      <c r="K5413" s="10">
        <v>2537</v>
      </c>
      <c r="P5413" s="17">
        <v>1</v>
      </c>
      <c r="Q5413" s="19">
        <v>2537</v>
      </c>
      <c r="R5413" s="14">
        <v>160</v>
      </c>
      <c r="S5413" s="19">
        <v>405920</v>
      </c>
      <c r="AJ5413" s="19">
        <v>0</v>
      </c>
      <c r="AK5413" s="23">
        <v>0</v>
      </c>
      <c r="AM5413" s="19">
        <v>0</v>
      </c>
      <c r="AN5413" s="19">
        <v>405920</v>
      </c>
      <c r="AP5413" s="14">
        <v>405920</v>
      </c>
    </row>
    <row r="5414" spans="1:45" x14ac:dyDescent="0.2">
      <c r="A5414" s="122">
        <f t="shared" si="596"/>
        <v>4528</v>
      </c>
      <c r="B5414" s="13">
        <v>1</v>
      </c>
      <c r="C5414" s="17" t="s">
        <v>52</v>
      </c>
      <c r="D5414" s="17">
        <v>1876</v>
      </c>
      <c r="E5414" s="17">
        <v>10</v>
      </c>
      <c r="F5414" s="17">
        <v>1266</v>
      </c>
      <c r="G5414" s="13">
        <v>2</v>
      </c>
      <c r="H5414" s="17">
        <v>2</v>
      </c>
      <c r="I5414" s="17">
        <v>3</v>
      </c>
      <c r="J5414" s="17">
        <v>13</v>
      </c>
      <c r="K5414" s="10">
        <v>1113</v>
      </c>
      <c r="P5414" s="17">
        <v>1</v>
      </c>
      <c r="Q5414" s="19">
        <v>1113</v>
      </c>
      <c r="R5414" s="14">
        <v>160</v>
      </c>
      <c r="S5414" s="19">
        <v>178080</v>
      </c>
      <c r="AE5414" s="17" t="s">
        <v>497</v>
      </c>
      <c r="AJ5414" s="19">
        <v>0</v>
      </c>
      <c r="AK5414" s="23">
        <v>0</v>
      </c>
      <c r="AM5414" s="19">
        <v>0</v>
      </c>
      <c r="AN5414" s="19">
        <v>178080</v>
      </c>
      <c r="AP5414" s="14">
        <v>178080</v>
      </c>
    </row>
    <row r="5415" spans="1:45" x14ac:dyDescent="0.2">
      <c r="A5415" s="122">
        <f t="shared" si="596"/>
        <v>4529</v>
      </c>
      <c r="B5415" s="13">
        <v>2</v>
      </c>
      <c r="C5415" s="17" t="s">
        <v>52</v>
      </c>
      <c r="D5415" s="17">
        <v>1886</v>
      </c>
      <c r="E5415" s="17">
        <v>22</v>
      </c>
      <c r="F5415" s="17">
        <v>1276</v>
      </c>
      <c r="G5415" s="13">
        <v>2</v>
      </c>
      <c r="H5415" s="17">
        <v>3</v>
      </c>
      <c r="I5415" s="17">
        <v>2</v>
      </c>
      <c r="J5415" s="17">
        <v>75</v>
      </c>
      <c r="K5415" s="10">
        <v>1475</v>
      </c>
      <c r="P5415" s="17">
        <v>1</v>
      </c>
      <c r="Q5415" s="19">
        <v>1475</v>
      </c>
      <c r="R5415" s="14">
        <v>160</v>
      </c>
      <c r="S5415" s="19">
        <v>236000</v>
      </c>
      <c r="AJ5415" s="19">
        <v>0</v>
      </c>
      <c r="AK5415" s="23">
        <v>0</v>
      </c>
      <c r="AM5415" s="19">
        <v>0</v>
      </c>
      <c r="AN5415" s="19">
        <v>236000</v>
      </c>
      <c r="AP5415" s="14">
        <v>236000</v>
      </c>
      <c r="AS5415" s="26">
        <v>24</v>
      </c>
    </row>
    <row r="5416" spans="1:45" x14ac:dyDescent="0.2">
      <c r="A5416" s="122">
        <f t="shared" si="596"/>
        <v>4530</v>
      </c>
      <c r="B5416" s="13">
        <v>3</v>
      </c>
      <c r="C5416" s="17" t="s">
        <v>52</v>
      </c>
      <c r="D5416" s="17">
        <v>1887</v>
      </c>
      <c r="E5416" s="17">
        <v>21</v>
      </c>
      <c r="F5416" s="17">
        <v>1277</v>
      </c>
      <c r="G5416" s="13">
        <v>2</v>
      </c>
      <c r="H5416" s="17">
        <v>8</v>
      </c>
      <c r="I5416" s="17">
        <v>0</v>
      </c>
      <c r="J5416" s="17">
        <v>43</v>
      </c>
      <c r="K5416" s="10">
        <v>3243</v>
      </c>
      <c r="P5416" s="17">
        <v>1</v>
      </c>
      <c r="Q5416" s="19">
        <v>3243</v>
      </c>
      <c r="R5416" s="14">
        <v>160</v>
      </c>
      <c r="S5416" s="19">
        <v>518880</v>
      </c>
      <c r="AJ5416" s="19">
        <v>0</v>
      </c>
      <c r="AK5416" s="23">
        <v>0</v>
      </c>
      <c r="AM5416" s="19">
        <v>0</v>
      </c>
      <c r="AN5416" s="19">
        <v>518880</v>
      </c>
      <c r="AP5416" s="14">
        <v>518880</v>
      </c>
    </row>
    <row r="5417" spans="1:45" x14ac:dyDescent="0.2">
      <c r="A5417" s="122">
        <f t="shared" si="596"/>
        <v>4531</v>
      </c>
      <c r="B5417" s="13">
        <v>1</v>
      </c>
      <c r="C5417" s="17" t="s">
        <v>52</v>
      </c>
      <c r="D5417" s="17">
        <v>1936</v>
      </c>
      <c r="E5417" s="17">
        <v>37</v>
      </c>
      <c r="F5417" s="17">
        <v>1332</v>
      </c>
      <c r="G5417" s="13">
        <v>2</v>
      </c>
      <c r="H5417" s="17">
        <v>5</v>
      </c>
      <c r="I5417" s="17">
        <v>2</v>
      </c>
      <c r="J5417" s="17">
        <v>5</v>
      </c>
      <c r="K5417" s="10">
        <v>2205</v>
      </c>
      <c r="P5417" s="17">
        <v>1</v>
      </c>
      <c r="Q5417" s="19">
        <v>2205</v>
      </c>
      <c r="R5417" s="14">
        <v>160</v>
      </c>
      <c r="S5417" s="19">
        <v>352800</v>
      </c>
      <c r="AJ5417" s="19">
        <v>0</v>
      </c>
      <c r="AK5417" s="23">
        <v>0</v>
      </c>
      <c r="AM5417" s="19">
        <v>0</v>
      </c>
      <c r="AN5417" s="19">
        <v>352800</v>
      </c>
      <c r="AP5417" s="14">
        <v>352800</v>
      </c>
    </row>
    <row r="5418" spans="1:45" x14ac:dyDescent="0.2">
      <c r="A5418" s="122">
        <f t="shared" si="596"/>
        <v>4532</v>
      </c>
      <c r="B5418" s="13">
        <v>2</v>
      </c>
      <c r="C5418" s="17" t="s">
        <v>52</v>
      </c>
      <c r="D5418" s="17">
        <v>15966</v>
      </c>
      <c r="E5418" s="17">
        <v>28</v>
      </c>
      <c r="F5418" s="17">
        <v>3475</v>
      </c>
      <c r="G5418" s="13">
        <v>3</v>
      </c>
      <c r="H5418" s="17">
        <v>0</v>
      </c>
      <c r="I5418" s="17">
        <v>0</v>
      </c>
      <c r="J5418" s="17">
        <v>73</v>
      </c>
      <c r="K5418" s="10">
        <v>73</v>
      </c>
      <c r="P5418" s="17">
        <v>1</v>
      </c>
      <c r="Q5418" s="19">
        <v>73</v>
      </c>
      <c r="R5418" s="14">
        <v>2000</v>
      </c>
      <c r="S5418" s="19">
        <v>146000</v>
      </c>
      <c r="AJ5418" s="19">
        <v>0</v>
      </c>
      <c r="AK5418" s="23">
        <v>0</v>
      </c>
      <c r="AM5418" s="19">
        <v>0</v>
      </c>
      <c r="AN5418" s="19">
        <v>146000</v>
      </c>
      <c r="AP5418" s="14">
        <v>146000</v>
      </c>
    </row>
    <row r="5419" spans="1:45" x14ac:dyDescent="0.2">
      <c r="A5419" s="122">
        <f t="shared" si="596"/>
        <v>4533</v>
      </c>
      <c r="B5419" s="13">
        <v>3</v>
      </c>
      <c r="C5419" s="17" t="s">
        <v>65</v>
      </c>
      <c r="D5419" s="17">
        <v>2724</v>
      </c>
      <c r="E5419" s="17">
        <v>55</v>
      </c>
      <c r="H5419" s="17">
        <v>0</v>
      </c>
      <c r="I5419" s="17">
        <v>0</v>
      </c>
      <c r="J5419" s="17">
        <v>75</v>
      </c>
      <c r="K5419" s="10">
        <v>75</v>
      </c>
      <c r="Q5419" s="19">
        <v>75</v>
      </c>
      <c r="R5419" s="14">
        <v>160</v>
      </c>
      <c r="S5419" s="19">
        <v>12000</v>
      </c>
      <c r="AE5419" s="17" t="s">
        <v>94</v>
      </c>
      <c r="AJ5419" s="19">
        <v>0</v>
      </c>
      <c r="AK5419" s="23">
        <v>0</v>
      </c>
      <c r="AM5419" s="19">
        <v>0</v>
      </c>
      <c r="AN5419" s="19">
        <v>12000</v>
      </c>
      <c r="AP5419" s="14">
        <v>12000</v>
      </c>
      <c r="AQ5419" s="12">
        <v>1E-4</v>
      </c>
    </row>
    <row r="5420" spans="1:45" x14ac:dyDescent="0.2">
      <c r="A5420" s="122">
        <f t="shared" si="596"/>
        <v>4534</v>
      </c>
      <c r="B5420" s="13">
        <v>1</v>
      </c>
      <c r="C5420" s="17" t="s">
        <v>52</v>
      </c>
      <c r="D5420" s="17">
        <v>1926</v>
      </c>
      <c r="E5420" s="17">
        <v>37</v>
      </c>
      <c r="F5420" s="17">
        <v>1291</v>
      </c>
      <c r="G5420" s="13">
        <v>2</v>
      </c>
      <c r="H5420" s="17">
        <v>6</v>
      </c>
      <c r="I5420" s="17">
        <v>2</v>
      </c>
      <c r="J5420" s="17">
        <v>29</v>
      </c>
      <c r="K5420" s="10">
        <v>2629</v>
      </c>
      <c r="P5420" s="17">
        <v>1</v>
      </c>
      <c r="Q5420" s="19">
        <v>2629</v>
      </c>
      <c r="R5420" s="14">
        <v>160</v>
      </c>
      <c r="S5420" s="19">
        <v>420640</v>
      </c>
      <c r="AJ5420" s="19">
        <v>0</v>
      </c>
      <c r="AK5420" s="23">
        <v>0</v>
      </c>
      <c r="AM5420" s="19">
        <v>0</v>
      </c>
      <c r="AN5420" s="19">
        <v>420640</v>
      </c>
      <c r="AP5420" s="14">
        <v>420640</v>
      </c>
    </row>
    <row r="5421" spans="1:45" x14ac:dyDescent="0.2">
      <c r="A5421" s="122">
        <f t="shared" si="596"/>
        <v>4535</v>
      </c>
      <c r="B5421" s="13">
        <v>2</v>
      </c>
      <c r="C5421" s="17" t="s">
        <v>52</v>
      </c>
      <c r="D5421" s="17">
        <v>3610</v>
      </c>
      <c r="E5421" s="17">
        <v>93</v>
      </c>
      <c r="F5421" s="17">
        <v>2241</v>
      </c>
      <c r="G5421" s="13">
        <v>2</v>
      </c>
      <c r="H5421" s="17">
        <v>5</v>
      </c>
      <c r="I5421" s="17">
        <v>2</v>
      </c>
      <c r="J5421" s="17">
        <v>65.069999999999993</v>
      </c>
      <c r="K5421" s="10">
        <v>2265.0700000000002</v>
      </c>
      <c r="P5421" s="17">
        <v>1</v>
      </c>
      <c r="Q5421" s="19">
        <v>2265.0700000000002</v>
      </c>
      <c r="R5421" s="14">
        <v>200</v>
      </c>
      <c r="S5421" s="19">
        <v>453014.00000000006</v>
      </c>
      <c r="AJ5421" s="19">
        <v>0</v>
      </c>
      <c r="AK5421" s="23">
        <v>0</v>
      </c>
      <c r="AM5421" s="19">
        <v>0</v>
      </c>
      <c r="AN5421" s="19">
        <v>453014.00000000006</v>
      </c>
      <c r="AP5421" s="14">
        <v>453014.00000000006</v>
      </c>
    </row>
    <row r="5422" spans="1:45" x14ac:dyDescent="0.2">
      <c r="A5422" s="122">
        <f t="shared" si="596"/>
        <v>4536</v>
      </c>
      <c r="B5422" s="13">
        <v>1</v>
      </c>
      <c r="C5422" s="17" t="s">
        <v>52</v>
      </c>
      <c r="D5422" s="17">
        <v>1875</v>
      </c>
      <c r="E5422" s="17">
        <v>12</v>
      </c>
      <c r="F5422" s="17">
        <v>1265</v>
      </c>
      <c r="G5422" s="13">
        <v>2</v>
      </c>
      <c r="H5422" s="17">
        <v>14</v>
      </c>
      <c r="I5422" s="17">
        <v>1</v>
      </c>
      <c r="J5422" s="17">
        <v>28</v>
      </c>
      <c r="K5422" s="10">
        <v>5728</v>
      </c>
      <c r="P5422" s="17">
        <v>1</v>
      </c>
      <c r="Q5422" s="19">
        <v>5728</v>
      </c>
      <c r="R5422" s="14">
        <v>160</v>
      </c>
      <c r="S5422" s="19">
        <v>916480</v>
      </c>
      <c r="AJ5422" s="19">
        <v>0</v>
      </c>
      <c r="AK5422" s="23">
        <v>0</v>
      </c>
      <c r="AM5422" s="19">
        <v>0</v>
      </c>
      <c r="AN5422" s="19">
        <v>916480</v>
      </c>
      <c r="AP5422" s="14">
        <v>916480</v>
      </c>
      <c r="AS5422" s="26">
        <v>93</v>
      </c>
    </row>
    <row r="5423" spans="1:45" x14ac:dyDescent="0.2">
      <c r="A5423" s="122">
        <f t="shared" si="596"/>
        <v>4537</v>
      </c>
      <c r="B5423" s="13">
        <v>2</v>
      </c>
      <c r="C5423" s="17" t="s">
        <v>52</v>
      </c>
      <c r="D5423" s="17">
        <v>11828</v>
      </c>
      <c r="E5423" s="17">
        <v>55</v>
      </c>
      <c r="F5423" s="17">
        <v>3220</v>
      </c>
      <c r="G5423" s="13">
        <v>2</v>
      </c>
      <c r="H5423" s="17">
        <v>2</v>
      </c>
      <c r="I5423" s="17">
        <v>1</v>
      </c>
      <c r="J5423" s="17">
        <v>83.02</v>
      </c>
      <c r="K5423" s="10">
        <v>983.02</v>
      </c>
      <c r="P5423" s="17">
        <v>1</v>
      </c>
      <c r="Q5423" s="19">
        <v>983.02</v>
      </c>
      <c r="R5423" s="14">
        <v>160</v>
      </c>
      <c r="S5423" s="19">
        <v>157283.20000000001</v>
      </c>
      <c r="AJ5423" s="19">
        <v>0</v>
      </c>
      <c r="AK5423" s="23">
        <v>0</v>
      </c>
      <c r="AM5423" s="19">
        <v>0</v>
      </c>
      <c r="AN5423" s="19">
        <v>157283.20000000001</v>
      </c>
      <c r="AP5423" s="14">
        <v>157283.20000000001</v>
      </c>
    </row>
    <row r="5424" spans="1:45" x14ac:dyDescent="0.2">
      <c r="A5424" s="122">
        <f t="shared" si="596"/>
        <v>4538</v>
      </c>
      <c r="B5424" s="13">
        <v>3</v>
      </c>
      <c r="C5424" s="17" t="s">
        <v>52</v>
      </c>
      <c r="D5424" s="17">
        <v>15826</v>
      </c>
      <c r="E5424" s="17">
        <v>58</v>
      </c>
      <c r="F5424" s="17">
        <v>3412</v>
      </c>
      <c r="H5424" s="17">
        <v>10</v>
      </c>
      <c r="I5424" s="17">
        <v>0</v>
      </c>
      <c r="J5424" s="17">
        <v>23</v>
      </c>
      <c r="K5424" s="10" t="s">
        <v>498</v>
      </c>
      <c r="P5424" s="17">
        <v>1</v>
      </c>
      <c r="Q5424" s="19">
        <v>4023</v>
      </c>
      <c r="R5424" s="14">
        <v>160</v>
      </c>
      <c r="S5424" s="19">
        <v>643680</v>
      </c>
    </row>
    <row r="5425" spans="1:45" x14ac:dyDescent="0.2">
      <c r="A5425" s="122">
        <f t="shared" si="596"/>
        <v>4539</v>
      </c>
      <c r="B5425" s="13">
        <v>4</v>
      </c>
      <c r="C5425" s="17" t="s">
        <v>52</v>
      </c>
      <c r="D5425" s="17">
        <v>23524</v>
      </c>
      <c r="E5425" s="17">
        <v>70</v>
      </c>
      <c r="F5425" s="17">
        <v>4795</v>
      </c>
      <c r="H5425" s="17">
        <v>4</v>
      </c>
      <c r="I5425" s="17">
        <v>1</v>
      </c>
      <c r="J5425" s="17">
        <v>62</v>
      </c>
      <c r="K5425" s="10" t="s">
        <v>499</v>
      </c>
      <c r="P5425" s="17">
        <v>1</v>
      </c>
      <c r="Q5425" s="19">
        <v>1762</v>
      </c>
      <c r="R5425" s="14">
        <v>160</v>
      </c>
      <c r="S5425" s="19">
        <v>281920</v>
      </c>
    </row>
    <row r="5426" spans="1:45" x14ac:dyDescent="0.2">
      <c r="A5426" s="122">
        <f t="shared" si="596"/>
        <v>4540</v>
      </c>
      <c r="B5426" s="13">
        <v>1</v>
      </c>
      <c r="C5426" s="17" t="s">
        <v>52</v>
      </c>
      <c r="D5426" s="17">
        <v>33643</v>
      </c>
      <c r="E5426" s="17">
        <v>122</v>
      </c>
      <c r="F5426" s="17">
        <v>6733</v>
      </c>
      <c r="G5426" s="13">
        <v>3</v>
      </c>
      <c r="H5426" s="17">
        <v>0</v>
      </c>
      <c r="I5426" s="17">
        <v>0</v>
      </c>
      <c r="J5426" s="17">
        <v>48</v>
      </c>
      <c r="N5426" s="18">
        <v>48</v>
      </c>
      <c r="P5426" s="17">
        <v>4</v>
      </c>
      <c r="Q5426" s="19">
        <v>48</v>
      </c>
      <c r="R5426" s="14">
        <v>250</v>
      </c>
      <c r="S5426" s="19">
        <v>12000</v>
      </c>
      <c r="AJ5426" s="19">
        <v>0</v>
      </c>
      <c r="AK5426" s="23">
        <v>0</v>
      </c>
      <c r="AM5426" s="19">
        <v>0</v>
      </c>
      <c r="AN5426" s="19">
        <v>12000</v>
      </c>
      <c r="AP5426" s="14">
        <v>12000</v>
      </c>
      <c r="AQ5426" s="12">
        <v>3.0000000000000001E-3</v>
      </c>
      <c r="AS5426" s="26">
        <v>1</v>
      </c>
    </row>
    <row r="5427" spans="1:45" x14ac:dyDescent="0.2">
      <c r="A5427" s="122">
        <f t="shared" si="596"/>
        <v>4541</v>
      </c>
      <c r="B5427" s="13">
        <v>2</v>
      </c>
      <c r="C5427" s="17" t="s">
        <v>52</v>
      </c>
      <c r="D5427" s="17">
        <v>33644</v>
      </c>
      <c r="E5427" s="17">
        <v>123</v>
      </c>
      <c r="F5427" s="17">
        <v>6734</v>
      </c>
      <c r="G5427" s="13">
        <v>3</v>
      </c>
      <c r="H5427" s="17">
        <v>0</v>
      </c>
      <c r="I5427" s="17">
        <v>0</v>
      </c>
      <c r="J5427" s="17">
        <v>48</v>
      </c>
      <c r="N5427" s="18">
        <v>48</v>
      </c>
      <c r="P5427" s="17">
        <v>4</v>
      </c>
      <c r="Q5427" s="19">
        <v>48</v>
      </c>
      <c r="R5427" s="14">
        <v>250</v>
      </c>
      <c r="S5427" s="19">
        <v>12000</v>
      </c>
      <c r="AJ5427" s="19">
        <v>0</v>
      </c>
      <c r="AK5427" s="23">
        <v>0</v>
      </c>
      <c r="AM5427" s="19">
        <v>0</v>
      </c>
      <c r="AN5427" s="19">
        <v>12000</v>
      </c>
      <c r="AP5427" s="14">
        <v>12000</v>
      </c>
      <c r="AQ5427" s="12">
        <v>3.0000000000000001E-3</v>
      </c>
    </row>
    <row r="5428" spans="1:45" x14ac:dyDescent="0.2">
      <c r="A5428" s="122">
        <f t="shared" si="596"/>
        <v>4542</v>
      </c>
      <c r="B5428" s="13">
        <v>1</v>
      </c>
      <c r="C5428" s="17" t="s">
        <v>52</v>
      </c>
      <c r="D5428" s="17">
        <v>2167</v>
      </c>
      <c r="E5428" s="17">
        <v>28</v>
      </c>
      <c r="F5428" s="17">
        <v>1638</v>
      </c>
      <c r="G5428" s="13">
        <v>3</v>
      </c>
      <c r="H5428" s="17">
        <v>0</v>
      </c>
      <c r="I5428" s="17">
        <v>1</v>
      </c>
      <c r="J5428" s="17">
        <v>73</v>
      </c>
      <c r="K5428" s="10">
        <v>173</v>
      </c>
      <c r="P5428" s="17">
        <v>1</v>
      </c>
      <c r="Q5428" s="19">
        <v>173</v>
      </c>
      <c r="R5428" s="14">
        <v>200</v>
      </c>
      <c r="S5428" s="19">
        <v>34600</v>
      </c>
      <c r="AJ5428" s="19">
        <v>0</v>
      </c>
      <c r="AK5428" s="23">
        <v>0</v>
      </c>
      <c r="AM5428" s="19">
        <v>0</v>
      </c>
      <c r="AN5428" s="19">
        <v>34600</v>
      </c>
      <c r="AP5428" s="14">
        <v>34600</v>
      </c>
      <c r="AS5428" s="26">
        <v>5</v>
      </c>
    </row>
    <row r="5429" spans="1:45" x14ac:dyDescent="0.2">
      <c r="A5429" s="122">
        <f t="shared" si="596"/>
        <v>4543</v>
      </c>
      <c r="B5429" s="13">
        <v>1</v>
      </c>
      <c r="C5429" s="17" t="s">
        <v>65</v>
      </c>
      <c r="D5429" s="17">
        <v>3832</v>
      </c>
      <c r="E5429" s="17">
        <v>273</v>
      </c>
      <c r="H5429" s="17">
        <v>4</v>
      </c>
      <c r="I5429" s="17">
        <v>1</v>
      </c>
      <c r="J5429" s="17">
        <v>96</v>
      </c>
      <c r="K5429" s="10">
        <v>1796</v>
      </c>
      <c r="P5429" s="17">
        <v>1</v>
      </c>
      <c r="Q5429" s="19">
        <v>1796</v>
      </c>
      <c r="R5429" s="14">
        <v>1200</v>
      </c>
      <c r="S5429" s="19">
        <v>2155200</v>
      </c>
      <c r="AE5429" s="17" t="s">
        <v>95</v>
      </c>
      <c r="AJ5429" s="19">
        <v>0</v>
      </c>
      <c r="AK5429" s="23">
        <v>0</v>
      </c>
      <c r="AM5429" s="19">
        <v>0</v>
      </c>
      <c r="AN5429" s="19">
        <v>2155200</v>
      </c>
      <c r="AP5429" s="14">
        <v>2155200</v>
      </c>
      <c r="AQ5429" s="12">
        <v>1E-4</v>
      </c>
    </row>
    <row r="5430" spans="1:45" x14ac:dyDescent="0.2">
      <c r="A5430" s="122">
        <f t="shared" si="596"/>
        <v>4544</v>
      </c>
      <c r="B5430" s="13">
        <v>1</v>
      </c>
      <c r="C5430" s="17" t="s">
        <v>52</v>
      </c>
      <c r="D5430" s="17">
        <v>23423</v>
      </c>
      <c r="E5430" s="17">
        <v>279</v>
      </c>
      <c r="F5430" s="17">
        <v>4728</v>
      </c>
      <c r="H5430" s="17">
        <v>0</v>
      </c>
      <c r="I5430" s="17">
        <v>0</v>
      </c>
      <c r="J5430" s="17">
        <v>9.07</v>
      </c>
      <c r="K5430" s="10">
        <v>9.07</v>
      </c>
      <c r="P5430" s="17">
        <v>1</v>
      </c>
      <c r="Q5430" s="19">
        <v>9.07</v>
      </c>
      <c r="R5430" s="14">
        <v>160</v>
      </c>
      <c r="S5430" s="19">
        <v>1451.2</v>
      </c>
      <c r="AJ5430" s="19">
        <v>0</v>
      </c>
      <c r="AK5430" s="23">
        <v>0</v>
      </c>
      <c r="AM5430" s="19">
        <v>0</v>
      </c>
      <c r="AN5430" s="19">
        <v>1451.2</v>
      </c>
      <c r="AP5430" s="14">
        <v>1451.2</v>
      </c>
    </row>
    <row r="5431" spans="1:45" x14ac:dyDescent="0.2">
      <c r="A5431" s="122">
        <f t="shared" si="596"/>
        <v>4545</v>
      </c>
      <c r="B5431" s="13">
        <v>2</v>
      </c>
      <c r="C5431" s="17" t="s">
        <v>52</v>
      </c>
      <c r="D5431" s="17">
        <v>23424</v>
      </c>
      <c r="E5431" s="17">
        <v>280</v>
      </c>
      <c r="F5431" s="17">
        <v>4729</v>
      </c>
      <c r="H5431" s="17">
        <v>0</v>
      </c>
      <c r="I5431" s="17">
        <v>0</v>
      </c>
      <c r="J5431" s="17">
        <v>14.03</v>
      </c>
      <c r="K5431" s="10">
        <v>14.03</v>
      </c>
      <c r="P5431" s="17">
        <v>1</v>
      </c>
      <c r="Q5431" s="19">
        <v>14.03</v>
      </c>
      <c r="R5431" s="14">
        <v>160</v>
      </c>
      <c r="S5431" s="19">
        <v>2244.7999999999997</v>
      </c>
      <c r="AJ5431" s="19">
        <v>0</v>
      </c>
      <c r="AK5431" s="23">
        <v>0</v>
      </c>
      <c r="AM5431" s="19">
        <v>0</v>
      </c>
      <c r="AN5431" s="19">
        <v>2244.7999999999997</v>
      </c>
      <c r="AP5431" s="14">
        <v>2244.7999999999997</v>
      </c>
    </row>
    <row r="5432" spans="1:45" x14ac:dyDescent="0.2">
      <c r="B5432" s="13">
        <v>1</v>
      </c>
      <c r="C5432" s="17" t="s">
        <v>97</v>
      </c>
      <c r="D5432" s="17">
        <v>131</v>
      </c>
      <c r="G5432" s="13">
        <v>4</v>
      </c>
      <c r="H5432" s="17">
        <v>7</v>
      </c>
      <c r="I5432" s="17">
        <v>1</v>
      </c>
      <c r="J5432" s="17">
        <v>90</v>
      </c>
      <c r="K5432" s="10">
        <v>2990</v>
      </c>
      <c r="Q5432" s="19">
        <v>2990</v>
      </c>
      <c r="R5432" s="14" t="e">
        <v>#N/A</v>
      </c>
      <c r="S5432" s="19" t="e">
        <v>#N/A</v>
      </c>
      <c r="AJ5432" s="19">
        <v>0</v>
      </c>
      <c r="AK5432" s="23">
        <v>0</v>
      </c>
      <c r="AM5432" s="19">
        <v>0</v>
      </c>
      <c r="AN5432" s="19" t="e">
        <v>#N/A</v>
      </c>
      <c r="AP5432" s="14" t="e">
        <v>#N/A</v>
      </c>
      <c r="AQ5432" s="12">
        <v>1E-4</v>
      </c>
    </row>
    <row r="5433" spans="1:45" x14ac:dyDescent="0.2">
      <c r="A5433" s="2">
        <v>4546</v>
      </c>
      <c r="B5433" s="13">
        <v>1</v>
      </c>
      <c r="C5433" s="17" t="s">
        <v>52</v>
      </c>
      <c r="D5433" s="17">
        <v>2012</v>
      </c>
      <c r="E5433" s="17">
        <v>49</v>
      </c>
      <c r="F5433" s="17">
        <v>1056</v>
      </c>
      <c r="H5433" s="17">
        <v>0</v>
      </c>
      <c r="I5433" s="17">
        <v>2</v>
      </c>
      <c r="J5433" s="17">
        <v>10.029999999999999</v>
      </c>
      <c r="N5433" s="18">
        <v>210.03</v>
      </c>
      <c r="P5433" s="17">
        <v>4</v>
      </c>
      <c r="Q5433" s="19">
        <v>210.03</v>
      </c>
      <c r="R5433" s="14">
        <v>1500</v>
      </c>
      <c r="S5433" s="19">
        <v>315045</v>
      </c>
      <c r="AJ5433" s="19">
        <v>0</v>
      </c>
      <c r="AK5433" s="23">
        <v>0</v>
      </c>
      <c r="AM5433" s="19">
        <v>0</v>
      </c>
      <c r="AN5433" s="19">
        <v>315045</v>
      </c>
      <c r="AP5433" s="14">
        <v>315045</v>
      </c>
      <c r="AQ5433" s="12">
        <v>3.0000000000000001E-3</v>
      </c>
    </row>
    <row r="5434" spans="1:45" x14ac:dyDescent="0.2">
      <c r="A5434" s="2">
        <f>+A5433+1</f>
        <v>4547</v>
      </c>
      <c r="B5434" s="13">
        <v>1</v>
      </c>
      <c r="C5434" s="17" t="s">
        <v>52</v>
      </c>
      <c r="D5434" s="17">
        <v>2156</v>
      </c>
      <c r="E5434" s="17">
        <v>20</v>
      </c>
      <c r="F5434" s="17">
        <v>1626</v>
      </c>
      <c r="G5434" s="13">
        <v>3</v>
      </c>
      <c r="H5434" s="17">
        <v>6</v>
      </c>
      <c r="I5434" s="17">
        <v>0</v>
      </c>
      <c r="J5434" s="17">
        <v>42</v>
      </c>
      <c r="K5434" s="10" t="s">
        <v>500</v>
      </c>
      <c r="P5434" s="17">
        <v>1</v>
      </c>
      <c r="Q5434" s="19">
        <v>2442</v>
      </c>
      <c r="R5434" s="14">
        <v>200</v>
      </c>
      <c r="S5434" s="19">
        <v>488400</v>
      </c>
      <c r="AJ5434" s="19">
        <v>0</v>
      </c>
      <c r="AK5434" s="23">
        <v>0</v>
      </c>
      <c r="AM5434" s="19">
        <v>0</v>
      </c>
      <c r="AN5434" s="19">
        <v>488400</v>
      </c>
      <c r="AP5434" s="14">
        <v>488400</v>
      </c>
    </row>
    <row r="5435" spans="1:45" ht="42" x14ac:dyDescent="0.2">
      <c r="A5435" s="122">
        <f t="shared" ref="A5435:A5458" si="597">+A5434+1</f>
        <v>4548</v>
      </c>
      <c r="B5435" s="13">
        <v>2</v>
      </c>
      <c r="C5435" s="17" t="s">
        <v>52</v>
      </c>
      <c r="D5435" s="17">
        <v>2159</v>
      </c>
      <c r="E5435" s="17">
        <v>31</v>
      </c>
      <c r="F5435" s="17">
        <v>1630</v>
      </c>
      <c r="G5435" s="13">
        <v>3</v>
      </c>
      <c r="H5435" s="17">
        <v>1</v>
      </c>
      <c r="I5435" s="17">
        <v>2</v>
      </c>
      <c r="J5435" s="17">
        <v>37</v>
      </c>
      <c r="L5435" s="17" t="s">
        <v>501</v>
      </c>
      <c r="P5435" s="17">
        <v>2</v>
      </c>
      <c r="Q5435" s="19">
        <v>637</v>
      </c>
      <c r="R5435" s="14">
        <v>200</v>
      </c>
      <c r="S5435" s="19">
        <v>127400</v>
      </c>
      <c r="V5435" s="17" t="s">
        <v>183</v>
      </c>
      <c r="W5435" s="4">
        <v>160</v>
      </c>
      <c r="Y5435" s="4">
        <v>160</v>
      </c>
      <c r="AB5435" s="17">
        <v>21</v>
      </c>
      <c r="AJ5435" s="19">
        <v>0</v>
      </c>
      <c r="AK5435" s="23">
        <v>21</v>
      </c>
      <c r="AM5435" s="19">
        <v>0</v>
      </c>
      <c r="AN5435" s="19">
        <v>127400</v>
      </c>
      <c r="AP5435" s="14">
        <v>127400</v>
      </c>
    </row>
    <row r="5436" spans="1:45" ht="42" x14ac:dyDescent="0.2">
      <c r="A5436" s="122">
        <f t="shared" si="597"/>
        <v>4549</v>
      </c>
      <c r="B5436" s="13">
        <v>3</v>
      </c>
      <c r="C5436" s="17" t="s">
        <v>52</v>
      </c>
      <c r="D5436" s="17">
        <v>2165</v>
      </c>
      <c r="E5436" s="17">
        <v>30</v>
      </c>
      <c r="F5436" s="17">
        <v>1636</v>
      </c>
      <c r="G5436" s="13">
        <v>3</v>
      </c>
      <c r="H5436" s="17">
        <v>1</v>
      </c>
      <c r="I5436" s="17">
        <v>1</v>
      </c>
      <c r="J5436" s="17">
        <v>91</v>
      </c>
      <c r="L5436" s="17">
        <v>591</v>
      </c>
      <c r="P5436" s="17">
        <v>2</v>
      </c>
      <c r="Q5436" s="19">
        <v>591</v>
      </c>
      <c r="R5436" s="14">
        <v>200</v>
      </c>
      <c r="S5436" s="19">
        <v>118200</v>
      </c>
      <c r="T5436" s="17">
        <v>1</v>
      </c>
      <c r="V5436" s="17" t="s">
        <v>502</v>
      </c>
      <c r="W5436" s="4">
        <v>36</v>
      </c>
      <c r="Y5436" s="4">
        <v>36</v>
      </c>
      <c r="AB5436" s="17">
        <v>34</v>
      </c>
      <c r="AJ5436" s="19">
        <v>0</v>
      </c>
      <c r="AK5436" s="23">
        <v>34</v>
      </c>
      <c r="AM5436" s="19">
        <v>0</v>
      </c>
      <c r="AN5436" s="19">
        <v>118200</v>
      </c>
      <c r="AP5436" s="14">
        <v>118200</v>
      </c>
    </row>
    <row r="5437" spans="1:45" x14ac:dyDescent="0.2">
      <c r="A5437" s="122">
        <f t="shared" si="597"/>
        <v>4550</v>
      </c>
      <c r="B5437" s="13">
        <v>4</v>
      </c>
      <c r="C5437" s="17" t="s">
        <v>65</v>
      </c>
      <c r="D5437" s="17">
        <v>1349</v>
      </c>
      <c r="E5437" s="17">
        <v>35</v>
      </c>
      <c r="H5437" s="17">
        <v>6</v>
      </c>
      <c r="I5437" s="17">
        <v>2</v>
      </c>
      <c r="J5437" s="17">
        <v>36</v>
      </c>
      <c r="K5437" s="10">
        <v>2636</v>
      </c>
      <c r="P5437" s="17">
        <v>1</v>
      </c>
      <c r="Q5437" s="19">
        <v>2636</v>
      </c>
      <c r="R5437" s="14">
        <v>160</v>
      </c>
      <c r="S5437" s="19">
        <v>421760</v>
      </c>
      <c r="AJ5437" s="19">
        <v>0</v>
      </c>
      <c r="AK5437" s="23">
        <v>0</v>
      </c>
      <c r="AM5437" s="19">
        <v>0</v>
      </c>
      <c r="AN5437" s="19">
        <v>421760</v>
      </c>
      <c r="AP5437" s="14">
        <v>421760</v>
      </c>
      <c r="AQ5437" s="12">
        <v>1E-4</v>
      </c>
    </row>
    <row r="5438" spans="1:45" x14ac:dyDescent="0.2">
      <c r="A5438" s="122">
        <f t="shared" si="597"/>
        <v>4551</v>
      </c>
      <c r="B5438" s="13">
        <v>4</v>
      </c>
      <c r="C5438" s="17" t="s">
        <v>65</v>
      </c>
      <c r="D5438" s="17">
        <v>877</v>
      </c>
      <c r="E5438" s="17">
        <v>169</v>
      </c>
      <c r="H5438" s="17">
        <v>5</v>
      </c>
      <c r="I5438" s="17">
        <v>2</v>
      </c>
      <c r="J5438" s="17">
        <v>73</v>
      </c>
      <c r="K5438" s="10">
        <v>2273</v>
      </c>
      <c r="Q5438" s="19">
        <v>2273</v>
      </c>
      <c r="R5438" s="14">
        <v>200</v>
      </c>
      <c r="S5438" s="19">
        <v>454600</v>
      </c>
      <c r="AE5438" s="17" t="s">
        <v>94</v>
      </c>
      <c r="AJ5438" s="19">
        <v>0</v>
      </c>
      <c r="AK5438" s="23">
        <v>0</v>
      </c>
      <c r="AM5438" s="19">
        <v>0</v>
      </c>
      <c r="AN5438" s="19">
        <v>454600</v>
      </c>
      <c r="AP5438" s="14">
        <v>454600</v>
      </c>
      <c r="AQ5438" s="12">
        <v>1E-4</v>
      </c>
    </row>
    <row r="5439" spans="1:45" ht="42" x14ac:dyDescent="0.2">
      <c r="A5439" s="122">
        <f t="shared" si="597"/>
        <v>4552</v>
      </c>
      <c r="B5439" s="13">
        <v>1</v>
      </c>
      <c r="C5439" s="17" t="s">
        <v>52</v>
      </c>
      <c r="D5439" s="17">
        <v>2293</v>
      </c>
      <c r="E5439" s="17">
        <v>33</v>
      </c>
      <c r="F5439" s="17">
        <v>1628</v>
      </c>
      <c r="G5439" s="13">
        <v>3</v>
      </c>
      <c r="H5439" s="17">
        <v>5</v>
      </c>
      <c r="I5439" s="17">
        <v>0</v>
      </c>
      <c r="J5439" s="17">
        <v>30</v>
      </c>
      <c r="K5439" s="10" t="s">
        <v>503</v>
      </c>
      <c r="L5439" s="17" t="s">
        <v>234</v>
      </c>
      <c r="P5439" s="17">
        <v>5</v>
      </c>
      <c r="Q5439" s="19">
        <v>2030</v>
      </c>
      <c r="R5439" s="14">
        <v>200</v>
      </c>
      <c r="S5439" s="19">
        <v>406000</v>
      </c>
      <c r="T5439" s="17">
        <v>1</v>
      </c>
      <c r="V5439" s="17" t="s">
        <v>183</v>
      </c>
      <c r="W5439" s="4">
        <v>320</v>
      </c>
      <c r="Y5439" s="4">
        <v>320</v>
      </c>
      <c r="AB5439" s="17">
        <v>10</v>
      </c>
      <c r="AJ5439" s="19">
        <v>0</v>
      </c>
      <c r="AK5439" s="23">
        <v>10</v>
      </c>
      <c r="AM5439" s="19">
        <v>0</v>
      </c>
      <c r="AN5439" s="19">
        <v>406000</v>
      </c>
      <c r="AP5439" s="14">
        <v>406000</v>
      </c>
    </row>
    <row r="5440" spans="1:45" x14ac:dyDescent="0.2">
      <c r="A5440" s="122">
        <f t="shared" si="597"/>
        <v>4553</v>
      </c>
      <c r="B5440" s="13">
        <v>2</v>
      </c>
      <c r="C5440" s="17" t="s">
        <v>52</v>
      </c>
      <c r="D5440" s="17">
        <v>1835</v>
      </c>
      <c r="E5440" s="17">
        <v>84</v>
      </c>
      <c r="F5440" s="17">
        <v>1225</v>
      </c>
      <c r="H5440" s="17">
        <v>5</v>
      </c>
      <c r="I5440" s="17">
        <v>0</v>
      </c>
      <c r="J5440" s="17">
        <v>30</v>
      </c>
      <c r="K5440" s="10">
        <v>2030</v>
      </c>
      <c r="P5440" s="17">
        <v>1</v>
      </c>
      <c r="Q5440" s="19">
        <v>2030</v>
      </c>
      <c r="R5440" s="14">
        <v>200</v>
      </c>
      <c r="S5440" s="19">
        <v>406000</v>
      </c>
      <c r="AJ5440" s="19">
        <v>0</v>
      </c>
      <c r="AK5440" s="23">
        <v>0</v>
      </c>
      <c r="AM5440" s="19">
        <v>0</v>
      </c>
      <c r="AN5440" s="19">
        <v>406000</v>
      </c>
      <c r="AP5440" s="14">
        <v>406000</v>
      </c>
    </row>
    <row r="5441" spans="1:45" ht="42" x14ac:dyDescent="0.2">
      <c r="A5441" s="122">
        <f t="shared" si="597"/>
        <v>4554</v>
      </c>
      <c r="B5441" s="13">
        <v>1</v>
      </c>
      <c r="C5441" s="17" t="s">
        <v>52</v>
      </c>
      <c r="D5441" s="17">
        <v>2158</v>
      </c>
      <c r="E5441" s="17">
        <v>32</v>
      </c>
      <c r="F5441" s="17">
        <v>1629</v>
      </c>
      <c r="G5441" s="13">
        <v>3</v>
      </c>
      <c r="H5441" s="17">
        <v>3</v>
      </c>
      <c r="I5441" s="17">
        <v>3</v>
      </c>
      <c r="J5441" s="17">
        <v>31</v>
      </c>
      <c r="K5441" s="10" t="s">
        <v>504</v>
      </c>
      <c r="L5441" s="17" t="s">
        <v>505</v>
      </c>
      <c r="P5441" s="17">
        <v>5</v>
      </c>
      <c r="Q5441" s="19">
        <v>1531</v>
      </c>
      <c r="R5441" s="14">
        <v>200</v>
      </c>
      <c r="S5441" s="19">
        <v>306200</v>
      </c>
      <c r="T5441" s="17">
        <v>1</v>
      </c>
      <c r="V5441" s="17" t="s">
        <v>183</v>
      </c>
      <c r="W5441" s="4">
        <v>110</v>
      </c>
      <c r="Y5441" s="4">
        <v>110</v>
      </c>
      <c r="AB5441" s="17">
        <v>25</v>
      </c>
      <c r="AJ5441" s="19">
        <v>0</v>
      </c>
      <c r="AK5441" s="23">
        <v>25</v>
      </c>
      <c r="AM5441" s="19">
        <v>0</v>
      </c>
      <c r="AN5441" s="19">
        <v>306200</v>
      </c>
      <c r="AP5441" s="14">
        <v>306200</v>
      </c>
    </row>
    <row r="5442" spans="1:45" x14ac:dyDescent="0.2">
      <c r="A5442" s="122">
        <f t="shared" si="597"/>
        <v>4555</v>
      </c>
      <c r="B5442" s="13">
        <v>1</v>
      </c>
      <c r="C5442" s="17" t="s">
        <v>52</v>
      </c>
      <c r="D5442" s="17">
        <v>1861</v>
      </c>
      <c r="E5442" s="17">
        <v>102</v>
      </c>
      <c r="F5442" s="17">
        <v>1251</v>
      </c>
      <c r="H5442" s="17">
        <v>2</v>
      </c>
      <c r="I5442" s="17">
        <v>0</v>
      </c>
      <c r="J5442" s="17">
        <v>66</v>
      </c>
      <c r="K5442" s="10">
        <v>866</v>
      </c>
      <c r="P5442" s="17">
        <v>1</v>
      </c>
      <c r="Q5442" s="19">
        <v>866</v>
      </c>
      <c r="R5442" s="14">
        <v>160</v>
      </c>
      <c r="S5442" s="19">
        <v>138560</v>
      </c>
      <c r="AJ5442" s="19">
        <v>0</v>
      </c>
      <c r="AK5442" s="23">
        <v>0</v>
      </c>
      <c r="AM5442" s="19">
        <v>0</v>
      </c>
      <c r="AN5442" s="19">
        <v>138560</v>
      </c>
      <c r="AP5442" s="14">
        <v>138560</v>
      </c>
    </row>
    <row r="5443" spans="1:45" x14ac:dyDescent="0.2">
      <c r="A5443" s="122">
        <f t="shared" si="597"/>
        <v>4556</v>
      </c>
      <c r="B5443" s="13">
        <v>2</v>
      </c>
      <c r="C5443" s="17" t="s">
        <v>65</v>
      </c>
      <c r="D5443" s="17">
        <v>2000</v>
      </c>
      <c r="E5443" s="17">
        <v>34</v>
      </c>
      <c r="H5443" s="17">
        <v>19</v>
      </c>
      <c r="I5443" s="17">
        <v>1</v>
      </c>
      <c r="J5443" s="17">
        <v>13</v>
      </c>
      <c r="K5443" s="10">
        <v>7713</v>
      </c>
      <c r="P5443" s="17">
        <v>1</v>
      </c>
      <c r="Q5443" s="19">
        <v>7713</v>
      </c>
      <c r="R5443" s="14">
        <v>200</v>
      </c>
      <c r="S5443" s="19">
        <v>1542600</v>
      </c>
      <c r="AJ5443" s="19">
        <v>0</v>
      </c>
      <c r="AK5443" s="23">
        <v>0</v>
      </c>
      <c r="AM5443" s="19">
        <v>0</v>
      </c>
      <c r="AN5443" s="19">
        <v>1542600</v>
      </c>
      <c r="AP5443" s="14">
        <v>1542600</v>
      </c>
      <c r="AQ5443" s="12">
        <v>1E-4</v>
      </c>
    </row>
    <row r="5444" spans="1:45" x14ac:dyDescent="0.2">
      <c r="A5444" s="122">
        <f t="shared" si="597"/>
        <v>4557</v>
      </c>
      <c r="B5444" s="13">
        <v>3</v>
      </c>
      <c r="C5444" s="17" t="s">
        <v>65</v>
      </c>
      <c r="D5444" s="17">
        <v>2004</v>
      </c>
      <c r="E5444" s="17">
        <v>38</v>
      </c>
      <c r="H5444" s="17">
        <v>15</v>
      </c>
      <c r="I5444" s="17">
        <v>1</v>
      </c>
      <c r="J5444" s="17">
        <v>40</v>
      </c>
      <c r="K5444" s="10">
        <v>6140</v>
      </c>
      <c r="P5444" s="17">
        <v>1</v>
      </c>
      <c r="Q5444" s="19">
        <v>6140</v>
      </c>
      <c r="R5444" s="14">
        <v>200</v>
      </c>
      <c r="S5444" s="19">
        <v>1228000</v>
      </c>
      <c r="AJ5444" s="19">
        <v>0</v>
      </c>
      <c r="AK5444" s="23">
        <v>0</v>
      </c>
      <c r="AM5444" s="19">
        <v>0</v>
      </c>
      <c r="AN5444" s="19">
        <v>1228000</v>
      </c>
      <c r="AP5444" s="14">
        <v>1228000</v>
      </c>
      <c r="AQ5444" s="12">
        <v>1E-4</v>
      </c>
    </row>
    <row r="5445" spans="1:45" x14ac:dyDescent="0.2">
      <c r="A5445" s="122">
        <f t="shared" si="597"/>
        <v>4558</v>
      </c>
      <c r="B5445" s="13">
        <v>4</v>
      </c>
      <c r="C5445" s="17" t="s">
        <v>65</v>
      </c>
      <c r="D5445" s="17">
        <v>2005</v>
      </c>
      <c r="E5445" s="17">
        <v>39</v>
      </c>
      <c r="H5445" s="17">
        <v>7</v>
      </c>
      <c r="I5445" s="17">
        <v>2</v>
      </c>
      <c r="J5445" s="17">
        <v>60</v>
      </c>
      <c r="K5445" s="10">
        <v>3060</v>
      </c>
      <c r="P5445" s="17">
        <v>1</v>
      </c>
      <c r="Q5445" s="19">
        <v>3060</v>
      </c>
      <c r="R5445" s="14">
        <v>200</v>
      </c>
      <c r="S5445" s="19">
        <v>612000</v>
      </c>
      <c r="AJ5445" s="19">
        <v>0</v>
      </c>
      <c r="AK5445" s="23">
        <v>0</v>
      </c>
      <c r="AM5445" s="19">
        <v>0</v>
      </c>
      <c r="AN5445" s="19">
        <v>612000</v>
      </c>
      <c r="AP5445" s="14">
        <v>612000</v>
      </c>
      <c r="AQ5445" s="12">
        <v>1E-4</v>
      </c>
    </row>
    <row r="5446" spans="1:45" ht="42" x14ac:dyDescent="0.2">
      <c r="A5446" s="122">
        <f t="shared" si="597"/>
        <v>4559</v>
      </c>
      <c r="B5446" s="13">
        <v>1</v>
      </c>
      <c r="C5446" s="17" t="s">
        <v>52</v>
      </c>
      <c r="D5446" s="17">
        <v>843</v>
      </c>
      <c r="E5446" s="17">
        <v>61</v>
      </c>
      <c r="F5446" s="17">
        <v>133</v>
      </c>
      <c r="G5446" s="13">
        <v>1</v>
      </c>
      <c r="H5446" s="17">
        <v>0</v>
      </c>
      <c r="I5446" s="17">
        <v>0</v>
      </c>
      <c r="J5446" s="17">
        <v>62</v>
      </c>
      <c r="N5446" s="18">
        <v>62</v>
      </c>
      <c r="P5446" s="17">
        <v>4</v>
      </c>
      <c r="Q5446" s="19">
        <v>62</v>
      </c>
      <c r="R5446" s="14">
        <v>250</v>
      </c>
      <c r="S5446" s="19">
        <v>15500</v>
      </c>
      <c r="AJ5446" s="19">
        <v>0</v>
      </c>
      <c r="AK5446" s="23">
        <v>0</v>
      </c>
      <c r="AM5446" s="19">
        <v>0</v>
      </c>
      <c r="AN5446" s="19">
        <v>15500</v>
      </c>
      <c r="AP5446" s="14">
        <v>15500</v>
      </c>
      <c r="AQ5446" s="12">
        <v>3.0000000000000001E-3</v>
      </c>
      <c r="AS5446" s="26" t="s">
        <v>506</v>
      </c>
    </row>
    <row r="5447" spans="1:45" x14ac:dyDescent="0.2">
      <c r="A5447" s="122">
        <f t="shared" si="597"/>
        <v>4560</v>
      </c>
      <c r="B5447" s="13">
        <v>2</v>
      </c>
      <c r="C5447" s="17" t="s">
        <v>65</v>
      </c>
      <c r="D5447" s="17">
        <v>2293</v>
      </c>
      <c r="E5447" s="17">
        <v>269</v>
      </c>
      <c r="H5447" s="17">
        <v>5</v>
      </c>
      <c r="I5447" s="17">
        <v>0</v>
      </c>
      <c r="J5447" s="17">
        <v>0</v>
      </c>
      <c r="K5447" s="10">
        <v>2000</v>
      </c>
      <c r="Q5447" s="19">
        <v>2000</v>
      </c>
      <c r="R5447" s="14">
        <v>200</v>
      </c>
      <c r="S5447" s="19">
        <v>400000</v>
      </c>
      <c r="AE5447" s="17" t="s">
        <v>94</v>
      </c>
      <c r="AJ5447" s="19">
        <v>0</v>
      </c>
      <c r="AK5447" s="23">
        <v>0</v>
      </c>
      <c r="AM5447" s="19">
        <v>0</v>
      </c>
      <c r="AN5447" s="19">
        <v>400000</v>
      </c>
      <c r="AP5447" s="14">
        <v>400000</v>
      </c>
      <c r="AQ5447" s="12">
        <v>1E-4</v>
      </c>
    </row>
    <row r="5448" spans="1:45" x14ac:dyDescent="0.2">
      <c r="A5448" s="122">
        <f t="shared" si="597"/>
        <v>4561</v>
      </c>
      <c r="B5448" s="13">
        <v>1</v>
      </c>
      <c r="C5448" s="17" t="s">
        <v>52</v>
      </c>
      <c r="D5448" s="17">
        <v>31903</v>
      </c>
      <c r="E5448" s="17">
        <v>250</v>
      </c>
      <c r="F5448" s="17">
        <v>6130</v>
      </c>
      <c r="H5448" s="17">
        <v>2</v>
      </c>
      <c r="I5448" s="17">
        <v>0</v>
      </c>
      <c r="J5448" s="17">
        <v>87.08</v>
      </c>
      <c r="K5448" s="10">
        <v>887.08</v>
      </c>
      <c r="P5448" s="17">
        <v>1</v>
      </c>
      <c r="Q5448" s="19">
        <v>887.08</v>
      </c>
      <c r="R5448" s="14">
        <v>160</v>
      </c>
      <c r="S5448" s="19">
        <v>141932.80000000002</v>
      </c>
      <c r="AJ5448" s="19">
        <v>0</v>
      </c>
      <c r="AK5448" s="23">
        <v>0</v>
      </c>
      <c r="AM5448" s="19">
        <v>0</v>
      </c>
      <c r="AN5448" s="19">
        <v>141932.80000000002</v>
      </c>
      <c r="AP5448" s="14">
        <v>141932.80000000002</v>
      </c>
    </row>
    <row r="5449" spans="1:45" ht="42" x14ac:dyDescent="0.2">
      <c r="A5449" s="122">
        <f t="shared" si="597"/>
        <v>4562</v>
      </c>
      <c r="B5449" s="13">
        <v>1</v>
      </c>
      <c r="C5449" s="17" t="s">
        <v>52</v>
      </c>
      <c r="D5449" s="17">
        <v>10376</v>
      </c>
      <c r="E5449" s="17">
        <v>156</v>
      </c>
      <c r="F5449" s="17">
        <v>3144</v>
      </c>
      <c r="G5449" s="13">
        <v>2</v>
      </c>
      <c r="H5449" s="17">
        <v>0</v>
      </c>
      <c r="I5449" s="17">
        <v>2</v>
      </c>
      <c r="J5449" s="17">
        <v>32.06</v>
      </c>
      <c r="L5449" s="17">
        <v>232.06</v>
      </c>
      <c r="P5449" s="17">
        <v>2</v>
      </c>
      <c r="Q5449" s="19">
        <v>232.06</v>
      </c>
      <c r="R5449" s="14">
        <v>1500</v>
      </c>
      <c r="S5449" s="19">
        <v>348090</v>
      </c>
      <c r="T5449" s="17">
        <v>1</v>
      </c>
      <c r="V5449" s="17" t="s">
        <v>183</v>
      </c>
      <c r="W5449" s="4">
        <v>62.5</v>
      </c>
      <c r="Y5449" s="4">
        <v>62.5</v>
      </c>
      <c r="AB5449" s="17">
        <v>38</v>
      </c>
      <c r="AJ5449" s="19">
        <v>0</v>
      </c>
      <c r="AK5449" s="23">
        <v>38</v>
      </c>
      <c r="AM5449" s="19">
        <v>0</v>
      </c>
      <c r="AN5449" s="19">
        <v>348090</v>
      </c>
      <c r="AP5449" s="14">
        <v>348090</v>
      </c>
    </row>
    <row r="5450" spans="1:45" ht="42" x14ac:dyDescent="0.2">
      <c r="A5450" s="122">
        <f t="shared" si="597"/>
        <v>4563</v>
      </c>
      <c r="B5450" s="13">
        <v>1</v>
      </c>
      <c r="C5450" s="17" t="s">
        <v>52</v>
      </c>
      <c r="D5450" s="17">
        <v>35745</v>
      </c>
      <c r="E5450" s="17">
        <v>300</v>
      </c>
      <c r="F5450" s="17">
        <v>7089</v>
      </c>
      <c r="G5450" s="13">
        <v>2</v>
      </c>
      <c r="H5450" s="17">
        <v>0</v>
      </c>
      <c r="I5450" s="17">
        <v>0</v>
      </c>
      <c r="J5450" s="17">
        <v>89.05</v>
      </c>
      <c r="N5450" s="18">
        <v>89.05</v>
      </c>
      <c r="P5450" s="17">
        <v>4</v>
      </c>
      <c r="Q5450" s="19">
        <v>89.05</v>
      </c>
      <c r="R5450" s="14">
        <v>250</v>
      </c>
      <c r="S5450" s="19">
        <v>22262.5</v>
      </c>
      <c r="AD5450" s="14" t="s">
        <v>507</v>
      </c>
      <c r="AE5450" s="17" t="s">
        <v>508</v>
      </c>
      <c r="AG5450" s="54">
        <v>0</v>
      </c>
      <c r="AJ5450" s="19">
        <v>0</v>
      </c>
      <c r="AM5450" s="19">
        <v>0</v>
      </c>
      <c r="AN5450" s="19">
        <v>22262.5</v>
      </c>
      <c r="AP5450" s="14">
        <v>22262.5</v>
      </c>
    </row>
    <row r="5451" spans="1:45" x14ac:dyDescent="0.2">
      <c r="A5451" s="122">
        <f t="shared" si="597"/>
        <v>4564</v>
      </c>
      <c r="B5451" s="13">
        <v>1</v>
      </c>
      <c r="C5451" s="17" t="s">
        <v>52</v>
      </c>
      <c r="D5451" s="17">
        <v>1927</v>
      </c>
      <c r="E5451" s="17">
        <v>47</v>
      </c>
      <c r="F5451" s="17">
        <v>1292</v>
      </c>
      <c r="G5451" s="13">
        <v>2</v>
      </c>
      <c r="H5451" s="17">
        <v>10</v>
      </c>
      <c r="I5451" s="17">
        <v>3</v>
      </c>
      <c r="J5451" s="17">
        <v>21</v>
      </c>
      <c r="K5451" s="10">
        <v>4321</v>
      </c>
      <c r="P5451" s="17">
        <v>1</v>
      </c>
      <c r="Q5451" s="19">
        <v>4321</v>
      </c>
      <c r="R5451" s="14">
        <v>160</v>
      </c>
      <c r="S5451" s="19">
        <v>691360</v>
      </c>
      <c r="AJ5451" s="19">
        <v>0</v>
      </c>
      <c r="AK5451" s="23">
        <v>0</v>
      </c>
      <c r="AM5451" s="19">
        <v>0</v>
      </c>
      <c r="AN5451" s="19">
        <v>691360</v>
      </c>
      <c r="AP5451" s="14">
        <v>691360</v>
      </c>
    </row>
    <row r="5452" spans="1:45" x14ac:dyDescent="0.2">
      <c r="A5452" s="122">
        <f t="shared" si="597"/>
        <v>4565</v>
      </c>
      <c r="B5452" s="13">
        <v>1</v>
      </c>
      <c r="C5452" s="17" t="s">
        <v>52</v>
      </c>
      <c r="D5452" s="17">
        <v>14107</v>
      </c>
      <c r="E5452" s="17">
        <v>527</v>
      </c>
      <c r="F5452" s="17">
        <v>3296</v>
      </c>
      <c r="G5452" s="13">
        <v>2</v>
      </c>
      <c r="H5452" s="17">
        <v>0</v>
      </c>
      <c r="I5452" s="17">
        <v>0</v>
      </c>
      <c r="J5452" s="17">
        <v>51.07</v>
      </c>
      <c r="N5452" s="18">
        <v>51.07</v>
      </c>
      <c r="P5452" s="17">
        <v>4</v>
      </c>
      <c r="Q5452" s="19">
        <v>51.07</v>
      </c>
      <c r="R5452" s="14">
        <v>250</v>
      </c>
      <c r="S5452" s="19">
        <v>12767.5</v>
      </c>
      <c r="AJ5452" s="19">
        <v>0</v>
      </c>
      <c r="AK5452" s="23">
        <v>0</v>
      </c>
      <c r="AM5452" s="19">
        <v>0</v>
      </c>
      <c r="AN5452" s="19">
        <v>12767.5</v>
      </c>
      <c r="AP5452" s="14">
        <v>12767.5</v>
      </c>
      <c r="AQ5452" s="12">
        <v>3.0000000000000001E-3</v>
      </c>
    </row>
    <row r="5453" spans="1:45" x14ac:dyDescent="0.2">
      <c r="A5453" s="122">
        <f t="shared" si="597"/>
        <v>4566</v>
      </c>
      <c r="B5453" s="13">
        <v>1</v>
      </c>
      <c r="C5453" s="17" t="s">
        <v>52</v>
      </c>
      <c r="D5453" s="17">
        <v>29759</v>
      </c>
      <c r="E5453" s="17">
        <v>156</v>
      </c>
      <c r="F5453" s="17">
        <v>5349</v>
      </c>
      <c r="G5453" s="13">
        <v>2</v>
      </c>
      <c r="H5453" s="17">
        <v>0</v>
      </c>
      <c r="I5453" s="17">
        <v>0</v>
      </c>
      <c r="J5453" s="17">
        <v>49</v>
      </c>
      <c r="K5453" s="10">
        <v>49</v>
      </c>
      <c r="P5453" s="17">
        <v>1</v>
      </c>
      <c r="Q5453" s="19">
        <v>49</v>
      </c>
      <c r="R5453" s="14">
        <v>160</v>
      </c>
      <c r="S5453" s="19">
        <v>7840</v>
      </c>
      <c r="AJ5453" s="19">
        <v>0</v>
      </c>
      <c r="AK5453" s="23">
        <v>0</v>
      </c>
      <c r="AM5453" s="19">
        <v>0</v>
      </c>
      <c r="AN5453" s="19">
        <v>7840</v>
      </c>
      <c r="AP5453" s="14">
        <v>7840</v>
      </c>
    </row>
    <row r="5454" spans="1:45" x14ac:dyDescent="0.2">
      <c r="A5454" s="122">
        <f t="shared" si="597"/>
        <v>4567</v>
      </c>
      <c r="B5454" s="13">
        <v>1</v>
      </c>
      <c r="C5454" s="17" t="s">
        <v>69</v>
      </c>
      <c r="E5454" s="17">
        <v>1675</v>
      </c>
      <c r="F5454" s="17">
        <v>3</v>
      </c>
      <c r="G5454" s="13">
        <v>2</v>
      </c>
      <c r="H5454" s="17">
        <v>7</v>
      </c>
      <c r="I5454" s="17">
        <v>2</v>
      </c>
      <c r="J5454" s="17">
        <v>86</v>
      </c>
      <c r="K5454" s="10">
        <v>3086</v>
      </c>
      <c r="P5454" s="17">
        <v>1</v>
      </c>
      <c r="Q5454" s="19">
        <v>3086</v>
      </c>
      <c r="R5454" s="14">
        <v>160</v>
      </c>
      <c r="S5454" s="19">
        <v>493760</v>
      </c>
      <c r="AJ5454" s="19">
        <v>0</v>
      </c>
      <c r="AK5454" s="23">
        <v>0</v>
      </c>
      <c r="AM5454" s="19">
        <v>0</v>
      </c>
      <c r="AN5454" s="19">
        <v>493760</v>
      </c>
      <c r="AP5454" s="14">
        <v>493760</v>
      </c>
      <c r="AQ5454" s="12">
        <v>1E-4</v>
      </c>
    </row>
    <row r="5455" spans="1:45" x14ac:dyDescent="0.2">
      <c r="A5455" s="122">
        <f t="shared" si="597"/>
        <v>4568</v>
      </c>
      <c r="B5455" s="13">
        <v>1</v>
      </c>
      <c r="C5455" s="17" t="s">
        <v>52</v>
      </c>
      <c r="D5455" s="17">
        <v>1937</v>
      </c>
      <c r="E5455" s="17">
        <v>40</v>
      </c>
      <c r="F5455" s="17">
        <v>1333</v>
      </c>
      <c r="G5455" s="13">
        <v>2</v>
      </c>
      <c r="H5455" s="17">
        <v>3</v>
      </c>
      <c r="I5455" s="17">
        <v>3</v>
      </c>
      <c r="J5455" s="17">
        <v>98</v>
      </c>
      <c r="K5455" s="10">
        <v>1598</v>
      </c>
      <c r="P5455" s="17">
        <v>1</v>
      </c>
      <c r="Q5455" s="19">
        <v>1598</v>
      </c>
      <c r="R5455" s="14">
        <v>160</v>
      </c>
      <c r="S5455" s="19">
        <v>255680</v>
      </c>
      <c r="AJ5455" s="19">
        <v>0</v>
      </c>
      <c r="AK5455" s="23">
        <v>0</v>
      </c>
      <c r="AM5455" s="19">
        <v>0</v>
      </c>
      <c r="AN5455" s="19">
        <v>255680</v>
      </c>
      <c r="AP5455" s="14">
        <v>255680</v>
      </c>
    </row>
    <row r="5456" spans="1:45" x14ac:dyDescent="0.2">
      <c r="A5456" s="122">
        <f t="shared" si="597"/>
        <v>4569</v>
      </c>
      <c r="B5456" s="13">
        <v>2</v>
      </c>
      <c r="C5456" s="17" t="s">
        <v>52</v>
      </c>
      <c r="D5456" s="17">
        <v>1970</v>
      </c>
      <c r="E5456" s="17">
        <v>29</v>
      </c>
      <c r="F5456" s="17">
        <v>1327</v>
      </c>
      <c r="G5456" s="13">
        <v>2</v>
      </c>
      <c r="H5456" s="17">
        <v>4</v>
      </c>
      <c r="I5456" s="17">
        <v>2</v>
      </c>
      <c r="J5456" s="17">
        <v>12</v>
      </c>
      <c r="K5456" s="10">
        <v>1812</v>
      </c>
      <c r="P5456" s="17">
        <v>1</v>
      </c>
      <c r="Q5456" s="19">
        <v>1812</v>
      </c>
      <c r="R5456" s="14">
        <v>160</v>
      </c>
      <c r="S5456" s="19">
        <v>289920</v>
      </c>
      <c r="AJ5456" s="19">
        <v>0</v>
      </c>
      <c r="AK5456" s="23">
        <v>0</v>
      </c>
      <c r="AM5456" s="19">
        <v>0</v>
      </c>
      <c r="AN5456" s="19">
        <v>289920</v>
      </c>
      <c r="AP5456" s="14">
        <v>289920</v>
      </c>
    </row>
    <row r="5457" spans="1:45" x14ac:dyDescent="0.2">
      <c r="A5457" s="122">
        <f t="shared" si="597"/>
        <v>4570</v>
      </c>
      <c r="B5457" s="13">
        <v>3</v>
      </c>
      <c r="C5457" s="17" t="s">
        <v>52</v>
      </c>
      <c r="D5457" s="17">
        <v>31054</v>
      </c>
      <c r="E5457" s="17">
        <v>112</v>
      </c>
      <c r="F5457" s="17">
        <v>6004</v>
      </c>
      <c r="G5457" s="13">
        <v>2</v>
      </c>
      <c r="H5457" s="17">
        <v>3</v>
      </c>
      <c r="I5457" s="17">
        <v>0</v>
      </c>
      <c r="J5457" s="17">
        <v>91.08</v>
      </c>
      <c r="K5457" s="10">
        <v>1291.08</v>
      </c>
      <c r="P5457" s="17">
        <v>1</v>
      </c>
      <c r="Q5457" s="19">
        <v>1291.08</v>
      </c>
      <c r="R5457" s="14">
        <v>160</v>
      </c>
      <c r="S5457" s="19">
        <v>206572.79999999999</v>
      </c>
      <c r="AJ5457" s="19">
        <v>0</v>
      </c>
      <c r="AK5457" s="23">
        <v>0</v>
      </c>
      <c r="AM5457" s="19">
        <v>0</v>
      </c>
      <c r="AN5457" s="19">
        <v>206572.79999999999</v>
      </c>
      <c r="AP5457" s="14">
        <v>206572.79999999999</v>
      </c>
    </row>
    <row r="5458" spans="1:45" ht="42" x14ac:dyDescent="0.2">
      <c r="A5458" s="122">
        <f t="shared" si="597"/>
        <v>4571</v>
      </c>
      <c r="B5458" s="13">
        <v>4</v>
      </c>
      <c r="C5458" s="17" t="s">
        <v>52</v>
      </c>
      <c r="D5458" s="17">
        <v>2168</v>
      </c>
      <c r="E5458" s="17">
        <v>27</v>
      </c>
      <c r="F5458" s="17">
        <v>1639</v>
      </c>
      <c r="G5458" s="13">
        <v>3</v>
      </c>
      <c r="H5458" s="17">
        <v>1</v>
      </c>
      <c r="I5458" s="17">
        <v>0</v>
      </c>
      <c r="J5458" s="17">
        <v>57</v>
      </c>
      <c r="L5458" s="17">
        <v>457</v>
      </c>
      <c r="P5458" s="17">
        <v>2</v>
      </c>
      <c r="Q5458" s="19">
        <v>457</v>
      </c>
      <c r="R5458" s="14">
        <v>200</v>
      </c>
      <c r="S5458" s="19">
        <v>91400</v>
      </c>
      <c r="V5458" s="17" t="s">
        <v>183</v>
      </c>
      <c r="W5458" s="4">
        <v>171</v>
      </c>
      <c r="Y5458" s="4">
        <v>171</v>
      </c>
      <c r="AB5458" s="17">
        <v>21</v>
      </c>
      <c r="AJ5458" s="19">
        <v>0</v>
      </c>
      <c r="AK5458" s="23">
        <v>21</v>
      </c>
      <c r="AM5458" s="19">
        <v>0</v>
      </c>
      <c r="AN5458" s="19">
        <v>91400</v>
      </c>
      <c r="AP5458" s="14">
        <v>91400</v>
      </c>
    </row>
    <row r="5459" spans="1:45" x14ac:dyDescent="0.2">
      <c r="B5459" s="13">
        <v>5</v>
      </c>
      <c r="C5459" s="17" t="s">
        <v>65</v>
      </c>
      <c r="D5459" s="17">
        <v>333</v>
      </c>
      <c r="E5459" s="17">
        <v>79</v>
      </c>
      <c r="H5459" s="17">
        <v>2</v>
      </c>
      <c r="I5459" s="17">
        <v>1</v>
      </c>
      <c r="J5459" s="17">
        <v>43</v>
      </c>
      <c r="K5459" s="10">
        <v>943</v>
      </c>
      <c r="Q5459" s="19">
        <v>943</v>
      </c>
      <c r="R5459" s="14" t="e">
        <v>#N/A</v>
      </c>
      <c r="S5459" s="19" t="e">
        <v>#N/A</v>
      </c>
      <c r="AD5459" s="14" t="s">
        <v>94</v>
      </c>
      <c r="AE5459" s="17" t="s">
        <v>509</v>
      </c>
      <c r="AJ5459" s="19">
        <v>0</v>
      </c>
      <c r="AK5459" s="23">
        <v>0</v>
      </c>
      <c r="AM5459" s="19">
        <v>0</v>
      </c>
      <c r="AN5459" s="19" t="e">
        <v>#N/A</v>
      </c>
      <c r="AP5459" s="14" t="e">
        <v>#N/A</v>
      </c>
      <c r="AQ5459" s="12">
        <v>1E-4</v>
      </c>
    </row>
    <row r="5460" spans="1:45" x14ac:dyDescent="0.2">
      <c r="A5460" s="2">
        <v>4572</v>
      </c>
      <c r="B5460" s="13">
        <v>3721</v>
      </c>
      <c r="C5460" s="17" t="s">
        <v>52</v>
      </c>
      <c r="D5460" s="17">
        <v>2303</v>
      </c>
      <c r="E5460" s="17">
        <v>52</v>
      </c>
      <c r="F5460" s="17">
        <v>1058</v>
      </c>
      <c r="H5460" s="17">
        <v>0</v>
      </c>
      <c r="I5460" s="17">
        <v>1</v>
      </c>
      <c r="J5460" s="17">
        <v>21</v>
      </c>
      <c r="K5460" s="10">
        <v>121</v>
      </c>
      <c r="P5460" s="17">
        <v>1</v>
      </c>
      <c r="Q5460" s="19">
        <v>121</v>
      </c>
      <c r="R5460" s="14">
        <v>2000</v>
      </c>
      <c r="S5460" s="19">
        <v>242000</v>
      </c>
      <c r="AJ5460" s="19">
        <v>0</v>
      </c>
      <c r="AK5460" s="23">
        <v>0</v>
      </c>
      <c r="AM5460" s="19">
        <v>0</v>
      </c>
      <c r="AN5460" s="19">
        <v>242000</v>
      </c>
      <c r="AP5460" s="14">
        <v>242000</v>
      </c>
    </row>
    <row r="5461" spans="1:45" x14ac:dyDescent="0.2">
      <c r="A5461" s="2">
        <f>+A5460+1</f>
        <v>4573</v>
      </c>
      <c r="B5461" s="13">
        <v>1</v>
      </c>
      <c r="C5461" s="17" t="s">
        <v>52</v>
      </c>
      <c r="D5461" s="17">
        <v>4603</v>
      </c>
      <c r="E5461" s="17">
        <v>69</v>
      </c>
      <c r="F5461" s="17">
        <v>2422</v>
      </c>
      <c r="G5461" s="13">
        <v>1</v>
      </c>
      <c r="H5461" s="17">
        <v>8</v>
      </c>
      <c r="I5461" s="17">
        <v>1</v>
      </c>
      <c r="J5461" s="17">
        <v>20</v>
      </c>
      <c r="K5461" s="10">
        <v>3320</v>
      </c>
      <c r="P5461" s="17">
        <v>1</v>
      </c>
      <c r="Q5461" s="19">
        <v>3320</v>
      </c>
      <c r="R5461" s="14">
        <v>200</v>
      </c>
      <c r="S5461" s="19">
        <v>664000</v>
      </c>
      <c r="AJ5461" s="19">
        <v>0</v>
      </c>
      <c r="AK5461" s="23">
        <v>0</v>
      </c>
      <c r="AM5461" s="19">
        <v>0</v>
      </c>
      <c r="AN5461" s="19">
        <v>664000</v>
      </c>
      <c r="AP5461" s="14">
        <v>664000</v>
      </c>
    </row>
    <row r="5462" spans="1:45" x14ac:dyDescent="0.2">
      <c r="A5462" s="122">
        <f t="shared" ref="A5462:A5475" si="598">+A5461+1</f>
        <v>4574</v>
      </c>
      <c r="B5462" s="13">
        <v>2</v>
      </c>
      <c r="C5462" s="17" t="s">
        <v>52</v>
      </c>
      <c r="D5462" s="17">
        <v>3751</v>
      </c>
      <c r="E5462" s="17">
        <v>10</v>
      </c>
      <c r="F5462" s="17">
        <v>2273</v>
      </c>
      <c r="G5462" s="13">
        <v>2</v>
      </c>
      <c r="H5462" s="17">
        <v>5</v>
      </c>
      <c r="I5462" s="17">
        <v>1</v>
      </c>
      <c r="J5462" s="17">
        <v>53</v>
      </c>
      <c r="K5462" s="10">
        <v>2153</v>
      </c>
      <c r="P5462" s="17">
        <v>1</v>
      </c>
      <c r="Q5462" s="19">
        <v>2153</v>
      </c>
      <c r="R5462" s="14">
        <v>160</v>
      </c>
      <c r="S5462" s="19">
        <v>344480</v>
      </c>
      <c r="AJ5462" s="19">
        <v>0</v>
      </c>
      <c r="AK5462" s="23">
        <v>0</v>
      </c>
      <c r="AM5462" s="19">
        <v>0</v>
      </c>
      <c r="AN5462" s="19">
        <v>344480</v>
      </c>
      <c r="AP5462" s="14">
        <v>344480</v>
      </c>
    </row>
    <row r="5463" spans="1:45" ht="63" x14ac:dyDescent="0.2">
      <c r="A5463" s="122">
        <f t="shared" si="598"/>
        <v>4575</v>
      </c>
      <c r="B5463" s="13">
        <v>3</v>
      </c>
      <c r="C5463" s="17" t="s">
        <v>52</v>
      </c>
      <c r="D5463" s="17">
        <v>30140</v>
      </c>
      <c r="E5463" s="17">
        <v>537</v>
      </c>
      <c r="F5463" s="17">
        <v>5801</v>
      </c>
      <c r="G5463" s="13">
        <v>2</v>
      </c>
      <c r="H5463" s="17">
        <v>0</v>
      </c>
      <c r="I5463" s="17">
        <v>0</v>
      </c>
      <c r="J5463" s="17">
        <v>22.05</v>
      </c>
      <c r="L5463" s="17">
        <v>22.05</v>
      </c>
      <c r="P5463" s="17">
        <v>2</v>
      </c>
      <c r="Q5463" s="19">
        <v>22.05</v>
      </c>
      <c r="R5463" s="14">
        <v>160</v>
      </c>
      <c r="S5463" s="19">
        <v>3528</v>
      </c>
      <c r="T5463" s="17">
        <v>1</v>
      </c>
      <c r="U5463" s="17" t="s">
        <v>63</v>
      </c>
      <c r="V5463" s="17" t="s">
        <v>56</v>
      </c>
      <c r="W5463" s="4">
        <v>216</v>
      </c>
      <c r="Y5463" s="4" t="s">
        <v>77</v>
      </c>
      <c r="AB5463" s="17" t="s">
        <v>78</v>
      </c>
      <c r="AF5463" s="14">
        <v>2</v>
      </c>
      <c r="AG5463" s="54">
        <v>216</v>
      </c>
      <c r="AH5463" s="11">
        <v>1</v>
      </c>
      <c r="AI5463" s="14">
        <v>8100</v>
      </c>
      <c r="AJ5463" s="19">
        <v>1749600</v>
      </c>
      <c r="AK5463" s="23" t="s">
        <v>78</v>
      </c>
      <c r="AL5463" s="11">
        <v>7.0000000000000007E-2</v>
      </c>
      <c r="AM5463" s="19">
        <v>1627128</v>
      </c>
      <c r="AN5463" s="19">
        <v>1630656</v>
      </c>
      <c r="AP5463" s="14">
        <v>1630656</v>
      </c>
    </row>
    <row r="5464" spans="1:45" x14ac:dyDescent="0.2">
      <c r="A5464" s="122">
        <f t="shared" si="598"/>
        <v>4576</v>
      </c>
      <c r="B5464" s="13">
        <v>4</v>
      </c>
      <c r="C5464" s="17" t="s">
        <v>52</v>
      </c>
      <c r="D5464" s="17">
        <v>2224</v>
      </c>
      <c r="E5464" s="17">
        <v>41</v>
      </c>
      <c r="F5464" s="17">
        <v>1052</v>
      </c>
      <c r="H5464" s="17">
        <v>3</v>
      </c>
      <c r="I5464" s="17">
        <v>2</v>
      </c>
      <c r="J5464" s="17">
        <v>14</v>
      </c>
      <c r="K5464" s="10">
        <v>1414</v>
      </c>
      <c r="P5464" s="17">
        <v>1</v>
      </c>
      <c r="Q5464" s="19">
        <v>1414</v>
      </c>
      <c r="R5464" s="14">
        <v>160</v>
      </c>
      <c r="S5464" s="19">
        <v>226240</v>
      </c>
      <c r="AJ5464" s="19">
        <v>0</v>
      </c>
      <c r="AK5464" s="23">
        <v>0</v>
      </c>
      <c r="AM5464" s="19">
        <v>0</v>
      </c>
      <c r="AN5464" s="19">
        <v>226240</v>
      </c>
      <c r="AP5464" s="14">
        <v>226240</v>
      </c>
    </row>
    <row r="5465" spans="1:45" x14ac:dyDescent="0.2">
      <c r="A5465" s="122">
        <f t="shared" si="598"/>
        <v>4577</v>
      </c>
      <c r="B5465" s="13">
        <v>5</v>
      </c>
      <c r="C5465" s="17" t="s">
        <v>52</v>
      </c>
      <c r="D5465" s="17">
        <v>12317</v>
      </c>
      <c r="E5465" s="17">
        <v>139</v>
      </c>
      <c r="F5465" s="17">
        <v>3229</v>
      </c>
      <c r="H5465" s="17">
        <v>0</v>
      </c>
      <c r="I5465" s="17">
        <v>0</v>
      </c>
      <c r="J5465" s="17">
        <v>51.07</v>
      </c>
      <c r="N5465" s="18">
        <v>51.07</v>
      </c>
      <c r="P5465" s="17">
        <v>4</v>
      </c>
      <c r="Q5465" s="19">
        <v>51.07</v>
      </c>
      <c r="R5465" s="14">
        <v>250</v>
      </c>
      <c r="S5465" s="19">
        <v>12767.5</v>
      </c>
      <c r="AJ5465" s="19">
        <v>0</v>
      </c>
      <c r="AK5465" s="23">
        <v>0</v>
      </c>
      <c r="AM5465" s="19">
        <v>0</v>
      </c>
      <c r="AN5465" s="19">
        <v>12767.5</v>
      </c>
      <c r="AP5465" s="14">
        <v>12767.5</v>
      </c>
      <c r="AQ5465" s="12">
        <v>3.0000000000000001E-3</v>
      </c>
    </row>
    <row r="5466" spans="1:45" x14ac:dyDescent="0.2">
      <c r="A5466" s="122">
        <f t="shared" si="598"/>
        <v>4578</v>
      </c>
      <c r="B5466" s="13">
        <v>6</v>
      </c>
      <c r="C5466" s="17" t="s">
        <v>52</v>
      </c>
      <c r="D5466" s="17">
        <v>20182</v>
      </c>
      <c r="E5466" s="17">
        <v>152</v>
      </c>
      <c r="F5466" s="17">
        <v>4385</v>
      </c>
      <c r="H5466" s="17">
        <v>0</v>
      </c>
      <c r="I5466" s="17">
        <v>1</v>
      </c>
      <c r="J5466" s="17">
        <v>41</v>
      </c>
      <c r="K5466" s="10">
        <v>141</v>
      </c>
      <c r="P5466" s="17">
        <v>1</v>
      </c>
      <c r="Q5466" s="19">
        <v>141</v>
      </c>
      <c r="R5466" s="14">
        <v>2000</v>
      </c>
      <c r="S5466" s="19">
        <v>282000</v>
      </c>
      <c r="AJ5466" s="19">
        <v>0</v>
      </c>
      <c r="AK5466" s="23">
        <v>0</v>
      </c>
      <c r="AM5466" s="19">
        <v>0</v>
      </c>
      <c r="AN5466" s="19">
        <v>282000</v>
      </c>
      <c r="AP5466" s="14">
        <v>282000</v>
      </c>
    </row>
    <row r="5467" spans="1:45" ht="42" x14ac:dyDescent="0.2">
      <c r="A5467" s="122">
        <f t="shared" si="598"/>
        <v>4579</v>
      </c>
      <c r="B5467" s="13">
        <v>1</v>
      </c>
      <c r="C5467" s="17" t="s">
        <v>52</v>
      </c>
      <c r="D5467" s="17">
        <v>1501</v>
      </c>
      <c r="E5467" s="17">
        <v>65</v>
      </c>
      <c r="F5467" s="17">
        <v>1074</v>
      </c>
      <c r="H5467" s="17">
        <v>0</v>
      </c>
      <c r="I5467" s="17">
        <v>0</v>
      </c>
      <c r="J5467" s="17">
        <v>68</v>
      </c>
      <c r="L5467" s="17">
        <v>68</v>
      </c>
      <c r="P5467" s="17">
        <v>2</v>
      </c>
      <c r="Q5467" s="19">
        <v>68</v>
      </c>
      <c r="R5467" s="14">
        <v>250</v>
      </c>
      <c r="S5467" s="19">
        <v>17000</v>
      </c>
      <c r="T5467" s="17">
        <v>1</v>
      </c>
      <c r="V5467" s="17" t="s">
        <v>183</v>
      </c>
      <c r="W5467" s="4">
        <v>181.5</v>
      </c>
      <c r="Y5467" s="4">
        <v>181.5</v>
      </c>
      <c r="AB5467" s="17">
        <v>22</v>
      </c>
      <c r="AJ5467" s="19">
        <v>0</v>
      </c>
      <c r="AK5467" s="23">
        <v>22</v>
      </c>
      <c r="AM5467" s="19">
        <v>0</v>
      </c>
      <c r="AN5467" s="19">
        <v>17000</v>
      </c>
      <c r="AP5467" s="14">
        <v>17000</v>
      </c>
    </row>
    <row r="5468" spans="1:45" x14ac:dyDescent="0.2">
      <c r="A5468" s="122">
        <f t="shared" si="598"/>
        <v>4580</v>
      </c>
      <c r="B5468" s="13">
        <v>1</v>
      </c>
      <c r="C5468" s="17" t="s">
        <v>52</v>
      </c>
      <c r="D5468" s="17">
        <v>14080</v>
      </c>
      <c r="E5468" s="17">
        <v>130</v>
      </c>
      <c r="F5468" s="17">
        <v>3321</v>
      </c>
      <c r="G5468" s="13">
        <v>2</v>
      </c>
      <c r="H5468" s="17">
        <v>0</v>
      </c>
      <c r="I5468" s="17">
        <v>0</v>
      </c>
      <c r="J5468" s="17">
        <v>60</v>
      </c>
      <c r="N5468" s="18">
        <v>60</v>
      </c>
      <c r="P5468" s="17">
        <v>4</v>
      </c>
      <c r="Q5468" s="19">
        <v>60</v>
      </c>
      <c r="R5468" s="14">
        <v>250</v>
      </c>
      <c r="S5468" s="19">
        <v>15000</v>
      </c>
      <c r="AJ5468" s="19">
        <v>0</v>
      </c>
      <c r="AK5468" s="23">
        <v>0</v>
      </c>
      <c r="AM5468" s="19">
        <v>0</v>
      </c>
      <c r="AN5468" s="19">
        <v>15000</v>
      </c>
      <c r="AP5468" s="14">
        <v>15000</v>
      </c>
      <c r="AQ5468" s="12">
        <v>3.0000000000000001E-3</v>
      </c>
    </row>
    <row r="5469" spans="1:45" x14ac:dyDescent="0.2">
      <c r="A5469" s="122">
        <f t="shared" si="598"/>
        <v>4581</v>
      </c>
      <c r="B5469" s="13">
        <v>1</v>
      </c>
      <c r="C5469" s="17" t="s">
        <v>52</v>
      </c>
      <c r="D5469" s="17">
        <v>36812</v>
      </c>
      <c r="E5469" s="17">
        <v>323</v>
      </c>
      <c r="F5469" s="17">
        <v>7271</v>
      </c>
      <c r="H5469" s="17">
        <v>2</v>
      </c>
      <c r="I5469" s="17">
        <v>0</v>
      </c>
      <c r="J5469" s="17">
        <v>38.07</v>
      </c>
      <c r="K5469" s="10">
        <v>838.07</v>
      </c>
      <c r="P5469" s="17">
        <v>1</v>
      </c>
      <c r="Q5469" s="19">
        <v>838.07</v>
      </c>
      <c r="R5469" s="14">
        <v>160</v>
      </c>
      <c r="S5469" s="19">
        <v>134091.20000000001</v>
      </c>
      <c r="AJ5469" s="19">
        <v>0</v>
      </c>
      <c r="AK5469" s="23">
        <v>0</v>
      </c>
      <c r="AM5469" s="19">
        <v>0</v>
      </c>
      <c r="AN5469" s="19">
        <v>134091.20000000001</v>
      </c>
      <c r="AP5469" s="14">
        <v>134091.20000000001</v>
      </c>
      <c r="AS5469" s="26">
        <v>6</v>
      </c>
    </row>
    <row r="5470" spans="1:45" x14ac:dyDescent="0.2">
      <c r="A5470" s="122">
        <f t="shared" si="598"/>
        <v>4582</v>
      </c>
      <c r="B5470" s="13">
        <v>1</v>
      </c>
      <c r="C5470" s="17" t="s">
        <v>52</v>
      </c>
      <c r="D5470" s="17">
        <v>1504</v>
      </c>
      <c r="E5470" s="17">
        <v>63</v>
      </c>
      <c r="F5470" s="17">
        <v>1077</v>
      </c>
      <c r="H5470" s="17">
        <v>3</v>
      </c>
      <c r="I5470" s="17">
        <v>1</v>
      </c>
      <c r="J5470" s="17">
        <v>76</v>
      </c>
      <c r="K5470" s="10">
        <v>1376</v>
      </c>
      <c r="P5470" s="17">
        <v>1</v>
      </c>
      <c r="Q5470" s="19">
        <v>1376</v>
      </c>
      <c r="R5470" s="14">
        <v>200</v>
      </c>
      <c r="S5470" s="19">
        <v>275200</v>
      </c>
      <c r="AJ5470" s="19">
        <v>0</v>
      </c>
      <c r="AK5470" s="23">
        <v>0</v>
      </c>
      <c r="AM5470" s="19">
        <v>0</v>
      </c>
      <c r="AN5470" s="19">
        <v>275200</v>
      </c>
      <c r="AP5470" s="14">
        <v>275200</v>
      </c>
      <c r="AS5470" s="26">
        <v>55</v>
      </c>
    </row>
    <row r="5471" spans="1:45" x14ac:dyDescent="0.2">
      <c r="A5471" s="122">
        <f t="shared" si="598"/>
        <v>4583</v>
      </c>
      <c r="B5471" s="13">
        <v>2</v>
      </c>
      <c r="C5471" s="17" t="s">
        <v>52</v>
      </c>
      <c r="D5471" s="17">
        <v>1505</v>
      </c>
      <c r="E5471" s="17">
        <v>116</v>
      </c>
      <c r="F5471" s="17">
        <v>1078</v>
      </c>
      <c r="H5471" s="17">
        <v>2</v>
      </c>
      <c r="I5471" s="17">
        <v>1</v>
      </c>
      <c r="J5471" s="17">
        <v>93</v>
      </c>
      <c r="K5471" s="10">
        <v>993</v>
      </c>
      <c r="P5471" s="17">
        <v>1</v>
      </c>
      <c r="Q5471" s="19">
        <v>993</v>
      </c>
      <c r="R5471" s="14">
        <v>200</v>
      </c>
      <c r="S5471" s="19">
        <v>198600</v>
      </c>
      <c r="AJ5471" s="19">
        <v>0</v>
      </c>
      <c r="AK5471" s="23">
        <v>0</v>
      </c>
      <c r="AM5471" s="19">
        <v>0</v>
      </c>
      <c r="AN5471" s="19">
        <v>198600</v>
      </c>
      <c r="AP5471" s="14">
        <v>198600</v>
      </c>
    </row>
    <row r="5472" spans="1:45" x14ac:dyDescent="0.2">
      <c r="A5472" s="122">
        <f t="shared" si="598"/>
        <v>4584</v>
      </c>
      <c r="B5472" s="13">
        <v>3</v>
      </c>
      <c r="C5472" s="17" t="s">
        <v>52</v>
      </c>
      <c r="D5472" s="17">
        <v>1619</v>
      </c>
      <c r="E5472" s="17">
        <v>38</v>
      </c>
      <c r="F5472" s="17">
        <v>1049</v>
      </c>
      <c r="H5472" s="17">
        <v>0</v>
      </c>
      <c r="I5472" s="17">
        <v>0</v>
      </c>
      <c r="J5472" s="17">
        <v>13</v>
      </c>
      <c r="K5472" s="10">
        <v>13</v>
      </c>
      <c r="P5472" s="17">
        <v>1</v>
      </c>
      <c r="Q5472" s="19">
        <v>13</v>
      </c>
      <c r="R5472" s="14">
        <v>160</v>
      </c>
      <c r="S5472" s="19">
        <v>2080</v>
      </c>
      <c r="AJ5472" s="19">
        <v>0</v>
      </c>
      <c r="AK5472" s="23">
        <v>0</v>
      </c>
      <c r="AM5472" s="19">
        <v>0</v>
      </c>
      <c r="AN5472" s="19">
        <v>2080</v>
      </c>
      <c r="AP5472" s="14">
        <v>2080</v>
      </c>
    </row>
    <row r="5473" spans="1:45" s="19" customFormat="1" ht="42" x14ac:dyDescent="0.2">
      <c r="A5473" s="122">
        <f t="shared" si="598"/>
        <v>4585</v>
      </c>
      <c r="B5473" s="13">
        <v>4</v>
      </c>
      <c r="C5473" s="17" t="s">
        <v>52</v>
      </c>
      <c r="D5473" s="17">
        <v>2003</v>
      </c>
      <c r="E5473" s="17">
        <v>36</v>
      </c>
      <c r="F5473" s="17">
        <v>1037</v>
      </c>
      <c r="G5473" s="13"/>
      <c r="H5473" s="17">
        <v>2</v>
      </c>
      <c r="I5473" s="17">
        <v>2</v>
      </c>
      <c r="J5473" s="17">
        <v>6</v>
      </c>
      <c r="K5473" s="10" t="s">
        <v>510</v>
      </c>
      <c r="L5473" s="17" t="s">
        <v>345</v>
      </c>
      <c r="M5473" s="15"/>
      <c r="N5473" s="18"/>
      <c r="O5473" s="14"/>
      <c r="P5473" s="17">
        <v>5</v>
      </c>
      <c r="Q5473" s="19">
        <v>1006</v>
      </c>
      <c r="R5473" s="14">
        <v>1500</v>
      </c>
      <c r="S5473" s="19">
        <v>1509000</v>
      </c>
      <c r="T5473" s="17">
        <v>1</v>
      </c>
      <c r="U5473" s="17"/>
      <c r="V5473" s="17" t="s">
        <v>183</v>
      </c>
      <c r="W5473" s="4">
        <v>126</v>
      </c>
      <c r="X5473" s="17"/>
      <c r="Y5473" s="4">
        <v>126</v>
      </c>
      <c r="Z5473" s="17"/>
      <c r="AA5473" s="17"/>
      <c r="AB5473" s="17">
        <v>31</v>
      </c>
      <c r="AC5473" s="14"/>
      <c r="AD5473" s="14"/>
      <c r="AE5473" s="17"/>
      <c r="AF5473" s="14"/>
      <c r="AG5473" s="54"/>
      <c r="AH5473" s="11"/>
      <c r="AI5473" s="14"/>
      <c r="AJ5473" s="19">
        <v>0</v>
      </c>
      <c r="AK5473" s="23">
        <v>31</v>
      </c>
      <c r="AL5473" s="11"/>
      <c r="AM5473" s="19">
        <v>0</v>
      </c>
      <c r="AN5473" s="19">
        <v>1509000</v>
      </c>
      <c r="AO5473" s="14"/>
      <c r="AP5473" s="14">
        <v>1509000</v>
      </c>
      <c r="AQ5473" s="12"/>
      <c r="AS5473" s="26"/>
    </row>
    <row r="5474" spans="1:45" s="19" customFormat="1" x14ac:dyDescent="0.2">
      <c r="A5474" s="122">
        <f t="shared" si="598"/>
        <v>4586</v>
      </c>
      <c r="B5474" s="13">
        <v>5</v>
      </c>
      <c r="C5474" s="17" t="s">
        <v>52</v>
      </c>
      <c r="D5474" s="17">
        <v>2010</v>
      </c>
      <c r="E5474" s="17">
        <v>43</v>
      </c>
      <c r="F5474" s="17">
        <v>1046</v>
      </c>
      <c r="G5474" s="13"/>
      <c r="H5474" s="17">
        <v>0</v>
      </c>
      <c r="I5474" s="17">
        <v>0</v>
      </c>
      <c r="J5474" s="17">
        <v>79</v>
      </c>
      <c r="K5474" s="10"/>
      <c r="L5474" s="17"/>
      <c r="M5474" s="15"/>
      <c r="N5474" s="18">
        <v>79</v>
      </c>
      <c r="O5474" s="14"/>
      <c r="P5474" s="17">
        <v>4</v>
      </c>
      <c r="Q5474" s="19">
        <v>79</v>
      </c>
      <c r="R5474" s="14">
        <v>2000</v>
      </c>
      <c r="S5474" s="19">
        <v>158000</v>
      </c>
      <c r="T5474" s="17"/>
      <c r="U5474" s="17"/>
      <c r="V5474" s="17"/>
      <c r="W5474" s="4"/>
      <c r="X5474" s="17"/>
      <c r="Y5474" s="4"/>
      <c r="Z5474" s="17"/>
      <c r="AA5474" s="17"/>
      <c r="AB5474" s="17"/>
      <c r="AC5474" s="14"/>
      <c r="AD5474" s="14"/>
      <c r="AE5474" s="17"/>
      <c r="AF5474" s="14"/>
      <c r="AG5474" s="54"/>
      <c r="AH5474" s="11"/>
      <c r="AI5474" s="14"/>
      <c r="AJ5474" s="19">
        <v>0</v>
      </c>
      <c r="AK5474" s="23">
        <v>0</v>
      </c>
      <c r="AL5474" s="11"/>
      <c r="AM5474" s="19">
        <v>0</v>
      </c>
      <c r="AN5474" s="19">
        <v>158000</v>
      </c>
      <c r="AO5474" s="14"/>
      <c r="AP5474" s="14">
        <v>158000</v>
      </c>
      <c r="AQ5474" s="12">
        <v>3.0000000000000001E-3</v>
      </c>
      <c r="AS5474" s="26"/>
    </row>
    <row r="5475" spans="1:45" s="19" customFormat="1" x14ac:dyDescent="0.2">
      <c r="A5475" s="122">
        <f t="shared" si="598"/>
        <v>4587</v>
      </c>
      <c r="B5475" s="13">
        <v>6</v>
      </c>
      <c r="C5475" s="17" t="s">
        <v>52</v>
      </c>
      <c r="D5475" s="17">
        <v>36811</v>
      </c>
      <c r="E5475" s="17">
        <v>322</v>
      </c>
      <c r="F5475" s="17">
        <v>7270</v>
      </c>
      <c r="G5475" s="13"/>
      <c r="H5475" s="17">
        <v>1</v>
      </c>
      <c r="I5475" s="17">
        <v>3</v>
      </c>
      <c r="J5475" s="17">
        <v>28.09</v>
      </c>
      <c r="K5475" s="10">
        <v>728.09</v>
      </c>
      <c r="L5475" s="17"/>
      <c r="M5475" s="15"/>
      <c r="N5475" s="18"/>
      <c r="O5475" s="14"/>
      <c r="P5475" s="17">
        <v>1</v>
      </c>
      <c r="Q5475" s="19">
        <v>728.09</v>
      </c>
      <c r="R5475" s="14">
        <v>160</v>
      </c>
      <c r="S5475" s="19">
        <v>116494.40000000001</v>
      </c>
      <c r="T5475" s="17"/>
      <c r="U5475" s="17"/>
      <c r="V5475" s="17"/>
      <c r="W5475" s="4"/>
      <c r="X5475" s="17"/>
      <c r="Y5475" s="4"/>
      <c r="Z5475" s="17"/>
      <c r="AA5475" s="17"/>
      <c r="AB5475" s="17"/>
      <c r="AC5475" s="14"/>
      <c r="AD5475" s="14"/>
      <c r="AE5475" s="17"/>
      <c r="AF5475" s="14"/>
      <c r="AG5475" s="54"/>
      <c r="AH5475" s="11"/>
      <c r="AI5475" s="14"/>
      <c r="AJ5475" s="19">
        <v>0</v>
      </c>
      <c r="AK5475" s="23">
        <v>0</v>
      </c>
      <c r="AL5475" s="11"/>
      <c r="AM5475" s="19">
        <v>0</v>
      </c>
      <c r="AN5475" s="19">
        <v>116494.40000000001</v>
      </c>
      <c r="AO5475" s="14"/>
      <c r="AP5475" s="14">
        <v>116494.40000000001</v>
      </c>
      <c r="AQ5475" s="12"/>
      <c r="AS5475" s="26"/>
    </row>
    <row r="5476" spans="1:45" s="19" customFormat="1" x14ac:dyDescent="0.2">
      <c r="A5476" s="2"/>
      <c r="B5476" s="13">
        <v>7</v>
      </c>
      <c r="C5476" s="17" t="s">
        <v>52</v>
      </c>
      <c r="D5476" s="17">
        <v>36717</v>
      </c>
      <c r="E5476" s="17">
        <v>7</v>
      </c>
      <c r="F5476" s="17">
        <v>7261</v>
      </c>
      <c r="G5476" s="13"/>
      <c r="H5476" s="17">
        <v>2</v>
      </c>
      <c r="I5476" s="17">
        <v>1</v>
      </c>
      <c r="J5476" s="17">
        <v>17.3</v>
      </c>
      <c r="K5476" s="10" t="s">
        <v>511</v>
      </c>
      <c r="L5476" s="17"/>
      <c r="M5476" s="15"/>
      <c r="N5476" s="18"/>
      <c r="O5476" s="14"/>
      <c r="P5476" s="17">
        <v>1</v>
      </c>
      <c r="Q5476" s="19">
        <v>917.3</v>
      </c>
      <c r="R5476" s="14"/>
      <c r="T5476" s="17"/>
      <c r="U5476" s="17"/>
      <c r="V5476" s="17"/>
      <c r="W5476" s="4"/>
      <c r="X5476" s="17"/>
      <c r="Y5476" s="4"/>
      <c r="Z5476" s="17"/>
      <c r="AA5476" s="17"/>
      <c r="AB5476" s="17"/>
      <c r="AC5476" s="14"/>
      <c r="AD5476" s="14"/>
      <c r="AE5476" s="17"/>
      <c r="AF5476" s="14"/>
      <c r="AG5476" s="54"/>
      <c r="AH5476" s="11"/>
      <c r="AI5476" s="14"/>
      <c r="AK5476" s="23"/>
      <c r="AL5476" s="11"/>
      <c r="AO5476" s="14"/>
      <c r="AP5476" s="14"/>
      <c r="AQ5476" s="12"/>
      <c r="AS5476" s="26"/>
    </row>
    <row r="5477" spans="1:45" s="19" customFormat="1" x14ac:dyDescent="0.2">
      <c r="A5477" s="2">
        <v>4588</v>
      </c>
      <c r="B5477" s="13">
        <v>1</v>
      </c>
      <c r="C5477" s="17" t="s">
        <v>52</v>
      </c>
      <c r="D5477" s="17">
        <v>1620</v>
      </c>
      <c r="E5477" s="17">
        <v>40</v>
      </c>
      <c r="F5477" s="17">
        <v>1051</v>
      </c>
      <c r="G5477" s="13"/>
      <c r="H5477" s="17">
        <v>3</v>
      </c>
      <c r="I5477" s="17">
        <v>0</v>
      </c>
      <c r="J5477" s="17">
        <v>0</v>
      </c>
      <c r="K5477" s="10">
        <v>1200</v>
      </c>
      <c r="L5477" s="17"/>
      <c r="M5477" s="15"/>
      <c r="N5477" s="18"/>
      <c r="O5477" s="14"/>
      <c r="P5477" s="17">
        <v>1</v>
      </c>
      <c r="Q5477" s="19">
        <v>1200</v>
      </c>
      <c r="R5477" s="14">
        <v>160</v>
      </c>
      <c r="S5477" s="19">
        <v>192000</v>
      </c>
      <c r="T5477" s="17"/>
      <c r="U5477" s="17"/>
      <c r="V5477" s="17"/>
      <c r="W5477" s="4"/>
      <c r="X5477" s="17"/>
      <c r="Y5477" s="4"/>
      <c r="Z5477" s="17"/>
      <c r="AA5477" s="17"/>
      <c r="AB5477" s="17"/>
      <c r="AC5477" s="14"/>
      <c r="AD5477" s="14"/>
      <c r="AE5477" s="17"/>
      <c r="AF5477" s="14"/>
      <c r="AG5477" s="54"/>
      <c r="AH5477" s="11"/>
      <c r="AI5477" s="14"/>
      <c r="AJ5477" s="19">
        <v>0</v>
      </c>
      <c r="AK5477" s="23">
        <v>0</v>
      </c>
      <c r="AL5477" s="11"/>
      <c r="AM5477" s="19">
        <v>0</v>
      </c>
      <c r="AN5477" s="19">
        <v>192000</v>
      </c>
      <c r="AO5477" s="14"/>
      <c r="AP5477" s="14">
        <v>192000</v>
      </c>
      <c r="AQ5477" s="12"/>
      <c r="AS5477" s="26"/>
    </row>
    <row r="5478" spans="1:45" s="19" customFormat="1" ht="42" x14ac:dyDescent="0.2">
      <c r="A5478" s="2">
        <f>+A5477+1</f>
        <v>4589</v>
      </c>
      <c r="B5478" s="13">
        <v>2</v>
      </c>
      <c r="C5478" s="17" t="s">
        <v>52</v>
      </c>
      <c r="D5478" s="17">
        <v>2111</v>
      </c>
      <c r="E5478" s="17">
        <v>73</v>
      </c>
      <c r="F5478" s="17">
        <v>1672</v>
      </c>
      <c r="G5478" s="13"/>
      <c r="H5478" s="17">
        <v>0</v>
      </c>
      <c r="I5478" s="17">
        <v>0</v>
      </c>
      <c r="J5478" s="17">
        <v>32</v>
      </c>
      <c r="K5478" s="10"/>
      <c r="L5478" s="17">
        <v>32</v>
      </c>
      <c r="M5478" s="15"/>
      <c r="N5478" s="18"/>
      <c r="O5478" s="14"/>
      <c r="P5478" s="17">
        <v>2</v>
      </c>
      <c r="Q5478" s="19">
        <v>32</v>
      </c>
      <c r="R5478" s="14">
        <v>2000</v>
      </c>
      <c r="S5478" s="19">
        <v>64000</v>
      </c>
      <c r="T5478" s="17">
        <v>1</v>
      </c>
      <c r="U5478" s="17"/>
      <c r="V5478" s="17" t="s">
        <v>512</v>
      </c>
      <c r="W5478" s="4">
        <v>40</v>
      </c>
      <c r="X5478" s="17"/>
      <c r="Y5478" s="4">
        <v>40</v>
      </c>
      <c r="Z5478" s="17"/>
      <c r="AA5478" s="17"/>
      <c r="AB5478" s="17">
        <v>17</v>
      </c>
      <c r="AC5478" s="14"/>
      <c r="AD5478" s="14"/>
      <c r="AE5478" s="17"/>
      <c r="AF5478" s="14"/>
      <c r="AG5478" s="54"/>
      <c r="AH5478" s="11"/>
      <c r="AI5478" s="14"/>
      <c r="AJ5478" s="19">
        <v>0</v>
      </c>
      <c r="AK5478" s="23">
        <v>17</v>
      </c>
      <c r="AL5478" s="11"/>
      <c r="AM5478" s="19">
        <v>0</v>
      </c>
      <c r="AN5478" s="19">
        <v>64000</v>
      </c>
      <c r="AO5478" s="14"/>
      <c r="AP5478" s="14">
        <v>64000</v>
      </c>
      <c r="AQ5478" s="12"/>
      <c r="AS5478" s="26"/>
    </row>
    <row r="5479" spans="1:45" s="19" customFormat="1" x14ac:dyDescent="0.2">
      <c r="A5479" s="122">
        <f t="shared" ref="A5479:A5488" si="599">+A5478+1</f>
        <v>4590</v>
      </c>
      <c r="B5479" s="13">
        <v>1</v>
      </c>
      <c r="C5479" s="17" t="s">
        <v>69</v>
      </c>
      <c r="D5479" s="17"/>
      <c r="E5479" s="17">
        <v>1513</v>
      </c>
      <c r="F5479" s="17">
        <v>7</v>
      </c>
      <c r="G5479" s="13">
        <v>2</v>
      </c>
      <c r="H5479" s="17">
        <v>10</v>
      </c>
      <c r="I5479" s="17">
        <v>3</v>
      </c>
      <c r="J5479" s="17">
        <v>8</v>
      </c>
      <c r="K5479" s="10">
        <v>4308</v>
      </c>
      <c r="L5479" s="17"/>
      <c r="M5479" s="15"/>
      <c r="N5479" s="18"/>
      <c r="O5479" s="14"/>
      <c r="P5479" s="17">
        <v>1</v>
      </c>
      <c r="Q5479" s="19">
        <v>4308</v>
      </c>
      <c r="R5479" s="14">
        <v>160</v>
      </c>
      <c r="S5479" s="19">
        <v>689280</v>
      </c>
      <c r="T5479" s="17"/>
      <c r="U5479" s="17"/>
      <c r="V5479" s="17"/>
      <c r="W5479" s="4"/>
      <c r="X5479" s="17"/>
      <c r="Y5479" s="4"/>
      <c r="Z5479" s="17"/>
      <c r="AA5479" s="17"/>
      <c r="AB5479" s="17"/>
      <c r="AC5479" s="14"/>
      <c r="AD5479" s="14"/>
      <c r="AE5479" s="17"/>
      <c r="AF5479" s="14"/>
      <c r="AG5479" s="54"/>
      <c r="AH5479" s="11"/>
      <c r="AI5479" s="14"/>
      <c r="AJ5479" s="19">
        <v>0</v>
      </c>
      <c r="AK5479" s="23">
        <v>0</v>
      </c>
      <c r="AL5479" s="11"/>
      <c r="AM5479" s="19">
        <v>0</v>
      </c>
      <c r="AN5479" s="19">
        <v>689280</v>
      </c>
      <c r="AO5479" s="14"/>
      <c r="AP5479" s="14">
        <v>689280</v>
      </c>
      <c r="AQ5479" s="12">
        <v>1E-4</v>
      </c>
      <c r="AS5479" s="26"/>
    </row>
    <row r="5480" spans="1:45" s="19" customFormat="1" x14ac:dyDescent="0.2">
      <c r="A5480" s="122">
        <f t="shared" si="599"/>
        <v>4591</v>
      </c>
      <c r="B5480" s="13">
        <v>1</v>
      </c>
      <c r="C5480" s="17" t="s">
        <v>52</v>
      </c>
      <c r="D5480" s="17">
        <v>14546</v>
      </c>
      <c r="E5480" s="17">
        <v>145</v>
      </c>
      <c r="F5480" s="17">
        <v>3342</v>
      </c>
      <c r="G5480" s="13"/>
      <c r="H5480" s="17">
        <v>3</v>
      </c>
      <c r="I5480" s="17">
        <v>0</v>
      </c>
      <c r="J5480" s="17">
        <v>42</v>
      </c>
      <c r="K5480" s="10">
        <v>1242</v>
      </c>
      <c r="L5480" s="17"/>
      <c r="M5480" s="15"/>
      <c r="N5480" s="18"/>
      <c r="O5480" s="14"/>
      <c r="P5480" s="17">
        <v>1</v>
      </c>
      <c r="Q5480" s="19">
        <v>1242</v>
      </c>
      <c r="R5480" s="14">
        <v>500</v>
      </c>
      <c r="S5480" s="19">
        <v>621000</v>
      </c>
      <c r="T5480" s="17"/>
      <c r="U5480" s="17"/>
      <c r="V5480" s="17"/>
      <c r="W5480" s="4"/>
      <c r="X5480" s="17"/>
      <c r="Y5480" s="4"/>
      <c r="Z5480" s="17"/>
      <c r="AA5480" s="17"/>
      <c r="AB5480" s="17"/>
      <c r="AC5480" s="14"/>
      <c r="AD5480" s="14"/>
      <c r="AE5480" s="17"/>
      <c r="AF5480" s="14"/>
      <c r="AG5480" s="54"/>
      <c r="AH5480" s="11"/>
      <c r="AI5480" s="14"/>
      <c r="AJ5480" s="19">
        <v>0</v>
      </c>
      <c r="AK5480" s="23">
        <v>0</v>
      </c>
      <c r="AL5480" s="11"/>
      <c r="AM5480" s="19">
        <v>0</v>
      </c>
      <c r="AN5480" s="19">
        <v>621000</v>
      </c>
      <c r="AO5480" s="14"/>
      <c r="AP5480" s="14">
        <v>621000</v>
      </c>
      <c r="AQ5480" s="12"/>
      <c r="AS5480" s="26"/>
    </row>
    <row r="5481" spans="1:45" s="19" customFormat="1" x14ac:dyDescent="0.2">
      <c r="A5481" s="122">
        <f t="shared" si="599"/>
        <v>4592</v>
      </c>
      <c r="B5481" s="13">
        <v>2</v>
      </c>
      <c r="C5481" s="17" t="s">
        <v>52</v>
      </c>
      <c r="D5481" s="17">
        <v>14547</v>
      </c>
      <c r="E5481" s="17">
        <v>146</v>
      </c>
      <c r="F5481" s="17">
        <v>3343</v>
      </c>
      <c r="G5481" s="13"/>
      <c r="H5481" s="17">
        <v>4</v>
      </c>
      <c r="I5481" s="17">
        <v>1</v>
      </c>
      <c r="J5481" s="17">
        <v>68</v>
      </c>
      <c r="K5481" s="10">
        <v>1768</v>
      </c>
      <c r="L5481" s="17"/>
      <c r="M5481" s="15"/>
      <c r="N5481" s="18"/>
      <c r="O5481" s="14"/>
      <c r="P5481" s="17">
        <v>1</v>
      </c>
      <c r="Q5481" s="19">
        <v>1768</v>
      </c>
      <c r="R5481" s="14">
        <v>500</v>
      </c>
      <c r="S5481" s="19">
        <v>884000</v>
      </c>
      <c r="T5481" s="17"/>
      <c r="U5481" s="17"/>
      <c r="V5481" s="17"/>
      <c r="W5481" s="4"/>
      <c r="X5481" s="17"/>
      <c r="Y5481" s="4"/>
      <c r="Z5481" s="17"/>
      <c r="AA5481" s="17"/>
      <c r="AB5481" s="17"/>
      <c r="AC5481" s="14"/>
      <c r="AD5481" s="14"/>
      <c r="AE5481" s="17"/>
      <c r="AF5481" s="14"/>
      <c r="AG5481" s="54"/>
      <c r="AH5481" s="11"/>
      <c r="AI5481" s="14"/>
      <c r="AJ5481" s="19">
        <v>0</v>
      </c>
      <c r="AK5481" s="23">
        <v>0</v>
      </c>
      <c r="AL5481" s="11"/>
      <c r="AM5481" s="19">
        <v>0</v>
      </c>
      <c r="AN5481" s="19">
        <v>884000</v>
      </c>
      <c r="AO5481" s="14"/>
      <c r="AP5481" s="14">
        <v>884000</v>
      </c>
      <c r="AQ5481" s="12"/>
      <c r="AS5481" s="26"/>
    </row>
    <row r="5482" spans="1:45" s="19" customFormat="1" x14ac:dyDescent="0.2">
      <c r="A5482" s="122">
        <f t="shared" si="599"/>
        <v>4593</v>
      </c>
      <c r="B5482" s="13">
        <v>3</v>
      </c>
      <c r="C5482" s="17" t="s">
        <v>69</v>
      </c>
      <c r="D5482" s="17"/>
      <c r="E5482" s="17">
        <v>1501</v>
      </c>
      <c r="F5482" s="17">
        <v>2</v>
      </c>
      <c r="G5482" s="13">
        <v>6</v>
      </c>
      <c r="H5482" s="17">
        <v>18</v>
      </c>
      <c r="I5482" s="17">
        <v>1</v>
      </c>
      <c r="J5482" s="17">
        <v>35</v>
      </c>
      <c r="K5482" s="10">
        <v>7335</v>
      </c>
      <c r="L5482" s="17"/>
      <c r="M5482" s="15"/>
      <c r="N5482" s="18"/>
      <c r="O5482" s="14"/>
      <c r="P5482" s="17">
        <v>1</v>
      </c>
      <c r="Q5482" s="19">
        <v>7335</v>
      </c>
      <c r="R5482" s="14">
        <v>160</v>
      </c>
      <c r="S5482" s="19">
        <v>1173600</v>
      </c>
      <c r="T5482" s="17"/>
      <c r="U5482" s="17"/>
      <c r="V5482" s="17"/>
      <c r="W5482" s="4"/>
      <c r="X5482" s="17"/>
      <c r="Y5482" s="4"/>
      <c r="Z5482" s="17"/>
      <c r="AA5482" s="17"/>
      <c r="AB5482" s="17"/>
      <c r="AC5482" s="14"/>
      <c r="AD5482" s="14"/>
      <c r="AE5482" s="17"/>
      <c r="AF5482" s="14"/>
      <c r="AG5482" s="54"/>
      <c r="AH5482" s="11"/>
      <c r="AI5482" s="14"/>
      <c r="AJ5482" s="19">
        <v>0</v>
      </c>
      <c r="AK5482" s="23">
        <v>0</v>
      </c>
      <c r="AL5482" s="11"/>
      <c r="AM5482" s="19">
        <v>0</v>
      </c>
      <c r="AN5482" s="19">
        <v>1173600</v>
      </c>
      <c r="AO5482" s="14"/>
      <c r="AP5482" s="14">
        <v>1173600</v>
      </c>
      <c r="AQ5482" s="12">
        <v>1E-4</v>
      </c>
      <c r="AS5482" s="26"/>
    </row>
    <row r="5483" spans="1:45" s="19" customFormat="1" x14ac:dyDescent="0.2">
      <c r="A5483" s="122">
        <f t="shared" si="599"/>
        <v>4594</v>
      </c>
      <c r="B5483" s="13">
        <v>4</v>
      </c>
      <c r="C5483" s="17" t="s">
        <v>65</v>
      </c>
      <c r="D5483" s="17">
        <v>1843</v>
      </c>
      <c r="E5483" s="17">
        <v>99</v>
      </c>
      <c r="F5483" s="17"/>
      <c r="G5483" s="13"/>
      <c r="H5483" s="17">
        <v>9</v>
      </c>
      <c r="I5483" s="17">
        <v>1</v>
      </c>
      <c r="J5483" s="17">
        <v>53</v>
      </c>
      <c r="K5483" s="10">
        <v>3753</v>
      </c>
      <c r="L5483" s="17"/>
      <c r="M5483" s="15"/>
      <c r="N5483" s="18"/>
      <c r="O5483" s="14"/>
      <c r="P5483" s="17">
        <v>1</v>
      </c>
      <c r="Q5483" s="19">
        <v>3753</v>
      </c>
      <c r="R5483" s="14">
        <v>160</v>
      </c>
      <c r="S5483" s="19">
        <v>600480</v>
      </c>
      <c r="T5483" s="17"/>
      <c r="U5483" s="17"/>
      <c r="V5483" s="17"/>
      <c r="W5483" s="4"/>
      <c r="X5483" s="17"/>
      <c r="Y5483" s="4"/>
      <c r="Z5483" s="17"/>
      <c r="AA5483" s="17"/>
      <c r="AB5483" s="17"/>
      <c r="AC5483" s="14"/>
      <c r="AD5483" s="14"/>
      <c r="AE5483" s="17"/>
      <c r="AF5483" s="14"/>
      <c r="AG5483" s="54"/>
      <c r="AH5483" s="11"/>
      <c r="AI5483" s="14"/>
      <c r="AJ5483" s="19">
        <v>0</v>
      </c>
      <c r="AK5483" s="23">
        <v>0</v>
      </c>
      <c r="AL5483" s="11"/>
      <c r="AM5483" s="19">
        <v>0</v>
      </c>
      <c r="AN5483" s="19">
        <v>600480</v>
      </c>
      <c r="AO5483" s="14"/>
      <c r="AP5483" s="14">
        <v>600480</v>
      </c>
      <c r="AQ5483" s="12">
        <v>1E-4</v>
      </c>
      <c r="AS5483" s="26"/>
    </row>
    <row r="5484" spans="1:45" s="19" customFormat="1" x14ac:dyDescent="0.2">
      <c r="A5484" s="122">
        <f t="shared" si="599"/>
        <v>4595</v>
      </c>
      <c r="B5484" s="13">
        <v>5</v>
      </c>
      <c r="C5484" s="17" t="s">
        <v>65</v>
      </c>
      <c r="D5484" s="17">
        <v>1844</v>
      </c>
      <c r="E5484" s="17">
        <v>100</v>
      </c>
      <c r="F5484" s="17"/>
      <c r="G5484" s="13"/>
      <c r="H5484" s="17">
        <v>8</v>
      </c>
      <c r="I5484" s="17">
        <v>0</v>
      </c>
      <c r="J5484" s="17">
        <v>73</v>
      </c>
      <c r="K5484" s="10">
        <v>3273</v>
      </c>
      <c r="L5484" s="17"/>
      <c r="M5484" s="15"/>
      <c r="N5484" s="18"/>
      <c r="O5484" s="14"/>
      <c r="P5484" s="17">
        <v>1</v>
      </c>
      <c r="Q5484" s="19">
        <v>3273</v>
      </c>
      <c r="R5484" s="14">
        <v>160</v>
      </c>
      <c r="S5484" s="19">
        <v>523680</v>
      </c>
      <c r="T5484" s="17"/>
      <c r="U5484" s="17"/>
      <c r="V5484" s="17"/>
      <c r="W5484" s="4"/>
      <c r="X5484" s="17"/>
      <c r="Y5484" s="4"/>
      <c r="Z5484" s="17"/>
      <c r="AA5484" s="17"/>
      <c r="AB5484" s="17"/>
      <c r="AC5484" s="14"/>
      <c r="AD5484" s="14"/>
      <c r="AE5484" s="17"/>
      <c r="AF5484" s="14"/>
      <c r="AG5484" s="54"/>
      <c r="AH5484" s="11"/>
      <c r="AI5484" s="14"/>
      <c r="AJ5484" s="19">
        <v>0</v>
      </c>
      <c r="AK5484" s="23">
        <v>0</v>
      </c>
      <c r="AL5484" s="11"/>
      <c r="AM5484" s="19">
        <v>0</v>
      </c>
      <c r="AN5484" s="19">
        <v>523680</v>
      </c>
      <c r="AO5484" s="14"/>
      <c r="AP5484" s="14">
        <v>523680</v>
      </c>
      <c r="AQ5484" s="12">
        <v>1E-4</v>
      </c>
      <c r="AS5484" s="26"/>
    </row>
    <row r="5485" spans="1:45" s="19" customFormat="1" x14ac:dyDescent="0.2">
      <c r="A5485" s="122">
        <f t="shared" si="599"/>
        <v>4596</v>
      </c>
      <c r="B5485" s="13">
        <v>4</v>
      </c>
      <c r="C5485" s="17" t="s">
        <v>65</v>
      </c>
      <c r="D5485" s="17">
        <v>929</v>
      </c>
      <c r="E5485" s="17">
        <v>229</v>
      </c>
      <c r="F5485" s="17"/>
      <c r="G5485" s="13"/>
      <c r="H5485" s="17">
        <v>6</v>
      </c>
      <c r="I5485" s="17">
        <v>3</v>
      </c>
      <c r="J5485" s="17">
        <v>76</v>
      </c>
      <c r="K5485" s="10">
        <v>2776</v>
      </c>
      <c r="L5485" s="17"/>
      <c r="M5485" s="15"/>
      <c r="N5485" s="18"/>
      <c r="O5485" s="14"/>
      <c r="P5485" s="17"/>
      <c r="Q5485" s="19">
        <v>2776</v>
      </c>
      <c r="R5485" s="14">
        <v>250</v>
      </c>
      <c r="S5485" s="19">
        <v>694000</v>
      </c>
      <c r="T5485" s="17"/>
      <c r="U5485" s="17"/>
      <c r="V5485" s="17"/>
      <c r="W5485" s="4"/>
      <c r="X5485" s="17"/>
      <c r="Y5485" s="4"/>
      <c r="Z5485" s="17"/>
      <c r="AA5485" s="17"/>
      <c r="AB5485" s="17"/>
      <c r="AC5485" s="14"/>
      <c r="AD5485" s="14"/>
      <c r="AE5485" s="17" t="s">
        <v>94</v>
      </c>
      <c r="AF5485" s="14"/>
      <c r="AG5485" s="54"/>
      <c r="AH5485" s="11"/>
      <c r="AI5485" s="14"/>
      <c r="AJ5485" s="19">
        <v>0</v>
      </c>
      <c r="AK5485" s="23">
        <v>0</v>
      </c>
      <c r="AL5485" s="11"/>
      <c r="AM5485" s="19">
        <v>0</v>
      </c>
      <c r="AN5485" s="19">
        <v>694000</v>
      </c>
      <c r="AO5485" s="14"/>
      <c r="AP5485" s="14">
        <v>694000</v>
      </c>
      <c r="AQ5485" s="12">
        <v>1E-4</v>
      </c>
      <c r="AS5485" s="26"/>
    </row>
    <row r="5486" spans="1:45" s="19" customFormat="1" x14ac:dyDescent="0.2">
      <c r="A5486" s="122">
        <f t="shared" si="599"/>
        <v>4597</v>
      </c>
      <c r="B5486" s="13">
        <v>5</v>
      </c>
      <c r="C5486" s="17" t="s">
        <v>65</v>
      </c>
      <c r="D5486" s="17">
        <v>931</v>
      </c>
      <c r="E5486" s="17">
        <v>235</v>
      </c>
      <c r="F5486" s="17"/>
      <c r="G5486" s="13"/>
      <c r="H5486" s="17">
        <v>4</v>
      </c>
      <c r="I5486" s="17">
        <v>3</v>
      </c>
      <c r="J5486" s="17">
        <v>16</v>
      </c>
      <c r="K5486" s="10">
        <v>1916</v>
      </c>
      <c r="L5486" s="17"/>
      <c r="M5486" s="15"/>
      <c r="N5486" s="18"/>
      <c r="O5486" s="14"/>
      <c r="P5486" s="17"/>
      <c r="Q5486" s="19">
        <v>1916</v>
      </c>
      <c r="R5486" s="14">
        <v>200</v>
      </c>
      <c r="S5486" s="19">
        <v>383200</v>
      </c>
      <c r="T5486" s="17"/>
      <c r="U5486" s="17"/>
      <c r="V5486" s="17"/>
      <c r="W5486" s="4"/>
      <c r="X5486" s="17"/>
      <c r="Y5486" s="4"/>
      <c r="Z5486" s="17"/>
      <c r="AA5486" s="17"/>
      <c r="AB5486" s="17"/>
      <c r="AC5486" s="14"/>
      <c r="AD5486" s="14"/>
      <c r="AE5486" s="17" t="s">
        <v>94</v>
      </c>
      <c r="AF5486" s="14"/>
      <c r="AG5486" s="54"/>
      <c r="AH5486" s="11"/>
      <c r="AI5486" s="14"/>
      <c r="AJ5486" s="19">
        <v>0</v>
      </c>
      <c r="AK5486" s="23">
        <v>0</v>
      </c>
      <c r="AL5486" s="11"/>
      <c r="AM5486" s="19">
        <v>0</v>
      </c>
      <c r="AN5486" s="19">
        <v>383200</v>
      </c>
      <c r="AO5486" s="14"/>
      <c r="AP5486" s="14">
        <v>383200</v>
      </c>
      <c r="AQ5486" s="12">
        <v>1E-4</v>
      </c>
      <c r="AS5486" s="26"/>
    </row>
    <row r="5487" spans="1:45" s="19" customFormat="1" x14ac:dyDescent="0.2">
      <c r="A5487" s="122">
        <f t="shared" si="599"/>
        <v>4598</v>
      </c>
      <c r="B5487" s="13">
        <v>1</v>
      </c>
      <c r="C5487" s="17" t="s">
        <v>52</v>
      </c>
      <c r="D5487" s="17">
        <v>418</v>
      </c>
      <c r="E5487" s="17">
        <v>501</v>
      </c>
      <c r="F5487" s="17">
        <v>24</v>
      </c>
      <c r="G5487" s="13">
        <v>3</v>
      </c>
      <c r="H5487" s="17">
        <v>2</v>
      </c>
      <c r="I5487" s="17">
        <v>1</v>
      </c>
      <c r="J5487" s="17">
        <v>99.04</v>
      </c>
      <c r="K5487" s="10">
        <v>999.04</v>
      </c>
      <c r="L5487" s="17"/>
      <c r="M5487" s="15"/>
      <c r="N5487" s="18"/>
      <c r="O5487" s="14"/>
      <c r="P5487" s="17">
        <v>1</v>
      </c>
      <c r="Q5487" s="19">
        <v>999.04</v>
      </c>
      <c r="R5487" s="14">
        <v>1500</v>
      </c>
      <c r="S5487" s="19">
        <v>1498560</v>
      </c>
      <c r="T5487" s="17"/>
      <c r="U5487" s="17"/>
      <c r="V5487" s="17"/>
      <c r="W5487" s="4"/>
      <c r="X5487" s="17"/>
      <c r="Y5487" s="4"/>
      <c r="Z5487" s="17"/>
      <c r="AA5487" s="17"/>
      <c r="AB5487" s="17"/>
      <c r="AC5487" s="14"/>
      <c r="AD5487" s="14"/>
      <c r="AE5487" s="17"/>
      <c r="AF5487" s="14"/>
      <c r="AG5487" s="54"/>
      <c r="AH5487" s="11"/>
      <c r="AI5487" s="14"/>
      <c r="AJ5487" s="19">
        <v>0</v>
      </c>
      <c r="AK5487" s="23">
        <v>0</v>
      </c>
      <c r="AL5487" s="11"/>
      <c r="AM5487" s="19">
        <v>0</v>
      </c>
      <c r="AN5487" s="19">
        <v>1498560</v>
      </c>
      <c r="AO5487" s="14"/>
      <c r="AP5487" s="14">
        <v>1498560</v>
      </c>
      <c r="AQ5487" s="12"/>
      <c r="AS5487" s="26"/>
    </row>
    <row r="5488" spans="1:45" s="19" customFormat="1" ht="42" x14ac:dyDescent="0.2">
      <c r="A5488" s="122">
        <f t="shared" si="599"/>
        <v>4599</v>
      </c>
      <c r="B5488" s="13">
        <v>2</v>
      </c>
      <c r="C5488" s="17" t="s">
        <v>52</v>
      </c>
      <c r="D5488" s="17">
        <v>419</v>
      </c>
      <c r="E5488" s="17">
        <v>501</v>
      </c>
      <c r="F5488" s="17">
        <v>25</v>
      </c>
      <c r="G5488" s="13"/>
      <c r="H5488" s="17">
        <v>3</v>
      </c>
      <c r="I5488" s="17">
        <v>2</v>
      </c>
      <c r="J5488" s="17">
        <v>58.06</v>
      </c>
      <c r="K5488" s="10">
        <v>1458.06</v>
      </c>
      <c r="L5488" s="17"/>
      <c r="M5488" s="15"/>
      <c r="N5488" s="18"/>
      <c r="O5488" s="14"/>
      <c r="P5488" s="17">
        <v>2</v>
      </c>
      <c r="Q5488" s="19">
        <v>1458.06</v>
      </c>
      <c r="R5488" s="14">
        <v>160</v>
      </c>
      <c r="S5488" s="19">
        <v>233289.59999999998</v>
      </c>
      <c r="T5488" s="17">
        <v>1</v>
      </c>
      <c r="U5488" s="17"/>
      <c r="V5488" s="17" t="s">
        <v>183</v>
      </c>
      <c r="W5488" s="4"/>
      <c r="X5488" s="17"/>
      <c r="Y5488" s="4"/>
      <c r="Z5488" s="17"/>
      <c r="AA5488" s="17"/>
      <c r="AB5488" s="17">
        <v>18</v>
      </c>
      <c r="AC5488" s="14"/>
      <c r="AD5488" s="14"/>
      <c r="AE5488" s="17"/>
      <c r="AF5488" s="14">
        <v>2</v>
      </c>
      <c r="AG5488" s="54"/>
      <c r="AH5488" s="11"/>
      <c r="AI5488" s="14"/>
      <c r="AJ5488" s="19">
        <v>0</v>
      </c>
      <c r="AK5488" s="23">
        <v>18</v>
      </c>
      <c r="AL5488" s="11"/>
      <c r="AM5488" s="19">
        <v>0</v>
      </c>
      <c r="AN5488" s="19">
        <v>233289.59999999998</v>
      </c>
      <c r="AO5488" s="14"/>
      <c r="AP5488" s="14">
        <v>233289.59999999998</v>
      </c>
      <c r="AQ5488" s="12"/>
      <c r="AS5488" s="26"/>
    </row>
    <row r="5489" spans="1:45" s="19" customFormat="1" ht="42" x14ac:dyDescent="0.2">
      <c r="A5489" s="2"/>
      <c r="B5489" s="13"/>
      <c r="C5489" s="17"/>
      <c r="D5489" s="17"/>
      <c r="E5489" s="17"/>
      <c r="F5489" s="17"/>
      <c r="G5489" s="13"/>
      <c r="H5489" s="17"/>
      <c r="I5489" s="17"/>
      <c r="J5489" s="17"/>
      <c r="K5489" s="10"/>
      <c r="L5489" s="17"/>
      <c r="M5489" s="15"/>
      <c r="N5489" s="18"/>
      <c r="O5489" s="14"/>
      <c r="P5489" s="17">
        <v>2</v>
      </c>
      <c r="R5489" s="14"/>
      <c r="S5489" s="19">
        <v>0</v>
      </c>
      <c r="T5489" s="17">
        <v>2</v>
      </c>
      <c r="U5489" s="17"/>
      <c r="V5489" s="17" t="s">
        <v>514</v>
      </c>
      <c r="W5489" s="4"/>
      <c r="X5489" s="17"/>
      <c r="Y5489" s="4"/>
      <c r="Z5489" s="17"/>
      <c r="AA5489" s="17"/>
      <c r="AB5489" s="17">
        <v>40</v>
      </c>
      <c r="AC5489" s="14"/>
      <c r="AD5489" s="14"/>
      <c r="AE5489" s="17"/>
      <c r="AF5489" s="14">
        <v>2</v>
      </c>
      <c r="AG5489" s="54"/>
      <c r="AH5489" s="11"/>
      <c r="AI5489" s="14"/>
      <c r="AJ5489" s="19">
        <v>0</v>
      </c>
      <c r="AK5489" s="23">
        <v>40</v>
      </c>
      <c r="AL5489" s="11"/>
      <c r="AM5489" s="19">
        <v>0</v>
      </c>
      <c r="AN5489" s="19">
        <v>0</v>
      </c>
      <c r="AO5489" s="14"/>
      <c r="AP5489" s="14">
        <v>0</v>
      </c>
      <c r="AQ5489" s="12"/>
      <c r="AS5489" s="26"/>
    </row>
    <row r="5490" spans="1:45" s="19" customFormat="1" ht="42" x14ac:dyDescent="0.2">
      <c r="A5490" s="2"/>
      <c r="B5490" s="13"/>
      <c r="C5490" s="17"/>
      <c r="D5490" s="17"/>
      <c r="E5490" s="17"/>
      <c r="F5490" s="17"/>
      <c r="G5490" s="13"/>
      <c r="H5490" s="17"/>
      <c r="I5490" s="17"/>
      <c r="J5490" s="17"/>
      <c r="K5490" s="10"/>
      <c r="L5490" s="17"/>
      <c r="M5490" s="15"/>
      <c r="N5490" s="18"/>
      <c r="O5490" s="14"/>
      <c r="P5490" s="17">
        <v>2</v>
      </c>
      <c r="R5490" s="14"/>
      <c r="S5490" s="19">
        <v>0</v>
      </c>
      <c r="T5490" s="17">
        <v>3</v>
      </c>
      <c r="U5490" s="17"/>
      <c r="V5490" s="17" t="s">
        <v>183</v>
      </c>
      <c r="W5490" s="4"/>
      <c r="X5490" s="17"/>
      <c r="Y5490" s="4"/>
      <c r="Z5490" s="17"/>
      <c r="AA5490" s="17"/>
      <c r="AB5490" s="17">
        <v>10</v>
      </c>
      <c r="AC5490" s="14"/>
      <c r="AD5490" s="14"/>
      <c r="AE5490" s="17"/>
      <c r="AF5490" s="14">
        <v>2</v>
      </c>
      <c r="AG5490" s="54"/>
      <c r="AH5490" s="11"/>
      <c r="AI5490" s="14"/>
      <c r="AJ5490" s="19">
        <v>0</v>
      </c>
      <c r="AK5490" s="23">
        <v>10</v>
      </c>
      <c r="AL5490" s="11"/>
      <c r="AM5490" s="19">
        <v>0</v>
      </c>
      <c r="AN5490" s="19">
        <v>0</v>
      </c>
      <c r="AO5490" s="14"/>
      <c r="AP5490" s="14">
        <v>0</v>
      </c>
      <c r="AQ5490" s="12"/>
      <c r="AS5490" s="26"/>
    </row>
    <row r="5491" spans="1:45" s="19" customFormat="1" ht="42" x14ac:dyDescent="0.2">
      <c r="A5491" s="2"/>
      <c r="B5491" s="13"/>
      <c r="C5491" s="17"/>
      <c r="D5491" s="17"/>
      <c r="E5491" s="17"/>
      <c r="F5491" s="17"/>
      <c r="G5491" s="13"/>
      <c r="H5491" s="17"/>
      <c r="I5491" s="17"/>
      <c r="J5491" s="17"/>
      <c r="K5491" s="10"/>
      <c r="L5491" s="17"/>
      <c r="M5491" s="15"/>
      <c r="N5491" s="18"/>
      <c r="O5491" s="14"/>
      <c r="P5491" s="17">
        <v>2</v>
      </c>
      <c r="R5491" s="14"/>
      <c r="S5491" s="19">
        <v>0</v>
      </c>
      <c r="T5491" s="17">
        <v>4</v>
      </c>
      <c r="U5491" s="17"/>
      <c r="V5491" s="17" t="s">
        <v>183</v>
      </c>
      <c r="W5491" s="4"/>
      <c r="X5491" s="17"/>
      <c r="Y5491" s="4"/>
      <c r="Z5491" s="17"/>
      <c r="AA5491" s="17"/>
      <c r="AB5491" s="17">
        <v>18</v>
      </c>
      <c r="AC5491" s="14"/>
      <c r="AD5491" s="14"/>
      <c r="AE5491" s="17"/>
      <c r="AF5491" s="14">
        <v>2</v>
      </c>
      <c r="AG5491" s="54"/>
      <c r="AH5491" s="11"/>
      <c r="AI5491" s="14"/>
      <c r="AJ5491" s="19">
        <v>0</v>
      </c>
      <c r="AK5491" s="23">
        <v>18</v>
      </c>
      <c r="AL5491" s="11"/>
      <c r="AM5491" s="19">
        <v>0</v>
      </c>
      <c r="AN5491" s="19">
        <v>0</v>
      </c>
      <c r="AO5491" s="14"/>
      <c r="AP5491" s="14">
        <v>0</v>
      </c>
      <c r="AQ5491" s="12"/>
      <c r="AS5491" s="26"/>
    </row>
    <row r="5492" spans="1:45" s="19" customFormat="1" ht="42" x14ac:dyDescent="0.2">
      <c r="A5492" s="2"/>
      <c r="B5492" s="13"/>
      <c r="C5492" s="17"/>
      <c r="D5492" s="17"/>
      <c r="E5492" s="17"/>
      <c r="F5492" s="17"/>
      <c r="G5492" s="13"/>
      <c r="H5492" s="17"/>
      <c r="I5492" s="17"/>
      <c r="J5492" s="17"/>
      <c r="K5492" s="10"/>
      <c r="L5492" s="17"/>
      <c r="M5492" s="15"/>
      <c r="N5492" s="18"/>
      <c r="O5492" s="14"/>
      <c r="P5492" s="17">
        <v>2</v>
      </c>
      <c r="R5492" s="14"/>
      <c r="S5492" s="19">
        <v>0</v>
      </c>
      <c r="T5492" s="17">
        <v>5</v>
      </c>
      <c r="U5492" s="17"/>
      <c r="V5492" s="17" t="s">
        <v>183</v>
      </c>
      <c r="W5492" s="4"/>
      <c r="X5492" s="17"/>
      <c r="Y5492" s="4"/>
      <c r="Z5492" s="17"/>
      <c r="AA5492" s="17"/>
      <c r="AB5492" s="17">
        <v>23</v>
      </c>
      <c r="AC5492" s="14"/>
      <c r="AD5492" s="14"/>
      <c r="AE5492" s="17"/>
      <c r="AF5492" s="14">
        <v>2</v>
      </c>
      <c r="AG5492" s="54"/>
      <c r="AH5492" s="11"/>
      <c r="AI5492" s="14"/>
      <c r="AJ5492" s="19">
        <v>0</v>
      </c>
      <c r="AK5492" s="23">
        <v>23</v>
      </c>
      <c r="AL5492" s="11"/>
      <c r="AM5492" s="19">
        <v>0</v>
      </c>
      <c r="AN5492" s="19">
        <v>0</v>
      </c>
      <c r="AO5492" s="14"/>
      <c r="AP5492" s="14">
        <v>0</v>
      </c>
      <c r="AQ5492" s="12"/>
      <c r="AS5492" s="26"/>
    </row>
    <row r="5494" spans="1:45" s="19" customFormat="1" x14ac:dyDescent="0.2">
      <c r="A5494" s="2">
        <v>4600</v>
      </c>
      <c r="B5494" s="13">
        <v>4</v>
      </c>
      <c r="C5494" s="17" t="s">
        <v>52</v>
      </c>
      <c r="D5494" s="17">
        <v>26920</v>
      </c>
      <c r="E5494" s="17">
        <v>204</v>
      </c>
      <c r="F5494" s="17">
        <v>5066</v>
      </c>
      <c r="G5494" s="13"/>
      <c r="H5494" s="17">
        <v>4</v>
      </c>
      <c r="I5494" s="17">
        <v>0</v>
      </c>
      <c r="J5494" s="17">
        <v>36</v>
      </c>
      <c r="K5494" s="10">
        <v>1636</v>
      </c>
      <c r="L5494" s="17"/>
      <c r="M5494" s="15"/>
      <c r="N5494" s="18"/>
      <c r="O5494" s="14"/>
      <c r="P5494" s="17">
        <v>1</v>
      </c>
      <c r="Q5494" s="19">
        <v>1636</v>
      </c>
      <c r="R5494" s="14">
        <v>160</v>
      </c>
      <c r="S5494" s="19">
        <v>261760</v>
      </c>
      <c r="T5494" s="17"/>
      <c r="U5494" s="17"/>
      <c r="V5494" s="17"/>
      <c r="W5494" s="4"/>
      <c r="X5494" s="17"/>
      <c r="Y5494" s="4"/>
      <c r="Z5494" s="17"/>
      <c r="AA5494" s="17"/>
      <c r="AB5494" s="17"/>
      <c r="AC5494" s="14"/>
      <c r="AD5494" s="14"/>
      <c r="AE5494" s="17"/>
      <c r="AF5494" s="14"/>
      <c r="AG5494" s="54"/>
      <c r="AH5494" s="11"/>
      <c r="AI5494" s="14"/>
      <c r="AJ5494" s="19">
        <v>0</v>
      </c>
      <c r="AK5494" s="23">
        <v>0</v>
      </c>
      <c r="AL5494" s="11"/>
      <c r="AM5494" s="19">
        <v>0</v>
      </c>
      <c r="AN5494" s="19">
        <v>261760</v>
      </c>
      <c r="AO5494" s="14"/>
      <c r="AP5494" s="14">
        <v>261760</v>
      </c>
      <c r="AQ5494" s="12"/>
      <c r="AS5494" s="26"/>
    </row>
    <row r="5495" spans="1:45" s="19" customFormat="1" x14ac:dyDescent="0.2">
      <c r="A5495" s="2">
        <f>+A5494+1</f>
        <v>4601</v>
      </c>
      <c r="B5495" s="13">
        <v>5</v>
      </c>
      <c r="C5495" s="17" t="s">
        <v>52</v>
      </c>
      <c r="D5495" s="17">
        <v>26921</v>
      </c>
      <c r="E5495" s="17">
        <v>205</v>
      </c>
      <c r="F5495" s="17">
        <v>5067</v>
      </c>
      <c r="G5495" s="13"/>
      <c r="H5495" s="17">
        <v>1</v>
      </c>
      <c r="I5495" s="17">
        <v>3</v>
      </c>
      <c r="J5495" s="17">
        <v>6</v>
      </c>
      <c r="K5495" s="10">
        <v>706</v>
      </c>
      <c r="L5495" s="17"/>
      <c r="M5495" s="15"/>
      <c r="N5495" s="18"/>
      <c r="O5495" s="14"/>
      <c r="P5495" s="17">
        <v>1</v>
      </c>
      <c r="Q5495" s="19">
        <v>706</v>
      </c>
      <c r="R5495" s="14">
        <v>160</v>
      </c>
      <c r="S5495" s="19">
        <v>112960</v>
      </c>
      <c r="T5495" s="17"/>
      <c r="U5495" s="17"/>
      <c r="V5495" s="17"/>
      <c r="W5495" s="4"/>
      <c r="X5495" s="17"/>
      <c r="Y5495" s="4"/>
      <c r="Z5495" s="17"/>
      <c r="AA5495" s="17"/>
      <c r="AB5495" s="17"/>
      <c r="AC5495" s="14"/>
      <c r="AD5495" s="14"/>
      <c r="AE5495" s="17"/>
      <c r="AF5495" s="14"/>
      <c r="AG5495" s="54"/>
      <c r="AH5495" s="11"/>
      <c r="AI5495" s="14"/>
      <c r="AJ5495" s="19">
        <v>0</v>
      </c>
      <c r="AK5495" s="23">
        <v>0</v>
      </c>
      <c r="AL5495" s="11"/>
      <c r="AM5495" s="19">
        <v>0</v>
      </c>
      <c r="AN5495" s="19">
        <v>112960</v>
      </c>
      <c r="AO5495" s="14"/>
      <c r="AP5495" s="14">
        <v>112960</v>
      </c>
      <c r="AQ5495" s="12"/>
      <c r="AS5495" s="26"/>
    </row>
    <row r="5496" spans="1:45" s="19" customFormat="1" x14ac:dyDescent="0.2">
      <c r="A5496" s="122">
        <f t="shared" ref="A5496:A5498" si="600">+A5495+1</f>
        <v>4602</v>
      </c>
      <c r="B5496" s="13">
        <v>6</v>
      </c>
      <c r="C5496" s="17" t="s">
        <v>52</v>
      </c>
      <c r="D5496" s="17">
        <v>26922</v>
      </c>
      <c r="E5496" s="17">
        <v>206</v>
      </c>
      <c r="F5496" s="17">
        <v>5068</v>
      </c>
      <c r="G5496" s="13"/>
      <c r="H5496" s="17">
        <v>1</v>
      </c>
      <c r="I5496" s="17">
        <v>3</v>
      </c>
      <c r="J5496" s="17">
        <v>6</v>
      </c>
      <c r="K5496" s="10">
        <v>706</v>
      </c>
      <c r="L5496" s="17"/>
      <c r="M5496" s="15"/>
      <c r="N5496" s="18"/>
      <c r="O5496" s="14"/>
      <c r="P5496" s="17">
        <v>1</v>
      </c>
      <c r="Q5496" s="19">
        <v>706</v>
      </c>
      <c r="R5496" s="14">
        <v>160</v>
      </c>
      <c r="S5496" s="19">
        <v>112960</v>
      </c>
      <c r="T5496" s="17"/>
      <c r="U5496" s="17"/>
      <c r="V5496" s="17"/>
      <c r="W5496" s="4"/>
      <c r="X5496" s="17"/>
      <c r="Y5496" s="4"/>
      <c r="Z5496" s="17"/>
      <c r="AA5496" s="17"/>
      <c r="AB5496" s="17"/>
      <c r="AC5496" s="14"/>
      <c r="AD5496" s="14"/>
      <c r="AE5496" s="17"/>
      <c r="AF5496" s="14"/>
      <c r="AG5496" s="54"/>
      <c r="AH5496" s="11"/>
      <c r="AI5496" s="14"/>
      <c r="AJ5496" s="19">
        <v>0</v>
      </c>
      <c r="AK5496" s="23">
        <v>0</v>
      </c>
      <c r="AL5496" s="11"/>
      <c r="AM5496" s="19">
        <v>0</v>
      </c>
      <c r="AN5496" s="19">
        <v>112960</v>
      </c>
      <c r="AO5496" s="14"/>
      <c r="AP5496" s="14">
        <v>112960</v>
      </c>
      <c r="AQ5496" s="12"/>
      <c r="AS5496" s="26"/>
    </row>
    <row r="5497" spans="1:45" s="19" customFormat="1" x14ac:dyDescent="0.2">
      <c r="A5497" s="122">
        <f t="shared" si="600"/>
        <v>4603</v>
      </c>
      <c r="B5497" s="13">
        <v>7</v>
      </c>
      <c r="C5497" s="17" t="s">
        <v>52</v>
      </c>
      <c r="D5497" s="17">
        <v>26923</v>
      </c>
      <c r="E5497" s="17">
        <v>207</v>
      </c>
      <c r="F5497" s="17">
        <v>5069</v>
      </c>
      <c r="G5497" s="13"/>
      <c r="H5497" s="17">
        <v>3</v>
      </c>
      <c r="I5497" s="17">
        <v>2</v>
      </c>
      <c r="J5497" s="17">
        <v>83</v>
      </c>
      <c r="K5497" s="10">
        <v>1483</v>
      </c>
      <c r="L5497" s="17"/>
      <c r="M5497" s="15"/>
      <c r="N5497" s="18"/>
      <c r="O5497" s="14"/>
      <c r="P5497" s="17">
        <v>1</v>
      </c>
      <c r="Q5497" s="19">
        <v>1483</v>
      </c>
      <c r="R5497" s="14">
        <v>160</v>
      </c>
      <c r="S5497" s="19">
        <v>237280</v>
      </c>
      <c r="T5497" s="17"/>
      <c r="U5497" s="17"/>
      <c r="V5497" s="17"/>
      <c r="W5497" s="4"/>
      <c r="X5497" s="17"/>
      <c r="Y5497" s="4"/>
      <c r="Z5497" s="17"/>
      <c r="AA5497" s="17"/>
      <c r="AB5497" s="17"/>
      <c r="AC5497" s="14"/>
      <c r="AD5497" s="14"/>
      <c r="AE5497" s="17"/>
      <c r="AF5497" s="14"/>
      <c r="AG5497" s="54"/>
      <c r="AH5497" s="11"/>
      <c r="AI5497" s="14"/>
      <c r="AJ5497" s="19">
        <v>0</v>
      </c>
      <c r="AK5497" s="23">
        <v>0</v>
      </c>
      <c r="AL5497" s="11"/>
      <c r="AM5497" s="19">
        <v>0</v>
      </c>
      <c r="AN5497" s="19">
        <v>237280</v>
      </c>
      <c r="AO5497" s="14"/>
      <c r="AP5497" s="14">
        <v>237280</v>
      </c>
      <c r="AQ5497" s="12"/>
      <c r="AS5497" s="26"/>
    </row>
    <row r="5498" spans="1:45" s="19" customFormat="1" x14ac:dyDescent="0.2">
      <c r="A5498" s="122">
        <f t="shared" si="600"/>
        <v>4604</v>
      </c>
      <c r="B5498" s="13">
        <v>8</v>
      </c>
      <c r="C5498" s="17" t="s">
        <v>52</v>
      </c>
      <c r="D5498" s="17">
        <v>39370</v>
      </c>
      <c r="E5498" s="17">
        <v>502</v>
      </c>
      <c r="F5498" s="17">
        <v>7808</v>
      </c>
      <c r="G5498" s="13"/>
      <c r="H5498" s="17">
        <v>7</v>
      </c>
      <c r="I5498" s="17">
        <v>2</v>
      </c>
      <c r="J5498" s="17">
        <v>62.3</v>
      </c>
      <c r="K5498" s="10"/>
      <c r="L5498" s="17"/>
      <c r="M5498" s="15"/>
      <c r="N5498" s="18"/>
      <c r="O5498" s="14"/>
      <c r="P5498" s="17">
        <v>5</v>
      </c>
      <c r="Q5498" s="19">
        <v>3062.3</v>
      </c>
      <c r="R5498" s="14">
        <v>500</v>
      </c>
      <c r="S5498" s="19">
        <v>1531150</v>
      </c>
      <c r="T5498" s="17"/>
      <c r="U5498" s="17"/>
      <c r="V5498" s="17"/>
      <c r="W5498" s="4"/>
      <c r="X5498" s="17"/>
      <c r="Y5498" s="4"/>
      <c r="Z5498" s="17"/>
      <c r="AA5498" s="17"/>
      <c r="AB5498" s="17"/>
      <c r="AC5498" s="14"/>
      <c r="AD5498" s="14"/>
      <c r="AE5498" s="17"/>
      <c r="AF5498" s="14"/>
      <c r="AG5498" s="54"/>
      <c r="AH5498" s="11"/>
      <c r="AI5498" s="14"/>
      <c r="AK5498" s="23"/>
      <c r="AL5498" s="11"/>
      <c r="AO5498" s="14"/>
      <c r="AP5498" s="14"/>
      <c r="AQ5498" s="12"/>
      <c r="AS5498" s="26"/>
    </row>
    <row r="5499" spans="1:45" s="19" customFormat="1" x14ac:dyDescent="0.2">
      <c r="A5499" s="2"/>
      <c r="B5499" s="13"/>
      <c r="C5499" s="17"/>
      <c r="D5499" s="17"/>
      <c r="E5499" s="17"/>
      <c r="F5499" s="17"/>
      <c r="G5499" s="13"/>
      <c r="H5499" s="17"/>
      <c r="I5499" s="17"/>
      <c r="J5499" s="17"/>
      <c r="K5499" s="10"/>
      <c r="L5499" s="17"/>
      <c r="M5499" s="15"/>
      <c r="N5499" s="18"/>
      <c r="O5499" s="14"/>
      <c r="P5499" s="17">
        <v>1</v>
      </c>
      <c r="Q5499" s="19">
        <v>2932.3</v>
      </c>
      <c r="R5499" s="14">
        <v>500</v>
      </c>
      <c r="S5499" s="19">
        <v>1466150</v>
      </c>
      <c r="T5499" s="17"/>
      <c r="U5499" s="17"/>
      <c r="V5499" s="17"/>
      <c r="W5499" s="4"/>
      <c r="X5499" s="17"/>
      <c r="Y5499" s="4"/>
      <c r="Z5499" s="17"/>
      <c r="AA5499" s="17"/>
      <c r="AB5499" s="17"/>
      <c r="AC5499" s="14"/>
      <c r="AD5499" s="14"/>
      <c r="AE5499" s="17"/>
      <c r="AF5499" s="14"/>
      <c r="AG5499" s="54"/>
      <c r="AH5499" s="11"/>
      <c r="AI5499" s="14"/>
      <c r="AK5499" s="23"/>
      <c r="AL5499" s="11"/>
      <c r="AO5499" s="14"/>
      <c r="AP5499" s="14"/>
      <c r="AQ5499" s="12"/>
      <c r="AS5499" s="26"/>
    </row>
    <row r="5500" spans="1:45" s="19" customFormat="1" ht="63" x14ac:dyDescent="0.2">
      <c r="A5500" s="2"/>
      <c r="B5500" s="13"/>
      <c r="C5500" s="17"/>
      <c r="D5500" s="17"/>
      <c r="E5500" s="17"/>
      <c r="F5500" s="17"/>
      <c r="G5500" s="13"/>
      <c r="H5500" s="17"/>
      <c r="I5500" s="17"/>
      <c r="J5500" s="17"/>
      <c r="K5500" s="10"/>
      <c r="L5500" s="17"/>
      <c r="M5500" s="15"/>
      <c r="N5500" s="18"/>
      <c r="O5500" s="14"/>
      <c r="P5500" s="17">
        <v>2</v>
      </c>
      <c r="Q5500" s="19">
        <v>130</v>
      </c>
      <c r="R5500" s="14">
        <v>500</v>
      </c>
      <c r="S5500" s="19">
        <v>65000</v>
      </c>
      <c r="T5500" s="17" t="s">
        <v>122</v>
      </c>
      <c r="U5500" s="17" t="s">
        <v>57</v>
      </c>
      <c r="V5500" s="17" t="s">
        <v>56</v>
      </c>
      <c r="W5500" s="4" t="s">
        <v>483</v>
      </c>
      <c r="X5500" s="17"/>
      <c r="Y5500" s="4" t="s">
        <v>483</v>
      </c>
      <c r="Z5500" s="17"/>
      <c r="AA5500" s="17"/>
      <c r="AB5500" s="17" t="s">
        <v>515</v>
      </c>
      <c r="AC5500" s="14"/>
      <c r="AD5500" s="14"/>
      <c r="AE5500" s="17"/>
      <c r="AF5500" s="14">
        <v>2</v>
      </c>
      <c r="AG5500" s="54">
        <v>70</v>
      </c>
      <c r="AH5500" s="11">
        <v>1</v>
      </c>
      <c r="AI5500" s="14">
        <v>7250</v>
      </c>
      <c r="AJ5500" s="19">
        <v>507500</v>
      </c>
      <c r="AK5500" s="23" t="s">
        <v>515</v>
      </c>
      <c r="AL5500" s="11"/>
      <c r="AM5500" s="19">
        <v>507500</v>
      </c>
      <c r="AN5500" s="19">
        <v>540000</v>
      </c>
      <c r="AO5500" s="14"/>
      <c r="AP5500" s="14">
        <v>540000</v>
      </c>
      <c r="AQ5500" s="12">
        <v>2.0000000000000001E-4</v>
      </c>
      <c r="AS5500" s="26"/>
    </row>
    <row r="5501" spans="1:45" s="19" customFormat="1" ht="63" x14ac:dyDescent="0.2">
      <c r="A5501" s="2"/>
      <c r="B5501" s="13"/>
      <c r="C5501" s="17"/>
      <c r="D5501" s="17"/>
      <c r="E5501" s="17"/>
      <c r="F5501" s="17"/>
      <c r="G5501" s="13"/>
      <c r="H5501" s="17"/>
      <c r="I5501" s="17"/>
      <c r="J5501" s="17"/>
      <c r="K5501" s="10"/>
      <c r="L5501" s="17"/>
      <c r="M5501" s="15"/>
      <c r="N5501" s="18"/>
      <c r="O5501" s="14"/>
      <c r="P5501" s="17">
        <v>2</v>
      </c>
      <c r="R5501" s="14"/>
      <c r="S5501" s="19">
        <v>0</v>
      </c>
      <c r="T5501" s="17" t="s">
        <v>288</v>
      </c>
      <c r="U5501" s="17" t="s">
        <v>57</v>
      </c>
      <c r="V5501" s="17" t="s">
        <v>56</v>
      </c>
      <c r="W5501" s="4" t="s">
        <v>483</v>
      </c>
      <c r="X5501" s="17"/>
      <c r="Y5501" s="4" t="s">
        <v>483</v>
      </c>
      <c r="Z5501" s="17"/>
      <c r="AA5501" s="17"/>
      <c r="AB5501" s="17" t="s">
        <v>288</v>
      </c>
      <c r="AC5501" s="14"/>
      <c r="AD5501" s="14"/>
      <c r="AE5501" s="17"/>
      <c r="AF5501" s="14">
        <v>2</v>
      </c>
      <c r="AG5501" s="54">
        <v>70</v>
      </c>
      <c r="AH5501" s="11">
        <v>1</v>
      </c>
      <c r="AI5501" s="14">
        <v>7250</v>
      </c>
      <c r="AJ5501" s="19">
        <v>507500</v>
      </c>
      <c r="AK5501" s="23" t="s">
        <v>288</v>
      </c>
      <c r="AL5501" s="11"/>
      <c r="AM5501" s="19">
        <v>507500</v>
      </c>
      <c r="AN5501" s="19">
        <v>540000</v>
      </c>
      <c r="AO5501" s="14"/>
      <c r="AP5501" s="14">
        <v>540000</v>
      </c>
      <c r="AQ5501" s="12">
        <v>2.0000000000000001E-4</v>
      </c>
      <c r="AS5501" s="26"/>
    </row>
    <row r="5502" spans="1:45" s="19" customFormat="1" x14ac:dyDescent="0.2">
      <c r="A5502" s="2">
        <v>4605</v>
      </c>
      <c r="B5502" s="13"/>
      <c r="C5502" s="17" t="s">
        <v>52</v>
      </c>
      <c r="D5502" s="17">
        <v>39371</v>
      </c>
      <c r="E5502" s="17">
        <v>503</v>
      </c>
      <c r="F5502" s="17">
        <v>7809</v>
      </c>
      <c r="G5502" s="13"/>
      <c r="H5502" s="17">
        <v>8</v>
      </c>
      <c r="I5502" s="17">
        <v>2</v>
      </c>
      <c r="J5502" s="17">
        <v>1.5</v>
      </c>
      <c r="K5502" s="10"/>
      <c r="L5502" s="17"/>
      <c r="M5502" s="15"/>
      <c r="N5502" s="18"/>
      <c r="O5502" s="14"/>
      <c r="P5502" s="17">
        <v>5</v>
      </c>
      <c r="Q5502" s="19">
        <v>3401.5</v>
      </c>
      <c r="R5502" s="14">
        <v>500</v>
      </c>
      <c r="S5502" s="19">
        <v>1700750</v>
      </c>
      <c r="T5502" s="17"/>
      <c r="U5502" s="17"/>
      <c r="V5502" s="17"/>
      <c r="W5502" s="4"/>
      <c r="X5502" s="17"/>
      <c r="Y5502" s="4"/>
      <c r="Z5502" s="17"/>
      <c r="AA5502" s="17"/>
      <c r="AB5502" s="17"/>
      <c r="AC5502" s="14"/>
      <c r="AD5502" s="14"/>
      <c r="AE5502" s="17"/>
      <c r="AF5502" s="14"/>
      <c r="AG5502" s="54"/>
      <c r="AH5502" s="11"/>
      <c r="AI5502" s="14"/>
      <c r="AK5502" s="23"/>
      <c r="AL5502" s="11"/>
      <c r="AO5502" s="14"/>
      <c r="AP5502" s="14"/>
      <c r="AQ5502" s="12"/>
      <c r="AS5502" s="26"/>
    </row>
    <row r="5503" spans="1:45" s="19" customFormat="1" x14ac:dyDescent="0.2">
      <c r="A5503" s="2"/>
      <c r="B5503" s="13"/>
      <c r="C5503" s="17"/>
      <c r="D5503" s="17"/>
      <c r="E5503" s="17"/>
      <c r="F5503" s="17"/>
      <c r="G5503" s="13"/>
      <c r="H5503" s="17"/>
      <c r="I5503" s="17"/>
      <c r="J5503" s="17"/>
      <c r="K5503" s="10"/>
      <c r="L5503" s="17"/>
      <c r="M5503" s="15"/>
      <c r="N5503" s="18"/>
      <c r="O5503" s="14"/>
      <c r="P5503" s="17"/>
      <c r="Q5503" s="19">
        <v>3291.5</v>
      </c>
      <c r="R5503" s="14"/>
      <c r="T5503" s="17"/>
      <c r="U5503" s="17"/>
      <c r="V5503" s="17"/>
      <c r="W5503" s="4"/>
      <c r="X5503" s="17"/>
      <c r="Y5503" s="4"/>
      <c r="Z5503" s="17"/>
      <c r="AA5503" s="17"/>
      <c r="AB5503" s="17"/>
      <c r="AC5503" s="14"/>
      <c r="AD5503" s="14"/>
      <c r="AE5503" s="17"/>
      <c r="AF5503" s="14"/>
      <c r="AG5503" s="54"/>
      <c r="AH5503" s="11"/>
      <c r="AI5503" s="14"/>
      <c r="AK5503" s="23"/>
      <c r="AL5503" s="11"/>
      <c r="AO5503" s="14"/>
      <c r="AP5503" s="14"/>
      <c r="AQ5503" s="12"/>
      <c r="AS5503" s="26"/>
    </row>
    <row r="5504" spans="1:45" s="19" customFormat="1" ht="63" x14ac:dyDescent="0.2">
      <c r="A5504" s="2"/>
      <c r="B5504" s="13"/>
      <c r="C5504" s="17"/>
      <c r="D5504" s="17"/>
      <c r="E5504" s="17"/>
      <c r="F5504" s="17"/>
      <c r="G5504" s="13"/>
      <c r="H5504" s="17"/>
      <c r="I5504" s="17"/>
      <c r="J5504" s="17"/>
      <c r="K5504" s="10"/>
      <c r="L5504" s="17"/>
      <c r="M5504" s="15"/>
      <c r="N5504" s="18"/>
      <c r="O5504" s="14"/>
      <c r="P5504" s="17">
        <v>2</v>
      </c>
      <c r="Q5504" s="19">
        <v>110</v>
      </c>
      <c r="R5504" s="14">
        <v>500</v>
      </c>
      <c r="S5504" s="19">
        <v>55000</v>
      </c>
      <c r="T5504" s="17" t="s">
        <v>288</v>
      </c>
      <c r="U5504" s="17" t="s">
        <v>57</v>
      </c>
      <c r="V5504" s="17" t="s">
        <v>56</v>
      </c>
      <c r="W5504" s="4" t="s">
        <v>483</v>
      </c>
      <c r="X5504" s="17"/>
      <c r="Y5504" s="4" t="s">
        <v>483</v>
      </c>
      <c r="Z5504" s="17"/>
      <c r="AA5504" s="17"/>
      <c r="AB5504" s="17" t="s">
        <v>288</v>
      </c>
      <c r="AC5504" s="14"/>
      <c r="AD5504" s="14"/>
      <c r="AE5504" s="17"/>
      <c r="AF5504" s="14">
        <v>2</v>
      </c>
      <c r="AG5504" s="54">
        <v>70</v>
      </c>
      <c r="AH5504" s="11">
        <v>1</v>
      </c>
      <c r="AI5504" s="14">
        <v>7250</v>
      </c>
      <c r="AJ5504" s="19">
        <v>507500</v>
      </c>
      <c r="AK5504" s="23" t="s">
        <v>288</v>
      </c>
      <c r="AL5504" s="11"/>
      <c r="AM5504" s="19">
        <v>507500</v>
      </c>
      <c r="AN5504" s="19">
        <v>562500</v>
      </c>
      <c r="AO5504" s="14"/>
      <c r="AP5504" s="14">
        <v>562500</v>
      </c>
      <c r="AQ5504" s="12">
        <v>2.0000000000000001E-4</v>
      </c>
      <c r="AS5504" s="26"/>
    </row>
    <row r="5505" spans="1:45" s="19" customFormat="1" x14ac:dyDescent="0.2">
      <c r="A5505" s="2"/>
      <c r="B5505" s="13">
        <v>8</v>
      </c>
      <c r="C5505" s="17" t="s">
        <v>65</v>
      </c>
      <c r="D5505" s="17">
        <v>156</v>
      </c>
      <c r="E5505" s="17">
        <v>59</v>
      </c>
      <c r="F5505" s="17"/>
      <c r="G5505" s="13"/>
      <c r="H5505" s="17">
        <v>11</v>
      </c>
      <c r="I5505" s="17">
        <v>1</v>
      </c>
      <c r="J5505" s="17">
        <v>23</v>
      </c>
      <c r="K5505" s="10">
        <v>4523</v>
      </c>
      <c r="L5505" s="17"/>
      <c r="M5505" s="15"/>
      <c r="N5505" s="18"/>
      <c r="O5505" s="14"/>
      <c r="P5505" s="17"/>
      <c r="Q5505" s="19">
        <v>4523</v>
      </c>
      <c r="R5505" s="14" t="e">
        <v>#N/A</v>
      </c>
      <c r="S5505" s="19" t="e">
        <v>#N/A</v>
      </c>
      <c r="T5505" s="17"/>
      <c r="U5505" s="17"/>
      <c r="V5505" s="17"/>
      <c r="W5505" s="4"/>
      <c r="X5505" s="17"/>
      <c r="Y5505" s="4"/>
      <c r="Z5505" s="17"/>
      <c r="AA5505" s="17"/>
      <c r="AB5505" s="17"/>
      <c r="AC5505" s="14"/>
      <c r="AD5505" s="14"/>
      <c r="AE5505" s="17" t="s">
        <v>94</v>
      </c>
      <c r="AF5505" s="14"/>
      <c r="AG5505" s="54"/>
      <c r="AH5505" s="11"/>
      <c r="AI5505" s="14"/>
      <c r="AJ5505" s="19">
        <v>0</v>
      </c>
      <c r="AK5505" s="23">
        <v>0</v>
      </c>
      <c r="AL5505" s="11"/>
      <c r="AM5505" s="19">
        <v>0</v>
      </c>
      <c r="AN5505" s="19" t="e">
        <v>#N/A</v>
      </c>
      <c r="AO5505" s="14"/>
      <c r="AP5505" s="14" t="e">
        <v>#N/A</v>
      </c>
      <c r="AQ5505" s="12">
        <v>1E-4</v>
      </c>
      <c r="AS5505" s="26"/>
    </row>
    <row r="5506" spans="1:45" s="19" customFormat="1" ht="42" x14ac:dyDescent="0.2">
      <c r="A5506" s="2">
        <v>4606</v>
      </c>
      <c r="B5506" s="13">
        <v>1</v>
      </c>
      <c r="C5506" s="17" t="s">
        <v>52</v>
      </c>
      <c r="D5506" s="17">
        <v>31077</v>
      </c>
      <c r="E5506" s="17">
        <v>213</v>
      </c>
      <c r="F5506" s="17">
        <v>6027</v>
      </c>
      <c r="G5506" s="13">
        <v>2</v>
      </c>
      <c r="H5506" s="17">
        <v>0</v>
      </c>
      <c r="I5506" s="17">
        <v>0</v>
      </c>
      <c r="J5506" s="17">
        <v>53.05</v>
      </c>
      <c r="K5506" s="10"/>
      <c r="L5506" s="17"/>
      <c r="M5506" s="15">
        <v>53.05</v>
      </c>
      <c r="N5506" s="18"/>
      <c r="O5506" s="14"/>
      <c r="P5506" s="17">
        <v>3</v>
      </c>
      <c r="Q5506" s="19">
        <v>53.05</v>
      </c>
      <c r="R5506" s="14">
        <v>3350</v>
      </c>
      <c r="S5506" s="19">
        <v>177717.5</v>
      </c>
      <c r="T5506" s="17"/>
      <c r="U5506" s="17" t="s">
        <v>155</v>
      </c>
      <c r="V5506" s="17" t="s">
        <v>56</v>
      </c>
      <c r="W5506" s="4" t="s">
        <v>485</v>
      </c>
      <c r="X5506" s="17"/>
      <c r="Y5506" s="4"/>
      <c r="Z5506" s="17" t="s">
        <v>485</v>
      </c>
      <c r="AA5506" s="17"/>
      <c r="AB5506" s="17" t="s">
        <v>288</v>
      </c>
      <c r="AC5506" s="14"/>
      <c r="AD5506" s="14"/>
      <c r="AE5506" s="17" t="s">
        <v>516</v>
      </c>
      <c r="AF5506" s="14">
        <v>3</v>
      </c>
      <c r="AG5506" s="54">
        <v>21</v>
      </c>
      <c r="AH5506" s="11">
        <v>1</v>
      </c>
      <c r="AI5506" s="14">
        <v>5800</v>
      </c>
      <c r="AJ5506" s="19">
        <v>121800</v>
      </c>
      <c r="AK5506" s="23" t="s">
        <v>288</v>
      </c>
      <c r="AL5506" s="11"/>
      <c r="AM5506" s="19">
        <v>121800</v>
      </c>
      <c r="AN5506" s="19">
        <v>299517.5</v>
      </c>
      <c r="AO5506" s="14"/>
      <c r="AP5506" s="14">
        <v>299517.5</v>
      </c>
      <c r="AQ5506" s="12">
        <v>3.0000000000000001E-3</v>
      </c>
      <c r="AS5506" s="26"/>
    </row>
    <row r="5507" spans="1:45" s="19" customFormat="1" ht="42" x14ac:dyDescent="0.2">
      <c r="A5507" s="2">
        <f>+A5506+1</f>
        <v>4607</v>
      </c>
      <c r="B5507" s="13">
        <v>2</v>
      </c>
      <c r="C5507" s="17" t="s">
        <v>52</v>
      </c>
      <c r="D5507" s="17">
        <v>31078</v>
      </c>
      <c r="E5507" s="17">
        <v>214</v>
      </c>
      <c r="F5507" s="17">
        <v>6028</v>
      </c>
      <c r="G5507" s="13">
        <v>2</v>
      </c>
      <c r="H5507" s="17">
        <v>0</v>
      </c>
      <c r="I5507" s="17">
        <v>0</v>
      </c>
      <c r="J5507" s="17">
        <v>55.06</v>
      </c>
      <c r="K5507" s="10"/>
      <c r="L5507" s="17"/>
      <c r="M5507" s="15">
        <v>55.06</v>
      </c>
      <c r="N5507" s="18"/>
      <c r="O5507" s="14"/>
      <c r="P5507" s="17">
        <v>3</v>
      </c>
      <c r="Q5507" s="19">
        <v>55.06</v>
      </c>
      <c r="R5507" s="14">
        <v>3350</v>
      </c>
      <c r="S5507" s="19">
        <v>184451</v>
      </c>
      <c r="T5507" s="17"/>
      <c r="U5507" s="17" t="s">
        <v>155</v>
      </c>
      <c r="V5507" s="17" t="s">
        <v>56</v>
      </c>
      <c r="W5507" s="4" t="s">
        <v>485</v>
      </c>
      <c r="X5507" s="17"/>
      <c r="Y5507" s="4"/>
      <c r="Z5507" s="17" t="s">
        <v>485</v>
      </c>
      <c r="AA5507" s="17"/>
      <c r="AB5507" s="17" t="s">
        <v>288</v>
      </c>
      <c r="AC5507" s="14"/>
      <c r="AD5507" s="14"/>
      <c r="AE5507" s="17"/>
      <c r="AF5507" s="14">
        <v>3</v>
      </c>
      <c r="AG5507" s="54">
        <v>21</v>
      </c>
      <c r="AH5507" s="11">
        <v>1</v>
      </c>
      <c r="AI5507" s="14">
        <v>5800</v>
      </c>
      <c r="AJ5507" s="19">
        <v>121800</v>
      </c>
      <c r="AK5507" s="23" t="s">
        <v>288</v>
      </c>
      <c r="AL5507" s="11"/>
      <c r="AM5507" s="19">
        <v>121800</v>
      </c>
      <c r="AN5507" s="19">
        <v>306251</v>
      </c>
      <c r="AO5507" s="14"/>
      <c r="AP5507" s="14">
        <v>306251</v>
      </c>
      <c r="AQ5507" s="12">
        <v>3.0000000000000001E-3</v>
      </c>
      <c r="AS5507" s="26"/>
    </row>
    <row r="5508" spans="1:45" s="19" customFormat="1" ht="42" x14ac:dyDescent="0.2">
      <c r="A5508" s="122">
        <f>+A5507+1</f>
        <v>4608</v>
      </c>
      <c r="B5508" s="13">
        <v>3</v>
      </c>
      <c r="C5508" s="17" t="s">
        <v>52</v>
      </c>
      <c r="D5508" s="17">
        <v>31079</v>
      </c>
      <c r="E5508" s="17">
        <v>215</v>
      </c>
      <c r="F5508" s="17">
        <v>6029</v>
      </c>
      <c r="G5508" s="13">
        <v>2</v>
      </c>
      <c r="H5508" s="17">
        <v>0</v>
      </c>
      <c r="I5508" s="17">
        <v>0</v>
      </c>
      <c r="J5508" s="17">
        <v>53.04</v>
      </c>
      <c r="K5508" s="10"/>
      <c r="L5508" s="17"/>
      <c r="M5508" s="15">
        <v>53.04</v>
      </c>
      <c r="N5508" s="18"/>
      <c r="O5508" s="14"/>
      <c r="P5508" s="17">
        <v>3</v>
      </c>
      <c r="Q5508" s="19">
        <v>53.04</v>
      </c>
      <c r="R5508" s="14">
        <v>3350</v>
      </c>
      <c r="S5508" s="19">
        <v>177684</v>
      </c>
      <c r="T5508" s="17"/>
      <c r="U5508" s="17" t="s">
        <v>155</v>
      </c>
      <c r="V5508" s="17" t="s">
        <v>56</v>
      </c>
      <c r="W5508" s="4" t="s">
        <v>485</v>
      </c>
      <c r="X5508" s="17"/>
      <c r="Y5508" s="4"/>
      <c r="Z5508" s="17" t="s">
        <v>485</v>
      </c>
      <c r="AA5508" s="17"/>
      <c r="AB5508" s="17" t="s">
        <v>288</v>
      </c>
      <c r="AC5508" s="14"/>
      <c r="AD5508" s="14"/>
      <c r="AE5508" s="17"/>
      <c r="AF5508" s="14">
        <v>3</v>
      </c>
      <c r="AG5508" s="54">
        <v>21</v>
      </c>
      <c r="AH5508" s="11">
        <v>1</v>
      </c>
      <c r="AI5508" s="14">
        <v>5800</v>
      </c>
      <c r="AJ5508" s="19">
        <v>121800</v>
      </c>
      <c r="AK5508" s="23" t="s">
        <v>288</v>
      </c>
      <c r="AL5508" s="11"/>
      <c r="AM5508" s="19">
        <v>121800</v>
      </c>
      <c r="AN5508" s="19">
        <v>299484</v>
      </c>
      <c r="AO5508" s="14"/>
      <c r="AP5508" s="14">
        <v>299484</v>
      </c>
      <c r="AQ5508" s="12">
        <v>3.0000000000000001E-3</v>
      </c>
      <c r="AS5508" s="26"/>
    </row>
    <row r="5509" spans="1:45" s="19" customFormat="1" ht="42" x14ac:dyDescent="0.2">
      <c r="A5509" s="122">
        <f>+A5508+1</f>
        <v>4609</v>
      </c>
      <c r="B5509" s="13">
        <v>4</v>
      </c>
      <c r="C5509" s="17" t="s">
        <v>52</v>
      </c>
      <c r="D5509" s="17">
        <v>2016</v>
      </c>
      <c r="E5509" s="17">
        <v>71</v>
      </c>
      <c r="F5509" s="17">
        <v>1070</v>
      </c>
      <c r="G5509" s="13"/>
      <c r="H5509" s="17">
        <v>0</v>
      </c>
      <c r="I5509" s="17">
        <v>0</v>
      </c>
      <c r="J5509" s="17">
        <v>72</v>
      </c>
      <c r="K5509" s="10"/>
      <c r="L5509" s="17">
        <v>72</v>
      </c>
      <c r="M5509" s="15"/>
      <c r="N5509" s="18"/>
      <c r="O5509" s="14"/>
      <c r="P5509" s="17">
        <v>2</v>
      </c>
      <c r="Q5509" s="19">
        <v>72</v>
      </c>
      <c r="R5509" s="14">
        <v>2000</v>
      </c>
      <c r="S5509" s="19">
        <v>144000</v>
      </c>
      <c r="T5509" s="17"/>
      <c r="U5509" s="17"/>
      <c r="V5509" s="17" t="s">
        <v>183</v>
      </c>
      <c r="W5509" s="4"/>
      <c r="X5509" s="17"/>
      <c r="Y5509" s="4"/>
      <c r="Z5509" s="17"/>
      <c r="AA5509" s="17"/>
      <c r="AB5509" s="17"/>
      <c r="AC5509" s="14"/>
      <c r="AD5509" s="14"/>
      <c r="AE5509" s="17"/>
      <c r="AF5509" s="14"/>
      <c r="AG5509" s="54"/>
      <c r="AH5509" s="11"/>
      <c r="AI5509" s="14"/>
      <c r="AJ5509" s="19">
        <v>0</v>
      </c>
      <c r="AK5509" s="23">
        <v>0</v>
      </c>
      <c r="AL5509" s="11"/>
      <c r="AM5509" s="19">
        <v>0</v>
      </c>
      <c r="AN5509" s="19">
        <v>144000</v>
      </c>
      <c r="AO5509" s="14"/>
      <c r="AP5509" s="14">
        <v>144000</v>
      </c>
      <c r="AQ5509" s="12"/>
      <c r="AS5509" s="26"/>
    </row>
    <row r="5510" spans="1:45" s="19" customFormat="1" x14ac:dyDescent="0.2">
      <c r="A5510" s="2"/>
      <c r="B5510" s="13">
        <v>5</v>
      </c>
      <c r="C5510" s="17" t="s">
        <v>65</v>
      </c>
      <c r="D5510" s="17">
        <v>3539</v>
      </c>
      <c r="E5510" s="17">
        <v>636</v>
      </c>
      <c r="F5510" s="17"/>
      <c r="G5510" s="13"/>
      <c r="H5510" s="17">
        <v>0</v>
      </c>
      <c r="I5510" s="17">
        <v>1</v>
      </c>
      <c r="J5510" s="17">
        <v>64</v>
      </c>
      <c r="K5510" s="10">
        <v>164</v>
      </c>
      <c r="L5510" s="17"/>
      <c r="M5510" s="15"/>
      <c r="N5510" s="18"/>
      <c r="O5510" s="14"/>
      <c r="P5510" s="17"/>
      <c r="Q5510" s="19">
        <v>164</v>
      </c>
      <c r="R5510" s="14" t="e">
        <v>#N/A</v>
      </c>
      <c r="S5510" s="19" t="e">
        <v>#N/A</v>
      </c>
      <c r="T5510" s="17"/>
      <c r="U5510" s="17"/>
      <c r="V5510" s="17"/>
      <c r="W5510" s="4"/>
      <c r="X5510" s="17"/>
      <c r="Y5510" s="4"/>
      <c r="Z5510" s="17"/>
      <c r="AA5510" s="17"/>
      <c r="AB5510" s="17"/>
      <c r="AC5510" s="14"/>
      <c r="AD5510" s="14"/>
      <c r="AE5510" s="17" t="s">
        <v>95</v>
      </c>
      <c r="AF5510" s="14"/>
      <c r="AG5510" s="54"/>
      <c r="AH5510" s="11"/>
      <c r="AI5510" s="14"/>
      <c r="AJ5510" s="19">
        <v>0</v>
      </c>
      <c r="AK5510" s="23">
        <v>0</v>
      </c>
      <c r="AL5510" s="11"/>
      <c r="AM5510" s="19">
        <v>0</v>
      </c>
      <c r="AN5510" s="19" t="e">
        <v>#N/A</v>
      </c>
      <c r="AO5510" s="14"/>
      <c r="AP5510" s="14" t="e">
        <v>#N/A</v>
      </c>
      <c r="AQ5510" s="12">
        <v>1E-4</v>
      </c>
      <c r="AS5510" s="26"/>
    </row>
    <row r="5511" spans="1:45" s="19" customFormat="1" x14ac:dyDescent="0.2">
      <c r="A5511" s="2">
        <v>4610</v>
      </c>
      <c r="B5511" s="13">
        <v>1</v>
      </c>
      <c r="C5511" s="17" t="s">
        <v>52</v>
      </c>
      <c r="D5511" s="17">
        <v>2290</v>
      </c>
      <c r="E5511" s="17">
        <v>45</v>
      </c>
      <c r="F5511" s="17">
        <v>1761</v>
      </c>
      <c r="G5511" s="13"/>
      <c r="H5511" s="17">
        <v>0</v>
      </c>
      <c r="I5511" s="17">
        <v>1</v>
      </c>
      <c r="J5511" s="17">
        <v>5</v>
      </c>
      <c r="K5511" s="10"/>
      <c r="L5511" s="17"/>
      <c r="M5511" s="15"/>
      <c r="N5511" s="18">
        <v>105</v>
      </c>
      <c r="O5511" s="14"/>
      <c r="P5511" s="17">
        <v>4</v>
      </c>
      <c r="Q5511" s="19">
        <v>105</v>
      </c>
      <c r="R5511" s="14">
        <v>2000</v>
      </c>
      <c r="S5511" s="19">
        <v>210000</v>
      </c>
      <c r="T5511" s="17"/>
      <c r="U5511" s="17"/>
      <c r="V5511" s="17"/>
      <c r="W5511" s="4"/>
      <c r="X5511" s="17"/>
      <c r="Y5511" s="4"/>
      <c r="Z5511" s="17"/>
      <c r="AA5511" s="17"/>
      <c r="AB5511" s="17"/>
      <c r="AC5511" s="14"/>
      <c r="AD5511" s="14"/>
      <c r="AE5511" s="17"/>
      <c r="AF5511" s="14"/>
      <c r="AG5511" s="54"/>
      <c r="AH5511" s="11"/>
      <c r="AI5511" s="14"/>
      <c r="AJ5511" s="19">
        <v>0</v>
      </c>
      <c r="AK5511" s="23">
        <v>0</v>
      </c>
      <c r="AL5511" s="11"/>
      <c r="AM5511" s="19">
        <v>0</v>
      </c>
      <c r="AN5511" s="19">
        <v>210000</v>
      </c>
      <c r="AO5511" s="14"/>
      <c r="AP5511" s="14">
        <v>210000</v>
      </c>
      <c r="AQ5511" s="12">
        <v>3.0000000000000001E-3</v>
      </c>
      <c r="AS5511" s="26"/>
    </row>
    <row r="5512" spans="1:45" s="19" customFormat="1" ht="42" x14ac:dyDescent="0.2">
      <c r="A5512" s="2">
        <v>4611</v>
      </c>
      <c r="B5512" s="13">
        <v>1</v>
      </c>
      <c r="C5512" s="17" t="s">
        <v>52</v>
      </c>
      <c r="D5512" s="17">
        <v>29944</v>
      </c>
      <c r="E5512" s="17">
        <v>90</v>
      </c>
      <c r="F5512" s="17">
        <v>5282</v>
      </c>
      <c r="G5512" s="13">
        <v>3</v>
      </c>
      <c r="H5512" s="17">
        <v>1</v>
      </c>
      <c r="I5512" s="17">
        <v>1</v>
      </c>
      <c r="J5512" s="17">
        <v>48</v>
      </c>
      <c r="K5512" s="10" t="s">
        <v>517</v>
      </c>
      <c r="L5512" s="17" t="s">
        <v>518</v>
      </c>
      <c r="M5512" s="15"/>
      <c r="N5512" s="18"/>
      <c r="O5512" s="14"/>
      <c r="P5512" s="17">
        <v>5</v>
      </c>
      <c r="Q5512" s="19">
        <v>548</v>
      </c>
      <c r="R5512" s="14">
        <v>250</v>
      </c>
      <c r="S5512" s="19">
        <v>137000</v>
      </c>
      <c r="T5512" s="17">
        <v>1</v>
      </c>
      <c r="U5512" s="17"/>
      <c r="V5512" s="17" t="s">
        <v>183</v>
      </c>
      <c r="W5512" s="4">
        <v>99</v>
      </c>
      <c r="X5512" s="17"/>
      <c r="Y5512" s="4">
        <v>99</v>
      </c>
      <c r="Z5512" s="17"/>
      <c r="AA5512" s="17"/>
      <c r="AB5512" s="17">
        <v>23</v>
      </c>
      <c r="AC5512" s="14"/>
      <c r="AD5512" s="14"/>
      <c r="AE5512" s="17"/>
      <c r="AF5512" s="14"/>
      <c r="AG5512" s="54"/>
      <c r="AH5512" s="11"/>
      <c r="AI5512" s="14"/>
      <c r="AJ5512" s="19">
        <v>0</v>
      </c>
      <c r="AK5512" s="23">
        <v>23</v>
      </c>
      <c r="AL5512" s="11"/>
      <c r="AM5512" s="19">
        <v>0</v>
      </c>
      <c r="AN5512" s="19">
        <v>137000</v>
      </c>
      <c r="AO5512" s="14"/>
      <c r="AP5512" s="14">
        <v>137000</v>
      </c>
      <c r="AQ5512" s="12"/>
      <c r="AS5512" s="26"/>
    </row>
    <row r="5513" spans="1:45" s="19" customFormat="1" ht="42" x14ac:dyDescent="0.2">
      <c r="A5513" s="2"/>
      <c r="B5513" s="13"/>
      <c r="C5513" s="17"/>
      <c r="D5513" s="17"/>
      <c r="E5513" s="17"/>
      <c r="F5513" s="17"/>
      <c r="G5513" s="13"/>
      <c r="H5513" s="17"/>
      <c r="I5513" s="17"/>
      <c r="J5513" s="17"/>
      <c r="K5513" s="10"/>
      <c r="L5513" s="17" t="s">
        <v>519</v>
      </c>
      <c r="M5513" s="15"/>
      <c r="N5513" s="18"/>
      <c r="O5513" s="14"/>
      <c r="P5513" s="17">
        <v>2</v>
      </c>
      <c r="Q5513" s="19">
        <v>0</v>
      </c>
      <c r="R5513" s="14" t="e">
        <v>#N/A</v>
      </c>
      <c r="S5513" s="19" t="e">
        <v>#N/A</v>
      </c>
      <c r="T5513" s="17">
        <v>2</v>
      </c>
      <c r="U5513" s="17"/>
      <c r="V5513" s="17" t="s">
        <v>183</v>
      </c>
      <c r="W5513" s="4">
        <v>112.5</v>
      </c>
      <c r="X5513" s="17"/>
      <c r="Y5513" s="4">
        <v>112.5</v>
      </c>
      <c r="Z5513" s="17"/>
      <c r="AA5513" s="17"/>
      <c r="AB5513" s="17">
        <v>10</v>
      </c>
      <c r="AC5513" s="14"/>
      <c r="AD5513" s="14"/>
      <c r="AE5513" s="17"/>
      <c r="AF5513" s="14"/>
      <c r="AG5513" s="54"/>
      <c r="AH5513" s="11"/>
      <c r="AI5513" s="14"/>
      <c r="AJ5513" s="19">
        <v>0</v>
      </c>
      <c r="AK5513" s="23">
        <v>10</v>
      </c>
      <c r="AL5513" s="11"/>
      <c r="AM5513" s="19">
        <v>0</v>
      </c>
      <c r="AN5513" s="19" t="e">
        <v>#N/A</v>
      </c>
      <c r="AO5513" s="14"/>
      <c r="AP5513" s="14" t="e">
        <v>#N/A</v>
      </c>
      <c r="AQ5513" s="12"/>
      <c r="AS5513" s="26"/>
    </row>
    <row r="5514" spans="1:45" s="19" customFormat="1" ht="42" x14ac:dyDescent="0.2">
      <c r="A5514" s="2"/>
      <c r="B5514" s="13"/>
      <c r="C5514" s="17"/>
      <c r="D5514" s="17"/>
      <c r="E5514" s="17"/>
      <c r="F5514" s="17"/>
      <c r="G5514" s="13"/>
      <c r="H5514" s="17"/>
      <c r="I5514" s="17"/>
      <c r="J5514" s="17"/>
      <c r="K5514" s="10"/>
      <c r="L5514" s="17" t="s">
        <v>519</v>
      </c>
      <c r="M5514" s="15"/>
      <c r="N5514" s="18"/>
      <c r="O5514" s="14"/>
      <c r="P5514" s="17">
        <v>2</v>
      </c>
      <c r="Q5514" s="19">
        <v>0</v>
      </c>
      <c r="R5514" s="14" t="e">
        <v>#N/A</v>
      </c>
      <c r="S5514" s="19" t="e">
        <v>#N/A</v>
      </c>
      <c r="T5514" s="17">
        <v>3</v>
      </c>
      <c r="U5514" s="17"/>
      <c r="V5514" s="17" t="s">
        <v>183</v>
      </c>
      <c r="W5514" s="4">
        <v>80.5</v>
      </c>
      <c r="X5514" s="17"/>
      <c r="Y5514" s="4">
        <v>80.5</v>
      </c>
      <c r="Z5514" s="17"/>
      <c r="AA5514" s="17"/>
      <c r="AB5514" s="17">
        <v>19</v>
      </c>
      <c r="AC5514" s="14"/>
      <c r="AD5514" s="14"/>
      <c r="AE5514" s="17"/>
      <c r="AF5514" s="14"/>
      <c r="AG5514" s="54"/>
      <c r="AH5514" s="11"/>
      <c r="AI5514" s="14"/>
      <c r="AJ5514" s="19">
        <v>0</v>
      </c>
      <c r="AK5514" s="23">
        <v>19</v>
      </c>
      <c r="AL5514" s="11"/>
      <c r="AM5514" s="19">
        <v>0</v>
      </c>
      <c r="AN5514" s="19" t="e">
        <v>#N/A</v>
      </c>
      <c r="AO5514" s="14"/>
      <c r="AP5514" s="14" t="e">
        <v>#N/A</v>
      </c>
      <c r="AQ5514" s="12"/>
      <c r="AS5514" s="26"/>
    </row>
    <row r="5515" spans="1:45" s="19" customFormat="1" x14ac:dyDescent="0.2">
      <c r="A5515" s="2">
        <v>4612</v>
      </c>
      <c r="B5515" s="13">
        <v>1</v>
      </c>
      <c r="C5515" s="17" t="s">
        <v>52</v>
      </c>
      <c r="D5515" s="17">
        <v>1934</v>
      </c>
      <c r="E5515" s="17">
        <v>35</v>
      </c>
      <c r="F5515" s="17">
        <v>1330</v>
      </c>
      <c r="G5515" s="13">
        <v>2</v>
      </c>
      <c r="H5515" s="17">
        <v>5</v>
      </c>
      <c r="I5515" s="17">
        <v>2</v>
      </c>
      <c r="J5515" s="17">
        <v>35</v>
      </c>
      <c r="K5515" s="10">
        <v>2235</v>
      </c>
      <c r="L5515" s="17"/>
      <c r="M5515" s="15"/>
      <c r="N5515" s="18"/>
      <c r="O5515" s="14"/>
      <c r="P5515" s="17">
        <v>1</v>
      </c>
      <c r="Q5515" s="19">
        <v>2235</v>
      </c>
      <c r="R5515" s="14">
        <v>160</v>
      </c>
      <c r="S5515" s="19">
        <v>357600</v>
      </c>
      <c r="T5515" s="17"/>
      <c r="U5515" s="17"/>
      <c r="V5515" s="17"/>
      <c r="W5515" s="4"/>
      <c r="X5515" s="17"/>
      <c r="Y5515" s="4"/>
      <c r="Z5515" s="17"/>
      <c r="AA5515" s="17"/>
      <c r="AB5515" s="17"/>
      <c r="AC5515" s="14"/>
      <c r="AD5515" s="14"/>
      <c r="AE5515" s="17"/>
      <c r="AF5515" s="14"/>
      <c r="AG5515" s="54"/>
      <c r="AH5515" s="11"/>
      <c r="AI5515" s="14"/>
      <c r="AJ5515" s="19">
        <v>0</v>
      </c>
      <c r="AK5515" s="23">
        <v>0</v>
      </c>
      <c r="AL5515" s="11"/>
      <c r="AM5515" s="19">
        <v>0</v>
      </c>
      <c r="AN5515" s="19">
        <v>357600</v>
      </c>
      <c r="AO5515" s="14"/>
      <c r="AP5515" s="14">
        <v>357600</v>
      </c>
      <c r="AQ5515" s="12"/>
      <c r="AS5515" s="26"/>
    </row>
    <row r="5516" spans="1:45" s="19" customFormat="1" x14ac:dyDescent="0.2">
      <c r="A5516" s="2">
        <f>+A5515+1</f>
        <v>4613</v>
      </c>
      <c r="B5516" s="13">
        <v>2</v>
      </c>
      <c r="C5516" s="17" t="s">
        <v>52</v>
      </c>
      <c r="D5516" s="17">
        <v>29946</v>
      </c>
      <c r="E5516" s="17">
        <v>92</v>
      </c>
      <c r="F5516" s="17">
        <v>5284</v>
      </c>
      <c r="G5516" s="13">
        <v>3</v>
      </c>
      <c r="H5516" s="17">
        <v>1</v>
      </c>
      <c r="I5516" s="17">
        <v>0</v>
      </c>
      <c r="J5516" s="17">
        <v>38</v>
      </c>
      <c r="K5516" s="10"/>
      <c r="L5516" s="17"/>
      <c r="M5516" s="15"/>
      <c r="N5516" s="18">
        <v>438</v>
      </c>
      <c r="O5516" s="14"/>
      <c r="P5516" s="17">
        <v>4</v>
      </c>
      <c r="Q5516" s="19">
        <v>438</v>
      </c>
      <c r="R5516" s="14">
        <v>200</v>
      </c>
      <c r="S5516" s="19">
        <v>87600</v>
      </c>
      <c r="T5516" s="17"/>
      <c r="U5516" s="17"/>
      <c r="V5516" s="17"/>
      <c r="W5516" s="4"/>
      <c r="X5516" s="17"/>
      <c r="Y5516" s="4"/>
      <c r="Z5516" s="17"/>
      <c r="AA5516" s="17"/>
      <c r="AB5516" s="17"/>
      <c r="AC5516" s="14"/>
      <c r="AD5516" s="14"/>
      <c r="AE5516" s="17"/>
      <c r="AF5516" s="14"/>
      <c r="AG5516" s="54"/>
      <c r="AH5516" s="11"/>
      <c r="AI5516" s="14"/>
      <c r="AJ5516" s="19">
        <v>0</v>
      </c>
      <c r="AK5516" s="23">
        <v>0</v>
      </c>
      <c r="AL5516" s="11"/>
      <c r="AM5516" s="19">
        <v>0</v>
      </c>
      <c r="AN5516" s="19">
        <v>87600</v>
      </c>
      <c r="AO5516" s="14"/>
      <c r="AP5516" s="14">
        <v>87600</v>
      </c>
      <c r="AQ5516" s="12">
        <v>3.0000000000000001E-3</v>
      </c>
      <c r="AS5516" s="26"/>
    </row>
    <row r="5517" spans="1:45" s="19" customFormat="1" x14ac:dyDescent="0.2">
      <c r="A5517" s="2"/>
      <c r="B5517" s="13">
        <v>3</v>
      </c>
      <c r="C5517" s="17" t="s">
        <v>65</v>
      </c>
      <c r="D5517" s="17">
        <v>3463</v>
      </c>
      <c r="E5517" s="17">
        <v>258</v>
      </c>
      <c r="F5517" s="17"/>
      <c r="G5517" s="13"/>
      <c r="H5517" s="17">
        <v>2</v>
      </c>
      <c r="I5517" s="17">
        <v>0</v>
      </c>
      <c r="J5517" s="17">
        <v>25</v>
      </c>
      <c r="K5517" s="10">
        <v>825</v>
      </c>
      <c r="L5517" s="17"/>
      <c r="M5517" s="15"/>
      <c r="N5517" s="18"/>
      <c r="O5517" s="14"/>
      <c r="P5517" s="17"/>
      <c r="Q5517" s="19">
        <v>825</v>
      </c>
      <c r="R5517" s="14" t="e">
        <v>#N/A</v>
      </c>
      <c r="S5517" s="19" t="e">
        <v>#N/A</v>
      </c>
      <c r="T5517" s="17"/>
      <c r="U5517" s="17"/>
      <c r="V5517" s="17"/>
      <c r="W5517" s="4"/>
      <c r="X5517" s="17"/>
      <c r="Y5517" s="4"/>
      <c r="Z5517" s="17"/>
      <c r="AA5517" s="17"/>
      <c r="AB5517" s="17"/>
      <c r="AC5517" s="14"/>
      <c r="AD5517" s="14"/>
      <c r="AE5517" s="17" t="s">
        <v>94</v>
      </c>
      <c r="AF5517" s="14"/>
      <c r="AG5517" s="54"/>
      <c r="AH5517" s="11"/>
      <c r="AI5517" s="14"/>
      <c r="AJ5517" s="19">
        <v>0</v>
      </c>
      <c r="AK5517" s="23">
        <v>0</v>
      </c>
      <c r="AL5517" s="11"/>
      <c r="AM5517" s="19">
        <v>0</v>
      </c>
      <c r="AN5517" s="19" t="e">
        <v>#N/A</v>
      </c>
      <c r="AO5517" s="14"/>
      <c r="AP5517" s="14" t="e">
        <v>#N/A</v>
      </c>
      <c r="AQ5517" s="12">
        <v>1E-4</v>
      </c>
      <c r="AS5517" s="26"/>
    </row>
    <row r="5518" spans="1:45" s="19" customFormat="1" ht="42" x14ac:dyDescent="0.2">
      <c r="A5518" s="2">
        <v>4614</v>
      </c>
      <c r="B5518" s="13">
        <v>1</v>
      </c>
      <c r="C5518" s="17" t="s">
        <v>52</v>
      </c>
      <c r="D5518" s="17">
        <v>29945</v>
      </c>
      <c r="E5518" s="17">
        <v>91</v>
      </c>
      <c r="F5518" s="17">
        <v>5283</v>
      </c>
      <c r="G5518" s="13">
        <v>3</v>
      </c>
      <c r="H5518" s="17">
        <v>1</v>
      </c>
      <c r="I5518" s="17">
        <v>0</v>
      </c>
      <c r="J5518" s="17">
        <v>83</v>
      </c>
      <c r="K5518" s="10"/>
      <c r="L5518" s="17">
        <v>483</v>
      </c>
      <c r="M5518" s="15"/>
      <c r="N5518" s="18"/>
      <c r="O5518" s="14"/>
      <c r="P5518" s="17">
        <v>2</v>
      </c>
      <c r="Q5518" s="19">
        <v>483</v>
      </c>
      <c r="R5518" s="14">
        <v>200</v>
      </c>
      <c r="S5518" s="19">
        <v>96600</v>
      </c>
      <c r="T5518" s="17">
        <v>1</v>
      </c>
      <c r="U5518" s="17"/>
      <c r="V5518" s="17" t="s">
        <v>183</v>
      </c>
      <c r="W5518" s="4">
        <v>58.5</v>
      </c>
      <c r="X5518" s="17"/>
      <c r="Y5518" s="4">
        <v>58.5</v>
      </c>
      <c r="Z5518" s="17"/>
      <c r="AA5518" s="17"/>
      <c r="AB5518" s="17">
        <v>7</v>
      </c>
      <c r="AC5518" s="14"/>
      <c r="AD5518" s="14"/>
      <c r="AE5518" s="17"/>
      <c r="AF5518" s="14"/>
      <c r="AG5518" s="54"/>
      <c r="AH5518" s="11"/>
      <c r="AI5518" s="14"/>
      <c r="AJ5518" s="19">
        <v>0</v>
      </c>
      <c r="AK5518" s="23">
        <v>7</v>
      </c>
      <c r="AL5518" s="11"/>
      <c r="AM5518" s="19">
        <v>0</v>
      </c>
      <c r="AN5518" s="19">
        <v>96600</v>
      </c>
      <c r="AO5518" s="14"/>
      <c r="AP5518" s="14">
        <v>96600</v>
      </c>
      <c r="AQ5518" s="12"/>
      <c r="AS5518" s="26"/>
    </row>
    <row r="5519" spans="1:45" s="19" customFormat="1" x14ac:dyDescent="0.2">
      <c r="A5519" s="2"/>
      <c r="B5519" s="13">
        <v>1</v>
      </c>
      <c r="C5519" s="17" t="s">
        <v>65</v>
      </c>
      <c r="D5519" s="17">
        <v>38</v>
      </c>
      <c r="E5519" s="17">
        <v>47</v>
      </c>
      <c r="F5519" s="17"/>
      <c r="G5519" s="13"/>
      <c r="H5519" s="17">
        <v>4</v>
      </c>
      <c r="I5519" s="17">
        <v>1</v>
      </c>
      <c r="J5519" s="17">
        <v>66</v>
      </c>
      <c r="K5519" s="10">
        <v>1766</v>
      </c>
      <c r="L5519" s="17"/>
      <c r="M5519" s="15"/>
      <c r="N5519" s="18"/>
      <c r="O5519" s="14"/>
      <c r="P5519" s="17"/>
      <c r="Q5519" s="19">
        <v>1766</v>
      </c>
      <c r="R5519" s="14" t="e">
        <v>#N/A</v>
      </c>
      <c r="S5519" s="19" t="e">
        <v>#N/A</v>
      </c>
      <c r="T5519" s="17"/>
      <c r="U5519" s="17"/>
      <c r="V5519" s="17"/>
      <c r="W5519" s="4"/>
      <c r="X5519" s="17"/>
      <c r="Y5519" s="4"/>
      <c r="Z5519" s="17"/>
      <c r="AA5519" s="17"/>
      <c r="AB5519" s="17"/>
      <c r="AC5519" s="14"/>
      <c r="AD5519" s="14"/>
      <c r="AE5519" s="17" t="s">
        <v>94</v>
      </c>
      <c r="AF5519" s="14"/>
      <c r="AG5519" s="54"/>
      <c r="AH5519" s="11"/>
      <c r="AI5519" s="14"/>
      <c r="AJ5519" s="19">
        <v>0</v>
      </c>
      <c r="AK5519" s="23">
        <v>0</v>
      </c>
      <c r="AL5519" s="11"/>
      <c r="AM5519" s="19">
        <v>0</v>
      </c>
      <c r="AN5519" s="19" t="e">
        <v>#N/A</v>
      </c>
      <c r="AO5519" s="14"/>
      <c r="AP5519" s="14" t="e">
        <v>#N/A</v>
      </c>
      <c r="AQ5519" s="12">
        <v>1E-4</v>
      </c>
      <c r="AS5519" s="26"/>
    </row>
    <row r="5520" spans="1:45" s="19" customFormat="1" ht="42" x14ac:dyDescent="0.2">
      <c r="A5520" s="2">
        <v>4615</v>
      </c>
      <c r="B5520" s="13">
        <v>1</v>
      </c>
      <c r="C5520" s="17" t="s">
        <v>52</v>
      </c>
      <c r="D5520" s="17">
        <v>29947</v>
      </c>
      <c r="E5520" s="17">
        <v>93</v>
      </c>
      <c r="F5520" s="17">
        <v>5285</v>
      </c>
      <c r="G5520" s="13">
        <v>3</v>
      </c>
      <c r="H5520" s="17">
        <v>1</v>
      </c>
      <c r="I5520" s="17">
        <v>0</v>
      </c>
      <c r="J5520" s="17">
        <v>67</v>
      </c>
      <c r="K5520" s="10"/>
      <c r="L5520" s="17">
        <v>467</v>
      </c>
      <c r="M5520" s="15"/>
      <c r="N5520" s="18"/>
      <c r="O5520" s="14"/>
      <c r="P5520" s="17">
        <v>2</v>
      </c>
      <c r="Q5520" s="19">
        <v>467</v>
      </c>
      <c r="R5520" s="14">
        <v>200</v>
      </c>
      <c r="S5520" s="19">
        <v>93400</v>
      </c>
      <c r="T5520" s="17">
        <v>1</v>
      </c>
      <c r="U5520" s="17"/>
      <c r="V5520" s="17" t="s">
        <v>183</v>
      </c>
      <c r="W5520" s="4">
        <v>168</v>
      </c>
      <c r="X5520" s="17"/>
      <c r="Y5520" s="4">
        <v>168</v>
      </c>
      <c r="Z5520" s="17"/>
      <c r="AA5520" s="17"/>
      <c r="AB5520" s="17">
        <v>8</v>
      </c>
      <c r="AC5520" s="14"/>
      <c r="AD5520" s="14"/>
      <c r="AE5520" s="17"/>
      <c r="AF5520" s="14"/>
      <c r="AG5520" s="54"/>
      <c r="AH5520" s="11"/>
      <c r="AI5520" s="14"/>
      <c r="AJ5520" s="19">
        <v>0</v>
      </c>
      <c r="AK5520" s="23">
        <v>8</v>
      </c>
      <c r="AL5520" s="11"/>
      <c r="AM5520" s="19">
        <v>0</v>
      </c>
      <c r="AN5520" s="19">
        <v>93400</v>
      </c>
      <c r="AO5520" s="14"/>
      <c r="AP5520" s="14">
        <v>93400</v>
      </c>
      <c r="AQ5520" s="12"/>
      <c r="AS5520" s="26"/>
    </row>
    <row r="5521" spans="1:45" x14ac:dyDescent="0.2">
      <c r="B5521" s="13">
        <v>1</v>
      </c>
      <c r="C5521" s="17" t="s">
        <v>52</v>
      </c>
      <c r="D5521" s="17">
        <v>15842</v>
      </c>
      <c r="E5521" s="17">
        <v>55</v>
      </c>
      <c r="F5521" s="17">
        <v>3432</v>
      </c>
      <c r="H5521" s="17">
        <v>4</v>
      </c>
      <c r="I5521" s="17">
        <v>1</v>
      </c>
      <c r="J5521" s="17">
        <v>66</v>
      </c>
      <c r="K5521" s="10" t="s">
        <v>520</v>
      </c>
      <c r="P5521" s="17">
        <v>1</v>
      </c>
      <c r="Q5521" s="19">
        <v>1766</v>
      </c>
      <c r="R5521" s="14" t="e">
        <v>#N/A</v>
      </c>
    </row>
    <row r="5522" spans="1:45" x14ac:dyDescent="0.2">
      <c r="C5522" s="17" t="s">
        <v>52</v>
      </c>
      <c r="D5522" s="17">
        <v>37792</v>
      </c>
      <c r="E5522" s="17">
        <v>127</v>
      </c>
      <c r="F5522" s="17">
        <v>7642</v>
      </c>
      <c r="H5522" s="17">
        <v>2</v>
      </c>
      <c r="I5522" s="17">
        <v>1</v>
      </c>
      <c r="J5522" s="17">
        <v>92</v>
      </c>
      <c r="K5522" s="10" t="s">
        <v>521</v>
      </c>
      <c r="P5522" s="17">
        <v>1</v>
      </c>
      <c r="Q5522" s="19">
        <v>992</v>
      </c>
      <c r="R5522" s="14" t="e">
        <v>#N/A</v>
      </c>
    </row>
    <row r="5523" spans="1:45" x14ac:dyDescent="0.2">
      <c r="C5523" s="17" t="s">
        <v>52</v>
      </c>
      <c r="D5523" s="17">
        <v>24452</v>
      </c>
      <c r="E5523" s="17">
        <v>147</v>
      </c>
      <c r="F5523" s="17">
        <v>4844</v>
      </c>
      <c r="H5523" s="17">
        <v>2</v>
      </c>
      <c r="I5523" s="17">
        <v>0</v>
      </c>
      <c r="J5523" s="17">
        <v>99</v>
      </c>
      <c r="K5523" s="10" t="s">
        <v>522</v>
      </c>
      <c r="P5523" s="17">
        <v>1</v>
      </c>
      <c r="Q5523" s="19">
        <v>899</v>
      </c>
      <c r="R5523" s="14" t="e">
        <v>#N/A</v>
      </c>
    </row>
    <row r="5524" spans="1:45" x14ac:dyDescent="0.2">
      <c r="B5524" s="13">
        <v>1</v>
      </c>
      <c r="C5524" s="17" t="s">
        <v>65</v>
      </c>
      <c r="D5524" s="17">
        <v>36</v>
      </c>
      <c r="E5524" s="17">
        <v>45</v>
      </c>
      <c r="H5524" s="17">
        <v>6</v>
      </c>
      <c r="I5524" s="17">
        <v>1</v>
      </c>
      <c r="J5524" s="17">
        <v>0</v>
      </c>
      <c r="K5524" s="10">
        <v>2500</v>
      </c>
      <c r="Q5524" s="19">
        <v>2500</v>
      </c>
      <c r="R5524" s="14" t="e">
        <v>#N/A</v>
      </c>
      <c r="S5524" s="19" t="e">
        <v>#N/A</v>
      </c>
      <c r="AE5524" s="17" t="s">
        <v>160</v>
      </c>
      <c r="AJ5524" s="19">
        <v>0</v>
      </c>
      <c r="AK5524" s="23">
        <v>0</v>
      </c>
      <c r="AM5524" s="19">
        <v>0</v>
      </c>
      <c r="AN5524" s="19" t="e">
        <v>#N/A</v>
      </c>
      <c r="AP5524" s="14" t="e">
        <v>#N/A</v>
      </c>
      <c r="AQ5524" s="12">
        <v>1E-4</v>
      </c>
    </row>
    <row r="5525" spans="1:45" x14ac:dyDescent="0.2">
      <c r="A5525" s="2">
        <v>4616</v>
      </c>
      <c r="B5525" s="13">
        <v>1</v>
      </c>
      <c r="C5525" s="17" t="s">
        <v>52</v>
      </c>
      <c r="D5525" s="17">
        <v>2199</v>
      </c>
      <c r="E5525" s="17">
        <v>11</v>
      </c>
      <c r="F5525" s="17">
        <v>1646</v>
      </c>
      <c r="G5525" s="13">
        <v>3</v>
      </c>
      <c r="H5525" s="17">
        <v>7</v>
      </c>
      <c r="I5525" s="17">
        <v>0</v>
      </c>
      <c r="J5525" s="17">
        <v>8</v>
      </c>
      <c r="K5525" s="10" t="s">
        <v>523</v>
      </c>
      <c r="L5525" s="17" t="s">
        <v>524</v>
      </c>
      <c r="P5525" s="17">
        <v>5</v>
      </c>
      <c r="Q5525" s="19">
        <v>2808</v>
      </c>
      <c r="R5525" s="14">
        <v>200</v>
      </c>
      <c r="S5525" s="19">
        <v>561600</v>
      </c>
      <c r="AS5525" s="26">
        <v>92</v>
      </c>
    </row>
    <row r="5526" spans="1:45" x14ac:dyDescent="0.2">
      <c r="P5526" s="17">
        <v>1</v>
      </c>
      <c r="Q5526" s="19">
        <v>2744</v>
      </c>
      <c r="S5526" s="19">
        <v>0</v>
      </c>
      <c r="AM5526" s="19">
        <v>0</v>
      </c>
      <c r="AN5526" s="19">
        <v>0</v>
      </c>
      <c r="AP5526" s="14">
        <v>0</v>
      </c>
    </row>
    <row r="5527" spans="1:45" x14ac:dyDescent="0.2">
      <c r="P5527" s="17">
        <v>2</v>
      </c>
      <c r="Q5527" s="19">
        <v>64</v>
      </c>
      <c r="S5527" s="19">
        <v>0</v>
      </c>
      <c r="AM5527" s="19">
        <v>0</v>
      </c>
      <c r="AN5527" s="19">
        <v>0</v>
      </c>
      <c r="AP5527" s="14">
        <v>0</v>
      </c>
    </row>
    <row r="5528" spans="1:45" ht="42" x14ac:dyDescent="0.2">
      <c r="T5528" s="17">
        <v>1</v>
      </c>
      <c r="V5528" s="17" t="s">
        <v>183</v>
      </c>
      <c r="W5528" s="4">
        <v>81</v>
      </c>
      <c r="Y5528" s="4">
        <v>81</v>
      </c>
      <c r="AB5528" s="17">
        <v>19</v>
      </c>
      <c r="AJ5528" s="19">
        <v>0</v>
      </c>
      <c r="AK5528" s="23">
        <v>19</v>
      </c>
      <c r="AM5528" s="19">
        <v>0</v>
      </c>
      <c r="AN5528" s="19">
        <v>0</v>
      </c>
      <c r="AP5528" s="14">
        <v>0</v>
      </c>
    </row>
    <row r="5529" spans="1:45" ht="42" x14ac:dyDescent="0.2">
      <c r="L5529" s="17" t="s">
        <v>524</v>
      </c>
      <c r="P5529" s="17">
        <v>2</v>
      </c>
      <c r="Q5529" s="19">
        <v>0</v>
      </c>
      <c r="S5529" s="19">
        <v>0</v>
      </c>
      <c r="T5529" s="17">
        <v>2</v>
      </c>
      <c r="V5529" s="17" t="s">
        <v>183</v>
      </c>
      <c r="W5529" s="4">
        <v>81</v>
      </c>
      <c r="Y5529" s="4">
        <v>81</v>
      </c>
      <c r="AB5529" s="17">
        <v>4</v>
      </c>
      <c r="AJ5529" s="19">
        <v>0</v>
      </c>
      <c r="AK5529" s="23">
        <v>4</v>
      </c>
      <c r="AM5529" s="19">
        <v>0</v>
      </c>
      <c r="AN5529" s="19">
        <v>0</v>
      </c>
      <c r="AP5529" s="14">
        <v>0</v>
      </c>
    </row>
    <row r="5530" spans="1:45" ht="42" x14ac:dyDescent="0.2">
      <c r="L5530" s="17" t="s">
        <v>525</v>
      </c>
      <c r="P5530" s="17">
        <v>2</v>
      </c>
      <c r="Q5530" s="19">
        <v>0</v>
      </c>
      <c r="S5530" s="19">
        <v>0</v>
      </c>
      <c r="T5530" s="17">
        <v>3</v>
      </c>
      <c r="V5530" s="17" t="s">
        <v>183</v>
      </c>
      <c r="W5530" s="4">
        <v>91</v>
      </c>
      <c r="Y5530" s="4">
        <v>91</v>
      </c>
      <c r="AB5530" s="17">
        <v>6</v>
      </c>
      <c r="AJ5530" s="19">
        <v>0</v>
      </c>
      <c r="AK5530" s="23">
        <v>6</v>
      </c>
      <c r="AM5530" s="19">
        <v>0</v>
      </c>
      <c r="AN5530" s="19">
        <v>0</v>
      </c>
      <c r="AP5530" s="14">
        <v>0</v>
      </c>
    </row>
    <row r="5531" spans="1:45" x14ac:dyDescent="0.2">
      <c r="A5531" s="2">
        <v>4617</v>
      </c>
      <c r="B5531" s="13">
        <v>2</v>
      </c>
      <c r="C5531" s="17" t="s">
        <v>65</v>
      </c>
      <c r="D5531" s="17">
        <v>1008</v>
      </c>
      <c r="E5531" s="17">
        <v>158</v>
      </c>
      <c r="H5531" s="17">
        <v>30</v>
      </c>
      <c r="I5531" s="17">
        <v>2</v>
      </c>
      <c r="J5531" s="17">
        <v>86</v>
      </c>
      <c r="K5531" s="10">
        <v>12286</v>
      </c>
      <c r="P5531" s="17">
        <v>1</v>
      </c>
      <c r="Q5531" s="19">
        <v>12286</v>
      </c>
      <c r="R5531" s="14">
        <v>200</v>
      </c>
      <c r="S5531" s="19">
        <v>2457200</v>
      </c>
      <c r="AJ5531" s="19">
        <v>0</v>
      </c>
      <c r="AK5531" s="23">
        <v>0</v>
      </c>
      <c r="AM5531" s="19">
        <v>0</v>
      </c>
      <c r="AN5531" s="19">
        <v>2457200</v>
      </c>
      <c r="AP5531" s="14">
        <v>2457200</v>
      </c>
      <c r="AQ5531" s="12">
        <v>1E-4</v>
      </c>
    </row>
    <row r="5532" spans="1:45" x14ac:dyDescent="0.2">
      <c r="A5532" s="2">
        <f>+A5531+1</f>
        <v>4618</v>
      </c>
      <c r="B5532" s="13">
        <v>1</v>
      </c>
      <c r="C5532" s="17" t="s">
        <v>52</v>
      </c>
      <c r="D5532" s="17">
        <v>2102</v>
      </c>
      <c r="E5532" s="17">
        <v>22</v>
      </c>
      <c r="F5532" s="17">
        <v>1621</v>
      </c>
      <c r="G5532" s="13">
        <v>3</v>
      </c>
      <c r="H5532" s="17">
        <v>5</v>
      </c>
      <c r="I5532" s="17">
        <v>1</v>
      </c>
      <c r="J5532" s="17">
        <v>46</v>
      </c>
      <c r="K5532" s="10">
        <v>2146</v>
      </c>
      <c r="P5532" s="17">
        <v>1</v>
      </c>
      <c r="Q5532" s="19">
        <v>2146</v>
      </c>
      <c r="R5532" s="14">
        <v>200</v>
      </c>
      <c r="S5532" s="19">
        <v>429200</v>
      </c>
      <c r="AJ5532" s="19">
        <v>0</v>
      </c>
      <c r="AK5532" s="23">
        <v>0</v>
      </c>
      <c r="AM5532" s="19">
        <v>0</v>
      </c>
      <c r="AN5532" s="19">
        <v>429200</v>
      </c>
      <c r="AP5532" s="14">
        <v>429200</v>
      </c>
    </row>
    <row r="5533" spans="1:45" x14ac:dyDescent="0.2">
      <c r="A5533" s="122">
        <f t="shared" ref="A5533:A5535" si="601">+A5532+1</f>
        <v>4619</v>
      </c>
      <c r="B5533" s="13">
        <v>2</v>
      </c>
      <c r="C5533" s="17" t="s">
        <v>52</v>
      </c>
      <c r="D5533" s="17">
        <v>2359</v>
      </c>
      <c r="E5533" s="17">
        <v>24</v>
      </c>
      <c r="F5533" s="17">
        <v>1619</v>
      </c>
      <c r="G5533" s="13">
        <v>3</v>
      </c>
      <c r="H5533" s="17">
        <v>19</v>
      </c>
      <c r="I5533" s="17">
        <v>1</v>
      </c>
      <c r="J5533" s="17">
        <v>88</v>
      </c>
      <c r="K5533" s="10">
        <v>7788</v>
      </c>
      <c r="P5533" s="17">
        <v>1</v>
      </c>
      <c r="Q5533" s="19">
        <v>7788</v>
      </c>
      <c r="R5533" s="14">
        <v>200</v>
      </c>
      <c r="S5533" s="19">
        <v>1557600</v>
      </c>
      <c r="AJ5533" s="19">
        <v>0</v>
      </c>
      <c r="AK5533" s="23">
        <v>0</v>
      </c>
      <c r="AM5533" s="19">
        <v>0</v>
      </c>
      <c r="AN5533" s="19">
        <v>1557600</v>
      </c>
      <c r="AP5533" s="14">
        <v>1557600</v>
      </c>
    </row>
    <row r="5534" spans="1:45" x14ac:dyDescent="0.2">
      <c r="A5534" s="122">
        <f t="shared" si="601"/>
        <v>4620</v>
      </c>
      <c r="B5534" s="13">
        <v>3</v>
      </c>
      <c r="C5534" s="17" t="s">
        <v>52</v>
      </c>
      <c r="D5534" s="17">
        <v>1621</v>
      </c>
      <c r="E5534" s="17">
        <v>42</v>
      </c>
      <c r="F5534" s="17">
        <v>1053</v>
      </c>
      <c r="H5534" s="17">
        <v>2</v>
      </c>
      <c r="I5534" s="17">
        <v>3</v>
      </c>
      <c r="J5534" s="17">
        <v>65</v>
      </c>
      <c r="K5534" s="10">
        <v>1165</v>
      </c>
      <c r="P5534" s="17">
        <v>1</v>
      </c>
      <c r="Q5534" s="19">
        <v>1165</v>
      </c>
      <c r="R5534" s="14">
        <v>160</v>
      </c>
      <c r="S5534" s="19">
        <v>186400</v>
      </c>
      <c r="AJ5534" s="19">
        <v>0</v>
      </c>
      <c r="AK5534" s="23">
        <v>0</v>
      </c>
      <c r="AM5534" s="19">
        <v>0</v>
      </c>
      <c r="AN5534" s="19">
        <v>186400</v>
      </c>
      <c r="AP5534" s="14">
        <v>186400</v>
      </c>
    </row>
    <row r="5535" spans="1:45" x14ac:dyDescent="0.2">
      <c r="A5535" s="122">
        <f t="shared" si="601"/>
        <v>4621</v>
      </c>
      <c r="B5535" s="13">
        <v>1</v>
      </c>
      <c r="C5535" s="17" t="s">
        <v>52</v>
      </c>
      <c r="D5535" s="17">
        <v>1682</v>
      </c>
      <c r="E5535" s="17">
        <v>12</v>
      </c>
      <c r="F5535" s="17">
        <v>1402</v>
      </c>
      <c r="H5535" s="17">
        <v>7</v>
      </c>
      <c r="I5535" s="17">
        <v>1</v>
      </c>
      <c r="J5535" s="17">
        <v>13</v>
      </c>
      <c r="K5535" s="10">
        <v>2913</v>
      </c>
      <c r="P5535" s="17">
        <v>1</v>
      </c>
      <c r="Q5535" s="19">
        <v>2913</v>
      </c>
      <c r="R5535" s="14">
        <v>1100</v>
      </c>
      <c r="S5535" s="19">
        <v>3204300</v>
      </c>
      <c r="AJ5535" s="19">
        <v>0</v>
      </c>
      <c r="AK5535" s="23">
        <v>0</v>
      </c>
      <c r="AM5535" s="19">
        <v>0</v>
      </c>
      <c r="AN5535" s="19">
        <v>3204300</v>
      </c>
      <c r="AP5535" s="14">
        <v>3204300</v>
      </c>
      <c r="AS5535" s="26">
        <v>166</v>
      </c>
    </row>
    <row r="5536" spans="1:45" x14ac:dyDescent="0.2">
      <c r="R5536" s="14" t="e">
        <v>#N/A</v>
      </c>
    </row>
    <row r="5537" spans="1:45" s="19" customFormat="1" x14ac:dyDescent="0.2">
      <c r="A5537" s="2"/>
      <c r="B5537" s="13"/>
      <c r="C5537" s="17"/>
      <c r="D5537" s="17"/>
      <c r="E5537" s="17"/>
      <c r="F5537" s="17"/>
      <c r="G5537" s="13"/>
      <c r="H5537" s="17"/>
      <c r="I5537" s="17"/>
      <c r="J5537" s="17"/>
      <c r="K5537" s="10"/>
      <c r="L5537" s="17"/>
      <c r="M5537" s="15"/>
      <c r="N5537" s="18"/>
      <c r="O5537" s="14"/>
      <c r="P5537" s="17"/>
      <c r="R5537" s="14" t="e">
        <v>#N/A</v>
      </c>
      <c r="T5537" s="17"/>
      <c r="U5537" s="17"/>
      <c r="V5537" s="17"/>
      <c r="W5537" s="4"/>
      <c r="X5537" s="17"/>
      <c r="Y5537" s="4"/>
      <c r="Z5537" s="17"/>
      <c r="AA5537" s="17"/>
      <c r="AB5537" s="17"/>
      <c r="AC5537" s="14"/>
      <c r="AD5537" s="14"/>
      <c r="AE5537" s="17"/>
      <c r="AF5537" s="14"/>
      <c r="AG5537" s="54"/>
      <c r="AH5537" s="11"/>
      <c r="AI5537" s="14"/>
      <c r="AK5537" s="23"/>
      <c r="AL5537" s="11"/>
      <c r="AO5537" s="14"/>
      <c r="AP5537" s="14"/>
      <c r="AQ5537" s="12"/>
      <c r="AS5537" s="26"/>
    </row>
    <row r="5538" spans="1:45" s="19" customFormat="1" x14ac:dyDescent="0.2">
      <c r="A5538" s="2">
        <v>4622</v>
      </c>
      <c r="B5538" s="13">
        <v>4</v>
      </c>
      <c r="C5538" s="17" t="s">
        <v>52</v>
      </c>
      <c r="D5538" s="17">
        <v>15191</v>
      </c>
      <c r="E5538" s="17">
        <v>161</v>
      </c>
      <c r="F5538" s="17">
        <v>3506</v>
      </c>
      <c r="G5538" s="13"/>
      <c r="H5538" s="17">
        <v>6</v>
      </c>
      <c r="I5538" s="17">
        <v>0</v>
      </c>
      <c r="J5538" s="17">
        <v>26</v>
      </c>
      <c r="K5538" s="10" t="s">
        <v>527</v>
      </c>
      <c r="L5538" s="17"/>
      <c r="M5538" s="15"/>
      <c r="N5538" s="18"/>
      <c r="O5538" s="14"/>
      <c r="P5538" s="17">
        <v>1</v>
      </c>
      <c r="Q5538" s="19">
        <v>2426</v>
      </c>
      <c r="R5538" s="14">
        <v>160</v>
      </c>
      <c r="T5538" s="17"/>
      <c r="U5538" s="17"/>
      <c r="V5538" s="17"/>
      <c r="W5538" s="4"/>
      <c r="X5538" s="17"/>
      <c r="Y5538" s="4"/>
      <c r="Z5538" s="17"/>
      <c r="AA5538" s="17"/>
      <c r="AB5538" s="17"/>
      <c r="AC5538" s="14"/>
      <c r="AD5538" s="14"/>
      <c r="AE5538" s="17" t="s">
        <v>181</v>
      </c>
      <c r="AF5538" s="14"/>
      <c r="AG5538" s="54"/>
      <c r="AH5538" s="11"/>
      <c r="AI5538" s="14"/>
      <c r="AK5538" s="23"/>
      <c r="AL5538" s="11"/>
      <c r="AO5538" s="14"/>
      <c r="AP5538" s="14"/>
      <c r="AQ5538" s="12"/>
      <c r="AS5538" s="26"/>
    </row>
    <row r="5539" spans="1:45" s="19" customFormat="1" x14ac:dyDescent="0.2">
      <c r="A5539" s="2">
        <v>4623</v>
      </c>
      <c r="B5539" s="13">
        <v>5</v>
      </c>
      <c r="C5539" s="17" t="s">
        <v>52</v>
      </c>
      <c r="D5539" s="17">
        <v>15875</v>
      </c>
      <c r="E5539" s="17">
        <v>53</v>
      </c>
      <c r="F5539" s="17">
        <v>3465</v>
      </c>
      <c r="G5539" s="13"/>
      <c r="H5539" s="17">
        <v>9</v>
      </c>
      <c r="I5539" s="17">
        <v>0</v>
      </c>
      <c r="J5539" s="17">
        <v>14</v>
      </c>
      <c r="K5539" s="10" t="s">
        <v>528</v>
      </c>
      <c r="L5539" s="17"/>
      <c r="M5539" s="15"/>
      <c r="N5539" s="18"/>
      <c r="O5539" s="14"/>
      <c r="P5539" s="17">
        <v>1</v>
      </c>
      <c r="Q5539" s="19">
        <v>3614</v>
      </c>
      <c r="R5539" s="14">
        <v>160</v>
      </c>
      <c r="T5539" s="17"/>
      <c r="U5539" s="17"/>
      <c r="V5539" s="17"/>
      <c r="W5539" s="4"/>
      <c r="X5539" s="17"/>
      <c r="Y5539" s="4"/>
      <c r="Z5539" s="17"/>
      <c r="AA5539" s="17"/>
      <c r="AB5539" s="17"/>
      <c r="AC5539" s="14"/>
      <c r="AD5539" s="14"/>
      <c r="AE5539" s="17"/>
      <c r="AF5539" s="14"/>
      <c r="AG5539" s="54"/>
      <c r="AH5539" s="11"/>
      <c r="AI5539" s="14"/>
      <c r="AK5539" s="23"/>
      <c r="AL5539" s="11"/>
      <c r="AO5539" s="14"/>
      <c r="AP5539" s="14"/>
      <c r="AQ5539" s="12"/>
      <c r="AS5539" s="26"/>
    </row>
    <row r="5540" spans="1:45" s="19" customFormat="1" x14ac:dyDescent="0.2">
      <c r="A5540" s="2">
        <f>+A5539+1</f>
        <v>4624</v>
      </c>
      <c r="B5540" s="13">
        <v>4</v>
      </c>
      <c r="C5540" s="17" t="s">
        <v>65</v>
      </c>
      <c r="D5540" s="17">
        <v>924</v>
      </c>
      <c r="E5540" s="17">
        <v>220</v>
      </c>
      <c r="F5540" s="17"/>
      <c r="G5540" s="13"/>
      <c r="H5540" s="17">
        <v>8</v>
      </c>
      <c r="I5540" s="17">
        <v>3</v>
      </c>
      <c r="J5540" s="17">
        <v>20</v>
      </c>
      <c r="K5540" s="10">
        <v>3520</v>
      </c>
      <c r="L5540" s="17"/>
      <c r="M5540" s="15"/>
      <c r="N5540" s="18"/>
      <c r="O5540" s="14"/>
      <c r="P5540" s="17"/>
      <c r="Q5540" s="19">
        <v>3520</v>
      </c>
      <c r="R5540" s="14">
        <v>250</v>
      </c>
      <c r="S5540" s="19">
        <v>880000</v>
      </c>
      <c r="T5540" s="17"/>
      <c r="U5540" s="17"/>
      <c r="V5540" s="17"/>
      <c r="W5540" s="4"/>
      <c r="X5540" s="17"/>
      <c r="Y5540" s="4"/>
      <c r="Z5540" s="17"/>
      <c r="AA5540" s="17"/>
      <c r="AB5540" s="17"/>
      <c r="AC5540" s="14"/>
      <c r="AD5540" s="14"/>
      <c r="AE5540" s="17"/>
      <c r="AF5540" s="14"/>
      <c r="AG5540" s="54"/>
      <c r="AH5540" s="11"/>
      <c r="AI5540" s="14"/>
      <c r="AJ5540" s="19">
        <v>0</v>
      </c>
      <c r="AK5540" s="23">
        <v>0</v>
      </c>
      <c r="AL5540" s="11"/>
      <c r="AM5540" s="19">
        <v>0</v>
      </c>
      <c r="AN5540" s="19">
        <v>880000</v>
      </c>
      <c r="AO5540" s="14"/>
      <c r="AP5540" s="14">
        <v>880000</v>
      </c>
      <c r="AQ5540" s="12">
        <v>1E-4</v>
      </c>
      <c r="AS5540" s="26"/>
    </row>
    <row r="5541" spans="1:45" s="19" customFormat="1" x14ac:dyDescent="0.2">
      <c r="A5541" s="122">
        <f t="shared" ref="A5541:A5548" si="602">+A5540+1</f>
        <v>4625</v>
      </c>
      <c r="B5541" s="13">
        <v>1</v>
      </c>
      <c r="C5541" s="17" t="s">
        <v>52</v>
      </c>
      <c r="D5541" s="17">
        <v>31052</v>
      </c>
      <c r="E5541" s="17">
        <v>107</v>
      </c>
      <c r="F5541" s="17">
        <v>6002</v>
      </c>
      <c r="G5541" s="13">
        <v>2</v>
      </c>
      <c r="H5541" s="17">
        <v>7</v>
      </c>
      <c r="I5541" s="17">
        <v>0</v>
      </c>
      <c r="J5541" s="17">
        <v>88.04</v>
      </c>
      <c r="K5541" s="10">
        <v>2888.04</v>
      </c>
      <c r="L5541" s="17"/>
      <c r="M5541" s="15"/>
      <c r="N5541" s="18"/>
      <c r="O5541" s="14"/>
      <c r="P5541" s="17">
        <v>1</v>
      </c>
      <c r="Q5541" s="19">
        <v>2888.04</v>
      </c>
      <c r="R5541" s="14">
        <v>200</v>
      </c>
      <c r="S5541" s="19">
        <v>577608</v>
      </c>
      <c r="T5541" s="17"/>
      <c r="U5541" s="17"/>
      <c r="V5541" s="17"/>
      <c r="W5541" s="4"/>
      <c r="X5541" s="17"/>
      <c r="Y5541" s="4"/>
      <c r="Z5541" s="17"/>
      <c r="AA5541" s="17"/>
      <c r="AB5541" s="17"/>
      <c r="AC5541" s="14"/>
      <c r="AD5541" s="14"/>
      <c r="AE5541" s="17"/>
      <c r="AF5541" s="14"/>
      <c r="AG5541" s="54"/>
      <c r="AH5541" s="11"/>
      <c r="AI5541" s="14"/>
      <c r="AJ5541" s="19">
        <v>0</v>
      </c>
      <c r="AK5541" s="23">
        <v>0</v>
      </c>
      <c r="AL5541" s="11"/>
      <c r="AM5541" s="19">
        <v>0</v>
      </c>
      <c r="AN5541" s="19">
        <v>577608</v>
      </c>
      <c r="AO5541" s="14"/>
      <c r="AP5541" s="14">
        <v>577608</v>
      </c>
      <c r="AQ5541" s="12"/>
      <c r="AS5541" s="26"/>
    </row>
    <row r="5542" spans="1:45" s="19" customFormat="1" x14ac:dyDescent="0.2">
      <c r="A5542" s="122">
        <f t="shared" si="602"/>
        <v>4626</v>
      </c>
      <c r="B5542" s="13">
        <v>2</v>
      </c>
      <c r="C5542" s="17" t="s">
        <v>52</v>
      </c>
      <c r="D5542" s="17">
        <v>2152</v>
      </c>
      <c r="E5542" s="17">
        <v>23</v>
      </c>
      <c r="F5542" s="17">
        <v>1622</v>
      </c>
      <c r="G5542" s="13">
        <v>3</v>
      </c>
      <c r="H5542" s="17">
        <v>9</v>
      </c>
      <c r="I5542" s="17">
        <v>3</v>
      </c>
      <c r="J5542" s="17">
        <v>46</v>
      </c>
      <c r="K5542" s="10">
        <v>3946</v>
      </c>
      <c r="L5542" s="17"/>
      <c r="M5542" s="15"/>
      <c r="N5542" s="18"/>
      <c r="O5542" s="14"/>
      <c r="P5542" s="17">
        <v>1</v>
      </c>
      <c r="Q5542" s="19">
        <v>3946</v>
      </c>
      <c r="R5542" s="14">
        <v>200</v>
      </c>
      <c r="S5542" s="19">
        <v>789200</v>
      </c>
      <c r="T5542" s="17"/>
      <c r="U5542" s="17"/>
      <c r="V5542" s="17"/>
      <c r="W5542" s="4"/>
      <c r="X5542" s="17"/>
      <c r="Y5542" s="4"/>
      <c r="Z5542" s="17"/>
      <c r="AA5542" s="17"/>
      <c r="AB5542" s="17"/>
      <c r="AC5542" s="14"/>
      <c r="AD5542" s="14"/>
      <c r="AE5542" s="17"/>
      <c r="AF5542" s="14"/>
      <c r="AG5542" s="54"/>
      <c r="AH5542" s="11"/>
      <c r="AI5542" s="14"/>
      <c r="AJ5542" s="19">
        <v>0</v>
      </c>
      <c r="AK5542" s="23">
        <v>0</v>
      </c>
      <c r="AL5542" s="11"/>
      <c r="AM5542" s="19">
        <v>0</v>
      </c>
      <c r="AN5542" s="19">
        <v>789200</v>
      </c>
      <c r="AO5542" s="14"/>
      <c r="AP5542" s="14">
        <v>789200</v>
      </c>
      <c r="AQ5542" s="12"/>
      <c r="AS5542" s="26"/>
    </row>
    <row r="5543" spans="1:45" s="19" customFormat="1" x14ac:dyDescent="0.2">
      <c r="A5543" s="122">
        <f t="shared" si="602"/>
        <v>4627</v>
      </c>
      <c r="B5543" s="13">
        <v>3</v>
      </c>
      <c r="C5543" s="17" t="s">
        <v>52</v>
      </c>
      <c r="D5543" s="17">
        <v>2453</v>
      </c>
      <c r="E5543" s="17">
        <v>13</v>
      </c>
      <c r="F5543" s="17">
        <v>1031</v>
      </c>
      <c r="G5543" s="13">
        <v>4</v>
      </c>
      <c r="H5543" s="17">
        <v>1</v>
      </c>
      <c r="I5543" s="17">
        <v>1</v>
      </c>
      <c r="J5543" s="17">
        <v>0</v>
      </c>
      <c r="K5543" s="10">
        <v>500</v>
      </c>
      <c r="L5543" s="17"/>
      <c r="M5543" s="15"/>
      <c r="N5543" s="18"/>
      <c r="O5543" s="14"/>
      <c r="P5543" s="17">
        <v>1</v>
      </c>
      <c r="Q5543" s="19">
        <v>500</v>
      </c>
      <c r="R5543" s="14">
        <v>200</v>
      </c>
      <c r="S5543" s="19">
        <v>100000</v>
      </c>
      <c r="T5543" s="17"/>
      <c r="U5543" s="17"/>
      <c r="V5543" s="17"/>
      <c r="W5543" s="4"/>
      <c r="X5543" s="17"/>
      <c r="Y5543" s="4"/>
      <c r="Z5543" s="17"/>
      <c r="AA5543" s="17"/>
      <c r="AB5543" s="17"/>
      <c r="AC5543" s="14"/>
      <c r="AD5543" s="14"/>
      <c r="AE5543" s="17"/>
      <c r="AF5543" s="14"/>
      <c r="AG5543" s="54"/>
      <c r="AH5543" s="11"/>
      <c r="AI5543" s="14"/>
      <c r="AJ5543" s="19">
        <v>0</v>
      </c>
      <c r="AK5543" s="23">
        <v>0</v>
      </c>
      <c r="AL5543" s="11"/>
      <c r="AM5543" s="19">
        <v>0</v>
      </c>
      <c r="AN5543" s="19">
        <v>100000</v>
      </c>
      <c r="AO5543" s="14"/>
      <c r="AP5543" s="14">
        <v>100000</v>
      </c>
      <c r="AQ5543" s="12"/>
      <c r="AS5543" s="26"/>
    </row>
    <row r="5544" spans="1:45" s="19" customFormat="1" x14ac:dyDescent="0.2">
      <c r="A5544" s="122">
        <f t="shared" si="602"/>
        <v>4628</v>
      </c>
      <c r="B5544" s="13">
        <v>4</v>
      </c>
      <c r="C5544" s="17" t="s">
        <v>52</v>
      </c>
      <c r="D5544" s="17">
        <v>2454</v>
      </c>
      <c r="E5544" s="17">
        <v>14</v>
      </c>
      <c r="F5544" s="17">
        <v>1032</v>
      </c>
      <c r="G5544" s="13">
        <v>4</v>
      </c>
      <c r="H5544" s="17">
        <v>1</v>
      </c>
      <c r="I5544" s="17">
        <v>0</v>
      </c>
      <c r="J5544" s="17">
        <v>39</v>
      </c>
      <c r="K5544" s="10" t="s">
        <v>529</v>
      </c>
      <c r="L5544" s="17"/>
      <c r="M5544" s="15"/>
      <c r="N5544" s="18"/>
      <c r="O5544" s="14"/>
      <c r="P5544" s="17">
        <v>1</v>
      </c>
      <c r="Q5544" s="19">
        <v>439</v>
      </c>
      <c r="R5544" s="14">
        <v>250</v>
      </c>
      <c r="S5544" s="19">
        <v>109750</v>
      </c>
      <c r="T5544" s="17"/>
      <c r="U5544" s="17"/>
      <c r="V5544" s="17"/>
      <c r="W5544" s="4"/>
      <c r="X5544" s="17"/>
      <c r="Y5544" s="4"/>
      <c r="Z5544" s="17"/>
      <c r="AA5544" s="17"/>
      <c r="AB5544" s="17"/>
      <c r="AC5544" s="14"/>
      <c r="AD5544" s="14"/>
      <c r="AE5544" s="17"/>
      <c r="AF5544" s="14"/>
      <c r="AG5544" s="54"/>
      <c r="AH5544" s="11"/>
      <c r="AI5544" s="14"/>
      <c r="AJ5544" s="19">
        <v>0</v>
      </c>
      <c r="AK5544" s="23">
        <v>0</v>
      </c>
      <c r="AL5544" s="11"/>
      <c r="AM5544" s="19">
        <v>0</v>
      </c>
      <c r="AN5544" s="19">
        <v>109750</v>
      </c>
      <c r="AO5544" s="14"/>
      <c r="AP5544" s="14">
        <v>109750</v>
      </c>
      <c r="AQ5544" s="12"/>
      <c r="AS5544" s="26"/>
    </row>
    <row r="5545" spans="1:45" s="19" customFormat="1" x14ac:dyDescent="0.2">
      <c r="A5545" s="122">
        <f t="shared" si="602"/>
        <v>4629</v>
      </c>
      <c r="B5545" s="13">
        <v>5</v>
      </c>
      <c r="C5545" s="17" t="s">
        <v>52</v>
      </c>
      <c r="D5545" s="17">
        <v>36874</v>
      </c>
      <c r="E5545" s="17">
        <v>35</v>
      </c>
      <c r="F5545" s="17">
        <v>7332</v>
      </c>
      <c r="G5545" s="13">
        <v>4</v>
      </c>
      <c r="H5545" s="17">
        <v>9</v>
      </c>
      <c r="I5545" s="17">
        <v>2</v>
      </c>
      <c r="J5545" s="17">
        <v>6.9999999999999993E-2</v>
      </c>
      <c r="K5545" s="10">
        <v>3800.07</v>
      </c>
      <c r="L5545" s="17"/>
      <c r="M5545" s="15"/>
      <c r="N5545" s="18"/>
      <c r="O5545" s="14"/>
      <c r="P5545" s="17">
        <v>1</v>
      </c>
      <c r="Q5545" s="19">
        <v>3800.07</v>
      </c>
      <c r="R5545" s="14">
        <v>160</v>
      </c>
      <c r="S5545" s="19">
        <v>608011.20000000007</v>
      </c>
      <c r="T5545" s="17"/>
      <c r="U5545" s="17"/>
      <c r="V5545" s="17"/>
      <c r="W5545" s="4"/>
      <c r="X5545" s="17"/>
      <c r="Y5545" s="4"/>
      <c r="Z5545" s="17"/>
      <c r="AA5545" s="17"/>
      <c r="AB5545" s="17"/>
      <c r="AC5545" s="14"/>
      <c r="AD5545" s="14"/>
      <c r="AE5545" s="17"/>
      <c r="AF5545" s="14"/>
      <c r="AG5545" s="54"/>
      <c r="AH5545" s="11"/>
      <c r="AI5545" s="14"/>
      <c r="AJ5545" s="19">
        <v>0</v>
      </c>
      <c r="AK5545" s="23">
        <v>0</v>
      </c>
      <c r="AL5545" s="11"/>
      <c r="AM5545" s="19">
        <v>0</v>
      </c>
      <c r="AN5545" s="19">
        <v>608011.20000000007</v>
      </c>
      <c r="AO5545" s="14"/>
      <c r="AP5545" s="14">
        <v>608011.20000000007</v>
      </c>
      <c r="AQ5545" s="12"/>
      <c r="AS5545" s="26"/>
    </row>
    <row r="5546" spans="1:45" s="19" customFormat="1" x14ac:dyDescent="0.2">
      <c r="A5546" s="122">
        <f t="shared" si="602"/>
        <v>4630</v>
      </c>
      <c r="B5546" s="13">
        <v>6</v>
      </c>
      <c r="C5546" s="17" t="s">
        <v>52</v>
      </c>
      <c r="D5546" s="17">
        <v>36882</v>
      </c>
      <c r="E5546" s="17">
        <v>41</v>
      </c>
      <c r="F5546" s="17">
        <v>7340</v>
      </c>
      <c r="G5546" s="13">
        <v>4</v>
      </c>
      <c r="H5546" s="17">
        <v>3</v>
      </c>
      <c r="I5546" s="17">
        <v>3</v>
      </c>
      <c r="J5546" s="17">
        <v>6.04</v>
      </c>
      <c r="K5546" s="10">
        <v>1506.04</v>
      </c>
      <c r="L5546" s="17"/>
      <c r="M5546" s="15"/>
      <c r="N5546" s="18"/>
      <c r="O5546" s="14"/>
      <c r="P5546" s="17">
        <v>1</v>
      </c>
      <c r="Q5546" s="19">
        <v>1506.04</v>
      </c>
      <c r="R5546" s="14">
        <v>160</v>
      </c>
      <c r="S5546" s="19">
        <v>240966.39999999999</v>
      </c>
      <c r="T5546" s="17"/>
      <c r="U5546" s="17"/>
      <c r="V5546" s="17"/>
      <c r="W5546" s="4"/>
      <c r="X5546" s="17"/>
      <c r="Y5546" s="4"/>
      <c r="Z5546" s="17"/>
      <c r="AA5546" s="17"/>
      <c r="AB5546" s="17"/>
      <c r="AC5546" s="14"/>
      <c r="AD5546" s="14"/>
      <c r="AE5546" s="17"/>
      <c r="AF5546" s="14"/>
      <c r="AG5546" s="54"/>
      <c r="AH5546" s="11"/>
      <c r="AI5546" s="14"/>
      <c r="AJ5546" s="19">
        <v>0</v>
      </c>
      <c r="AK5546" s="23">
        <v>0</v>
      </c>
      <c r="AL5546" s="11"/>
      <c r="AM5546" s="19">
        <v>0</v>
      </c>
      <c r="AN5546" s="19">
        <v>240966.39999999999</v>
      </c>
      <c r="AO5546" s="14"/>
      <c r="AP5546" s="14">
        <v>240966.39999999999</v>
      </c>
      <c r="AQ5546" s="12"/>
      <c r="AS5546" s="26"/>
    </row>
    <row r="5547" spans="1:45" s="19" customFormat="1" ht="42" x14ac:dyDescent="0.2">
      <c r="A5547" s="122">
        <f t="shared" si="602"/>
        <v>4631</v>
      </c>
      <c r="B5547" s="13">
        <v>7</v>
      </c>
      <c r="C5547" s="17" t="s">
        <v>52</v>
      </c>
      <c r="D5547" s="17">
        <v>2017</v>
      </c>
      <c r="E5547" s="17">
        <v>75</v>
      </c>
      <c r="F5547" s="17">
        <v>1071</v>
      </c>
      <c r="G5547" s="13"/>
      <c r="H5547" s="17">
        <v>0</v>
      </c>
      <c r="I5547" s="17">
        <v>0</v>
      </c>
      <c r="J5547" s="17">
        <v>34.090000000000003</v>
      </c>
      <c r="K5547" s="10"/>
      <c r="L5547" s="17">
        <v>34.090000000000003</v>
      </c>
      <c r="M5547" s="15"/>
      <c r="N5547" s="18"/>
      <c r="O5547" s="14"/>
      <c r="P5547" s="17">
        <v>2</v>
      </c>
      <c r="Q5547" s="19">
        <v>34.090000000000003</v>
      </c>
      <c r="R5547" s="14">
        <v>2000</v>
      </c>
      <c r="S5547" s="19">
        <v>68180</v>
      </c>
      <c r="T5547" s="17">
        <v>1</v>
      </c>
      <c r="U5547" s="17"/>
      <c r="V5547" s="17" t="s">
        <v>530</v>
      </c>
      <c r="W5547" s="4">
        <v>122.5</v>
      </c>
      <c r="X5547" s="17"/>
      <c r="Y5547" s="4">
        <v>122.5</v>
      </c>
      <c r="Z5547" s="17"/>
      <c r="AA5547" s="17"/>
      <c r="AB5547" s="17">
        <v>12</v>
      </c>
      <c r="AC5547" s="14"/>
      <c r="AD5547" s="14"/>
      <c r="AE5547" s="17"/>
      <c r="AF5547" s="14"/>
      <c r="AG5547" s="54"/>
      <c r="AH5547" s="11"/>
      <c r="AI5547" s="14"/>
      <c r="AJ5547" s="19">
        <v>0</v>
      </c>
      <c r="AK5547" s="23">
        <v>12</v>
      </c>
      <c r="AL5547" s="11"/>
      <c r="AM5547" s="19">
        <v>0</v>
      </c>
      <c r="AN5547" s="19">
        <v>68180</v>
      </c>
      <c r="AO5547" s="14"/>
      <c r="AP5547" s="14">
        <v>68180</v>
      </c>
      <c r="AQ5547" s="12"/>
      <c r="AS5547" s="26"/>
    </row>
    <row r="5548" spans="1:45" s="19" customFormat="1" ht="63" x14ac:dyDescent="0.2">
      <c r="A5548" s="122">
        <f t="shared" si="602"/>
        <v>4632</v>
      </c>
      <c r="B5548" s="13">
        <v>8</v>
      </c>
      <c r="C5548" s="17" t="s">
        <v>52</v>
      </c>
      <c r="D5548" s="17">
        <v>2304</v>
      </c>
      <c r="E5548" s="17">
        <v>53</v>
      </c>
      <c r="F5548" s="17">
        <v>1059</v>
      </c>
      <c r="G5548" s="13"/>
      <c r="H5548" s="17">
        <v>0</v>
      </c>
      <c r="I5548" s="17">
        <v>0</v>
      </c>
      <c r="J5548" s="17">
        <v>85</v>
      </c>
      <c r="K5548" s="10"/>
      <c r="L5548" s="17">
        <v>85</v>
      </c>
      <c r="M5548" s="15"/>
      <c r="N5548" s="18"/>
      <c r="O5548" s="14"/>
      <c r="P5548" s="17">
        <v>2</v>
      </c>
      <c r="Q5548" s="19">
        <v>85</v>
      </c>
      <c r="R5548" s="14">
        <v>2000</v>
      </c>
      <c r="S5548" s="19">
        <v>170000</v>
      </c>
      <c r="T5548" s="17">
        <v>1</v>
      </c>
      <c r="U5548" s="17" t="s">
        <v>57</v>
      </c>
      <c r="V5548" s="17" t="s">
        <v>56</v>
      </c>
      <c r="W5548" s="4" t="s">
        <v>531</v>
      </c>
      <c r="X5548" s="17"/>
      <c r="Y5548" s="4" t="s">
        <v>532</v>
      </c>
      <c r="Z5548" s="17"/>
      <c r="AA5548" s="17"/>
      <c r="AB5548" s="17" t="s">
        <v>533</v>
      </c>
      <c r="AC5548" s="14"/>
      <c r="AD5548" s="14"/>
      <c r="AE5548" s="17">
        <v>9.375E-2</v>
      </c>
      <c r="AF5548" s="14">
        <v>2</v>
      </c>
      <c r="AG5548" s="54">
        <v>320</v>
      </c>
      <c r="AH5548" s="11">
        <v>0.91</v>
      </c>
      <c r="AI5548" s="14">
        <v>7250</v>
      </c>
      <c r="AJ5548" s="19">
        <v>2111200</v>
      </c>
      <c r="AK5548" s="23" t="s">
        <v>533</v>
      </c>
      <c r="AL5548" s="11">
        <v>0.36</v>
      </c>
      <c r="AM5548" s="19">
        <v>1351168</v>
      </c>
      <c r="AN5548" s="19">
        <v>1505868</v>
      </c>
      <c r="AO5548" s="14"/>
      <c r="AP5548" s="14">
        <v>1505868</v>
      </c>
      <c r="AQ5548" s="12"/>
      <c r="AS5548" s="26"/>
    </row>
    <row r="5549" spans="1:45" s="19" customFormat="1" x14ac:dyDescent="0.2">
      <c r="A5549" s="2"/>
      <c r="B5549" s="13"/>
      <c r="C5549" s="17"/>
      <c r="D5549" s="17"/>
      <c r="E5549" s="17"/>
      <c r="F5549" s="17"/>
      <c r="G5549" s="13"/>
      <c r="H5549" s="17"/>
      <c r="I5549" s="17"/>
      <c r="J5549" s="17"/>
      <c r="K5549" s="10"/>
      <c r="L5549" s="17"/>
      <c r="M5549" s="15"/>
      <c r="N5549" s="18"/>
      <c r="O5549" s="14"/>
      <c r="P5549" s="17"/>
      <c r="R5549" s="14"/>
      <c r="T5549" s="17"/>
      <c r="U5549" s="17"/>
      <c r="V5549" s="17"/>
      <c r="W5549" s="4"/>
      <c r="X5549" s="17"/>
      <c r="Y5549" s="4"/>
      <c r="Z5549" s="17" t="s">
        <v>534</v>
      </c>
      <c r="AA5549" s="17"/>
      <c r="AB5549" s="17" t="s">
        <v>533</v>
      </c>
      <c r="AC5549" s="14"/>
      <c r="AD5549" s="14"/>
      <c r="AE5549" s="17"/>
      <c r="AF5549" s="14">
        <v>3</v>
      </c>
      <c r="AG5549" s="54">
        <v>320</v>
      </c>
      <c r="AH5549" s="11">
        <v>0.09</v>
      </c>
      <c r="AI5549" s="14">
        <v>7250</v>
      </c>
      <c r="AJ5549" s="19">
        <v>208799.99999999997</v>
      </c>
      <c r="AK5549" s="23" t="s">
        <v>533</v>
      </c>
      <c r="AL5549" s="11">
        <v>0.36</v>
      </c>
      <c r="AM5549" s="19">
        <v>133632</v>
      </c>
      <c r="AN5549" s="19">
        <v>148932</v>
      </c>
      <c r="AO5549" s="14"/>
      <c r="AP5549" s="14">
        <v>148932</v>
      </c>
      <c r="AQ5549" s="12">
        <v>3.0000000000000001E-3</v>
      </c>
      <c r="AS5549" s="26"/>
    </row>
    <row r="5550" spans="1:45" s="19" customFormat="1" ht="105" x14ac:dyDescent="0.2">
      <c r="A5550" s="2">
        <v>4633</v>
      </c>
      <c r="B5550" s="13">
        <v>9</v>
      </c>
      <c r="C5550" s="17" t="s">
        <v>52</v>
      </c>
      <c r="D5550" s="17">
        <v>2305</v>
      </c>
      <c r="E5550" s="17">
        <v>54</v>
      </c>
      <c r="F5550" s="17">
        <v>1060</v>
      </c>
      <c r="G5550" s="13"/>
      <c r="H5550" s="17">
        <v>0</v>
      </c>
      <c r="I5550" s="17">
        <v>0</v>
      </c>
      <c r="J5550" s="17">
        <v>33</v>
      </c>
      <c r="K5550" s="10"/>
      <c r="L5550" s="17"/>
      <c r="M5550" s="15">
        <v>33</v>
      </c>
      <c r="N5550" s="18"/>
      <c r="O5550" s="14"/>
      <c r="P5550" s="17">
        <v>3</v>
      </c>
      <c r="Q5550" s="19">
        <v>33</v>
      </c>
      <c r="R5550" s="14">
        <v>2000</v>
      </c>
      <c r="S5550" s="19">
        <v>66000</v>
      </c>
      <c r="T5550" s="17">
        <v>1</v>
      </c>
      <c r="U5550" s="17"/>
      <c r="V5550" s="17" t="s">
        <v>183</v>
      </c>
      <c r="W5550" s="4">
        <v>15</v>
      </c>
      <c r="X5550" s="17"/>
      <c r="Y5550" s="4">
        <v>15</v>
      </c>
      <c r="Z5550" s="17"/>
      <c r="AA5550" s="17"/>
      <c r="AB5550" s="17">
        <v>22</v>
      </c>
      <c r="AC5550" s="14" t="s">
        <v>535</v>
      </c>
      <c r="AD5550" s="14"/>
      <c r="AE5550" s="17"/>
      <c r="AF5550" s="14"/>
      <c r="AG5550" s="54"/>
      <c r="AH5550" s="11"/>
      <c r="AI5550" s="14"/>
      <c r="AJ5550" s="19">
        <v>0</v>
      </c>
      <c r="AK5550" s="23">
        <v>22</v>
      </c>
      <c r="AL5550" s="11"/>
      <c r="AM5550" s="19">
        <v>0</v>
      </c>
      <c r="AN5550" s="19">
        <v>66000</v>
      </c>
      <c r="AO5550" s="14"/>
      <c r="AP5550" s="14">
        <v>66000</v>
      </c>
      <c r="AQ5550" s="12"/>
      <c r="AS5550" s="26"/>
    </row>
    <row r="5551" spans="1:45" s="19" customFormat="1" x14ac:dyDescent="0.2">
      <c r="A5551" s="2">
        <v>4634</v>
      </c>
      <c r="B5551" s="13">
        <v>10</v>
      </c>
      <c r="C5551" s="17" t="s">
        <v>65</v>
      </c>
      <c r="D5551" s="17">
        <v>2006</v>
      </c>
      <c r="E5551" s="17">
        <v>40</v>
      </c>
      <c r="F5551" s="17"/>
      <c r="G5551" s="13"/>
      <c r="H5551" s="17">
        <v>12</v>
      </c>
      <c r="I5551" s="17">
        <v>1</v>
      </c>
      <c r="J5551" s="17">
        <v>90</v>
      </c>
      <c r="K5551" s="10">
        <v>4990</v>
      </c>
      <c r="L5551" s="17"/>
      <c r="M5551" s="15"/>
      <c r="N5551" s="18"/>
      <c r="O5551" s="14"/>
      <c r="P5551" s="17">
        <v>1</v>
      </c>
      <c r="Q5551" s="19">
        <v>4990</v>
      </c>
      <c r="R5551" s="14">
        <v>200</v>
      </c>
      <c r="S5551" s="19">
        <v>998000</v>
      </c>
      <c r="T5551" s="17"/>
      <c r="U5551" s="17"/>
      <c r="V5551" s="17"/>
      <c r="W5551" s="4"/>
      <c r="X5551" s="17"/>
      <c r="Y5551" s="4"/>
      <c r="Z5551" s="17"/>
      <c r="AA5551" s="17"/>
      <c r="AB5551" s="17"/>
      <c r="AC5551" s="14"/>
      <c r="AD5551" s="14"/>
      <c r="AE5551" s="17"/>
      <c r="AF5551" s="14"/>
      <c r="AG5551" s="54"/>
      <c r="AH5551" s="11"/>
      <c r="AI5551" s="14"/>
      <c r="AJ5551" s="19">
        <v>0</v>
      </c>
      <c r="AK5551" s="23">
        <v>0</v>
      </c>
      <c r="AL5551" s="11"/>
      <c r="AM5551" s="19">
        <v>0</v>
      </c>
      <c r="AN5551" s="19">
        <v>998000</v>
      </c>
      <c r="AO5551" s="14"/>
      <c r="AP5551" s="14">
        <v>998000</v>
      </c>
      <c r="AQ5551" s="12">
        <v>1E-4</v>
      </c>
      <c r="AS5551" s="26"/>
    </row>
    <row r="5552" spans="1:45" s="19" customFormat="1" x14ac:dyDescent="0.2">
      <c r="A5552" s="2">
        <f>+A5551+1</f>
        <v>4635</v>
      </c>
      <c r="B5552" s="13">
        <v>11</v>
      </c>
      <c r="C5552" s="17" t="s">
        <v>65</v>
      </c>
      <c r="D5552" s="17">
        <v>878</v>
      </c>
      <c r="E5552" s="17">
        <v>164</v>
      </c>
      <c r="F5552" s="17"/>
      <c r="G5552" s="13"/>
      <c r="H5552" s="17">
        <v>6</v>
      </c>
      <c r="I5552" s="17">
        <v>1</v>
      </c>
      <c r="J5552" s="17">
        <v>25</v>
      </c>
      <c r="K5552" s="10">
        <v>2525</v>
      </c>
      <c r="L5552" s="17"/>
      <c r="M5552" s="15"/>
      <c r="N5552" s="18"/>
      <c r="O5552" s="14"/>
      <c r="P5552" s="17"/>
      <c r="Q5552" s="19">
        <v>2525</v>
      </c>
      <c r="R5552" s="14">
        <v>200</v>
      </c>
      <c r="S5552" s="19">
        <v>505000</v>
      </c>
      <c r="T5552" s="17"/>
      <c r="U5552" s="17"/>
      <c r="V5552" s="17"/>
      <c r="W5552" s="4"/>
      <c r="X5552" s="17"/>
      <c r="Y5552" s="4"/>
      <c r="Z5552" s="17"/>
      <c r="AA5552" s="17"/>
      <c r="AB5552" s="17"/>
      <c r="AC5552" s="14"/>
      <c r="AD5552" s="14" t="s">
        <v>94</v>
      </c>
      <c r="AE5552" s="17" t="s">
        <v>220</v>
      </c>
      <c r="AF5552" s="14"/>
      <c r="AG5552" s="54"/>
      <c r="AH5552" s="11"/>
      <c r="AI5552" s="14"/>
      <c r="AJ5552" s="19">
        <v>0</v>
      </c>
      <c r="AK5552" s="23">
        <v>0</v>
      </c>
      <c r="AL5552" s="11"/>
      <c r="AM5552" s="19">
        <v>0</v>
      </c>
      <c r="AN5552" s="19">
        <v>505000</v>
      </c>
      <c r="AO5552" s="14"/>
      <c r="AP5552" s="14">
        <v>505000</v>
      </c>
      <c r="AQ5552" s="12">
        <v>1E-4</v>
      </c>
      <c r="AS5552" s="26"/>
    </row>
    <row r="5553" spans="1:45" ht="63" x14ac:dyDescent="0.2">
      <c r="A5553" s="122">
        <f t="shared" ref="A5553:A5554" si="603">+A5552+1</f>
        <v>4636</v>
      </c>
      <c r="B5553" s="13">
        <v>1</v>
      </c>
      <c r="C5553" s="17" t="s">
        <v>52</v>
      </c>
      <c r="D5553" s="17">
        <v>2164</v>
      </c>
      <c r="E5553" s="17">
        <v>21</v>
      </c>
      <c r="F5553" s="17">
        <v>1635</v>
      </c>
      <c r="G5553" s="13">
        <v>3</v>
      </c>
      <c r="H5553" s="17">
        <v>4</v>
      </c>
      <c r="I5553" s="17">
        <v>3</v>
      </c>
      <c r="J5553" s="17">
        <v>61</v>
      </c>
      <c r="K5553" s="10" t="s">
        <v>536</v>
      </c>
      <c r="P5553" s="17">
        <v>1</v>
      </c>
      <c r="Q5553" s="19">
        <v>1961</v>
      </c>
      <c r="R5553" s="14">
        <v>200</v>
      </c>
      <c r="S5553" s="19">
        <v>392200</v>
      </c>
      <c r="AJ5553" s="19">
        <v>0</v>
      </c>
      <c r="AK5553" s="23">
        <v>0</v>
      </c>
      <c r="AM5553" s="19">
        <v>0</v>
      </c>
      <c r="AN5553" s="19">
        <v>392200</v>
      </c>
      <c r="AP5553" s="14">
        <v>392200</v>
      </c>
      <c r="AR5553" s="19">
        <v>118</v>
      </c>
      <c r="AS5553" s="26">
        <v>718</v>
      </c>
    </row>
    <row r="5554" spans="1:45" ht="63" x14ac:dyDescent="0.2">
      <c r="A5554" s="122">
        <f t="shared" si="603"/>
        <v>4637</v>
      </c>
      <c r="B5554" s="13">
        <v>2</v>
      </c>
      <c r="C5554" s="17" t="s">
        <v>52</v>
      </c>
      <c r="D5554" s="17">
        <v>2169</v>
      </c>
      <c r="E5554" s="17">
        <v>26</v>
      </c>
      <c r="F5554" s="17">
        <v>1640</v>
      </c>
      <c r="G5554" s="13">
        <v>3</v>
      </c>
      <c r="H5554" s="17">
        <v>1</v>
      </c>
      <c r="I5554" s="17">
        <v>2</v>
      </c>
      <c r="J5554" s="17">
        <v>35</v>
      </c>
      <c r="K5554" s="10" t="s">
        <v>537</v>
      </c>
      <c r="L5554" s="17" t="s">
        <v>538</v>
      </c>
      <c r="P5554" s="17">
        <v>5</v>
      </c>
      <c r="Q5554" s="19">
        <v>635</v>
      </c>
      <c r="R5554" s="14">
        <v>200</v>
      </c>
      <c r="S5554" s="19">
        <v>127000</v>
      </c>
      <c r="T5554" s="17">
        <v>1</v>
      </c>
      <c r="V5554" s="17" t="s">
        <v>183</v>
      </c>
      <c r="W5554" s="4">
        <v>198</v>
      </c>
      <c r="Y5554" s="4" t="s">
        <v>539</v>
      </c>
      <c r="Z5554" s="17" t="s">
        <v>227</v>
      </c>
      <c r="AB5554" s="17">
        <v>32</v>
      </c>
      <c r="AF5554" s="14">
        <v>2</v>
      </c>
      <c r="AG5554" s="54">
        <v>198</v>
      </c>
      <c r="AH5554" s="11">
        <v>0.9</v>
      </c>
      <c r="AI5554" s="14">
        <v>8100</v>
      </c>
      <c r="AJ5554" s="19">
        <v>1443420.0000000002</v>
      </c>
      <c r="AK5554" s="23">
        <v>32</v>
      </c>
      <c r="AL5554" s="11">
        <v>0.54</v>
      </c>
      <c r="AM5554" s="19">
        <v>663973.20000000007</v>
      </c>
      <c r="AN5554" s="19">
        <v>778273.20000000007</v>
      </c>
      <c r="AP5554" s="14">
        <v>778273.20000000007</v>
      </c>
      <c r="AR5554" s="19">
        <v>600</v>
      </c>
    </row>
    <row r="5555" spans="1:45" x14ac:dyDescent="0.2">
      <c r="R5555" s="14" t="e">
        <v>#N/A</v>
      </c>
      <c r="AE5555" s="17" t="s">
        <v>200</v>
      </c>
      <c r="AF5555" s="14">
        <v>3</v>
      </c>
      <c r="AG5555" s="54">
        <v>198</v>
      </c>
      <c r="AH5555" s="11">
        <v>0.1</v>
      </c>
      <c r="AI5555" s="14">
        <v>8100</v>
      </c>
      <c r="AJ5555" s="19">
        <v>160380</v>
      </c>
      <c r="AK5555" s="23">
        <v>32</v>
      </c>
      <c r="AL5555" s="11">
        <v>0.54</v>
      </c>
      <c r="AM5555" s="19">
        <v>73774.799999999988</v>
      </c>
      <c r="AN5555" s="19">
        <v>86474.799999999988</v>
      </c>
      <c r="AP5555" s="14">
        <v>86474.799999999988</v>
      </c>
      <c r="AQ5555" s="12">
        <v>3.0000000000000001E-3</v>
      </c>
    </row>
    <row r="5556" spans="1:45" ht="42" x14ac:dyDescent="0.2">
      <c r="Q5556" s="19">
        <v>0</v>
      </c>
      <c r="R5556" s="14" t="e">
        <v>#N/A</v>
      </c>
      <c r="S5556" s="19" t="e">
        <v>#N/A</v>
      </c>
      <c r="T5556" s="17">
        <v>2</v>
      </c>
      <c r="V5556" s="17" t="s">
        <v>183</v>
      </c>
      <c r="W5556" s="4">
        <v>90</v>
      </c>
      <c r="Y5556" s="4">
        <v>90</v>
      </c>
      <c r="AB5556" s="17">
        <v>11</v>
      </c>
      <c r="AJ5556" s="19">
        <v>0</v>
      </c>
      <c r="AK5556" s="23">
        <v>11</v>
      </c>
      <c r="AM5556" s="19">
        <v>0</v>
      </c>
      <c r="AN5556" s="19" t="e">
        <v>#N/A</v>
      </c>
      <c r="AP5556" s="14" t="e">
        <v>#N/A</v>
      </c>
    </row>
    <row r="5557" spans="1:45" ht="42" x14ac:dyDescent="0.2">
      <c r="Q5557" s="19">
        <v>0</v>
      </c>
      <c r="R5557" s="14" t="e">
        <v>#N/A</v>
      </c>
      <c r="S5557" s="19" t="e">
        <v>#N/A</v>
      </c>
      <c r="T5557" s="17">
        <v>3</v>
      </c>
      <c r="V5557" s="17" t="s">
        <v>183</v>
      </c>
      <c r="W5557" s="4">
        <v>198</v>
      </c>
      <c r="Y5557" s="4">
        <v>198</v>
      </c>
      <c r="AB5557" s="17">
        <v>19</v>
      </c>
      <c r="AJ5557" s="19">
        <v>0</v>
      </c>
      <c r="AK5557" s="23">
        <v>19</v>
      </c>
      <c r="AM5557" s="19">
        <v>0</v>
      </c>
      <c r="AN5557" s="19" t="e">
        <v>#N/A</v>
      </c>
      <c r="AP5557" s="14" t="e">
        <v>#N/A</v>
      </c>
    </row>
    <row r="5558" spans="1:45" ht="42" x14ac:dyDescent="0.2">
      <c r="Q5558" s="19">
        <v>0</v>
      </c>
      <c r="R5558" s="14" t="e">
        <v>#N/A</v>
      </c>
      <c r="S5558" s="19" t="e">
        <v>#N/A</v>
      </c>
      <c r="T5558" s="17">
        <v>4</v>
      </c>
      <c r="V5558" s="17" t="s">
        <v>183</v>
      </c>
      <c r="W5558" s="4">
        <v>75</v>
      </c>
      <c r="Y5558" s="4">
        <v>75</v>
      </c>
      <c r="AB5558" s="17">
        <v>6</v>
      </c>
      <c r="AJ5558" s="19">
        <v>0</v>
      </c>
      <c r="AK5558" s="23">
        <v>6</v>
      </c>
      <c r="AM5558" s="19">
        <v>0</v>
      </c>
      <c r="AN5558" s="19" t="e">
        <v>#N/A</v>
      </c>
      <c r="AP5558" s="14" t="e">
        <v>#N/A</v>
      </c>
    </row>
    <row r="5559" spans="1:45" x14ac:dyDescent="0.2">
      <c r="A5559" s="2">
        <v>4638</v>
      </c>
      <c r="B5559" s="13">
        <v>3</v>
      </c>
      <c r="C5559" s="17" t="s">
        <v>52</v>
      </c>
      <c r="D5559" s="17">
        <v>2202</v>
      </c>
      <c r="E5559" s="17">
        <v>8</v>
      </c>
      <c r="F5559" s="17">
        <v>1649</v>
      </c>
      <c r="G5559" s="13">
        <v>3</v>
      </c>
      <c r="H5559" s="17">
        <v>0</v>
      </c>
      <c r="I5559" s="17">
        <v>0</v>
      </c>
      <c r="J5559" s="17">
        <v>52</v>
      </c>
      <c r="L5559" s="17" t="s">
        <v>404</v>
      </c>
      <c r="P5559" s="17">
        <v>2</v>
      </c>
      <c r="Q5559" s="19">
        <v>52</v>
      </c>
      <c r="R5559" s="14">
        <v>250</v>
      </c>
      <c r="S5559" s="19">
        <v>13000</v>
      </c>
      <c r="AB5559" s="17" t="s">
        <v>360</v>
      </c>
      <c r="AJ5559" s="19">
        <v>0</v>
      </c>
      <c r="AK5559" s="23" t="s">
        <v>360</v>
      </c>
      <c r="AM5559" s="19">
        <v>0</v>
      </c>
      <c r="AN5559" s="19">
        <v>13000</v>
      </c>
      <c r="AP5559" s="14">
        <v>13000</v>
      </c>
    </row>
    <row r="5560" spans="1:45" x14ac:dyDescent="0.2">
      <c r="A5560" s="2">
        <v>4639</v>
      </c>
      <c r="B5560" s="13">
        <v>1</v>
      </c>
      <c r="C5560" s="17" t="s">
        <v>52</v>
      </c>
      <c r="D5560" s="17">
        <v>10455</v>
      </c>
      <c r="E5560" s="17">
        <v>21</v>
      </c>
      <c r="F5560" s="17">
        <v>3117</v>
      </c>
      <c r="G5560" s="13">
        <v>3</v>
      </c>
      <c r="H5560" s="17">
        <v>4</v>
      </c>
      <c r="I5560" s="17">
        <v>2</v>
      </c>
      <c r="J5560" s="17">
        <v>30</v>
      </c>
      <c r="K5560" s="10">
        <v>1830</v>
      </c>
      <c r="P5560" s="17">
        <v>1</v>
      </c>
      <c r="Q5560" s="19">
        <v>1830</v>
      </c>
      <c r="R5560" s="14">
        <v>500</v>
      </c>
      <c r="S5560" s="19">
        <v>915000</v>
      </c>
      <c r="AJ5560" s="19">
        <v>0</v>
      </c>
      <c r="AK5560" s="23">
        <v>0</v>
      </c>
      <c r="AM5560" s="19">
        <v>0</v>
      </c>
      <c r="AN5560" s="19">
        <v>915000</v>
      </c>
      <c r="AP5560" s="14">
        <v>915000</v>
      </c>
    </row>
    <row r="5561" spans="1:45" x14ac:dyDescent="0.2">
      <c r="B5561" s="13">
        <v>1</v>
      </c>
      <c r="C5561" s="17" t="s">
        <v>65</v>
      </c>
      <c r="D5561" s="17">
        <v>2633</v>
      </c>
      <c r="E5561" s="17">
        <v>47</v>
      </c>
      <c r="H5561" s="17">
        <v>5</v>
      </c>
      <c r="I5561" s="17">
        <v>0</v>
      </c>
      <c r="J5561" s="17">
        <v>80</v>
      </c>
      <c r="K5561" s="10">
        <v>2080</v>
      </c>
      <c r="Q5561" s="19">
        <v>2080</v>
      </c>
      <c r="R5561" s="14" t="e">
        <v>#N/A</v>
      </c>
      <c r="S5561" s="19" t="e">
        <v>#N/A</v>
      </c>
      <c r="AE5561" s="17" t="s">
        <v>94</v>
      </c>
      <c r="AJ5561" s="19">
        <v>0</v>
      </c>
      <c r="AK5561" s="23">
        <v>0</v>
      </c>
      <c r="AM5561" s="19">
        <v>0</v>
      </c>
      <c r="AN5561" s="19" t="e">
        <v>#N/A</v>
      </c>
      <c r="AP5561" s="14" t="e">
        <v>#N/A</v>
      </c>
    </row>
    <row r="5562" spans="1:45" x14ac:dyDescent="0.2">
      <c r="B5562" s="13">
        <v>2</v>
      </c>
      <c r="C5562" s="17" t="s">
        <v>65</v>
      </c>
      <c r="D5562" s="17">
        <v>3523</v>
      </c>
      <c r="E5562" s="17">
        <v>83</v>
      </c>
      <c r="H5562" s="17">
        <v>0</v>
      </c>
      <c r="I5562" s="17">
        <v>2</v>
      </c>
      <c r="J5562" s="17">
        <v>53</v>
      </c>
      <c r="K5562" s="10">
        <v>253</v>
      </c>
      <c r="Q5562" s="19">
        <v>253</v>
      </c>
      <c r="R5562" s="14" t="e">
        <v>#N/A</v>
      </c>
      <c r="S5562" s="19" t="e">
        <v>#N/A</v>
      </c>
      <c r="AE5562" s="17" t="s">
        <v>95</v>
      </c>
      <c r="AJ5562" s="19">
        <v>0</v>
      </c>
      <c r="AK5562" s="23">
        <v>0</v>
      </c>
      <c r="AM5562" s="19">
        <v>0</v>
      </c>
      <c r="AN5562" s="19" t="e">
        <v>#N/A</v>
      </c>
      <c r="AP5562" s="14" t="e">
        <v>#N/A</v>
      </c>
      <c r="AQ5562" s="12">
        <v>1E-4</v>
      </c>
    </row>
    <row r="5563" spans="1:45" ht="63" x14ac:dyDescent="0.2">
      <c r="A5563" s="2">
        <v>4640</v>
      </c>
      <c r="B5563" s="13">
        <v>1</v>
      </c>
      <c r="C5563" s="17" t="s">
        <v>52</v>
      </c>
      <c r="D5563" s="17">
        <v>12315</v>
      </c>
      <c r="E5563" s="17">
        <v>137</v>
      </c>
      <c r="F5563" s="17">
        <v>3227</v>
      </c>
      <c r="H5563" s="17">
        <v>0</v>
      </c>
      <c r="I5563" s="17">
        <v>0</v>
      </c>
      <c r="J5563" s="17">
        <v>32.03</v>
      </c>
      <c r="L5563" s="17" t="s">
        <v>540</v>
      </c>
      <c r="P5563" s="17">
        <v>2</v>
      </c>
      <c r="Q5563" s="19">
        <v>32.03</v>
      </c>
      <c r="R5563" s="14">
        <v>2000</v>
      </c>
      <c r="S5563" s="19">
        <v>64060</v>
      </c>
      <c r="U5563" s="17" t="s">
        <v>57</v>
      </c>
      <c r="V5563" s="17" t="s">
        <v>56</v>
      </c>
      <c r="W5563" s="4">
        <v>64</v>
      </c>
      <c r="Y5563" s="4" t="s">
        <v>300</v>
      </c>
      <c r="AB5563" s="17" t="s">
        <v>360</v>
      </c>
      <c r="AJ5563" s="19">
        <v>0</v>
      </c>
      <c r="AK5563" s="23" t="s">
        <v>360</v>
      </c>
      <c r="AM5563" s="19">
        <v>0</v>
      </c>
      <c r="AN5563" s="19">
        <v>64060</v>
      </c>
      <c r="AP5563" s="14">
        <v>64060</v>
      </c>
    </row>
    <row r="5564" spans="1:45" x14ac:dyDescent="0.2">
      <c r="A5564" s="2">
        <f>+A5563+1</f>
        <v>4641</v>
      </c>
      <c r="B5564" s="13">
        <v>1</v>
      </c>
      <c r="C5564" s="17" t="s">
        <v>52</v>
      </c>
      <c r="D5564" s="17">
        <v>1502</v>
      </c>
      <c r="E5564" s="17">
        <v>64</v>
      </c>
      <c r="F5564" s="17">
        <v>1075</v>
      </c>
      <c r="H5564" s="17">
        <v>0</v>
      </c>
      <c r="I5564" s="17">
        <v>2</v>
      </c>
      <c r="J5564" s="17">
        <v>20</v>
      </c>
      <c r="K5564" s="10">
        <v>220</v>
      </c>
      <c r="P5564" s="17">
        <v>1</v>
      </c>
      <c r="Q5564" s="19">
        <v>220</v>
      </c>
      <c r="R5564" s="14">
        <v>250</v>
      </c>
      <c r="S5564" s="19">
        <v>55000</v>
      </c>
      <c r="AJ5564" s="19">
        <v>0</v>
      </c>
      <c r="AK5564" s="23">
        <v>0</v>
      </c>
      <c r="AM5564" s="19">
        <v>0</v>
      </c>
      <c r="AN5564" s="19">
        <v>55000</v>
      </c>
      <c r="AP5564" s="14">
        <v>55000</v>
      </c>
      <c r="AQ5564" s="12">
        <v>3.0000000000000001E-3</v>
      </c>
    </row>
    <row r="5565" spans="1:45" ht="42" x14ac:dyDescent="0.2">
      <c r="A5565" s="122">
        <f t="shared" ref="A5565:A5567" si="604">+A5564+1</f>
        <v>4642</v>
      </c>
      <c r="B5565" s="13">
        <v>2</v>
      </c>
      <c r="C5565" s="17" t="s">
        <v>52</v>
      </c>
      <c r="D5565" s="17">
        <v>2311</v>
      </c>
      <c r="E5565" s="17">
        <v>103</v>
      </c>
      <c r="F5565" s="17">
        <v>1083</v>
      </c>
      <c r="H5565" s="17">
        <v>0</v>
      </c>
      <c r="I5565" s="17">
        <v>0</v>
      </c>
      <c r="J5565" s="17">
        <v>35</v>
      </c>
      <c r="L5565" s="17">
        <v>35</v>
      </c>
      <c r="P5565" s="17">
        <v>2</v>
      </c>
      <c r="Q5565" s="19">
        <v>35</v>
      </c>
      <c r="R5565" s="14">
        <v>2000</v>
      </c>
      <c r="S5565" s="19">
        <v>70000</v>
      </c>
      <c r="T5565" s="17">
        <v>1</v>
      </c>
      <c r="V5565" s="17" t="s">
        <v>530</v>
      </c>
      <c r="W5565" s="4">
        <v>80</v>
      </c>
      <c r="Y5565" s="4">
        <v>80</v>
      </c>
      <c r="AB5565" s="17">
        <v>19</v>
      </c>
      <c r="AJ5565" s="19">
        <v>0</v>
      </c>
      <c r="AK5565" s="23">
        <v>19</v>
      </c>
      <c r="AM5565" s="19">
        <v>0</v>
      </c>
      <c r="AN5565" s="19">
        <v>70000</v>
      </c>
      <c r="AP5565" s="14">
        <v>70000</v>
      </c>
    </row>
    <row r="5566" spans="1:45" x14ac:dyDescent="0.2">
      <c r="A5566" s="122">
        <f t="shared" si="604"/>
        <v>4643</v>
      </c>
      <c r="B5566" s="13">
        <v>3</v>
      </c>
      <c r="C5566" s="17" t="s">
        <v>52</v>
      </c>
      <c r="D5566" s="17">
        <v>23973</v>
      </c>
      <c r="E5566" s="17">
        <v>171</v>
      </c>
      <c r="F5566" s="17">
        <v>4922</v>
      </c>
      <c r="H5566" s="17">
        <v>0</v>
      </c>
      <c r="I5566" s="17">
        <v>0</v>
      </c>
      <c r="J5566" s="17">
        <v>30</v>
      </c>
      <c r="N5566" s="18">
        <v>30</v>
      </c>
      <c r="P5566" s="17">
        <v>4</v>
      </c>
      <c r="Q5566" s="19">
        <v>30</v>
      </c>
      <c r="R5566" s="14">
        <v>160</v>
      </c>
      <c r="S5566" s="19">
        <v>4800</v>
      </c>
      <c r="AJ5566" s="19">
        <v>0</v>
      </c>
      <c r="AK5566" s="23">
        <v>0</v>
      </c>
      <c r="AM5566" s="19">
        <v>0</v>
      </c>
      <c r="AN5566" s="19">
        <v>4800</v>
      </c>
      <c r="AP5566" s="14">
        <v>4800</v>
      </c>
      <c r="AQ5566" s="12">
        <v>3.0000000000000001E-3</v>
      </c>
    </row>
    <row r="5567" spans="1:45" x14ac:dyDescent="0.2">
      <c r="A5567" s="122">
        <f t="shared" si="604"/>
        <v>4644</v>
      </c>
      <c r="B5567" s="13">
        <v>4</v>
      </c>
      <c r="C5567" s="17" t="s">
        <v>52</v>
      </c>
      <c r="D5567" s="17">
        <v>27901</v>
      </c>
      <c r="E5567" s="17">
        <v>212</v>
      </c>
      <c r="F5567" s="17">
        <v>5082</v>
      </c>
      <c r="H5567" s="17">
        <v>3</v>
      </c>
      <c r="I5567" s="17">
        <v>0</v>
      </c>
      <c r="J5567" s="17">
        <v>4</v>
      </c>
      <c r="K5567" s="10">
        <v>1204</v>
      </c>
      <c r="P5567" s="17">
        <v>1</v>
      </c>
      <c r="Q5567" s="19">
        <v>1204</v>
      </c>
      <c r="R5567" s="14">
        <v>160</v>
      </c>
      <c r="S5567" s="19">
        <v>192640</v>
      </c>
      <c r="AJ5567" s="19">
        <v>0</v>
      </c>
      <c r="AK5567" s="23">
        <v>0</v>
      </c>
      <c r="AM5567" s="19">
        <v>0</v>
      </c>
      <c r="AN5567" s="19">
        <v>192640</v>
      </c>
      <c r="AP5567" s="14">
        <v>192640</v>
      </c>
    </row>
    <row r="5568" spans="1:45" x14ac:dyDescent="0.2">
      <c r="B5568" s="13">
        <v>5</v>
      </c>
      <c r="C5568" s="17" t="s">
        <v>65</v>
      </c>
      <c r="D5568" s="17">
        <v>153</v>
      </c>
      <c r="E5568" s="17">
        <v>55</v>
      </c>
      <c r="H5568" s="17">
        <v>3</v>
      </c>
      <c r="I5568" s="17">
        <v>0</v>
      </c>
      <c r="J5568" s="17">
        <v>56</v>
      </c>
      <c r="K5568" s="10">
        <v>1256</v>
      </c>
      <c r="Q5568" s="19">
        <v>1256</v>
      </c>
      <c r="R5568" s="14" t="e">
        <v>#N/A</v>
      </c>
      <c r="S5568" s="19" t="e">
        <v>#N/A</v>
      </c>
      <c r="AE5568" s="17" t="s">
        <v>160</v>
      </c>
      <c r="AJ5568" s="19">
        <v>0</v>
      </c>
      <c r="AK5568" s="23">
        <v>0</v>
      </c>
      <c r="AM5568" s="19">
        <v>0</v>
      </c>
      <c r="AN5568" s="19" t="e">
        <v>#N/A</v>
      </c>
      <c r="AP5568" s="14" t="e">
        <v>#N/A</v>
      </c>
      <c r="AQ5568" s="12">
        <v>1E-4</v>
      </c>
    </row>
    <row r="5569" spans="1:45" x14ac:dyDescent="0.2">
      <c r="A5569" s="2">
        <v>4645</v>
      </c>
      <c r="B5569" s="13">
        <v>1</v>
      </c>
      <c r="C5569" s="17" t="s">
        <v>52</v>
      </c>
      <c r="D5569" s="17">
        <v>2162</v>
      </c>
      <c r="E5569" s="17">
        <v>16</v>
      </c>
      <c r="F5569" s="17">
        <v>1633</v>
      </c>
      <c r="G5569" s="13">
        <v>3</v>
      </c>
      <c r="H5569" s="17">
        <v>4</v>
      </c>
      <c r="I5569" s="17">
        <v>2</v>
      </c>
      <c r="J5569" s="17">
        <v>24</v>
      </c>
      <c r="K5569" s="10">
        <v>1824</v>
      </c>
      <c r="P5569" s="17">
        <v>1</v>
      </c>
      <c r="Q5569" s="19">
        <v>1824</v>
      </c>
      <c r="R5569" s="14">
        <v>160</v>
      </c>
      <c r="S5569" s="19">
        <v>291840</v>
      </c>
      <c r="AJ5569" s="19">
        <v>0</v>
      </c>
      <c r="AK5569" s="23">
        <v>0</v>
      </c>
      <c r="AM5569" s="19">
        <v>0</v>
      </c>
      <c r="AN5569" s="19">
        <v>291840</v>
      </c>
      <c r="AP5569" s="14">
        <v>291840</v>
      </c>
    </row>
    <row r="5570" spans="1:45" x14ac:dyDescent="0.2">
      <c r="A5570" s="2">
        <f>+A5569+1</f>
        <v>4646</v>
      </c>
      <c r="B5570" s="13">
        <v>1</v>
      </c>
      <c r="C5570" s="17" t="s">
        <v>52</v>
      </c>
      <c r="D5570" s="17">
        <v>16064</v>
      </c>
      <c r="E5570" s="17">
        <v>7</v>
      </c>
      <c r="F5570" s="17">
        <v>3542</v>
      </c>
      <c r="G5570" s="13">
        <v>3</v>
      </c>
      <c r="H5570" s="17">
        <v>5</v>
      </c>
      <c r="I5570" s="17">
        <v>3</v>
      </c>
      <c r="J5570" s="17">
        <v>2</v>
      </c>
      <c r="K5570" s="10">
        <v>2302</v>
      </c>
      <c r="P5570" s="17">
        <v>1</v>
      </c>
      <c r="Q5570" s="19">
        <v>2302</v>
      </c>
      <c r="R5570" s="14">
        <v>200</v>
      </c>
      <c r="S5570" s="19">
        <v>460400</v>
      </c>
      <c r="AJ5570" s="19">
        <v>0</v>
      </c>
      <c r="AK5570" s="23">
        <v>0</v>
      </c>
      <c r="AM5570" s="19">
        <v>0</v>
      </c>
      <c r="AN5570" s="19">
        <v>460400</v>
      </c>
      <c r="AP5570" s="14">
        <v>460400</v>
      </c>
    </row>
    <row r="5571" spans="1:45" x14ac:dyDescent="0.2">
      <c r="A5571" s="122">
        <f t="shared" ref="A5571:A5574" si="605">+A5570+1</f>
        <v>4647</v>
      </c>
      <c r="B5571" s="13">
        <v>2</v>
      </c>
      <c r="C5571" s="17" t="s">
        <v>52</v>
      </c>
      <c r="D5571" s="17">
        <v>16072</v>
      </c>
      <c r="E5571" s="17">
        <v>5</v>
      </c>
      <c r="F5571" s="17">
        <v>3550</v>
      </c>
      <c r="G5571" s="13">
        <v>3</v>
      </c>
      <c r="H5571" s="17">
        <v>6</v>
      </c>
      <c r="I5571" s="17">
        <v>1</v>
      </c>
      <c r="J5571" s="17">
        <v>12</v>
      </c>
      <c r="K5571" s="10">
        <v>2512</v>
      </c>
      <c r="P5571" s="17">
        <v>1</v>
      </c>
      <c r="Q5571" s="19">
        <v>2512</v>
      </c>
      <c r="R5571" s="14">
        <v>200</v>
      </c>
      <c r="S5571" s="19">
        <v>502400</v>
      </c>
      <c r="AJ5571" s="19">
        <v>0</v>
      </c>
      <c r="AK5571" s="23">
        <v>0</v>
      </c>
      <c r="AM5571" s="19">
        <v>0</v>
      </c>
      <c r="AN5571" s="19">
        <v>502400</v>
      </c>
      <c r="AP5571" s="14">
        <v>502400</v>
      </c>
    </row>
    <row r="5572" spans="1:45" x14ac:dyDescent="0.2">
      <c r="A5572" s="122">
        <f t="shared" si="605"/>
        <v>4648</v>
      </c>
      <c r="B5572" s="13">
        <v>3</v>
      </c>
      <c r="C5572" s="17" t="s">
        <v>52</v>
      </c>
      <c r="D5572" s="17">
        <v>23517</v>
      </c>
      <c r="E5572" s="17">
        <v>164</v>
      </c>
      <c r="F5572" s="17">
        <v>4859</v>
      </c>
      <c r="G5572" s="13">
        <v>3</v>
      </c>
      <c r="H5572" s="17">
        <v>5</v>
      </c>
      <c r="I5572" s="17">
        <v>2</v>
      </c>
      <c r="J5572" s="17">
        <v>16</v>
      </c>
      <c r="K5572" s="10">
        <v>2216</v>
      </c>
      <c r="P5572" s="17">
        <v>1</v>
      </c>
      <c r="Q5572" s="19">
        <v>2216</v>
      </c>
      <c r="R5572" s="14">
        <v>200</v>
      </c>
      <c r="S5572" s="19">
        <v>443200</v>
      </c>
      <c r="AE5572" s="17" t="s">
        <v>541</v>
      </c>
      <c r="AJ5572" s="19">
        <v>0</v>
      </c>
      <c r="AK5572" s="23">
        <v>0</v>
      </c>
      <c r="AM5572" s="19">
        <v>0</v>
      </c>
      <c r="AN5572" s="19">
        <v>443200</v>
      </c>
      <c r="AP5572" s="14">
        <v>443200</v>
      </c>
    </row>
    <row r="5573" spans="1:45" x14ac:dyDescent="0.2">
      <c r="A5573" s="122">
        <f t="shared" si="605"/>
        <v>4649</v>
      </c>
      <c r="B5573" s="13">
        <v>4</v>
      </c>
      <c r="C5573" s="17" t="s">
        <v>52</v>
      </c>
      <c r="D5573" s="17">
        <v>1831</v>
      </c>
      <c r="E5573" s="17">
        <v>81</v>
      </c>
      <c r="F5573" s="17">
        <v>1221</v>
      </c>
      <c r="H5573" s="17">
        <v>3</v>
      </c>
      <c r="I5573" s="17">
        <v>0</v>
      </c>
      <c r="J5573" s="17">
        <v>0</v>
      </c>
      <c r="K5573" s="10">
        <v>1200</v>
      </c>
      <c r="P5573" s="17">
        <v>1</v>
      </c>
      <c r="Q5573" s="19">
        <v>1200</v>
      </c>
      <c r="R5573" s="14">
        <v>160</v>
      </c>
      <c r="S5573" s="19">
        <v>192000</v>
      </c>
      <c r="AJ5573" s="19">
        <v>0</v>
      </c>
      <c r="AK5573" s="23">
        <v>0</v>
      </c>
      <c r="AM5573" s="19">
        <v>0</v>
      </c>
      <c r="AN5573" s="19">
        <v>192000</v>
      </c>
      <c r="AP5573" s="14">
        <v>192000</v>
      </c>
    </row>
    <row r="5574" spans="1:45" x14ac:dyDescent="0.2">
      <c r="A5574" s="122">
        <f t="shared" si="605"/>
        <v>4650</v>
      </c>
      <c r="B5574" s="13">
        <v>5</v>
      </c>
      <c r="C5574" s="17" t="s">
        <v>52</v>
      </c>
      <c r="D5574" s="17">
        <v>36810</v>
      </c>
      <c r="E5574" s="17">
        <v>321</v>
      </c>
      <c r="F5574" s="17">
        <v>7269</v>
      </c>
      <c r="H5574" s="17">
        <v>1</v>
      </c>
      <c r="I5574" s="17">
        <v>0</v>
      </c>
      <c r="J5574" s="17">
        <v>86.03</v>
      </c>
      <c r="P5574" s="17">
        <v>1</v>
      </c>
      <c r="Q5574" s="19">
        <v>486.03</v>
      </c>
      <c r="R5574" s="14">
        <v>160</v>
      </c>
      <c r="S5574" s="19">
        <v>77764.799999999988</v>
      </c>
      <c r="AJ5574" s="19">
        <v>0</v>
      </c>
      <c r="AK5574" s="23">
        <v>0</v>
      </c>
      <c r="AM5574" s="19">
        <v>0</v>
      </c>
      <c r="AN5574" s="19">
        <v>77764.799999999988</v>
      </c>
      <c r="AP5574" s="14">
        <v>77764.799999999988</v>
      </c>
    </row>
    <row r="5575" spans="1:45" x14ac:dyDescent="0.2">
      <c r="B5575" s="13">
        <v>5</v>
      </c>
      <c r="C5575" s="17" t="s">
        <v>65</v>
      </c>
      <c r="D5575" s="17">
        <v>2626</v>
      </c>
      <c r="E5575" s="17">
        <v>165</v>
      </c>
      <c r="H5575" s="17">
        <v>4</v>
      </c>
      <c r="I5575" s="17">
        <v>2</v>
      </c>
      <c r="J5575" s="17">
        <v>52</v>
      </c>
      <c r="K5575" s="10">
        <v>1852</v>
      </c>
      <c r="Q5575" s="19">
        <v>1852</v>
      </c>
      <c r="R5575" s="14" t="e">
        <v>#N/A</v>
      </c>
      <c r="S5575" s="19" t="e">
        <v>#N/A</v>
      </c>
      <c r="AE5575" s="17" t="s">
        <v>542</v>
      </c>
      <c r="AJ5575" s="19">
        <v>0</v>
      </c>
      <c r="AK5575" s="23">
        <v>0</v>
      </c>
      <c r="AM5575" s="19">
        <v>0</v>
      </c>
      <c r="AN5575" s="19" t="e">
        <v>#N/A</v>
      </c>
      <c r="AP5575" s="14" t="e">
        <v>#N/A</v>
      </c>
      <c r="AQ5575" s="12">
        <v>1E-4</v>
      </c>
    </row>
    <row r="5576" spans="1:45" x14ac:dyDescent="0.2">
      <c r="A5576" s="2">
        <v>4651</v>
      </c>
      <c r="B5576" s="13">
        <v>1</v>
      </c>
      <c r="C5576" s="17" t="s">
        <v>69</v>
      </c>
      <c r="E5576" s="17">
        <v>152</v>
      </c>
      <c r="F5576" s="17">
        <v>7</v>
      </c>
      <c r="G5576" s="13">
        <v>2</v>
      </c>
      <c r="H5576" s="17">
        <v>11</v>
      </c>
      <c r="I5576" s="17">
        <v>0</v>
      </c>
      <c r="J5576" s="17">
        <v>91</v>
      </c>
      <c r="K5576" s="10">
        <v>4491</v>
      </c>
      <c r="Q5576" s="19">
        <v>4491</v>
      </c>
      <c r="R5576" s="14">
        <v>250</v>
      </c>
      <c r="S5576" s="19">
        <v>1122750</v>
      </c>
      <c r="AJ5576" s="19">
        <v>0</v>
      </c>
      <c r="AK5576" s="23">
        <v>0</v>
      </c>
      <c r="AM5576" s="19">
        <v>0</v>
      </c>
      <c r="AN5576" s="19">
        <v>1122750</v>
      </c>
      <c r="AP5576" s="14">
        <v>1122750</v>
      </c>
      <c r="AQ5576" s="12">
        <v>1E-4</v>
      </c>
    </row>
    <row r="5577" spans="1:45" x14ac:dyDescent="0.2">
      <c r="A5577" s="2">
        <f>+A5576+1</f>
        <v>4652</v>
      </c>
      <c r="B5577" s="13">
        <v>2</v>
      </c>
      <c r="C5577" s="17" t="s">
        <v>69</v>
      </c>
      <c r="E5577" s="17">
        <v>152</v>
      </c>
      <c r="F5577" s="17">
        <v>17</v>
      </c>
      <c r="G5577" s="13">
        <v>2</v>
      </c>
      <c r="H5577" s="17">
        <v>10</v>
      </c>
      <c r="I5577" s="17">
        <v>1</v>
      </c>
      <c r="J5577" s="17">
        <v>81</v>
      </c>
      <c r="K5577" s="10">
        <v>4181</v>
      </c>
      <c r="Q5577" s="19">
        <v>4181</v>
      </c>
      <c r="R5577" s="14">
        <v>250</v>
      </c>
      <c r="S5577" s="19">
        <v>1045250</v>
      </c>
      <c r="AJ5577" s="19">
        <v>0</v>
      </c>
      <c r="AK5577" s="23">
        <v>0</v>
      </c>
      <c r="AM5577" s="19">
        <v>0</v>
      </c>
      <c r="AN5577" s="19">
        <v>1045250</v>
      </c>
      <c r="AP5577" s="14">
        <v>1045250</v>
      </c>
      <c r="AQ5577" s="12">
        <v>1E-4</v>
      </c>
    </row>
    <row r="5578" spans="1:45" x14ac:dyDescent="0.2">
      <c r="A5578" s="122">
        <f t="shared" ref="A5578:A5589" si="606">+A5577+1</f>
        <v>4653</v>
      </c>
      <c r="B5578" s="13">
        <v>1</v>
      </c>
      <c r="C5578" s="17" t="s">
        <v>52</v>
      </c>
      <c r="D5578" s="17">
        <v>1647</v>
      </c>
      <c r="E5578" s="17">
        <v>26</v>
      </c>
      <c r="F5578" s="17">
        <v>1449</v>
      </c>
      <c r="G5578" s="13">
        <v>3</v>
      </c>
      <c r="H5578" s="17">
        <v>7</v>
      </c>
      <c r="I5578" s="17">
        <v>0</v>
      </c>
      <c r="J5578" s="17">
        <v>20</v>
      </c>
      <c r="K5578" s="10">
        <v>2820</v>
      </c>
      <c r="P5578" s="17">
        <v>1</v>
      </c>
      <c r="Q5578" s="19">
        <v>2820</v>
      </c>
      <c r="R5578" s="14">
        <v>160</v>
      </c>
      <c r="S5578" s="19">
        <v>451200</v>
      </c>
      <c r="AJ5578" s="19">
        <v>0</v>
      </c>
      <c r="AK5578" s="23">
        <v>0</v>
      </c>
      <c r="AM5578" s="19">
        <v>0</v>
      </c>
      <c r="AN5578" s="19">
        <v>451200</v>
      </c>
      <c r="AP5578" s="14">
        <v>451200</v>
      </c>
      <c r="AS5578" s="26">
        <v>30</v>
      </c>
    </row>
    <row r="5579" spans="1:45" x14ac:dyDescent="0.2">
      <c r="A5579" s="122">
        <f t="shared" si="606"/>
        <v>4654</v>
      </c>
      <c r="B5579" s="13">
        <v>2</v>
      </c>
      <c r="C5579" s="17" t="s">
        <v>52</v>
      </c>
      <c r="D5579" s="17">
        <v>2267</v>
      </c>
      <c r="E5579" s="17">
        <v>78</v>
      </c>
      <c r="F5579" s="17">
        <v>1805</v>
      </c>
      <c r="G5579" s="13">
        <v>3</v>
      </c>
      <c r="H5579" s="17">
        <v>2</v>
      </c>
      <c r="I5579" s="17">
        <v>3</v>
      </c>
      <c r="J5579" s="17">
        <v>53</v>
      </c>
      <c r="K5579" s="10">
        <v>1153</v>
      </c>
      <c r="P5579" s="17">
        <v>1</v>
      </c>
      <c r="Q5579" s="19">
        <v>1153</v>
      </c>
      <c r="R5579" s="14">
        <v>160</v>
      </c>
      <c r="S5579" s="19">
        <v>184480</v>
      </c>
      <c r="AJ5579" s="19">
        <v>0</v>
      </c>
      <c r="AK5579" s="23">
        <v>0</v>
      </c>
      <c r="AM5579" s="19">
        <v>0</v>
      </c>
      <c r="AN5579" s="19">
        <v>184480</v>
      </c>
      <c r="AP5579" s="14">
        <v>184480</v>
      </c>
    </row>
    <row r="5580" spans="1:45" x14ac:dyDescent="0.2">
      <c r="A5580" s="122">
        <f t="shared" si="606"/>
        <v>4655</v>
      </c>
      <c r="B5580" s="13">
        <v>3</v>
      </c>
      <c r="C5580" s="17" t="s">
        <v>52</v>
      </c>
      <c r="D5580" s="17">
        <v>18666</v>
      </c>
      <c r="E5580" s="17">
        <v>109</v>
      </c>
      <c r="F5580" s="17">
        <v>4211</v>
      </c>
      <c r="G5580" s="13">
        <v>3</v>
      </c>
      <c r="H5580" s="17">
        <v>1</v>
      </c>
      <c r="I5580" s="17">
        <v>0</v>
      </c>
      <c r="J5580" s="17">
        <v>45</v>
      </c>
      <c r="K5580" s="10">
        <v>445</v>
      </c>
      <c r="P5580" s="17">
        <v>1</v>
      </c>
      <c r="Q5580" s="19">
        <v>445</v>
      </c>
      <c r="R5580" s="14">
        <v>160</v>
      </c>
      <c r="S5580" s="19">
        <v>71200</v>
      </c>
      <c r="AJ5580" s="19">
        <v>0</v>
      </c>
      <c r="AK5580" s="23">
        <v>0</v>
      </c>
      <c r="AM5580" s="19">
        <v>0</v>
      </c>
      <c r="AN5580" s="19">
        <v>71200</v>
      </c>
      <c r="AP5580" s="14">
        <v>71200</v>
      </c>
    </row>
    <row r="5581" spans="1:45" x14ac:dyDescent="0.2">
      <c r="A5581" s="122">
        <f t="shared" si="606"/>
        <v>4656</v>
      </c>
      <c r="B5581" s="13">
        <v>1</v>
      </c>
      <c r="C5581" s="17" t="s">
        <v>52</v>
      </c>
      <c r="D5581" s="17">
        <v>2357</v>
      </c>
      <c r="E5581" s="17">
        <v>11</v>
      </c>
      <c r="F5581" s="17">
        <v>1551</v>
      </c>
      <c r="G5581" s="13">
        <v>3</v>
      </c>
      <c r="H5581" s="17">
        <v>0</v>
      </c>
      <c r="I5581" s="17">
        <v>0</v>
      </c>
      <c r="J5581" s="17">
        <v>77</v>
      </c>
      <c r="N5581" s="18">
        <v>77</v>
      </c>
      <c r="P5581" s="17">
        <v>4</v>
      </c>
      <c r="Q5581" s="19">
        <v>77</v>
      </c>
      <c r="R5581" s="14">
        <v>250</v>
      </c>
      <c r="S5581" s="19">
        <v>19250</v>
      </c>
      <c r="AJ5581" s="19">
        <v>0</v>
      </c>
      <c r="AK5581" s="23">
        <v>0</v>
      </c>
      <c r="AM5581" s="19">
        <v>0</v>
      </c>
      <c r="AN5581" s="19">
        <v>19250</v>
      </c>
      <c r="AP5581" s="14">
        <v>19250</v>
      </c>
      <c r="AQ5581" s="12">
        <v>3.0000000000000001E-3</v>
      </c>
    </row>
    <row r="5582" spans="1:45" x14ac:dyDescent="0.2">
      <c r="A5582" s="122">
        <f t="shared" si="606"/>
        <v>4657</v>
      </c>
      <c r="B5582" s="13">
        <v>2</v>
      </c>
      <c r="C5582" s="17" t="s">
        <v>52</v>
      </c>
      <c r="D5582" s="17">
        <v>18669</v>
      </c>
      <c r="E5582" s="17">
        <v>26</v>
      </c>
      <c r="F5582" s="17">
        <v>4214</v>
      </c>
      <c r="G5582" s="13">
        <v>3</v>
      </c>
      <c r="H5582" s="17">
        <v>0</v>
      </c>
      <c r="I5582" s="17">
        <v>2</v>
      </c>
      <c r="J5582" s="17">
        <v>9</v>
      </c>
      <c r="K5582" s="10">
        <v>209</v>
      </c>
      <c r="P5582" s="17">
        <v>1</v>
      </c>
      <c r="Q5582" s="19">
        <v>209</v>
      </c>
      <c r="R5582" s="14">
        <v>160</v>
      </c>
      <c r="S5582" s="19">
        <v>33440</v>
      </c>
      <c r="AJ5582" s="19">
        <v>0</v>
      </c>
      <c r="AK5582" s="23">
        <v>0</v>
      </c>
      <c r="AM5582" s="19">
        <v>0</v>
      </c>
      <c r="AN5582" s="19">
        <v>33440</v>
      </c>
      <c r="AP5582" s="14">
        <v>33440</v>
      </c>
    </row>
    <row r="5583" spans="1:45" x14ac:dyDescent="0.2">
      <c r="A5583" s="122">
        <f t="shared" si="606"/>
        <v>4658</v>
      </c>
      <c r="B5583" s="13">
        <v>1</v>
      </c>
      <c r="C5583" s="17" t="s">
        <v>52</v>
      </c>
      <c r="D5583" s="17">
        <v>18664</v>
      </c>
      <c r="E5583" s="17">
        <v>44</v>
      </c>
      <c r="F5583" s="17">
        <v>4209</v>
      </c>
      <c r="G5583" s="13">
        <v>3</v>
      </c>
      <c r="H5583" s="17">
        <v>5</v>
      </c>
      <c r="I5583" s="17">
        <v>3</v>
      </c>
      <c r="J5583" s="17">
        <v>4</v>
      </c>
      <c r="K5583" s="10">
        <v>2304</v>
      </c>
      <c r="P5583" s="17">
        <v>1</v>
      </c>
      <c r="Q5583" s="19">
        <v>2304</v>
      </c>
      <c r="R5583" s="14">
        <v>160</v>
      </c>
      <c r="S5583" s="19">
        <v>368640</v>
      </c>
      <c r="AJ5583" s="19">
        <v>0</v>
      </c>
      <c r="AK5583" s="23">
        <v>0</v>
      </c>
      <c r="AM5583" s="19">
        <v>0</v>
      </c>
      <c r="AN5583" s="19">
        <v>368640</v>
      </c>
      <c r="AP5583" s="14">
        <v>368640</v>
      </c>
    </row>
    <row r="5584" spans="1:45" x14ac:dyDescent="0.2">
      <c r="A5584" s="122">
        <f t="shared" si="606"/>
        <v>4659</v>
      </c>
      <c r="B5584" s="13">
        <v>2</v>
      </c>
      <c r="C5584" s="17" t="s">
        <v>52</v>
      </c>
      <c r="D5584" s="17">
        <v>18667</v>
      </c>
      <c r="E5584" s="17">
        <v>142</v>
      </c>
      <c r="F5584" s="17">
        <v>4212</v>
      </c>
      <c r="G5584" s="13">
        <v>3</v>
      </c>
      <c r="H5584" s="17">
        <v>0</v>
      </c>
      <c r="I5584" s="17">
        <v>1</v>
      </c>
      <c r="J5584" s="17">
        <v>78</v>
      </c>
      <c r="K5584" s="10">
        <v>178</v>
      </c>
      <c r="P5584" s="17">
        <v>1</v>
      </c>
      <c r="Q5584" s="19">
        <v>178</v>
      </c>
      <c r="R5584" s="14">
        <v>160</v>
      </c>
      <c r="S5584" s="19">
        <v>28480</v>
      </c>
      <c r="AJ5584" s="19">
        <v>0</v>
      </c>
      <c r="AK5584" s="23">
        <v>0</v>
      </c>
      <c r="AM5584" s="19">
        <v>0</v>
      </c>
      <c r="AN5584" s="19">
        <v>28480</v>
      </c>
      <c r="AP5584" s="14">
        <v>28480</v>
      </c>
    </row>
    <row r="5585" spans="1:45" x14ac:dyDescent="0.2">
      <c r="A5585" s="122">
        <f t="shared" si="606"/>
        <v>4660</v>
      </c>
      <c r="B5585" s="13">
        <v>3</v>
      </c>
      <c r="C5585" s="17" t="s">
        <v>52</v>
      </c>
      <c r="D5585" s="17">
        <v>2230</v>
      </c>
      <c r="E5585" s="17">
        <v>10</v>
      </c>
      <c r="F5585" s="17">
        <v>1558</v>
      </c>
      <c r="H5585" s="17">
        <v>2</v>
      </c>
      <c r="I5585" s="17">
        <v>3</v>
      </c>
      <c r="J5585" s="17">
        <v>7</v>
      </c>
      <c r="K5585" s="10">
        <v>1107</v>
      </c>
      <c r="P5585" s="17">
        <v>1</v>
      </c>
      <c r="Q5585" s="19">
        <v>1107</v>
      </c>
      <c r="R5585" s="14">
        <v>160</v>
      </c>
      <c r="S5585" s="19">
        <v>177120</v>
      </c>
      <c r="AJ5585" s="19">
        <v>0</v>
      </c>
      <c r="AK5585" s="23">
        <v>0</v>
      </c>
      <c r="AM5585" s="19">
        <v>0</v>
      </c>
      <c r="AN5585" s="19">
        <v>177120</v>
      </c>
      <c r="AP5585" s="14">
        <v>177120</v>
      </c>
    </row>
    <row r="5586" spans="1:45" ht="63" x14ac:dyDescent="0.2">
      <c r="A5586" s="122">
        <f t="shared" si="606"/>
        <v>4661</v>
      </c>
      <c r="B5586" s="13">
        <v>1</v>
      </c>
      <c r="C5586" s="17" t="s">
        <v>52</v>
      </c>
      <c r="D5586" s="17">
        <v>1649</v>
      </c>
      <c r="E5586" s="17">
        <v>28</v>
      </c>
      <c r="F5586" s="17">
        <v>1452</v>
      </c>
      <c r="G5586" s="13">
        <v>3</v>
      </c>
      <c r="H5586" s="17">
        <v>7</v>
      </c>
      <c r="I5586" s="17">
        <v>3</v>
      </c>
      <c r="J5586" s="17">
        <v>87</v>
      </c>
      <c r="K5586" s="10">
        <v>3187</v>
      </c>
      <c r="P5586" s="17">
        <v>1</v>
      </c>
      <c r="Q5586" s="19">
        <v>3187</v>
      </c>
      <c r="R5586" s="14">
        <v>200</v>
      </c>
      <c r="S5586" s="19">
        <v>637400</v>
      </c>
      <c r="AJ5586" s="19">
        <v>0</v>
      </c>
      <c r="AK5586" s="23">
        <v>0</v>
      </c>
      <c r="AM5586" s="19">
        <v>0</v>
      </c>
      <c r="AN5586" s="19">
        <v>637400</v>
      </c>
      <c r="AP5586" s="14">
        <v>637400</v>
      </c>
      <c r="AR5586" s="19">
        <v>68</v>
      </c>
      <c r="AS5586" s="26">
        <v>428</v>
      </c>
    </row>
    <row r="5587" spans="1:45" ht="63" x14ac:dyDescent="0.2">
      <c r="A5587" s="122">
        <f t="shared" si="606"/>
        <v>4662</v>
      </c>
      <c r="B5587" s="13">
        <v>2</v>
      </c>
      <c r="C5587" s="17" t="s">
        <v>52</v>
      </c>
      <c r="D5587" s="17">
        <v>1695</v>
      </c>
      <c r="E5587" s="17">
        <v>24</v>
      </c>
      <c r="F5587" s="17">
        <v>1448</v>
      </c>
      <c r="G5587" s="13">
        <v>3</v>
      </c>
      <c r="H5587" s="17">
        <v>7</v>
      </c>
      <c r="I5587" s="17">
        <v>1</v>
      </c>
      <c r="J5587" s="17">
        <v>78</v>
      </c>
      <c r="K5587" s="10">
        <v>2978</v>
      </c>
      <c r="P5587" s="17">
        <v>1</v>
      </c>
      <c r="Q5587" s="19">
        <v>2978</v>
      </c>
      <c r="R5587" s="14">
        <v>160</v>
      </c>
      <c r="S5587" s="19">
        <v>476480</v>
      </c>
      <c r="AJ5587" s="19">
        <v>0</v>
      </c>
      <c r="AK5587" s="23">
        <v>0</v>
      </c>
      <c r="AM5587" s="19">
        <v>0</v>
      </c>
      <c r="AN5587" s="19">
        <v>476480</v>
      </c>
      <c r="AP5587" s="14">
        <v>476480</v>
      </c>
      <c r="AR5587" s="19">
        <v>360</v>
      </c>
    </row>
    <row r="5588" spans="1:45" x14ac:dyDescent="0.2">
      <c r="A5588" s="122">
        <f t="shared" si="606"/>
        <v>4663</v>
      </c>
      <c r="B5588" s="13">
        <v>3</v>
      </c>
      <c r="C5588" s="17" t="s">
        <v>52</v>
      </c>
      <c r="D5588" s="17">
        <v>1744</v>
      </c>
      <c r="E5588" s="17">
        <v>27</v>
      </c>
      <c r="F5588" s="17">
        <v>1451</v>
      </c>
      <c r="G5588" s="13">
        <v>3</v>
      </c>
      <c r="H5588" s="17">
        <v>3</v>
      </c>
      <c r="I5588" s="17">
        <v>2</v>
      </c>
      <c r="J5588" s="17">
        <v>72</v>
      </c>
      <c r="K5588" s="10">
        <v>1472</v>
      </c>
      <c r="P5588" s="17">
        <v>1</v>
      </c>
      <c r="Q5588" s="19">
        <v>1472</v>
      </c>
      <c r="R5588" s="14">
        <v>160</v>
      </c>
      <c r="S5588" s="19">
        <v>235520</v>
      </c>
      <c r="AJ5588" s="19">
        <v>0</v>
      </c>
      <c r="AK5588" s="23">
        <v>0</v>
      </c>
      <c r="AM5588" s="19">
        <v>0</v>
      </c>
      <c r="AN5588" s="19">
        <v>235520</v>
      </c>
      <c r="AP5588" s="14">
        <v>235520</v>
      </c>
    </row>
    <row r="5589" spans="1:45" ht="63" x14ac:dyDescent="0.2">
      <c r="A5589" s="122">
        <f t="shared" si="606"/>
        <v>4664</v>
      </c>
      <c r="B5589" s="13">
        <v>4</v>
      </c>
      <c r="C5589" s="17" t="s">
        <v>52</v>
      </c>
      <c r="D5589" s="17">
        <v>2098</v>
      </c>
      <c r="E5589" s="17">
        <v>44</v>
      </c>
      <c r="F5589" s="17">
        <v>1606</v>
      </c>
      <c r="G5589" s="13">
        <v>3</v>
      </c>
      <c r="H5589" s="17">
        <v>0</v>
      </c>
      <c r="I5589" s="17">
        <v>0</v>
      </c>
      <c r="J5589" s="17">
        <v>96</v>
      </c>
      <c r="L5589" s="17">
        <v>96</v>
      </c>
      <c r="P5589" s="17">
        <v>2</v>
      </c>
      <c r="Q5589" s="19">
        <v>96</v>
      </c>
      <c r="R5589" s="14">
        <v>1500</v>
      </c>
      <c r="S5589" s="19">
        <v>144000</v>
      </c>
      <c r="T5589" s="17">
        <v>1</v>
      </c>
      <c r="U5589" s="17" t="s">
        <v>63</v>
      </c>
      <c r="V5589" s="17" t="s">
        <v>56</v>
      </c>
      <c r="W5589" s="4">
        <v>110</v>
      </c>
      <c r="Y5589" s="4" t="s">
        <v>333</v>
      </c>
      <c r="Z5589" s="17" t="s">
        <v>437</v>
      </c>
      <c r="AB5589" s="17" t="s">
        <v>485</v>
      </c>
      <c r="AF5589" s="14">
        <v>2</v>
      </c>
      <c r="AG5589" s="54">
        <v>110</v>
      </c>
      <c r="AH5589" s="11">
        <v>0.89</v>
      </c>
      <c r="AI5589" s="14">
        <v>8100</v>
      </c>
      <c r="AJ5589" s="19">
        <v>792990</v>
      </c>
      <c r="AK5589" s="23">
        <v>21</v>
      </c>
      <c r="AL5589" s="11">
        <v>0.32</v>
      </c>
      <c r="AM5589" s="19">
        <v>539233.19999999995</v>
      </c>
      <c r="AN5589" s="19">
        <v>683233.2</v>
      </c>
      <c r="AP5589" s="14">
        <v>683233.2</v>
      </c>
    </row>
    <row r="5590" spans="1:45" ht="63" x14ac:dyDescent="0.2">
      <c r="R5590" s="14" t="e">
        <v>#N/A</v>
      </c>
      <c r="U5590" s="17" t="s">
        <v>63</v>
      </c>
      <c r="V5590" s="17" t="s">
        <v>56</v>
      </c>
      <c r="AB5590" s="17" t="s">
        <v>485</v>
      </c>
      <c r="AE5590" s="17" t="s">
        <v>543</v>
      </c>
      <c r="AF5590" s="14">
        <v>3</v>
      </c>
      <c r="AG5590" s="54">
        <v>110</v>
      </c>
      <c r="AH5590" s="11">
        <v>0.11</v>
      </c>
      <c r="AI5590" s="14">
        <v>8100</v>
      </c>
      <c r="AJ5590" s="19">
        <v>98010</v>
      </c>
      <c r="AK5590" s="23">
        <v>21</v>
      </c>
      <c r="AL5590" s="11">
        <v>0.32</v>
      </c>
      <c r="AM5590" s="19">
        <v>66646.8</v>
      </c>
      <c r="AN5590" s="19">
        <v>92716.800000000003</v>
      </c>
      <c r="AP5590" s="14">
        <v>92716.800000000003</v>
      </c>
      <c r="AQ5590" s="12">
        <v>3.0000000000000001E-3</v>
      </c>
    </row>
    <row r="5591" spans="1:45" ht="189" x14ac:dyDescent="0.2">
      <c r="A5591" s="2">
        <v>4665</v>
      </c>
      <c r="B5591" s="13">
        <v>5</v>
      </c>
      <c r="C5591" s="17" t="s">
        <v>52</v>
      </c>
      <c r="D5591" s="17">
        <v>32361</v>
      </c>
      <c r="E5591" s="17">
        <v>138</v>
      </c>
      <c r="F5591" s="17">
        <v>6398</v>
      </c>
      <c r="G5591" s="13">
        <v>3</v>
      </c>
      <c r="H5591" s="17">
        <v>0</v>
      </c>
      <c r="I5591" s="17">
        <v>0</v>
      </c>
      <c r="J5591" s="17">
        <v>62</v>
      </c>
      <c r="L5591" s="17">
        <v>62</v>
      </c>
      <c r="P5591" s="17">
        <v>2</v>
      </c>
      <c r="Q5591" s="19">
        <v>62</v>
      </c>
      <c r="R5591" s="14">
        <v>1500</v>
      </c>
      <c r="S5591" s="19">
        <v>93000</v>
      </c>
      <c r="U5591" s="17" t="s">
        <v>63</v>
      </c>
      <c r="V5591" s="17" t="s">
        <v>56</v>
      </c>
      <c r="W5591" s="4">
        <v>48</v>
      </c>
      <c r="AB5591" s="17" t="s">
        <v>544</v>
      </c>
      <c r="AC5591" s="14" t="s">
        <v>545</v>
      </c>
      <c r="AD5591" s="14" t="s">
        <v>546</v>
      </c>
      <c r="AE5591" s="17" t="s">
        <v>547</v>
      </c>
      <c r="AJ5591" s="19">
        <v>0</v>
      </c>
      <c r="AK5591" s="23" t="s">
        <v>544</v>
      </c>
      <c r="AM5591" s="19">
        <v>0</v>
      </c>
      <c r="AN5591" s="19">
        <v>93000</v>
      </c>
      <c r="AP5591" s="14">
        <v>93000</v>
      </c>
    </row>
    <row r="5592" spans="1:45" x14ac:dyDescent="0.2">
      <c r="A5592" s="2">
        <v>4667</v>
      </c>
      <c r="B5592" s="13">
        <v>1</v>
      </c>
      <c r="C5592" s="17" t="s">
        <v>52</v>
      </c>
      <c r="D5592" s="17">
        <v>2231</v>
      </c>
      <c r="E5592" s="17">
        <v>9</v>
      </c>
      <c r="F5592" s="17">
        <v>1564</v>
      </c>
      <c r="G5592" s="13">
        <v>3</v>
      </c>
      <c r="H5592" s="17">
        <v>1</v>
      </c>
      <c r="I5592" s="17">
        <v>0</v>
      </c>
      <c r="J5592" s="17">
        <v>76</v>
      </c>
      <c r="K5592" s="10">
        <v>476</v>
      </c>
      <c r="P5592" s="17">
        <v>1</v>
      </c>
      <c r="Q5592" s="19">
        <v>476</v>
      </c>
      <c r="R5592" s="14">
        <v>160</v>
      </c>
      <c r="S5592" s="19">
        <v>76160</v>
      </c>
      <c r="AJ5592" s="19">
        <v>0</v>
      </c>
      <c r="AK5592" s="23">
        <v>0</v>
      </c>
      <c r="AM5592" s="19">
        <v>0</v>
      </c>
      <c r="AN5592" s="19">
        <v>76160</v>
      </c>
      <c r="AP5592" s="14">
        <v>76160</v>
      </c>
      <c r="AS5592" s="26">
        <v>25</v>
      </c>
    </row>
    <row r="5593" spans="1:45" x14ac:dyDescent="0.2">
      <c r="A5593" s="2">
        <f>+A5592+1</f>
        <v>4668</v>
      </c>
      <c r="B5593" s="13">
        <v>2</v>
      </c>
      <c r="C5593" s="17" t="s">
        <v>52</v>
      </c>
      <c r="D5593" s="17">
        <v>18668</v>
      </c>
      <c r="E5593" s="17">
        <v>25</v>
      </c>
      <c r="F5593" s="17">
        <v>4213</v>
      </c>
      <c r="G5593" s="13">
        <v>3</v>
      </c>
      <c r="H5593" s="17">
        <v>1</v>
      </c>
      <c r="I5593" s="17">
        <v>1</v>
      </c>
      <c r="J5593" s="17">
        <v>1</v>
      </c>
      <c r="K5593" s="10">
        <v>501</v>
      </c>
      <c r="P5593" s="17">
        <v>1</v>
      </c>
      <c r="Q5593" s="19">
        <v>501</v>
      </c>
      <c r="R5593" s="14">
        <v>160</v>
      </c>
      <c r="S5593" s="19">
        <v>80160</v>
      </c>
      <c r="AJ5593" s="19">
        <v>0</v>
      </c>
      <c r="AK5593" s="23">
        <v>0</v>
      </c>
      <c r="AM5593" s="19">
        <v>0</v>
      </c>
      <c r="AN5593" s="19">
        <v>80160</v>
      </c>
      <c r="AP5593" s="14">
        <v>80160</v>
      </c>
    </row>
    <row r="5594" spans="1:45" x14ac:dyDescent="0.2">
      <c r="A5594" s="122">
        <f t="shared" ref="A5594:A5598" si="607">+A5593+1</f>
        <v>4669</v>
      </c>
      <c r="B5594" s="13">
        <v>3</v>
      </c>
      <c r="C5594" s="17" t="s">
        <v>52</v>
      </c>
      <c r="D5594" s="17">
        <v>24445</v>
      </c>
      <c r="E5594" s="17">
        <v>32</v>
      </c>
      <c r="F5594" s="17">
        <v>4883</v>
      </c>
      <c r="G5594" s="13">
        <v>3</v>
      </c>
      <c r="H5594" s="17">
        <v>7</v>
      </c>
      <c r="I5594" s="17">
        <v>1</v>
      </c>
      <c r="J5594" s="17">
        <v>6</v>
      </c>
      <c r="K5594" s="10">
        <v>2906</v>
      </c>
      <c r="P5594" s="17">
        <v>1</v>
      </c>
      <c r="Q5594" s="19">
        <v>2906</v>
      </c>
      <c r="R5594" s="14">
        <v>160</v>
      </c>
      <c r="S5594" s="19">
        <v>464960</v>
      </c>
      <c r="AJ5594" s="19">
        <v>0</v>
      </c>
      <c r="AK5594" s="23">
        <v>0</v>
      </c>
      <c r="AM5594" s="19">
        <v>0</v>
      </c>
      <c r="AN5594" s="19">
        <v>464960</v>
      </c>
      <c r="AP5594" s="14">
        <v>464960</v>
      </c>
    </row>
    <row r="5595" spans="1:45" x14ac:dyDescent="0.2">
      <c r="A5595" s="122">
        <f t="shared" si="607"/>
        <v>4670</v>
      </c>
      <c r="B5595" s="13">
        <v>1</v>
      </c>
      <c r="C5595" s="17" t="s">
        <v>52</v>
      </c>
      <c r="D5595" s="17">
        <v>1694</v>
      </c>
      <c r="E5595" s="17">
        <v>1</v>
      </c>
      <c r="F5595" s="17">
        <v>1447</v>
      </c>
      <c r="G5595" s="13">
        <v>3</v>
      </c>
      <c r="H5595" s="17">
        <v>9</v>
      </c>
      <c r="I5595" s="17">
        <v>0</v>
      </c>
      <c r="J5595" s="17">
        <v>11</v>
      </c>
      <c r="K5595" s="10">
        <v>3611</v>
      </c>
      <c r="P5595" s="17">
        <v>1</v>
      </c>
      <c r="Q5595" s="19">
        <v>3611</v>
      </c>
      <c r="R5595" s="14">
        <v>160</v>
      </c>
      <c r="S5595" s="19">
        <v>577760</v>
      </c>
      <c r="AJ5595" s="19">
        <v>0</v>
      </c>
      <c r="AK5595" s="23">
        <v>0</v>
      </c>
      <c r="AM5595" s="19">
        <v>0</v>
      </c>
      <c r="AN5595" s="19">
        <v>577760</v>
      </c>
      <c r="AP5595" s="14">
        <v>577760</v>
      </c>
    </row>
    <row r="5596" spans="1:45" ht="63" x14ac:dyDescent="0.2">
      <c r="A5596" s="122">
        <f t="shared" si="607"/>
        <v>4671</v>
      </c>
      <c r="B5596" s="13">
        <v>2</v>
      </c>
      <c r="C5596" s="17" t="s">
        <v>52</v>
      </c>
      <c r="D5596" s="17">
        <v>2177</v>
      </c>
      <c r="E5596" s="17">
        <v>95</v>
      </c>
      <c r="F5596" s="17">
        <v>1778</v>
      </c>
      <c r="G5596" s="13">
        <v>3</v>
      </c>
      <c r="H5596" s="17">
        <v>0</v>
      </c>
      <c r="I5596" s="17">
        <v>0</v>
      </c>
      <c r="J5596" s="17">
        <v>91</v>
      </c>
      <c r="L5596" s="17" t="s">
        <v>548</v>
      </c>
      <c r="P5596" s="17">
        <v>2</v>
      </c>
      <c r="Q5596" s="19">
        <v>91</v>
      </c>
      <c r="R5596" s="14">
        <v>2000</v>
      </c>
      <c r="S5596" s="19">
        <v>182000</v>
      </c>
      <c r="U5596" s="17" t="s">
        <v>57</v>
      </c>
      <c r="V5596" s="17" t="s">
        <v>56</v>
      </c>
      <c r="W5596" s="4" t="s">
        <v>314</v>
      </c>
      <c r="Y5596" s="4" t="s">
        <v>430</v>
      </c>
      <c r="AB5596" s="17" t="s">
        <v>549</v>
      </c>
      <c r="AJ5596" s="19">
        <v>0</v>
      </c>
      <c r="AK5596" s="23" t="s">
        <v>549</v>
      </c>
      <c r="AM5596" s="19">
        <v>0</v>
      </c>
      <c r="AN5596" s="19">
        <v>182000</v>
      </c>
      <c r="AP5596" s="14">
        <v>182000</v>
      </c>
      <c r="AQ5596" s="12">
        <v>3.0000000000000001E-3</v>
      </c>
    </row>
    <row r="5597" spans="1:45" ht="63" x14ac:dyDescent="0.2">
      <c r="A5597" s="122">
        <f t="shared" si="607"/>
        <v>4672</v>
      </c>
      <c r="B5597" s="13">
        <v>3</v>
      </c>
      <c r="C5597" s="17" t="s">
        <v>52</v>
      </c>
      <c r="D5597" s="17">
        <v>2227</v>
      </c>
      <c r="E5597" s="17">
        <v>10</v>
      </c>
      <c r="F5597" s="17">
        <v>1553</v>
      </c>
      <c r="G5597" s="13">
        <v>3</v>
      </c>
      <c r="H5597" s="17">
        <v>0</v>
      </c>
      <c r="I5597" s="17">
        <v>3</v>
      </c>
      <c r="J5597" s="17">
        <v>34</v>
      </c>
      <c r="L5597" s="17">
        <v>334</v>
      </c>
      <c r="P5597" s="17">
        <v>2</v>
      </c>
      <c r="Q5597" s="19">
        <v>334</v>
      </c>
      <c r="R5597" s="14">
        <v>200</v>
      </c>
      <c r="S5597" s="19">
        <v>66800</v>
      </c>
      <c r="T5597" s="17">
        <v>1</v>
      </c>
      <c r="U5597" s="17" t="s">
        <v>57</v>
      </c>
      <c r="V5597" s="17" t="s">
        <v>56</v>
      </c>
      <c r="W5597" s="4">
        <v>153</v>
      </c>
      <c r="Y5597" s="4">
        <v>153</v>
      </c>
      <c r="AB5597" s="17">
        <v>25</v>
      </c>
      <c r="AJ5597" s="19">
        <v>0</v>
      </c>
      <c r="AK5597" s="23">
        <v>25</v>
      </c>
      <c r="AM5597" s="19">
        <v>0</v>
      </c>
      <c r="AN5597" s="19">
        <v>66800</v>
      </c>
      <c r="AP5597" s="14">
        <v>66800</v>
      </c>
    </row>
    <row r="5598" spans="1:45" ht="63" x14ac:dyDescent="0.2">
      <c r="A5598" s="122">
        <f t="shared" si="607"/>
        <v>4673</v>
      </c>
      <c r="B5598" s="13">
        <v>4</v>
      </c>
      <c r="C5598" s="17" t="s">
        <v>52</v>
      </c>
      <c r="D5598" s="17">
        <v>17703</v>
      </c>
      <c r="E5598" s="17">
        <v>42</v>
      </c>
      <c r="F5598" s="17">
        <v>3831</v>
      </c>
      <c r="G5598" s="13">
        <v>3</v>
      </c>
      <c r="H5598" s="17">
        <v>0</v>
      </c>
      <c r="I5598" s="17">
        <v>0</v>
      </c>
      <c r="J5598" s="17">
        <v>72</v>
      </c>
      <c r="L5598" s="17" t="s">
        <v>550</v>
      </c>
      <c r="P5598" s="17">
        <v>2</v>
      </c>
      <c r="Q5598" s="19">
        <v>72</v>
      </c>
      <c r="R5598" s="14">
        <v>2000</v>
      </c>
      <c r="S5598" s="19">
        <v>144000</v>
      </c>
      <c r="U5598" s="17" t="s">
        <v>57</v>
      </c>
      <c r="V5598" s="17" t="s">
        <v>56</v>
      </c>
      <c r="W5598" s="4">
        <v>56</v>
      </c>
      <c r="Y5598" s="4" t="s">
        <v>407</v>
      </c>
      <c r="AB5598" s="17" t="s">
        <v>534</v>
      </c>
      <c r="AE5598" s="17" t="s">
        <v>81</v>
      </c>
      <c r="AJ5598" s="19">
        <v>0</v>
      </c>
      <c r="AK5598" s="23" t="s">
        <v>534</v>
      </c>
      <c r="AM5598" s="19">
        <v>0</v>
      </c>
      <c r="AN5598" s="19">
        <v>144000</v>
      </c>
      <c r="AP5598" s="14">
        <v>144000</v>
      </c>
      <c r="AQ5598" s="12">
        <v>3.0000000000000001E-3</v>
      </c>
    </row>
    <row r="5599" spans="1:45" x14ac:dyDescent="0.2">
      <c r="B5599" s="13">
        <v>5</v>
      </c>
      <c r="C5599" s="17" t="s">
        <v>52</v>
      </c>
      <c r="D5599" s="17">
        <v>35587</v>
      </c>
      <c r="E5599" s="17">
        <v>69</v>
      </c>
      <c r="F5599" s="17">
        <v>6954</v>
      </c>
      <c r="G5599" s="13">
        <v>3</v>
      </c>
      <c r="H5599" s="17">
        <v>0</v>
      </c>
      <c r="I5599" s="17">
        <v>0</v>
      </c>
      <c r="J5599" s="17">
        <v>77.599999999999994</v>
      </c>
      <c r="K5599" s="10" t="s">
        <v>551</v>
      </c>
      <c r="P5599" s="17">
        <v>1</v>
      </c>
      <c r="Q5599" s="19">
        <v>77.599999999999994</v>
      </c>
      <c r="AE5599" s="17" t="s">
        <v>181</v>
      </c>
    </row>
    <row r="5600" spans="1:45" ht="63" x14ac:dyDescent="0.2">
      <c r="A5600" s="2">
        <v>4674</v>
      </c>
      <c r="B5600" s="13">
        <v>6</v>
      </c>
      <c r="C5600" s="17" t="s">
        <v>52</v>
      </c>
      <c r="D5600" s="17">
        <v>36603</v>
      </c>
      <c r="E5600" s="17">
        <v>222</v>
      </c>
      <c r="F5600" s="17">
        <v>7151</v>
      </c>
      <c r="G5600" s="13">
        <v>3</v>
      </c>
      <c r="H5600" s="17">
        <v>0</v>
      </c>
      <c r="I5600" s="17">
        <v>1</v>
      </c>
      <c r="J5600" s="17">
        <v>81.7</v>
      </c>
      <c r="L5600" s="17" t="s">
        <v>552</v>
      </c>
      <c r="P5600" s="17">
        <v>2</v>
      </c>
      <c r="Q5600" s="19">
        <v>181.7</v>
      </c>
      <c r="U5600" s="17" t="s">
        <v>57</v>
      </c>
      <c r="V5600" s="17" t="s">
        <v>56</v>
      </c>
      <c r="W5600" s="4">
        <v>72</v>
      </c>
      <c r="Y5600" s="4" t="s">
        <v>550</v>
      </c>
      <c r="AB5600" s="17" t="s">
        <v>534</v>
      </c>
      <c r="AE5600" s="17" t="s">
        <v>181</v>
      </c>
    </row>
    <row r="5601" spans="1:45" x14ac:dyDescent="0.2">
      <c r="A5601" s="2">
        <f>+A5600+1</f>
        <v>4675</v>
      </c>
      <c r="B5601" s="13">
        <v>1</v>
      </c>
      <c r="C5601" s="17" t="s">
        <v>65</v>
      </c>
      <c r="D5601" s="17">
        <v>432</v>
      </c>
      <c r="E5601" s="17">
        <v>94</v>
      </c>
      <c r="H5601" s="17">
        <v>35</v>
      </c>
      <c r="I5601" s="17">
        <v>1</v>
      </c>
      <c r="J5601" s="17">
        <v>83</v>
      </c>
      <c r="K5601" s="10">
        <v>14183</v>
      </c>
      <c r="P5601" s="17">
        <v>1</v>
      </c>
      <c r="Q5601" s="19">
        <v>14183</v>
      </c>
      <c r="R5601" s="14">
        <v>160</v>
      </c>
      <c r="S5601" s="19">
        <v>2269280</v>
      </c>
      <c r="AJ5601" s="19">
        <v>0</v>
      </c>
      <c r="AK5601" s="23">
        <v>0</v>
      </c>
      <c r="AM5601" s="19">
        <v>0</v>
      </c>
      <c r="AN5601" s="19">
        <v>2269280</v>
      </c>
      <c r="AP5601" s="14">
        <v>2269280</v>
      </c>
      <c r="AQ5601" s="12">
        <v>1E-4</v>
      </c>
    </row>
    <row r="5602" spans="1:45" x14ac:dyDescent="0.2">
      <c r="A5602" s="122">
        <f t="shared" ref="A5602:A5604" si="608">+A5601+1</f>
        <v>4676</v>
      </c>
      <c r="B5602" s="13">
        <v>2</v>
      </c>
      <c r="C5602" s="17" t="s">
        <v>65</v>
      </c>
      <c r="D5602" s="17">
        <v>2788</v>
      </c>
      <c r="E5602" s="17">
        <v>184</v>
      </c>
      <c r="H5602" s="17">
        <v>6</v>
      </c>
      <c r="I5602" s="17">
        <v>0</v>
      </c>
      <c r="J5602" s="17">
        <v>46</v>
      </c>
      <c r="K5602" s="10">
        <v>2446</v>
      </c>
      <c r="P5602" s="17">
        <v>1</v>
      </c>
      <c r="Q5602" s="19">
        <v>2446</v>
      </c>
      <c r="R5602" s="14">
        <v>160</v>
      </c>
      <c r="S5602" s="19">
        <v>391360</v>
      </c>
      <c r="AE5602" s="17" t="s">
        <v>95</v>
      </c>
      <c r="AJ5602" s="19">
        <v>0</v>
      </c>
      <c r="AK5602" s="23">
        <v>0</v>
      </c>
      <c r="AM5602" s="19">
        <v>0</v>
      </c>
      <c r="AN5602" s="19">
        <v>391360</v>
      </c>
      <c r="AP5602" s="14">
        <v>391360</v>
      </c>
      <c r="AQ5602" s="12">
        <v>1E-4</v>
      </c>
    </row>
    <row r="5603" spans="1:45" x14ac:dyDescent="0.2">
      <c r="A5603" s="122">
        <f t="shared" si="608"/>
        <v>4677</v>
      </c>
      <c r="B5603" s="13">
        <v>1</v>
      </c>
      <c r="C5603" s="17" t="s">
        <v>52</v>
      </c>
      <c r="D5603" s="17">
        <v>2188</v>
      </c>
      <c r="E5603" s="17">
        <v>51</v>
      </c>
      <c r="F5603" s="17">
        <v>1797</v>
      </c>
      <c r="H5603" s="17">
        <v>0</v>
      </c>
      <c r="I5603" s="17">
        <v>0</v>
      </c>
      <c r="J5603" s="17">
        <v>83</v>
      </c>
      <c r="L5603" s="17">
        <v>83</v>
      </c>
      <c r="P5603" s="17">
        <v>2</v>
      </c>
      <c r="Q5603" s="19">
        <v>83</v>
      </c>
      <c r="R5603" s="14">
        <v>2000</v>
      </c>
      <c r="S5603" s="19">
        <v>166000</v>
      </c>
      <c r="T5603" s="17">
        <v>1</v>
      </c>
      <c r="W5603" s="4">
        <v>238.5</v>
      </c>
      <c r="Y5603" s="4">
        <v>238.5</v>
      </c>
      <c r="AB5603" s="17">
        <v>19</v>
      </c>
      <c r="AJ5603" s="19">
        <v>0</v>
      </c>
      <c r="AK5603" s="23">
        <v>19</v>
      </c>
      <c r="AM5603" s="19">
        <v>0</v>
      </c>
      <c r="AN5603" s="19">
        <v>166000</v>
      </c>
      <c r="AP5603" s="14">
        <v>166000</v>
      </c>
    </row>
    <row r="5604" spans="1:45" x14ac:dyDescent="0.2">
      <c r="A5604" s="122">
        <f t="shared" si="608"/>
        <v>4678</v>
      </c>
      <c r="B5604" s="13">
        <v>2</v>
      </c>
      <c r="C5604" s="17" t="s">
        <v>65</v>
      </c>
      <c r="D5604" s="17">
        <v>2789</v>
      </c>
      <c r="E5604" s="17">
        <v>188</v>
      </c>
      <c r="H5604" s="17">
        <v>6</v>
      </c>
      <c r="I5604" s="17">
        <v>2</v>
      </c>
      <c r="J5604" s="17">
        <v>65</v>
      </c>
      <c r="K5604" s="10">
        <v>2665</v>
      </c>
      <c r="P5604" s="17">
        <v>1</v>
      </c>
      <c r="Q5604" s="19">
        <v>2665</v>
      </c>
      <c r="R5604" s="14">
        <v>160</v>
      </c>
      <c r="S5604" s="19">
        <v>426400</v>
      </c>
      <c r="AJ5604" s="19">
        <v>0</v>
      </c>
      <c r="AK5604" s="23">
        <v>0</v>
      </c>
      <c r="AM5604" s="19">
        <v>0</v>
      </c>
      <c r="AN5604" s="19">
        <v>426400</v>
      </c>
      <c r="AP5604" s="14">
        <v>426400</v>
      </c>
      <c r="AQ5604" s="12">
        <v>1E-4</v>
      </c>
    </row>
    <row r="5605" spans="1:45" x14ac:dyDescent="0.2">
      <c r="B5605" s="13">
        <v>1</v>
      </c>
      <c r="C5605" s="17" t="s">
        <v>52</v>
      </c>
      <c r="D5605" s="17">
        <v>16496</v>
      </c>
      <c r="E5605" s="17">
        <v>35</v>
      </c>
      <c r="H5605" s="17">
        <v>10</v>
      </c>
      <c r="I5605" s="17">
        <v>2</v>
      </c>
      <c r="J5605" s="17">
        <v>92.5</v>
      </c>
      <c r="K5605" s="10" t="s">
        <v>553</v>
      </c>
      <c r="P5605" s="17">
        <v>1</v>
      </c>
      <c r="Q5605" s="19">
        <v>4292.5</v>
      </c>
      <c r="R5605" s="14" t="e">
        <v>#N/A</v>
      </c>
      <c r="S5605" s="19" t="e">
        <v>#N/A</v>
      </c>
      <c r="AE5605" s="17" t="s">
        <v>225</v>
      </c>
      <c r="AJ5605" s="19">
        <v>0</v>
      </c>
      <c r="AK5605" s="23">
        <v>0</v>
      </c>
      <c r="AM5605" s="19">
        <v>0</v>
      </c>
      <c r="AN5605" s="19" t="e">
        <v>#N/A</v>
      </c>
      <c r="AP5605" s="14" t="e">
        <v>#N/A</v>
      </c>
      <c r="AQ5605" s="12">
        <v>1E-4</v>
      </c>
    </row>
    <row r="5606" spans="1:45" x14ac:dyDescent="0.2">
      <c r="A5606" s="2">
        <v>4679</v>
      </c>
      <c r="B5606" s="13">
        <v>1</v>
      </c>
      <c r="C5606" s="17" t="s">
        <v>52</v>
      </c>
      <c r="D5606" s="17">
        <v>31825</v>
      </c>
      <c r="E5606" s="17">
        <v>118</v>
      </c>
      <c r="F5606" s="17">
        <v>6244</v>
      </c>
      <c r="G5606" s="13">
        <v>3</v>
      </c>
      <c r="H5606" s="17">
        <v>4</v>
      </c>
      <c r="I5606" s="17">
        <v>3</v>
      </c>
      <c r="J5606" s="17">
        <v>64.05</v>
      </c>
      <c r="K5606" s="10">
        <v>1964.05</v>
      </c>
      <c r="P5606" s="17">
        <v>1</v>
      </c>
      <c r="Q5606" s="19">
        <v>1964.05</v>
      </c>
      <c r="R5606" s="14">
        <v>160</v>
      </c>
      <c r="S5606" s="19">
        <v>314248</v>
      </c>
      <c r="AJ5606" s="19">
        <v>0</v>
      </c>
      <c r="AK5606" s="23">
        <v>0</v>
      </c>
      <c r="AM5606" s="19">
        <v>0</v>
      </c>
      <c r="AN5606" s="19">
        <v>314248</v>
      </c>
      <c r="AP5606" s="14">
        <v>314248</v>
      </c>
    </row>
    <row r="5607" spans="1:45" x14ac:dyDescent="0.2">
      <c r="A5607" s="2">
        <v>4680</v>
      </c>
      <c r="B5607" s="13">
        <v>2</v>
      </c>
      <c r="C5607" s="17" t="s">
        <v>52</v>
      </c>
      <c r="D5607" s="17">
        <v>37014</v>
      </c>
      <c r="E5607" s="17">
        <v>122</v>
      </c>
      <c r="F5607" s="17">
        <v>7280</v>
      </c>
      <c r="G5607" s="13">
        <v>3</v>
      </c>
      <c r="H5607" s="17">
        <v>0</v>
      </c>
      <c r="I5607" s="17">
        <v>2</v>
      </c>
      <c r="J5607" s="17">
        <v>40.06</v>
      </c>
      <c r="K5607" s="10">
        <v>240.06</v>
      </c>
      <c r="P5607" s="17">
        <v>1</v>
      </c>
      <c r="Q5607" s="19">
        <v>240.06</v>
      </c>
      <c r="R5607" s="14">
        <v>160</v>
      </c>
      <c r="S5607" s="19">
        <v>38409.599999999999</v>
      </c>
      <c r="AJ5607" s="19">
        <v>0</v>
      </c>
      <c r="AK5607" s="23">
        <v>0</v>
      </c>
      <c r="AM5607" s="19">
        <v>0</v>
      </c>
      <c r="AN5607" s="19">
        <v>38409.599999999999</v>
      </c>
      <c r="AP5607" s="14">
        <v>38409.599999999999</v>
      </c>
    </row>
    <row r="5608" spans="1:45" x14ac:dyDescent="0.2">
      <c r="B5608" s="13">
        <v>2</v>
      </c>
      <c r="C5608" s="17" t="s">
        <v>52</v>
      </c>
      <c r="D5608" s="17">
        <v>16494</v>
      </c>
      <c r="E5608" s="17">
        <v>33</v>
      </c>
      <c r="H5608" s="17">
        <v>7</v>
      </c>
      <c r="I5608" s="17">
        <v>0</v>
      </c>
      <c r="J5608" s="17">
        <v>97.2</v>
      </c>
      <c r="K5608" s="10">
        <v>3039</v>
      </c>
      <c r="Q5608" s="19">
        <v>2897.2</v>
      </c>
      <c r="R5608" s="14" t="e">
        <v>#N/A</v>
      </c>
      <c r="S5608" s="19" t="e">
        <v>#N/A</v>
      </c>
      <c r="AE5608" s="17" t="s">
        <v>554</v>
      </c>
      <c r="AJ5608" s="19">
        <v>0</v>
      </c>
      <c r="AK5608" s="23">
        <v>0</v>
      </c>
      <c r="AM5608" s="19">
        <v>0</v>
      </c>
      <c r="AN5608" s="19" t="e">
        <v>#N/A</v>
      </c>
      <c r="AP5608" s="14" t="e">
        <v>#N/A</v>
      </c>
      <c r="AQ5608" s="12">
        <v>1E-4</v>
      </c>
    </row>
    <row r="5609" spans="1:45" ht="42" x14ac:dyDescent="0.2">
      <c r="A5609" s="2">
        <v>4681</v>
      </c>
      <c r="B5609" s="13">
        <v>1</v>
      </c>
      <c r="C5609" s="17" t="s">
        <v>52</v>
      </c>
      <c r="D5609" s="17">
        <v>34188</v>
      </c>
      <c r="E5609" s="17">
        <v>183</v>
      </c>
      <c r="F5609" s="17">
        <v>6799</v>
      </c>
      <c r="H5609" s="17">
        <v>0</v>
      </c>
      <c r="I5609" s="17">
        <v>0</v>
      </c>
      <c r="J5609" s="17">
        <v>42</v>
      </c>
      <c r="L5609" s="17">
        <v>42</v>
      </c>
      <c r="P5609" s="17">
        <v>2</v>
      </c>
      <c r="Q5609" s="19">
        <v>42</v>
      </c>
      <c r="R5609" s="14">
        <v>2000</v>
      </c>
      <c r="S5609" s="19">
        <v>84000</v>
      </c>
      <c r="T5609" s="17">
        <v>1</v>
      </c>
      <c r="V5609" s="17" t="s">
        <v>183</v>
      </c>
      <c r="W5609" s="4">
        <v>88</v>
      </c>
      <c r="Y5609" s="4">
        <v>88</v>
      </c>
      <c r="AB5609" s="17">
        <v>21</v>
      </c>
      <c r="AJ5609" s="19">
        <v>0</v>
      </c>
      <c r="AK5609" s="23">
        <v>21</v>
      </c>
      <c r="AM5609" s="19">
        <v>0</v>
      </c>
      <c r="AN5609" s="19">
        <v>84000</v>
      </c>
      <c r="AP5609" s="14">
        <v>84000</v>
      </c>
    </row>
    <row r="5610" spans="1:45" x14ac:dyDescent="0.2">
      <c r="A5610" s="2">
        <f>+A5609+1</f>
        <v>4682</v>
      </c>
      <c r="B5610" s="13">
        <v>1</v>
      </c>
      <c r="C5610" s="17" t="s">
        <v>52</v>
      </c>
      <c r="D5610" s="17">
        <v>16694</v>
      </c>
      <c r="E5610" s="17">
        <v>85</v>
      </c>
      <c r="F5610" s="17">
        <v>3722</v>
      </c>
      <c r="G5610" s="13">
        <v>3</v>
      </c>
      <c r="H5610" s="17">
        <v>7</v>
      </c>
      <c r="I5610" s="17">
        <v>3</v>
      </c>
      <c r="J5610" s="17">
        <v>53</v>
      </c>
      <c r="K5610" s="10">
        <v>3153</v>
      </c>
      <c r="P5610" s="17">
        <v>1</v>
      </c>
      <c r="Q5610" s="19">
        <v>3153</v>
      </c>
      <c r="R5610" s="14">
        <v>160</v>
      </c>
      <c r="S5610" s="19">
        <v>504480</v>
      </c>
      <c r="AJ5610" s="19">
        <v>0</v>
      </c>
      <c r="AK5610" s="23">
        <v>0</v>
      </c>
      <c r="AM5610" s="19">
        <v>0</v>
      </c>
      <c r="AN5610" s="19">
        <v>504480</v>
      </c>
      <c r="AP5610" s="14">
        <v>504480</v>
      </c>
      <c r="AS5610" s="26">
        <v>24</v>
      </c>
    </row>
    <row r="5611" spans="1:45" ht="42" x14ac:dyDescent="0.2">
      <c r="A5611" s="122">
        <f t="shared" ref="A5611:A5619" si="609">+A5610+1</f>
        <v>4683</v>
      </c>
      <c r="B5611" s="13">
        <v>2</v>
      </c>
      <c r="C5611" s="17" t="s">
        <v>52</v>
      </c>
      <c r="D5611" s="17">
        <v>34185</v>
      </c>
      <c r="E5611" s="17">
        <v>180</v>
      </c>
      <c r="F5611" s="17">
        <v>6796</v>
      </c>
      <c r="H5611" s="17">
        <v>0</v>
      </c>
      <c r="I5611" s="17">
        <v>0</v>
      </c>
      <c r="J5611" s="17">
        <v>61</v>
      </c>
      <c r="L5611" s="17">
        <v>61</v>
      </c>
      <c r="P5611" s="17">
        <v>2</v>
      </c>
      <c r="Q5611" s="19">
        <v>61</v>
      </c>
      <c r="R5611" s="14">
        <v>2000</v>
      </c>
      <c r="S5611" s="19">
        <v>122000</v>
      </c>
      <c r="T5611" s="17">
        <v>1</v>
      </c>
      <c r="V5611" s="17" t="s">
        <v>183</v>
      </c>
      <c r="W5611" s="4">
        <v>48</v>
      </c>
      <c r="Y5611" s="4">
        <v>48</v>
      </c>
      <c r="AB5611" s="17">
        <v>23</v>
      </c>
      <c r="AJ5611" s="19">
        <v>0</v>
      </c>
      <c r="AK5611" s="23">
        <v>23</v>
      </c>
      <c r="AM5611" s="19">
        <v>0</v>
      </c>
      <c r="AN5611" s="19">
        <v>122000</v>
      </c>
      <c r="AP5611" s="14">
        <v>122000</v>
      </c>
    </row>
    <row r="5612" spans="1:45" ht="42" x14ac:dyDescent="0.2">
      <c r="A5612" s="122">
        <f t="shared" si="609"/>
        <v>4684</v>
      </c>
      <c r="B5612" s="13">
        <v>1</v>
      </c>
      <c r="C5612" s="17" t="s">
        <v>52</v>
      </c>
      <c r="D5612" s="17">
        <v>34187</v>
      </c>
      <c r="E5612" s="17">
        <v>182</v>
      </c>
      <c r="F5612" s="17">
        <v>6798</v>
      </c>
      <c r="H5612" s="17">
        <v>0</v>
      </c>
      <c r="I5612" s="17">
        <v>0</v>
      </c>
      <c r="J5612" s="17">
        <v>77</v>
      </c>
      <c r="L5612" s="17">
        <v>77</v>
      </c>
      <c r="P5612" s="17">
        <v>2</v>
      </c>
      <c r="Q5612" s="19">
        <v>77</v>
      </c>
      <c r="R5612" s="14">
        <v>2000</v>
      </c>
      <c r="S5612" s="19">
        <v>154000</v>
      </c>
      <c r="T5612" s="17">
        <v>1</v>
      </c>
      <c r="V5612" s="17" t="s">
        <v>183</v>
      </c>
      <c r="W5612" s="4">
        <v>187</v>
      </c>
      <c r="Y5612" s="4">
        <v>187</v>
      </c>
      <c r="AB5612" s="17">
        <v>23</v>
      </c>
      <c r="AJ5612" s="19">
        <v>0</v>
      </c>
      <c r="AK5612" s="23">
        <v>23</v>
      </c>
      <c r="AM5612" s="19">
        <v>0</v>
      </c>
      <c r="AN5612" s="19">
        <v>154000</v>
      </c>
      <c r="AP5612" s="14">
        <v>154000</v>
      </c>
    </row>
    <row r="5613" spans="1:45" x14ac:dyDescent="0.2">
      <c r="A5613" s="122">
        <f t="shared" si="609"/>
        <v>4685</v>
      </c>
      <c r="B5613" s="13">
        <v>1</v>
      </c>
      <c r="C5613" s="17" t="s">
        <v>52</v>
      </c>
      <c r="D5613" s="17">
        <v>1691</v>
      </c>
      <c r="E5613" s="17">
        <v>11</v>
      </c>
      <c r="F5613" s="17">
        <v>1438</v>
      </c>
      <c r="G5613" s="13">
        <v>3</v>
      </c>
      <c r="H5613" s="17">
        <v>10</v>
      </c>
      <c r="I5613" s="17">
        <v>0</v>
      </c>
      <c r="J5613" s="17">
        <v>38</v>
      </c>
      <c r="K5613" s="10">
        <v>4038</v>
      </c>
      <c r="P5613" s="17">
        <v>1</v>
      </c>
      <c r="Q5613" s="19">
        <v>4038</v>
      </c>
      <c r="R5613" s="14">
        <v>160</v>
      </c>
      <c r="S5613" s="19">
        <v>646080</v>
      </c>
      <c r="AJ5613" s="19">
        <v>0</v>
      </c>
      <c r="AK5613" s="23">
        <v>0</v>
      </c>
      <c r="AM5613" s="19">
        <v>0</v>
      </c>
      <c r="AN5613" s="19">
        <v>646080</v>
      </c>
      <c r="AP5613" s="14">
        <v>646080</v>
      </c>
      <c r="AS5613" s="26">
        <v>19</v>
      </c>
    </row>
    <row r="5614" spans="1:45" x14ac:dyDescent="0.2">
      <c r="A5614" s="122">
        <f t="shared" si="609"/>
        <v>4686</v>
      </c>
      <c r="B5614" s="13">
        <v>2</v>
      </c>
      <c r="C5614" s="17" t="s">
        <v>52</v>
      </c>
      <c r="D5614" s="17">
        <v>1692</v>
      </c>
      <c r="E5614" s="17">
        <v>12</v>
      </c>
      <c r="F5614" s="17">
        <v>1439</v>
      </c>
      <c r="G5614" s="13">
        <v>3</v>
      </c>
      <c r="H5614" s="17">
        <v>10</v>
      </c>
      <c r="I5614" s="17">
        <v>3</v>
      </c>
      <c r="J5614" s="17">
        <v>83</v>
      </c>
      <c r="K5614" s="10">
        <v>4383</v>
      </c>
      <c r="P5614" s="17">
        <v>1</v>
      </c>
      <c r="Q5614" s="19">
        <v>4383</v>
      </c>
      <c r="R5614" s="14">
        <v>160</v>
      </c>
      <c r="S5614" s="19">
        <v>701280</v>
      </c>
      <c r="AJ5614" s="19">
        <v>0</v>
      </c>
      <c r="AK5614" s="23">
        <v>0</v>
      </c>
      <c r="AM5614" s="19">
        <v>0</v>
      </c>
      <c r="AN5614" s="19">
        <v>701280</v>
      </c>
      <c r="AP5614" s="14">
        <v>701280</v>
      </c>
    </row>
    <row r="5615" spans="1:45" x14ac:dyDescent="0.2">
      <c r="A5615" s="122">
        <f t="shared" si="609"/>
        <v>4687</v>
      </c>
      <c r="B5615" s="13">
        <v>3</v>
      </c>
      <c r="C5615" s="17" t="s">
        <v>65</v>
      </c>
      <c r="D5615" s="17">
        <v>441</v>
      </c>
      <c r="E5615" s="17">
        <v>105</v>
      </c>
      <c r="H5615" s="17">
        <v>3</v>
      </c>
      <c r="I5615" s="17">
        <v>1</v>
      </c>
      <c r="J5615" s="17">
        <v>65</v>
      </c>
      <c r="K5615" s="10">
        <v>2160</v>
      </c>
      <c r="P5615" s="17">
        <v>1</v>
      </c>
      <c r="Q5615" s="19">
        <v>1365</v>
      </c>
      <c r="R5615" s="14">
        <v>160</v>
      </c>
      <c r="S5615" s="19">
        <v>218400</v>
      </c>
      <c r="AJ5615" s="19">
        <v>0</v>
      </c>
      <c r="AK5615" s="23">
        <v>0</v>
      </c>
      <c r="AM5615" s="19">
        <v>0</v>
      </c>
      <c r="AN5615" s="19">
        <v>218400</v>
      </c>
      <c r="AP5615" s="14">
        <v>218400</v>
      </c>
      <c r="AQ5615" s="12">
        <v>1E-4</v>
      </c>
    </row>
    <row r="5616" spans="1:45" ht="42" x14ac:dyDescent="0.2">
      <c r="A5616" s="122">
        <f t="shared" si="609"/>
        <v>4688</v>
      </c>
      <c r="B5616" s="13">
        <v>1</v>
      </c>
      <c r="C5616" s="17" t="s">
        <v>52</v>
      </c>
      <c r="D5616" s="17">
        <v>2287</v>
      </c>
      <c r="E5616" s="17">
        <v>96</v>
      </c>
      <c r="F5616" s="17">
        <v>1777</v>
      </c>
      <c r="G5616" s="13">
        <v>3</v>
      </c>
      <c r="H5616" s="17">
        <v>0</v>
      </c>
      <c r="I5616" s="17">
        <v>1</v>
      </c>
      <c r="J5616" s="17">
        <v>10</v>
      </c>
      <c r="L5616" s="17">
        <v>110</v>
      </c>
      <c r="P5616" s="17">
        <v>2</v>
      </c>
      <c r="Q5616" s="19">
        <v>110</v>
      </c>
      <c r="R5616" s="14">
        <v>1500</v>
      </c>
      <c r="S5616" s="19">
        <v>165000</v>
      </c>
      <c r="T5616" s="17">
        <v>1</v>
      </c>
      <c r="V5616" s="17" t="s">
        <v>183</v>
      </c>
      <c r="W5616" s="4">
        <v>115</v>
      </c>
      <c r="Y5616" s="4">
        <v>115</v>
      </c>
      <c r="AB5616" s="17">
        <v>23</v>
      </c>
      <c r="AJ5616" s="19">
        <v>0</v>
      </c>
      <c r="AK5616" s="23">
        <v>23</v>
      </c>
      <c r="AM5616" s="19">
        <v>0</v>
      </c>
      <c r="AN5616" s="19">
        <v>165000</v>
      </c>
      <c r="AP5616" s="14">
        <v>165000</v>
      </c>
    </row>
    <row r="5617" spans="1:45" x14ac:dyDescent="0.2">
      <c r="A5617" s="122">
        <f t="shared" si="609"/>
        <v>4689</v>
      </c>
      <c r="B5617" s="13">
        <v>2</v>
      </c>
      <c r="C5617" s="17" t="s">
        <v>65</v>
      </c>
      <c r="D5617" s="17">
        <v>448</v>
      </c>
      <c r="E5617" s="17">
        <v>112</v>
      </c>
      <c r="H5617" s="17">
        <v>10</v>
      </c>
      <c r="I5617" s="17">
        <v>3</v>
      </c>
      <c r="J5617" s="17">
        <v>6</v>
      </c>
      <c r="K5617" s="10">
        <v>4306</v>
      </c>
      <c r="P5617" s="17">
        <v>1</v>
      </c>
      <c r="Q5617" s="19">
        <v>4306</v>
      </c>
      <c r="R5617" s="14">
        <v>200</v>
      </c>
      <c r="S5617" s="19">
        <v>861200</v>
      </c>
      <c r="AJ5617" s="19">
        <v>0</v>
      </c>
      <c r="AK5617" s="23">
        <v>0</v>
      </c>
      <c r="AM5617" s="19">
        <v>0</v>
      </c>
      <c r="AN5617" s="19">
        <v>861200</v>
      </c>
      <c r="AP5617" s="14">
        <v>861200</v>
      </c>
      <c r="AQ5617" s="12">
        <v>1E-4</v>
      </c>
    </row>
    <row r="5618" spans="1:45" x14ac:dyDescent="0.2">
      <c r="A5618" s="122">
        <f t="shared" si="609"/>
        <v>4690</v>
      </c>
      <c r="B5618" s="13">
        <v>1</v>
      </c>
      <c r="C5618" s="17" t="s">
        <v>52</v>
      </c>
      <c r="D5618" s="17">
        <v>1650</v>
      </c>
      <c r="E5618" s="17">
        <v>29</v>
      </c>
      <c r="F5618" s="17">
        <v>1453</v>
      </c>
      <c r="G5618" s="13">
        <v>3</v>
      </c>
      <c r="H5618" s="17">
        <v>8</v>
      </c>
      <c r="I5618" s="17">
        <v>3</v>
      </c>
      <c r="J5618" s="17">
        <v>73</v>
      </c>
      <c r="K5618" s="10">
        <v>3573</v>
      </c>
      <c r="P5618" s="17">
        <v>1</v>
      </c>
      <c r="Q5618" s="19">
        <v>3573</v>
      </c>
      <c r="R5618" s="14">
        <v>160</v>
      </c>
      <c r="S5618" s="19">
        <v>571680</v>
      </c>
      <c r="AJ5618" s="19">
        <v>0</v>
      </c>
      <c r="AK5618" s="23">
        <v>0</v>
      </c>
      <c r="AM5618" s="19">
        <v>0</v>
      </c>
      <c r="AN5618" s="19">
        <v>571680</v>
      </c>
      <c r="AP5618" s="14">
        <v>571680</v>
      </c>
      <c r="AS5618" s="26">
        <v>29</v>
      </c>
    </row>
    <row r="5619" spans="1:45" ht="42" x14ac:dyDescent="0.2">
      <c r="A5619" s="122">
        <f t="shared" si="609"/>
        <v>4691</v>
      </c>
      <c r="B5619" s="13">
        <v>1</v>
      </c>
      <c r="C5619" s="17" t="s">
        <v>52</v>
      </c>
      <c r="D5619" s="17">
        <v>2034</v>
      </c>
      <c r="E5619" s="17">
        <v>17</v>
      </c>
      <c r="F5619" s="17">
        <v>1110</v>
      </c>
      <c r="H5619" s="17">
        <v>3</v>
      </c>
      <c r="I5619" s="17">
        <v>1</v>
      </c>
      <c r="J5619" s="17">
        <v>30</v>
      </c>
      <c r="L5619" s="17">
        <v>1330</v>
      </c>
      <c r="P5619" s="17">
        <v>2</v>
      </c>
      <c r="Q5619" s="19">
        <v>1330</v>
      </c>
      <c r="R5619" s="14">
        <v>200</v>
      </c>
      <c r="S5619" s="19">
        <v>266000</v>
      </c>
      <c r="T5619" s="17">
        <v>1</v>
      </c>
      <c r="V5619" s="17" t="s">
        <v>183</v>
      </c>
      <c r="W5619" s="4">
        <v>72</v>
      </c>
      <c r="Y5619" s="4">
        <v>72</v>
      </c>
      <c r="AB5619" s="17">
        <v>19</v>
      </c>
      <c r="AJ5619" s="19">
        <v>0</v>
      </c>
      <c r="AK5619" s="23">
        <v>19</v>
      </c>
      <c r="AM5619" s="19">
        <v>0</v>
      </c>
      <c r="AN5619" s="19">
        <v>266000</v>
      </c>
      <c r="AP5619" s="14">
        <v>266000</v>
      </c>
      <c r="AS5619" s="26" t="s">
        <v>555</v>
      </c>
    </row>
    <row r="5620" spans="1:45" x14ac:dyDescent="0.2">
      <c r="B5620" s="13">
        <v>1</v>
      </c>
      <c r="C5620" s="17" t="s">
        <v>65</v>
      </c>
      <c r="D5620" s="17">
        <v>3036</v>
      </c>
      <c r="E5620" s="17">
        <v>206</v>
      </c>
      <c r="H5620" s="17">
        <v>0</v>
      </c>
      <c r="I5620" s="17">
        <v>0</v>
      </c>
      <c r="J5620" s="17">
        <v>75</v>
      </c>
      <c r="N5620" s="18">
        <v>75</v>
      </c>
      <c r="Q5620" s="19">
        <v>75</v>
      </c>
      <c r="R5620" s="14" t="e">
        <v>#N/A</v>
      </c>
      <c r="S5620" s="19" t="e">
        <v>#N/A</v>
      </c>
      <c r="AE5620" s="17" t="s">
        <v>95</v>
      </c>
      <c r="AJ5620" s="19">
        <v>0</v>
      </c>
      <c r="AK5620" s="23">
        <v>0</v>
      </c>
      <c r="AM5620" s="19">
        <v>0</v>
      </c>
      <c r="AN5620" s="19" t="e">
        <v>#N/A</v>
      </c>
      <c r="AP5620" s="14" t="e">
        <v>#N/A</v>
      </c>
      <c r="AQ5620" s="12">
        <v>3.0000000000000001E-3</v>
      </c>
    </row>
    <row r="5621" spans="1:45" x14ac:dyDescent="0.2">
      <c r="A5621" s="2">
        <v>4692</v>
      </c>
      <c r="B5621" s="13">
        <v>1</v>
      </c>
      <c r="C5621" s="17" t="s">
        <v>52</v>
      </c>
      <c r="D5621" s="17">
        <v>2057</v>
      </c>
      <c r="E5621" s="17">
        <v>93</v>
      </c>
      <c r="F5621" s="17">
        <v>1528</v>
      </c>
      <c r="H5621" s="17">
        <v>0</v>
      </c>
      <c r="I5621" s="17">
        <v>0</v>
      </c>
      <c r="J5621" s="17">
        <v>76</v>
      </c>
      <c r="N5621" s="18" t="s">
        <v>556</v>
      </c>
      <c r="P5621" s="17">
        <v>4</v>
      </c>
      <c r="Q5621" s="19">
        <v>76</v>
      </c>
      <c r="R5621" s="14">
        <v>160</v>
      </c>
      <c r="S5621" s="19">
        <v>12160</v>
      </c>
      <c r="AJ5621" s="19">
        <v>0</v>
      </c>
      <c r="AK5621" s="23">
        <v>0</v>
      </c>
      <c r="AM5621" s="19">
        <v>0</v>
      </c>
      <c r="AN5621" s="19">
        <v>12160</v>
      </c>
      <c r="AP5621" s="14">
        <v>12160</v>
      </c>
    </row>
    <row r="5622" spans="1:45" x14ac:dyDescent="0.2">
      <c r="A5622" s="2">
        <f>+A5621+1</f>
        <v>4693</v>
      </c>
      <c r="B5622" s="13">
        <v>1</v>
      </c>
      <c r="C5622" s="17" t="s">
        <v>52</v>
      </c>
      <c r="D5622" s="17">
        <v>33728</v>
      </c>
      <c r="E5622" s="17">
        <v>34</v>
      </c>
      <c r="F5622" s="17">
        <v>6745</v>
      </c>
      <c r="G5622" s="13">
        <v>3</v>
      </c>
      <c r="H5622" s="17">
        <v>0</v>
      </c>
      <c r="I5622" s="17">
        <v>0</v>
      </c>
      <c r="J5622" s="17">
        <v>57</v>
      </c>
      <c r="K5622" s="10">
        <v>57</v>
      </c>
      <c r="P5622" s="17">
        <v>1</v>
      </c>
      <c r="Q5622" s="19">
        <v>57</v>
      </c>
      <c r="R5622" s="14">
        <v>250</v>
      </c>
      <c r="S5622" s="19">
        <v>14250</v>
      </c>
      <c r="AE5622" s="17" t="s">
        <v>557</v>
      </c>
      <c r="AJ5622" s="19">
        <v>0</v>
      </c>
      <c r="AK5622" s="23">
        <v>0</v>
      </c>
      <c r="AM5622" s="19">
        <v>0</v>
      </c>
      <c r="AN5622" s="19">
        <v>14250</v>
      </c>
      <c r="AP5622" s="14">
        <v>14250</v>
      </c>
    </row>
    <row r="5623" spans="1:45" x14ac:dyDescent="0.2">
      <c r="A5623" s="122">
        <f t="shared" ref="A5623:A5628" si="610">+A5622+1</f>
        <v>4694</v>
      </c>
      <c r="B5623" s="13">
        <v>1</v>
      </c>
      <c r="C5623" s="17" t="s">
        <v>52</v>
      </c>
      <c r="D5623" s="17">
        <v>2104</v>
      </c>
      <c r="E5623" s="17">
        <v>19</v>
      </c>
      <c r="F5623" s="17">
        <v>6828</v>
      </c>
      <c r="G5623" s="13">
        <v>3</v>
      </c>
      <c r="H5623" s="17">
        <v>12</v>
      </c>
      <c r="I5623" s="17">
        <v>2</v>
      </c>
      <c r="J5623" s="17">
        <v>45</v>
      </c>
      <c r="K5623" s="10">
        <v>5045</v>
      </c>
      <c r="P5623" s="17">
        <v>1</v>
      </c>
      <c r="Q5623" s="19">
        <v>5045</v>
      </c>
      <c r="R5623" s="14">
        <v>500</v>
      </c>
      <c r="S5623" s="19">
        <v>2522500</v>
      </c>
      <c r="AJ5623" s="19">
        <v>0</v>
      </c>
      <c r="AK5623" s="23">
        <v>0</v>
      </c>
      <c r="AM5623" s="19">
        <v>0</v>
      </c>
      <c r="AN5623" s="19">
        <v>2522500</v>
      </c>
      <c r="AP5623" s="14">
        <v>2522500</v>
      </c>
    </row>
    <row r="5624" spans="1:45" ht="42" x14ac:dyDescent="0.2">
      <c r="A5624" s="122">
        <f t="shared" si="610"/>
        <v>4695</v>
      </c>
      <c r="B5624" s="13">
        <v>2</v>
      </c>
      <c r="C5624" s="17" t="s">
        <v>52</v>
      </c>
      <c r="D5624" s="17">
        <v>8355</v>
      </c>
      <c r="E5624" s="17">
        <v>27</v>
      </c>
      <c r="F5624" s="17">
        <v>3123</v>
      </c>
      <c r="G5624" s="13">
        <v>3</v>
      </c>
      <c r="H5624" s="17">
        <v>3</v>
      </c>
      <c r="I5624" s="17">
        <v>3</v>
      </c>
      <c r="J5624" s="17">
        <v>58.08</v>
      </c>
      <c r="K5624" s="10">
        <v>1513.08</v>
      </c>
      <c r="L5624" s="17">
        <v>45</v>
      </c>
      <c r="P5624" s="17">
        <v>5</v>
      </c>
      <c r="Q5624" s="19">
        <v>1558.08</v>
      </c>
      <c r="R5624" s="14">
        <v>500</v>
      </c>
      <c r="S5624" s="19">
        <v>779040</v>
      </c>
      <c r="T5624" s="17">
        <v>1</v>
      </c>
      <c r="V5624" s="17" t="s">
        <v>183</v>
      </c>
      <c r="W5624" s="4">
        <v>180</v>
      </c>
      <c r="Y5624" s="4">
        <v>180</v>
      </c>
      <c r="AB5624" s="17">
        <v>11</v>
      </c>
      <c r="AJ5624" s="19">
        <v>0</v>
      </c>
      <c r="AK5624" s="23">
        <v>11</v>
      </c>
      <c r="AM5624" s="19">
        <v>0</v>
      </c>
      <c r="AN5624" s="19">
        <v>779040</v>
      </c>
      <c r="AP5624" s="14">
        <v>779040</v>
      </c>
    </row>
    <row r="5625" spans="1:45" x14ac:dyDescent="0.2">
      <c r="A5625" s="122">
        <f t="shared" si="610"/>
        <v>4696</v>
      </c>
      <c r="B5625" s="13">
        <v>3</v>
      </c>
      <c r="C5625" s="17" t="s">
        <v>52</v>
      </c>
      <c r="D5625" s="17">
        <v>15872</v>
      </c>
      <c r="E5625" s="17">
        <v>23</v>
      </c>
      <c r="F5625" s="17">
        <v>3462</v>
      </c>
      <c r="G5625" s="13">
        <v>4</v>
      </c>
      <c r="H5625" s="17">
        <v>5</v>
      </c>
      <c r="I5625" s="17">
        <v>3</v>
      </c>
      <c r="J5625" s="17">
        <v>35</v>
      </c>
      <c r="K5625" s="10">
        <v>2355</v>
      </c>
      <c r="P5625" s="17">
        <v>1</v>
      </c>
      <c r="Q5625" s="19">
        <v>2335</v>
      </c>
      <c r="R5625" s="14">
        <v>500</v>
      </c>
      <c r="S5625" s="19">
        <v>1167500</v>
      </c>
      <c r="AJ5625" s="19">
        <v>0</v>
      </c>
      <c r="AK5625" s="23">
        <v>0</v>
      </c>
      <c r="AM5625" s="19">
        <v>0</v>
      </c>
      <c r="AN5625" s="19">
        <v>1167500</v>
      </c>
      <c r="AP5625" s="14">
        <v>1167500</v>
      </c>
    </row>
    <row r="5626" spans="1:45" x14ac:dyDescent="0.2">
      <c r="A5626" s="122">
        <f t="shared" si="610"/>
        <v>4697</v>
      </c>
      <c r="B5626" s="13">
        <v>1</v>
      </c>
      <c r="C5626" s="17" t="s">
        <v>65</v>
      </c>
      <c r="D5626" s="17">
        <v>324</v>
      </c>
      <c r="E5626" s="17">
        <v>69</v>
      </c>
      <c r="H5626" s="17">
        <v>6</v>
      </c>
      <c r="I5626" s="17">
        <v>3</v>
      </c>
      <c r="J5626" s="17">
        <v>30</v>
      </c>
      <c r="K5626" s="10">
        <v>2730</v>
      </c>
      <c r="P5626" s="17">
        <v>1</v>
      </c>
      <c r="Q5626" s="19">
        <v>2730</v>
      </c>
      <c r="R5626" s="14">
        <v>200</v>
      </c>
      <c r="S5626" s="19">
        <v>546000</v>
      </c>
      <c r="AJ5626" s="19">
        <v>0</v>
      </c>
      <c r="AK5626" s="23">
        <v>0</v>
      </c>
      <c r="AM5626" s="19">
        <v>0</v>
      </c>
      <c r="AN5626" s="19">
        <v>546000</v>
      </c>
      <c r="AP5626" s="14">
        <v>546000</v>
      </c>
      <c r="AQ5626" s="12">
        <v>1E-4</v>
      </c>
    </row>
    <row r="5627" spans="1:45" x14ac:dyDescent="0.2">
      <c r="A5627" s="122">
        <f t="shared" si="610"/>
        <v>4698</v>
      </c>
      <c r="B5627" s="13">
        <v>1</v>
      </c>
      <c r="C5627" s="17" t="s">
        <v>52</v>
      </c>
      <c r="D5627" s="17">
        <v>2072</v>
      </c>
      <c r="E5627" s="17">
        <v>10</v>
      </c>
      <c r="F5627" s="17">
        <v>1690</v>
      </c>
      <c r="G5627" s="13">
        <v>3</v>
      </c>
      <c r="H5627" s="17">
        <v>7</v>
      </c>
      <c r="I5627" s="17">
        <v>3</v>
      </c>
      <c r="J5627" s="17">
        <v>11</v>
      </c>
      <c r="K5627" s="10">
        <v>28311</v>
      </c>
      <c r="P5627" s="17">
        <v>1</v>
      </c>
      <c r="Q5627" s="19">
        <v>3111</v>
      </c>
      <c r="R5627" s="14">
        <v>160</v>
      </c>
      <c r="S5627" s="19">
        <v>497760</v>
      </c>
      <c r="AJ5627" s="19">
        <v>0</v>
      </c>
      <c r="AK5627" s="23">
        <v>0</v>
      </c>
      <c r="AM5627" s="19">
        <v>0</v>
      </c>
      <c r="AN5627" s="19">
        <v>497760</v>
      </c>
      <c r="AP5627" s="14">
        <v>497760</v>
      </c>
    </row>
    <row r="5628" spans="1:45" ht="63" x14ac:dyDescent="0.2">
      <c r="A5628" s="122">
        <f t="shared" si="610"/>
        <v>4699</v>
      </c>
      <c r="B5628" s="13">
        <v>2</v>
      </c>
      <c r="C5628" s="17" t="s">
        <v>52</v>
      </c>
      <c r="D5628" s="17">
        <v>2218</v>
      </c>
      <c r="E5628" s="17">
        <v>1</v>
      </c>
      <c r="F5628" s="17">
        <v>1832</v>
      </c>
      <c r="G5628" s="13">
        <v>3</v>
      </c>
      <c r="H5628" s="17">
        <v>0</v>
      </c>
      <c r="I5628" s="17">
        <v>2</v>
      </c>
      <c r="J5628" s="17">
        <v>8</v>
      </c>
      <c r="L5628" s="17">
        <v>208</v>
      </c>
      <c r="P5628" s="17">
        <v>2</v>
      </c>
      <c r="Q5628" s="19">
        <v>208</v>
      </c>
      <c r="R5628" s="14">
        <v>2000</v>
      </c>
      <c r="S5628" s="19">
        <v>416000</v>
      </c>
      <c r="T5628" s="17">
        <v>1</v>
      </c>
      <c r="U5628" s="17" t="s">
        <v>63</v>
      </c>
      <c r="V5628" s="17" t="s">
        <v>56</v>
      </c>
      <c r="W5628" s="4">
        <v>306</v>
      </c>
      <c r="Y5628" s="4" t="s">
        <v>558</v>
      </c>
      <c r="AB5628" s="17">
        <v>27</v>
      </c>
      <c r="AE5628" s="17">
        <v>282</v>
      </c>
      <c r="AF5628" s="14">
        <v>2</v>
      </c>
      <c r="AG5628" s="54">
        <v>306</v>
      </c>
      <c r="AH5628" s="11">
        <v>0.92</v>
      </c>
      <c r="AI5628" s="14">
        <v>8100</v>
      </c>
      <c r="AJ5628" s="19">
        <v>2280312.0000000005</v>
      </c>
      <c r="AK5628" s="23">
        <v>27</v>
      </c>
      <c r="AL5628" s="11">
        <v>0.44</v>
      </c>
      <c r="AM5628" s="19">
        <v>1276974.7200000002</v>
      </c>
      <c r="AN5628" s="19">
        <v>1692974.7200000002</v>
      </c>
      <c r="AP5628" s="14">
        <v>1692974.7200000002</v>
      </c>
    </row>
    <row r="5629" spans="1:45" x14ac:dyDescent="0.2">
      <c r="Z5629" s="17" t="s">
        <v>559</v>
      </c>
      <c r="AF5629" s="14">
        <v>3</v>
      </c>
      <c r="AG5629" s="54">
        <v>306</v>
      </c>
      <c r="AH5629" s="11">
        <v>0.08</v>
      </c>
      <c r="AI5629" s="14">
        <v>8100</v>
      </c>
      <c r="AJ5629" s="19">
        <v>198288</v>
      </c>
      <c r="AK5629" s="23">
        <v>27</v>
      </c>
      <c r="AL5629" s="11">
        <v>0.44</v>
      </c>
      <c r="AM5629" s="19">
        <v>111041.28</v>
      </c>
      <c r="AN5629" s="19">
        <v>144321.28</v>
      </c>
      <c r="AP5629" s="14">
        <v>144321.28</v>
      </c>
      <c r="AQ5629" s="12">
        <v>3.0000000000000001E-3</v>
      </c>
    </row>
    <row r="5630" spans="1:45" x14ac:dyDescent="0.2">
      <c r="A5630" s="2">
        <v>4700</v>
      </c>
      <c r="B5630" s="13">
        <v>3</v>
      </c>
      <c r="C5630" s="17" t="s">
        <v>52</v>
      </c>
      <c r="D5630" s="17">
        <v>33729</v>
      </c>
      <c r="E5630" s="17">
        <v>35</v>
      </c>
      <c r="F5630" s="17">
        <v>6746</v>
      </c>
      <c r="G5630" s="13">
        <v>3</v>
      </c>
      <c r="H5630" s="17">
        <v>0</v>
      </c>
      <c r="I5630" s="17">
        <v>0</v>
      </c>
      <c r="J5630" s="17">
        <v>36</v>
      </c>
      <c r="K5630" s="10">
        <v>36</v>
      </c>
      <c r="P5630" s="17">
        <v>1</v>
      </c>
      <c r="Q5630" s="19">
        <v>36</v>
      </c>
      <c r="R5630" s="14">
        <v>250</v>
      </c>
      <c r="S5630" s="19">
        <v>9000</v>
      </c>
      <c r="AJ5630" s="19">
        <v>0</v>
      </c>
      <c r="AK5630" s="23">
        <v>0</v>
      </c>
      <c r="AM5630" s="19">
        <v>0</v>
      </c>
      <c r="AN5630" s="19">
        <v>9000</v>
      </c>
      <c r="AP5630" s="14">
        <v>9000</v>
      </c>
    </row>
    <row r="5631" spans="1:45" x14ac:dyDescent="0.2">
      <c r="A5631" s="2">
        <f>+A5630+1</f>
        <v>4701</v>
      </c>
      <c r="B5631" s="13">
        <v>1</v>
      </c>
      <c r="C5631" s="17" t="s">
        <v>52</v>
      </c>
      <c r="D5631" s="17">
        <v>2029</v>
      </c>
      <c r="E5631" s="17">
        <v>11</v>
      </c>
      <c r="F5631" s="17">
        <v>1695</v>
      </c>
      <c r="G5631" s="13">
        <v>3</v>
      </c>
      <c r="H5631" s="17">
        <v>2</v>
      </c>
      <c r="I5631" s="17">
        <v>2</v>
      </c>
      <c r="J5631" s="17">
        <v>2</v>
      </c>
      <c r="K5631" s="10">
        <v>1002</v>
      </c>
      <c r="P5631" s="17">
        <v>1</v>
      </c>
      <c r="Q5631" s="19">
        <v>1002</v>
      </c>
      <c r="R5631" s="14">
        <v>160</v>
      </c>
      <c r="S5631" s="19">
        <v>160320</v>
      </c>
      <c r="AJ5631" s="19">
        <v>0</v>
      </c>
      <c r="AK5631" s="23">
        <v>0</v>
      </c>
      <c r="AM5631" s="19">
        <v>0</v>
      </c>
      <c r="AN5631" s="19">
        <v>160320</v>
      </c>
      <c r="AP5631" s="14">
        <v>160320</v>
      </c>
    </row>
    <row r="5632" spans="1:45" x14ac:dyDescent="0.2">
      <c r="A5632" s="122">
        <f t="shared" ref="A5632:A5639" si="611">+A5631+1</f>
        <v>4702</v>
      </c>
      <c r="B5632" s="13">
        <v>2</v>
      </c>
      <c r="C5632" s="17" t="s">
        <v>52</v>
      </c>
      <c r="D5632" s="17">
        <v>2120</v>
      </c>
      <c r="E5632" s="17">
        <v>15</v>
      </c>
      <c r="F5632" s="17">
        <v>1687</v>
      </c>
      <c r="G5632" s="13">
        <v>3</v>
      </c>
      <c r="H5632" s="17">
        <v>0</v>
      </c>
      <c r="I5632" s="17">
        <v>1</v>
      </c>
      <c r="J5632" s="17">
        <v>3.04</v>
      </c>
      <c r="N5632" s="18">
        <v>103.04</v>
      </c>
      <c r="P5632" s="17">
        <v>4</v>
      </c>
      <c r="Q5632" s="19">
        <v>103.04</v>
      </c>
      <c r="R5632" s="14">
        <v>500</v>
      </c>
      <c r="S5632" s="19">
        <v>51520</v>
      </c>
      <c r="AJ5632" s="19">
        <v>0</v>
      </c>
      <c r="AK5632" s="23">
        <v>0</v>
      </c>
      <c r="AM5632" s="19">
        <v>0</v>
      </c>
      <c r="AN5632" s="19">
        <v>51520</v>
      </c>
      <c r="AP5632" s="14">
        <v>51520</v>
      </c>
      <c r="AQ5632" s="12">
        <v>3.0000000000000001E-3</v>
      </c>
    </row>
    <row r="5633" spans="1:45" x14ac:dyDescent="0.2">
      <c r="A5633" s="122">
        <f t="shared" si="611"/>
        <v>4703</v>
      </c>
      <c r="B5633" s="13">
        <v>3</v>
      </c>
      <c r="C5633" s="17" t="s">
        <v>52</v>
      </c>
      <c r="D5633" s="17">
        <v>2369</v>
      </c>
      <c r="E5633" s="17">
        <v>12</v>
      </c>
      <c r="F5633" s="17">
        <v>1824</v>
      </c>
      <c r="G5633" s="13">
        <v>3</v>
      </c>
      <c r="H5633" s="17">
        <v>4</v>
      </c>
      <c r="I5633" s="17">
        <v>2</v>
      </c>
      <c r="J5633" s="17">
        <v>7</v>
      </c>
      <c r="K5633" s="10">
        <v>1807</v>
      </c>
      <c r="P5633" s="17">
        <v>1</v>
      </c>
      <c r="Q5633" s="19">
        <v>1807</v>
      </c>
      <c r="R5633" s="14">
        <v>160</v>
      </c>
      <c r="S5633" s="19">
        <v>289120</v>
      </c>
      <c r="AJ5633" s="19">
        <v>0</v>
      </c>
      <c r="AK5633" s="23">
        <v>0</v>
      </c>
      <c r="AM5633" s="19">
        <v>0</v>
      </c>
      <c r="AN5633" s="19">
        <v>289120</v>
      </c>
      <c r="AP5633" s="14">
        <v>289120</v>
      </c>
    </row>
    <row r="5634" spans="1:45" ht="42" x14ac:dyDescent="0.2">
      <c r="A5634" s="122">
        <f t="shared" si="611"/>
        <v>4704</v>
      </c>
      <c r="B5634" s="13">
        <v>4</v>
      </c>
      <c r="C5634" s="17" t="s">
        <v>52</v>
      </c>
      <c r="D5634" s="17">
        <v>10450</v>
      </c>
      <c r="E5634" s="17">
        <v>16</v>
      </c>
      <c r="F5634" s="17">
        <v>3112</v>
      </c>
      <c r="G5634" s="13">
        <v>3</v>
      </c>
      <c r="H5634" s="17">
        <v>0</v>
      </c>
      <c r="I5634" s="17">
        <v>1</v>
      </c>
      <c r="J5634" s="17">
        <v>45.01</v>
      </c>
      <c r="L5634" s="17">
        <v>145.01</v>
      </c>
      <c r="P5634" s="17">
        <v>2</v>
      </c>
      <c r="Q5634" s="19">
        <v>145.01</v>
      </c>
      <c r="R5634" s="14">
        <v>2000</v>
      </c>
      <c r="S5634" s="19">
        <v>290020</v>
      </c>
      <c r="T5634" s="17">
        <v>1</v>
      </c>
      <c r="V5634" s="17" t="s">
        <v>183</v>
      </c>
      <c r="W5634" s="4">
        <v>159</v>
      </c>
      <c r="Y5634" s="4">
        <v>159</v>
      </c>
      <c r="AB5634" s="17">
        <v>4</v>
      </c>
      <c r="AJ5634" s="19">
        <v>0</v>
      </c>
      <c r="AK5634" s="23">
        <v>4</v>
      </c>
      <c r="AM5634" s="19">
        <v>0</v>
      </c>
      <c r="AN5634" s="19">
        <v>290020</v>
      </c>
      <c r="AP5634" s="14">
        <v>290020</v>
      </c>
    </row>
    <row r="5635" spans="1:45" x14ac:dyDescent="0.2">
      <c r="A5635" s="122">
        <f t="shared" si="611"/>
        <v>4705</v>
      </c>
      <c r="B5635" s="13">
        <v>5</v>
      </c>
      <c r="C5635" s="17" t="s">
        <v>52</v>
      </c>
      <c r="D5635" s="17">
        <v>10453</v>
      </c>
      <c r="E5635" s="17">
        <v>19</v>
      </c>
      <c r="F5635" s="17">
        <v>3115</v>
      </c>
      <c r="G5635" s="13">
        <v>3</v>
      </c>
      <c r="H5635" s="17">
        <v>0</v>
      </c>
      <c r="I5635" s="17">
        <v>1</v>
      </c>
      <c r="J5635" s="17">
        <v>33.049999999999997</v>
      </c>
      <c r="N5635" s="18">
        <v>133.05000000000001</v>
      </c>
      <c r="P5635" s="17">
        <v>4</v>
      </c>
      <c r="Q5635" s="19">
        <v>133.05000000000001</v>
      </c>
      <c r="R5635" s="14">
        <v>2000</v>
      </c>
      <c r="S5635" s="19">
        <v>266100</v>
      </c>
      <c r="AJ5635" s="19">
        <v>0</v>
      </c>
      <c r="AK5635" s="23">
        <v>0</v>
      </c>
      <c r="AM5635" s="19">
        <v>0</v>
      </c>
      <c r="AN5635" s="19">
        <v>266100</v>
      </c>
      <c r="AP5635" s="14">
        <v>266100</v>
      </c>
      <c r="AQ5635" s="12">
        <v>3.0000000000000001E-3</v>
      </c>
    </row>
    <row r="5636" spans="1:45" x14ac:dyDescent="0.2">
      <c r="A5636" s="122">
        <f t="shared" si="611"/>
        <v>4706</v>
      </c>
      <c r="B5636" s="13">
        <v>6</v>
      </c>
      <c r="C5636" s="17" t="s">
        <v>52</v>
      </c>
      <c r="D5636" s="17">
        <v>10456</v>
      </c>
      <c r="E5636" s="17">
        <v>22</v>
      </c>
      <c r="F5636" s="17">
        <v>3118</v>
      </c>
      <c r="G5636" s="13">
        <v>3</v>
      </c>
      <c r="H5636" s="17">
        <v>1</v>
      </c>
      <c r="I5636" s="17">
        <v>1</v>
      </c>
      <c r="J5636" s="17">
        <v>73.03</v>
      </c>
      <c r="N5636" s="18">
        <v>573.03</v>
      </c>
      <c r="P5636" s="17">
        <v>4</v>
      </c>
      <c r="Q5636" s="19">
        <v>573.03</v>
      </c>
      <c r="R5636" s="14">
        <v>160</v>
      </c>
      <c r="S5636" s="19">
        <v>91684.799999999988</v>
      </c>
      <c r="AJ5636" s="19">
        <v>0</v>
      </c>
      <c r="AK5636" s="23">
        <v>0</v>
      </c>
      <c r="AM5636" s="19">
        <v>0</v>
      </c>
      <c r="AN5636" s="19">
        <v>91684.799999999988</v>
      </c>
      <c r="AP5636" s="14">
        <v>91684.799999999988</v>
      </c>
      <c r="AQ5636" s="12">
        <v>3.0000000000000001E-3</v>
      </c>
    </row>
    <row r="5637" spans="1:45" x14ac:dyDescent="0.2">
      <c r="A5637" s="122">
        <f t="shared" si="611"/>
        <v>4707</v>
      </c>
      <c r="B5637" s="13">
        <v>1</v>
      </c>
      <c r="C5637" s="17" t="s">
        <v>52</v>
      </c>
      <c r="D5637" s="17">
        <v>2122</v>
      </c>
      <c r="E5637" s="17">
        <v>13</v>
      </c>
      <c r="F5637" s="17">
        <v>1689</v>
      </c>
      <c r="G5637" s="13">
        <v>3</v>
      </c>
      <c r="H5637" s="17">
        <v>9</v>
      </c>
      <c r="I5637" s="17">
        <v>3</v>
      </c>
      <c r="J5637" s="17">
        <v>65</v>
      </c>
      <c r="K5637" s="10">
        <v>3965</v>
      </c>
      <c r="P5637" s="17">
        <v>1</v>
      </c>
      <c r="Q5637" s="19">
        <v>3965</v>
      </c>
      <c r="R5637" s="14">
        <v>160</v>
      </c>
      <c r="S5637" s="19">
        <v>634400</v>
      </c>
      <c r="AJ5637" s="19">
        <v>0</v>
      </c>
      <c r="AK5637" s="23">
        <v>0</v>
      </c>
      <c r="AM5637" s="19">
        <v>0</v>
      </c>
      <c r="AN5637" s="19">
        <v>634400</v>
      </c>
      <c r="AP5637" s="14">
        <v>634400</v>
      </c>
    </row>
    <row r="5638" spans="1:45" ht="42" x14ac:dyDescent="0.2">
      <c r="A5638" s="122">
        <f t="shared" si="611"/>
        <v>4708</v>
      </c>
      <c r="B5638" s="13">
        <v>2</v>
      </c>
      <c r="C5638" s="17" t="s">
        <v>52</v>
      </c>
      <c r="D5638" s="17">
        <v>8356</v>
      </c>
      <c r="E5638" s="17">
        <v>28</v>
      </c>
      <c r="F5638" s="17">
        <v>3124</v>
      </c>
      <c r="G5638" s="13">
        <v>3</v>
      </c>
      <c r="H5638" s="17">
        <v>0</v>
      </c>
      <c r="I5638" s="17">
        <v>1</v>
      </c>
      <c r="J5638" s="17">
        <v>91.08</v>
      </c>
      <c r="L5638" s="17">
        <v>191.08</v>
      </c>
      <c r="P5638" s="17">
        <v>2</v>
      </c>
      <c r="Q5638" s="19">
        <v>191.07999999999998</v>
      </c>
      <c r="R5638" s="14">
        <v>2000</v>
      </c>
      <c r="S5638" s="19">
        <v>382159.99999999994</v>
      </c>
      <c r="T5638" s="17">
        <v>1</v>
      </c>
      <c r="V5638" s="17" t="s">
        <v>183</v>
      </c>
      <c r="W5638" s="4">
        <v>168</v>
      </c>
      <c r="Y5638" s="4">
        <v>168</v>
      </c>
      <c r="AB5638" s="17">
        <v>15</v>
      </c>
      <c r="AJ5638" s="19">
        <v>0</v>
      </c>
      <c r="AK5638" s="23">
        <v>15</v>
      </c>
      <c r="AM5638" s="19">
        <v>0</v>
      </c>
      <c r="AN5638" s="19">
        <v>382159.99999999994</v>
      </c>
      <c r="AP5638" s="14">
        <v>382159.99999999994</v>
      </c>
    </row>
    <row r="5639" spans="1:45" ht="42" x14ac:dyDescent="0.2">
      <c r="A5639" s="122">
        <f t="shared" si="611"/>
        <v>4709</v>
      </c>
      <c r="B5639" s="13">
        <v>1</v>
      </c>
      <c r="C5639" s="17" t="s">
        <v>52</v>
      </c>
      <c r="D5639" s="17">
        <v>8352</v>
      </c>
      <c r="E5639" s="17">
        <v>24</v>
      </c>
      <c r="F5639" s="17">
        <v>3120</v>
      </c>
      <c r="G5639" s="13">
        <v>3</v>
      </c>
      <c r="H5639" s="17">
        <v>9</v>
      </c>
      <c r="I5639" s="17">
        <v>0</v>
      </c>
      <c r="J5639" s="17">
        <v>49.03</v>
      </c>
      <c r="K5639" s="10" t="s">
        <v>560</v>
      </c>
      <c r="L5639" s="17">
        <v>56.125</v>
      </c>
      <c r="P5639" s="17">
        <v>5</v>
      </c>
      <c r="Q5639" s="19">
        <v>3649.03</v>
      </c>
      <c r="R5639" s="14">
        <v>500</v>
      </c>
      <c r="S5639" s="19">
        <v>1824515</v>
      </c>
      <c r="T5639" s="17">
        <v>1</v>
      </c>
      <c r="V5639" s="17" t="s">
        <v>183</v>
      </c>
      <c r="W5639" s="4">
        <v>115.5</v>
      </c>
      <c r="Y5639" s="4">
        <v>115.5</v>
      </c>
      <c r="AB5639" s="17">
        <v>10</v>
      </c>
      <c r="AJ5639" s="19">
        <v>0</v>
      </c>
      <c r="AK5639" s="23">
        <v>10</v>
      </c>
      <c r="AM5639" s="19">
        <v>0</v>
      </c>
      <c r="AN5639" s="19">
        <v>1824515</v>
      </c>
      <c r="AP5639" s="14">
        <v>1824515</v>
      </c>
      <c r="AS5639" s="26">
        <v>45</v>
      </c>
    </row>
    <row r="5640" spans="1:45" ht="42" x14ac:dyDescent="0.2">
      <c r="P5640" s="17">
        <v>2</v>
      </c>
      <c r="Q5640" s="19">
        <v>0</v>
      </c>
      <c r="R5640" s="14" t="e">
        <v>#N/A</v>
      </c>
      <c r="S5640" s="19" t="e">
        <v>#N/A</v>
      </c>
      <c r="T5640" s="17">
        <v>2</v>
      </c>
      <c r="V5640" s="17" t="s">
        <v>183</v>
      </c>
      <c r="W5640" s="4">
        <v>85</v>
      </c>
      <c r="Y5640" s="4">
        <v>85</v>
      </c>
      <c r="AB5640" s="17">
        <v>21</v>
      </c>
      <c r="AJ5640" s="19">
        <v>0</v>
      </c>
      <c r="AK5640" s="23">
        <v>21</v>
      </c>
      <c r="AM5640" s="19">
        <v>0</v>
      </c>
      <c r="AN5640" s="19" t="e">
        <v>#N/A</v>
      </c>
      <c r="AP5640" s="14" t="e">
        <v>#N/A</v>
      </c>
    </row>
    <row r="5641" spans="1:45" ht="42" x14ac:dyDescent="0.2">
      <c r="P5641" s="17">
        <v>2</v>
      </c>
      <c r="Q5641" s="19">
        <v>0</v>
      </c>
      <c r="R5641" s="14" t="e">
        <v>#N/A</v>
      </c>
      <c r="S5641" s="19" t="e">
        <v>#N/A</v>
      </c>
      <c r="T5641" s="17">
        <v>3</v>
      </c>
      <c r="V5641" s="17" t="s">
        <v>183</v>
      </c>
      <c r="W5641" s="4">
        <v>24</v>
      </c>
      <c r="Y5641" s="4">
        <v>24</v>
      </c>
      <c r="AB5641" s="17">
        <v>5</v>
      </c>
      <c r="AJ5641" s="19">
        <v>0</v>
      </c>
      <c r="AK5641" s="23">
        <v>5</v>
      </c>
      <c r="AM5641" s="19">
        <v>0</v>
      </c>
      <c r="AN5641" s="19" t="e">
        <v>#N/A</v>
      </c>
      <c r="AP5641" s="14" t="e">
        <v>#N/A</v>
      </c>
    </row>
    <row r="5642" spans="1:45" ht="42" x14ac:dyDescent="0.2">
      <c r="A5642" s="2">
        <v>4710</v>
      </c>
      <c r="B5642" s="13">
        <v>1</v>
      </c>
      <c r="C5642" s="17" t="s">
        <v>52</v>
      </c>
      <c r="D5642" s="17">
        <v>10457</v>
      </c>
      <c r="E5642" s="17">
        <v>23</v>
      </c>
      <c r="F5642" s="17">
        <v>3119</v>
      </c>
      <c r="G5642" s="13">
        <v>3</v>
      </c>
      <c r="H5642" s="17">
        <v>6</v>
      </c>
      <c r="I5642" s="17">
        <v>0</v>
      </c>
      <c r="J5642" s="17">
        <v>29.03</v>
      </c>
      <c r="K5642" s="10" t="s">
        <v>561</v>
      </c>
      <c r="L5642" s="17" t="s">
        <v>426</v>
      </c>
      <c r="P5642" s="17">
        <v>5</v>
      </c>
      <c r="Q5642" s="19">
        <v>2429.0300000000002</v>
      </c>
      <c r="R5642" s="14">
        <v>500</v>
      </c>
      <c r="S5642" s="19">
        <v>1214515</v>
      </c>
      <c r="T5642" s="17">
        <v>1</v>
      </c>
      <c r="V5642" s="17" t="s">
        <v>183</v>
      </c>
      <c r="W5642" s="4">
        <v>176</v>
      </c>
      <c r="Y5642" s="4">
        <v>176</v>
      </c>
      <c r="AB5642" s="17">
        <v>19</v>
      </c>
      <c r="AJ5642" s="19">
        <v>0</v>
      </c>
      <c r="AK5642" s="23">
        <v>19</v>
      </c>
      <c r="AM5642" s="19">
        <v>0</v>
      </c>
      <c r="AN5642" s="19">
        <v>1214515</v>
      </c>
      <c r="AP5642" s="14">
        <v>1214515</v>
      </c>
    </row>
    <row r="5643" spans="1:45" x14ac:dyDescent="0.2">
      <c r="A5643" s="2">
        <v>4711</v>
      </c>
      <c r="B5643" s="13">
        <v>2</v>
      </c>
      <c r="C5643" s="17" t="s">
        <v>52</v>
      </c>
      <c r="D5643" s="17">
        <v>35135</v>
      </c>
      <c r="E5643" s="17">
        <v>38</v>
      </c>
      <c r="F5643" s="17">
        <v>6893</v>
      </c>
      <c r="G5643" s="13">
        <v>3</v>
      </c>
      <c r="H5643" s="17">
        <v>0</v>
      </c>
      <c r="I5643" s="17">
        <v>3</v>
      </c>
      <c r="J5643" s="17">
        <v>44.03</v>
      </c>
      <c r="K5643" s="10">
        <v>344.03</v>
      </c>
      <c r="P5643" s="17">
        <v>1</v>
      </c>
      <c r="Q5643" s="19">
        <v>344.03</v>
      </c>
      <c r="R5643" s="14">
        <v>1500</v>
      </c>
      <c r="S5643" s="19">
        <v>516044.99999999994</v>
      </c>
      <c r="AJ5643" s="19">
        <v>0</v>
      </c>
      <c r="AK5643" s="23">
        <v>0</v>
      </c>
      <c r="AM5643" s="19">
        <v>0</v>
      </c>
      <c r="AN5643" s="19">
        <v>516044.99999999994</v>
      </c>
      <c r="AP5643" s="14">
        <v>516044.99999999994</v>
      </c>
    </row>
    <row r="5644" spans="1:45" x14ac:dyDescent="0.2">
      <c r="A5644" s="2">
        <v>4712</v>
      </c>
      <c r="B5644" s="13">
        <v>1</v>
      </c>
      <c r="C5644" s="17" t="s">
        <v>52</v>
      </c>
      <c r="D5644" s="17">
        <v>10454</v>
      </c>
      <c r="E5644" s="17">
        <v>20</v>
      </c>
      <c r="F5644" s="17">
        <v>3116</v>
      </c>
      <c r="G5644" s="13">
        <v>3</v>
      </c>
      <c r="H5644" s="17">
        <v>4</v>
      </c>
      <c r="I5644" s="17">
        <v>2</v>
      </c>
      <c r="J5644" s="17">
        <v>68.02</v>
      </c>
      <c r="K5644" s="10">
        <v>1868.02</v>
      </c>
      <c r="P5644" s="17">
        <v>1</v>
      </c>
      <c r="Q5644" s="19">
        <v>1868.02</v>
      </c>
      <c r="R5644" s="14">
        <v>160</v>
      </c>
      <c r="S5644" s="19">
        <v>298883.20000000001</v>
      </c>
      <c r="AJ5644" s="19">
        <v>0</v>
      </c>
      <c r="AK5644" s="23">
        <v>0</v>
      </c>
      <c r="AM5644" s="19">
        <v>0</v>
      </c>
      <c r="AN5644" s="19">
        <v>298883.20000000001</v>
      </c>
      <c r="AP5644" s="14">
        <v>298883.20000000001</v>
      </c>
    </row>
    <row r="5645" spans="1:45" ht="42" x14ac:dyDescent="0.2">
      <c r="A5645" s="2">
        <v>4713</v>
      </c>
      <c r="B5645" s="13">
        <v>2</v>
      </c>
      <c r="C5645" s="17" t="s">
        <v>52</v>
      </c>
      <c r="D5645" s="17">
        <v>2352</v>
      </c>
      <c r="E5645" s="17">
        <v>1</v>
      </c>
      <c r="F5645" s="17">
        <v>1150</v>
      </c>
      <c r="G5645" s="13">
        <v>4</v>
      </c>
      <c r="H5645" s="17">
        <v>0</v>
      </c>
      <c r="I5645" s="17">
        <v>1</v>
      </c>
      <c r="J5645" s="17">
        <v>69.09</v>
      </c>
      <c r="L5645" s="17">
        <v>169.09</v>
      </c>
      <c r="P5645" s="17">
        <v>2</v>
      </c>
      <c r="Q5645" s="19">
        <v>169.09</v>
      </c>
      <c r="R5645" s="14">
        <v>2000</v>
      </c>
      <c r="S5645" s="19">
        <v>338180</v>
      </c>
      <c r="T5645" s="17">
        <v>1</v>
      </c>
      <c r="V5645" s="17" t="s">
        <v>183</v>
      </c>
      <c r="W5645" s="4">
        <v>429</v>
      </c>
      <c r="Y5645" s="4">
        <v>429</v>
      </c>
      <c r="AB5645" s="17">
        <v>31</v>
      </c>
      <c r="AJ5645" s="19">
        <v>0</v>
      </c>
      <c r="AK5645" s="23">
        <v>31</v>
      </c>
      <c r="AM5645" s="19">
        <v>0</v>
      </c>
      <c r="AN5645" s="19">
        <v>338180</v>
      </c>
      <c r="AP5645" s="14">
        <v>338180</v>
      </c>
    </row>
    <row r="5646" spans="1:45" ht="105" x14ac:dyDescent="0.2">
      <c r="Q5646" s="19">
        <v>0</v>
      </c>
      <c r="R5646" s="14" t="e">
        <v>#N/A</v>
      </c>
      <c r="S5646" s="19" t="e">
        <v>#N/A</v>
      </c>
      <c r="T5646" s="17">
        <v>2</v>
      </c>
      <c r="U5646" s="17" t="s">
        <v>174</v>
      </c>
      <c r="W5646" s="4">
        <v>48</v>
      </c>
      <c r="Y5646" s="4">
        <v>48</v>
      </c>
      <c r="AB5646" s="17">
        <v>15</v>
      </c>
      <c r="AC5646" s="14" t="s">
        <v>535</v>
      </c>
      <c r="AJ5646" s="19">
        <v>0</v>
      </c>
      <c r="AK5646" s="23">
        <v>15</v>
      </c>
      <c r="AM5646" s="19">
        <v>0</v>
      </c>
      <c r="AN5646" s="19" t="e">
        <v>#N/A</v>
      </c>
      <c r="AP5646" s="14" t="e">
        <v>#N/A</v>
      </c>
    </row>
    <row r="5647" spans="1:45" x14ac:dyDescent="0.2">
      <c r="A5647" s="2">
        <v>4714</v>
      </c>
      <c r="B5647" s="13">
        <v>1</v>
      </c>
      <c r="C5647" s="17" t="s">
        <v>52</v>
      </c>
      <c r="D5647" s="17">
        <v>398</v>
      </c>
      <c r="E5647" s="17">
        <v>541</v>
      </c>
      <c r="F5647" s="17">
        <v>40</v>
      </c>
      <c r="G5647" s="13">
        <v>2</v>
      </c>
      <c r="H5647" s="17">
        <v>1</v>
      </c>
      <c r="I5647" s="17">
        <v>3</v>
      </c>
      <c r="J5647" s="17">
        <v>14</v>
      </c>
      <c r="L5647" s="17" t="s">
        <v>562</v>
      </c>
      <c r="P5647" s="17">
        <v>2</v>
      </c>
      <c r="Q5647" s="19">
        <v>714</v>
      </c>
      <c r="R5647" s="14">
        <v>4500</v>
      </c>
      <c r="S5647" s="19">
        <v>3213000</v>
      </c>
      <c r="AN5647" s="19">
        <v>1559911.5</v>
      </c>
      <c r="AP5647" s="14">
        <v>1559911.5</v>
      </c>
      <c r="AQ5647" s="12">
        <v>3.0000000000000001E-3</v>
      </c>
    </row>
    <row r="5648" spans="1:45" ht="231" x14ac:dyDescent="0.2">
      <c r="T5648" s="17">
        <v>1</v>
      </c>
      <c r="V5648" s="17" t="s">
        <v>563</v>
      </c>
      <c r="W5648" s="4" t="s">
        <v>564</v>
      </c>
      <c r="Z5648" s="17" t="s">
        <v>564</v>
      </c>
      <c r="AB5648" s="17" t="s">
        <v>360</v>
      </c>
      <c r="AC5648" s="14" t="s">
        <v>486</v>
      </c>
      <c r="AF5648" s="14">
        <v>3</v>
      </c>
      <c r="AG5648" s="54">
        <v>720</v>
      </c>
      <c r="AH5648" s="11">
        <v>1</v>
      </c>
      <c r="AI5648" s="14">
        <v>3600</v>
      </c>
      <c r="AJ5648" s="19">
        <v>2592000</v>
      </c>
      <c r="AK5648" s="23" t="s">
        <v>360</v>
      </c>
      <c r="AL5648" s="11">
        <v>0.1</v>
      </c>
      <c r="AM5648" s="19">
        <v>2332800</v>
      </c>
      <c r="AP5648" s="14">
        <v>2332800</v>
      </c>
      <c r="AQ5648" s="12">
        <v>3.0000000000000001E-3</v>
      </c>
    </row>
    <row r="5649" spans="1:45" ht="231" x14ac:dyDescent="0.2">
      <c r="Q5649" s="19">
        <v>0</v>
      </c>
      <c r="T5649" s="17">
        <v>2</v>
      </c>
      <c r="V5649" s="17" t="s">
        <v>183</v>
      </c>
      <c r="W5649" s="4">
        <v>210</v>
      </c>
      <c r="Z5649" s="17" t="s">
        <v>565</v>
      </c>
      <c r="AB5649" s="17">
        <v>10</v>
      </c>
      <c r="AC5649" s="14" t="s">
        <v>486</v>
      </c>
      <c r="AF5649" s="14">
        <v>3</v>
      </c>
      <c r="AG5649" s="54">
        <v>210</v>
      </c>
      <c r="AH5649" s="11">
        <v>1</v>
      </c>
      <c r="AI5649" s="14">
        <v>3600</v>
      </c>
      <c r="AJ5649" s="19">
        <v>756000</v>
      </c>
      <c r="AK5649" s="23">
        <v>10</v>
      </c>
      <c r="AL5649" s="11">
        <v>0.1</v>
      </c>
      <c r="AM5649" s="19">
        <v>680400</v>
      </c>
      <c r="AP5649" s="14">
        <v>680400</v>
      </c>
      <c r="AQ5649" s="12">
        <v>3.0000000000000001E-3</v>
      </c>
    </row>
    <row r="5650" spans="1:45" ht="231" x14ac:dyDescent="0.2">
      <c r="Q5650" s="19">
        <v>0</v>
      </c>
      <c r="T5650" s="17">
        <v>3</v>
      </c>
      <c r="V5650" s="17" t="s">
        <v>183</v>
      </c>
      <c r="W5650" s="4">
        <v>147</v>
      </c>
      <c r="Z5650" s="17">
        <v>147</v>
      </c>
      <c r="AB5650" s="17" t="s">
        <v>360</v>
      </c>
      <c r="AC5650" s="14" t="s">
        <v>486</v>
      </c>
      <c r="AF5650" s="14">
        <v>3</v>
      </c>
      <c r="AG5650" s="54">
        <v>147</v>
      </c>
      <c r="AH5650" s="11">
        <v>1</v>
      </c>
      <c r="AI5650" s="14">
        <v>5800</v>
      </c>
      <c r="AJ5650" s="19">
        <v>852600</v>
      </c>
      <c r="AK5650" s="23" t="s">
        <v>360</v>
      </c>
      <c r="AL5650" s="11">
        <v>0.1</v>
      </c>
      <c r="AM5650" s="19">
        <v>767340</v>
      </c>
      <c r="AP5650" s="14">
        <v>767340</v>
      </c>
      <c r="AQ5650" s="12">
        <v>3.0000000000000001E-3</v>
      </c>
    </row>
    <row r="5651" spans="1:45" ht="231" x14ac:dyDescent="0.2">
      <c r="Q5651" s="19">
        <v>0</v>
      </c>
      <c r="T5651" s="17">
        <v>4</v>
      </c>
      <c r="U5651" s="17" t="s">
        <v>174</v>
      </c>
      <c r="V5651" s="17" t="s">
        <v>56</v>
      </c>
      <c r="W5651" s="4">
        <v>91</v>
      </c>
      <c r="Y5651" s="4">
        <v>91</v>
      </c>
      <c r="AB5651" s="17" t="s">
        <v>360</v>
      </c>
      <c r="AC5651" s="14" t="s">
        <v>486</v>
      </c>
      <c r="AF5651" s="14">
        <v>3</v>
      </c>
      <c r="AG5651" s="54">
        <v>91</v>
      </c>
      <c r="AH5651" s="11">
        <v>1</v>
      </c>
      <c r="AI5651" s="14">
        <v>5800</v>
      </c>
      <c r="AJ5651" s="19">
        <v>527800</v>
      </c>
      <c r="AK5651" s="23" t="s">
        <v>360</v>
      </c>
      <c r="AL5651" s="11">
        <v>0.1</v>
      </c>
      <c r="AM5651" s="19">
        <v>475020</v>
      </c>
      <c r="AP5651" s="14">
        <v>475020</v>
      </c>
      <c r="AQ5651" s="12">
        <v>3.0000000000000001E-3</v>
      </c>
      <c r="AS5651" s="26">
        <v>864</v>
      </c>
    </row>
    <row r="5653" spans="1:45" ht="126" x14ac:dyDescent="0.2">
      <c r="Q5653" s="19">
        <v>0</v>
      </c>
      <c r="S5653" s="19">
        <v>0</v>
      </c>
      <c r="T5653" s="17">
        <v>5</v>
      </c>
      <c r="U5653" s="17" t="s">
        <v>155</v>
      </c>
      <c r="V5653" s="17" t="s">
        <v>56</v>
      </c>
      <c r="W5653" s="4" t="s">
        <v>565</v>
      </c>
      <c r="Z5653" s="17" t="s">
        <v>565</v>
      </c>
      <c r="AB5653" s="17">
        <v>10</v>
      </c>
      <c r="AC5653" s="14" t="s">
        <v>566</v>
      </c>
      <c r="AF5653" s="14">
        <v>3</v>
      </c>
      <c r="AG5653" s="54">
        <v>210</v>
      </c>
      <c r="AH5653" s="11">
        <v>1</v>
      </c>
      <c r="AI5653" s="14">
        <v>5800</v>
      </c>
      <c r="AJ5653" s="19">
        <v>1218000</v>
      </c>
      <c r="AK5653" s="23">
        <v>11</v>
      </c>
      <c r="AL5653" s="11">
        <v>0.12</v>
      </c>
      <c r="AM5653" s="19">
        <v>1071840</v>
      </c>
      <c r="AN5653" s="19">
        <v>1526800.8</v>
      </c>
      <c r="AP5653" s="14">
        <v>1526800.8</v>
      </c>
      <c r="AQ5653" s="12">
        <v>3.0000000000000001E-3</v>
      </c>
    </row>
    <row r="5654" spans="1:45" x14ac:dyDescent="0.2">
      <c r="B5654" s="13">
        <v>2</v>
      </c>
      <c r="C5654" s="17" t="s">
        <v>97</v>
      </c>
      <c r="D5654" s="17">
        <v>74</v>
      </c>
      <c r="G5654" s="13">
        <v>4</v>
      </c>
      <c r="H5654" s="17">
        <v>11</v>
      </c>
      <c r="I5654" s="17">
        <v>0</v>
      </c>
      <c r="J5654" s="17">
        <v>0</v>
      </c>
      <c r="K5654" s="10">
        <v>4400</v>
      </c>
      <c r="P5654" s="17">
        <v>1</v>
      </c>
      <c r="Q5654" s="19">
        <v>4400</v>
      </c>
      <c r="R5654" s="14" t="e">
        <v>#N/A</v>
      </c>
      <c r="S5654" s="19" t="e">
        <v>#N/A</v>
      </c>
      <c r="AJ5654" s="19">
        <v>0</v>
      </c>
      <c r="AK5654" s="23">
        <v>0</v>
      </c>
      <c r="AM5654" s="19">
        <v>0</v>
      </c>
      <c r="AN5654" s="19" t="e">
        <v>#N/A</v>
      </c>
      <c r="AP5654" s="14" t="e">
        <v>#N/A</v>
      </c>
      <c r="AQ5654" s="12">
        <v>1E-4</v>
      </c>
    </row>
    <row r="5655" spans="1:45" x14ac:dyDescent="0.2">
      <c r="A5655" s="2">
        <v>4715</v>
      </c>
      <c r="B5655" s="13">
        <v>3</v>
      </c>
      <c r="C5655" s="17" t="s">
        <v>65</v>
      </c>
      <c r="D5655" s="17">
        <v>767</v>
      </c>
      <c r="E5655" s="17">
        <v>14</v>
      </c>
      <c r="H5655" s="17">
        <v>2</v>
      </c>
      <c r="I5655" s="17">
        <v>0</v>
      </c>
      <c r="J5655" s="17">
        <v>0</v>
      </c>
      <c r="K5655" s="10">
        <v>800</v>
      </c>
      <c r="P5655" s="17">
        <v>1</v>
      </c>
      <c r="Q5655" s="19">
        <v>800</v>
      </c>
      <c r="R5655" s="14">
        <v>1000</v>
      </c>
      <c r="S5655" s="19">
        <v>800000</v>
      </c>
      <c r="AJ5655" s="19">
        <v>0</v>
      </c>
      <c r="AK5655" s="23">
        <v>0</v>
      </c>
      <c r="AM5655" s="19">
        <v>0</v>
      </c>
      <c r="AN5655" s="19">
        <v>800000</v>
      </c>
      <c r="AP5655" s="14">
        <v>800000</v>
      </c>
      <c r="AQ5655" s="12">
        <v>1E-4</v>
      </c>
    </row>
    <row r="5656" spans="1:45" x14ac:dyDescent="0.2">
      <c r="B5656" s="13">
        <v>1</v>
      </c>
      <c r="C5656" s="17" t="s">
        <v>65</v>
      </c>
      <c r="D5656" s="17">
        <v>3507</v>
      </c>
      <c r="E5656" s="17">
        <v>72</v>
      </c>
      <c r="H5656" s="17">
        <v>0</v>
      </c>
      <c r="I5656" s="17">
        <v>2</v>
      </c>
      <c r="J5656" s="17">
        <v>59</v>
      </c>
      <c r="K5656" s="10">
        <v>259</v>
      </c>
      <c r="Q5656" s="19">
        <v>259</v>
      </c>
      <c r="R5656" s="14" t="e">
        <v>#N/A</v>
      </c>
      <c r="S5656" s="19" t="e">
        <v>#N/A</v>
      </c>
      <c r="AE5656" s="17" t="s">
        <v>95</v>
      </c>
      <c r="AJ5656" s="19">
        <v>0</v>
      </c>
      <c r="AK5656" s="23">
        <v>0</v>
      </c>
      <c r="AM5656" s="19">
        <v>0</v>
      </c>
      <c r="AN5656" s="19" t="e">
        <v>#N/A</v>
      </c>
      <c r="AP5656" s="14" t="e">
        <v>#N/A</v>
      </c>
      <c r="AQ5656" s="12">
        <v>1E-4</v>
      </c>
    </row>
    <row r="5657" spans="1:45" x14ac:dyDescent="0.2">
      <c r="A5657" s="2">
        <v>4716</v>
      </c>
      <c r="B5657" s="13">
        <v>1</v>
      </c>
      <c r="C5657" s="17" t="s">
        <v>52</v>
      </c>
      <c r="D5657" s="17">
        <v>15968</v>
      </c>
      <c r="E5657" s="17">
        <v>38</v>
      </c>
      <c r="F5657" s="17">
        <v>3477</v>
      </c>
      <c r="G5657" s="13">
        <v>3</v>
      </c>
      <c r="H5657" s="17">
        <v>1</v>
      </c>
      <c r="I5657" s="17">
        <v>2</v>
      </c>
      <c r="J5657" s="17">
        <v>35</v>
      </c>
      <c r="K5657" s="10">
        <v>635</v>
      </c>
      <c r="P5657" s="17">
        <v>1</v>
      </c>
      <c r="Q5657" s="19">
        <v>635</v>
      </c>
      <c r="R5657" s="14">
        <v>200</v>
      </c>
      <c r="S5657" s="19">
        <v>127000</v>
      </c>
      <c r="AJ5657" s="19">
        <v>0</v>
      </c>
      <c r="AK5657" s="23">
        <v>0</v>
      </c>
      <c r="AM5657" s="19">
        <v>0</v>
      </c>
      <c r="AN5657" s="19">
        <v>127000</v>
      </c>
      <c r="AP5657" s="14">
        <v>127000</v>
      </c>
    </row>
    <row r="5658" spans="1:45" x14ac:dyDescent="0.2">
      <c r="B5658" s="13">
        <v>1</v>
      </c>
      <c r="C5658" s="17" t="s">
        <v>65</v>
      </c>
      <c r="D5658" s="17">
        <v>3506</v>
      </c>
      <c r="E5658" s="17">
        <v>71</v>
      </c>
      <c r="H5658" s="17">
        <v>0</v>
      </c>
      <c r="I5658" s="17">
        <v>2</v>
      </c>
      <c r="J5658" s="17">
        <v>65</v>
      </c>
      <c r="K5658" s="10">
        <v>265</v>
      </c>
      <c r="Q5658" s="19">
        <v>265</v>
      </c>
      <c r="R5658" s="14" t="e">
        <v>#N/A</v>
      </c>
      <c r="S5658" s="19" t="e">
        <v>#N/A</v>
      </c>
      <c r="AE5658" s="17" t="s">
        <v>95</v>
      </c>
      <c r="AJ5658" s="19">
        <v>0</v>
      </c>
      <c r="AK5658" s="23">
        <v>0</v>
      </c>
      <c r="AM5658" s="19">
        <v>0</v>
      </c>
      <c r="AN5658" s="19" t="e">
        <v>#N/A</v>
      </c>
      <c r="AP5658" s="14" t="e">
        <v>#N/A</v>
      </c>
      <c r="AQ5658" s="12">
        <v>1E-4</v>
      </c>
    </row>
    <row r="5659" spans="1:45" x14ac:dyDescent="0.2">
      <c r="B5659" s="13">
        <v>1</v>
      </c>
      <c r="C5659" s="17" t="s">
        <v>65</v>
      </c>
      <c r="D5659" s="17">
        <v>3691</v>
      </c>
      <c r="E5659" s="17">
        <v>84</v>
      </c>
      <c r="H5659" s="17">
        <v>0</v>
      </c>
      <c r="I5659" s="17">
        <v>1</v>
      </c>
      <c r="J5659" s="17">
        <v>26</v>
      </c>
      <c r="K5659" s="10">
        <v>126</v>
      </c>
      <c r="Q5659" s="19">
        <v>126</v>
      </c>
      <c r="R5659" s="14" t="e">
        <v>#N/A</v>
      </c>
      <c r="S5659" s="19" t="e">
        <v>#N/A</v>
      </c>
      <c r="AJ5659" s="19">
        <v>0</v>
      </c>
      <c r="AK5659" s="23">
        <v>0</v>
      </c>
      <c r="AM5659" s="19">
        <v>0</v>
      </c>
      <c r="AN5659" s="19" t="e">
        <v>#N/A</v>
      </c>
      <c r="AP5659" s="14" t="e">
        <v>#N/A</v>
      </c>
      <c r="AQ5659" s="12">
        <v>1E-4</v>
      </c>
    </row>
    <row r="5660" spans="1:45" x14ac:dyDescent="0.2">
      <c r="B5660" s="13">
        <v>2</v>
      </c>
      <c r="C5660" s="17" t="s">
        <v>65</v>
      </c>
      <c r="D5660" s="17">
        <v>3692</v>
      </c>
      <c r="E5660" s="17">
        <v>85</v>
      </c>
      <c r="H5660" s="17">
        <v>0</v>
      </c>
      <c r="I5660" s="17">
        <v>1</v>
      </c>
      <c r="J5660" s="17">
        <v>29</v>
      </c>
      <c r="K5660" s="10">
        <v>129</v>
      </c>
      <c r="Q5660" s="19">
        <v>129</v>
      </c>
      <c r="R5660" s="14" t="e">
        <v>#N/A</v>
      </c>
      <c r="S5660" s="19" t="e">
        <v>#N/A</v>
      </c>
      <c r="AE5660" s="17" t="s">
        <v>95</v>
      </c>
      <c r="AJ5660" s="19">
        <v>0</v>
      </c>
      <c r="AK5660" s="23">
        <v>0</v>
      </c>
      <c r="AM5660" s="19">
        <v>0</v>
      </c>
      <c r="AN5660" s="19" t="e">
        <v>#N/A</v>
      </c>
      <c r="AP5660" s="14" t="e">
        <v>#N/A</v>
      </c>
      <c r="AQ5660" s="12">
        <v>1E-4</v>
      </c>
    </row>
    <row r="5661" spans="1:45" x14ac:dyDescent="0.2">
      <c r="B5661" s="13">
        <v>3</v>
      </c>
      <c r="C5661" s="17" t="s">
        <v>65</v>
      </c>
      <c r="D5661" s="17">
        <v>3693</v>
      </c>
      <c r="E5661" s="17">
        <v>86</v>
      </c>
      <c r="H5661" s="17">
        <v>0</v>
      </c>
      <c r="I5661" s="17">
        <v>1</v>
      </c>
      <c r="J5661" s="17">
        <v>31</v>
      </c>
      <c r="K5661" s="10">
        <v>131</v>
      </c>
      <c r="Q5661" s="19">
        <v>131</v>
      </c>
      <c r="R5661" s="14" t="e">
        <v>#N/A</v>
      </c>
      <c r="S5661" s="19" t="e">
        <v>#N/A</v>
      </c>
      <c r="AE5661" s="17" t="s">
        <v>95</v>
      </c>
      <c r="AJ5661" s="19">
        <v>0</v>
      </c>
      <c r="AK5661" s="23">
        <v>0</v>
      </c>
      <c r="AM5661" s="19">
        <v>0</v>
      </c>
      <c r="AN5661" s="19" t="e">
        <v>#N/A</v>
      </c>
      <c r="AP5661" s="14" t="e">
        <v>#N/A</v>
      </c>
      <c r="AQ5661" s="12">
        <v>1E-4</v>
      </c>
    </row>
    <row r="5662" spans="1:45" x14ac:dyDescent="0.2">
      <c r="B5662" s="13">
        <v>4</v>
      </c>
      <c r="C5662" s="17" t="s">
        <v>65</v>
      </c>
      <c r="D5662" s="17">
        <v>3694</v>
      </c>
      <c r="E5662" s="17">
        <v>87</v>
      </c>
      <c r="H5662" s="17">
        <v>0</v>
      </c>
      <c r="I5662" s="17">
        <v>1</v>
      </c>
      <c r="J5662" s="17">
        <v>96</v>
      </c>
      <c r="K5662" s="10">
        <v>196</v>
      </c>
      <c r="Q5662" s="19">
        <v>196</v>
      </c>
      <c r="R5662" s="14" t="e">
        <v>#N/A</v>
      </c>
      <c r="S5662" s="19" t="e">
        <v>#N/A</v>
      </c>
      <c r="AE5662" s="17" t="s">
        <v>95</v>
      </c>
      <c r="AJ5662" s="19">
        <v>0</v>
      </c>
      <c r="AK5662" s="23">
        <v>0</v>
      </c>
      <c r="AM5662" s="19">
        <v>0</v>
      </c>
      <c r="AN5662" s="19" t="e">
        <v>#N/A</v>
      </c>
      <c r="AP5662" s="14" t="e">
        <v>#N/A</v>
      </c>
      <c r="AQ5662" s="12">
        <v>1E-4</v>
      </c>
    </row>
    <row r="5663" spans="1:45" x14ac:dyDescent="0.2">
      <c r="B5663" s="13">
        <v>5</v>
      </c>
      <c r="C5663" s="17" t="s">
        <v>65</v>
      </c>
      <c r="D5663" s="17">
        <v>3695</v>
      </c>
      <c r="E5663" s="17">
        <v>88</v>
      </c>
      <c r="H5663" s="17">
        <v>2</v>
      </c>
      <c r="I5663" s="17">
        <v>3</v>
      </c>
      <c r="J5663" s="17">
        <v>85</v>
      </c>
      <c r="K5663" s="10">
        <v>1185</v>
      </c>
      <c r="Q5663" s="19">
        <v>1185</v>
      </c>
      <c r="R5663" s="14" t="e">
        <v>#N/A</v>
      </c>
      <c r="S5663" s="19" t="e">
        <v>#N/A</v>
      </c>
      <c r="AE5663" s="17" t="s">
        <v>95</v>
      </c>
      <c r="AJ5663" s="19">
        <v>0</v>
      </c>
      <c r="AK5663" s="23">
        <v>0</v>
      </c>
      <c r="AM5663" s="19">
        <v>0</v>
      </c>
      <c r="AN5663" s="19" t="e">
        <v>#N/A</v>
      </c>
      <c r="AP5663" s="14" t="e">
        <v>#N/A</v>
      </c>
      <c r="AQ5663" s="12">
        <v>1E-4</v>
      </c>
    </row>
    <row r="5664" spans="1:45" x14ac:dyDescent="0.2">
      <c r="B5664" s="13">
        <v>6</v>
      </c>
      <c r="C5664" s="17" t="s">
        <v>65</v>
      </c>
      <c r="D5664" s="17">
        <v>3696</v>
      </c>
      <c r="E5664" s="17">
        <v>89</v>
      </c>
      <c r="H5664" s="17">
        <v>2</v>
      </c>
      <c r="I5664" s="17">
        <v>1</v>
      </c>
      <c r="J5664" s="17">
        <v>39</v>
      </c>
      <c r="K5664" s="10">
        <v>939</v>
      </c>
      <c r="Q5664" s="19">
        <v>939</v>
      </c>
      <c r="R5664" s="14" t="e">
        <v>#N/A</v>
      </c>
      <c r="S5664" s="19" t="e">
        <v>#N/A</v>
      </c>
      <c r="AE5664" s="17" t="s">
        <v>95</v>
      </c>
      <c r="AJ5664" s="19">
        <v>0</v>
      </c>
      <c r="AK5664" s="23">
        <v>0</v>
      </c>
      <c r="AM5664" s="19">
        <v>0</v>
      </c>
      <c r="AN5664" s="19" t="e">
        <v>#N/A</v>
      </c>
      <c r="AP5664" s="14" t="e">
        <v>#N/A</v>
      </c>
      <c r="AQ5664" s="12">
        <v>1E-4</v>
      </c>
    </row>
    <row r="5665" spans="1:45" x14ac:dyDescent="0.2">
      <c r="B5665" s="13">
        <v>7</v>
      </c>
      <c r="C5665" s="17" t="s">
        <v>65</v>
      </c>
      <c r="D5665" s="17">
        <v>3697</v>
      </c>
      <c r="E5665" s="17">
        <v>90</v>
      </c>
      <c r="H5665" s="17">
        <v>2</v>
      </c>
      <c r="I5665" s="17">
        <v>2</v>
      </c>
      <c r="J5665" s="17">
        <v>1</v>
      </c>
      <c r="K5665" s="10">
        <v>1001</v>
      </c>
      <c r="Q5665" s="19">
        <v>1001</v>
      </c>
      <c r="R5665" s="14" t="e">
        <v>#N/A</v>
      </c>
      <c r="S5665" s="19" t="e">
        <v>#N/A</v>
      </c>
      <c r="AE5665" s="17" t="s">
        <v>95</v>
      </c>
      <c r="AJ5665" s="19">
        <v>0</v>
      </c>
      <c r="AK5665" s="23">
        <v>0</v>
      </c>
      <c r="AM5665" s="19">
        <v>0</v>
      </c>
      <c r="AN5665" s="19" t="e">
        <v>#N/A</v>
      </c>
      <c r="AP5665" s="14" t="e">
        <v>#N/A</v>
      </c>
      <c r="AQ5665" s="12">
        <v>1E-4</v>
      </c>
    </row>
    <row r="5666" spans="1:45" x14ac:dyDescent="0.2">
      <c r="B5666" s="13">
        <v>1</v>
      </c>
      <c r="C5666" s="17" t="s">
        <v>65</v>
      </c>
      <c r="D5666" s="17">
        <v>2883</v>
      </c>
      <c r="E5666" s="17">
        <v>111</v>
      </c>
      <c r="H5666" s="17">
        <v>0</v>
      </c>
      <c r="I5666" s="17">
        <v>0</v>
      </c>
      <c r="J5666" s="17">
        <v>22</v>
      </c>
      <c r="N5666" s="18">
        <v>22</v>
      </c>
      <c r="Q5666" s="19">
        <v>22</v>
      </c>
      <c r="R5666" s="14" t="e">
        <v>#N/A</v>
      </c>
      <c r="S5666" s="19" t="e">
        <v>#N/A</v>
      </c>
      <c r="AE5666" s="17" t="s">
        <v>95</v>
      </c>
      <c r="AJ5666" s="19">
        <v>0</v>
      </c>
      <c r="AK5666" s="23">
        <v>0</v>
      </c>
      <c r="AM5666" s="19">
        <v>0</v>
      </c>
      <c r="AN5666" s="19" t="e">
        <v>#N/A</v>
      </c>
      <c r="AP5666" s="14" t="e">
        <v>#N/A</v>
      </c>
      <c r="AQ5666" s="12">
        <v>3.0000000000000001E-3</v>
      </c>
      <c r="AS5666" s="26">
        <v>28</v>
      </c>
    </row>
    <row r="5667" spans="1:45" x14ac:dyDescent="0.2">
      <c r="B5667" s="13">
        <v>2</v>
      </c>
      <c r="C5667" s="17" t="s">
        <v>65</v>
      </c>
      <c r="D5667" s="17">
        <v>2884</v>
      </c>
      <c r="E5667" s="17">
        <v>112</v>
      </c>
      <c r="H5667" s="17">
        <v>0</v>
      </c>
      <c r="I5667" s="17">
        <v>0</v>
      </c>
      <c r="J5667" s="17">
        <v>68</v>
      </c>
      <c r="N5667" s="18">
        <v>68</v>
      </c>
      <c r="Q5667" s="19">
        <v>68</v>
      </c>
      <c r="R5667" s="14" t="e">
        <v>#N/A</v>
      </c>
      <c r="S5667" s="19" t="e">
        <v>#N/A</v>
      </c>
      <c r="AJ5667" s="19">
        <v>0</v>
      </c>
      <c r="AK5667" s="23">
        <v>0</v>
      </c>
      <c r="AM5667" s="19">
        <v>0</v>
      </c>
      <c r="AN5667" s="19" t="e">
        <v>#N/A</v>
      </c>
      <c r="AP5667" s="14" t="e">
        <v>#N/A</v>
      </c>
      <c r="AQ5667" s="12">
        <v>3.0000000000000001E-3</v>
      </c>
    </row>
    <row r="5668" spans="1:45" x14ac:dyDescent="0.2">
      <c r="B5668" s="13">
        <v>3</v>
      </c>
      <c r="C5668" s="17" t="s">
        <v>65</v>
      </c>
      <c r="D5668" s="17">
        <v>2885</v>
      </c>
      <c r="E5668" s="17">
        <v>13</v>
      </c>
      <c r="H5668" s="17">
        <v>4</v>
      </c>
      <c r="I5668" s="17">
        <v>2</v>
      </c>
      <c r="J5668" s="17">
        <v>93</v>
      </c>
      <c r="K5668" s="10">
        <v>1893</v>
      </c>
      <c r="Q5668" s="19">
        <v>1893</v>
      </c>
      <c r="R5668" s="14" t="e">
        <v>#N/A</v>
      </c>
      <c r="S5668" s="19" t="e">
        <v>#N/A</v>
      </c>
      <c r="AJ5668" s="19">
        <v>0</v>
      </c>
      <c r="AK5668" s="23">
        <v>0</v>
      </c>
      <c r="AM5668" s="19">
        <v>0</v>
      </c>
      <c r="AN5668" s="19" t="e">
        <v>#N/A</v>
      </c>
      <c r="AP5668" s="14" t="e">
        <v>#N/A</v>
      </c>
      <c r="AQ5668" s="12">
        <v>1E-4</v>
      </c>
    </row>
    <row r="5669" spans="1:45" x14ac:dyDescent="0.2">
      <c r="B5669" s="13">
        <v>4</v>
      </c>
      <c r="C5669" s="17" t="s">
        <v>65</v>
      </c>
      <c r="D5669" s="17">
        <v>3883</v>
      </c>
      <c r="E5669" s="17">
        <v>111</v>
      </c>
      <c r="H5669" s="17">
        <v>0</v>
      </c>
      <c r="I5669" s="17">
        <v>0</v>
      </c>
      <c r="J5669" s="17">
        <v>22</v>
      </c>
      <c r="N5669" s="18">
        <v>22</v>
      </c>
      <c r="Q5669" s="19">
        <v>22</v>
      </c>
      <c r="R5669" s="14" t="e">
        <v>#N/A</v>
      </c>
      <c r="S5669" s="19" t="e">
        <v>#N/A</v>
      </c>
      <c r="AE5669" s="17" t="s">
        <v>95</v>
      </c>
      <c r="AJ5669" s="19">
        <v>0</v>
      </c>
      <c r="AK5669" s="23">
        <v>0</v>
      </c>
      <c r="AM5669" s="19">
        <v>0</v>
      </c>
      <c r="AN5669" s="19" t="e">
        <v>#N/A</v>
      </c>
      <c r="AP5669" s="14" t="e">
        <v>#N/A</v>
      </c>
      <c r="AQ5669" s="12">
        <v>3.0000000000000001E-3</v>
      </c>
    </row>
    <row r="5670" spans="1:45" x14ac:dyDescent="0.2">
      <c r="B5670" s="13">
        <v>5</v>
      </c>
      <c r="C5670" s="17" t="s">
        <v>65</v>
      </c>
      <c r="D5670" s="17">
        <v>3884</v>
      </c>
      <c r="E5670" s="17">
        <v>112</v>
      </c>
      <c r="H5670" s="17">
        <v>0</v>
      </c>
      <c r="I5670" s="17">
        <v>0</v>
      </c>
      <c r="J5670" s="17">
        <v>68</v>
      </c>
      <c r="N5670" s="18">
        <v>68</v>
      </c>
      <c r="Q5670" s="19">
        <v>68</v>
      </c>
      <c r="R5670" s="14" t="e">
        <v>#N/A</v>
      </c>
      <c r="S5670" s="19" t="e">
        <v>#N/A</v>
      </c>
      <c r="AJ5670" s="19">
        <v>0</v>
      </c>
      <c r="AK5670" s="23">
        <v>0</v>
      </c>
      <c r="AM5670" s="19">
        <v>0</v>
      </c>
      <c r="AN5670" s="19" t="e">
        <v>#N/A</v>
      </c>
      <c r="AP5670" s="14" t="e">
        <v>#N/A</v>
      </c>
      <c r="AQ5670" s="12">
        <v>3.0000000000000001E-3</v>
      </c>
    </row>
    <row r="5671" spans="1:45" x14ac:dyDescent="0.2">
      <c r="B5671" s="13">
        <v>6</v>
      </c>
      <c r="C5671" s="17" t="s">
        <v>65</v>
      </c>
      <c r="D5671" s="17">
        <v>3885</v>
      </c>
      <c r="E5671" s="17">
        <v>113</v>
      </c>
      <c r="H5671" s="17">
        <v>4</v>
      </c>
      <c r="I5671" s="17">
        <v>2</v>
      </c>
      <c r="J5671" s="17">
        <v>93</v>
      </c>
      <c r="K5671" s="10">
        <v>1893</v>
      </c>
      <c r="Q5671" s="19">
        <v>1893</v>
      </c>
      <c r="R5671" s="14" t="e">
        <v>#N/A</v>
      </c>
      <c r="S5671" s="19" t="e">
        <v>#N/A</v>
      </c>
      <c r="AJ5671" s="19">
        <v>0</v>
      </c>
      <c r="AK5671" s="23">
        <v>0</v>
      </c>
      <c r="AM5671" s="19">
        <v>0</v>
      </c>
      <c r="AN5671" s="19" t="e">
        <v>#N/A</v>
      </c>
      <c r="AP5671" s="14" t="e">
        <v>#N/A</v>
      </c>
      <c r="AQ5671" s="12">
        <v>1E-4</v>
      </c>
    </row>
    <row r="5672" spans="1:45" x14ac:dyDescent="0.2">
      <c r="B5672" s="13">
        <v>1</v>
      </c>
      <c r="C5672" s="17" t="s">
        <v>65</v>
      </c>
      <c r="D5672" s="17">
        <v>3734</v>
      </c>
      <c r="E5672" s="17">
        <v>95</v>
      </c>
      <c r="H5672" s="17">
        <v>2</v>
      </c>
      <c r="I5672" s="17">
        <v>0</v>
      </c>
      <c r="J5672" s="17">
        <v>80</v>
      </c>
      <c r="K5672" s="10">
        <v>880</v>
      </c>
      <c r="Q5672" s="19">
        <v>880</v>
      </c>
      <c r="R5672" s="14" t="e">
        <v>#N/A</v>
      </c>
      <c r="S5672" s="19" t="e">
        <v>#N/A</v>
      </c>
      <c r="AJ5672" s="19">
        <v>0</v>
      </c>
      <c r="AK5672" s="23">
        <v>0</v>
      </c>
      <c r="AM5672" s="19">
        <v>0</v>
      </c>
      <c r="AN5672" s="19" t="e">
        <v>#N/A</v>
      </c>
      <c r="AP5672" s="14" t="e">
        <v>#N/A</v>
      </c>
      <c r="AQ5672" s="12">
        <v>1E-4</v>
      </c>
    </row>
    <row r="5673" spans="1:45" x14ac:dyDescent="0.2">
      <c r="A5673" s="2">
        <v>4717</v>
      </c>
      <c r="B5673" s="13">
        <v>1</v>
      </c>
      <c r="C5673" s="17" t="s">
        <v>52</v>
      </c>
      <c r="D5673" s="17">
        <v>2175</v>
      </c>
      <c r="E5673" s="17">
        <v>2</v>
      </c>
      <c r="F5673" s="17">
        <v>1685</v>
      </c>
      <c r="G5673" s="13">
        <v>3</v>
      </c>
      <c r="H5673" s="17">
        <v>0</v>
      </c>
      <c r="I5673" s="17">
        <v>0</v>
      </c>
      <c r="J5673" s="17">
        <v>73</v>
      </c>
      <c r="K5673" s="10">
        <v>73</v>
      </c>
      <c r="P5673" s="17">
        <v>1</v>
      </c>
      <c r="Q5673" s="19">
        <v>73</v>
      </c>
      <c r="R5673" s="14">
        <v>2000</v>
      </c>
      <c r="S5673" s="19">
        <v>146000</v>
      </c>
      <c r="AJ5673" s="19">
        <v>0</v>
      </c>
      <c r="AK5673" s="23">
        <v>0</v>
      </c>
      <c r="AM5673" s="19">
        <v>0</v>
      </c>
      <c r="AN5673" s="19">
        <v>146000</v>
      </c>
      <c r="AP5673" s="14">
        <v>146000</v>
      </c>
      <c r="AS5673" s="26">
        <v>128</v>
      </c>
    </row>
    <row r="5674" spans="1:45" x14ac:dyDescent="0.2">
      <c r="A5674" s="2">
        <f>+A5673+1</f>
        <v>4718</v>
      </c>
      <c r="B5674" s="13">
        <v>2</v>
      </c>
      <c r="C5674" s="17" t="s">
        <v>52</v>
      </c>
      <c r="D5674" s="17">
        <v>2176</v>
      </c>
      <c r="E5674" s="17">
        <v>1</v>
      </c>
      <c r="F5674" s="17">
        <v>1686</v>
      </c>
      <c r="G5674" s="13">
        <v>3</v>
      </c>
      <c r="H5674" s="17">
        <v>0</v>
      </c>
      <c r="I5674" s="17">
        <v>3</v>
      </c>
      <c r="J5674" s="17">
        <v>18</v>
      </c>
      <c r="K5674" s="10">
        <v>318</v>
      </c>
      <c r="P5674" s="17">
        <v>1</v>
      </c>
      <c r="Q5674" s="19">
        <v>318</v>
      </c>
      <c r="R5674" s="14">
        <v>1500</v>
      </c>
      <c r="S5674" s="19">
        <v>477000</v>
      </c>
      <c r="AJ5674" s="19">
        <v>0</v>
      </c>
      <c r="AK5674" s="23">
        <v>0</v>
      </c>
      <c r="AM5674" s="19">
        <v>0</v>
      </c>
      <c r="AN5674" s="19">
        <v>477000</v>
      </c>
      <c r="AP5674" s="14">
        <v>477000</v>
      </c>
    </row>
    <row r="5675" spans="1:45" x14ac:dyDescent="0.2">
      <c r="A5675" s="122">
        <f t="shared" ref="A5675:A5678" si="612">+A5674+1</f>
        <v>4719</v>
      </c>
      <c r="B5675" s="13">
        <v>3</v>
      </c>
      <c r="C5675" s="17" t="s">
        <v>52</v>
      </c>
      <c r="D5675" s="17">
        <v>14796</v>
      </c>
      <c r="E5675" s="17">
        <v>32</v>
      </c>
      <c r="F5675" s="17">
        <v>3348</v>
      </c>
      <c r="G5675" s="13">
        <v>3</v>
      </c>
      <c r="H5675" s="17">
        <v>0</v>
      </c>
      <c r="I5675" s="17">
        <v>3</v>
      </c>
      <c r="J5675" s="17">
        <v>50</v>
      </c>
      <c r="K5675" s="10">
        <v>350</v>
      </c>
      <c r="P5675" s="17">
        <v>1</v>
      </c>
      <c r="Q5675" s="19">
        <v>350</v>
      </c>
      <c r="R5675" s="14">
        <v>160</v>
      </c>
      <c r="S5675" s="19">
        <v>56000</v>
      </c>
      <c r="AJ5675" s="19">
        <v>0</v>
      </c>
      <c r="AK5675" s="23">
        <v>0</v>
      </c>
      <c r="AM5675" s="19">
        <v>0</v>
      </c>
      <c r="AN5675" s="19">
        <v>56000</v>
      </c>
      <c r="AP5675" s="14">
        <v>56000</v>
      </c>
    </row>
    <row r="5676" spans="1:45" ht="42" x14ac:dyDescent="0.2">
      <c r="A5676" s="122">
        <f t="shared" si="612"/>
        <v>4720</v>
      </c>
      <c r="B5676" s="13">
        <v>4</v>
      </c>
      <c r="C5676" s="17" t="s">
        <v>52</v>
      </c>
      <c r="D5676" s="17">
        <v>17718</v>
      </c>
      <c r="E5676" s="17">
        <v>55</v>
      </c>
      <c r="F5676" s="17">
        <v>3846</v>
      </c>
      <c r="G5676" s="13">
        <v>3</v>
      </c>
      <c r="H5676" s="17">
        <v>0</v>
      </c>
      <c r="I5676" s="17">
        <v>1</v>
      </c>
      <c r="J5676" s="17">
        <v>84</v>
      </c>
      <c r="L5676" s="17">
        <v>184</v>
      </c>
      <c r="Q5676" s="19">
        <v>184</v>
      </c>
      <c r="R5676" s="14">
        <v>2000</v>
      </c>
      <c r="S5676" s="19">
        <v>368000</v>
      </c>
      <c r="T5676" s="17">
        <v>1</v>
      </c>
      <c r="V5676" s="17" t="s">
        <v>183</v>
      </c>
      <c r="W5676" s="4">
        <v>99</v>
      </c>
      <c r="Y5676" s="4">
        <v>99</v>
      </c>
      <c r="AB5676" s="17">
        <v>23</v>
      </c>
      <c r="AJ5676" s="19">
        <v>0</v>
      </c>
      <c r="AK5676" s="23">
        <v>23</v>
      </c>
      <c r="AM5676" s="19">
        <v>0</v>
      </c>
      <c r="AN5676" s="19">
        <v>368000</v>
      </c>
      <c r="AP5676" s="14">
        <v>368000</v>
      </c>
    </row>
    <row r="5677" spans="1:45" x14ac:dyDescent="0.2">
      <c r="A5677" s="122">
        <f t="shared" si="612"/>
        <v>4721</v>
      </c>
      <c r="B5677" s="13">
        <v>5</v>
      </c>
      <c r="C5677" s="17" t="s">
        <v>52</v>
      </c>
      <c r="D5677" s="17">
        <v>17721</v>
      </c>
      <c r="E5677" s="17">
        <v>58</v>
      </c>
      <c r="F5677" s="17">
        <v>3849</v>
      </c>
      <c r="G5677" s="13">
        <v>3</v>
      </c>
      <c r="H5677" s="17">
        <v>0</v>
      </c>
      <c r="I5677" s="17">
        <v>2</v>
      </c>
      <c r="J5677" s="17">
        <v>15</v>
      </c>
      <c r="K5677" s="10">
        <v>215</v>
      </c>
      <c r="P5677" s="17">
        <v>1</v>
      </c>
      <c r="Q5677" s="19">
        <v>215</v>
      </c>
      <c r="R5677" s="14">
        <v>2000</v>
      </c>
      <c r="S5677" s="19">
        <v>430000</v>
      </c>
      <c r="AJ5677" s="19">
        <v>0</v>
      </c>
      <c r="AK5677" s="23">
        <v>0</v>
      </c>
      <c r="AM5677" s="19">
        <v>0</v>
      </c>
      <c r="AN5677" s="19">
        <v>430000</v>
      </c>
      <c r="AP5677" s="14">
        <v>430000</v>
      </c>
    </row>
    <row r="5678" spans="1:45" x14ac:dyDescent="0.2">
      <c r="A5678" s="122">
        <f t="shared" si="612"/>
        <v>4722</v>
      </c>
      <c r="B5678" s="13">
        <v>6</v>
      </c>
      <c r="C5678" s="17" t="s">
        <v>52</v>
      </c>
      <c r="D5678" s="17">
        <v>25493</v>
      </c>
      <c r="E5678" s="17">
        <v>50</v>
      </c>
      <c r="F5678" s="17">
        <v>4992</v>
      </c>
      <c r="G5678" s="13">
        <v>3</v>
      </c>
      <c r="H5678" s="17">
        <v>1</v>
      </c>
      <c r="I5678" s="17">
        <v>3</v>
      </c>
      <c r="J5678" s="17">
        <v>29</v>
      </c>
      <c r="K5678" s="10">
        <v>729</v>
      </c>
      <c r="P5678" s="17">
        <v>1</v>
      </c>
      <c r="Q5678" s="19">
        <v>729</v>
      </c>
      <c r="R5678" s="14">
        <v>160</v>
      </c>
      <c r="S5678" s="19">
        <v>116640</v>
      </c>
      <c r="AJ5678" s="19">
        <v>0</v>
      </c>
      <c r="AK5678" s="23">
        <v>0</v>
      </c>
      <c r="AM5678" s="19">
        <v>0</v>
      </c>
      <c r="AN5678" s="19">
        <v>116640</v>
      </c>
      <c r="AP5678" s="14">
        <v>116640</v>
      </c>
    </row>
    <row r="5679" spans="1:45" x14ac:dyDescent="0.2">
      <c r="B5679" s="13">
        <v>7</v>
      </c>
      <c r="C5679" s="17" t="s">
        <v>97</v>
      </c>
      <c r="D5679" s="17">
        <v>164</v>
      </c>
      <c r="G5679" s="13">
        <v>3</v>
      </c>
      <c r="H5679" s="17">
        <v>22</v>
      </c>
      <c r="I5679" s="17">
        <v>0</v>
      </c>
      <c r="J5679" s="17">
        <v>0</v>
      </c>
      <c r="K5679" s="10">
        <v>8800</v>
      </c>
      <c r="Q5679" s="19">
        <v>8800</v>
      </c>
      <c r="R5679" s="14" t="e">
        <v>#N/A</v>
      </c>
      <c r="S5679" s="19" t="e">
        <v>#N/A</v>
      </c>
      <c r="AJ5679" s="19">
        <v>0</v>
      </c>
      <c r="AK5679" s="23">
        <v>0</v>
      </c>
      <c r="AM5679" s="19">
        <v>0</v>
      </c>
      <c r="AN5679" s="19" t="e">
        <v>#N/A</v>
      </c>
      <c r="AP5679" s="14" t="e">
        <v>#N/A</v>
      </c>
      <c r="AQ5679" s="12">
        <v>1E-4</v>
      </c>
    </row>
    <row r="5680" spans="1:45" x14ac:dyDescent="0.2">
      <c r="B5680" s="13">
        <v>8</v>
      </c>
      <c r="C5680" s="17" t="s">
        <v>65</v>
      </c>
      <c r="D5680" s="17">
        <v>3526</v>
      </c>
      <c r="E5680" s="17">
        <v>258</v>
      </c>
      <c r="H5680" s="17">
        <v>0</v>
      </c>
      <c r="I5680" s="17">
        <v>3</v>
      </c>
      <c r="J5680" s="17">
        <v>30</v>
      </c>
      <c r="K5680" s="10">
        <v>330</v>
      </c>
      <c r="Q5680" s="19">
        <v>330</v>
      </c>
      <c r="R5680" s="14" t="e">
        <v>#N/A</v>
      </c>
      <c r="S5680" s="19" t="e">
        <v>#N/A</v>
      </c>
      <c r="AE5680" s="17" t="s">
        <v>95</v>
      </c>
      <c r="AJ5680" s="19">
        <v>0</v>
      </c>
      <c r="AK5680" s="23">
        <v>0</v>
      </c>
      <c r="AM5680" s="19">
        <v>0</v>
      </c>
      <c r="AN5680" s="19" t="e">
        <v>#N/A</v>
      </c>
      <c r="AP5680" s="14" t="e">
        <v>#N/A</v>
      </c>
      <c r="AQ5680" s="12">
        <v>1E-4</v>
      </c>
    </row>
    <row r="5681" spans="1:45" ht="63" x14ac:dyDescent="0.2">
      <c r="A5681" s="2">
        <v>4723</v>
      </c>
      <c r="B5681" s="13">
        <v>1</v>
      </c>
      <c r="C5681" s="17" t="s">
        <v>52</v>
      </c>
      <c r="D5681" s="17">
        <v>17718</v>
      </c>
      <c r="E5681" s="17">
        <v>55</v>
      </c>
      <c r="H5681" s="17">
        <v>0</v>
      </c>
      <c r="I5681" s="17">
        <v>1</v>
      </c>
      <c r="J5681" s="17">
        <v>84</v>
      </c>
      <c r="L5681" s="17" t="s">
        <v>383</v>
      </c>
      <c r="P5681" s="17">
        <v>2</v>
      </c>
      <c r="Q5681" s="19">
        <v>184</v>
      </c>
      <c r="R5681" s="14">
        <v>2000</v>
      </c>
      <c r="S5681" s="19">
        <v>368000</v>
      </c>
      <c r="U5681" s="17" t="s">
        <v>57</v>
      </c>
      <c r="V5681" s="17" t="s">
        <v>56</v>
      </c>
      <c r="W5681" s="4" t="s">
        <v>280</v>
      </c>
      <c r="Y5681" s="4" t="s">
        <v>280</v>
      </c>
      <c r="AB5681" s="17" t="s">
        <v>534</v>
      </c>
      <c r="AE5681" s="17" t="s">
        <v>567</v>
      </c>
      <c r="AJ5681" s="19">
        <v>0</v>
      </c>
      <c r="AK5681" s="23" t="s">
        <v>534</v>
      </c>
      <c r="AM5681" s="19">
        <v>0</v>
      </c>
      <c r="AN5681" s="19">
        <v>368000</v>
      </c>
      <c r="AP5681" s="14">
        <v>368000</v>
      </c>
    </row>
    <row r="5682" spans="1:45" x14ac:dyDescent="0.2">
      <c r="B5682" s="13">
        <v>1</v>
      </c>
      <c r="C5682" s="17" t="s">
        <v>65</v>
      </c>
      <c r="D5682" s="17">
        <v>3528</v>
      </c>
      <c r="E5682" s="17">
        <v>260</v>
      </c>
      <c r="H5682" s="17">
        <v>0</v>
      </c>
      <c r="I5682" s="17">
        <v>1</v>
      </c>
      <c r="J5682" s="17">
        <v>43</v>
      </c>
      <c r="K5682" s="10">
        <v>143</v>
      </c>
      <c r="Q5682" s="19">
        <v>143</v>
      </c>
      <c r="R5682" s="14" t="e">
        <v>#N/A</v>
      </c>
      <c r="S5682" s="19" t="e">
        <v>#N/A</v>
      </c>
      <c r="AE5682" s="17" t="s">
        <v>95</v>
      </c>
      <c r="AJ5682" s="19">
        <v>0</v>
      </c>
      <c r="AK5682" s="23">
        <v>0</v>
      </c>
      <c r="AM5682" s="19">
        <v>0</v>
      </c>
      <c r="AN5682" s="19" t="e">
        <v>#N/A</v>
      </c>
      <c r="AP5682" s="14" t="e">
        <v>#N/A</v>
      </c>
      <c r="AQ5682" s="12">
        <v>1E-4</v>
      </c>
    </row>
    <row r="5683" spans="1:45" x14ac:dyDescent="0.2">
      <c r="B5683" s="13">
        <v>1</v>
      </c>
      <c r="C5683" s="17" t="s">
        <v>65</v>
      </c>
      <c r="D5683" s="17">
        <v>3529</v>
      </c>
      <c r="E5683" s="17">
        <v>261</v>
      </c>
      <c r="H5683" s="17">
        <v>0</v>
      </c>
      <c r="I5683" s="17">
        <v>1</v>
      </c>
      <c r="J5683" s="17">
        <v>43</v>
      </c>
      <c r="K5683" s="10">
        <v>143</v>
      </c>
      <c r="Q5683" s="19">
        <v>143</v>
      </c>
      <c r="R5683" s="14" t="e">
        <v>#N/A</v>
      </c>
      <c r="S5683" s="19" t="e">
        <v>#N/A</v>
      </c>
      <c r="AE5683" s="17" t="s">
        <v>568</v>
      </c>
      <c r="AJ5683" s="19">
        <v>0</v>
      </c>
      <c r="AK5683" s="23">
        <v>0</v>
      </c>
      <c r="AM5683" s="19">
        <v>0</v>
      </c>
      <c r="AN5683" s="19" t="e">
        <v>#N/A</v>
      </c>
      <c r="AP5683" s="14" t="e">
        <v>#N/A</v>
      </c>
      <c r="AQ5683" s="12">
        <v>1E-4</v>
      </c>
    </row>
    <row r="5684" spans="1:45" ht="42" x14ac:dyDescent="0.2">
      <c r="A5684" s="2">
        <v>4724</v>
      </c>
      <c r="B5684" s="13">
        <v>1</v>
      </c>
      <c r="C5684" s="17" t="s">
        <v>52</v>
      </c>
      <c r="D5684" s="17">
        <v>17716</v>
      </c>
      <c r="E5684" s="17">
        <v>59</v>
      </c>
      <c r="F5684" s="17">
        <v>3844</v>
      </c>
      <c r="G5684" s="13">
        <v>3</v>
      </c>
      <c r="H5684" s="17">
        <v>10</v>
      </c>
      <c r="I5684" s="17">
        <v>1</v>
      </c>
      <c r="J5684" s="17">
        <v>1</v>
      </c>
      <c r="K5684" s="10" t="s">
        <v>569</v>
      </c>
      <c r="L5684" s="17" t="s">
        <v>570</v>
      </c>
      <c r="P5684" s="17">
        <v>5</v>
      </c>
      <c r="Q5684" s="19">
        <v>4101</v>
      </c>
      <c r="R5684" s="14">
        <v>500</v>
      </c>
      <c r="S5684" s="19">
        <v>2050500</v>
      </c>
      <c r="T5684" s="17">
        <v>1</v>
      </c>
      <c r="V5684" s="17" t="s">
        <v>530</v>
      </c>
      <c r="W5684" s="4">
        <v>592</v>
      </c>
      <c r="Y5684" s="4">
        <v>592</v>
      </c>
      <c r="AB5684" s="17">
        <v>22</v>
      </c>
      <c r="AJ5684" s="19">
        <v>0</v>
      </c>
      <c r="AK5684" s="23">
        <v>22</v>
      </c>
      <c r="AM5684" s="19">
        <v>0</v>
      </c>
      <c r="AN5684" s="19">
        <v>2050500</v>
      </c>
      <c r="AP5684" s="14">
        <v>2050500</v>
      </c>
    </row>
    <row r="5685" spans="1:45" x14ac:dyDescent="0.2">
      <c r="B5685" s="13">
        <v>2</v>
      </c>
      <c r="C5685" s="17" t="s">
        <v>65</v>
      </c>
      <c r="D5685" s="17">
        <v>3865</v>
      </c>
      <c r="E5685" s="17">
        <v>265</v>
      </c>
      <c r="H5685" s="17">
        <v>2</v>
      </c>
      <c r="I5685" s="17">
        <v>0</v>
      </c>
      <c r="J5685" s="17">
        <v>11</v>
      </c>
      <c r="K5685" s="10">
        <v>811</v>
      </c>
      <c r="P5685" s="17">
        <v>1</v>
      </c>
      <c r="Q5685" s="19">
        <v>811</v>
      </c>
      <c r="R5685" s="14" t="e">
        <v>#N/A</v>
      </c>
      <c r="S5685" s="19" t="e">
        <v>#N/A</v>
      </c>
      <c r="AJ5685" s="19">
        <v>0</v>
      </c>
      <c r="AK5685" s="23">
        <v>0</v>
      </c>
      <c r="AM5685" s="19">
        <v>0</v>
      </c>
      <c r="AN5685" s="19" t="e">
        <v>#N/A</v>
      </c>
      <c r="AP5685" s="14" t="e">
        <v>#N/A</v>
      </c>
      <c r="AQ5685" s="12">
        <v>1E-4</v>
      </c>
    </row>
    <row r="5686" spans="1:45" ht="42" x14ac:dyDescent="0.2">
      <c r="A5686" s="2">
        <v>4725</v>
      </c>
      <c r="B5686" s="13">
        <v>1</v>
      </c>
      <c r="C5686" s="17" t="s">
        <v>52</v>
      </c>
      <c r="D5686" s="17">
        <v>17717</v>
      </c>
      <c r="E5686" s="17">
        <v>54</v>
      </c>
      <c r="F5686" s="17">
        <v>3845</v>
      </c>
      <c r="G5686" s="13">
        <v>3</v>
      </c>
      <c r="H5686" s="17">
        <v>0</v>
      </c>
      <c r="I5686" s="17">
        <v>3</v>
      </c>
      <c r="J5686" s="17">
        <v>50</v>
      </c>
      <c r="L5686" s="17">
        <v>350</v>
      </c>
      <c r="P5686" s="17">
        <v>2</v>
      </c>
      <c r="Q5686" s="19">
        <v>350</v>
      </c>
      <c r="R5686" s="14">
        <v>1500</v>
      </c>
      <c r="S5686" s="19">
        <v>525000</v>
      </c>
      <c r="T5686" s="17">
        <v>1</v>
      </c>
      <c r="V5686" s="17" t="s">
        <v>183</v>
      </c>
      <c r="W5686" s="4">
        <v>135</v>
      </c>
      <c r="Y5686" s="4">
        <v>135</v>
      </c>
      <c r="AB5686" s="17">
        <v>4</v>
      </c>
      <c r="AJ5686" s="19">
        <v>0</v>
      </c>
      <c r="AK5686" s="23">
        <v>4</v>
      </c>
      <c r="AM5686" s="19">
        <v>0</v>
      </c>
      <c r="AN5686" s="19">
        <v>525000</v>
      </c>
      <c r="AP5686" s="14">
        <v>525000</v>
      </c>
    </row>
    <row r="5687" spans="1:45" x14ac:dyDescent="0.2">
      <c r="B5687" s="13">
        <v>2</v>
      </c>
      <c r="C5687" s="17" t="s">
        <v>65</v>
      </c>
      <c r="D5687" s="17">
        <v>3531</v>
      </c>
      <c r="E5687" s="17">
        <v>263</v>
      </c>
      <c r="H5687" s="17">
        <v>8</v>
      </c>
      <c r="I5687" s="17">
        <v>0</v>
      </c>
      <c r="J5687" s="17">
        <v>86</v>
      </c>
      <c r="K5687" s="10">
        <v>3286</v>
      </c>
      <c r="Q5687" s="19">
        <v>3286</v>
      </c>
      <c r="R5687" s="14" t="e">
        <v>#N/A</v>
      </c>
      <c r="S5687" s="19" t="e">
        <v>#N/A</v>
      </c>
      <c r="AE5687" s="17" t="s">
        <v>95</v>
      </c>
      <c r="AJ5687" s="19">
        <v>0</v>
      </c>
      <c r="AK5687" s="23">
        <v>0</v>
      </c>
      <c r="AM5687" s="19">
        <v>0</v>
      </c>
      <c r="AN5687" s="19" t="e">
        <v>#N/A</v>
      </c>
      <c r="AP5687" s="14" t="e">
        <v>#N/A</v>
      </c>
      <c r="AQ5687" s="12">
        <v>1E-4</v>
      </c>
    </row>
    <row r="5688" spans="1:45" x14ac:dyDescent="0.2">
      <c r="B5688" s="13">
        <v>3</v>
      </c>
      <c r="C5688" s="17" t="s">
        <v>65</v>
      </c>
      <c r="D5688" s="17">
        <v>3533</v>
      </c>
      <c r="E5688" s="17">
        <v>265</v>
      </c>
      <c r="H5688" s="17">
        <v>8</v>
      </c>
      <c r="I5688" s="17">
        <v>0</v>
      </c>
      <c r="J5688" s="17">
        <v>37</v>
      </c>
      <c r="K5688" s="10">
        <v>3237</v>
      </c>
      <c r="Q5688" s="19">
        <v>3237</v>
      </c>
      <c r="R5688" s="14" t="e">
        <v>#N/A</v>
      </c>
      <c r="S5688" s="19" t="e">
        <v>#N/A</v>
      </c>
      <c r="AE5688" s="17" t="s">
        <v>95</v>
      </c>
      <c r="AJ5688" s="19">
        <v>0</v>
      </c>
      <c r="AK5688" s="23">
        <v>0</v>
      </c>
      <c r="AM5688" s="19">
        <v>0</v>
      </c>
      <c r="AN5688" s="19" t="e">
        <v>#N/A</v>
      </c>
      <c r="AP5688" s="14" t="e">
        <v>#N/A</v>
      </c>
      <c r="AQ5688" s="12">
        <v>1E-4</v>
      </c>
    </row>
    <row r="5689" spans="1:45" ht="42" x14ac:dyDescent="0.2">
      <c r="A5689" s="2">
        <v>4726</v>
      </c>
      <c r="B5689" s="13">
        <v>1</v>
      </c>
      <c r="C5689" s="17" t="s">
        <v>52</v>
      </c>
      <c r="D5689" s="17">
        <v>2336</v>
      </c>
      <c r="E5689" s="17">
        <v>18</v>
      </c>
      <c r="F5689" s="17">
        <v>1664</v>
      </c>
      <c r="G5689" s="13">
        <v>3</v>
      </c>
      <c r="H5689" s="17">
        <v>0</v>
      </c>
      <c r="I5689" s="17">
        <v>0</v>
      </c>
      <c r="J5689" s="17">
        <v>90</v>
      </c>
      <c r="L5689" s="17">
        <v>90</v>
      </c>
      <c r="P5689" s="17">
        <v>2</v>
      </c>
      <c r="Q5689" s="19">
        <v>90</v>
      </c>
      <c r="R5689" s="14">
        <v>1300</v>
      </c>
      <c r="S5689" s="19">
        <v>117000</v>
      </c>
      <c r="T5689" s="17">
        <v>1</v>
      </c>
      <c r="V5689" s="17" t="s">
        <v>183</v>
      </c>
      <c r="W5689" s="4">
        <v>396</v>
      </c>
      <c r="Y5689" s="4">
        <v>396</v>
      </c>
      <c r="AB5689" s="17">
        <v>8</v>
      </c>
      <c r="AJ5689" s="19">
        <v>0</v>
      </c>
      <c r="AK5689" s="23">
        <v>8</v>
      </c>
      <c r="AM5689" s="19">
        <v>0</v>
      </c>
      <c r="AN5689" s="19">
        <v>117000</v>
      </c>
      <c r="AP5689" s="14">
        <v>117000</v>
      </c>
    </row>
    <row r="5690" spans="1:45" x14ac:dyDescent="0.2">
      <c r="B5690" s="13">
        <v>2</v>
      </c>
      <c r="C5690" s="17" t="s">
        <v>65</v>
      </c>
      <c r="D5690" s="17">
        <v>356</v>
      </c>
      <c r="E5690" s="17">
        <v>102</v>
      </c>
      <c r="H5690" s="17">
        <v>17</v>
      </c>
      <c r="I5690" s="17">
        <v>0</v>
      </c>
      <c r="J5690" s="17">
        <v>70</v>
      </c>
      <c r="K5690" s="10">
        <v>6870</v>
      </c>
      <c r="Q5690" s="19">
        <v>6870</v>
      </c>
      <c r="R5690" s="14" t="e">
        <v>#N/A</v>
      </c>
      <c r="S5690" s="19" t="e">
        <v>#N/A</v>
      </c>
      <c r="AE5690" s="17" t="s">
        <v>94</v>
      </c>
      <c r="AJ5690" s="19">
        <v>0</v>
      </c>
      <c r="AK5690" s="23">
        <v>0</v>
      </c>
      <c r="AM5690" s="19">
        <v>0</v>
      </c>
      <c r="AN5690" s="19" t="e">
        <v>#N/A</v>
      </c>
      <c r="AP5690" s="14" t="e">
        <v>#N/A</v>
      </c>
      <c r="AQ5690" s="12">
        <v>1E-4</v>
      </c>
    </row>
    <row r="5691" spans="1:45" x14ac:dyDescent="0.2">
      <c r="A5691" s="2">
        <v>4727</v>
      </c>
      <c r="B5691" s="13">
        <v>1</v>
      </c>
      <c r="C5691" s="17" t="s">
        <v>52</v>
      </c>
      <c r="D5691" s="17">
        <v>22239</v>
      </c>
      <c r="E5691" s="17">
        <v>101</v>
      </c>
      <c r="F5691" s="17">
        <v>4777</v>
      </c>
      <c r="G5691" s="13">
        <v>3</v>
      </c>
      <c r="H5691" s="17">
        <v>0</v>
      </c>
      <c r="I5691" s="17">
        <v>3</v>
      </c>
      <c r="J5691" s="17">
        <v>55</v>
      </c>
      <c r="L5691" s="17" t="s">
        <v>571</v>
      </c>
      <c r="P5691" s="17">
        <v>2</v>
      </c>
      <c r="Q5691" s="19">
        <v>355</v>
      </c>
      <c r="R5691" s="14">
        <v>2000</v>
      </c>
      <c r="S5691" s="19">
        <v>710000</v>
      </c>
      <c r="AJ5691" s="19">
        <v>0</v>
      </c>
      <c r="AK5691" s="23">
        <v>0</v>
      </c>
      <c r="AM5691" s="19">
        <v>0</v>
      </c>
      <c r="AN5691" s="19">
        <v>710000</v>
      </c>
      <c r="AP5691" s="14">
        <v>710000</v>
      </c>
      <c r="AS5691" s="26">
        <v>21</v>
      </c>
    </row>
    <row r="5692" spans="1:45" x14ac:dyDescent="0.2">
      <c r="B5692" s="13">
        <v>2</v>
      </c>
      <c r="C5692" s="17" t="s">
        <v>65</v>
      </c>
      <c r="D5692" s="17">
        <v>358</v>
      </c>
      <c r="E5692" s="17">
        <v>104</v>
      </c>
      <c r="H5692" s="17">
        <v>5</v>
      </c>
      <c r="I5692" s="17">
        <v>1</v>
      </c>
      <c r="J5692" s="17">
        <v>2</v>
      </c>
      <c r="K5692" s="10">
        <v>2102</v>
      </c>
      <c r="Q5692" s="19">
        <v>2102</v>
      </c>
      <c r="R5692" s="14" t="e">
        <v>#N/A</v>
      </c>
      <c r="S5692" s="19" t="e">
        <v>#N/A</v>
      </c>
      <c r="AE5692" s="17" t="s">
        <v>94</v>
      </c>
      <c r="AJ5692" s="19">
        <v>0</v>
      </c>
      <c r="AK5692" s="23">
        <v>0</v>
      </c>
      <c r="AM5692" s="19">
        <v>0</v>
      </c>
      <c r="AN5692" s="19" t="e">
        <v>#N/A</v>
      </c>
      <c r="AP5692" s="14" t="e">
        <v>#N/A</v>
      </c>
      <c r="AQ5692" s="12">
        <v>1E-4</v>
      </c>
    </row>
    <row r="5693" spans="1:45" x14ac:dyDescent="0.2">
      <c r="A5693" s="2">
        <v>4728</v>
      </c>
      <c r="B5693" s="13">
        <v>1</v>
      </c>
      <c r="C5693" s="17" t="s">
        <v>52</v>
      </c>
      <c r="D5693" s="17">
        <v>12371</v>
      </c>
      <c r="E5693" s="17">
        <v>25</v>
      </c>
      <c r="F5693" s="17">
        <v>3236</v>
      </c>
      <c r="G5693" s="13">
        <v>3</v>
      </c>
      <c r="H5693" s="17">
        <v>1</v>
      </c>
      <c r="I5693" s="17">
        <v>0</v>
      </c>
      <c r="J5693" s="17">
        <v>15</v>
      </c>
      <c r="K5693" s="10">
        <v>415</v>
      </c>
      <c r="P5693" s="17">
        <v>1</v>
      </c>
      <c r="Q5693" s="19">
        <v>415</v>
      </c>
      <c r="R5693" s="14">
        <v>2000</v>
      </c>
      <c r="S5693" s="19">
        <v>830000</v>
      </c>
      <c r="AJ5693" s="19">
        <v>0</v>
      </c>
      <c r="AK5693" s="23">
        <v>0</v>
      </c>
      <c r="AM5693" s="19">
        <v>0</v>
      </c>
      <c r="AN5693" s="19">
        <v>830000</v>
      </c>
      <c r="AP5693" s="14">
        <v>830000</v>
      </c>
    </row>
    <row r="5694" spans="1:45" x14ac:dyDescent="0.2">
      <c r="A5694" s="2">
        <v>4729</v>
      </c>
      <c r="B5694" s="13">
        <v>1</v>
      </c>
      <c r="C5694" s="17" t="s">
        <v>52</v>
      </c>
      <c r="D5694" s="17">
        <v>22241</v>
      </c>
      <c r="E5694" s="17">
        <v>103</v>
      </c>
      <c r="F5694" s="17">
        <v>4779</v>
      </c>
      <c r="G5694" s="13">
        <v>3</v>
      </c>
      <c r="H5694" s="17">
        <v>0</v>
      </c>
      <c r="I5694" s="17">
        <v>1</v>
      </c>
      <c r="J5694" s="17">
        <v>57</v>
      </c>
      <c r="K5694" s="10">
        <v>157</v>
      </c>
      <c r="P5694" s="17">
        <v>1</v>
      </c>
      <c r="Q5694" s="19">
        <v>157</v>
      </c>
      <c r="R5694" s="14">
        <v>2000</v>
      </c>
      <c r="S5694" s="19">
        <v>314000</v>
      </c>
      <c r="AJ5694" s="19">
        <v>0</v>
      </c>
      <c r="AK5694" s="23">
        <v>0</v>
      </c>
      <c r="AM5694" s="19">
        <v>0</v>
      </c>
      <c r="AN5694" s="19">
        <v>314000</v>
      </c>
      <c r="AP5694" s="14">
        <v>314000</v>
      </c>
    </row>
    <row r="5695" spans="1:45" x14ac:dyDescent="0.2">
      <c r="A5695" s="2">
        <v>4730</v>
      </c>
      <c r="B5695" s="13">
        <v>2</v>
      </c>
      <c r="C5695" s="17" t="s">
        <v>65</v>
      </c>
      <c r="D5695" s="17">
        <v>3600</v>
      </c>
      <c r="E5695" s="17">
        <v>269</v>
      </c>
      <c r="H5695" s="17">
        <v>3</v>
      </c>
      <c r="I5695" s="17">
        <v>1</v>
      </c>
      <c r="J5695" s="17">
        <v>21</v>
      </c>
      <c r="K5695" s="10">
        <v>1321</v>
      </c>
      <c r="Q5695" s="19">
        <v>1321</v>
      </c>
      <c r="R5695" s="14">
        <v>200</v>
      </c>
      <c r="S5695" s="19">
        <v>264200</v>
      </c>
      <c r="AE5695" s="17" t="s">
        <v>95</v>
      </c>
      <c r="AJ5695" s="19">
        <v>0</v>
      </c>
      <c r="AK5695" s="23">
        <v>0</v>
      </c>
      <c r="AM5695" s="19">
        <v>0</v>
      </c>
      <c r="AN5695" s="19">
        <v>264200</v>
      </c>
      <c r="AP5695" s="14">
        <v>264200</v>
      </c>
      <c r="AQ5695" s="12">
        <v>1E-4</v>
      </c>
    </row>
    <row r="5696" spans="1:45" ht="105" x14ac:dyDescent="0.2">
      <c r="A5696" s="2">
        <v>4731</v>
      </c>
      <c r="B5696" s="13">
        <v>1</v>
      </c>
      <c r="C5696" s="17" t="s">
        <v>52</v>
      </c>
      <c r="D5696" s="17">
        <v>14046</v>
      </c>
      <c r="E5696" s="17">
        <v>270</v>
      </c>
      <c r="F5696" s="17">
        <v>3313</v>
      </c>
      <c r="G5696" s="13">
        <v>2</v>
      </c>
      <c r="H5696" s="17">
        <v>0</v>
      </c>
      <c r="I5696" s="17">
        <v>0</v>
      </c>
      <c r="J5696" s="17">
        <v>38</v>
      </c>
      <c r="L5696" s="17">
        <v>38</v>
      </c>
      <c r="P5696" s="17">
        <v>2</v>
      </c>
      <c r="Q5696" s="19">
        <v>38</v>
      </c>
      <c r="R5696" s="14">
        <v>4500</v>
      </c>
      <c r="S5696" s="19">
        <v>171000</v>
      </c>
      <c r="T5696" s="17">
        <v>1</v>
      </c>
      <c r="U5696" s="17" t="s">
        <v>57</v>
      </c>
      <c r="V5696" s="17" t="s">
        <v>56</v>
      </c>
      <c r="W5696" s="4" t="s">
        <v>572</v>
      </c>
      <c r="Y5696" s="4" t="s">
        <v>430</v>
      </c>
      <c r="AB5696" s="17" t="s">
        <v>533</v>
      </c>
      <c r="AC5696" s="14" t="s">
        <v>346</v>
      </c>
      <c r="AF5696" s="14">
        <v>2</v>
      </c>
      <c r="AG5696" s="54">
        <v>220</v>
      </c>
      <c r="AH5696" s="11">
        <v>0.77</v>
      </c>
      <c r="AI5696" s="14">
        <v>7250</v>
      </c>
      <c r="AJ5696" s="19">
        <v>1228150</v>
      </c>
      <c r="AK5696" s="23" t="s">
        <v>533</v>
      </c>
      <c r="AL5696" s="11">
        <v>0.36</v>
      </c>
      <c r="AM5696" s="19">
        <v>786016</v>
      </c>
      <c r="AN5696" s="19">
        <v>917686</v>
      </c>
      <c r="AP5696" s="14">
        <v>917686</v>
      </c>
      <c r="AQ5696" s="12">
        <v>2.0000000000000001E-4</v>
      </c>
      <c r="AS5696" s="26">
        <v>106</v>
      </c>
    </row>
    <row r="5697" spans="1:45" x14ac:dyDescent="0.2">
      <c r="R5697" s="14" t="e">
        <v>#N/A</v>
      </c>
      <c r="Z5697" s="17" t="s">
        <v>280</v>
      </c>
      <c r="AF5697" s="14">
        <v>3</v>
      </c>
      <c r="AG5697" s="54">
        <v>220</v>
      </c>
      <c r="AH5697" s="11">
        <v>0.23</v>
      </c>
      <c r="AI5697" s="14">
        <v>7250</v>
      </c>
      <c r="AJ5697" s="19">
        <v>366850</v>
      </c>
      <c r="AK5697" s="23">
        <v>23</v>
      </c>
      <c r="AL5697" s="11">
        <v>0.36</v>
      </c>
      <c r="AM5697" s="19">
        <v>234784</v>
      </c>
      <c r="AN5697" s="19">
        <v>274114</v>
      </c>
      <c r="AP5697" s="14">
        <v>274114</v>
      </c>
      <c r="AQ5697" s="12">
        <v>3.0000000000000001E-3</v>
      </c>
    </row>
    <row r="5698" spans="1:45" ht="105" x14ac:dyDescent="0.2">
      <c r="A5698" s="2">
        <v>4732</v>
      </c>
      <c r="B5698" s="13">
        <v>2</v>
      </c>
      <c r="C5698" s="17" t="s">
        <v>52</v>
      </c>
      <c r="D5698" s="17">
        <v>14047</v>
      </c>
      <c r="E5698" s="17">
        <v>271</v>
      </c>
      <c r="F5698" s="17">
        <v>3314</v>
      </c>
      <c r="G5698" s="13">
        <v>2</v>
      </c>
      <c r="H5698" s="17">
        <v>0</v>
      </c>
      <c r="I5698" s="17">
        <v>0</v>
      </c>
      <c r="J5698" s="17">
        <v>43</v>
      </c>
      <c r="L5698" s="17">
        <v>43</v>
      </c>
      <c r="P5698" s="17">
        <v>2</v>
      </c>
      <c r="Q5698" s="19">
        <v>43</v>
      </c>
      <c r="R5698" s="14">
        <v>4500</v>
      </c>
      <c r="S5698" s="19">
        <v>193500</v>
      </c>
      <c r="T5698" s="17">
        <v>1</v>
      </c>
      <c r="U5698" s="17" t="s">
        <v>63</v>
      </c>
      <c r="V5698" s="17" t="s">
        <v>56</v>
      </c>
      <c r="W5698" s="4">
        <v>84</v>
      </c>
      <c r="Y5698" s="4" t="s">
        <v>404</v>
      </c>
      <c r="AB5698" s="17" t="s">
        <v>573</v>
      </c>
      <c r="AC5698" s="14" t="s">
        <v>346</v>
      </c>
      <c r="AF5698" s="14">
        <v>2</v>
      </c>
      <c r="AG5698" s="54">
        <v>84</v>
      </c>
      <c r="AH5698" s="11">
        <v>0.62</v>
      </c>
      <c r="AI5698" s="14">
        <v>8100</v>
      </c>
      <c r="AJ5698" s="19">
        <v>421848</v>
      </c>
      <c r="AK5698" s="23">
        <v>22</v>
      </c>
      <c r="AL5698" s="11">
        <v>0.34</v>
      </c>
      <c r="AM5698" s="19">
        <v>278419.68</v>
      </c>
      <c r="AN5698" s="19">
        <v>398389.68</v>
      </c>
      <c r="AP5698" s="14">
        <v>398389.68</v>
      </c>
      <c r="AQ5698" s="12">
        <v>2.0000000000000001E-4</v>
      </c>
    </row>
    <row r="5699" spans="1:45" x14ac:dyDescent="0.2">
      <c r="R5699" s="14" t="e">
        <v>#N/A</v>
      </c>
      <c r="Z5699" s="17" t="s">
        <v>574</v>
      </c>
      <c r="AF5699" s="14">
        <v>3</v>
      </c>
      <c r="AG5699" s="54">
        <v>84</v>
      </c>
      <c r="AH5699" s="11">
        <v>0.38</v>
      </c>
      <c r="AI5699" s="14">
        <v>8100</v>
      </c>
      <c r="AJ5699" s="19">
        <v>258552</v>
      </c>
      <c r="AK5699" s="23">
        <v>22</v>
      </c>
      <c r="AL5699" s="11">
        <v>0.34</v>
      </c>
      <c r="AM5699" s="19">
        <v>170644.32</v>
      </c>
      <c r="AN5699" s="19">
        <v>244174.32</v>
      </c>
      <c r="AP5699" s="14">
        <v>244174.32</v>
      </c>
      <c r="AQ5699" s="12">
        <v>3.0000000000000001E-3</v>
      </c>
    </row>
    <row r="5700" spans="1:45" x14ac:dyDescent="0.2">
      <c r="A5700" s="2">
        <v>4733</v>
      </c>
      <c r="B5700" s="13">
        <v>3</v>
      </c>
      <c r="C5700" s="17" t="s">
        <v>52</v>
      </c>
      <c r="D5700" s="17">
        <v>2114</v>
      </c>
      <c r="E5700" s="17">
        <v>15</v>
      </c>
      <c r="F5700" s="17">
        <v>1675</v>
      </c>
      <c r="G5700" s="13">
        <v>3</v>
      </c>
      <c r="H5700" s="17">
        <v>1</v>
      </c>
      <c r="I5700" s="17">
        <v>2</v>
      </c>
      <c r="J5700" s="17">
        <v>63</v>
      </c>
      <c r="K5700" s="10">
        <v>663</v>
      </c>
      <c r="P5700" s="17">
        <v>1</v>
      </c>
      <c r="Q5700" s="19">
        <v>663</v>
      </c>
      <c r="R5700" s="14">
        <v>160</v>
      </c>
      <c r="S5700" s="19">
        <v>106080</v>
      </c>
      <c r="AJ5700" s="19">
        <v>0</v>
      </c>
      <c r="AK5700" s="23">
        <v>0</v>
      </c>
      <c r="AM5700" s="19">
        <v>0</v>
      </c>
      <c r="AN5700" s="19">
        <v>106080</v>
      </c>
      <c r="AP5700" s="14">
        <v>106080</v>
      </c>
    </row>
    <row r="5701" spans="1:45" x14ac:dyDescent="0.2">
      <c r="A5701" s="2">
        <v>4734</v>
      </c>
      <c r="B5701" s="13">
        <v>4</v>
      </c>
      <c r="C5701" s="17" t="s">
        <v>52</v>
      </c>
      <c r="D5701" s="17">
        <v>17693</v>
      </c>
      <c r="E5701" s="17">
        <v>33</v>
      </c>
      <c r="F5701" s="17">
        <v>3821</v>
      </c>
      <c r="G5701" s="13">
        <v>3</v>
      </c>
      <c r="H5701" s="17">
        <v>10</v>
      </c>
      <c r="I5701" s="17">
        <v>0</v>
      </c>
      <c r="J5701" s="17">
        <v>80</v>
      </c>
      <c r="K5701" s="10">
        <v>4080</v>
      </c>
      <c r="P5701" s="17">
        <v>1</v>
      </c>
      <c r="Q5701" s="19">
        <v>4080</v>
      </c>
      <c r="R5701" s="14">
        <v>500</v>
      </c>
      <c r="S5701" s="19">
        <v>2040000</v>
      </c>
      <c r="AJ5701" s="19">
        <v>0</v>
      </c>
      <c r="AK5701" s="23">
        <v>0</v>
      </c>
      <c r="AM5701" s="19">
        <v>0</v>
      </c>
      <c r="AN5701" s="19">
        <v>2040000</v>
      </c>
      <c r="AP5701" s="14">
        <v>2040000</v>
      </c>
    </row>
    <row r="5702" spans="1:45" x14ac:dyDescent="0.2">
      <c r="A5702" s="2">
        <v>4735</v>
      </c>
      <c r="B5702" s="13">
        <v>5</v>
      </c>
      <c r="C5702" s="17" t="s">
        <v>52</v>
      </c>
      <c r="D5702" s="17">
        <v>17720</v>
      </c>
      <c r="E5702" s="17">
        <v>57</v>
      </c>
      <c r="F5702" s="17">
        <v>3848</v>
      </c>
      <c r="G5702" s="13">
        <v>3</v>
      </c>
      <c r="H5702" s="17">
        <v>0</v>
      </c>
      <c r="I5702" s="17">
        <v>1</v>
      </c>
      <c r="J5702" s="17">
        <v>38</v>
      </c>
      <c r="K5702" s="10">
        <v>138</v>
      </c>
      <c r="P5702" s="17">
        <v>1</v>
      </c>
      <c r="Q5702" s="19">
        <v>138</v>
      </c>
      <c r="R5702" s="14">
        <v>2000</v>
      </c>
      <c r="S5702" s="19">
        <v>276000</v>
      </c>
      <c r="AJ5702" s="19">
        <v>0</v>
      </c>
      <c r="AK5702" s="23">
        <v>0</v>
      </c>
      <c r="AM5702" s="19">
        <v>0</v>
      </c>
      <c r="AN5702" s="19">
        <v>276000</v>
      </c>
      <c r="AP5702" s="14">
        <v>276000</v>
      </c>
    </row>
    <row r="5703" spans="1:45" x14ac:dyDescent="0.2">
      <c r="A5703" s="2">
        <v>4736</v>
      </c>
      <c r="B5703" s="13">
        <v>6</v>
      </c>
      <c r="C5703" s="17" t="s">
        <v>52</v>
      </c>
      <c r="D5703" s="17">
        <v>18663</v>
      </c>
      <c r="E5703" s="17">
        <v>43</v>
      </c>
      <c r="F5703" s="17">
        <v>4208</v>
      </c>
      <c r="G5703" s="13">
        <v>3</v>
      </c>
      <c r="H5703" s="17">
        <v>3</v>
      </c>
      <c r="I5703" s="17">
        <v>3</v>
      </c>
      <c r="J5703" s="17">
        <v>30</v>
      </c>
      <c r="K5703" s="10">
        <v>1530</v>
      </c>
      <c r="P5703" s="17">
        <v>1</v>
      </c>
      <c r="Q5703" s="19">
        <v>1530</v>
      </c>
      <c r="R5703" s="14">
        <v>160</v>
      </c>
      <c r="S5703" s="19">
        <v>244800</v>
      </c>
      <c r="AJ5703" s="19">
        <v>0</v>
      </c>
      <c r="AK5703" s="23">
        <v>0</v>
      </c>
      <c r="AM5703" s="19">
        <v>0</v>
      </c>
      <c r="AN5703" s="19">
        <v>244800</v>
      </c>
      <c r="AP5703" s="14">
        <v>244800</v>
      </c>
    </row>
    <row r="5704" spans="1:45" ht="42" x14ac:dyDescent="0.2">
      <c r="A5704" s="2">
        <v>4737</v>
      </c>
      <c r="B5704" s="13">
        <v>7</v>
      </c>
      <c r="C5704" s="17" t="s">
        <v>52</v>
      </c>
      <c r="D5704" s="17">
        <v>22219</v>
      </c>
      <c r="E5704" s="17">
        <v>47</v>
      </c>
      <c r="F5704" s="17">
        <v>4773</v>
      </c>
      <c r="G5704" s="13">
        <v>3</v>
      </c>
      <c r="H5704" s="17">
        <v>0</v>
      </c>
      <c r="I5704" s="17">
        <v>1</v>
      </c>
      <c r="J5704" s="17">
        <v>68</v>
      </c>
      <c r="L5704" s="17">
        <v>168</v>
      </c>
      <c r="P5704" s="17">
        <v>2</v>
      </c>
      <c r="Q5704" s="19">
        <v>168</v>
      </c>
      <c r="R5704" s="14">
        <v>1300</v>
      </c>
      <c r="S5704" s="19">
        <v>218400</v>
      </c>
      <c r="T5704" s="17">
        <v>1</v>
      </c>
      <c r="V5704" s="17" t="s">
        <v>183</v>
      </c>
      <c r="W5704" s="4">
        <v>132</v>
      </c>
      <c r="Y5704" s="4">
        <v>132</v>
      </c>
      <c r="AB5704" s="17">
        <v>14</v>
      </c>
      <c r="AJ5704" s="19">
        <v>0</v>
      </c>
      <c r="AK5704" s="23">
        <v>14</v>
      </c>
      <c r="AM5704" s="19">
        <v>0</v>
      </c>
      <c r="AN5704" s="19">
        <v>218400</v>
      </c>
      <c r="AP5704" s="14">
        <v>218400</v>
      </c>
    </row>
    <row r="5705" spans="1:45" x14ac:dyDescent="0.2">
      <c r="A5705" s="2">
        <v>4738</v>
      </c>
      <c r="B5705" s="13">
        <v>8</v>
      </c>
      <c r="C5705" s="17" t="s">
        <v>52</v>
      </c>
      <c r="D5705" s="17">
        <v>36047</v>
      </c>
      <c r="E5705" s="17">
        <v>109</v>
      </c>
      <c r="F5705" s="17">
        <v>3670</v>
      </c>
      <c r="G5705" s="13">
        <v>3</v>
      </c>
      <c r="H5705" s="17">
        <v>3</v>
      </c>
      <c r="I5705" s="17">
        <v>0</v>
      </c>
      <c r="J5705" s="17">
        <v>9</v>
      </c>
      <c r="K5705" s="10">
        <v>1209</v>
      </c>
      <c r="P5705" s="17">
        <v>1</v>
      </c>
      <c r="Q5705" s="19">
        <v>1209</v>
      </c>
      <c r="R5705" s="14">
        <v>160</v>
      </c>
      <c r="S5705" s="19">
        <v>193440</v>
      </c>
      <c r="AJ5705" s="19">
        <v>0</v>
      </c>
      <c r="AK5705" s="23">
        <v>0</v>
      </c>
      <c r="AM5705" s="19">
        <v>0</v>
      </c>
      <c r="AN5705" s="19">
        <v>193440</v>
      </c>
      <c r="AP5705" s="14">
        <v>193440</v>
      </c>
    </row>
    <row r="5706" spans="1:45" x14ac:dyDescent="0.2">
      <c r="A5706" s="2">
        <f>+A5705+1</f>
        <v>4739</v>
      </c>
      <c r="B5706" s="13">
        <v>9</v>
      </c>
      <c r="C5706" s="17" t="s">
        <v>65</v>
      </c>
      <c r="D5706" s="17">
        <v>1577</v>
      </c>
      <c r="E5706" s="17">
        <v>145</v>
      </c>
      <c r="H5706" s="17">
        <v>11</v>
      </c>
      <c r="I5706" s="17">
        <v>1</v>
      </c>
      <c r="J5706" s="17">
        <v>70</v>
      </c>
      <c r="K5706" s="10">
        <v>4570</v>
      </c>
      <c r="P5706" s="17">
        <v>1</v>
      </c>
      <c r="Q5706" s="19">
        <v>4570</v>
      </c>
      <c r="R5706" s="14">
        <v>160</v>
      </c>
      <c r="S5706" s="19">
        <v>731200</v>
      </c>
      <c r="AJ5706" s="19">
        <v>0</v>
      </c>
      <c r="AK5706" s="23">
        <v>0</v>
      </c>
      <c r="AM5706" s="19">
        <v>0</v>
      </c>
      <c r="AN5706" s="19">
        <v>731200</v>
      </c>
      <c r="AP5706" s="14">
        <v>731200</v>
      </c>
      <c r="AQ5706" s="12">
        <v>1E-4</v>
      </c>
    </row>
    <row r="5707" spans="1:45" x14ac:dyDescent="0.2">
      <c r="A5707" s="122">
        <f t="shared" ref="A5707:A5718" si="613">+A5706+1</f>
        <v>4740</v>
      </c>
      <c r="B5707" s="13">
        <v>10</v>
      </c>
      <c r="C5707" s="17" t="s">
        <v>65</v>
      </c>
      <c r="D5707" s="17">
        <v>1582</v>
      </c>
      <c r="E5707" s="17">
        <v>153</v>
      </c>
      <c r="H5707" s="17">
        <v>2</v>
      </c>
      <c r="I5707" s="17">
        <v>2</v>
      </c>
      <c r="J5707" s="17">
        <v>66</v>
      </c>
      <c r="K5707" s="10">
        <v>1066</v>
      </c>
      <c r="P5707" s="17">
        <v>1</v>
      </c>
      <c r="Q5707" s="19">
        <v>1066</v>
      </c>
      <c r="R5707" s="14">
        <v>160</v>
      </c>
      <c r="S5707" s="19">
        <v>170560</v>
      </c>
      <c r="AJ5707" s="19">
        <v>0</v>
      </c>
      <c r="AK5707" s="23">
        <v>0</v>
      </c>
      <c r="AM5707" s="19">
        <v>0</v>
      </c>
      <c r="AN5707" s="19">
        <v>170560</v>
      </c>
      <c r="AP5707" s="14">
        <v>170560</v>
      </c>
      <c r="AQ5707" s="12">
        <v>1E-4</v>
      </c>
    </row>
    <row r="5708" spans="1:45" x14ac:dyDescent="0.2">
      <c r="A5708" s="122">
        <f t="shared" si="613"/>
        <v>4741</v>
      </c>
      <c r="B5708" s="13">
        <v>11</v>
      </c>
      <c r="C5708" s="17" t="s">
        <v>65</v>
      </c>
      <c r="D5708" s="17">
        <v>1583</v>
      </c>
      <c r="E5708" s="17">
        <v>154</v>
      </c>
      <c r="H5708" s="17">
        <v>1</v>
      </c>
      <c r="I5708" s="17">
        <v>3</v>
      </c>
      <c r="J5708" s="17">
        <v>13</v>
      </c>
      <c r="K5708" s="10">
        <v>713</v>
      </c>
      <c r="P5708" s="17">
        <v>1</v>
      </c>
      <c r="Q5708" s="19">
        <v>713</v>
      </c>
      <c r="R5708" s="14">
        <v>160</v>
      </c>
      <c r="S5708" s="19">
        <v>114080</v>
      </c>
      <c r="AJ5708" s="19">
        <v>0</v>
      </c>
      <c r="AK5708" s="23">
        <v>0</v>
      </c>
      <c r="AM5708" s="19">
        <v>0</v>
      </c>
      <c r="AN5708" s="19">
        <v>114080</v>
      </c>
      <c r="AP5708" s="14">
        <v>114080</v>
      </c>
      <c r="AQ5708" s="12">
        <v>1E-4</v>
      </c>
    </row>
    <row r="5709" spans="1:45" x14ac:dyDescent="0.2">
      <c r="A5709" s="122">
        <f t="shared" si="613"/>
        <v>4742</v>
      </c>
      <c r="B5709" s="13">
        <v>12</v>
      </c>
      <c r="C5709" s="17" t="s">
        <v>65</v>
      </c>
      <c r="D5709" s="17">
        <v>1678</v>
      </c>
      <c r="E5709" s="17">
        <v>20</v>
      </c>
      <c r="H5709" s="17">
        <v>5</v>
      </c>
      <c r="I5709" s="17">
        <v>1</v>
      </c>
      <c r="J5709" s="17">
        <v>10</v>
      </c>
      <c r="K5709" s="10">
        <v>2110</v>
      </c>
      <c r="P5709" s="17">
        <v>1</v>
      </c>
      <c r="Q5709" s="19">
        <v>2110</v>
      </c>
      <c r="R5709" s="14">
        <v>160</v>
      </c>
      <c r="S5709" s="19">
        <v>337600</v>
      </c>
      <c r="AJ5709" s="19">
        <v>0</v>
      </c>
      <c r="AK5709" s="23">
        <v>0</v>
      </c>
      <c r="AM5709" s="19">
        <v>0</v>
      </c>
      <c r="AN5709" s="19">
        <v>337600</v>
      </c>
      <c r="AP5709" s="14">
        <v>337600</v>
      </c>
      <c r="AQ5709" s="12">
        <v>1E-4</v>
      </c>
    </row>
    <row r="5710" spans="1:45" x14ac:dyDescent="0.2">
      <c r="A5710" s="122">
        <f t="shared" si="613"/>
        <v>4743</v>
      </c>
      <c r="B5710" s="13">
        <v>1</v>
      </c>
      <c r="C5710" s="17" t="s">
        <v>52</v>
      </c>
      <c r="D5710" s="17">
        <v>22238</v>
      </c>
      <c r="E5710" s="17">
        <v>100</v>
      </c>
      <c r="F5710" s="17">
        <v>4776</v>
      </c>
      <c r="G5710" s="13">
        <v>3</v>
      </c>
      <c r="H5710" s="17">
        <v>1</v>
      </c>
      <c r="I5710" s="17">
        <v>0</v>
      </c>
      <c r="J5710" s="17">
        <v>9</v>
      </c>
      <c r="K5710" s="10">
        <v>409</v>
      </c>
      <c r="P5710" s="17">
        <v>1</v>
      </c>
      <c r="Q5710" s="19">
        <v>409</v>
      </c>
      <c r="R5710" s="14">
        <v>2000</v>
      </c>
      <c r="S5710" s="19">
        <v>818000</v>
      </c>
      <c r="AJ5710" s="19">
        <v>0</v>
      </c>
      <c r="AK5710" s="23">
        <v>0</v>
      </c>
      <c r="AM5710" s="19">
        <v>0</v>
      </c>
      <c r="AN5710" s="19">
        <v>818000</v>
      </c>
      <c r="AP5710" s="14">
        <v>818000</v>
      </c>
      <c r="AS5710" s="26">
        <v>1800</v>
      </c>
    </row>
    <row r="5711" spans="1:45" ht="63" x14ac:dyDescent="0.2">
      <c r="A5711" s="122">
        <f t="shared" si="613"/>
        <v>4744</v>
      </c>
      <c r="B5711" s="13">
        <v>2</v>
      </c>
      <c r="C5711" s="17" t="s">
        <v>52</v>
      </c>
      <c r="D5711" s="17">
        <v>22240</v>
      </c>
      <c r="E5711" s="17">
        <v>102</v>
      </c>
      <c r="F5711" s="17">
        <v>4778</v>
      </c>
      <c r="G5711" s="13">
        <v>3</v>
      </c>
      <c r="H5711" s="17">
        <v>0</v>
      </c>
      <c r="I5711" s="17">
        <v>3</v>
      </c>
      <c r="J5711" s="17">
        <v>16</v>
      </c>
      <c r="K5711" s="10">
        <v>316</v>
      </c>
      <c r="P5711" s="17">
        <v>1</v>
      </c>
      <c r="Q5711" s="19">
        <v>316</v>
      </c>
      <c r="R5711" s="14">
        <v>2000</v>
      </c>
      <c r="S5711" s="19">
        <v>632000</v>
      </c>
      <c r="AJ5711" s="19">
        <v>0</v>
      </c>
      <c r="AK5711" s="23">
        <v>0</v>
      </c>
      <c r="AM5711" s="19">
        <v>0</v>
      </c>
      <c r="AN5711" s="19">
        <v>632000</v>
      </c>
      <c r="AP5711" s="14">
        <v>632000</v>
      </c>
      <c r="AR5711" s="19">
        <v>1800</v>
      </c>
    </row>
    <row r="5712" spans="1:45" x14ac:dyDescent="0.2">
      <c r="A5712" s="122">
        <f t="shared" si="613"/>
        <v>4745</v>
      </c>
      <c r="B5712" s="13">
        <v>3</v>
      </c>
      <c r="C5712" s="17" t="s">
        <v>52</v>
      </c>
      <c r="D5712" s="17">
        <v>32179</v>
      </c>
      <c r="E5712" s="17">
        <v>53</v>
      </c>
      <c r="F5712" s="17">
        <v>6259</v>
      </c>
      <c r="G5712" s="13">
        <v>3</v>
      </c>
      <c r="H5712" s="17">
        <v>0</v>
      </c>
      <c r="I5712" s="17">
        <v>1</v>
      </c>
      <c r="J5712" s="17">
        <v>19</v>
      </c>
      <c r="N5712" s="18">
        <v>119</v>
      </c>
      <c r="P5712" s="17">
        <v>4</v>
      </c>
      <c r="Q5712" s="19">
        <v>119</v>
      </c>
      <c r="R5712" s="14">
        <v>2000</v>
      </c>
      <c r="S5712" s="19">
        <v>238000</v>
      </c>
      <c r="AJ5712" s="19">
        <v>0</v>
      </c>
      <c r="AK5712" s="23">
        <v>0</v>
      </c>
      <c r="AM5712" s="19">
        <v>0</v>
      </c>
      <c r="AN5712" s="19">
        <v>238000</v>
      </c>
      <c r="AP5712" s="14">
        <v>238000</v>
      </c>
      <c r="AQ5712" s="12">
        <v>3.0000000000000001E-3</v>
      </c>
    </row>
    <row r="5713" spans="1:45" x14ac:dyDescent="0.2">
      <c r="A5713" s="122">
        <f t="shared" si="613"/>
        <v>4746</v>
      </c>
      <c r="B5713" s="13">
        <v>4</v>
      </c>
      <c r="C5713" s="17" t="s">
        <v>65</v>
      </c>
      <c r="D5713" s="17">
        <v>3599</v>
      </c>
      <c r="E5713" s="17">
        <v>268</v>
      </c>
      <c r="H5713" s="17">
        <v>6</v>
      </c>
      <c r="I5713" s="17">
        <v>3</v>
      </c>
      <c r="J5713" s="17">
        <v>98</v>
      </c>
      <c r="K5713" s="10">
        <v>2798</v>
      </c>
      <c r="Q5713" s="19">
        <v>2798</v>
      </c>
      <c r="R5713" s="14">
        <v>160</v>
      </c>
      <c r="S5713" s="19">
        <v>447680</v>
      </c>
      <c r="AE5713" s="17" t="s">
        <v>95</v>
      </c>
      <c r="AJ5713" s="19">
        <v>0</v>
      </c>
      <c r="AK5713" s="23">
        <v>0</v>
      </c>
      <c r="AM5713" s="19">
        <v>0</v>
      </c>
      <c r="AN5713" s="19">
        <v>447680</v>
      </c>
      <c r="AP5713" s="14">
        <v>447680</v>
      </c>
      <c r="AQ5713" s="12">
        <v>1E-4</v>
      </c>
    </row>
    <row r="5714" spans="1:45" x14ac:dyDescent="0.2">
      <c r="A5714" s="122">
        <f t="shared" si="613"/>
        <v>4747</v>
      </c>
      <c r="B5714" s="13">
        <v>1</v>
      </c>
      <c r="C5714" s="17" t="s">
        <v>52</v>
      </c>
      <c r="D5714" s="17">
        <v>2105</v>
      </c>
      <c r="E5714" s="17">
        <v>16</v>
      </c>
      <c r="F5714" s="17">
        <v>1662</v>
      </c>
      <c r="G5714" s="13">
        <v>3</v>
      </c>
      <c r="H5714" s="17">
        <v>6</v>
      </c>
      <c r="I5714" s="17">
        <v>1</v>
      </c>
      <c r="J5714" s="17">
        <v>94</v>
      </c>
      <c r="K5714" s="10">
        <v>2594</v>
      </c>
      <c r="P5714" s="17">
        <v>1</v>
      </c>
      <c r="Q5714" s="19">
        <v>2594</v>
      </c>
      <c r="R5714" s="14">
        <v>160</v>
      </c>
      <c r="S5714" s="19">
        <v>415040</v>
      </c>
      <c r="AJ5714" s="19">
        <v>0</v>
      </c>
      <c r="AK5714" s="23">
        <v>0</v>
      </c>
      <c r="AM5714" s="19">
        <v>0</v>
      </c>
      <c r="AN5714" s="19">
        <v>415040</v>
      </c>
      <c r="AP5714" s="14">
        <v>415040</v>
      </c>
    </row>
    <row r="5715" spans="1:45" x14ac:dyDescent="0.2">
      <c r="A5715" s="122">
        <f t="shared" si="613"/>
        <v>4748</v>
      </c>
      <c r="B5715" s="13">
        <v>1</v>
      </c>
      <c r="C5715" s="17" t="s">
        <v>52</v>
      </c>
      <c r="D5715" s="17">
        <v>2335</v>
      </c>
      <c r="E5715" s="17">
        <v>17</v>
      </c>
      <c r="F5715" s="17">
        <v>1663</v>
      </c>
      <c r="G5715" s="13">
        <v>3</v>
      </c>
      <c r="H5715" s="17">
        <v>5</v>
      </c>
      <c r="I5715" s="17">
        <v>0</v>
      </c>
      <c r="J5715" s="17">
        <v>26</v>
      </c>
      <c r="K5715" s="10">
        <v>2026</v>
      </c>
      <c r="P5715" s="17">
        <v>1</v>
      </c>
      <c r="Q5715" s="19">
        <v>2026</v>
      </c>
      <c r="R5715" s="14">
        <v>500</v>
      </c>
      <c r="S5715" s="19">
        <v>1013000</v>
      </c>
      <c r="AJ5715" s="19">
        <v>0</v>
      </c>
      <c r="AK5715" s="23">
        <v>0</v>
      </c>
      <c r="AM5715" s="19">
        <v>0</v>
      </c>
      <c r="AN5715" s="19">
        <v>1013000</v>
      </c>
      <c r="AP5715" s="14">
        <v>1013000</v>
      </c>
      <c r="AS5715" s="26">
        <v>15</v>
      </c>
    </row>
    <row r="5716" spans="1:45" ht="42" x14ac:dyDescent="0.2">
      <c r="A5716" s="122">
        <f t="shared" si="613"/>
        <v>4749</v>
      </c>
      <c r="B5716" s="13">
        <v>2</v>
      </c>
      <c r="C5716" s="17" t="s">
        <v>52</v>
      </c>
      <c r="D5716" s="17">
        <v>22221</v>
      </c>
      <c r="E5716" s="17">
        <v>49</v>
      </c>
      <c r="F5716" s="17">
        <v>4775</v>
      </c>
      <c r="G5716" s="13">
        <v>3</v>
      </c>
      <c r="H5716" s="17">
        <v>0</v>
      </c>
      <c r="I5716" s="17">
        <v>3</v>
      </c>
      <c r="J5716" s="17">
        <v>34</v>
      </c>
      <c r="L5716" s="17">
        <v>334</v>
      </c>
      <c r="P5716" s="17">
        <v>2</v>
      </c>
      <c r="Q5716" s="19">
        <v>334</v>
      </c>
      <c r="R5716" s="14">
        <v>1300</v>
      </c>
      <c r="S5716" s="19">
        <v>434200</v>
      </c>
      <c r="T5716" s="17">
        <v>1</v>
      </c>
      <c r="V5716" s="17" t="s">
        <v>183</v>
      </c>
      <c r="W5716" s="4">
        <v>78</v>
      </c>
      <c r="Y5716" s="4">
        <v>78</v>
      </c>
      <c r="AB5716" s="17">
        <v>22</v>
      </c>
      <c r="AJ5716" s="19">
        <v>0</v>
      </c>
      <c r="AK5716" s="23">
        <v>22</v>
      </c>
      <c r="AM5716" s="19">
        <v>0</v>
      </c>
      <c r="AN5716" s="19">
        <v>434200</v>
      </c>
      <c r="AP5716" s="14">
        <v>434200</v>
      </c>
    </row>
    <row r="5717" spans="1:45" x14ac:dyDescent="0.2">
      <c r="A5717" s="122">
        <f t="shared" si="613"/>
        <v>4750</v>
      </c>
      <c r="B5717" s="13">
        <v>1</v>
      </c>
      <c r="C5717" s="17" t="s">
        <v>52</v>
      </c>
      <c r="D5717" s="17">
        <v>22218</v>
      </c>
      <c r="E5717" s="17">
        <v>46</v>
      </c>
      <c r="F5717" s="17">
        <v>4772</v>
      </c>
      <c r="G5717" s="13">
        <v>3</v>
      </c>
      <c r="H5717" s="17">
        <v>5</v>
      </c>
      <c r="I5717" s="17">
        <v>1</v>
      </c>
      <c r="J5717" s="17">
        <v>13</v>
      </c>
      <c r="K5717" s="10">
        <v>2113</v>
      </c>
      <c r="P5717" s="17">
        <v>1</v>
      </c>
      <c r="Q5717" s="19">
        <v>2113</v>
      </c>
      <c r="R5717" s="14">
        <v>160</v>
      </c>
      <c r="S5717" s="19">
        <v>338080</v>
      </c>
      <c r="AJ5717" s="19">
        <v>0</v>
      </c>
      <c r="AK5717" s="23">
        <v>0</v>
      </c>
      <c r="AM5717" s="19">
        <v>0</v>
      </c>
      <c r="AN5717" s="19">
        <v>338080</v>
      </c>
      <c r="AP5717" s="14">
        <v>338080</v>
      </c>
      <c r="AS5717" s="26">
        <v>16</v>
      </c>
    </row>
    <row r="5718" spans="1:45" ht="42" x14ac:dyDescent="0.2">
      <c r="A5718" s="122">
        <f t="shared" si="613"/>
        <v>4751</v>
      </c>
      <c r="B5718" s="13">
        <v>2</v>
      </c>
      <c r="C5718" s="17" t="s">
        <v>52</v>
      </c>
      <c r="D5718" s="17">
        <v>22220</v>
      </c>
      <c r="E5718" s="17">
        <v>48</v>
      </c>
      <c r="F5718" s="17">
        <v>4774</v>
      </c>
      <c r="G5718" s="13">
        <v>3</v>
      </c>
      <c r="H5718" s="17">
        <v>0</v>
      </c>
      <c r="I5718" s="17">
        <v>2</v>
      </c>
      <c r="J5718" s="17">
        <v>18</v>
      </c>
      <c r="L5718" s="17">
        <v>218</v>
      </c>
      <c r="P5718" s="17">
        <v>2</v>
      </c>
      <c r="Q5718" s="19">
        <v>218</v>
      </c>
      <c r="R5718" s="14">
        <v>1300</v>
      </c>
      <c r="S5718" s="19">
        <v>283400</v>
      </c>
      <c r="T5718" s="17">
        <v>1</v>
      </c>
      <c r="V5718" s="17" t="s">
        <v>183</v>
      </c>
      <c r="W5718" s="4">
        <v>192</v>
      </c>
      <c r="Y5718" s="4">
        <v>192</v>
      </c>
      <c r="AB5718" s="17">
        <v>11</v>
      </c>
      <c r="AJ5718" s="19">
        <v>0</v>
      </c>
      <c r="AK5718" s="23">
        <v>11</v>
      </c>
      <c r="AM5718" s="19">
        <v>0</v>
      </c>
      <c r="AN5718" s="19">
        <v>283400</v>
      </c>
      <c r="AP5718" s="14">
        <v>283400</v>
      </c>
    </row>
    <row r="5719" spans="1:45" x14ac:dyDescent="0.2">
      <c r="B5719" s="13">
        <v>1</v>
      </c>
      <c r="C5719" s="17" t="s">
        <v>65</v>
      </c>
      <c r="D5719" s="17">
        <v>354</v>
      </c>
      <c r="E5719" s="17">
        <v>100</v>
      </c>
      <c r="H5719" s="17">
        <v>10</v>
      </c>
      <c r="I5719" s="17">
        <v>3</v>
      </c>
      <c r="J5719" s="17">
        <v>6</v>
      </c>
      <c r="K5719" s="10">
        <v>4306</v>
      </c>
      <c r="Q5719" s="19">
        <v>4306</v>
      </c>
      <c r="R5719" s="14" t="e">
        <v>#N/A</v>
      </c>
      <c r="S5719" s="19" t="e">
        <v>#N/A</v>
      </c>
      <c r="AE5719" s="17" t="s">
        <v>94</v>
      </c>
      <c r="AJ5719" s="19">
        <v>0</v>
      </c>
      <c r="AK5719" s="23">
        <v>0</v>
      </c>
      <c r="AM5719" s="19">
        <v>0</v>
      </c>
      <c r="AN5719" s="19" t="e">
        <v>#N/A</v>
      </c>
      <c r="AP5719" s="14" t="e">
        <v>#N/A</v>
      </c>
      <c r="AQ5719" s="12">
        <v>1E-4</v>
      </c>
    </row>
    <row r="5720" spans="1:45" x14ac:dyDescent="0.2">
      <c r="B5720" s="13">
        <v>1</v>
      </c>
      <c r="C5720" s="17" t="s">
        <v>65</v>
      </c>
      <c r="D5720" s="17">
        <v>357</v>
      </c>
      <c r="E5720" s="17">
        <v>103</v>
      </c>
      <c r="H5720" s="17">
        <v>8</v>
      </c>
      <c r="I5720" s="17">
        <v>2</v>
      </c>
      <c r="J5720" s="17">
        <v>50</v>
      </c>
      <c r="K5720" s="10">
        <v>3450</v>
      </c>
      <c r="Q5720" s="19">
        <v>3450</v>
      </c>
      <c r="R5720" s="14" t="e">
        <v>#N/A</v>
      </c>
      <c r="S5720" s="19" t="e">
        <v>#N/A</v>
      </c>
      <c r="AE5720" s="17" t="s">
        <v>94</v>
      </c>
      <c r="AJ5720" s="19">
        <v>0</v>
      </c>
      <c r="AK5720" s="23">
        <v>0</v>
      </c>
      <c r="AM5720" s="19">
        <v>0</v>
      </c>
      <c r="AN5720" s="19" t="e">
        <v>#N/A</v>
      </c>
      <c r="AP5720" s="14" t="e">
        <v>#N/A</v>
      </c>
      <c r="AQ5720" s="12">
        <v>1E-4</v>
      </c>
    </row>
    <row r="5721" spans="1:45" x14ac:dyDescent="0.2">
      <c r="A5721" s="2">
        <v>4752</v>
      </c>
      <c r="B5721" s="13">
        <v>1</v>
      </c>
      <c r="C5721" s="17" t="s">
        <v>52</v>
      </c>
      <c r="D5721" s="17">
        <v>17697</v>
      </c>
      <c r="E5721" s="17">
        <v>43</v>
      </c>
      <c r="F5721" s="17">
        <v>3825</v>
      </c>
      <c r="G5721" s="13">
        <v>3</v>
      </c>
      <c r="H5721" s="17">
        <v>6</v>
      </c>
      <c r="I5721" s="17">
        <v>2</v>
      </c>
      <c r="J5721" s="17">
        <v>52</v>
      </c>
      <c r="K5721" s="10">
        <v>2652</v>
      </c>
      <c r="P5721" s="17">
        <v>1</v>
      </c>
      <c r="Q5721" s="19">
        <v>2652</v>
      </c>
      <c r="R5721" s="14">
        <v>160</v>
      </c>
      <c r="S5721" s="19">
        <v>424320</v>
      </c>
      <c r="AJ5721" s="19">
        <v>0</v>
      </c>
      <c r="AK5721" s="23">
        <v>0</v>
      </c>
      <c r="AM5721" s="19">
        <v>0</v>
      </c>
      <c r="AN5721" s="19">
        <v>424320</v>
      </c>
      <c r="AP5721" s="14">
        <v>424320</v>
      </c>
      <c r="AS5721" s="26">
        <v>20</v>
      </c>
    </row>
    <row r="5722" spans="1:45" ht="42" x14ac:dyDescent="0.2">
      <c r="A5722" s="2">
        <v>4753</v>
      </c>
      <c r="B5722" s="13">
        <v>2</v>
      </c>
      <c r="C5722" s="17" t="s">
        <v>52</v>
      </c>
      <c r="D5722" s="17">
        <v>17700</v>
      </c>
      <c r="E5722" s="17">
        <v>38</v>
      </c>
      <c r="F5722" s="17">
        <v>3828</v>
      </c>
      <c r="G5722" s="13">
        <v>3</v>
      </c>
      <c r="H5722" s="17">
        <v>0</v>
      </c>
      <c r="I5722" s="17">
        <v>1</v>
      </c>
      <c r="J5722" s="17">
        <v>40</v>
      </c>
      <c r="K5722" s="10">
        <v>90</v>
      </c>
      <c r="L5722" s="17">
        <v>50</v>
      </c>
      <c r="P5722" s="17">
        <v>5</v>
      </c>
      <c r="Q5722" s="19">
        <v>140</v>
      </c>
      <c r="R5722" s="14">
        <v>2000</v>
      </c>
      <c r="S5722" s="19">
        <v>280000</v>
      </c>
      <c r="T5722" s="17">
        <v>1</v>
      </c>
      <c r="V5722" s="17" t="s">
        <v>183</v>
      </c>
      <c r="W5722" s="4">
        <v>200</v>
      </c>
      <c r="Y5722" s="4">
        <v>200</v>
      </c>
      <c r="AB5722" s="17">
        <v>14</v>
      </c>
      <c r="AJ5722" s="19">
        <v>0</v>
      </c>
      <c r="AK5722" s="23">
        <v>14</v>
      </c>
      <c r="AM5722" s="19">
        <v>0</v>
      </c>
      <c r="AN5722" s="19">
        <v>280000</v>
      </c>
      <c r="AP5722" s="14">
        <v>280000</v>
      </c>
    </row>
    <row r="5723" spans="1:45" x14ac:dyDescent="0.2">
      <c r="A5723" s="2">
        <v>4754</v>
      </c>
      <c r="B5723" s="13">
        <v>3</v>
      </c>
      <c r="C5723" s="17" t="s">
        <v>52</v>
      </c>
      <c r="D5723" s="17">
        <v>17701</v>
      </c>
      <c r="E5723" s="17">
        <v>39</v>
      </c>
      <c r="F5723" s="17">
        <v>3829</v>
      </c>
      <c r="G5723" s="13">
        <v>3</v>
      </c>
      <c r="H5723" s="17">
        <v>0</v>
      </c>
      <c r="I5723" s="17">
        <v>1</v>
      </c>
      <c r="J5723" s="17">
        <v>24</v>
      </c>
      <c r="K5723" s="10">
        <v>124</v>
      </c>
      <c r="P5723" s="17">
        <v>1</v>
      </c>
      <c r="Q5723" s="19">
        <v>124</v>
      </c>
      <c r="R5723" s="14">
        <v>2000</v>
      </c>
      <c r="S5723" s="19">
        <v>248000</v>
      </c>
      <c r="AJ5723" s="19">
        <v>0</v>
      </c>
      <c r="AK5723" s="23">
        <v>0</v>
      </c>
      <c r="AM5723" s="19">
        <v>0</v>
      </c>
      <c r="AN5723" s="19">
        <v>248000</v>
      </c>
      <c r="AP5723" s="14">
        <v>248000</v>
      </c>
    </row>
    <row r="5724" spans="1:45" x14ac:dyDescent="0.2">
      <c r="B5724" s="13">
        <v>4</v>
      </c>
      <c r="C5724" s="17" t="s">
        <v>65</v>
      </c>
      <c r="D5724" s="17">
        <v>2880</v>
      </c>
      <c r="E5724" s="17">
        <v>214</v>
      </c>
      <c r="H5724" s="17">
        <v>0</v>
      </c>
      <c r="I5724" s="17">
        <v>2</v>
      </c>
      <c r="J5724" s="17">
        <v>31</v>
      </c>
      <c r="K5724" s="10">
        <v>231</v>
      </c>
      <c r="Q5724" s="19">
        <v>231</v>
      </c>
      <c r="R5724" s="14" t="e">
        <v>#N/A</v>
      </c>
      <c r="S5724" s="19" t="e">
        <v>#N/A</v>
      </c>
      <c r="AE5724" s="17" t="s">
        <v>94</v>
      </c>
      <c r="AJ5724" s="19">
        <v>0</v>
      </c>
      <c r="AK5724" s="23">
        <v>0</v>
      </c>
      <c r="AM5724" s="19">
        <v>0</v>
      </c>
      <c r="AN5724" s="19" t="e">
        <v>#N/A</v>
      </c>
      <c r="AP5724" s="14" t="e">
        <v>#N/A</v>
      </c>
      <c r="AQ5724" s="12">
        <v>1E-4</v>
      </c>
    </row>
    <row r="5725" spans="1:45" x14ac:dyDescent="0.2">
      <c r="A5725" s="2">
        <v>4755</v>
      </c>
      <c r="B5725" s="13">
        <v>1</v>
      </c>
      <c r="C5725" s="17" t="s">
        <v>65</v>
      </c>
      <c r="D5725" s="17">
        <v>3181</v>
      </c>
      <c r="E5725" s="17">
        <v>248</v>
      </c>
      <c r="H5725" s="17">
        <v>0</v>
      </c>
      <c r="I5725" s="17">
        <v>0</v>
      </c>
      <c r="J5725" s="17">
        <v>65</v>
      </c>
      <c r="N5725" s="18">
        <v>65</v>
      </c>
      <c r="Q5725" s="19">
        <v>65</v>
      </c>
      <c r="R5725" s="14">
        <v>200</v>
      </c>
      <c r="S5725" s="19">
        <v>13000</v>
      </c>
      <c r="AE5725" s="17" t="s">
        <v>94</v>
      </c>
      <c r="AJ5725" s="19">
        <v>0</v>
      </c>
      <c r="AK5725" s="23">
        <v>0</v>
      </c>
      <c r="AM5725" s="19">
        <v>0</v>
      </c>
      <c r="AN5725" s="19">
        <v>13000</v>
      </c>
      <c r="AP5725" s="14">
        <v>13000</v>
      </c>
      <c r="AQ5725" s="12">
        <v>3.0000000000000001E-3</v>
      </c>
    </row>
    <row r="5726" spans="1:45" x14ac:dyDescent="0.2">
      <c r="A5726" s="2">
        <v>4756</v>
      </c>
      <c r="B5726" s="13">
        <v>1</v>
      </c>
      <c r="C5726" s="17" t="s">
        <v>52</v>
      </c>
      <c r="D5726" s="17">
        <v>17696</v>
      </c>
      <c r="E5726" s="17">
        <v>36</v>
      </c>
      <c r="F5726" s="17">
        <v>3824</v>
      </c>
      <c r="G5726" s="13">
        <v>3</v>
      </c>
      <c r="H5726" s="17">
        <v>7</v>
      </c>
      <c r="I5726" s="17">
        <v>1</v>
      </c>
      <c r="J5726" s="17">
        <v>23</v>
      </c>
      <c r="O5726" s="14" t="s">
        <v>575</v>
      </c>
      <c r="P5726" s="17">
        <v>1</v>
      </c>
      <c r="Q5726" s="19">
        <v>2923</v>
      </c>
      <c r="R5726" s="14">
        <v>1000</v>
      </c>
      <c r="S5726" s="19">
        <v>2923000</v>
      </c>
      <c r="AS5726" s="26">
        <v>540</v>
      </c>
    </row>
    <row r="5727" spans="1:45" x14ac:dyDescent="0.2">
      <c r="P5727" s="17">
        <v>1</v>
      </c>
      <c r="Q5727" s="19">
        <v>2733</v>
      </c>
      <c r="R5727" s="14">
        <v>1000</v>
      </c>
      <c r="T5727" s="17" t="s">
        <v>122</v>
      </c>
    </row>
    <row r="5728" spans="1:45" ht="42" x14ac:dyDescent="0.2">
      <c r="P5728" s="17">
        <v>2</v>
      </c>
      <c r="Q5728" s="19">
        <v>95</v>
      </c>
      <c r="R5728" s="14">
        <v>1000</v>
      </c>
      <c r="T5728" s="17" t="s">
        <v>288</v>
      </c>
      <c r="V5728" s="17" t="s">
        <v>183</v>
      </c>
      <c r="W5728" s="4">
        <v>180</v>
      </c>
      <c r="Y5728" s="4">
        <v>180</v>
      </c>
      <c r="AB5728" s="17">
        <v>11</v>
      </c>
      <c r="AF5728" s="14">
        <v>2</v>
      </c>
      <c r="AG5728" s="54">
        <v>180</v>
      </c>
      <c r="AJ5728" s="19">
        <v>0</v>
      </c>
      <c r="AK5728" s="23">
        <v>11</v>
      </c>
      <c r="AM5728" s="19">
        <v>0</v>
      </c>
      <c r="AN5728" s="19">
        <v>0</v>
      </c>
      <c r="AP5728" s="14">
        <v>0</v>
      </c>
    </row>
    <row r="5729" spans="1:45" ht="231" x14ac:dyDescent="0.2">
      <c r="P5729" s="17">
        <v>5</v>
      </c>
      <c r="Q5729" s="19">
        <v>95</v>
      </c>
      <c r="R5729" s="14">
        <v>1000</v>
      </c>
      <c r="S5729" s="19">
        <v>95000</v>
      </c>
      <c r="T5729" s="17" t="s">
        <v>515</v>
      </c>
      <c r="V5729" s="17" t="s">
        <v>183</v>
      </c>
      <c r="W5729" s="4">
        <v>100</v>
      </c>
      <c r="Y5729" s="4" t="s">
        <v>576</v>
      </c>
      <c r="Z5729" s="17" t="s">
        <v>492</v>
      </c>
      <c r="AB5729" s="17">
        <v>5</v>
      </c>
      <c r="AC5729" s="14" t="s">
        <v>486</v>
      </c>
      <c r="AF5729" s="14">
        <v>2</v>
      </c>
      <c r="AG5729" s="54">
        <v>100</v>
      </c>
      <c r="AH5729" s="11">
        <v>0.82</v>
      </c>
      <c r="AI5729" s="14">
        <v>7250</v>
      </c>
      <c r="AJ5729" s="19">
        <v>594500</v>
      </c>
      <c r="AK5729" s="23">
        <v>5</v>
      </c>
      <c r="AL5729" s="11">
        <v>0.05</v>
      </c>
      <c r="AM5729" s="19">
        <v>564775</v>
      </c>
      <c r="AN5729" s="19">
        <v>659775</v>
      </c>
      <c r="AP5729" s="14">
        <v>659775</v>
      </c>
      <c r="AR5729" s="19">
        <v>540</v>
      </c>
    </row>
    <row r="5730" spans="1:45" x14ac:dyDescent="0.2">
      <c r="AF5730" s="14">
        <v>3</v>
      </c>
      <c r="AG5730" s="54">
        <v>100</v>
      </c>
      <c r="AH5730" s="11">
        <v>0.18</v>
      </c>
      <c r="AI5730" s="14">
        <v>7250</v>
      </c>
      <c r="AJ5730" s="19">
        <v>130500</v>
      </c>
      <c r="AK5730" s="23">
        <v>5</v>
      </c>
      <c r="AL5730" s="11">
        <v>0.05</v>
      </c>
      <c r="AM5730" s="19">
        <v>123975</v>
      </c>
      <c r="AN5730" s="19">
        <v>141075</v>
      </c>
      <c r="AP5730" s="14">
        <v>141075</v>
      </c>
      <c r="AQ5730" s="12">
        <v>3.0000000000000001E-3</v>
      </c>
    </row>
    <row r="5731" spans="1:45" x14ac:dyDescent="0.2">
      <c r="A5731" s="2">
        <v>4757</v>
      </c>
      <c r="B5731" s="13">
        <v>1</v>
      </c>
      <c r="C5731" s="17" t="s">
        <v>52</v>
      </c>
      <c r="D5731" s="17">
        <v>1327</v>
      </c>
      <c r="E5731" s="17">
        <v>10</v>
      </c>
      <c r="F5731" s="17">
        <v>595</v>
      </c>
      <c r="G5731" s="13">
        <v>1</v>
      </c>
      <c r="H5731" s="17">
        <v>1</v>
      </c>
      <c r="I5731" s="17">
        <v>0</v>
      </c>
      <c r="J5731" s="17">
        <v>82</v>
      </c>
      <c r="K5731" s="10">
        <v>482</v>
      </c>
      <c r="P5731" s="17">
        <v>5</v>
      </c>
      <c r="Q5731" s="19">
        <v>482</v>
      </c>
      <c r="R5731" s="14">
        <v>750</v>
      </c>
      <c r="S5731" s="19">
        <v>361500</v>
      </c>
      <c r="AJ5731" s="19">
        <v>0</v>
      </c>
      <c r="AK5731" s="23">
        <v>0</v>
      </c>
      <c r="AM5731" s="19">
        <v>0</v>
      </c>
      <c r="AN5731" s="19">
        <v>361500</v>
      </c>
      <c r="AP5731" s="14">
        <v>361500</v>
      </c>
    </row>
    <row r="5732" spans="1:45" ht="63" x14ac:dyDescent="0.2">
      <c r="P5732" s="17">
        <v>3</v>
      </c>
      <c r="Q5732" s="19">
        <v>11.375</v>
      </c>
      <c r="R5732" s="14">
        <v>750</v>
      </c>
      <c r="S5732" s="19">
        <v>8531.25</v>
      </c>
      <c r="U5732" s="17" t="s">
        <v>57</v>
      </c>
      <c r="V5732" s="17" t="s">
        <v>56</v>
      </c>
      <c r="AB5732" s="17" t="s">
        <v>122</v>
      </c>
      <c r="AE5732" s="17" t="s">
        <v>577</v>
      </c>
      <c r="AF5732" s="14">
        <v>3</v>
      </c>
      <c r="AG5732" s="54">
        <v>45.5</v>
      </c>
      <c r="AH5732" s="11">
        <v>1</v>
      </c>
      <c r="AI5732" s="14">
        <v>7250</v>
      </c>
      <c r="AJ5732" s="19">
        <v>329875</v>
      </c>
      <c r="AK5732" s="23">
        <v>1</v>
      </c>
      <c r="AL5732" s="11">
        <v>0.01</v>
      </c>
      <c r="AM5732" s="19">
        <v>326576.25</v>
      </c>
      <c r="AN5732" s="19">
        <v>335107.5</v>
      </c>
      <c r="AO5732" s="14" t="s">
        <v>75</v>
      </c>
      <c r="AP5732" s="14">
        <v>335107.5</v>
      </c>
      <c r="AQ5732" s="12">
        <v>3.0000000000000001E-3</v>
      </c>
    </row>
    <row r="5733" spans="1:45" x14ac:dyDescent="0.2">
      <c r="A5733" s="2">
        <v>4758</v>
      </c>
      <c r="B5733" s="13">
        <v>2</v>
      </c>
      <c r="C5733" s="17" t="s">
        <v>52</v>
      </c>
      <c r="D5733" s="17">
        <v>32510</v>
      </c>
      <c r="E5733" s="17">
        <v>105</v>
      </c>
      <c r="F5733" s="17">
        <v>6407</v>
      </c>
      <c r="G5733" s="13">
        <v>1</v>
      </c>
      <c r="H5733" s="17">
        <v>2</v>
      </c>
      <c r="I5733" s="17">
        <v>2</v>
      </c>
      <c r="J5733" s="17">
        <v>82</v>
      </c>
      <c r="K5733" s="10">
        <v>1082</v>
      </c>
      <c r="P5733" s="17">
        <v>1</v>
      </c>
      <c r="Q5733" s="19">
        <v>1082</v>
      </c>
      <c r="R5733" s="14">
        <v>160</v>
      </c>
      <c r="S5733" s="19">
        <v>173120</v>
      </c>
      <c r="AJ5733" s="19">
        <v>0</v>
      </c>
      <c r="AK5733" s="23">
        <v>0</v>
      </c>
      <c r="AM5733" s="19">
        <v>0</v>
      </c>
      <c r="AN5733" s="19">
        <v>173120</v>
      </c>
      <c r="AP5733" s="14">
        <v>173120</v>
      </c>
    </row>
    <row r="5734" spans="1:45" x14ac:dyDescent="0.2">
      <c r="A5734" s="2">
        <f>+A5733+1</f>
        <v>4759</v>
      </c>
      <c r="B5734" s="13">
        <v>3</v>
      </c>
      <c r="C5734" s="17" t="s">
        <v>69</v>
      </c>
      <c r="E5734" s="17">
        <v>157</v>
      </c>
      <c r="F5734" s="17">
        <v>4</v>
      </c>
      <c r="G5734" s="13">
        <v>1</v>
      </c>
      <c r="H5734" s="17">
        <v>9</v>
      </c>
      <c r="I5734" s="17">
        <v>0</v>
      </c>
      <c r="J5734" s="17">
        <v>47</v>
      </c>
      <c r="K5734" s="10">
        <v>3647</v>
      </c>
      <c r="P5734" s="17">
        <v>1</v>
      </c>
      <c r="Q5734" s="19">
        <v>3647</v>
      </c>
      <c r="R5734" s="14">
        <v>200</v>
      </c>
      <c r="S5734" s="19">
        <v>729400</v>
      </c>
      <c r="AJ5734" s="19">
        <v>0</v>
      </c>
      <c r="AK5734" s="23">
        <v>0</v>
      </c>
      <c r="AM5734" s="19">
        <v>0</v>
      </c>
      <c r="AN5734" s="19">
        <v>729400</v>
      </c>
      <c r="AP5734" s="14">
        <v>729400</v>
      </c>
      <c r="AQ5734" s="12">
        <v>1E-4</v>
      </c>
    </row>
    <row r="5735" spans="1:45" ht="63" x14ac:dyDescent="0.2">
      <c r="A5735" s="122">
        <f t="shared" ref="A5735:A5739" si="614">+A5734+1</f>
        <v>4760</v>
      </c>
      <c r="B5735" s="13">
        <v>4</v>
      </c>
      <c r="C5735" s="17" t="s">
        <v>69</v>
      </c>
      <c r="E5735" s="17">
        <v>157</v>
      </c>
      <c r="F5735" s="17">
        <v>7</v>
      </c>
      <c r="G5735" s="13">
        <v>1</v>
      </c>
      <c r="H5735" s="17">
        <v>17</v>
      </c>
      <c r="I5735" s="17">
        <v>2</v>
      </c>
      <c r="J5735" s="17">
        <v>9</v>
      </c>
      <c r="K5735" s="10">
        <v>7009</v>
      </c>
      <c r="P5735" s="17">
        <v>1</v>
      </c>
      <c r="Q5735" s="19">
        <v>7009</v>
      </c>
      <c r="R5735" s="14">
        <v>160</v>
      </c>
      <c r="S5735" s="19">
        <v>1121440</v>
      </c>
      <c r="AJ5735" s="19">
        <v>0</v>
      </c>
      <c r="AK5735" s="23">
        <v>0</v>
      </c>
      <c r="AM5735" s="19">
        <v>0</v>
      </c>
      <c r="AN5735" s="19">
        <v>1121440</v>
      </c>
      <c r="AP5735" s="14">
        <v>1121440</v>
      </c>
      <c r="AQ5735" s="12">
        <v>1E-4</v>
      </c>
      <c r="AR5735" s="19">
        <v>1190.4065000000001</v>
      </c>
    </row>
    <row r="5736" spans="1:45" x14ac:dyDescent="0.2">
      <c r="A5736" s="122">
        <f t="shared" si="614"/>
        <v>4761</v>
      </c>
      <c r="B5736" s="13">
        <v>1</v>
      </c>
      <c r="C5736" s="17" t="s">
        <v>52</v>
      </c>
      <c r="D5736" s="17">
        <v>36607</v>
      </c>
      <c r="E5736" s="17">
        <v>65</v>
      </c>
      <c r="F5736" s="17">
        <v>7155</v>
      </c>
      <c r="G5736" s="13">
        <v>3</v>
      </c>
      <c r="H5736" s="17">
        <v>19</v>
      </c>
      <c r="I5736" s="17">
        <v>0</v>
      </c>
      <c r="J5736" s="17">
        <v>19.04</v>
      </c>
      <c r="K5736" s="10">
        <v>7619.04</v>
      </c>
      <c r="P5736" s="17">
        <v>1</v>
      </c>
      <c r="Q5736" s="19">
        <v>7619.04</v>
      </c>
      <c r="R5736" s="14">
        <v>250</v>
      </c>
      <c r="S5736" s="19">
        <v>1904760</v>
      </c>
      <c r="AJ5736" s="19">
        <v>0</v>
      </c>
      <c r="AK5736" s="23">
        <v>0</v>
      </c>
      <c r="AM5736" s="19">
        <v>0</v>
      </c>
      <c r="AN5736" s="19">
        <v>1904760</v>
      </c>
      <c r="AP5736" s="14">
        <v>1904760</v>
      </c>
      <c r="AS5736" s="26">
        <v>128</v>
      </c>
    </row>
    <row r="5737" spans="1:45" x14ac:dyDescent="0.2">
      <c r="A5737" s="122">
        <f t="shared" si="614"/>
        <v>4762</v>
      </c>
      <c r="B5737" s="13">
        <v>2</v>
      </c>
      <c r="C5737" s="17" t="s">
        <v>65</v>
      </c>
      <c r="D5737" s="17">
        <v>420</v>
      </c>
      <c r="E5737" s="17">
        <v>82</v>
      </c>
      <c r="H5737" s="17">
        <v>6</v>
      </c>
      <c r="I5737" s="17">
        <v>2</v>
      </c>
      <c r="J5737" s="17">
        <v>46</v>
      </c>
      <c r="K5737" s="10">
        <v>2646</v>
      </c>
      <c r="P5737" s="17">
        <v>1</v>
      </c>
      <c r="Q5737" s="19">
        <v>2646</v>
      </c>
      <c r="R5737" s="14">
        <v>200</v>
      </c>
      <c r="S5737" s="19">
        <v>529200</v>
      </c>
      <c r="AJ5737" s="19">
        <v>0</v>
      </c>
      <c r="AK5737" s="23">
        <v>0</v>
      </c>
      <c r="AM5737" s="19">
        <v>0</v>
      </c>
      <c r="AN5737" s="19">
        <v>529200</v>
      </c>
      <c r="AP5737" s="14">
        <v>529200</v>
      </c>
      <c r="AQ5737" s="12">
        <v>1E-4</v>
      </c>
    </row>
    <row r="5738" spans="1:45" x14ac:dyDescent="0.2">
      <c r="A5738" s="122">
        <f t="shared" si="614"/>
        <v>4763</v>
      </c>
      <c r="B5738" s="13">
        <v>3</v>
      </c>
      <c r="C5738" s="17" t="s">
        <v>65</v>
      </c>
      <c r="D5738" s="17">
        <v>2001</v>
      </c>
      <c r="E5738" s="17">
        <v>35</v>
      </c>
      <c r="H5738" s="17">
        <v>5</v>
      </c>
      <c r="I5738" s="17">
        <v>3</v>
      </c>
      <c r="J5738" s="17">
        <v>6</v>
      </c>
      <c r="K5738" s="10">
        <v>2306</v>
      </c>
      <c r="P5738" s="17">
        <v>1</v>
      </c>
      <c r="Q5738" s="19">
        <v>2306</v>
      </c>
      <c r="R5738" s="14">
        <v>160</v>
      </c>
      <c r="S5738" s="19">
        <v>368960</v>
      </c>
      <c r="AJ5738" s="19">
        <v>0</v>
      </c>
      <c r="AK5738" s="23">
        <v>0</v>
      </c>
      <c r="AM5738" s="19">
        <v>0</v>
      </c>
      <c r="AN5738" s="19">
        <v>368960</v>
      </c>
      <c r="AP5738" s="14">
        <v>368960</v>
      </c>
      <c r="AQ5738" s="12">
        <v>1E-4</v>
      </c>
    </row>
    <row r="5739" spans="1:45" ht="42" x14ac:dyDescent="0.2">
      <c r="A5739" s="122">
        <f t="shared" si="614"/>
        <v>4764</v>
      </c>
      <c r="B5739" s="13">
        <v>1</v>
      </c>
      <c r="C5739" s="17" t="s">
        <v>52</v>
      </c>
      <c r="D5739" s="17">
        <v>17987</v>
      </c>
      <c r="E5739" s="17">
        <v>55</v>
      </c>
      <c r="F5739" s="17">
        <v>3936</v>
      </c>
      <c r="G5739" s="13">
        <v>3</v>
      </c>
      <c r="H5739" s="17">
        <v>1</v>
      </c>
      <c r="I5739" s="17">
        <v>2</v>
      </c>
      <c r="J5739" s="17">
        <v>22</v>
      </c>
      <c r="L5739" s="17">
        <v>622</v>
      </c>
      <c r="P5739" s="17">
        <v>2</v>
      </c>
      <c r="Q5739" s="19">
        <v>622</v>
      </c>
      <c r="R5739" s="14">
        <v>200</v>
      </c>
      <c r="S5739" s="19">
        <v>124400</v>
      </c>
      <c r="T5739" s="17">
        <v>1</v>
      </c>
      <c r="V5739" s="17" t="s">
        <v>183</v>
      </c>
      <c r="W5739" s="4">
        <v>93.5</v>
      </c>
      <c r="Y5739" s="4">
        <v>93.5</v>
      </c>
      <c r="AB5739" s="17">
        <v>24</v>
      </c>
      <c r="AJ5739" s="19">
        <v>0</v>
      </c>
      <c r="AK5739" s="23">
        <v>24</v>
      </c>
      <c r="AM5739" s="19">
        <v>0</v>
      </c>
      <c r="AN5739" s="19">
        <v>124400</v>
      </c>
      <c r="AP5739" s="14">
        <v>124400</v>
      </c>
      <c r="AS5739" s="26">
        <v>23</v>
      </c>
    </row>
    <row r="5740" spans="1:45" x14ac:dyDescent="0.2">
      <c r="B5740" s="13">
        <v>2</v>
      </c>
      <c r="C5740" s="17" t="s">
        <v>65</v>
      </c>
      <c r="D5740" s="17">
        <v>3444</v>
      </c>
      <c r="E5740" s="17">
        <v>193</v>
      </c>
      <c r="H5740" s="17">
        <v>1</v>
      </c>
      <c r="I5740" s="17">
        <v>1</v>
      </c>
      <c r="J5740" s="17">
        <v>27</v>
      </c>
      <c r="K5740" s="10">
        <v>527</v>
      </c>
      <c r="Q5740" s="19">
        <v>527</v>
      </c>
      <c r="R5740" s="14" t="e">
        <v>#N/A</v>
      </c>
      <c r="S5740" s="19" t="e">
        <v>#N/A</v>
      </c>
      <c r="AJ5740" s="19">
        <v>0</v>
      </c>
      <c r="AK5740" s="23">
        <v>0</v>
      </c>
      <c r="AM5740" s="19">
        <v>0</v>
      </c>
      <c r="AN5740" s="19" t="e">
        <v>#N/A</v>
      </c>
      <c r="AP5740" s="14" t="e">
        <v>#N/A</v>
      </c>
      <c r="AQ5740" s="12">
        <v>1E-4</v>
      </c>
    </row>
    <row r="5741" spans="1:45" x14ac:dyDescent="0.2">
      <c r="A5741" s="2">
        <v>4765</v>
      </c>
      <c r="B5741" s="13">
        <v>1</v>
      </c>
      <c r="C5741" s="17" t="s">
        <v>52</v>
      </c>
      <c r="D5741" s="17">
        <v>1742</v>
      </c>
      <c r="E5741" s="17">
        <v>15</v>
      </c>
      <c r="F5741" s="17">
        <v>1430</v>
      </c>
      <c r="G5741" s="13">
        <v>3</v>
      </c>
      <c r="H5741" s="17">
        <v>8</v>
      </c>
      <c r="I5741" s="17">
        <v>0</v>
      </c>
      <c r="J5741" s="17">
        <v>54</v>
      </c>
      <c r="K5741" s="10">
        <v>3254</v>
      </c>
      <c r="P5741" s="17">
        <v>1</v>
      </c>
      <c r="Q5741" s="19">
        <v>3254</v>
      </c>
      <c r="R5741" s="14">
        <v>200</v>
      </c>
      <c r="S5741" s="19">
        <v>650800</v>
      </c>
      <c r="AJ5741" s="19">
        <v>0</v>
      </c>
      <c r="AK5741" s="23">
        <v>0</v>
      </c>
      <c r="AM5741" s="19">
        <v>0</v>
      </c>
      <c r="AN5741" s="19">
        <v>650800</v>
      </c>
      <c r="AP5741" s="14">
        <v>650800</v>
      </c>
      <c r="AS5741" s="26">
        <v>45</v>
      </c>
    </row>
    <row r="5742" spans="1:45" x14ac:dyDescent="0.2">
      <c r="A5742" s="2">
        <f>+A5741+1</f>
        <v>4766</v>
      </c>
      <c r="B5742" s="13">
        <v>1</v>
      </c>
      <c r="C5742" s="17" t="s">
        <v>52</v>
      </c>
      <c r="D5742" s="17">
        <v>2160</v>
      </c>
      <c r="E5742" s="17">
        <v>18</v>
      </c>
      <c r="F5742" s="17">
        <v>1631</v>
      </c>
      <c r="G5742" s="13">
        <v>3</v>
      </c>
      <c r="H5742" s="17">
        <v>17</v>
      </c>
      <c r="I5742" s="17">
        <v>0</v>
      </c>
      <c r="J5742" s="17">
        <v>83</v>
      </c>
      <c r="K5742" s="10">
        <v>6883</v>
      </c>
      <c r="P5742" s="17">
        <v>1</v>
      </c>
      <c r="Q5742" s="19">
        <v>6883</v>
      </c>
      <c r="R5742" s="14">
        <v>200</v>
      </c>
      <c r="S5742" s="19">
        <v>1376600</v>
      </c>
      <c r="AJ5742" s="19">
        <v>0</v>
      </c>
      <c r="AK5742" s="23">
        <v>0</v>
      </c>
      <c r="AM5742" s="19">
        <v>0</v>
      </c>
      <c r="AN5742" s="19">
        <v>1376600</v>
      </c>
      <c r="AP5742" s="14">
        <v>1376600</v>
      </c>
    </row>
    <row r="5743" spans="1:45" ht="42" x14ac:dyDescent="0.2">
      <c r="A5743" s="122">
        <f t="shared" ref="A5743:A5749" si="615">+A5742+1</f>
        <v>4767</v>
      </c>
      <c r="B5743" s="13">
        <v>2</v>
      </c>
      <c r="C5743" s="17" t="s">
        <v>52</v>
      </c>
      <c r="D5743" s="17">
        <v>2273</v>
      </c>
      <c r="E5743" s="17">
        <v>9</v>
      </c>
      <c r="F5743" s="17">
        <v>1691</v>
      </c>
      <c r="G5743" s="13">
        <v>3</v>
      </c>
      <c r="H5743" s="17">
        <v>1</v>
      </c>
      <c r="I5743" s="17">
        <v>1</v>
      </c>
      <c r="J5743" s="17">
        <v>19</v>
      </c>
      <c r="K5743" s="10">
        <v>490.875</v>
      </c>
      <c r="L5743" s="17">
        <v>28.125</v>
      </c>
      <c r="P5743" s="17">
        <v>5</v>
      </c>
      <c r="Q5743" s="19">
        <v>519</v>
      </c>
      <c r="R5743" s="14">
        <v>200</v>
      </c>
      <c r="S5743" s="19">
        <v>103800</v>
      </c>
      <c r="T5743" s="17">
        <v>1</v>
      </c>
      <c r="V5743" s="17" t="s">
        <v>183</v>
      </c>
      <c r="W5743" s="4">
        <v>112.5</v>
      </c>
      <c r="Y5743" s="4">
        <v>112.5</v>
      </c>
      <c r="AB5743" s="17">
        <v>12</v>
      </c>
      <c r="AJ5743" s="19">
        <v>0</v>
      </c>
      <c r="AK5743" s="23">
        <v>12</v>
      </c>
      <c r="AM5743" s="19">
        <v>0</v>
      </c>
      <c r="AN5743" s="19">
        <v>103800</v>
      </c>
      <c r="AP5743" s="14">
        <v>103800</v>
      </c>
    </row>
    <row r="5744" spans="1:45" x14ac:dyDescent="0.2">
      <c r="A5744" s="122">
        <f t="shared" si="615"/>
        <v>4768</v>
      </c>
      <c r="B5744" s="13">
        <v>3</v>
      </c>
      <c r="C5744" s="17" t="s">
        <v>65</v>
      </c>
      <c r="D5744" s="17">
        <v>1350</v>
      </c>
      <c r="E5744" s="17">
        <v>36</v>
      </c>
      <c r="H5744" s="17">
        <v>6</v>
      </c>
      <c r="I5744" s="17">
        <v>2</v>
      </c>
      <c r="J5744" s="17">
        <v>30</v>
      </c>
      <c r="K5744" s="10">
        <v>2630</v>
      </c>
      <c r="P5744" s="17">
        <v>1</v>
      </c>
      <c r="Q5744" s="19">
        <v>2630</v>
      </c>
      <c r="R5744" s="14">
        <v>160</v>
      </c>
      <c r="S5744" s="19">
        <v>420800</v>
      </c>
      <c r="AJ5744" s="19">
        <v>0</v>
      </c>
      <c r="AK5744" s="23">
        <v>0</v>
      </c>
      <c r="AM5744" s="19">
        <v>0</v>
      </c>
      <c r="AN5744" s="19">
        <v>420800</v>
      </c>
      <c r="AP5744" s="14">
        <v>420800</v>
      </c>
      <c r="AQ5744" s="12">
        <v>1E-4</v>
      </c>
    </row>
    <row r="5745" spans="1:45" s="19" customFormat="1" ht="42" x14ac:dyDescent="0.2">
      <c r="A5745" s="122">
        <f t="shared" si="615"/>
        <v>4769</v>
      </c>
      <c r="B5745" s="13">
        <v>1</v>
      </c>
      <c r="C5745" s="17" t="s">
        <v>52</v>
      </c>
      <c r="D5745" s="17">
        <v>2170</v>
      </c>
      <c r="E5745" s="17">
        <v>25</v>
      </c>
      <c r="F5745" s="17">
        <v>1641</v>
      </c>
      <c r="G5745" s="13">
        <v>3</v>
      </c>
      <c r="H5745" s="17">
        <v>0</v>
      </c>
      <c r="I5745" s="17">
        <v>1</v>
      </c>
      <c r="J5745" s="17">
        <v>15</v>
      </c>
      <c r="K5745" s="10"/>
      <c r="L5745" s="17">
        <v>115</v>
      </c>
      <c r="M5745" s="15"/>
      <c r="N5745" s="18"/>
      <c r="O5745" s="14"/>
      <c r="P5745" s="17">
        <v>2</v>
      </c>
      <c r="Q5745" s="19">
        <v>115</v>
      </c>
      <c r="R5745" s="14">
        <v>250</v>
      </c>
      <c r="S5745" s="19">
        <v>28750</v>
      </c>
      <c r="T5745" s="17">
        <v>1</v>
      </c>
      <c r="U5745" s="17"/>
      <c r="V5745" s="17" t="s">
        <v>183</v>
      </c>
      <c r="W5745" s="4">
        <v>90</v>
      </c>
      <c r="X5745" s="17"/>
      <c r="Y5745" s="4">
        <v>90</v>
      </c>
      <c r="Z5745" s="17"/>
      <c r="AA5745" s="17"/>
      <c r="AB5745" s="17">
        <v>34</v>
      </c>
      <c r="AC5745" s="14"/>
      <c r="AD5745" s="14"/>
      <c r="AE5745" s="17"/>
      <c r="AF5745" s="14"/>
      <c r="AG5745" s="54"/>
      <c r="AH5745" s="11"/>
      <c r="AI5745" s="14"/>
      <c r="AJ5745" s="19">
        <v>0</v>
      </c>
      <c r="AK5745" s="23">
        <v>34</v>
      </c>
      <c r="AL5745" s="11"/>
      <c r="AM5745" s="19">
        <v>0</v>
      </c>
      <c r="AN5745" s="19">
        <v>28750</v>
      </c>
      <c r="AO5745" s="14"/>
      <c r="AP5745" s="14">
        <v>28750</v>
      </c>
      <c r="AQ5745" s="12"/>
      <c r="AS5745" s="26"/>
    </row>
    <row r="5746" spans="1:45" s="19" customFormat="1" x14ac:dyDescent="0.2">
      <c r="A5746" s="122">
        <f t="shared" si="615"/>
        <v>4770</v>
      </c>
      <c r="B5746" s="13">
        <v>1</v>
      </c>
      <c r="C5746" s="17" t="s">
        <v>52</v>
      </c>
      <c r="D5746" s="17">
        <v>1938</v>
      </c>
      <c r="E5746" s="17">
        <v>41</v>
      </c>
      <c r="F5746" s="17">
        <v>1334</v>
      </c>
      <c r="G5746" s="13">
        <v>2</v>
      </c>
      <c r="H5746" s="17">
        <v>5</v>
      </c>
      <c r="I5746" s="17">
        <v>2</v>
      </c>
      <c r="J5746" s="17">
        <v>79</v>
      </c>
      <c r="K5746" s="10">
        <v>2279</v>
      </c>
      <c r="L5746" s="17"/>
      <c r="M5746" s="15"/>
      <c r="N5746" s="18"/>
      <c r="O5746" s="14"/>
      <c r="P5746" s="17">
        <v>1</v>
      </c>
      <c r="Q5746" s="19">
        <v>2279</v>
      </c>
      <c r="R5746" s="14">
        <v>160</v>
      </c>
      <c r="S5746" s="19">
        <v>364640</v>
      </c>
      <c r="T5746" s="17"/>
      <c r="U5746" s="17"/>
      <c r="V5746" s="17"/>
      <c r="W5746" s="4"/>
      <c r="X5746" s="17"/>
      <c r="Y5746" s="4"/>
      <c r="Z5746" s="17"/>
      <c r="AA5746" s="17"/>
      <c r="AB5746" s="17"/>
      <c r="AC5746" s="14"/>
      <c r="AD5746" s="14"/>
      <c r="AE5746" s="17"/>
      <c r="AF5746" s="14"/>
      <c r="AG5746" s="54"/>
      <c r="AH5746" s="11"/>
      <c r="AI5746" s="14"/>
      <c r="AJ5746" s="19">
        <v>0</v>
      </c>
      <c r="AK5746" s="23">
        <v>0</v>
      </c>
      <c r="AL5746" s="11"/>
      <c r="AM5746" s="19">
        <v>0</v>
      </c>
      <c r="AN5746" s="19">
        <v>364640</v>
      </c>
      <c r="AO5746" s="14"/>
      <c r="AP5746" s="14">
        <v>364640</v>
      </c>
      <c r="AQ5746" s="12"/>
      <c r="AS5746" s="26"/>
    </row>
    <row r="5747" spans="1:45" s="19" customFormat="1" x14ac:dyDescent="0.2">
      <c r="A5747" s="122">
        <f t="shared" si="615"/>
        <v>4771</v>
      </c>
      <c r="B5747" s="13">
        <v>1</v>
      </c>
      <c r="C5747" s="17" t="s">
        <v>52</v>
      </c>
      <c r="D5747" s="17">
        <v>2101</v>
      </c>
      <c r="E5747" s="17">
        <v>21</v>
      </c>
      <c r="F5747" s="17">
        <v>1620</v>
      </c>
      <c r="G5747" s="13">
        <v>3</v>
      </c>
      <c r="H5747" s="17">
        <v>1</v>
      </c>
      <c r="I5747" s="17">
        <v>3</v>
      </c>
      <c r="J5747" s="17">
        <v>65</v>
      </c>
      <c r="K5747" s="10">
        <v>765</v>
      </c>
      <c r="L5747" s="17"/>
      <c r="M5747" s="15"/>
      <c r="N5747" s="18"/>
      <c r="O5747" s="14"/>
      <c r="P5747" s="17">
        <v>1</v>
      </c>
      <c r="Q5747" s="19">
        <v>765</v>
      </c>
      <c r="R5747" s="14">
        <v>250</v>
      </c>
      <c r="S5747" s="19">
        <v>191250</v>
      </c>
      <c r="T5747" s="17"/>
      <c r="U5747" s="17"/>
      <c r="V5747" s="17"/>
      <c r="W5747" s="4"/>
      <c r="X5747" s="17"/>
      <c r="Y5747" s="4"/>
      <c r="Z5747" s="17"/>
      <c r="AA5747" s="17"/>
      <c r="AB5747" s="17"/>
      <c r="AC5747" s="14"/>
      <c r="AD5747" s="14"/>
      <c r="AE5747" s="17"/>
      <c r="AF5747" s="14"/>
      <c r="AG5747" s="54"/>
      <c r="AH5747" s="11"/>
      <c r="AI5747" s="14"/>
      <c r="AJ5747" s="19">
        <v>0</v>
      </c>
      <c r="AK5747" s="23">
        <v>0</v>
      </c>
      <c r="AL5747" s="11"/>
      <c r="AM5747" s="19">
        <v>0</v>
      </c>
      <c r="AN5747" s="19">
        <v>191250</v>
      </c>
      <c r="AO5747" s="14"/>
      <c r="AP5747" s="14">
        <v>191250</v>
      </c>
      <c r="AQ5747" s="12"/>
      <c r="AS5747" s="26"/>
    </row>
    <row r="5748" spans="1:45" s="19" customFormat="1" x14ac:dyDescent="0.2">
      <c r="A5748" s="122">
        <f t="shared" si="615"/>
        <v>4772</v>
      </c>
      <c r="B5748" s="13">
        <v>1</v>
      </c>
      <c r="C5748" s="17" t="s">
        <v>52</v>
      </c>
      <c r="D5748" s="17">
        <v>2206</v>
      </c>
      <c r="E5748" s="17">
        <v>3</v>
      </c>
      <c r="F5748" s="17">
        <v>1654</v>
      </c>
      <c r="G5748" s="13">
        <v>3</v>
      </c>
      <c r="H5748" s="17">
        <v>2</v>
      </c>
      <c r="I5748" s="17">
        <v>0</v>
      </c>
      <c r="J5748" s="17">
        <v>32</v>
      </c>
      <c r="K5748" s="10">
        <v>832</v>
      </c>
      <c r="L5748" s="17"/>
      <c r="M5748" s="15"/>
      <c r="N5748" s="18"/>
      <c r="O5748" s="14"/>
      <c r="P5748" s="17">
        <v>1</v>
      </c>
      <c r="Q5748" s="19">
        <v>832</v>
      </c>
      <c r="R5748" s="14">
        <v>200</v>
      </c>
      <c r="S5748" s="19">
        <v>166400</v>
      </c>
      <c r="T5748" s="17"/>
      <c r="U5748" s="17"/>
      <c r="V5748" s="17"/>
      <c r="W5748" s="4"/>
      <c r="X5748" s="17"/>
      <c r="Y5748" s="4"/>
      <c r="Z5748" s="17"/>
      <c r="AA5748" s="17"/>
      <c r="AB5748" s="17"/>
      <c r="AC5748" s="14"/>
      <c r="AD5748" s="14"/>
      <c r="AE5748" s="17"/>
      <c r="AF5748" s="14"/>
      <c r="AG5748" s="54"/>
      <c r="AH5748" s="11"/>
      <c r="AI5748" s="14"/>
      <c r="AJ5748" s="19">
        <v>0</v>
      </c>
      <c r="AK5748" s="23">
        <v>0</v>
      </c>
      <c r="AL5748" s="11"/>
      <c r="AM5748" s="19">
        <v>0</v>
      </c>
      <c r="AN5748" s="19">
        <v>166400</v>
      </c>
      <c r="AO5748" s="14"/>
      <c r="AP5748" s="14">
        <v>166400</v>
      </c>
      <c r="AQ5748" s="12"/>
      <c r="AS5748" s="26"/>
    </row>
    <row r="5749" spans="1:45" s="19" customFormat="1" ht="42" x14ac:dyDescent="0.2">
      <c r="A5749" s="122">
        <f t="shared" si="615"/>
        <v>4773</v>
      </c>
      <c r="B5749" s="13">
        <v>1</v>
      </c>
      <c r="C5749" s="17" t="s">
        <v>52</v>
      </c>
      <c r="D5749" s="17">
        <v>2252</v>
      </c>
      <c r="E5749" s="17">
        <v>7</v>
      </c>
      <c r="F5749" s="17">
        <v>1650</v>
      </c>
      <c r="G5749" s="13">
        <v>3</v>
      </c>
      <c r="H5749" s="17">
        <v>0</v>
      </c>
      <c r="I5749" s="17">
        <v>0</v>
      </c>
      <c r="J5749" s="17">
        <v>55</v>
      </c>
      <c r="K5749" s="10"/>
      <c r="L5749" s="17">
        <v>55</v>
      </c>
      <c r="M5749" s="15"/>
      <c r="N5749" s="18"/>
      <c r="O5749" s="14"/>
      <c r="P5749" s="17">
        <v>2</v>
      </c>
      <c r="Q5749" s="19">
        <v>55</v>
      </c>
      <c r="R5749" s="14">
        <v>250</v>
      </c>
      <c r="S5749" s="19">
        <v>13750</v>
      </c>
      <c r="T5749" s="17">
        <v>1</v>
      </c>
      <c r="U5749" s="17"/>
      <c r="V5749" s="17" t="s">
        <v>183</v>
      </c>
      <c r="W5749" s="4">
        <v>98</v>
      </c>
      <c r="X5749" s="17"/>
      <c r="Y5749" s="4">
        <v>98</v>
      </c>
      <c r="Z5749" s="17"/>
      <c r="AA5749" s="17"/>
      <c r="AB5749" s="17">
        <v>20</v>
      </c>
      <c r="AC5749" s="14"/>
      <c r="AD5749" s="14"/>
      <c r="AE5749" s="17"/>
      <c r="AF5749" s="14"/>
      <c r="AG5749" s="54"/>
      <c r="AH5749" s="11"/>
      <c r="AI5749" s="14"/>
      <c r="AJ5749" s="19">
        <v>0</v>
      </c>
      <c r="AK5749" s="23">
        <v>20</v>
      </c>
      <c r="AL5749" s="11"/>
      <c r="AM5749" s="19">
        <v>0</v>
      </c>
      <c r="AN5749" s="19">
        <v>13750</v>
      </c>
      <c r="AO5749" s="14"/>
      <c r="AP5749" s="14">
        <v>13750</v>
      </c>
      <c r="AQ5749" s="12"/>
      <c r="AS5749" s="26"/>
    </row>
    <row r="5750" spans="1:45" s="19" customFormat="1" x14ac:dyDescent="0.2">
      <c r="A5750" s="2"/>
      <c r="B5750" s="13">
        <v>1</v>
      </c>
      <c r="C5750" s="17" t="s">
        <v>65</v>
      </c>
      <c r="D5750" s="17">
        <v>3871</v>
      </c>
      <c r="E5750" s="17">
        <v>276</v>
      </c>
      <c r="F5750" s="17"/>
      <c r="G5750" s="13"/>
      <c r="H5750" s="17">
        <v>4</v>
      </c>
      <c r="I5750" s="17">
        <v>3</v>
      </c>
      <c r="J5750" s="17">
        <v>0</v>
      </c>
      <c r="K5750" s="10">
        <v>1900</v>
      </c>
      <c r="L5750" s="17"/>
      <c r="M5750" s="15"/>
      <c r="N5750" s="18"/>
      <c r="O5750" s="14"/>
      <c r="P5750" s="17"/>
      <c r="Q5750" s="19">
        <v>1900</v>
      </c>
      <c r="R5750" s="14" t="e">
        <v>#N/A</v>
      </c>
      <c r="S5750" s="19" t="e">
        <v>#N/A</v>
      </c>
      <c r="T5750" s="17"/>
      <c r="U5750" s="17"/>
      <c r="V5750" s="17"/>
      <c r="W5750" s="4"/>
      <c r="X5750" s="17"/>
      <c r="Y5750" s="4"/>
      <c r="Z5750" s="17"/>
      <c r="AA5750" s="17"/>
      <c r="AB5750" s="17"/>
      <c r="AC5750" s="14"/>
      <c r="AD5750" s="14"/>
      <c r="AE5750" s="17" t="s">
        <v>95</v>
      </c>
      <c r="AF5750" s="14"/>
      <c r="AG5750" s="54"/>
      <c r="AH5750" s="11"/>
      <c r="AI5750" s="14"/>
      <c r="AJ5750" s="19">
        <v>0</v>
      </c>
      <c r="AK5750" s="23">
        <v>0</v>
      </c>
      <c r="AL5750" s="11"/>
      <c r="AM5750" s="19">
        <v>0</v>
      </c>
      <c r="AN5750" s="19" t="e">
        <v>#N/A</v>
      </c>
      <c r="AO5750" s="14"/>
      <c r="AP5750" s="14" t="e">
        <v>#N/A</v>
      </c>
      <c r="AQ5750" s="12">
        <v>1E-4</v>
      </c>
      <c r="AS5750" s="26"/>
    </row>
    <row r="5751" spans="1:45" s="19" customFormat="1" x14ac:dyDescent="0.2">
      <c r="A5751" s="2"/>
      <c r="B5751" s="13">
        <v>1</v>
      </c>
      <c r="C5751" s="17" t="s">
        <v>65</v>
      </c>
      <c r="D5751" s="17">
        <v>3872</v>
      </c>
      <c r="E5751" s="17">
        <v>277</v>
      </c>
      <c r="F5751" s="17"/>
      <c r="G5751" s="13"/>
      <c r="H5751" s="17">
        <v>1</v>
      </c>
      <c r="I5751" s="17">
        <v>2</v>
      </c>
      <c r="J5751" s="17">
        <v>46</v>
      </c>
      <c r="K5751" s="10">
        <v>646</v>
      </c>
      <c r="L5751" s="17"/>
      <c r="M5751" s="15"/>
      <c r="N5751" s="18"/>
      <c r="O5751" s="14"/>
      <c r="P5751" s="17"/>
      <c r="Q5751" s="19">
        <v>646</v>
      </c>
      <c r="R5751" s="14" t="e">
        <v>#N/A</v>
      </c>
      <c r="S5751" s="19" t="e">
        <v>#N/A</v>
      </c>
      <c r="T5751" s="17"/>
      <c r="U5751" s="17"/>
      <c r="V5751" s="17"/>
      <c r="W5751" s="4"/>
      <c r="X5751" s="17"/>
      <c r="Y5751" s="4"/>
      <c r="Z5751" s="17"/>
      <c r="AA5751" s="17"/>
      <c r="AB5751" s="17"/>
      <c r="AC5751" s="14"/>
      <c r="AD5751" s="14"/>
      <c r="AE5751" s="17" t="s">
        <v>95</v>
      </c>
      <c r="AF5751" s="14"/>
      <c r="AG5751" s="54"/>
      <c r="AH5751" s="11"/>
      <c r="AI5751" s="14"/>
      <c r="AJ5751" s="19">
        <v>0</v>
      </c>
      <c r="AK5751" s="23">
        <v>0</v>
      </c>
      <c r="AL5751" s="11"/>
      <c r="AM5751" s="19">
        <v>0</v>
      </c>
      <c r="AN5751" s="19" t="e">
        <v>#N/A</v>
      </c>
      <c r="AO5751" s="14"/>
      <c r="AP5751" s="14" t="e">
        <v>#N/A</v>
      </c>
      <c r="AQ5751" s="12">
        <v>1E-4</v>
      </c>
      <c r="AS5751" s="26"/>
    </row>
    <row r="5752" spans="1:45" s="19" customFormat="1" x14ac:dyDescent="0.2">
      <c r="A5752" s="2"/>
      <c r="B5752" s="13">
        <v>1</v>
      </c>
      <c r="C5752" s="17" t="s">
        <v>65</v>
      </c>
      <c r="D5752" s="17">
        <v>3870</v>
      </c>
      <c r="E5752" s="17">
        <v>275</v>
      </c>
      <c r="F5752" s="17"/>
      <c r="G5752" s="13"/>
      <c r="H5752" s="17">
        <v>1</v>
      </c>
      <c r="I5752" s="17">
        <v>0</v>
      </c>
      <c r="J5752" s="17">
        <v>66</v>
      </c>
      <c r="K5752" s="10">
        <v>466</v>
      </c>
      <c r="L5752" s="17"/>
      <c r="M5752" s="15"/>
      <c r="N5752" s="18"/>
      <c r="O5752" s="14"/>
      <c r="P5752" s="17"/>
      <c r="Q5752" s="19">
        <v>466</v>
      </c>
      <c r="R5752" s="14" t="e">
        <v>#N/A</v>
      </c>
      <c r="S5752" s="19" t="e">
        <v>#N/A</v>
      </c>
      <c r="T5752" s="17"/>
      <c r="U5752" s="17"/>
      <c r="V5752" s="17"/>
      <c r="W5752" s="4"/>
      <c r="X5752" s="17"/>
      <c r="Y5752" s="4"/>
      <c r="Z5752" s="17"/>
      <c r="AA5752" s="17"/>
      <c r="AB5752" s="17"/>
      <c r="AC5752" s="14"/>
      <c r="AD5752" s="14"/>
      <c r="AE5752" s="17" t="s">
        <v>95</v>
      </c>
      <c r="AF5752" s="14"/>
      <c r="AG5752" s="54"/>
      <c r="AH5752" s="11"/>
      <c r="AI5752" s="14"/>
      <c r="AJ5752" s="19">
        <v>0</v>
      </c>
      <c r="AK5752" s="23">
        <v>0</v>
      </c>
      <c r="AL5752" s="11"/>
      <c r="AM5752" s="19">
        <v>0</v>
      </c>
      <c r="AN5752" s="19" t="e">
        <v>#N/A</v>
      </c>
      <c r="AO5752" s="14"/>
      <c r="AP5752" s="14" t="e">
        <v>#N/A</v>
      </c>
      <c r="AQ5752" s="12">
        <v>1E-4</v>
      </c>
      <c r="AS5752" s="26"/>
    </row>
    <row r="5753" spans="1:45" s="19" customFormat="1" x14ac:dyDescent="0.2">
      <c r="A5753" s="2"/>
      <c r="B5753" s="13">
        <v>2</v>
      </c>
      <c r="C5753" s="17" t="s">
        <v>65</v>
      </c>
      <c r="D5753" s="17">
        <v>3873</v>
      </c>
      <c r="E5753" s="17">
        <v>278</v>
      </c>
      <c r="F5753" s="17"/>
      <c r="G5753" s="13"/>
      <c r="H5753" s="17">
        <v>1</v>
      </c>
      <c r="I5753" s="17">
        <v>2</v>
      </c>
      <c r="J5753" s="17">
        <v>88</v>
      </c>
      <c r="K5753" s="10">
        <v>688</v>
      </c>
      <c r="L5753" s="17"/>
      <c r="M5753" s="15"/>
      <c r="N5753" s="18"/>
      <c r="O5753" s="14"/>
      <c r="P5753" s="17"/>
      <c r="Q5753" s="19">
        <v>688</v>
      </c>
      <c r="R5753" s="14" t="e">
        <v>#N/A</v>
      </c>
      <c r="S5753" s="19" t="e">
        <v>#N/A</v>
      </c>
      <c r="T5753" s="17"/>
      <c r="U5753" s="17"/>
      <c r="V5753" s="17"/>
      <c r="W5753" s="4"/>
      <c r="X5753" s="17"/>
      <c r="Y5753" s="4"/>
      <c r="Z5753" s="17"/>
      <c r="AA5753" s="17"/>
      <c r="AB5753" s="17"/>
      <c r="AC5753" s="14"/>
      <c r="AD5753" s="14"/>
      <c r="AE5753" s="17" t="s">
        <v>95</v>
      </c>
      <c r="AF5753" s="14"/>
      <c r="AG5753" s="54"/>
      <c r="AH5753" s="11"/>
      <c r="AI5753" s="14"/>
      <c r="AJ5753" s="19">
        <v>0</v>
      </c>
      <c r="AK5753" s="23">
        <v>0</v>
      </c>
      <c r="AL5753" s="11"/>
      <c r="AM5753" s="19">
        <v>0</v>
      </c>
      <c r="AN5753" s="19" t="e">
        <v>#N/A</v>
      </c>
      <c r="AO5753" s="14"/>
      <c r="AP5753" s="14" t="e">
        <v>#N/A</v>
      </c>
      <c r="AQ5753" s="12">
        <v>1E-4</v>
      </c>
      <c r="AS5753" s="26"/>
    </row>
    <row r="5754" spans="1:45" s="19" customFormat="1" x14ac:dyDescent="0.2">
      <c r="A5754" s="2">
        <v>4774</v>
      </c>
      <c r="B5754" s="13">
        <v>1</v>
      </c>
      <c r="C5754" s="17" t="s">
        <v>65</v>
      </c>
      <c r="D5754" s="17">
        <v>306</v>
      </c>
      <c r="E5754" s="17">
        <v>51</v>
      </c>
      <c r="F5754" s="17"/>
      <c r="G5754" s="13"/>
      <c r="H5754" s="17">
        <v>3</v>
      </c>
      <c r="I5754" s="17">
        <v>2</v>
      </c>
      <c r="J5754" s="17">
        <v>23</v>
      </c>
      <c r="K5754" s="10">
        <v>1287.69</v>
      </c>
      <c r="L5754" s="17">
        <v>28</v>
      </c>
      <c r="M5754" s="15"/>
      <c r="N5754" s="18"/>
      <c r="O5754" s="14"/>
      <c r="P5754" s="17">
        <v>5</v>
      </c>
      <c r="Q5754" s="19">
        <v>1423</v>
      </c>
      <c r="R5754" s="14">
        <v>200</v>
      </c>
      <c r="S5754" s="19">
        <v>284600</v>
      </c>
      <c r="T5754" s="17"/>
      <c r="U5754" s="17"/>
      <c r="V5754" s="17"/>
      <c r="W5754" s="4"/>
      <c r="X5754" s="17"/>
      <c r="Y5754" s="4"/>
      <c r="Z5754" s="17"/>
      <c r="AA5754" s="17"/>
      <c r="AB5754" s="17"/>
      <c r="AC5754" s="14"/>
      <c r="AD5754" s="14"/>
      <c r="AE5754" s="17"/>
      <c r="AF5754" s="14"/>
      <c r="AG5754" s="54"/>
      <c r="AH5754" s="11"/>
      <c r="AI5754" s="14"/>
      <c r="AK5754" s="23"/>
      <c r="AL5754" s="11"/>
      <c r="AO5754" s="14"/>
      <c r="AP5754" s="14"/>
      <c r="AQ5754" s="12"/>
      <c r="AS5754" s="26"/>
    </row>
    <row r="5755" spans="1:45" s="19" customFormat="1" x14ac:dyDescent="0.2">
      <c r="A5755" s="2"/>
      <c r="B5755" s="13"/>
      <c r="C5755" s="17"/>
      <c r="D5755" s="17"/>
      <c r="E5755" s="17"/>
      <c r="F5755" s="17"/>
      <c r="G5755" s="13"/>
      <c r="H5755" s="17"/>
      <c r="I5755" s="17"/>
      <c r="J5755" s="17"/>
      <c r="K5755" s="10"/>
      <c r="L5755" s="17"/>
      <c r="M5755" s="15"/>
      <c r="N5755" s="18"/>
      <c r="O5755" s="14"/>
      <c r="P5755" s="17"/>
      <c r="Q5755" s="19">
        <v>1287</v>
      </c>
      <c r="R5755" s="14">
        <v>200</v>
      </c>
      <c r="S5755" s="19">
        <v>257400</v>
      </c>
      <c r="T5755" s="17"/>
      <c r="U5755" s="17"/>
      <c r="V5755" s="17"/>
      <c r="W5755" s="4"/>
      <c r="X5755" s="17"/>
      <c r="Y5755" s="4"/>
      <c r="Z5755" s="17"/>
      <c r="AA5755" s="17"/>
      <c r="AB5755" s="17"/>
      <c r="AC5755" s="14"/>
      <c r="AD5755" s="14"/>
      <c r="AE5755" s="17"/>
      <c r="AF5755" s="14"/>
      <c r="AG5755" s="54"/>
      <c r="AH5755" s="11"/>
      <c r="AI5755" s="14"/>
      <c r="AK5755" s="23"/>
      <c r="AL5755" s="11"/>
      <c r="AM5755" s="19">
        <v>0</v>
      </c>
      <c r="AN5755" s="19">
        <v>257400</v>
      </c>
      <c r="AO5755" s="14"/>
      <c r="AP5755" s="14">
        <v>257400</v>
      </c>
      <c r="AQ5755" s="12">
        <v>1E-4</v>
      </c>
      <c r="AS5755" s="26"/>
    </row>
    <row r="5756" spans="1:45" s="19" customFormat="1" x14ac:dyDescent="0.2">
      <c r="A5756" s="2"/>
      <c r="B5756" s="13"/>
      <c r="C5756" s="17"/>
      <c r="D5756" s="17"/>
      <c r="E5756" s="17"/>
      <c r="F5756" s="17"/>
      <c r="G5756" s="13"/>
      <c r="H5756" s="17"/>
      <c r="I5756" s="17"/>
      <c r="J5756" s="17"/>
      <c r="K5756" s="10"/>
      <c r="L5756" s="17"/>
      <c r="M5756" s="15"/>
      <c r="N5756" s="18"/>
      <c r="O5756" s="14"/>
      <c r="P5756" s="17"/>
      <c r="Q5756" s="19">
        <v>136</v>
      </c>
      <c r="R5756" s="14">
        <v>200</v>
      </c>
      <c r="S5756" s="19">
        <v>27200</v>
      </c>
      <c r="T5756" s="17"/>
      <c r="U5756" s="17"/>
      <c r="V5756" s="17"/>
      <c r="W5756" s="4"/>
      <c r="X5756" s="17"/>
      <c r="Y5756" s="4"/>
      <c r="Z5756" s="17"/>
      <c r="AA5756" s="17"/>
      <c r="AB5756" s="17"/>
      <c r="AC5756" s="14"/>
      <c r="AD5756" s="14"/>
      <c r="AE5756" s="17"/>
      <c r="AF5756" s="14"/>
      <c r="AG5756" s="54"/>
      <c r="AH5756" s="11"/>
      <c r="AI5756" s="14"/>
      <c r="AK5756" s="23"/>
      <c r="AL5756" s="11"/>
      <c r="AM5756" s="19">
        <v>0</v>
      </c>
      <c r="AN5756" s="19">
        <v>27200</v>
      </c>
      <c r="AO5756" s="14"/>
      <c r="AP5756" s="14">
        <v>27200</v>
      </c>
      <c r="AQ5756" s="12">
        <v>2.0000000000000001E-4</v>
      </c>
      <c r="AS5756" s="26"/>
    </row>
    <row r="5757" spans="1:45" s="19" customFormat="1" ht="63" x14ac:dyDescent="0.2">
      <c r="A5757" s="2"/>
      <c r="B5757" s="13"/>
      <c r="C5757" s="17"/>
      <c r="D5757" s="17"/>
      <c r="E5757" s="17"/>
      <c r="F5757" s="17"/>
      <c r="G5757" s="13"/>
      <c r="H5757" s="17"/>
      <c r="I5757" s="17"/>
      <c r="J5757" s="17"/>
      <c r="K5757" s="10"/>
      <c r="L5757" s="17"/>
      <c r="M5757" s="15"/>
      <c r="N5757" s="18"/>
      <c r="O5757" s="14"/>
      <c r="P5757" s="17"/>
      <c r="R5757" s="14"/>
      <c r="T5757" s="17">
        <v>1</v>
      </c>
      <c r="U5757" s="17" t="s">
        <v>57</v>
      </c>
      <c r="V5757" s="17" t="s">
        <v>56</v>
      </c>
      <c r="W5757" s="4">
        <v>112</v>
      </c>
      <c r="X5757" s="17"/>
      <c r="Y5757" s="4">
        <v>112</v>
      </c>
      <c r="Z5757" s="17"/>
      <c r="AA5757" s="17"/>
      <c r="AB5757" s="17">
        <v>11</v>
      </c>
      <c r="AC5757" s="14"/>
      <c r="AD5757" s="14"/>
      <c r="AE5757" s="17"/>
      <c r="AF5757" s="14">
        <v>2</v>
      </c>
      <c r="AG5757" s="54"/>
      <c r="AH5757" s="11"/>
      <c r="AI5757" s="14"/>
      <c r="AJ5757" s="19">
        <v>0</v>
      </c>
      <c r="AK5757" s="23">
        <v>11</v>
      </c>
      <c r="AL5757" s="11"/>
      <c r="AM5757" s="19">
        <v>0</v>
      </c>
      <c r="AN5757" s="19">
        <v>0</v>
      </c>
      <c r="AO5757" s="14"/>
      <c r="AP5757" s="14">
        <v>0</v>
      </c>
      <c r="AQ5757" s="12"/>
      <c r="AS5757" s="26"/>
    </row>
    <row r="5758" spans="1:45" s="19" customFormat="1" ht="63" x14ac:dyDescent="0.2">
      <c r="A5758" s="2"/>
      <c r="B5758" s="13"/>
      <c r="C5758" s="17"/>
      <c r="D5758" s="17"/>
      <c r="E5758" s="17"/>
      <c r="F5758" s="17"/>
      <c r="G5758" s="13"/>
      <c r="H5758" s="17"/>
      <c r="I5758" s="17"/>
      <c r="J5758" s="17"/>
      <c r="K5758" s="10"/>
      <c r="L5758" s="17">
        <v>27</v>
      </c>
      <c r="M5758" s="15"/>
      <c r="N5758" s="18"/>
      <c r="O5758" s="14"/>
      <c r="P5758" s="17"/>
      <c r="Q5758" s="19">
        <v>0</v>
      </c>
      <c r="R5758" s="14"/>
      <c r="S5758" s="19">
        <v>0</v>
      </c>
      <c r="T5758" s="17">
        <v>2</v>
      </c>
      <c r="U5758" s="17" t="s">
        <v>57</v>
      </c>
      <c r="V5758" s="17" t="s">
        <v>88</v>
      </c>
      <c r="W5758" s="4">
        <v>108</v>
      </c>
      <c r="X5758" s="17"/>
      <c r="Y5758" s="4">
        <v>108</v>
      </c>
      <c r="Z5758" s="17"/>
      <c r="AA5758" s="17"/>
      <c r="AB5758" s="17">
        <v>50</v>
      </c>
      <c r="AC5758" s="14"/>
      <c r="AD5758" s="14"/>
      <c r="AE5758" s="17"/>
      <c r="AF5758" s="14">
        <v>2</v>
      </c>
      <c r="AG5758" s="54"/>
      <c r="AH5758" s="11"/>
      <c r="AI5758" s="14"/>
      <c r="AJ5758" s="19">
        <v>0</v>
      </c>
      <c r="AK5758" s="23">
        <v>50</v>
      </c>
      <c r="AL5758" s="11"/>
      <c r="AM5758" s="19">
        <v>0</v>
      </c>
      <c r="AN5758" s="19">
        <v>0</v>
      </c>
      <c r="AO5758" s="14"/>
      <c r="AP5758" s="14">
        <v>0</v>
      </c>
      <c r="AQ5758" s="12"/>
      <c r="AS5758" s="26"/>
    </row>
    <row r="5759" spans="1:45" s="19" customFormat="1" ht="63" x14ac:dyDescent="0.2">
      <c r="A5759" s="2"/>
      <c r="B5759" s="13"/>
      <c r="C5759" s="17"/>
      <c r="D5759" s="17"/>
      <c r="E5759" s="17"/>
      <c r="F5759" s="17"/>
      <c r="G5759" s="13"/>
      <c r="H5759" s="17"/>
      <c r="I5759" s="17"/>
      <c r="J5759" s="17"/>
      <c r="K5759" s="10"/>
      <c r="L5759" s="17">
        <v>22.5</v>
      </c>
      <c r="M5759" s="15"/>
      <c r="N5759" s="18"/>
      <c r="O5759" s="14"/>
      <c r="P5759" s="17"/>
      <c r="Q5759" s="19">
        <v>0</v>
      </c>
      <c r="R5759" s="14"/>
      <c r="S5759" s="19">
        <v>0</v>
      </c>
      <c r="T5759" s="17">
        <v>3</v>
      </c>
      <c r="U5759" s="17" t="s">
        <v>57</v>
      </c>
      <c r="V5759" s="17" t="s">
        <v>56</v>
      </c>
      <c r="W5759" s="4">
        <v>90</v>
      </c>
      <c r="X5759" s="17"/>
      <c r="Y5759" s="4">
        <v>90</v>
      </c>
      <c r="Z5759" s="17"/>
      <c r="AA5759" s="17"/>
      <c r="AB5759" s="17">
        <v>4</v>
      </c>
      <c r="AC5759" s="14"/>
      <c r="AD5759" s="14"/>
      <c r="AE5759" s="17"/>
      <c r="AF5759" s="14">
        <v>2</v>
      </c>
      <c r="AG5759" s="54"/>
      <c r="AH5759" s="11"/>
      <c r="AI5759" s="14"/>
      <c r="AJ5759" s="19">
        <v>0</v>
      </c>
      <c r="AK5759" s="23">
        <v>4</v>
      </c>
      <c r="AL5759" s="11"/>
      <c r="AM5759" s="19">
        <v>0</v>
      </c>
      <c r="AN5759" s="19">
        <v>0</v>
      </c>
      <c r="AO5759" s="14"/>
      <c r="AP5759" s="14">
        <v>0</v>
      </c>
      <c r="AQ5759" s="12"/>
      <c r="AS5759" s="26"/>
    </row>
    <row r="5760" spans="1:45" s="19" customFormat="1" ht="63" x14ac:dyDescent="0.2">
      <c r="A5760" s="2"/>
      <c r="B5760" s="13"/>
      <c r="C5760" s="17"/>
      <c r="D5760" s="17"/>
      <c r="E5760" s="17"/>
      <c r="F5760" s="17"/>
      <c r="G5760" s="13"/>
      <c r="H5760" s="17"/>
      <c r="I5760" s="17"/>
      <c r="J5760" s="17"/>
      <c r="K5760" s="10"/>
      <c r="L5760" s="17">
        <v>57.81</v>
      </c>
      <c r="M5760" s="15"/>
      <c r="N5760" s="18"/>
      <c r="O5760" s="14"/>
      <c r="P5760" s="17"/>
      <c r="Q5760" s="19">
        <v>0</v>
      </c>
      <c r="R5760" s="14"/>
      <c r="S5760" s="19">
        <v>0</v>
      </c>
      <c r="T5760" s="17">
        <v>4</v>
      </c>
      <c r="U5760" s="17" t="s">
        <v>57</v>
      </c>
      <c r="V5760" s="17" t="s">
        <v>56</v>
      </c>
      <c r="W5760" s="4">
        <v>231.25</v>
      </c>
      <c r="X5760" s="17"/>
      <c r="Y5760" s="4">
        <v>231.25</v>
      </c>
      <c r="Z5760" s="17"/>
      <c r="AA5760" s="17"/>
      <c r="AB5760" s="17">
        <v>3</v>
      </c>
      <c r="AC5760" s="14"/>
      <c r="AD5760" s="14"/>
      <c r="AE5760" s="17"/>
      <c r="AF5760" s="14">
        <v>2</v>
      </c>
      <c r="AG5760" s="54"/>
      <c r="AH5760" s="11"/>
      <c r="AI5760" s="14"/>
      <c r="AJ5760" s="19">
        <v>0</v>
      </c>
      <c r="AK5760" s="23">
        <v>3</v>
      </c>
      <c r="AL5760" s="11"/>
      <c r="AM5760" s="19">
        <v>0</v>
      </c>
      <c r="AN5760" s="19">
        <v>0</v>
      </c>
      <c r="AO5760" s="14"/>
      <c r="AP5760" s="14">
        <v>0</v>
      </c>
      <c r="AQ5760" s="12"/>
      <c r="AS5760" s="26"/>
    </row>
    <row r="5761" spans="1:45" x14ac:dyDescent="0.2">
      <c r="A5761" s="2">
        <v>4775</v>
      </c>
      <c r="B5761" s="13">
        <v>1</v>
      </c>
      <c r="C5761" s="17" t="s">
        <v>69</v>
      </c>
      <c r="E5761" s="17">
        <v>1469</v>
      </c>
      <c r="F5761" s="17">
        <v>18</v>
      </c>
      <c r="G5761" s="13">
        <v>2</v>
      </c>
      <c r="H5761" s="17">
        <v>6</v>
      </c>
      <c r="I5761" s="17">
        <v>2</v>
      </c>
      <c r="J5761" s="17">
        <v>11</v>
      </c>
      <c r="K5761" s="10">
        <v>2611</v>
      </c>
      <c r="P5761" s="17">
        <v>1</v>
      </c>
      <c r="Q5761" s="19">
        <v>2611</v>
      </c>
      <c r="R5761" s="14">
        <v>160</v>
      </c>
      <c r="S5761" s="19">
        <v>417760</v>
      </c>
      <c r="AJ5761" s="19">
        <v>0</v>
      </c>
      <c r="AK5761" s="23">
        <v>0</v>
      </c>
      <c r="AM5761" s="19">
        <v>0</v>
      </c>
      <c r="AN5761" s="19">
        <v>417760</v>
      </c>
      <c r="AP5761" s="14">
        <v>417760</v>
      </c>
      <c r="AQ5761" s="12">
        <v>1E-4</v>
      </c>
    </row>
    <row r="5762" spans="1:45" x14ac:dyDescent="0.2">
      <c r="A5762" s="2">
        <f>+A5761+1</f>
        <v>4776</v>
      </c>
      <c r="B5762" s="13">
        <v>2</v>
      </c>
      <c r="C5762" s="17" t="s">
        <v>65</v>
      </c>
      <c r="D5762" s="17">
        <v>1275</v>
      </c>
      <c r="E5762" s="17">
        <v>134</v>
      </c>
      <c r="H5762" s="17">
        <v>9</v>
      </c>
      <c r="I5762" s="17">
        <v>0</v>
      </c>
      <c r="J5762" s="17">
        <v>26</v>
      </c>
      <c r="K5762" s="10">
        <v>3626</v>
      </c>
      <c r="P5762" s="17">
        <v>1</v>
      </c>
      <c r="Q5762" s="19">
        <v>3626</v>
      </c>
      <c r="R5762" s="14">
        <v>200</v>
      </c>
      <c r="S5762" s="19">
        <v>725200</v>
      </c>
      <c r="AJ5762" s="19">
        <v>0</v>
      </c>
      <c r="AK5762" s="23">
        <v>0</v>
      </c>
      <c r="AM5762" s="19">
        <v>0</v>
      </c>
      <c r="AN5762" s="19">
        <v>725200</v>
      </c>
      <c r="AP5762" s="14">
        <v>725200</v>
      </c>
      <c r="AQ5762" s="12">
        <v>1E-4</v>
      </c>
    </row>
    <row r="5763" spans="1:45" x14ac:dyDescent="0.2">
      <c r="A5763" s="122">
        <f t="shared" ref="A5763:A5764" si="616">+A5762+1</f>
        <v>4777</v>
      </c>
      <c r="B5763" s="13">
        <v>1</v>
      </c>
      <c r="C5763" s="17" t="s">
        <v>52</v>
      </c>
      <c r="D5763" s="17">
        <v>16078</v>
      </c>
      <c r="E5763" s="17">
        <v>48</v>
      </c>
      <c r="F5763" s="17">
        <v>3556</v>
      </c>
      <c r="H5763" s="17">
        <v>3</v>
      </c>
      <c r="I5763" s="17">
        <v>1</v>
      </c>
      <c r="J5763" s="17">
        <v>39.9</v>
      </c>
      <c r="K5763" s="10" t="s">
        <v>578</v>
      </c>
      <c r="P5763" s="17">
        <v>1</v>
      </c>
      <c r="Q5763" s="19">
        <v>1339.9</v>
      </c>
      <c r="R5763" s="14">
        <v>160</v>
      </c>
      <c r="S5763" s="19">
        <v>214384</v>
      </c>
    </row>
    <row r="5764" spans="1:45" x14ac:dyDescent="0.2">
      <c r="A5764" s="122">
        <f t="shared" si="616"/>
        <v>4778</v>
      </c>
      <c r="C5764" s="17" t="s">
        <v>52</v>
      </c>
      <c r="D5764" s="17">
        <v>16079</v>
      </c>
      <c r="E5764" s="17">
        <v>49</v>
      </c>
      <c r="F5764" s="17">
        <v>3557</v>
      </c>
      <c r="H5764" s="17">
        <v>2</v>
      </c>
      <c r="I5764" s="17">
        <v>2</v>
      </c>
      <c r="J5764" s="17">
        <v>47</v>
      </c>
      <c r="K5764" s="10" t="s">
        <v>579</v>
      </c>
      <c r="P5764" s="17">
        <v>1</v>
      </c>
      <c r="Q5764" s="19">
        <v>1047</v>
      </c>
      <c r="R5764" s="14">
        <v>160</v>
      </c>
      <c r="S5764" s="19">
        <v>167520</v>
      </c>
    </row>
    <row r="5765" spans="1:45" ht="42" x14ac:dyDescent="0.2">
      <c r="B5765" s="13">
        <v>2</v>
      </c>
      <c r="C5765" s="17" t="s">
        <v>65</v>
      </c>
      <c r="D5765" s="17">
        <v>3897</v>
      </c>
      <c r="E5765" s="17">
        <v>223</v>
      </c>
      <c r="H5765" s="17">
        <v>0</v>
      </c>
      <c r="I5765" s="17">
        <v>0</v>
      </c>
      <c r="J5765" s="17">
        <v>84</v>
      </c>
      <c r="N5765" s="18">
        <v>84</v>
      </c>
      <c r="Q5765" s="19">
        <v>84</v>
      </c>
      <c r="R5765" s="14" t="e">
        <v>#N/A</v>
      </c>
      <c r="S5765" s="19" t="e">
        <v>#N/A</v>
      </c>
      <c r="AJ5765" s="19">
        <v>0</v>
      </c>
      <c r="AK5765" s="23">
        <v>0</v>
      </c>
      <c r="AM5765" s="19">
        <v>0</v>
      </c>
      <c r="AN5765" s="19" t="e">
        <v>#N/A</v>
      </c>
      <c r="AP5765" s="14" t="e">
        <v>#N/A</v>
      </c>
      <c r="AQ5765" s="12">
        <v>3.0000000000000001E-3</v>
      </c>
      <c r="AS5765" s="26" t="s">
        <v>580</v>
      </c>
    </row>
    <row r="5766" spans="1:45" x14ac:dyDescent="0.2">
      <c r="B5766" s="13">
        <v>1</v>
      </c>
      <c r="C5766" s="17" t="s">
        <v>52</v>
      </c>
      <c r="D5766" s="17">
        <v>16691</v>
      </c>
      <c r="E5766" s="17">
        <v>88</v>
      </c>
      <c r="F5766" s="17">
        <v>3719</v>
      </c>
      <c r="H5766" s="17">
        <v>6</v>
      </c>
      <c r="I5766" s="17">
        <v>3</v>
      </c>
      <c r="J5766" s="17">
        <v>65</v>
      </c>
      <c r="M5766" s="15" t="s">
        <v>581</v>
      </c>
      <c r="P5766" s="17">
        <v>3</v>
      </c>
      <c r="Q5766" s="19">
        <v>2765</v>
      </c>
      <c r="R5766" s="14">
        <v>160</v>
      </c>
      <c r="S5766" s="19">
        <v>442400</v>
      </c>
      <c r="AE5766" s="17" t="s">
        <v>449</v>
      </c>
      <c r="AJ5766" s="19">
        <v>0</v>
      </c>
      <c r="AK5766" s="23">
        <v>0</v>
      </c>
      <c r="AM5766" s="19">
        <v>0</v>
      </c>
      <c r="AN5766" s="19">
        <v>442400</v>
      </c>
      <c r="AO5766" s="14">
        <v>221200</v>
      </c>
      <c r="AP5766" s="14">
        <v>221200</v>
      </c>
      <c r="AQ5766" s="12">
        <v>3.0000000000000001E-3</v>
      </c>
    </row>
    <row r="5767" spans="1:45" x14ac:dyDescent="0.2">
      <c r="A5767" s="2">
        <v>4779</v>
      </c>
      <c r="B5767" s="13">
        <v>2</v>
      </c>
      <c r="C5767" s="17" t="s">
        <v>65</v>
      </c>
      <c r="D5767" s="17">
        <v>3900</v>
      </c>
      <c r="E5767" s="17">
        <v>226</v>
      </c>
      <c r="H5767" s="17">
        <v>0</v>
      </c>
      <c r="I5767" s="17">
        <v>0</v>
      </c>
      <c r="J5767" s="17">
        <v>77</v>
      </c>
      <c r="N5767" s="18">
        <v>77</v>
      </c>
      <c r="P5767" s="17">
        <v>4</v>
      </c>
      <c r="Q5767" s="19">
        <v>77</v>
      </c>
      <c r="R5767" s="14">
        <v>250</v>
      </c>
      <c r="S5767" s="19">
        <v>19250</v>
      </c>
      <c r="AJ5767" s="19">
        <v>0</v>
      </c>
      <c r="AK5767" s="23">
        <v>0</v>
      </c>
      <c r="AM5767" s="19">
        <v>0</v>
      </c>
      <c r="AN5767" s="19">
        <v>19250</v>
      </c>
      <c r="AP5767" s="14">
        <v>19250</v>
      </c>
      <c r="AQ5767" s="12">
        <v>3.0000000000000001E-3</v>
      </c>
    </row>
    <row r="5768" spans="1:45" x14ac:dyDescent="0.2">
      <c r="A5768" s="2">
        <f>+A5767+1</f>
        <v>4780</v>
      </c>
      <c r="B5768" s="13">
        <v>3</v>
      </c>
      <c r="C5768" s="17" t="s">
        <v>65</v>
      </c>
      <c r="D5768" s="17">
        <v>3898</v>
      </c>
      <c r="E5768" s="17">
        <v>224</v>
      </c>
      <c r="H5768" s="17">
        <v>0</v>
      </c>
      <c r="I5768" s="17">
        <v>0</v>
      </c>
      <c r="J5768" s="17">
        <v>79</v>
      </c>
      <c r="N5768" s="18">
        <v>79</v>
      </c>
      <c r="P5768" s="17">
        <v>4</v>
      </c>
      <c r="Q5768" s="19">
        <v>79</v>
      </c>
      <c r="R5768" s="14">
        <v>250</v>
      </c>
      <c r="S5768" s="19">
        <v>19750</v>
      </c>
      <c r="AE5768" s="17" t="s">
        <v>582</v>
      </c>
      <c r="AJ5768" s="19">
        <v>0</v>
      </c>
      <c r="AK5768" s="23">
        <v>0</v>
      </c>
      <c r="AM5768" s="19">
        <v>0</v>
      </c>
      <c r="AN5768" s="19">
        <v>19750</v>
      </c>
      <c r="AP5768" s="14">
        <v>19750</v>
      </c>
      <c r="AQ5768" s="12">
        <v>3.0000000000000001E-3</v>
      </c>
    </row>
    <row r="5769" spans="1:45" x14ac:dyDescent="0.2">
      <c r="A5769" s="122">
        <f>+A5768+1</f>
        <v>4781</v>
      </c>
      <c r="B5769" s="13">
        <v>1</v>
      </c>
      <c r="C5769" s="17" t="s">
        <v>52</v>
      </c>
      <c r="D5769" s="17">
        <v>16779</v>
      </c>
      <c r="E5769" s="17">
        <v>26</v>
      </c>
      <c r="F5769" s="17">
        <v>3737</v>
      </c>
      <c r="G5769" s="13">
        <v>4</v>
      </c>
      <c r="H5769" s="17">
        <v>7</v>
      </c>
      <c r="I5769" s="17">
        <v>1</v>
      </c>
      <c r="J5769" s="17">
        <v>69</v>
      </c>
      <c r="K5769" s="10">
        <v>2969</v>
      </c>
      <c r="P5769" s="17">
        <v>1</v>
      </c>
      <c r="Q5769" s="19">
        <v>2969</v>
      </c>
      <c r="R5769" s="14">
        <v>160</v>
      </c>
      <c r="S5769" s="19">
        <v>475040</v>
      </c>
      <c r="AJ5769" s="19">
        <v>0</v>
      </c>
      <c r="AK5769" s="23">
        <v>0</v>
      </c>
      <c r="AM5769" s="19">
        <v>0</v>
      </c>
      <c r="AN5769" s="19">
        <v>475040</v>
      </c>
      <c r="AP5769" s="14">
        <v>475040</v>
      </c>
      <c r="AS5769" s="26">
        <v>342</v>
      </c>
    </row>
    <row r="5770" spans="1:45" x14ac:dyDescent="0.2">
      <c r="B5770" s="13">
        <v>2</v>
      </c>
      <c r="C5770" s="17" t="s">
        <v>52</v>
      </c>
      <c r="D5770" s="17">
        <v>18147</v>
      </c>
      <c r="E5770" s="17">
        <v>15</v>
      </c>
      <c r="F5770" s="17">
        <v>4069</v>
      </c>
      <c r="H5770" s="17">
        <v>7</v>
      </c>
      <c r="I5770" s="17">
        <v>2</v>
      </c>
      <c r="J5770" s="17">
        <v>59</v>
      </c>
      <c r="K5770" s="10" t="s">
        <v>583</v>
      </c>
      <c r="P5770" s="17">
        <v>1</v>
      </c>
      <c r="Q5770" s="19">
        <v>3059</v>
      </c>
    </row>
    <row r="5771" spans="1:45" x14ac:dyDescent="0.2">
      <c r="B5771" s="13">
        <v>3</v>
      </c>
      <c r="C5771" s="17" t="s">
        <v>52</v>
      </c>
      <c r="D5771" s="17">
        <v>18148</v>
      </c>
      <c r="E5771" s="17">
        <v>99</v>
      </c>
      <c r="F5771" s="17">
        <v>4070</v>
      </c>
      <c r="H5771" s="17">
        <v>0</v>
      </c>
      <c r="I5771" s="17">
        <v>3</v>
      </c>
      <c r="J5771" s="17">
        <v>9</v>
      </c>
      <c r="K5771" s="10" t="s">
        <v>584</v>
      </c>
      <c r="P5771" s="17">
        <v>1</v>
      </c>
      <c r="Q5771" s="19">
        <v>309</v>
      </c>
    </row>
    <row r="5772" spans="1:45" x14ac:dyDescent="0.2">
      <c r="B5772" s="13">
        <v>4</v>
      </c>
      <c r="C5772" s="17" t="s">
        <v>52</v>
      </c>
      <c r="D5772" s="17">
        <v>18160</v>
      </c>
      <c r="E5772" s="17">
        <v>5</v>
      </c>
      <c r="F5772" s="17">
        <v>4082</v>
      </c>
      <c r="H5772" s="17">
        <v>4</v>
      </c>
      <c r="I5772" s="17">
        <v>2</v>
      </c>
      <c r="J5772" s="17">
        <v>49</v>
      </c>
      <c r="K5772" s="10" t="s">
        <v>585</v>
      </c>
      <c r="P5772" s="17">
        <v>1</v>
      </c>
      <c r="Q5772" s="19">
        <v>1849</v>
      </c>
    </row>
    <row r="5773" spans="1:45" x14ac:dyDescent="0.2">
      <c r="B5773" s="13">
        <v>5</v>
      </c>
      <c r="C5773" s="17" t="s">
        <v>52</v>
      </c>
      <c r="D5773" s="17">
        <v>18161</v>
      </c>
      <c r="E5773" s="17">
        <v>16</v>
      </c>
      <c r="F5773" s="17">
        <v>4083</v>
      </c>
      <c r="H5773" s="17">
        <v>33</v>
      </c>
      <c r="I5773" s="17">
        <v>3</v>
      </c>
      <c r="J5773" s="17">
        <v>54</v>
      </c>
      <c r="K5773" s="10" t="s">
        <v>586</v>
      </c>
      <c r="P5773" s="17">
        <v>1</v>
      </c>
      <c r="Q5773" s="19">
        <v>13554</v>
      </c>
    </row>
    <row r="5774" spans="1:45" x14ac:dyDescent="0.2">
      <c r="A5774" s="2">
        <v>4782</v>
      </c>
      <c r="B5774" s="13">
        <v>6</v>
      </c>
      <c r="C5774" s="17" t="s">
        <v>65</v>
      </c>
      <c r="D5774" s="17">
        <v>1567</v>
      </c>
      <c r="E5774" s="17">
        <v>135</v>
      </c>
      <c r="H5774" s="17">
        <v>5</v>
      </c>
      <c r="I5774" s="17">
        <v>3</v>
      </c>
      <c r="J5774" s="17">
        <v>88</v>
      </c>
      <c r="K5774" s="10">
        <v>2388</v>
      </c>
      <c r="P5774" s="17">
        <v>1</v>
      </c>
      <c r="Q5774" s="19">
        <v>2388</v>
      </c>
      <c r="R5774" s="14">
        <v>500</v>
      </c>
      <c r="S5774" s="19">
        <v>1194000</v>
      </c>
      <c r="AJ5774" s="19">
        <v>0</v>
      </c>
      <c r="AK5774" s="23">
        <v>0</v>
      </c>
      <c r="AM5774" s="19">
        <v>0</v>
      </c>
      <c r="AN5774" s="19">
        <v>1194000</v>
      </c>
      <c r="AP5774" s="14">
        <v>1194000</v>
      </c>
      <c r="AQ5774" s="12">
        <v>1E-4</v>
      </c>
    </row>
    <row r="5775" spans="1:45" x14ac:dyDescent="0.2">
      <c r="A5775" s="2">
        <f>+A5774+1</f>
        <v>4783</v>
      </c>
      <c r="B5775" s="13">
        <v>7</v>
      </c>
      <c r="C5775" s="17" t="s">
        <v>65</v>
      </c>
      <c r="D5775" s="17">
        <v>1846</v>
      </c>
      <c r="E5775" s="17">
        <v>103</v>
      </c>
      <c r="H5775" s="17">
        <v>32</v>
      </c>
      <c r="I5775" s="17">
        <v>2</v>
      </c>
      <c r="J5775" s="17">
        <v>13</v>
      </c>
      <c r="K5775" s="10">
        <v>13013</v>
      </c>
      <c r="Q5775" s="19">
        <v>13013</v>
      </c>
      <c r="R5775" s="14">
        <v>200</v>
      </c>
      <c r="S5775" s="19">
        <v>2602600</v>
      </c>
      <c r="AJ5775" s="19">
        <v>0</v>
      </c>
      <c r="AK5775" s="23">
        <v>0</v>
      </c>
      <c r="AM5775" s="19">
        <v>0</v>
      </c>
      <c r="AN5775" s="19">
        <v>2602600</v>
      </c>
      <c r="AP5775" s="14">
        <v>2602600</v>
      </c>
      <c r="AQ5775" s="12">
        <v>1E-4</v>
      </c>
    </row>
    <row r="5776" spans="1:45" x14ac:dyDescent="0.2">
      <c r="A5776" s="122">
        <f t="shared" ref="A5776:A5784" si="617">+A5775+1</f>
        <v>4784</v>
      </c>
      <c r="B5776" s="13">
        <v>4</v>
      </c>
      <c r="C5776" s="17" t="s">
        <v>65</v>
      </c>
      <c r="D5776" s="17">
        <v>1847</v>
      </c>
      <c r="E5776" s="17">
        <v>104</v>
      </c>
      <c r="H5776" s="17">
        <v>8</v>
      </c>
      <c r="I5776" s="17">
        <v>3</v>
      </c>
      <c r="J5776" s="17">
        <v>66</v>
      </c>
      <c r="K5776" s="10">
        <v>3566</v>
      </c>
      <c r="Q5776" s="19">
        <v>3566</v>
      </c>
      <c r="R5776" s="14">
        <v>250</v>
      </c>
      <c r="S5776" s="19">
        <v>891500</v>
      </c>
      <c r="AE5776" s="17" t="s">
        <v>94</v>
      </c>
      <c r="AJ5776" s="19">
        <v>0</v>
      </c>
      <c r="AK5776" s="23">
        <v>0</v>
      </c>
      <c r="AM5776" s="19">
        <v>0</v>
      </c>
      <c r="AN5776" s="19">
        <v>891500</v>
      </c>
      <c r="AP5776" s="14">
        <v>891500</v>
      </c>
      <c r="AQ5776" s="12">
        <v>1E-4</v>
      </c>
    </row>
    <row r="5777" spans="1:45" x14ac:dyDescent="0.2">
      <c r="A5777" s="122">
        <f t="shared" si="617"/>
        <v>4785</v>
      </c>
      <c r="B5777" s="13">
        <v>5</v>
      </c>
      <c r="C5777" s="17" t="s">
        <v>65</v>
      </c>
      <c r="D5777" s="17">
        <v>1889</v>
      </c>
      <c r="E5777" s="17">
        <v>29</v>
      </c>
      <c r="H5777" s="17">
        <v>8</v>
      </c>
      <c r="I5777" s="17">
        <v>2</v>
      </c>
      <c r="J5777" s="17">
        <v>53</v>
      </c>
      <c r="K5777" s="10">
        <v>3453</v>
      </c>
      <c r="Q5777" s="19">
        <v>3453</v>
      </c>
      <c r="R5777" s="14">
        <v>160</v>
      </c>
      <c r="S5777" s="19">
        <v>552480</v>
      </c>
      <c r="AE5777" s="17" t="s">
        <v>94</v>
      </c>
      <c r="AJ5777" s="19">
        <v>0</v>
      </c>
      <c r="AK5777" s="23">
        <v>0</v>
      </c>
      <c r="AM5777" s="19">
        <v>0</v>
      </c>
      <c r="AN5777" s="19">
        <v>552480</v>
      </c>
      <c r="AP5777" s="14">
        <v>552480</v>
      </c>
      <c r="AQ5777" s="12">
        <v>1E-4</v>
      </c>
    </row>
    <row r="5778" spans="1:45" x14ac:dyDescent="0.2">
      <c r="A5778" s="122">
        <f t="shared" si="617"/>
        <v>4786</v>
      </c>
      <c r="B5778" s="13">
        <v>1</v>
      </c>
      <c r="C5778" s="17" t="s">
        <v>52</v>
      </c>
      <c r="D5778" s="17">
        <v>2397</v>
      </c>
      <c r="E5778" s="17">
        <v>61</v>
      </c>
      <c r="F5778" s="17">
        <v>1736</v>
      </c>
      <c r="G5778" s="13">
        <v>4</v>
      </c>
      <c r="H5778" s="17">
        <v>0</v>
      </c>
      <c r="I5778" s="17">
        <v>0</v>
      </c>
      <c r="J5778" s="17">
        <v>47</v>
      </c>
      <c r="N5778" s="18" t="s">
        <v>587</v>
      </c>
      <c r="P5778" s="17">
        <v>4</v>
      </c>
      <c r="Q5778" s="19">
        <v>47</v>
      </c>
      <c r="R5778" s="14">
        <v>250</v>
      </c>
      <c r="S5778" s="19">
        <v>11750</v>
      </c>
      <c r="AJ5778" s="19">
        <v>0</v>
      </c>
      <c r="AK5778" s="23">
        <v>0</v>
      </c>
      <c r="AM5778" s="19">
        <v>0</v>
      </c>
      <c r="AN5778" s="19">
        <v>11750</v>
      </c>
      <c r="AP5778" s="14">
        <v>11750</v>
      </c>
      <c r="AQ5778" s="12">
        <v>3.0000000000000001E-3</v>
      </c>
      <c r="AS5778" s="26">
        <v>1</v>
      </c>
    </row>
    <row r="5779" spans="1:45" x14ac:dyDescent="0.2">
      <c r="A5779" s="122">
        <f t="shared" si="617"/>
        <v>4787</v>
      </c>
      <c r="B5779" s="13">
        <v>1</v>
      </c>
      <c r="C5779" s="17" t="s">
        <v>52</v>
      </c>
      <c r="D5779" s="17">
        <v>35764</v>
      </c>
      <c r="E5779" s="17">
        <v>100</v>
      </c>
      <c r="F5779" s="17">
        <v>7050</v>
      </c>
      <c r="G5779" s="13">
        <v>4</v>
      </c>
      <c r="H5779" s="17">
        <v>0</v>
      </c>
      <c r="I5779" s="17">
        <v>0</v>
      </c>
      <c r="J5779" s="17">
        <v>62</v>
      </c>
      <c r="K5779" s="10">
        <v>62</v>
      </c>
      <c r="P5779" s="17">
        <v>1</v>
      </c>
      <c r="Q5779" s="19">
        <v>62</v>
      </c>
      <c r="R5779" s="14">
        <v>2000</v>
      </c>
      <c r="S5779" s="19">
        <v>124000</v>
      </c>
      <c r="AJ5779" s="19">
        <v>0</v>
      </c>
      <c r="AK5779" s="23">
        <v>0</v>
      </c>
      <c r="AM5779" s="19">
        <v>0</v>
      </c>
      <c r="AN5779" s="19">
        <v>124000</v>
      </c>
      <c r="AP5779" s="14">
        <v>124000</v>
      </c>
      <c r="AS5779" s="26">
        <v>1</v>
      </c>
    </row>
    <row r="5780" spans="1:45" ht="42" x14ac:dyDescent="0.2">
      <c r="A5780" s="122">
        <f t="shared" si="617"/>
        <v>4788</v>
      </c>
      <c r="B5780" s="13">
        <v>1</v>
      </c>
      <c r="C5780" s="17" t="s">
        <v>52</v>
      </c>
      <c r="D5780" s="17">
        <v>16783</v>
      </c>
      <c r="E5780" s="17">
        <v>34</v>
      </c>
      <c r="F5780" s="17">
        <v>3741</v>
      </c>
      <c r="G5780" s="13">
        <v>4</v>
      </c>
      <c r="H5780" s="17">
        <v>8</v>
      </c>
      <c r="I5780" s="17">
        <v>2</v>
      </c>
      <c r="J5780" s="17">
        <v>38</v>
      </c>
      <c r="K5780" s="10">
        <v>3376</v>
      </c>
      <c r="L5780" s="17">
        <v>62</v>
      </c>
      <c r="P5780" s="17">
        <v>5</v>
      </c>
      <c r="Q5780" s="19">
        <v>3438</v>
      </c>
      <c r="R5780" s="14">
        <v>160</v>
      </c>
      <c r="S5780" s="19">
        <v>550080</v>
      </c>
      <c r="T5780" s="17">
        <v>1</v>
      </c>
      <c r="V5780" s="17" t="s">
        <v>183</v>
      </c>
      <c r="W5780" s="4">
        <v>248</v>
      </c>
      <c r="Y5780" s="4">
        <v>248</v>
      </c>
      <c r="AB5780" s="17">
        <v>40</v>
      </c>
      <c r="AJ5780" s="19">
        <v>0</v>
      </c>
      <c r="AK5780" s="23">
        <v>40</v>
      </c>
      <c r="AM5780" s="19">
        <v>0</v>
      </c>
      <c r="AN5780" s="19">
        <v>550080</v>
      </c>
      <c r="AP5780" s="14">
        <v>550080</v>
      </c>
    </row>
    <row r="5781" spans="1:45" x14ac:dyDescent="0.2">
      <c r="A5781" s="122">
        <f t="shared" si="617"/>
        <v>4789</v>
      </c>
      <c r="B5781" s="13">
        <v>1</v>
      </c>
      <c r="C5781" s="17" t="s">
        <v>52</v>
      </c>
      <c r="D5781" s="17">
        <v>2377</v>
      </c>
      <c r="E5781" s="17">
        <v>39</v>
      </c>
      <c r="F5781" s="17">
        <v>1706</v>
      </c>
      <c r="G5781" s="13">
        <v>4</v>
      </c>
      <c r="H5781" s="17">
        <v>0</v>
      </c>
      <c r="I5781" s="17">
        <v>0</v>
      </c>
      <c r="J5781" s="17">
        <v>89</v>
      </c>
      <c r="K5781" s="10">
        <v>89</v>
      </c>
      <c r="P5781" s="17">
        <v>1</v>
      </c>
      <c r="Q5781" s="19">
        <v>89</v>
      </c>
      <c r="R5781" s="14">
        <v>160</v>
      </c>
      <c r="S5781" s="19">
        <v>14240</v>
      </c>
      <c r="AJ5781" s="19">
        <v>0</v>
      </c>
      <c r="AK5781" s="23">
        <v>0</v>
      </c>
      <c r="AM5781" s="19">
        <v>0</v>
      </c>
      <c r="AN5781" s="19">
        <v>14240</v>
      </c>
      <c r="AP5781" s="14">
        <v>14240</v>
      </c>
    </row>
    <row r="5782" spans="1:45" x14ac:dyDescent="0.2">
      <c r="A5782" s="122">
        <f t="shared" si="617"/>
        <v>4790</v>
      </c>
      <c r="B5782" s="13">
        <v>1</v>
      </c>
      <c r="C5782" s="17" t="s">
        <v>65</v>
      </c>
      <c r="D5782" s="17">
        <v>1421</v>
      </c>
      <c r="E5782" s="17">
        <v>113</v>
      </c>
      <c r="H5782" s="17">
        <v>30</v>
      </c>
      <c r="I5782" s="17">
        <v>2</v>
      </c>
      <c r="J5782" s="17">
        <v>38</v>
      </c>
      <c r="K5782" s="10">
        <v>12238</v>
      </c>
      <c r="P5782" s="17">
        <v>1</v>
      </c>
      <c r="Q5782" s="19">
        <v>12238</v>
      </c>
      <c r="R5782" s="14">
        <v>500</v>
      </c>
      <c r="S5782" s="19">
        <v>6119000</v>
      </c>
      <c r="AJ5782" s="19">
        <v>0</v>
      </c>
      <c r="AK5782" s="23">
        <v>0</v>
      </c>
      <c r="AM5782" s="19">
        <v>0</v>
      </c>
      <c r="AN5782" s="19">
        <v>6119000</v>
      </c>
      <c r="AP5782" s="14">
        <v>6119000</v>
      </c>
      <c r="AQ5782" s="12">
        <v>1E-4</v>
      </c>
    </row>
    <row r="5783" spans="1:45" x14ac:dyDescent="0.2">
      <c r="A5783" s="122">
        <f t="shared" si="617"/>
        <v>4791</v>
      </c>
      <c r="B5783" s="13">
        <v>1</v>
      </c>
      <c r="C5783" s="17" t="s">
        <v>65</v>
      </c>
      <c r="D5783" s="17">
        <v>3849</v>
      </c>
      <c r="E5783" s="17">
        <v>273</v>
      </c>
      <c r="H5783" s="17">
        <v>10</v>
      </c>
      <c r="I5783" s="17">
        <v>0</v>
      </c>
      <c r="J5783" s="17">
        <v>0</v>
      </c>
      <c r="K5783" s="10">
        <v>4000</v>
      </c>
      <c r="Q5783" s="19">
        <v>4000</v>
      </c>
      <c r="R5783" s="14">
        <v>160</v>
      </c>
      <c r="S5783" s="19">
        <v>640000</v>
      </c>
      <c r="AE5783" s="17" t="s">
        <v>95</v>
      </c>
      <c r="AJ5783" s="19">
        <v>0</v>
      </c>
      <c r="AK5783" s="23">
        <v>0</v>
      </c>
      <c r="AM5783" s="19">
        <v>0</v>
      </c>
      <c r="AN5783" s="19">
        <v>640000</v>
      </c>
      <c r="AP5783" s="14">
        <v>640000</v>
      </c>
      <c r="AQ5783" s="12">
        <v>1E-4</v>
      </c>
    </row>
    <row r="5784" spans="1:45" ht="42" x14ac:dyDescent="0.2">
      <c r="A5784" s="122">
        <f t="shared" si="617"/>
        <v>4792</v>
      </c>
      <c r="B5784" s="13">
        <v>1</v>
      </c>
      <c r="C5784" s="17" t="s">
        <v>52</v>
      </c>
      <c r="D5784" s="17">
        <v>2045</v>
      </c>
      <c r="E5784" s="17">
        <v>5</v>
      </c>
      <c r="F5784" s="17">
        <v>1145</v>
      </c>
      <c r="G5784" s="13">
        <v>4</v>
      </c>
      <c r="H5784" s="17">
        <v>0</v>
      </c>
      <c r="I5784" s="17">
        <v>1</v>
      </c>
      <c r="J5784" s="17">
        <v>38</v>
      </c>
      <c r="L5784" s="17">
        <v>138</v>
      </c>
      <c r="P5784" s="17">
        <v>2</v>
      </c>
      <c r="Q5784" s="19">
        <v>138</v>
      </c>
      <c r="R5784" s="14">
        <v>2000</v>
      </c>
      <c r="S5784" s="19">
        <v>276000</v>
      </c>
      <c r="T5784" s="17">
        <v>1</v>
      </c>
      <c r="V5784" s="17" t="s">
        <v>183</v>
      </c>
      <c r="W5784" s="4">
        <v>216</v>
      </c>
      <c r="Y5784" s="4">
        <v>216</v>
      </c>
      <c r="AB5784" s="17">
        <v>20</v>
      </c>
      <c r="AJ5784" s="19">
        <v>0</v>
      </c>
      <c r="AK5784" s="23">
        <v>20</v>
      </c>
      <c r="AM5784" s="19">
        <v>0</v>
      </c>
      <c r="AN5784" s="19">
        <v>276000</v>
      </c>
      <c r="AP5784" s="14">
        <v>276000</v>
      </c>
    </row>
    <row r="5785" spans="1:45" ht="42" x14ac:dyDescent="0.2">
      <c r="Q5785" s="19">
        <v>0</v>
      </c>
      <c r="R5785" s="14" t="e">
        <v>#N/A</v>
      </c>
      <c r="S5785" s="19" t="e">
        <v>#N/A</v>
      </c>
      <c r="T5785" s="17">
        <v>2</v>
      </c>
      <c r="V5785" s="17" t="s">
        <v>183</v>
      </c>
      <c r="W5785" s="4">
        <v>105</v>
      </c>
      <c r="Y5785" s="4">
        <v>105</v>
      </c>
      <c r="AB5785" s="17">
        <v>30</v>
      </c>
      <c r="AJ5785" s="19">
        <v>0</v>
      </c>
      <c r="AK5785" s="23">
        <v>30</v>
      </c>
      <c r="AM5785" s="19">
        <v>0</v>
      </c>
      <c r="AN5785" s="19" t="e">
        <v>#N/A</v>
      </c>
      <c r="AP5785" s="14" t="e">
        <v>#N/A</v>
      </c>
    </row>
    <row r="5786" spans="1:45" x14ac:dyDescent="0.2">
      <c r="A5786" s="2">
        <v>4793</v>
      </c>
      <c r="B5786" s="13">
        <v>2</v>
      </c>
      <c r="C5786" s="17" t="s">
        <v>52</v>
      </c>
      <c r="D5786" s="17">
        <v>2461</v>
      </c>
      <c r="E5786" s="17">
        <v>13</v>
      </c>
      <c r="F5786" s="17">
        <v>1167</v>
      </c>
      <c r="G5786" s="13">
        <v>4</v>
      </c>
      <c r="H5786" s="17">
        <v>0</v>
      </c>
      <c r="I5786" s="17">
        <v>1</v>
      </c>
      <c r="J5786" s="17">
        <v>76</v>
      </c>
      <c r="L5786" s="17">
        <v>176</v>
      </c>
      <c r="P5786" s="17">
        <v>2</v>
      </c>
      <c r="Q5786" s="19">
        <v>176</v>
      </c>
      <c r="R5786" s="14">
        <v>160</v>
      </c>
      <c r="S5786" s="19">
        <v>28160</v>
      </c>
      <c r="T5786" s="17">
        <v>1</v>
      </c>
      <c r="AJ5786" s="19">
        <v>0</v>
      </c>
      <c r="AK5786" s="23">
        <v>0</v>
      </c>
      <c r="AM5786" s="19">
        <v>0</v>
      </c>
      <c r="AN5786" s="19">
        <v>28160</v>
      </c>
      <c r="AP5786" s="14">
        <v>28160</v>
      </c>
    </row>
    <row r="5787" spans="1:45" x14ac:dyDescent="0.2">
      <c r="B5787" s="13">
        <v>3</v>
      </c>
      <c r="C5787" s="17" t="s">
        <v>65</v>
      </c>
      <c r="D5787" s="17">
        <v>2921</v>
      </c>
      <c r="E5787" s="17">
        <v>34</v>
      </c>
      <c r="H5787" s="17">
        <v>1</v>
      </c>
      <c r="I5787" s="17">
        <v>1</v>
      </c>
      <c r="J5787" s="17">
        <v>16</v>
      </c>
      <c r="K5787" s="10">
        <v>560</v>
      </c>
      <c r="Q5787" s="19">
        <v>516</v>
      </c>
      <c r="R5787" s="14" t="e">
        <v>#N/A</v>
      </c>
      <c r="S5787" s="19" t="e">
        <v>#N/A</v>
      </c>
      <c r="AE5787" s="17" t="s">
        <v>95</v>
      </c>
      <c r="AJ5787" s="19">
        <v>0</v>
      </c>
      <c r="AK5787" s="23">
        <v>0</v>
      </c>
      <c r="AM5787" s="19">
        <v>0</v>
      </c>
      <c r="AN5787" s="19" t="e">
        <v>#N/A</v>
      </c>
      <c r="AP5787" s="14" t="e">
        <v>#N/A</v>
      </c>
      <c r="AQ5787" s="12">
        <v>1E-4</v>
      </c>
    </row>
    <row r="5788" spans="1:45" x14ac:dyDescent="0.2">
      <c r="A5788" s="2">
        <v>4794</v>
      </c>
      <c r="B5788" s="13">
        <v>1</v>
      </c>
      <c r="C5788" s="17" t="s">
        <v>52</v>
      </c>
      <c r="D5788" s="17">
        <v>36293</v>
      </c>
      <c r="E5788" s="17">
        <v>110</v>
      </c>
      <c r="F5788" s="17">
        <v>7093</v>
      </c>
      <c r="G5788" s="13">
        <v>4</v>
      </c>
      <c r="H5788" s="17">
        <v>0</v>
      </c>
      <c r="I5788" s="17">
        <v>0</v>
      </c>
      <c r="J5788" s="17">
        <v>31</v>
      </c>
      <c r="K5788" s="10">
        <v>31</v>
      </c>
      <c r="P5788" s="17">
        <v>1</v>
      </c>
      <c r="Q5788" s="19">
        <v>31</v>
      </c>
      <c r="R5788" s="14">
        <v>2000</v>
      </c>
      <c r="S5788" s="19">
        <v>62000</v>
      </c>
      <c r="AJ5788" s="19">
        <v>0</v>
      </c>
      <c r="AK5788" s="23">
        <v>0</v>
      </c>
      <c r="AM5788" s="19">
        <v>0</v>
      </c>
      <c r="AN5788" s="19">
        <v>62000</v>
      </c>
      <c r="AP5788" s="14">
        <v>62000</v>
      </c>
    </row>
    <row r="5789" spans="1:45" x14ac:dyDescent="0.2">
      <c r="A5789" s="2">
        <f>+A5788+1</f>
        <v>4795</v>
      </c>
      <c r="B5789" s="13">
        <v>1</v>
      </c>
      <c r="C5789" s="17" t="s">
        <v>52</v>
      </c>
      <c r="D5789" s="17">
        <v>17929</v>
      </c>
      <c r="E5789" s="17">
        <v>27</v>
      </c>
      <c r="F5789" s="17">
        <v>3880</v>
      </c>
      <c r="G5789" s="13">
        <v>4</v>
      </c>
      <c r="H5789" s="17">
        <v>3</v>
      </c>
      <c r="I5789" s="17">
        <v>0</v>
      </c>
      <c r="J5789" s="17">
        <v>1</v>
      </c>
      <c r="K5789" s="10">
        <v>1201</v>
      </c>
      <c r="P5789" s="17">
        <v>1</v>
      </c>
      <c r="Q5789" s="19">
        <v>1201</v>
      </c>
      <c r="R5789" s="14">
        <v>160</v>
      </c>
      <c r="S5789" s="19">
        <v>192160</v>
      </c>
      <c r="AJ5789" s="19">
        <v>0</v>
      </c>
      <c r="AK5789" s="23">
        <v>0</v>
      </c>
      <c r="AM5789" s="19">
        <v>0</v>
      </c>
      <c r="AN5789" s="19">
        <v>192160</v>
      </c>
      <c r="AP5789" s="14">
        <v>192160</v>
      </c>
    </row>
    <row r="5790" spans="1:45" x14ac:dyDescent="0.2">
      <c r="A5790" s="122">
        <f t="shared" ref="A5790:A5803" si="618">+A5789+1</f>
        <v>4796</v>
      </c>
      <c r="B5790" s="13">
        <v>1</v>
      </c>
      <c r="C5790" s="17" t="s">
        <v>65</v>
      </c>
      <c r="D5790" s="17">
        <v>1894</v>
      </c>
      <c r="E5790" s="17">
        <v>47</v>
      </c>
      <c r="H5790" s="17">
        <v>5</v>
      </c>
      <c r="I5790" s="17">
        <v>2</v>
      </c>
      <c r="J5790" s="17">
        <v>50</v>
      </c>
      <c r="K5790" s="10">
        <v>2250</v>
      </c>
      <c r="P5790" s="17">
        <v>1</v>
      </c>
      <c r="Q5790" s="19">
        <v>2250</v>
      </c>
      <c r="R5790" s="14">
        <v>160</v>
      </c>
      <c r="S5790" s="19">
        <v>360000</v>
      </c>
      <c r="AJ5790" s="19">
        <v>0</v>
      </c>
      <c r="AK5790" s="23">
        <v>0</v>
      </c>
      <c r="AM5790" s="19">
        <v>0</v>
      </c>
      <c r="AN5790" s="19">
        <v>360000</v>
      </c>
      <c r="AP5790" s="14">
        <v>360000</v>
      </c>
      <c r="AQ5790" s="12">
        <v>1E-4</v>
      </c>
      <c r="AS5790" s="26">
        <v>17</v>
      </c>
    </row>
    <row r="5791" spans="1:45" x14ac:dyDescent="0.2">
      <c r="A5791" s="122">
        <f t="shared" si="618"/>
        <v>4797</v>
      </c>
      <c r="B5791" s="13">
        <v>1</v>
      </c>
      <c r="C5791" s="17" t="s">
        <v>65</v>
      </c>
      <c r="D5791" s="17">
        <v>1948</v>
      </c>
      <c r="E5791" s="17">
        <v>34</v>
      </c>
      <c r="H5791" s="17">
        <v>5</v>
      </c>
      <c r="I5791" s="17">
        <v>1</v>
      </c>
      <c r="J5791" s="17">
        <v>80</v>
      </c>
      <c r="K5791" s="10">
        <v>2180</v>
      </c>
      <c r="Q5791" s="19">
        <v>2180</v>
      </c>
      <c r="R5791" s="14">
        <v>160</v>
      </c>
      <c r="S5791" s="19">
        <v>348800</v>
      </c>
      <c r="AE5791" s="17" t="s">
        <v>94</v>
      </c>
      <c r="AJ5791" s="19">
        <v>0</v>
      </c>
      <c r="AK5791" s="23">
        <v>0</v>
      </c>
      <c r="AM5791" s="19">
        <v>0</v>
      </c>
      <c r="AN5791" s="19">
        <v>348800</v>
      </c>
      <c r="AP5791" s="14">
        <v>348800</v>
      </c>
      <c r="AQ5791" s="12">
        <v>1E-4</v>
      </c>
      <c r="AR5791" s="19" t="s">
        <v>588</v>
      </c>
    </row>
    <row r="5792" spans="1:45" ht="42" x14ac:dyDescent="0.2">
      <c r="A5792" s="122">
        <f t="shared" si="618"/>
        <v>4798</v>
      </c>
      <c r="B5792" s="13">
        <v>1</v>
      </c>
      <c r="C5792" s="17" t="s">
        <v>52</v>
      </c>
      <c r="D5792" s="17">
        <v>16782</v>
      </c>
      <c r="E5792" s="17">
        <v>32</v>
      </c>
      <c r="F5792" s="17">
        <v>3740</v>
      </c>
      <c r="G5792" s="13">
        <v>4</v>
      </c>
      <c r="H5792" s="17">
        <v>6</v>
      </c>
      <c r="I5792" s="17">
        <v>0</v>
      </c>
      <c r="J5792" s="17">
        <v>27</v>
      </c>
      <c r="L5792" s="17">
        <v>2427</v>
      </c>
      <c r="P5792" s="17">
        <v>2</v>
      </c>
      <c r="Q5792" s="19">
        <v>2427</v>
      </c>
      <c r="R5792" s="14">
        <v>160</v>
      </c>
      <c r="S5792" s="19">
        <v>388320</v>
      </c>
      <c r="T5792" s="17">
        <v>1</v>
      </c>
      <c r="V5792" s="17" t="s">
        <v>183</v>
      </c>
      <c r="W5792" s="4">
        <v>153</v>
      </c>
      <c r="Y5792" s="4">
        <v>153</v>
      </c>
      <c r="AB5792" s="17">
        <v>24</v>
      </c>
      <c r="AJ5792" s="19">
        <v>0</v>
      </c>
      <c r="AK5792" s="23">
        <v>24</v>
      </c>
      <c r="AM5792" s="19">
        <v>0</v>
      </c>
      <c r="AN5792" s="19">
        <v>388320</v>
      </c>
      <c r="AP5792" s="14">
        <v>388320</v>
      </c>
    </row>
    <row r="5793" spans="1:45" ht="63" x14ac:dyDescent="0.2">
      <c r="A5793" s="122">
        <f t="shared" si="618"/>
        <v>4799</v>
      </c>
      <c r="B5793" s="13">
        <v>1</v>
      </c>
      <c r="C5793" s="17" t="s">
        <v>65</v>
      </c>
      <c r="D5793" s="17">
        <v>1951</v>
      </c>
      <c r="E5793" s="17">
        <v>37</v>
      </c>
      <c r="H5793" s="17">
        <v>3</v>
      </c>
      <c r="I5793" s="17">
        <v>1</v>
      </c>
      <c r="J5793" s="17">
        <v>26</v>
      </c>
      <c r="K5793" s="10">
        <v>1294</v>
      </c>
      <c r="L5793" s="17">
        <v>32</v>
      </c>
      <c r="P5793" s="17">
        <v>5</v>
      </c>
      <c r="Q5793" s="19">
        <v>1326</v>
      </c>
      <c r="R5793" s="14">
        <v>500</v>
      </c>
      <c r="S5793" s="19">
        <v>663000</v>
      </c>
      <c r="T5793" s="17">
        <v>1</v>
      </c>
      <c r="U5793" s="17" t="s">
        <v>57</v>
      </c>
      <c r="V5793" s="17" t="s">
        <v>56</v>
      </c>
      <c r="W5793" s="4">
        <v>128</v>
      </c>
      <c r="Y5793" s="4">
        <v>128</v>
      </c>
      <c r="AB5793" s="17">
        <v>31</v>
      </c>
      <c r="AJ5793" s="19">
        <v>0</v>
      </c>
      <c r="AK5793" s="23">
        <v>31</v>
      </c>
      <c r="AM5793" s="19">
        <v>0</v>
      </c>
      <c r="AN5793" s="19">
        <v>663000</v>
      </c>
      <c r="AP5793" s="14">
        <v>663000</v>
      </c>
      <c r="AQ5793" s="12">
        <v>2.0000000000000001E-4</v>
      </c>
      <c r="AS5793" s="26">
        <v>56</v>
      </c>
    </row>
    <row r="5794" spans="1:45" x14ac:dyDescent="0.2">
      <c r="A5794" s="122">
        <f t="shared" si="618"/>
        <v>4800</v>
      </c>
      <c r="B5794" s="13">
        <v>2</v>
      </c>
      <c r="C5794" s="17" t="s">
        <v>65</v>
      </c>
      <c r="D5794" s="17">
        <v>1953</v>
      </c>
      <c r="E5794" s="17">
        <v>39</v>
      </c>
      <c r="H5794" s="17">
        <v>7</v>
      </c>
      <c r="I5794" s="17">
        <v>3</v>
      </c>
      <c r="J5794" s="17">
        <v>20</v>
      </c>
      <c r="K5794" s="10">
        <v>3120</v>
      </c>
      <c r="P5794" s="17">
        <v>1</v>
      </c>
      <c r="Q5794" s="19">
        <v>3120</v>
      </c>
      <c r="R5794" s="14">
        <v>440</v>
      </c>
      <c r="S5794" s="19">
        <v>1372800</v>
      </c>
      <c r="AJ5794" s="19">
        <v>0</v>
      </c>
      <c r="AK5794" s="23">
        <v>0</v>
      </c>
      <c r="AM5794" s="19">
        <v>0</v>
      </c>
      <c r="AN5794" s="19">
        <v>1372800</v>
      </c>
      <c r="AP5794" s="14">
        <v>1372800</v>
      </c>
      <c r="AQ5794" s="12">
        <v>1E-4</v>
      </c>
    </row>
    <row r="5795" spans="1:45" x14ac:dyDescent="0.2">
      <c r="A5795" s="122">
        <f t="shared" si="618"/>
        <v>4801</v>
      </c>
      <c r="B5795" s="13">
        <v>1</v>
      </c>
      <c r="C5795" s="17" t="s">
        <v>52</v>
      </c>
      <c r="D5795" s="17">
        <v>2493</v>
      </c>
      <c r="E5795" s="17">
        <v>45</v>
      </c>
      <c r="F5795" s="17">
        <v>1497</v>
      </c>
      <c r="G5795" s="13">
        <v>2</v>
      </c>
      <c r="H5795" s="17">
        <v>0</v>
      </c>
      <c r="I5795" s="17">
        <v>0</v>
      </c>
      <c r="J5795" s="17">
        <v>46</v>
      </c>
      <c r="N5795" s="18">
        <v>46</v>
      </c>
      <c r="P5795" s="17">
        <v>4</v>
      </c>
      <c r="Q5795" s="19">
        <v>46</v>
      </c>
      <c r="R5795" s="14">
        <v>4500</v>
      </c>
      <c r="S5795" s="19">
        <v>207000</v>
      </c>
      <c r="AE5795" s="17" t="s">
        <v>405</v>
      </c>
      <c r="AJ5795" s="19">
        <v>0</v>
      </c>
      <c r="AK5795" s="23">
        <v>0</v>
      </c>
      <c r="AM5795" s="19">
        <v>0</v>
      </c>
      <c r="AN5795" s="19">
        <v>207000</v>
      </c>
      <c r="AP5795" s="14">
        <v>207000</v>
      </c>
      <c r="AQ5795" s="12">
        <v>3.0000000000000001E-3</v>
      </c>
    </row>
    <row r="5796" spans="1:45" x14ac:dyDescent="0.2">
      <c r="A5796" s="122">
        <f t="shared" si="618"/>
        <v>4802</v>
      </c>
      <c r="B5796" s="13">
        <v>2</v>
      </c>
      <c r="C5796" s="17" t="s">
        <v>52</v>
      </c>
      <c r="D5796" s="17">
        <v>2278</v>
      </c>
      <c r="E5796" s="17">
        <v>2</v>
      </c>
      <c r="F5796" s="17">
        <v>1700</v>
      </c>
      <c r="G5796" s="13">
        <v>4</v>
      </c>
      <c r="H5796" s="17">
        <v>0</v>
      </c>
      <c r="I5796" s="17">
        <v>3</v>
      </c>
      <c r="J5796" s="17">
        <v>96</v>
      </c>
      <c r="L5796" s="17">
        <v>396</v>
      </c>
      <c r="P5796" s="17">
        <v>2</v>
      </c>
      <c r="Q5796" s="19">
        <v>396</v>
      </c>
      <c r="R5796" s="14">
        <v>2000</v>
      </c>
      <c r="S5796" s="19">
        <v>792000</v>
      </c>
      <c r="AJ5796" s="19">
        <v>0</v>
      </c>
      <c r="AK5796" s="23">
        <v>0</v>
      </c>
      <c r="AM5796" s="19">
        <v>0</v>
      </c>
      <c r="AN5796" s="19">
        <v>792000</v>
      </c>
      <c r="AP5796" s="14">
        <v>792000</v>
      </c>
    </row>
    <row r="5797" spans="1:45" x14ac:dyDescent="0.2">
      <c r="A5797" s="122">
        <f t="shared" si="618"/>
        <v>4803</v>
      </c>
      <c r="B5797" s="13">
        <v>3</v>
      </c>
      <c r="C5797" s="17" t="s">
        <v>52</v>
      </c>
      <c r="D5797" s="17">
        <v>8344</v>
      </c>
      <c r="E5797" s="17">
        <v>1</v>
      </c>
      <c r="F5797" s="17">
        <v>3134</v>
      </c>
      <c r="G5797" s="13">
        <v>4</v>
      </c>
      <c r="H5797" s="17">
        <v>0</v>
      </c>
      <c r="I5797" s="17">
        <v>0</v>
      </c>
      <c r="J5797" s="17">
        <v>40.03</v>
      </c>
      <c r="N5797" s="18">
        <v>40.03</v>
      </c>
      <c r="P5797" s="17">
        <v>4</v>
      </c>
      <c r="Q5797" s="19">
        <v>40.03</v>
      </c>
      <c r="R5797" s="14">
        <v>2000</v>
      </c>
      <c r="S5797" s="19">
        <v>80060</v>
      </c>
      <c r="AJ5797" s="19">
        <v>0</v>
      </c>
      <c r="AK5797" s="23">
        <v>0</v>
      </c>
      <c r="AM5797" s="19">
        <v>0</v>
      </c>
      <c r="AN5797" s="19">
        <v>80060</v>
      </c>
      <c r="AP5797" s="14">
        <v>80060</v>
      </c>
      <c r="AQ5797" s="12">
        <v>3.0000000000000001E-3</v>
      </c>
    </row>
    <row r="5798" spans="1:45" x14ac:dyDescent="0.2">
      <c r="A5798" s="122">
        <f t="shared" si="618"/>
        <v>4804</v>
      </c>
      <c r="B5798" s="13">
        <v>4</v>
      </c>
      <c r="C5798" s="17" t="s">
        <v>52</v>
      </c>
      <c r="D5798" s="17">
        <v>23590</v>
      </c>
      <c r="E5798" s="17">
        <v>41</v>
      </c>
      <c r="F5798" s="17">
        <v>4880</v>
      </c>
      <c r="G5798" s="13">
        <v>4</v>
      </c>
      <c r="H5798" s="17">
        <v>0</v>
      </c>
      <c r="I5798" s="17">
        <v>0</v>
      </c>
      <c r="J5798" s="17">
        <v>99</v>
      </c>
      <c r="N5798" s="18">
        <v>99</v>
      </c>
      <c r="P5798" s="17">
        <v>4</v>
      </c>
      <c r="Q5798" s="19">
        <v>99</v>
      </c>
      <c r="R5798" s="14">
        <v>2000</v>
      </c>
      <c r="S5798" s="19">
        <v>198000</v>
      </c>
      <c r="AJ5798" s="19">
        <v>0</v>
      </c>
      <c r="AK5798" s="23">
        <v>0</v>
      </c>
      <c r="AM5798" s="19">
        <v>0</v>
      </c>
      <c r="AN5798" s="19">
        <v>198000</v>
      </c>
      <c r="AP5798" s="14">
        <v>198000</v>
      </c>
      <c r="AQ5798" s="12">
        <v>3.0000000000000001E-3</v>
      </c>
    </row>
    <row r="5799" spans="1:45" x14ac:dyDescent="0.2">
      <c r="A5799" s="122">
        <f t="shared" si="618"/>
        <v>4805</v>
      </c>
      <c r="B5799" s="13">
        <v>5</v>
      </c>
      <c r="C5799" s="17" t="s">
        <v>52</v>
      </c>
      <c r="D5799" s="17">
        <v>23591</v>
      </c>
      <c r="E5799" s="17">
        <v>42</v>
      </c>
      <c r="F5799" s="17">
        <v>4881</v>
      </c>
      <c r="G5799" s="13">
        <v>4</v>
      </c>
      <c r="H5799" s="17">
        <v>0</v>
      </c>
      <c r="I5799" s="17">
        <v>1</v>
      </c>
      <c r="J5799" s="17">
        <v>3</v>
      </c>
      <c r="N5799" s="18">
        <v>103</v>
      </c>
      <c r="P5799" s="17">
        <v>4</v>
      </c>
      <c r="Q5799" s="19">
        <v>103</v>
      </c>
      <c r="R5799" s="14">
        <v>2000</v>
      </c>
      <c r="S5799" s="19">
        <v>206000</v>
      </c>
      <c r="AJ5799" s="19">
        <v>0</v>
      </c>
      <c r="AK5799" s="23">
        <v>0</v>
      </c>
      <c r="AM5799" s="19">
        <v>0</v>
      </c>
      <c r="AN5799" s="19">
        <v>206000</v>
      </c>
      <c r="AP5799" s="14">
        <v>206000</v>
      </c>
      <c r="AQ5799" s="12">
        <v>3.0000000000000001E-3</v>
      </c>
    </row>
    <row r="5800" spans="1:45" x14ac:dyDescent="0.2">
      <c r="A5800" s="122">
        <f t="shared" si="618"/>
        <v>4806</v>
      </c>
      <c r="B5800" s="13">
        <v>6</v>
      </c>
      <c r="C5800" s="17" t="s">
        <v>52</v>
      </c>
      <c r="D5800" s="17">
        <v>5864</v>
      </c>
      <c r="E5800" s="17">
        <v>16</v>
      </c>
      <c r="F5800" s="17">
        <v>2978</v>
      </c>
      <c r="G5800" s="13">
        <v>5</v>
      </c>
      <c r="H5800" s="17">
        <v>2</v>
      </c>
      <c r="I5800" s="17">
        <v>1</v>
      </c>
      <c r="J5800" s="17">
        <v>88</v>
      </c>
      <c r="K5800" s="10">
        <v>988</v>
      </c>
      <c r="P5800" s="17">
        <v>1</v>
      </c>
      <c r="Q5800" s="19">
        <v>988</v>
      </c>
      <c r="R5800" s="14">
        <v>160</v>
      </c>
      <c r="S5800" s="19">
        <v>158080</v>
      </c>
      <c r="AJ5800" s="19">
        <v>0</v>
      </c>
      <c r="AK5800" s="23">
        <v>0</v>
      </c>
      <c r="AM5800" s="19">
        <v>0</v>
      </c>
      <c r="AN5800" s="19">
        <v>158080</v>
      </c>
      <c r="AP5800" s="14">
        <v>158080</v>
      </c>
    </row>
    <row r="5801" spans="1:45" x14ac:dyDescent="0.2">
      <c r="A5801" s="122">
        <f t="shared" si="618"/>
        <v>4807</v>
      </c>
      <c r="B5801" s="13">
        <v>7</v>
      </c>
      <c r="C5801" s="17" t="s">
        <v>65</v>
      </c>
      <c r="D5801" s="17">
        <v>1405</v>
      </c>
      <c r="E5801" s="17">
        <v>95</v>
      </c>
      <c r="H5801" s="17">
        <v>2</v>
      </c>
      <c r="I5801" s="17">
        <v>0</v>
      </c>
      <c r="J5801" s="17">
        <v>0</v>
      </c>
      <c r="K5801" s="10">
        <v>800</v>
      </c>
      <c r="P5801" s="17">
        <v>1</v>
      </c>
      <c r="Q5801" s="19">
        <v>800</v>
      </c>
      <c r="R5801" s="14">
        <v>160</v>
      </c>
      <c r="S5801" s="19">
        <v>128000</v>
      </c>
      <c r="AJ5801" s="19">
        <v>0</v>
      </c>
      <c r="AK5801" s="23">
        <v>0</v>
      </c>
      <c r="AM5801" s="19">
        <v>0</v>
      </c>
      <c r="AN5801" s="19">
        <v>128000</v>
      </c>
      <c r="AP5801" s="14">
        <v>128000</v>
      </c>
      <c r="AQ5801" s="12">
        <v>1E-4</v>
      </c>
    </row>
    <row r="5802" spans="1:45" x14ac:dyDescent="0.2">
      <c r="A5802" s="122">
        <f t="shared" si="618"/>
        <v>4808</v>
      </c>
      <c r="B5802" s="13">
        <v>8</v>
      </c>
      <c r="C5802" s="17" t="s">
        <v>65</v>
      </c>
      <c r="D5802" s="17">
        <v>3377</v>
      </c>
      <c r="E5802" s="17">
        <v>226</v>
      </c>
      <c r="H5802" s="17">
        <v>6</v>
      </c>
      <c r="I5802" s="17">
        <v>1</v>
      </c>
      <c r="J5802" s="17">
        <v>4</v>
      </c>
      <c r="K5802" s="10">
        <v>2504</v>
      </c>
      <c r="P5802" s="17">
        <v>1</v>
      </c>
      <c r="Q5802" s="19">
        <v>2504</v>
      </c>
      <c r="R5802" s="14">
        <v>160</v>
      </c>
      <c r="S5802" s="19">
        <v>400640</v>
      </c>
      <c r="AJ5802" s="19">
        <v>0</v>
      </c>
      <c r="AK5802" s="23">
        <v>0</v>
      </c>
      <c r="AM5802" s="19">
        <v>0</v>
      </c>
      <c r="AN5802" s="19">
        <v>400640</v>
      </c>
      <c r="AP5802" s="14">
        <v>400640</v>
      </c>
      <c r="AQ5802" s="12">
        <v>1E-4</v>
      </c>
    </row>
    <row r="5803" spans="1:45" x14ac:dyDescent="0.2">
      <c r="A5803" s="122">
        <f t="shared" si="618"/>
        <v>4809</v>
      </c>
      <c r="B5803" s="13">
        <v>1</v>
      </c>
      <c r="C5803" s="17" t="s">
        <v>52</v>
      </c>
      <c r="D5803" s="17">
        <v>17926</v>
      </c>
      <c r="E5803" s="17">
        <v>6</v>
      </c>
      <c r="F5803" s="17">
        <v>3877</v>
      </c>
      <c r="G5803" s="13">
        <v>4</v>
      </c>
      <c r="H5803" s="17">
        <v>1</v>
      </c>
      <c r="I5803" s="17">
        <v>3</v>
      </c>
      <c r="J5803" s="17">
        <v>31</v>
      </c>
      <c r="K5803" s="10">
        <v>731</v>
      </c>
      <c r="P5803" s="17">
        <v>1</v>
      </c>
      <c r="Q5803" s="19">
        <v>731</v>
      </c>
      <c r="R5803" s="14">
        <v>160</v>
      </c>
      <c r="S5803" s="19">
        <v>116960</v>
      </c>
      <c r="AJ5803" s="19">
        <v>0</v>
      </c>
      <c r="AK5803" s="23">
        <v>0</v>
      </c>
      <c r="AM5803" s="19">
        <v>0</v>
      </c>
      <c r="AN5803" s="19">
        <v>116960</v>
      </c>
      <c r="AP5803" s="14">
        <v>116960</v>
      </c>
      <c r="AS5803" s="26">
        <v>5</v>
      </c>
    </row>
    <row r="5804" spans="1:45" x14ac:dyDescent="0.2">
      <c r="R5804" s="14" t="e">
        <v>#N/A</v>
      </c>
    </row>
    <row r="5805" spans="1:45" x14ac:dyDescent="0.2">
      <c r="A5805" s="2">
        <v>4810</v>
      </c>
      <c r="B5805" s="13">
        <v>1</v>
      </c>
      <c r="C5805" s="17" t="s">
        <v>52</v>
      </c>
      <c r="D5805" s="17">
        <v>18004</v>
      </c>
      <c r="E5805" s="17">
        <v>9</v>
      </c>
      <c r="F5805" s="17">
        <v>3953</v>
      </c>
      <c r="G5805" s="13">
        <v>4</v>
      </c>
      <c r="H5805" s="17">
        <v>1</v>
      </c>
      <c r="I5805" s="17">
        <v>2</v>
      </c>
      <c r="J5805" s="17">
        <v>50</v>
      </c>
      <c r="K5805" s="10">
        <v>650</v>
      </c>
      <c r="P5805" s="17">
        <v>1</v>
      </c>
      <c r="Q5805" s="19">
        <v>650</v>
      </c>
      <c r="R5805" s="14">
        <v>160</v>
      </c>
      <c r="S5805" s="19">
        <v>104000</v>
      </c>
      <c r="AJ5805" s="19">
        <v>0</v>
      </c>
      <c r="AK5805" s="23">
        <v>0</v>
      </c>
      <c r="AM5805" s="19">
        <v>0</v>
      </c>
      <c r="AN5805" s="19">
        <v>104000</v>
      </c>
      <c r="AP5805" s="14">
        <v>104000</v>
      </c>
    </row>
    <row r="5806" spans="1:45" x14ac:dyDescent="0.2">
      <c r="A5806" s="2">
        <v>4811</v>
      </c>
      <c r="B5806" s="13">
        <v>1</v>
      </c>
      <c r="C5806" s="17" t="s">
        <v>65</v>
      </c>
      <c r="D5806" s="17">
        <v>3517</v>
      </c>
      <c r="E5806" s="17">
        <v>236</v>
      </c>
      <c r="H5806" s="17">
        <v>1</v>
      </c>
      <c r="I5806" s="17">
        <v>2</v>
      </c>
      <c r="J5806" s="17">
        <v>28</v>
      </c>
      <c r="K5806" s="10">
        <v>628</v>
      </c>
      <c r="P5806" s="17">
        <v>1</v>
      </c>
      <c r="Q5806" s="19">
        <v>628</v>
      </c>
      <c r="R5806" s="14">
        <v>160</v>
      </c>
      <c r="S5806" s="19">
        <v>100480</v>
      </c>
      <c r="AJ5806" s="19">
        <v>0</v>
      </c>
      <c r="AK5806" s="23">
        <v>0</v>
      </c>
      <c r="AM5806" s="19">
        <v>0</v>
      </c>
      <c r="AN5806" s="19">
        <v>100480</v>
      </c>
      <c r="AP5806" s="14">
        <v>100480</v>
      </c>
      <c r="AQ5806" s="12">
        <v>1E-4</v>
      </c>
    </row>
    <row r="5807" spans="1:45" ht="42" x14ac:dyDescent="0.2">
      <c r="A5807" s="2">
        <v>4812</v>
      </c>
      <c r="B5807" s="13">
        <v>1</v>
      </c>
      <c r="C5807" s="17" t="s">
        <v>52</v>
      </c>
      <c r="D5807" s="17">
        <v>2459</v>
      </c>
      <c r="E5807" s="17">
        <v>9</v>
      </c>
      <c r="F5807" s="17">
        <v>1144</v>
      </c>
      <c r="G5807" s="13">
        <v>4</v>
      </c>
      <c r="H5807" s="17">
        <v>1</v>
      </c>
      <c r="I5807" s="17">
        <v>1</v>
      </c>
      <c r="J5807" s="17">
        <v>78</v>
      </c>
      <c r="L5807" s="17">
        <v>578</v>
      </c>
      <c r="P5807" s="17">
        <v>2</v>
      </c>
      <c r="Q5807" s="19">
        <v>578</v>
      </c>
      <c r="R5807" s="14">
        <v>160</v>
      </c>
      <c r="S5807" s="19">
        <v>92480</v>
      </c>
      <c r="T5807" s="17">
        <v>1</v>
      </c>
      <c r="V5807" s="17" t="s">
        <v>183</v>
      </c>
      <c r="W5807" s="4">
        <v>184.5</v>
      </c>
      <c r="Y5807" s="4">
        <v>184.5</v>
      </c>
      <c r="AB5807" s="17">
        <v>31</v>
      </c>
      <c r="AJ5807" s="19">
        <v>0</v>
      </c>
      <c r="AK5807" s="23">
        <v>31</v>
      </c>
      <c r="AM5807" s="19">
        <v>0</v>
      </c>
      <c r="AN5807" s="19">
        <v>92480</v>
      </c>
      <c r="AP5807" s="14">
        <v>92480</v>
      </c>
      <c r="AS5807" s="26">
        <v>80</v>
      </c>
    </row>
    <row r="5808" spans="1:45" x14ac:dyDescent="0.2">
      <c r="A5808" s="2">
        <f>+A5807+1</f>
        <v>4813</v>
      </c>
      <c r="B5808" s="13">
        <v>2</v>
      </c>
      <c r="C5808" s="17" t="s">
        <v>52</v>
      </c>
      <c r="D5808" s="17">
        <v>5905</v>
      </c>
      <c r="E5808" s="17">
        <v>15</v>
      </c>
      <c r="F5808" s="17">
        <v>2979</v>
      </c>
      <c r="G5808" s="13">
        <v>5</v>
      </c>
      <c r="H5808" s="17">
        <v>4</v>
      </c>
      <c r="I5808" s="17">
        <v>0</v>
      </c>
      <c r="J5808" s="17">
        <v>63</v>
      </c>
      <c r="K5808" s="10">
        <v>1663</v>
      </c>
      <c r="P5808" s="17">
        <v>1</v>
      </c>
      <c r="Q5808" s="19">
        <v>1663</v>
      </c>
      <c r="R5808" s="14">
        <v>160</v>
      </c>
      <c r="S5808" s="19">
        <v>266080</v>
      </c>
      <c r="AJ5808" s="19">
        <v>0</v>
      </c>
      <c r="AK5808" s="23">
        <v>0</v>
      </c>
      <c r="AM5808" s="19">
        <v>0</v>
      </c>
      <c r="AN5808" s="19">
        <v>266080</v>
      </c>
      <c r="AP5808" s="14">
        <v>266080</v>
      </c>
    </row>
    <row r="5809" spans="1:45" x14ac:dyDescent="0.2">
      <c r="A5809" s="122">
        <f t="shared" ref="A5809:A5820" si="619">+A5808+1</f>
        <v>4814</v>
      </c>
      <c r="B5809" s="13">
        <v>3</v>
      </c>
      <c r="C5809" s="17" t="s">
        <v>65</v>
      </c>
      <c r="D5809" s="17">
        <v>1403</v>
      </c>
      <c r="E5809" s="17">
        <v>93</v>
      </c>
      <c r="H5809" s="17">
        <v>8</v>
      </c>
      <c r="I5809" s="17">
        <v>2</v>
      </c>
      <c r="J5809" s="17">
        <v>88</v>
      </c>
      <c r="K5809" s="10">
        <v>3488</v>
      </c>
      <c r="P5809" s="17">
        <v>1</v>
      </c>
      <c r="Q5809" s="19">
        <v>3488</v>
      </c>
      <c r="R5809" s="14">
        <v>160</v>
      </c>
      <c r="S5809" s="19">
        <v>558080</v>
      </c>
      <c r="AJ5809" s="19">
        <v>0</v>
      </c>
      <c r="AK5809" s="23">
        <v>0</v>
      </c>
      <c r="AM5809" s="19">
        <v>0</v>
      </c>
      <c r="AN5809" s="19">
        <v>558080</v>
      </c>
      <c r="AP5809" s="14">
        <v>558080</v>
      </c>
      <c r="AQ5809" s="12">
        <v>1E-4</v>
      </c>
    </row>
    <row r="5810" spans="1:45" x14ac:dyDescent="0.2">
      <c r="A5810" s="122">
        <f t="shared" si="619"/>
        <v>4815</v>
      </c>
      <c r="B5810" s="13">
        <v>4</v>
      </c>
      <c r="C5810" s="17" t="s">
        <v>65</v>
      </c>
      <c r="D5810" s="17">
        <v>1409</v>
      </c>
      <c r="E5810" s="17">
        <v>99</v>
      </c>
      <c r="H5810" s="17">
        <v>7</v>
      </c>
      <c r="I5810" s="17">
        <v>0</v>
      </c>
      <c r="J5810" s="17">
        <v>0</v>
      </c>
      <c r="K5810" s="10">
        <v>2800</v>
      </c>
      <c r="P5810" s="17">
        <v>1</v>
      </c>
      <c r="Q5810" s="19">
        <v>2800</v>
      </c>
      <c r="R5810" s="14">
        <v>160</v>
      </c>
      <c r="S5810" s="19">
        <v>448000</v>
      </c>
      <c r="AJ5810" s="19">
        <v>0</v>
      </c>
      <c r="AK5810" s="23">
        <v>0</v>
      </c>
      <c r="AM5810" s="19">
        <v>0</v>
      </c>
      <c r="AN5810" s="19">
        <v>448000</v>
      </c>
      <c r="AP5810" s="14">
        <v>448000</v>
      </c>
      <c r="AQ5810" s="12">
        <v>1E-4</v>
      </c>
    </row>
    <row r="5811" spans="1:45" x14ac:dyDescent="0.2">
      <c r="A5811" s="122">
        <f t="shared" si="619"/>
        <v>4816</v>
      </c>
      <c r="B5811" s="13">
        <v>5</v>
      </c>
      <c r="C5811" s="17" t="s">
        <v>65</v>
      </c>
      <c r="D5811" s="17">
        <v>3429</v>
      </c>
      <c r="E5811" s="17">
        <v>227</v>
      </c>
      <c r="H5811" s="17">
        <v>2</v>
      </c>
      <c r="I5811" s="17">
        <v>0</v>
      </c>
      <c r="J5811" s="17">
        <v>89</v>
      </c>
      <c r="K5811" s="10">
        <v>889</v>
      </c>
      <c r="P5811" s="17">
        <v>1</v>
      </c>
      <c r="Q5811" s="19">
        <v>889</v>
      </c>
      <c r="R5811" s="14">
        <v>200</v>
      </c>
      <c r="S5811" s="19">
        <v>177800</v>
      </c>
      <c r="AJ5811" s="19">
        <v>0</v>
      </c>
      <c r="AK5811" s="23">
        <v>0</v>
      </c>
      <c r="AM5811" s="19">
        <v>0</v>
      </c>
      <c r="AN5811" s="19">
        <v>177800</v>
      </c>
      <c r="AP5811" s="14">
        <v>177800</v>
      </c>
      <c r="AQ5811" s="12">
        <v>1E-4</v>
      </c>
    </row>
    <row r="5812" spans="1:45" x14ac:dyDescent="0.2">
      <c r="A5812" s="122">
        <f t="shared" si="619"/>
        <v>4817</v>
      </c>
      <c r="B5812" s="13">
        <v>1</v>
      </c>
      <c r="C5812" s="17" t="s">
        <v>52</v>
      </c>
      <c r="D5812" s="17">
        <v>8350</v>
      </c>
      <c r="E5812" s="17">
        <v>20</v>
      </c>
      <c r="F5812" s="17">
        <v>3140</v>
      </c>
      <c r="G5812" s="13">
        <v>4</v>
      </c>
      <c r="H5812" s="17">
        <v>0</v>
      </c>
      <c r="I5812" s="17">
        <v>0</v>
      </c>
      <c r="J5812" s="17">
        <v>37.08</v>
      </c>
      <c r="L5812" s="17">
        <v>37.08</v>
      </c>
      <c r="P5812" s="17">
        <v>2</v>
      </c>
      <c r="Q5812" s="19">
        <v>37.08</v>
      </c>
      <c r="R5812" s="14">
        <v>2000</v>
      </c>
      <c r="S5812" s="19">
        <v>74160</v>
      </c>
      <c r="T5812" s="17">
        <v>1</v>
      </c>
      <c r="AJ5812" s="19">
        <v>0</v>
      </c>
      <c r="AK5812" s="23">
        <v>0</v>
      </c>
      <c r="AM5812" s="19">
        <v>0</v>
      </c>
      <c r="AN5812" s="19">
        <v>74160</v>
      </c>
      <c r="AP5812" s="14">
        <v>74160</v>
      </c>
    </row>
    <row r="5813" spans="1:45" x14ac:dyDescent="0.2">
      <c r="A5813" s="122">
        <f t="shared" si="619"/>
        <v>4818</v>
      </c>
      <c r="B5813" s="13">
        <v>1</v>
      </c>
      <c r="C5813" s="17" t="s">
        <v>65</v>
      </c>
      <c r="D5813" s="17">
        <v>1988</v>
      </c>
      <c r="E5813" s="17">
        <v>14</v>
      </c>
      <c r="H5813" s="17">
        <v>3</v>
      </c>
      <c r="I5813" s="17">
        <v>3</v>
      </c>
      <c r="J5813" s="17">
        <v>18</v>
      </c>
      <c r="K5813" s="10">
        <v>1518</v>
      </c>
      <c r="P5813" s="17">
        <v>1</v>
      </c>
      <c r="Q5813" s="19">
        <v>1518</v>
      </c>
      <c r="R5813" s="14">
        <v>500</v>
      </c>
      <c r="S5813" s="19">
        <v>759000</v>
      </c>
      <c r="AJ5813" s="19">
        <v>0</v>
      </c>
      <c r="AK5813" s="23">
        <v>0</v>
      </c>
      <c r="AM5813" s="19">
        <v>0</v>
      </c>
      <c r="AN5813" s="19">
        <v>759000</v>
      </c>
      <c r="AP5813" s="14">
        <v>759000</v>
      </c>
      <c r="AQ5813" s="12">
        <v>1E-4</v>
      </c>
      <c r="AS5813" s="26">
        <v>81</v>
      </c>
    </row>
    <row r="5814" spans="1:45" x14ac:dyDescent="0.2">
      <c r="A5814" s="122">
        <f t="shared" si="619"/>
        <v>4819</v>
      </c>
      <c r="B5814" s="13">
        <v>2</v>
      </c>
      <c r="C5814" s="17" t="s">
        <v>65</v>
      </c>
      <c r="D5814" s="17">
        <v>3423</v>
      </c>
      <c r="E5814" s="17">
        <v>151</v>
      </c>
      <c r="H5814" s="17">
        <v>1</v>
      </c>
      <c r="I5814" s="17">
        <v>3</v>
      </c>
      <c r="J5814" s="17">
        <v>35</v>
      </c>
      <c r="K5814" s="10">
        <v>735</v>
      </c>
      <c r="P5814" s="17">
        <v>1</v>
      </c>
      <c r="Q5814" s="19">
        <v>735</v>
      </c>
      <c r="R5814" s="14">
        <v>1000</v>
      </c>
      <c r="S5814" s="19">
        <v>735000</v>
      </c>
      <c r="AJ5814" s="19">
        <v>0</v>
      </c>
      <c r="AK5814" s="23">
        <v>0</v>
      </c>
      <c r="AM5814" s="19">
        <v>0</v>
      </c>
      <c r="AN5814" s="19">
        <v>735000</v>
      </c>
      <c r="AP5814" s="14">
        <v>735000</v>
      </c>
      <c r="AQ5814" s="12">
        <v>1E-4</v>
      </c>
    </row>
    <row r="5815" spans="1:45" x14ac:dyDescent="0.2">
      <c r="A5815" s="122">
        <f t="shared" si="619"/>
        <v>4820</v>
      </c>
      <c r="B5815" s="13">
        <v>3</v>
      </c>
      <c r="C5815" s="17" t="s">
        <v>65</v>
      </c>
      <c r="D5815" s="17">
        <v>3739</v>
      </c>
      <c r="E5815" s="17">
        <v>103</v>
      </c>
      <c r="H5815" s="17">
        <v>2</v>
      </c>
      <c r="I5815" s="17">
        <v>1</v>
      </c>
      <c r="J5815" s="17">
        <v>22</v>
      </c>
      <c r="K5815" s="10">
        <v>922</v>
      </c>
      <c r="P5815" s="17">
        <v>1</v>
      </c>
      <c r="Q5815" s="19">
        <v>922</v>
      </c>
      <c r="R5815" s="14">
        <v>500</v>
      </c>
      <c r="S5815" s="19">
        <v>461000</v>
      </c>
      <c r="AJ5815" s="19">
        <v>0</v>
      </c>
      <c r="AK5815" s="23">
        <v>0</v>
      </c>
      <c r="AM5815" s="19">
        <v>0</v>
      </c>
      <c r="AN5815" s="19">
        <v>461000</v>
      </c>
      <c r="AP5815" s="14">
        <v>461000</v>
      </c>
      <c r="AQ5815" s="12">
        <v>1E-4</v>
      </c>
    </row>
    <row r="5816" spans="1:45" x14ac:dyDescent="0.2">
      <c r="A5816" s="122">
        <f t="shared" si="619"/>
        <v>4821</v>
      </c>
      <c r="B5816" s="13">
        <v>4</v>
      </c>
      <c r="C5816" s="17" t="s">
        <v>65</v>
      </c>
      <c r="D5816" s="17">
        <v>3740</v>
      </c>
      <c r="E5816" s="17">
        <v>104</v>
      </c>
      <c r="H5816" s="17">
        <v>2</v>
      </c>
      <c r="I5816" s="17">
        <v>0</v>
      </c>
      <c r="J5816" s="17">
        <v>93</v>
      </c>
      <c r="K5816" s="10">
        <v>893</v>
      </c>
      <c r="P5816" s="17">
        <v>1</v>
      </c>
      <c r="Q5816" s="19">
        <v>893</v>
      </c>
      <c r="R5816" s="14">
        <v>500</v>
      </c>
      <c r="S5816" s="19">
        <v>446500</v>
      </c>
      <c r="AJ5816" s="19">
        <v>0</v>
      </c>
      <c r="AK5816" s="23">
        <v>0</v>
      </c>
      <c r="AM5816" s="19">
        <v>0</v>
      </c>
      <c r="AN5816" s="19">
        <v>446500</v>
      </c>
      <c r="AP5816" s="14">
        <v>446500</v>
      </c>
      <c r="AQ5816" s="12">
        <v>1E-4</v>
      </c>
    </row>
    <row r="5817" spans="1:45" x14ac:dyDescent="0.2">
      <c r="A5817" s="122">
        <f t="shared" si="619"/>
        <v>4822</v>
      </c>
      <c r="B5817" s="13">
        <v>5</v>
      </c>
      <c r="C5817" s="17" t="s">
        <v>65</v>
      </c>
      <c r="D5817" s="17">
        <v>3741</v>
      </c>
      <c r="E5817" s="17">
        <v>105</v>
      </c>
      <c r="H5817" s="17">
        <v>2</v>
      </c>
      <c r="I5817" s="17">
        <v>1</v>
      </c>
      <c r="J5817" s="17">
        <v>24</v>
      </c>
      <c r="K5817" s="10">
        <v>924</v>
      </c>
      <c r="P5817" s="17">
        <v>1</v>
      </c>
      <c r="Q5817" s="19">
        <v>924</v>
      </c>
      <c r="R5817" s="14">
        <v>500</v>
      </c>
      <c r="S5817" s="19">
        <v>462000</v>
      </c>
      <c r="AJ5817" s="19">
        <v>0</v>
      </c>
      <c r="AK5817" s="23">
        <v>0</v>
      </c>
      <c r="AM5817" s="19">
        <v>0</v>
      </c>
      <c r="AN5817" s="19">
        <v>462000</v>
      </c>
      <c r="AP5817" s="14">
        <v>462000</v>
      </c>
      <c r="AQ5817" s="12">
        <v>1E-4</v>
      </c>
    </row>
    <row r="5818" spans="1:45" x14ac:dyDescent="0.2">
      <c r="A5818" s="122">
        <f t="shared" si="619"/>
        <v>4823</v>
      </c>
      <c r="B5818" s="13">
        <v>6</v>
      </c>
      <c r="C5818" s="17" t="s">
        <v>65</v>
      </c>
      <c r="D5818" s="17">
        <v>3743</v>
      </c>
      <c r="E5818" s="17">
        <v>107</v>
      </c>
      <c r="H5818" s="17">
        <v>4</v>
      </c>
      <c r="I5818" s="17">
        <v>1</v>
      </c>
      <c r="J5818" s="17">
        <v>37</v>
      </c>
      <c r="K5818" s="10">
        <v>1737</v>
      </c>
      <c r="P5818" s="17">
        <v>1</v>
      </c>
      <c r="Q5818" s="19">
        <v>1737</v>
      </c>
      <c r="R5818" s="14">
        <v>500</v>
      </c>
      <c r="S5818" s="19">
        <v>868500</v>
      </c>
      <c r="AJ5818" s="19">
        <v>0</v>
      </c>
      <c r="AK5818" s="23">
        <v>0</v>
      </c>
      <c r="AM5818" s="19">
        <v>0</v>
      </c>
      <c r="AN5818" s="19">
        <v>868500</v>
      </c>
      <c r="AP5818" s="14">
        <v>868500</v>
      </c>
      <c r="AQ5818" s="12">
        <v>1E-4</v>
      </c>
    </row>
    <row r="5819" spans="1:45" x14ac:dyDescent="0.2">
      <c r="A5819" s="122">
        <f t="shared" si="619"/>
        <v>4824</v>
      </c>
      <c r="B5819" s="13">
        <v>1</v>
      </c>
      <c r="C5819" s="17" t="s">
        <v>65</v>
      </c>
      <c r="D5819" s="17">
        <v>3738</v>
      </c>
      <c r="E5819" s="17">
        <v>102</v>
      </c>
      <c r="H5819" s="17">
        <v>4</v>
      </c>
      <c r="I5819" s="17">
        <v>3</v>
      </c>
      <c r="J5819" s="17">
        <v>96</v>
      </c>
      <c r="K5819" s="10">
        <v>1996</v>
      </c>
      <c r="Q5819" s="19">
        <v>1996</v>
      </c>
      <c r="R5819" s="14">
        <v>200</v>
      </c>
      <c r="S5819" s="19">
        <v>399200</v>
      </c>
      <c r="AE5819" s="17" t="s">
        <v>95</v>
      </c>
      <c r="AJ5819" s="19">
        <v>0</v>
      </c>
      <c r="AK5819" s="23">
        <v>0</v>
      </c>
      <c r="AM5819" s="19">
        <v>0</v>
      </c>
      <c r="AN5819" s="19">
        <v>399200</v>
      </c>
      <c r="AP5819" s="14">
        <v>399200</v>
      </c>
      <c r="AQ5819" s="12">
        <v>1E-4</v>
      </c>
    </row>
    <row r="5820" spans="1:45" ht="42" x14ac:dyDescent="0.2">
      <c r="A5820" s="122">
        <f t="shared" si="619"/>
        <v>4825</v>
      </c>
      <c r="B5820" s="13">
        <v>1</v>
      </c>
      <c r="C5820" s="17" t="s">
        <v>52</v>
      </c>
      <c r="D5820" s="17">
        <v>28835</v>
      </c>
      <c r="E5820" s="17">
        <v>4</v>
      </c>
      <c r="F5820" s="17">
        <v>5470</v>
      </c>
      <c r="G5820" s="13">
        <v>4</v>
      </c>
      <c r="H5820" s="17">
        <v>0</v>
      </c>
      <c r="I5820" s="17">
        <v>1</v>
      </c>
      <c r="J5820" s="17">
        <v>27</v>
      </c>
      <c r="L5820" s="17">
        <v>127</v>
      </c>
      <c r="P5820" s="17">
        <v>2</v>
      </c>
      <c r="Q5820" s="19">
        <v>127</v>
      </c>
      <c r="R5820" s="14">
        <v>2000</v>
      </c>
      <c r="S5820" s="19">
        <v>254000</v>
      </c>
      <c r="T5820" s="17">
        <v>1</v>
      </c>
      <c r="V5820" s="17" t="s">
        <v>183</v>
      </c>
      <c r="W5820" s="4">
        <v>72.5</v>
      </c>
      <c r="Y5820" s="4">
        <v>72.5</v>
      </c>
      <c r="AB5820" s="17">
        <v>31</v>
      </c>
      <c r="AJ5820" s="19">
        <v>0</v>
      </c>
      <c r="AK5820" s="23">
        <v>31</v>
      </c>
      <c r="AM5820" s="19">
        <v>0</v>
      </c>
      <c r="AN5820" s="19">
        <v>254000</v>
      </c>
      <c r="AP5820" s="14">
        <v>254000</v>
      </c>
    </row>
    <row r="5821" spans="1:45" ht="42" x14ac:dyDescent="0.2">
      <c r="Q5821" s="19">
        <v>0</v>
      </c>
      <c r="R5821" s="14">
        <v>2000</v>
      </c>
      <c r="S5821" s="19">
        <v>0</v>
      </c>
      <c r="T5821" s="17">
        <v>2</v>
      </c>
      <c r="V5821" s="17" t="s">
        <v>183</v>
      </c>
      <c r="W5821" s="4">
        <v>82.5</v>
      </c>
      <c r="Y5821" s="4">
        <v>82.5</v>
      </c>
      <c r="AB5821" s="17">
        <v>30</v>
      </c>
      <c r="AJ5821" s="19">
        <v>0</v>
      </c>
      <c r="AK5821" s="23">
        <v>30</v>
      </c>
      <c r="AM5821" s="19">
        <v>0</v>
      </c>
      <c r="AN5821" s="19">
        <v>0</v>
      </c>
      <c r="AP5821" s="14">
        <v>0</v>
      </c>
    </row>
    <row r="5822" spans="1:45" x14ac:dyDescent="0.2">
      <c r="A5822" s="2">
        <v>4826</v>
      </c>
      <c r="B5822" s="13">
        <v>2</v>
      </c>
      <c r="C5822" s="17" t="s">
        <v>65</v>
      </c>
      <c r="D5822" s="17">
        <v>1934</v>
      </c>
      <c r="E5822" s="17">
        <v>113</v>
      </c>
      <c r="H5822" s="17">
        <v>3</v>
      </c>
      <c r="I5822" s="17">
        <v>1</v>
      </c>
      <c r="J5822" s="17">
        <v>42</v>
      </c>
      <c r="K5822" s="10">
        <v>1342</v>
      </c>
      <c r="P5822" s="17">
        <v>1</v>
      </c>
      <c r="Q5822" s="19">
        <v>1342</v>
      </c>
      <c r="R5822" s="14">
        <v>160</v>
      </c>
      <c r="S5822" s="19">
        <v>214720</v>
      </c>
      <c r="AJ5822" s="19">
        <v>0</v>
      </c>
      <c r="AK5822" s="23">
        <v>0</v>
      </c>
      <c r="AM5822" s="19">
        <v>0</v>
      </c>
      <c r="AN5822" s="19">
        <v>214720</v>
      </c>
      <c r="AP5822" s="14">
        <v>214720</v>
      </c>
      <c r="AQ5822" s="12">
        <v>1E-4</v>
      </c>
    </row>
    <row r="5823" spans="1:45" x14ac:dyDescent="0.2">
      <c r="A5823" s="2">
        <f>+A5822+1</f>
        <v>4827</v>
      </c>
      <c r="B5823" s="13">
        <v>3</v>
      </c>
      <c r="C5823" s="17" t="s">
        <v>65</v>
      </c>
      <c r="D5823" s="17">
        <v>1982</v>
      </c>
      <c r="E5823" s="17">
        <v>114</v>
      </c>
      <c r="H5823" s="17">
        <v>3</v>
      </c>
      <c r="I5823" s="17">
        <v>3</v>
      </c>
      <c r="J5823" s="17">
        <v>30</v>
      </c>
      <c r="K5823" s="10">
        <v>1530</v>
      </c>
      <c r="P5823" s="17">
        <v>1</v>
      </c>
      <c r="Q5823" s="19">
        <v>1530</v>
      </c>
      <c r="R5823" s="14">
        <v>160</v>
      </c>
      <c r="S5823" s="19">
        <v>244800</v>
      </c>
      <c r="AJ5823" s="19">
        <v>0</v>
      </c>
      <c r="AK5823" s="23">
        <v>0</v>
      </c>
      <c r="AM5823" s="19">
        <v>0</v>
      </c>
      <c r="AN5823" s="19">
        <v>244800</v>
      </c>
      <c r="AP5823" s="14">
        <v>244800</v>
      </c>
      <c r="AQ5823" s="12">
        <v>1E-4</v>
      </c>
    </row>
    <row r="5824" spans="1:45" x14ac:dyDescent="0.2">
      <c r="A5824" s="122">
        <f t="shared" ref="A5824:A5835" si="620">+A5823+1</f>
        <v>4828</v>
      </c>
      <c r="B5824" s="13">
        <v>1</v>
      </c>
      <c r="C5824" s="17" t="s">
        <v>52</v>
      </c>
      <c r="D5824" s="17">
        <v>28711</v>
      </c>
      <c r="E5824" s="17">
        <v>2</v>
      </c>
      <c r="F5824" s="17">
        <v>5006</v>
      </c>
      <c r="G5824" s="13">
        <v>4</v>
      </c>
      <c r="H5824" s="17">
        <v>0</v>
      </c>
      <c r="I5824" s="17">
        <v>1</v>
      </c>
      <c r="J5824" s="17">
        <v>87</v>
      </c>
      <c r="L5824" s="17">
        <v>187</v>
      </c>
      <c r="P5824" s="17">
        <v>2</v>
      </c>
      <c r="Q5824" s="19">
        <v>187</v>
      </c>
      <c r="R5824" s="14">
        <v>2000</v>
      </c>
      <c r="S5824" s="19">
        <v>374000</v>
      </c>
      <c r="AJ5824" s="19">
        <v>0</v>
      </c>
      <c r="AK5824" s="23">
        <v>0</v>
      </c>
      <c r="AM5824" s="19">
        <v>0</v>
      </c>
      <c r="AN5824" s="19">
        <v>374000</v>
      </c>
      <c r="AP5824" s="14">
        <v>374000</v>
      </c>
    </row>
    <row r="5825" spans="1:45" x14ac:dyDescent="0.2">
      <c r="A5825" s="122">
        <f t="shared" si="620"/>
        <v>4829</v>
      </c>
      <c r="B5825" s="13">
        <v>2</v>
      </c>
      <c r="C5825" s="17" t="s">
        <v>52</v>
      </c>
      <c r="D5825" s="17">
        <v>28836</v>
      </c>
      <c r="E5825" s="17">
        <v>5</v>
      </c>
      <c r="F5825" s="17">
        <v>5471</v>
      </c>
      <c r="G5825" s="13">
        <v>4</v>
      </c>
      <c r="H5825" s="17">
        <v>0</v>
      </c>
      <c r="I5825" s="17">
        <v>0</v>
      </c>
      <c r="J5825" s="17">
        <v>60</v>
      </c>
      <c r="N5825" s="18">
        <v>60</v>
      </c>
      <c r="P5825" s="17">
        <v>4</v>
      </c>
      <c r="Q5825" s="19">
        <v>60</v>
      </c>
      <c r="R5825" s="14">
        <v>2000</v>
      </c>
      <c r="S5825" s="19">
        <v>120000</v>
      </c>
      <c r="AJ5825" s="19">
        <v>0</v>
      </c>
      <c r="AK5825" s="23">
        <v>0</v>
      </c>
      <c r="AM5825" s="19">
        <v>0</v>
      </c>
      <c r="AN5825" s="19">
        <v>120000</v>
      </c>
      <c r="AP5825" s="14">
        <v>120000</v>
      </c>
      <c r="AQ5825" s="12">
        <v>3.0000000000000001E-3</v>
      </c>
    </row>
    <row r="5826" spans="1:45" x14ac:dyDescent="0.2">
      <c r="A5826" s="122">
        <f t="shared" si="620"/>
        <v>4830</v>
      </c>
      <c r="B5826" s="13">
        <v>3</v>
      </c>
      <c r="C5826" s="17" t="s">
        <v>52</v>
      </c>
      <c r="D5826" s="17">
        <v>28837</v>
      </c>
      <c r="E5826" s="17">
        <v>58</v>
      </c>
      <c r="F5826" s="17">
        <v>5472</v>
      </c>
      <c r="G5826" s="13">
        <v>4</v>
      </c>
      <c r="H5826" s="17">
        <v>0</v>
      </c>
      <c r="I5826" s="17">
        <v>3</v>
      </c>
      <c r="J5826" s="17">
        <v>13</v>
      </c>
      <c r="N5826" s="18">
        <v>313</v>
      </c>
      <c r="P5826" s="17">
        <v>4</v>
      </c>
      <c r="Q5826" s="19">
        <v>313</v>
      </c>
      <c r="R5826" s="14">
        <v>160</v>
      </c>
      <c r="S5826" s="19">
        <v>50080</v>
      </c>
      <c r="AJ5826" s="19">
        <v>0</v>
      </c>
      <c r="AK5826" s="23">
        <v>0</v>
      </c>
      <c r="AM5826" s="19">
        <v>0</v>
      </c>
      <c r="AN5826" s="19">
        <v>50080</v>
      </c>
      <c r="AP5826" s="14">
        <v>50080</v>
      </c>
      <c r="AQ5826" s="12">
        <v>3.0000000000000001E-3</v>
      </c>
    </row>
    <row r="5827" spans="1:45" x14ac:dyDescent="0.2">
      <c r="A5827" s="122">
        <f t="shared" si="620"/>
        <v>4831</v>
      </c>
      <c r="B5827" s="13">
        <v>4</v>
      </c>
      <c r="C5827" s="17" t="s">
        <v>52</v>
      </c>
      <c r="D5827" s="17">
        <v>28838</v>
      </c>
      <c r="E5827" s="17">
        <v>7</v>
      </c>
      <c r="F5827" s="17">
        <v>5473</v>
      </c>
      <c r="G5827" s="13">
        <v>4</v>
      </c>
      <c r="H5827" s="17">
        <v>0</v>
      </c>
      <c r="I5827" s="17">
        <v>0</v>
      </c>
      <c r="J5827" s="17">
        <v>24</v>
      </c>
      <c r="N5827" s="18">
        <v>24</v>
      </c>
      <c r="P5827" s="17">
        <v>4</v>
      </c>
      <c r="Q5827" s="19">
        <v>24</v>
      </c>
      <c r="R5827" s="14">
        <v>2000</v>
      </c>
      <c r="S5827" s="19">
        <v>48000</v>
      </c>
      <c r="AJ5827" s="19">
        <v>0</v>
      </c>
      <c r="AK5827" s="23">
        <v>0</v>
      </c>
      <c r="AM5827" s="19">
        <v>0</v>
      </c>
      <c r="AN5827" s="19">
        <v>48000</v>
      </c>
      <c r="AP5827" s="14">
        <v>48000</v>
      </c>
      <c r="AQ5827" s="12">
        <v>3.0000000000000001E-3</v>
      </c>
    </row>
    <row r="5828" spans="1:45" x14ac:dyDescent="0.2">
      <c r="A5828" s="122">
        <f t="shared" si="620"/>
        <v>4832</v>
      </c>
      <c r="B5828" s="13">
        <v>5</v>
      </c>
      <c r="C5828" s="17" t="s">
        <v>52</v>
      </c>
      <c r="D5828" s="17">
        <v>28841</v>
      </c>
      <c r="E5828" s="17">
        <v>62</v>
      </c>
      <c r="F5828" s="17">
        <v>5476</v>
      </c>
      <c r="G5828" s="13">
        <v>4</v>
      </c>
      <c r="H5828" s="17">
        <v>0</v>
      </c>
      <c r="I5828" s="17">
        <v>0</v>
      </c>
      <c r="J5828" s="17">
        <v>25</v>
      </c>
      <c r="N5828" s="18">
        <v>25</v>
      </c>
      <c r="P5828" s="17">
        <v>4</v>
      </c>
      <c r="Q5828" s="19">
        <v>25</v>
      </c>
      <c r="R5828" s="14">
        <v>1000</v>
      </c>
      <c r="S5828" s="19">
        <v>25000</v>
      </c>
      <c r="AJ5828" s="19">
        <v>0</v>
      </c>
      <c r="AK5828" s="23">
        <v>0</v>
      </c>
      <c r="AM5828" s="19">
        <v>0</v>
      </c>
      <c r="AN5828" s="19">
        <v>25000</v>
      </c>
      <c r="AP5828" s="14">
        <v>25000</v>
      </c>
      <c r="AQ5828" s="12">
        <v>3.0000000000000001E-3</v>
      </c>
    </row>
    <row r="5829" spans="1:45" x14ac:dyDescent="0.2">
      <c r="A5829" s="122">
        <f t="shared" si="620"/>
        <v>4833</v>
      </c>
      <c r="B5829" s="13">
        <v>6</v>
      </c>
      <c r="C5829" s="17" t="s">
        <v>52</v>
      </c>
      <c r="D5829" s="17">
        <v>28842</v>
      </c>
      <c r="E5829" s="17">
        <v>59</v>
      </c>
      <c r="F5829" s="17">
        <v>5477</v>
      </c>
      <c r="G5829" s="13">
        <v>4</v>
      </c>
      <c r="H5829" s="17">
        <v>0</v>
      </c>
      <c r="I5829" s="17">
        <v>2</v>
      </c>
      <c r="J5829" s="17">
        <v>8</v>
      </c>
      <c r="N5829" s="18">
        <v>208</v>
      </c>
      <c r="P5829" s="17">
        <v>4</v>
      </c>
      <c r="Q5829" s="19">
        <v>208</v>
      </c>
      <c r="R5829" s="14">
        <v>1000</v>
      </c>
      <c r="S5829" s="19">
        <v>208000</v>
      </c>
      <c r="AJ5829" s="19">
        <v>0</v>
      </c>
      <c r="AK5829" s="23">
        <v>0</v>
      </c>
      <c r="AM5829" s="19">
        <v>0</v>
      </c>
      <c r="AN5829" s="19">
        <v>208000</v>
      </c>
      <c r="AP5829" s="14">
        <v>208000</v>
      </c>
      <c r="AQ5829" s="12">
        <v>3.0000000000000001E-3</v>
      </c>
    </row>
    <row r="5830" spans="1:45" x14ac:dyDescent="0.2">
      <c r="A5830" s="122">
        <f t="shared" si="620"/>
        <v>4834</v>
      </c>
      <c r="B5830" s="13">
        <v>7</v>
      </c>
      <c r="C5830" s="17" t="s">
        <v>52</v>
      </c>
      <c r="D5830" s="17">
        <v>37621</v>
      </c>
      <c r="E5830" s="17">
        <v>65</v>
      </c>
      <c r="F5830" s="17">
        <v>7628</v>
      </c>
      <c r="G5830" s="13">
        <v>4</v>
      </c>
      <c r="H5830" s="17">
        <v>0</v>
      </c>
      <c r="I5830" s="17">
        <v>0</v>
      </c>
      <c r="J5830" s="17">
        <v>45</v>
      </c>
      <c r="N5830" s="18" t="s">
        <v>589</v>
      </c>
      <c r="P5830" s="17">
        <v>4</v>
      </c>
      <c r="Q5830" s="19">
        <v>45</v>
      </c>
      <c r="R5830" s="14">
        <v>2000</v>
      </c>
      <c r="S5830" s="19">
        <v>90000</v>
      </c>
      <c r="AJ5830" s="19">
        <v>0</v>
      </c>
      <c r="AK5830" s="23">
        <v>0</v>
      </c>
      <c r="AM5830" s="19">
        <v>0</v>
      </c>
      <c r="AN5830" s="19">
        <v>90000</v>
      </c>
      <c r="AP5830" s="14">
        <v>90000</v>
      </c>
      <c r="AQ5830" s="12">
        <v>3.0000000000000001E-3</v>
      </c>
    </row>
    <row r="5831" spans="1:45" x14ac:dyDescent="0.2">
      <c r="A5831" s="122">
        <f t="shared" si="620"/>
        <v>4835</v>
      </c>
      <c r="B5831" s="13">
        <v>1</v>
      </c>
      <c r="C5831" s="17" t="s">
        <v>52</v>
      </c>
      <c r="D5831" s="17">
        <v>30973</v>
      </c>
      <c r="E5831" s="17">
        <v>111</v>
      </c>
      <c r="F5831" s="17">
        <v>5925</v>
      </c>
      <c r="G5831" s="13">
        <v>2</v>
      </c>
      <c r="H5831" s="17">
        <v>19</v>
      </c>
      <c r="I5831" s="17">
        <v>1</v>
      </c>
      <c r="J5831" s="17">
        <v>36.090000000000003</v>
      </c>
      <c r="K5831" s="10">
        <v>7736.09</v>
      </c>
      <c r="P5831" s="17">
        <v>1</v>
      </c>
      <c r="Q5831" s="19">
        <v>7736.09</v>
      </c>
      <c r="R5831" s="14">
        <v>160</v>
      </c>
      <c r="S5831" s="19">
        <v>1237774.3999999999</v>
      </c>
      <c r="AJ5831" s="19">
        <v>0</v>
      </c>
      <c r="AK5831" s="23">
        <v>0</v>
      </c>
      <c r="AM5831" s="19">
        <v>0</v>
      </c>
      <c r="AN5831" s="19">
        <v>1237774.3999999999</v>
      </c>
      <c r="AP5831" s="14">
        <v>1237774.3999999999</v>
      </c>
    </row>
    <row r="5832" spans="1:45" x14ac:dyDescent="0.2">
      <c r="A5832" s="122">
        <f t="shared" si="620"/>
        <v>4836</v>
      </c>
      <c r="B5832" s="13">
        <v>2</v>
      </c>
      <c r="C5832" s="17" t="s">
        <v>65</v>
      </c>
      <c r="D5832" s="17">
        <v>1007</v>
      </c>
      <c r="E5832" s="17">
        <v>157</v>
      </c>
      <c r="H5832" s="17">
        <v>23</v>
      </c>
      <c r="I5832" s="17">
        <v>2</v>
      </c>
      <c r="J5832" s="17">
        <v>0</v>
      </c>
      <c r="K5832" s="10">
        <v>9400</v>
      </c>
      <c r="Q5832" s="19">
        <v>9400</v>
      </c>
      <c r="R5832" s="14">
        <v>160</v>
      </c>
      <c r="S5832" s="19">
        <v>1504000</v>
      </c>
      <c r="AE5832" s="17" t="s">
        <v>307</v>
      </c>
      <c r="AJ5832" s="19">
        <v>0</v>
      </c>
      <c r="AK5832" s="23">
        <v>0</v>
      </c>
      <c r="AM5832" s="19">
        <v>0</v>
      </c>
      <c r="AN5832" s="19">
        <v>1504000</v>
      </c>
      <c r="AP5832" s="14">
        <v>1504000</v>
      </c>
      <c r="AQ5832" s="12">
        <v>1E-4</v>
      </c>
    </row>
    <row r="5833" spans="1:45" x14ac:dyDescent="0.2">
      <c r="A5833" s="122">
        <f t="shared" si="620"/>
        <v>4837</v>
      </c>
      <c r="B5833" s="13">
        <v>1</v>
      </c>
      <c r="C5833" s="17" t="s">
        <v>65</v>
      </c>
      <c r="D5833" s="17">
        <v>1399</v>
      </c>
      <c r="E5833" s="17">
        <v>88</v>
      </c>
      <c r="H5833" s="17">
        <v>16</v>
      </c>
      <c r="I5833" s="17">
        <v>1</v>
      </c>
      <c r="J5833" s="17">
        <v>0</v>
      </c>
      <c r="K5833" s="10">
        <v>6500</v>
      </c>
      <c r="P5833" s="17">
        <v>1</v>
      </c>
      <c r="Q5833" s="19">
        <v>6500</v>
      </c>
      <c r="R5833" s="14">
        <v>160</v>
      </c>
      <c r="S5833" s="19">
        <v>1040000</v>
      </c>
      <c r="AJ5833" s="19">
        <v>0</v>
      </c>
      <c r="AK5833" s="23">
        <v>0</v>
      </c>
      <c r="AM5833" s="19">
        <v>0</v>
      </c>
      <c r="AN5833" s="19">
        <v>1040000</v>
      </c>
      <c r="AP5833" s="14">
        <v>1040000</v>
      </c>
      <c r="AQ5833" s="12">
        <v>1E-4</v>
      </c>
      <c r="AS5833" s="26">
        <v>127</v>
      </c>
    </row>
    <row r="5834" spans="1:45" x14ac:dyDescent="0.2">
      <c r="A5834" s="122">
        <f t="shared" si="620"/>
        <v>4838</v>
      </c>
      <c r="B5834" s="13">
        <v>2</v>
      </c>
      <c r="C5834" s="17" t="s">
        <v>65</v>
      </c>
      <c r="D5834" s="17">
        <v>1402</v>
      </c>
      <c r="E5834" s="17">
        <v>91</v>
      </c>
      <c r="H5834" s="17">
        <v>10</v>
      </c>
      <c r="I5834" s="17">
        <v>2</v>
      </c>
      <c r="J5834" s="17">
        <v>30</v>
      </c>
      <c r="K5834" s="10">
        <v>4230</v>
      </c>
      <c r="P5834" s="17">
        <v>1</v>
      </c>
      <c r="Q5834" s="19">
        <v>4230</v>
      </c>
      <c r="R5834" s="14">
        <v>160</v>
      </c>
      <c r="S5834" s="19">
        <v>676800</v>
      </c>
      <c r="AJ5834" s="19">
        <v>0</v>
      </c>
      <c r="AK5834" s="23">
        <v>0</v>
      </c>
      <c r="AM5834" s="19">
        <v>0</v>
      </c>
      <c r="AN5834" s="19">
        <v>676800</v>
      </c>
      <c r="AP5834" s="14">
        <v>676800</v>
      </c>
      <c r="AQ5834" s="12">
        <v>1E-4</v>
      </c>
    </row>
    <row r="5835" spans="1:45" x14ac:dyDescent="0.2">
      <c r="A5835" s="122">
        <f t="shared" si="620"/>
        <v>4839</v>
      </c>
      <c r="B5835" s="13">
        <v>3</v>
      </c>
      <c r="C5835" s="17" t="s">
        <v>65</v>
      </c>
      <c r="D5835" s="17">
        <v>1950</v>
      </c>
      <c r="E5835" s="17">
        <v>36</v>
      </c>
      <c r="H5835" s="17">
        <v>13</v>
      </c>
      <c r="I5835" s="17">
        <v>2</v>
      </c>
      <c r="J5835" s="17">
        <v>66</v>
      </c>
      <c r="K5835" s="10">
        <v>5383</v>
      </c>
      <c r="P5835" s="17">
        <v>5</v>
      </c>
      <c r="Q5835" s="19">
        <v>5466</v>
      </c>
      <c r="R5835" s="14">
        <v>160</v>
      </c>
      <c r="S5835" s="19">
        <v>874560</v>
      </c>
    </row>
    <row r="5836" spans="1:45" x14ac:dyDescent="0.2">
      <c r="Q5836" s="19">
        <v>5443</v>
      </c>
      <c r="R5836" s="14">
        <v>160</v>
      </c>
      <c r="S5836" s="19">
        <v>870880</v>
      </c>
      <c r="AM5836" s="19">
        <v>0</v>
      </c>
      <c r="AN5836" s="19">
        <v>870880</v>
      </c>
      <c r="AP5836" s="14">
        <v>870880</v>
      </c>
      <c r="AQ5836" s="12">
        <v>1E-4</v>
      </c>
    </row>
    <row r="5837" spans="1:45" x14ac:dyDescent="0.2">
      <c r="Q5837" s="19">
        <v>21</v>
      </c>
      <c r="R5837" s="14">
        <v>160</v>
      </c>
      <c r="S5837" s="19">
        <v>3360</v>
      </c>
      <c r="AM5837" s="19">
        <v>0</v>
      </c>
      <c r="AN5837" s="19">
        <v>3360</v>
      </c>
      <c r="AP5837" s="14">
        <v>3360</v>
      </c>
      <c r="AQ5837" s="12">
        <v>2.0000000000000001E-4</v>
      </c>
    </row>
    <row r="5838" spans="1:45" ht="63" x14ac:dyDescent="0.2">
      <c r="L5838" s="17" t="s">
        <v>483</v>
      </c>
      <c r="P5838" s="17">
        <v>2</v>
      </c>
      <c r="T5838" s="17">
        <v>1</v>
      </c>
      <c r="U5838" s="17" t="s">
        <v>63</v>
      </c>
      <c r="V5838" s="17" t="s">
        <v>56</v>
      </c>
      <c r="W5838" s="4">
        <v>280</v>
      </c>
      <c r="Y5838" s="4">
        <v>280</v>
      </c>
      <c r="AB5838" s="17">
        <v>16</v>
      </c>
      <c r="AE5838" s="17">
        <v>20.75</v>
      </c>
      <c r="AJ5838" s="19">
        <v>0</v>
      </c>
      <c r="AK5838" s="23">
        <v>16</v>
      </c>
      <c r="AM5838" s="19">
        <v>0</v>
      </c>
      <c r="AN5838" s="19">
        <v>0</v>
      </c>
      <c r="AP5838" s="14">
        <v>0</v>
      </c>
    </row>
    <row r="5839" spans="1:45" ht="63" x14ac:dyDescent="0.2">
      <c r="L5839" s="17">
        <v>13</v>
      </c>
      <c r="P5839" s="17">
        <v>2</v>
      </c>
      <c r="T5839" s="17">
        <v>2</v>
      </c>
      <c r="U5839" s="17" t="s">
        <v>63</v>
      </c>
      <c r="V5839" s="17" t="s">
        <v>56</v>
      </c>
      <c r="W5839" s="4">
        <v>52</v>
      </c>
      <c r="Y5839" s="4">
        <v>52</v>
      </c>
      <c r="AB5839" s="17">
        <v>30</v>
      </c>
      <c r="AJ5839" s="19">
        <v>0</v>
      </c>
      <c r="AK5839" s="23">
        <v>30</v>
      </c>
      <c r="AM5839" s="19">
        <v>0</v>
      </c>
      <c r="AN5839" s="19">
        <v>0</v>
      </c>
      <c r="AP5839" s="14">
        <v>0</v>
      </c>
    </row>
    <row r="5840" spans="1:45" x14ac:dyDescent="0.2">
      <c r="A5840" s="2">
        <v>4840</v>
      </c>
      <c r="B5840" s="13">
        <v>4</v>
      </c>
      <c r="C5840" s="17" t="s">
        <v>65</v>
      </c>
      <c r="D5840" s="17">
        <v>1930</v>
      </c>
      <c r="E5840" s="17">
        <v>109</v>
      </c>
      <c r="H5840" s="17">
        <v>2</v>
      </c>
      <c r="I5840" s="17">
        <v>3</v>
      </c>
      <c r="J5840" s="17">
        <v>26</v>
      </c>
      <c r="K5840" s="10">
        <v>1126</v>
      </c>
      <c r="P5840" s="17">
        <v>1</v>
      </c>
      <c r="Q5840" s="19">
        <v>1126</v>
      </c>
      <c r="R5840" s="14">
        <v>160</v>
      </c>
      <c r="S5840" s="19">
        <v>180160</v>
      </c>
      <c r="AJ5840" s="19">
        <v>0</v>
      </c>
      <c r="AK5840" s="23">
        <v>0</v>
      </c>
      <c r="AM5840" s="19">
        <v>0</v>
      </c>
      <c r="AN5840" s="19">
        <v>180160</v>
      </c>
      <c r="AP5840" s="14">
        <v>180160</v>
      </c>
      <c r="AQ5840" s="12">
        <v>1E-4</v>
      </c>
    </row>
    <row r="5841" spans="1:45" x14ac:dyDescent="0.2">
      <c r="A5841" s="2">
        <f>+A5840+1</f>
        <v>4841</v>
      </c>
      <c r="B5841" s="13">
        <v>1</v>
      </c>
      <c r="C5841" s="17" t="s">
        <v>65</v>
      </c>
      <c r="D5841" s="17">
        <v>2927</v>
      </c>
      <c r="E5841" s="17">
        <v>199</v>
      </c>
      <c r="H5841" s="17">
        <v>0</v>
      </c>
      <c r="I5841" s="17">
        <v>0</v>
      </c>
      <c r="J5841" s="17">
        <v>47</v>
      </c>
      <c r="N5841" s="18">
        <v>47</v>
      </c>
      <c r="P5841" s="17">
        <v>4</v>
      </c>
      <c r="Q5841" s="19">
        <v>47</v>
      </c>
      <c r="R5841" s="14">
        <v>2000</v>
      </c>
      <c r="S5841" s="19">
        <v>94000</v>
      </c>
      <c r="AJ5841" s="19">
        <v>0</v>
      </c>
      <c r="AK5841" s="23">
        <v>0</v>
      </c>
      <c r="AM5841" s="19">
        <v>0</v>
      </c>
      <c r="AN5841" s="19">
        <v>94000</v>
      </c>
      <c r="AP5841" s="14">
        <v>94000</v>
      </c>
      <c r="AQ5841" s="12">
        <v>3.0000000000000001E-3</v>
      </c>
    </row>
    <row r="5842" spans="1:45" ht="42" x14ac:dyDescent="0.2">
      <c r="A5842" s="122">
        <f t="shared" ref="A5842:A5853" si="621">+A5841+1</f>
        <v>4842</v>
      </c>
      <c r="B5842" s="13">
        <v>1</v>
      </c>
      <c r="C5842" s="17" t="s">
        <v>52</v>
      </c>
      <c r="D5842" s="17">
        <v>30983</v>
      </c>
      <c r="E5842" s="17">
        <v>89</v>
      </c>
      <c r="F5842" s="17">
        <v>5935</v>
      </c>
      <c r="G5842" s="13">
        <v>2</v>
      </c>
      <c r="H5842" s="17">
        <v>8</v>
      </c>
      <c r="I5842" s="17">
        <v>0</v>
      </c>
      <c r="J5842" s="17">
        <v>54.05</v>
      </c>
      <c r="L5842" s="17" t="s">
        <v>590</v>
      </c>
      <c r="P5842" s="17">
        <v>2</v>
      </c>
      <c r="Q5842" s="19">
        <v>3254.05</v>
      </c>
      <c r="R5842" s="14">
        <v>160</v>
      </c>
      <c r="S5842" s="19">
        <v>520648</v>
      </c>
      <c r="V5842" s="17" t="s">
        <v>183</v>
      </c>
      <c r="W5842" s="4">
        <v>55</v>
      </c>
      <c r="Y5842" s="4">
        <v>55</v>
      </c>
      <c r="AB5842" s="17">
        <v>17</v>
      </c>
      <c r="AJ5842" s="19">
        <v>0</v>
      </c>
      <c r="AK5842" s="23">
        <v>17</v>
      </c>
      <c r="AM5842" s="19">
        <v>0</v>
      </c>
      <c r="AN5842" s="19">
        <v>520648</v>
      </c>
      <c r="AP5842" s="14">
        <v>520648</v>
      </c>
    </row>
    <row r="5843" spans="1:45" x14ac:dyDescent="0.2">
      <c r="A5843" s="122">
        <f t="shared" si="621"/>
        <v>4843</v>
      </c>
      <c r="B5843" s="13">
        <v>1</v>
      </c>
      <c r="C5843" s="17" t="s">
        <v>52</v>
      </c>
      <c r="D5843" s="17">
        <v>1180</v>
      </c>
      <c r="E5843" s="17">
        <v>15</v>
      </c>
      <c r="F5843" s="17">
        <v>1019</v>
      </c>
      <c r="G5843" s="13">
        <v>1</v>
      </c>
      <c r="H5843" s="17">
        <v>4</v>
      </c>
      <c r="I5843" s="17">
        <v>3</v>
      </c>
      <c r="J5843" s="17">
        <v>69</v>
      </c>
      <c r="K5843" s="10">
        <v>1969</v>
      </c>
      <c r="P5843" s="17">
        <v>1</v>
      </c>
      <c r="Q5843" s="19">
        <v>1969</v>
      </c>
      <c r="R5843" s="14">
        <v>200</v>
      </c>
      <c r="S5843" s="19">
        <v>393800</v>
      </c>
      <c r="AJ5843" s="19">
        <v>0</v>
      </c>
      <c r="AK5843" s="23">
        <v>0</v>
      </c>
      <c r="AM5843" s="19">
        <v>0</v>
      </c>
      <c r="AN5843" s="19">
        <v>393800</v>
      </c>
      <c r="AP5843" s="14">
        <v>393800</v>
      </c>
      <c r="AS5843" s="26">
        <v>35</v>
      </c>
    </row>
    <row r="5844" spans="1:45" x14ac:dyDescent="0.2">
      <c r="A5844" s="122">
        <f t="shared" si="621"/>
        <v>4844</v>
      </c>
      <c r="B5844" s="13">
        <v>2</v>
      </c>
      <c r="C5844" s="17" t="s">
        <v>52</v>
      </c>
      <c r="D5844" s="17">
        <v>2404</v>
      </c>
      <c r="E5844" s="17">
        <v>12</v>
      </c>
      <c r="F5844" s="17">
        <v>1166</v>
      </c>
      <c r="G5844" s="13">
        <v>4</v>
      </c>
      <c r="H5844" s="17">
        <v>0</v>
      </c>
      <c r="I5844" s="17">
        <v>1</v>
      </c>
      <c r="J5844" s="17">
        <v>93</v>
      </c>
      <c r="L5844" s="17">
        <v>193</v>
      </c>
      <c r="P5844" s="17">
        <v>2</v>
      </c>
      <c r="Q5844" s="19">
        <v>193</v>
      </c>
      <c r="R5844" s="14">
        <v>250</v>
      </c>
      <c r="S5844" s="19">
        <v>48250</v>
      </c>
      <c r="AJ5844" s="19">
        <v>0</v>
      </c>
      <c r="AK5844" s="23">
        <v>0</v>
      </c>
      <c r="AM5844" s="19">
        <v>0</v>
      </c>
      <c r="AN5844" s="19">
        <v>48250</v>
      </c>
      <c r="AP5844" s="14">
        <v>48250</v>
      </c>
    </row>
    <row r="5845" spans="1:45" x14ac:dyDescent="0.2">
      <c r="A5845" s="122">
        <f t="shared" si="621"/>
        <v>4845</v>
      </c>
      <c r="B5845" s="13">
        <v>1</v>
      </c>
      <c r="C5845" s="17" t="s">
        <v>52</v>
      </c>
      <c r="D5845" s="17">
        <v>2460</v>
      </c>
      <c r="E5845" s="17">
        <v>7</v>
      </c>
      <c r="F5845" s="17">
        <v>1153</v>
      </c>
      <c r="G5845" s="13">
        <v>4</v>
      </c>
      <c r="H5845" s="17">
        <v>2</v>
      </c>
      <c r="I5845" s="17">
        <v>2</v>
      </c>
      <c r="J5845" s="17">
        <v>19</v>
      </c>
      <c r="K5845" s="10">
        <v>1019</v>
      </c>
      <c r="P5845" s="17">
        <v>1</v>
      </c>
      <c r="Q5845" s="19">
        <v>1019</v>
      </c>
      <c r="R5845" s="14">
        <v>160</v>
      </c>
      <c r="S5845" s="19">
        <v>163040</v>
      </c>
      <c r="AJ5845" s="19">
        <v>0</v>
      </c>
      <c r="AK5845" s="23">
        <v>0</v>
      </c>
      <c r="AM5845" s="19">
        <v>0</v>
      </c>
      <c r="AN5845" s="19">
        <v>163040</v>
      </c>
      <c r="AP5845" s="14">
        <v>163040</v>
      </c>
    </row>
    <row r="5846" spans="1:45" x14ac:dyDescent="0.2">
      <c r="A5846" s="122">
        <f t="shared" si="621"/>
        <v>4846</v>
      </c>
      <c r="B5846" s="13">
        <v>1</v>
      </c>
      <c r="C5846" s="17" t="s">
        <v>52</v>
      </c>
      <c r="D5846" s="17">
        <v>2403</v>
      </c>
      <c r="E5846" s="17">
        <v>14</v>
      </c>
      <c r="F5846" s="17">
        <v>1165</v>
      </c>
      <c r="G5846" s="13">
        <v>4</v>
      </c>
      <c r="H5846" s="17">
        <v>0</v>
      </c>
      <c r="I5846" s="17">
        <v>3</v>
      </c>
      <c r="J5846" s="17">
        <v>55</v>
      </c>
      <c r="L5846" s="17">
        <v>355</v>
      </c>
      <c r="P5846" s="17">
        <v>2</v>
      </c>
      <c r="Q5846" s="19">
        <v>355</v>
      </c>
      <c r="R5846" s="14">
        <v>250</v>
      </c>
      <c r="S5846" s="19">
        <v>88750</v>
      </c>
      <c r="AJ5846" s="19">
        <v>0</v>
      </c>
      <c r="AK5846" s="23">
        <v>0</v>
      </c>
      <c r="AM5846" s="19">
        <v>0</v>
      </c>
      <c r="AN5846" s="19">
        <v>88750</v>
      </c>
      <c r="AP5846" s="14">
        <v>88750</v>
      </c>
    </row>
    <row r="5847" spans="1:45" ht="42" x14ac:dyDescent="0.2">
      <c r="A5847" s="122">
        <f t="shared" si="621"/>
        <v>4847</v>
      </c>
      <c r="B5847" s="13">
        <v>2</v>
      </c>
      <c r="C5847" s="17" t="s">
        <v>52</v>
      </c>
      <c r="D5847" s="17">
        <v>2463</v>
      </c>
      <c r="E5847" s="17">
        <v>11</v>
      </c>
      <c r="F5847" s="17">
        <v>1170</v>
      </c>
      <c r="G5847" s="13">
        <v>4</v>
      </c>
      <c r="H5847" s="17">
        <v>1</v>
      </c>
      <c r="I5847" s="17">
        <v>1</v>
      </c>
      <c r="J5847" s="17">
        <v>8</v>
      </c>
      <c r="L5847" s="17">
        <v>508</v>
      </c>
      <c r="P5847" s="17">
        <v>2</v>
      </c>
      <c r="Q5847" s="19">
        <v>508</v>
      </c>
      <c r="R5847" s="14">
        <v>200</v>
      </c>
      <c r="S5847" s="19">
        <v>101600</v>
      </c>
      <c r="T5847" s="17">
        <v>1</v>
      </c>
      <c r="V5847" s="17" t="s">
        <v>183</v>
      </c>
      <c r="W5847" s="4">
        <v>160</v>
      </c>
      <c r="Y5847" s="4">
        <v>160</v>
      </c>
      <c r="AB5847" s="17">
        <v>20</v>
      </c>
      <c r="AJ5847" s="19">
        <v>0</v>
      </c>
      <c r="AK5847" s="23">
        <v>20</v>
      </c>
      <c r="AM5847" s="19">
        <v>0</v>
      </c>
      <c r="AN5847" s="19">
        <v>101600</v>
      </c>
      <c r="AP5847" s="14">
        <v>101600</v>
      </c>
    </row>
    <row r="5848" spans="1:45" x14ac:dyDescent="0.2">
      <c r="A5848" s="122">
        <f t="shared" si="621"/>
        <v>4848</v>
      </c>
      <c r="B5848" s="13">
        <v>1</v>
      </c>
      <c r="C5848" s="17" t="s">
        <v>52</v>
      </c>
      <c r="D5848" s="17">
        <v>2966</v>
      </c>
      <c r="E5848" s="17">
        <v>62</v>
      </c>
      <c r="F5848" s="17">
        <v>2033</v>
      </c>
      <c r="G5848" s="13">
        <v>2</v>
      </c>
      <c r="H5848" s="17">
        <v>0</v>
      </c>
      <c r="I5848" s="17">
        <v>0</v>
      </c>
      <c r="J5848" s="17">
        <v>50</v>
      </c>
      <c r="K5848" s="10">
        <v>50</v>
      </c>
      <c r="P5848" s="17">
        <v>1</v>
      </c>
      <c r="Q5848" s="19">
        <v>50</v>
      </c>
      <c r="R5848" s="14">
        <v>250</v>
      </c>
      <c r="S5848" s="19">
        <v>12500</v>
      </c>
      <c r="AJ5848" s="19">
        <v>0</v>
      </c>
      <c r="AK5848" s="23">
        <v>0</v>
      </c>
      <c r="AM5848" s="19">
        <v>0</v>
      </c>
      <c r="AN5848" s="19">
        <v>12500</v>
      </c>
      <c r="AP5848" s="14">
        <v>12500</v>
      </c>
    </row>
    <row r="5849" spans="1:45" ht="42" x14ac:dyDescent="0.2">
      <c r="A5849" s="122">
        <f t="shared" si="621"/>
        <v>4849</v>
      </c>
      <c r="B5849" s="13">
        <v>1</v>
      </c>
      <c r="C5849" s="17" t="s">
        <v>52</v>
      </c>
      <c r="D5849" s="17">
        <v>2405</v>
      </c>
      <c r="E5849" s="17">
        <v>2</v>
      </c>
      <c r="F5849" s="17">
        <v>1169</v>
      </c>
      <c r="G5849" s="13">
        <v>4</v>
      </c>
      <c r="H5849" s="17">
        <v>1</v>
      </c>
      <c r="I5849" s="17">
        <v>1</v>
      </c>
      <c r="J5849" s="17">
        <v>94</v>
      </c>
      <c r="L5849" s="17">
        <v>594</v>
      </c>
      <c r="P5849" s="17">
        <v>2</v>
      </c>
      <c r="Q5849" s="19">
        <v>594</v>
      </c>
      <c r="R5849" s="14">
        <v>160</v>
      </c>
      <c r="S5849" s="19">
        <v>95040</v>
      </c>
      <c r="T5849" s="17">
        <v>1</v>
      </c>
      <c r="V5849" s="17" t="s">
        <v>514</v>
      </c>
      <c r="W5849" s="4">
        <v>108</v>
      </c>
      <c r="Y5849" s="4">
        <v>108</v>
      </c>
      <c r="AB5849" s="17">
        <v>33</v>
      </c>
      <c r="AJ5849" s="19">
        <v>0</v>
      </c>
      <c r="AK5849" s="23">
        <v>33</v>
      </c>
      <c r="AM5849" s="19">
        <v>0</v>
      </c>
      <c r="AN5849" s="19">
        <v>95040</v>
      </c>
      <c r="AP5849" s="14">
        <v>95040</v>
      </c>
    </row>
    <row r="5850" spans="1:45" ht="42" x14ac:dyDescent="0.2">
      <c r="A5850" s="122">
        <f t="shared" si="621"/>
        <v>4850</v>
      </c>
      <c r="B5850" s="13">
        <v>1</v>
      </c>
      <c r="C5850" s="17" t="s">
        <v>52</v>
      </c>
      <c r="D5850" s="17">
        <v>10380</v>
      </c>
      <c r="E5850" s="17">
        <v>159</v>
      </c>
      <c r="F5850" s="17">
        <v>3148</v>
      </c>
      <c r="G5850" s="13">
        <v>2</v>
      </c>
      <c r="H5850" s="17">
        <v>0</v>
      </c>
      <c r="I5850" s="17">
        <v>2</v>
      </c>
      <c r="J5850" s="17">
        <v>19.079999999999998</v>
      </c>
      <c r="L5850" s="17">
        <v>219.08</v>
      </c>
      <c r="P5850" s="17">
        <v>2</v>
      </c>
      <c r="Q5850" s="19">
        <v>219.07999999999998</v>
      </c>
      <c r="R5850" s="14">
        <v>1500</v>
      </c>
      <c r="S5850" s="19">
        <v>328620</v>
      </c>
      <c r="T5850" s="17">
        <v>1</v>
      </c>
      <c r="V5850" s="17" t="s">
        <v>183</v>
      </c>
      <c r="W5850" s="4">
        <v>155</v>
      </c>
      <c r="Y5850" s="4">
        <v>155</v>
      </c>
      <c r="AB5850" s="17">
        <v>31</v>
      </c>
      <c r="AJ5850" s="19">
        <v>0</v>
      </c>
      <c r="AK5850" s="23">
        <v>31</v>
      </c>
      <c r="AM5850" s="19">
        <v>0</v>
      </c>
      <c r="AN5850" s="19">
        <v>328620</v>
      </c>
      <c r="AP5850" s="14">
        <v>328620</v>
      </c>
    </row>
    <row r="5851" spans="1:45" x14ac:dyDescent="0.2">
      <c r="A5851" s="122">
        <f t="shared" si="621"/>
        <v>4851</v>
      </c>
      <c r="B5851" s="13">
        <v>1</v>
      </c>
      <c r="C5851" s="17" t="s">
        <v>52</v>
      </c>
      <c r="D5851" s="17">
        <v>16785</v>
      </c>
      <c r="E5851" s="17">
        <v>36</v>
      </c>
      <c r="F5851" s="17">
        <v>3743</v>
      </c>
      <c r="G5851" s="13">
        <v>4</v>
      </c>
      <c r="H5851" s="17">
        <v>0</v>
      </c>
      <c r="I5851" s="17">
        <v>3</v>
      </c>
      <c r="J5851" s="17">
        <v>83</v>
      </c>
      <c r="N5851" s="18">
        <v>383</v>
      </c>
      <c r="P5851" s="17">
        <v>4</v>
      </c>
      <c r="Q5851" s="19">
        <v>383</v>
      </c>
      <c r="R5851" s="14">
        <v>1000</v>
      </c>
      <c r="S5851" s="19">
        <v>383000</v>
      </c>
      <c r="AJ5851" s="19">
        <v>0</v>
      </c>
      <c r="AK5851" s="23">
        <v>0</v>
      </c>
      <c r="AM5851" s="19">
        <v>0</v>
      </c>
      <c r="AN5851" s="19">
        <v>383000</v>
      </c>
      <c r="AP5851" s="14">
        <v>383000</v>
      </c>
      <c r="AQ5851" s="12">
        <v>3.0000000000000001E-3</v>
      </c>
    </row>
    <row r="5852" spans="1:45" x14ac:dyDescent="0.2">
      <c r="A5852" s="122">
        <f t="shared" si="621"/>
        <v>4852</v>
      </c>
      <c r="B5852" s="13">
        <v>1</v>
      </c>
      <c r="C5852" s="17" t="s">
        <v>52</v>
      </c>
      <c r="D5852" s="17">
        <v>8363</v>
      </c>
      <c r="E5852" s="17">
        <v>71</v>
      </c>
      <c r="F5852" s="17">
        <v>3131</v>
      </c>
      <c r="G5852" s="13">
        <v>4</v>
      </c>
      <c r="H5852" s="17">
        <v>0</v>
      </c>
      <c r="I5852" s="17">
        <v>1</v>
      </c>
      <c r="J5852" s="17">
        <v>7.04</v>
      </c>
      <c r="N5852" s="18">
        <v>107.04</v>
      </c>
      <c r="P5852" s="17">
        <v>4</v>
      </c>
      <c r="Q5852" s="19">
        <v>107.04</v>
      </c>
      <c r="R5852" s="14">
        <v>250</v>
      </c>
      <c r="S5852" s="19">
        <v>26760</v>
      </c>
      <c r="AJ5852" s="19">
        <v>0</v>
      </c>
      <c r="AK5852" s="23">
        <v>0</v>
      </c>
      <c r="AM5852" s="19">
        <v>0</v>
      </c>
      <c r="AN5852" s="19">
        <v>26760</v>
      </c>
      <c r="AP5852" s="14">
        <v>26760</v>
      </c>
      <c r="AQ5852" s="12">
        <v>3.0000000000000001E-3</v>
      </c>
    </row>
    <row r="5853" spans="1:45" ht="63" x14ac:dyDescent="0.2">
      <c r="A5853" s="122">
        <f t="shared" si="621"/>
        <v>4853</v>
      </c>
      <c r="B5853" s="13">
        <v>1</v>
      </c>
      <c r="C5853" s="17" t="s">
        <v>65</v>
      </c>
      <c r="D5853" s="17">
        <v>1665</v>
      </c>
      <c r="H5853" s="17">
        <v>2</v>
      </c>
      <c r="I5853" s="17">
        <v>2</v>
      </c>
      <c r="J5853" s="17">
        <v>15</v>
      </c>
      <c r="L5853" s="17" t="s">
        <v>591</v>
      </c>
      <c r="P5853" s="17">
        <v>2</v>
      </c>
      <c r="Q5853" s="19">
        <v>1015</v>
      </c>
      <c r="R5853" s="14">
        <v>4500</v>
      </c>
      <c r="S5853" s="19">
        <v>4567500</v>
      </c>
      <c r="T5853" s="17">
        <v>1</v>
      </c>
      <c r="U5853" s="17" t="s">
        <v>57</v>
      </c>
      <c r="V5853" s="17" t="s">
        <v>56</v>
      </c>
      <c r="W5853" s="4">
        <v>90</v>
      </c>
      <c r="Y5853" s="4">
        <v>90</v>
      </c>
      <c r="AB5853" s="17">
        <v>31</v>
      </c>
      <c r="AM5853" s="19">
        <v>0</v>
      </c>
      <c r="AN5853" s="19">
        <v>4567500</v>
      </c>
      <c r="AP5853" s="14">
        <v>4567500</v>
      </c>
      <c r="AQ5853" s="12">
        <v>1E-4</v>
      </c>
    </row>
    <row r="5854" spans="1:45" ht="63" x14ac:dyDescent="0.2">
      <c r="T5854" s="17">
        <v>1</v>
      </c>
      <c r="U5854" s="17" t="s">
        <v>57</v>
      </c>
      <c r="V5854" s="17" t="s">
        <v>56</v>
      </c>
      <c r="W5854" s="4">
        <v>90</v>
      </c>
      <c r="Y5854" s="4">
        <v>90</v>
      </c>
      <c r="AB5854" s="17">
        <v>31</v>
      </c>
      <c r="AF5854" s="14">
        <v>2</v>
      </c>
      <c r="AG5854" s="54">
        <v>90</v>
      </c>
      <c r="AH5854" s="11">
        <v>1</v>
      </c>
      <c r="AI5854" s="14">
        <v>7250</v>
      </c>
      <c r="AJ5854" s="19">
        <v>652500</v>
      </c>
      <c r="AK5854" s="23">
        <v>31</v>
      </c>
      <c r="AM5854" s="19">
        <v>652500</v>
      </c>
      <c r="AN5854" s="19">
        <v>652500</v>
      </c>
      <c r="AP5854" s="14">
        <v>652500</v>
      </c>
    </row>
    <row r="5855" spans="1:45" ht="63" x14ac:dyDescent="0.2">
      <c r="S5855" s="19">
        <v>0</v>
      </c>
      <c r="T5855" s="17">
        <v>2</v>
      </c>
      <c r="U5855" s="17" t="s">
        <v>57</v>
      </c>
      <c r="V5855" s="17" t="s">
        <v>56</v>
      </c>
      <c r="W5855" s="4">
        <v>72</v>
      </c>
      <c r="Y5855" s="4">
        <v>72</v>
      </c>
      <c r="AB5855" s="17">
        <v>21</v>
      </c>
      <c r="AF5855" s="14">
        <v>2</v>
      </c>
      <c r="AG5855" s="54">
        <v>72</v>
      </c>
      <c r="AH5855" s="11">
        <v>1</v>
      </c>
      <c r="AI5855" s="14">
        <v>7250</v>
      </c>
      <c r="AJ5855" s="19">
        <v>522000</v>
      </c>
      <c r="AK5855" s="23">
        <v>21</v>
      </c>
      <c r="AM5855" s="19">
        <v>522000</v>
      </c>
      <c r="AN5855" s="19">
        <v>522000</v>
      </c>
      <c r="AP5855" s="14">
        <v>522000</v>
      </c>
    </row>
    <row r="5856" spans="1:45" ht="63" x14ac:dyDescent="0.2">
      <c r="S5856" s="19">
        <v>0</v>
      </c>
      <c r="T5856" s="17">
        <v>3</v>
      </c>
      <c r="U5856" s="17" t="s">
        <v>57</v>
      </c>
      <c r="V5856" s="17" t="s">
        <v>56</v>
      </c>
      <c r="W5856" s="4">
        <v>44</v>
      </c>
      <c r="Y5856" s="4">
        <v>44</v>
      </c>
      <c r="AB5856" s="17">
        <v>17</v>
      </c>
      <c r="AF5856" s="14">
        <v>2</v>
      </c>
      <c r="AG5856" s="54">
        <v>44</v>
      </c>
      <c r="AH5856" s="11">
        <v>1</v>
      </c>
      <c r="AI5856" s="14">
        <v>7250</v>
      </c>
      <c r="AJ5856" s="19">
        <v>319000</v>
      </c>
      <c r="AK5856" s="23">
        <v>17</v>
      </c>
      <c r="AM5856" s="19">
        <v>319000</v>
      </c>
      <c r="AN5856" s="19">
        <v>319000</v>
      </c>
      <c r="AP5856" s="14">
        <v>319000</v>
      </c>
    </row>
    <row r="5857" spans="1:44" s="26" customFormat="1" ht="63" x14ac:dyDescent="0.2">
      <c r="A5857" s="2"/>
      <c r="B5857" s="13"/>
      <c r="C5857" s="17"/>
      <c r="D5857" s="17"/>
      <c r="E5857" s="17"/>
      <c r="F5857" s="17"/>
      <c r="G5857" s="13"/>
      <c r="H5857" s="17"/>
      <c r="I5857" s="17"/>
      <c r="J5857" s="17"/>
      <c r="K5857" s="10"/>
      <c r="L5857" s="17"/>
      <c r="M5857" s="15"/>
      <c r="N5857" s="18"/>
      <c r="O5857" s="14"/>
      <c r="P5857" s="17"/>
      <c r="Q5857" s="19"/>
      <c r="R5857" s="14"/>
      <c r="S5857" s="19"/>
      <c r="T5857" s="17" t="s">
        <v>121</v>
      </c>
      <c r="U5857" s="17" t="s">
        <v>57</v>
      </c>
      <c r="V5857" s="17" t="s">
        <v>56</v>
      </c>
      <c r="W5857" s="4" t="s">
        <v>280</v>
      </c>
      <c r="X5857" s="17"/>
      <c r="Y5857" s="4" t="s">
        <v>280</v>
      </c>
      <c r="Z5857" s="17"/>
      <c r="AA5857" s="17"/>
      <c r="AB5857" s="17" t="s">
        <v>592</v>
      </c>
      <c r="AC5857" s="14"/>
      <c r="AD5857" s="14"/>
      <c r="AE5857" s="17"/>
      <c r="AF5857" s="14">
        <v>2</v>
      </c>
      <c r="AG5857" s="54">
        <v>50</v>
      </c>
      <c r="AH5857" s="11">
        <v>1</v>
      </c>
      <c r="AI5857" s="14">
        <v>7250</v>
      </c>
      <c r="AJ5857" s="19">
        <v>362500</v>
      </c>
      <c r="AK5857" s="23"/>
      <c r="AL5857" s="11"/>
      <c r="AM5857" s="19">
        <v>362500</v>
      </c>
      <c r="AN5857" s="19">
        <v>362500</v>
      </c>
      <c r="AO5857" s="14"/>
      <c r="AP5857" s="14">
        <v>362500</v>
      </c>
      <c r="AQ5857" s="12"/>
      <c r="AR5857" s="19"/>
    </row>
    <row r="5858" spans="1:44" s="26" customFormat="1" ht="63" x14ac:dyDescent="0.2">
      <c r="A5858" s="2">
        <v>4854</v>
      </c>
      <c r="B5858" s="13">
        <v>1</v>
      </c>
      <c r="C5858" s="17" t="s">
        <v>52</v>
      </c>
      <c r="D5858" s="17">
        <v>2380</v>
      </c>
      <c r="E5858" s="17">
        <v>6</v>
      </c>
      <c r="F5858" s="17">
        <v>1712</v>
      </c>
      <c r="G5858" s="13">
        <v>4</v>
      </c>
      <c r="H5858" s="17">
        <v>0</v>
      </c>
      <c r="I5858" s="17">
        <v>1</v>
      </c>
      <c r="J5858" s="17">
        <v>75</v>
      </c>
      <c r="K5858" s="10"/>
      <c r="L5858" s="17">
        <v>175</v>
      </c>
      <c r="M5858" s="15"/>
      <c r="N5858" s="18"/>
      <c r="O5858" s="14"/>
      <c r="P5858" s="17">
        <v>2</v>
      </c>
      <c r="Q5858" s="19">
        <v>175</v>
      </c>
      <c r="R5858" s="14">
        <v>250</v>
      </c>
      <c r="S5858" s="19">
        <v>43750</v>
      </c>
      <c r="T5858" s="17">
        <v>1</v>
      </c>
      <c r="U5858" s="17" t="s">
        <v>57</v>
      </c>
      <c r="V5858" s="17" t="s">
        <v>56</v>
      </c>
      <c r="W5858" s="4">
        <v>58.5</v>
      </c>
      <c r="X5858" s="17"/>
      <c r="Y5858" s="4"/>
      <c r="Z5858" s="17">
        <v>58.5</v>
      </c>
      <c r="AA5858" s="17"/>
      <c r="AB5858" s="17">
        <v>31</v>
      </c>
      <c r="AC5858" s="14"/>
      <c r="AD5858" s="14"/>
      <c r="AE5858" s="17"/>
      <c r="AF5858" s="14"/>
      <c r="AG5858" s="54"/>
      <c r="AH5858" s="11"/>
      <c r="AI5858" s="14"/>
      <c r="AJ5858" s="19">
        <v>0</v>
      </c>
      <c r="AK5858" s="23">
        <v>31</v>
      </c>
      <c r="AL5858" s="11"/>
      <c r="AM5858" s="19">
        <v>0</v>
      </c>
      <c r="AN5858" s="19">
        <v>43750</v>
      </c>
      <c r="AO5858" s="14"/>
      <c r="AP5858" s="14">
        <v>43750</v>
      </c>
      <c r="AQ5858" s="12"/>
      <c r="AR5858" s="19">
        <v>1500</v>
      </c>
    </row>
    <row r="5859" spans="1:44" s="26" customFormat="1" ht="63" x14ac:dyDescent="0.2">
      <c r="A5859" s="2"/>
      <c r="B5859" s="13"/>
      <c r="C5859" s="17"/>
      <c r="D5859" s="17"/>
      <c r="E5859" s="17"/>
      <c r="F5859" s="17"/>
      <c r="G5859" s="13"/>
      <c r="H5859" s="17"/>
      <c r="I5859" s="17"/>
      <c r="J5859" s="17"/>
      <c r="K5859" s="10"/>
      <c r="L5859" s="17"/>
      <c r="M5859" s="15"/>
      <c r="N5859" s="18"/>
      <c r="O5859" s="14"/>
      <c r="P5859" s="17"/>
      <c r="Q5859" s="19">
        <v>0</v>
      </c>
      <c r="R5859" s="14">
        <v>250</v>
      </c>
      <c r="S5859" s="19">
        <v>0</v>
      </c>
      <c r="T5859" s="17">
        <v>2</v>
      </c>
      <c r="U5859" s="17" t="s">
        <v>57</v>
      </c>
      <c r="V5859" s="17" t="s">
        <v>56</v>
      </c>
      <c r="W5859" s="4">
        <v>58.5</v>
      </c>
      <c r="X5859" s="17"/>
      <c r="Y5859" s="4"/>
      <c r="Z5859" s="17">
        <v>58.5</v>
      </c>
      <c r="AA5859" s="17"/>
      <c r="AB5859" s="17">
        <v>31</v>
      </c>
      <c r="AC5859" s="14"/>
      <c r="AD5859" s="14"/>
      <c r="AE5859" s="17"/>
      <c r="AF5859" s="14"/>
      <c r="AG5859" s="54"/>
      <c r="AH5859" s="11"/>
      <c r="AI5859" s="14"/>
      <c r="AJ5859" s="19">
        <v>0</v>
      </c>
      <c r="AK5859" s="23">
        <v>31</v>
      </c>
      <c r="AL5859" s="11"/>
      <c r="AM5859" s="19">
        <v>0</v>
      </c>
      <c r="AN5859" s="19">
        <v>0</v>
      </c>
      <c r="AO5859" s="14"/>
      <c r="AP5859" s="14">
        <v>0</v>
      </c>
      <c r="AQ5859" s="12"/>
      <c r="AR5859" s="19"/>
    </row>
    <row r="5860" spans="1:44" s="26" customFormat="1" ht="63" x14ac:dyDescent="0.2">
      <c r="A5860" s="2"/>
      <c r="B5860" s="13"/>
      <c r="C5860" s="17"/>
      <c r="D5860" s="17"/>
      <c r="E5860" s="17"/>
      <c r="F5860" s="17"/>
      <c r="G5860" s="13"/>
      <c r="H5860" s="17"/>
      <c r="I5860" s="17"/>
      <c r="J5860" s="17"/>
      <c r="K5860" s="10"/>
      <c r="L5860" s="17"/>
      <c r="M5860" s="15"/>
      <c r="N5860" s="18"/>
      <c r="O5860" s="14"/>
      <c r="P5860" s="17"/>
      <c r="Q5860" s="19">
        <v>0</v>
      </c>
      <c r="R5860" s="14">
        <v>250</v>
      </c>
      <c r="S5860" s="19">
        <v>0</v>
      </c>
      <c r="T5860" s="17">
        <v>3</v>
      </c>
      <c r="U5860" s="17" t="s">
        <v>57</v>
      </c>
      <c r="V5860" s="17" t="s">
        <v>56</v>
      </c>
      <c r="W5860" s="4">
        <v>58.5</v>
      </c>
      <c r="X5860" s="17"/>
      <c r="Y5860" s="4"/>
      <c r="Z5860" s="17">
        <v>58.5</v>
      </c>
      <c r="AA5860" s="17"/>
      <c r="AB5860" s="17">
        <v>31</v>
      </c>
      <c r="AC5860" s="14"/>
      <c r="AD5860" s="14"/>
      <c r="AE5860" s="17"/>
      <c r="AF5860" s="14"/>
      <c r="AG5860" s="54"/>
      <c r="AH5860" s="11"/>
      <c r="AI5860" s="14"/>
      <c r="AJ5860" s="19">
        <v>0</v>
      </c>
      <c r="AK5860" s="23">
        <v>31</v>
      </c>
      <c r="AL5860" s="11"/>
      <c r="AM5860" s="19">
        <v>0</v>
      </c>
      <c r="AN5860" s="19">
        <v>0</v>
      </c>
      <c r="AO5860" s="14"/>
      <c r="AP5860" s="14">
        <v>0</v>
      </c>
      <c r="AQ5860" s="12"/>
      <c r="AR5860" s="19"/>
    </row>
    <row r="5861" spans="1:44" s="26" customFormat="1" ht="231" x14ac:dyDescent="0.2">
      <c r="A5861" s="2">
        <v>5190</v>
      </c>
      <c r="B5861" s="13">
        <v>2</v>
      </c>
      <c r="C5861" s="17" t="s">
        <v>52</v>
      </c>
      <c r="D5861" s="17">
        <v>8360</v>
      </c>
      <c r="E5861" s="17">
        <v>68</v>
      </c>
      <c r="F5861" s="17">
        <v>3128</v>
      </c>
      <c r="G5861" s="13">
        <v>4</v>
      </c>
      <c r="H5861" s="17">
        <v>0</v>
      </c>
      <c r="I5861" s="17">
        <v>3</v>
      </c>
      <c r="J5861" s="17">
        <v>18.05</v>
      </c>
      <c r="K5861" s="10"/>
      <c r="L5861" s="17">
        <v>318.05</v>
      </c>
      <c r="M5861" s="15"/>
      <c r="N5861" s="18"/>
      <c r="O5861" s="14"/>
      <c r="P5861" s="17">
        <v>2</v>
      </c>
      <c r="Q5861" s="19">
        <v>318.05</v>
      </c>
      <c r="R5861" s="14">
        <v>250</v>
      </c>
      <c r="S5861" s="19">
        <v>79512.5</v>
      </c>
      <c r="T5861" s="17">
        <v>1</v>
      </c>
      <c r="U5861" s="17" t="s">
        <v>57</v>
      </c>
      <c r="V5861" s="17" t="s">
        <v>56</v>
      </c>
      <c r="W5861" s="4" t="s">
        <v>593</v>
      </c>
      <c r="X5861" s="17"/>
      <c r="Y5861" s="4" t="s">
        <v>594</v>
      </c>
      <c r="Z5861" s="17" t="s">
        <v>595</v>
      </c>
      <c r="AA5861" s="17"/>
      <c r="AB5861" s="17">
        <v>26</v>
      </c>
      <c r="AC5861" s="14" t="s">
        <v>486</v>
      </c>
      <c r="AD5861" s="14"/>
      <c r="AE5861" s="17"/>
      <c r="AF5861" s="14">
        <v>2</v>
      </c>
      <c r="AG5861" s="54">
        <v>262</v>
      </c>
      <c r="AH5861" s="11">
        <v>0.84732824427480913</v>
      </c>
      <c r="AI5861" s="14">
        <v>7250</v>
      </c>
      <c r="AJ5861" s="19">
        <v>1609500</v>
      </c>
      <c r="AK5861" s="23">
        <v>26</v>
      </c>
      <c r="AL5861" s="11">
        <v>0.42</v>
      </c>
      <c r="AM5861" s="19">
        <v>933510</v>
      </c>
      <c r="AN5861" s="19">
        <v>1013022.5</v>
      </c>
      <c r="AO5861" s="14"/>
      <c r="AP5861" s="14">
        <v>1013022.5</v>
      </c>
      <c r="AQ5861" s="12"/>
      <c r="AR5861" s="19"/>
    </row>
    <row r="5862" spans="1:44" s="26" customFormat="1" x14ac:dyDescent="0.2">
      <c r="A5862" s="2"/>
      <c r="B5862" s="13"/>
      <c r="C5862" s="17"/>
      <c r="D5862" s="17"/>
      <c r="E5862" s="17"/>
      <c r="F5862" s="17"/>
      <c r="G5862" s="13"/>
      <c r="H5862" s="17"/>
      <c r="I5862" s="17"/>
      <c r="J5862" s="17"/>
      <c r="K5862" s="10"/>
      <c r="L5862" s="17"/>
      <c r="M5862" s="15"/>
      <c r="N5862" s="18"/>
      <c r="O5862" s="14"/>
      <c r="P5862" s="17"/>
      <c r="Q5862" s="19"/>
      <c r="R5862" s="14" t="e">
        <v>#N/A</v>
      </c>
      <c r="S5862" s="19"/>
      <c r="T5862" s="17"/>
      <c r="U5862" s="17"/>
      <c r="V5862" s="17"/>
      <c r="W5862" s="4"/>
      <c r="X5862" s="17"/>
      <c r="Y5862" s="4"/>
      <c r="Z5862" s="17"/>
      <c r="AA5862" s="17"/>
      <c r="AB5862" s="17"/>
      <c r="AC5862" s="14"/>
      <c r="AD5862" s="14"/>
      <c r="AE5862" s="17"/>
      <c r="AF5862" s="14">
        <v>3</v>
      </c>
      <c r="AG5862" s="54">
        <v>262</v>
      </c>
      <c r="AH5862" s="11">
        <v>0.15267175572519084</v>
      </c>
      <c r="AI5862" s="14">
        <v>7250</v>
      </c>
      <c r="AJ5862" s="19">
        <v>290000</v>
      </c>
      <c r="AK5862" s="23">
        <v>26</v>
      </c>
      <c r="AL5862" s="11">
        <v>0.42</v>
      </c>
      <c r="AM5862" s="19">
        <v>168200</v>
      </c>
      <c r="AN5862" s="19">
        <v>180339.31297709924</v>
      </c>
      <c r="AO5862" s="14"/>
      <c r="AP5862" s="14">
        <v>180339.31297709924</v>
      </c>
      <c r="AQ5862" s="12">
        <v>3.0000000000000001E-3</v>
      </c>
      <c r="AR5862" s="19"/>
    </row>
    <row r="5863" spans="1:44" s="26" customFormat="1" x14ac:dyDescent="0.2">
      <c r="A5863" s="2">
        <v>4855</v>
      </c>
      <c r="B5863" s="13">
        <v>3</v>
      </c>
      <c r="C5863" s="17" t="s">
        <v>52</v>
      </c>
      <c r="D5863" s="17">
        <v>11667</v>
      </c>
      <c r="E5863" s="17">
        <v>74</v>
      </c>
      <c r="F5863" s="17">
        <v>3181</v>
      </c>
      <c r="G5863" s="13">
        <v>4</v>
      </c>
      <c r="H5863" s="17">
        <v>0</v>
      </c>
      <c r="I5863" s="17">
        <v>0</v>
      </c>
      <c r="J5863" s="17">
        <v>69</v>
      </c>
      <c r="K5863" s="10"/>
      <c r="L5863" s="17"/>
      <c r="M5863" s="15" t="s">
        <v>596</v>
      </c>
      <c r="N5863" s="18"/>
      <c r="O5863" s="14"/>
      <c r="P5863" s="17">
        <v>3</v>
      </c>
      <c r="Q5863" s="19">
        <v>69</v>
      </c>
      <c r="R5863" s="14">
        <v>200</v>
      </c>
      <c r="S5863" s="19">
        <v>13800</v>
      </c>
      <c r="T5863" s="17"/>
      <c r="U5863" s="17"/>
      <c r="V5863" s="17"/>
      <c r="W5863" s="4"/>
      <c r="X5863" s="17"/>
      <c r="Y5863" s="4"/>
      <c r="Z5863" s="17"/>
      <c r="AA5863" s="17"/>
      <c r="AB5863" s="17"/>
      <c r="AC5863" s="14"/>
      <c r="AD5863" s="14"/>
      <c r="AE5863" s="17"/>
      <c r="AF5863" s="14"/>
      <c r="AG5863" s="54"/>
      <c r="AH5863" s="11"/>
      <c r="AI5863" s="14"/>
      <c r="AJ5863" s="19">
        <v>0</v>
      </c>
      <c r="AK5863" s="23">
        <v>0</v>
      </c>
      <c r="AL5863" s="11"/>
      <c r="AM5863" s="19">
        <v>0</v>
      </c>
      <c r="AN5863" s="19">
        <v>13800</v>
      </c>
      <c r="AO5863" s="14"/>
      <c r="AP5863" s="14">
        <v>13800</v>
      </c>
      <c r="AQ5863" s="12"/>
      <c r="AR5863" s="19"/>
    </row>
    <row r="5864" spans="1:44" s="26" customFormat="1" ht="42" x14ac:dyDescent="0.2">
      <c r="A5864" s="2">
        <v>4856</v>
      </c>
      <c r="B5864" s="13">
        <v>4</v>
      </c>
      <c r="C5864" s="17" t="s">
        <v>52</v>
      </c>
      <c r="D5864" s="17">
        <v>11668</v>
      </c>
      <c r="E5864" s="17">
        <v>75</v>
      </c>
      <c r="F5864" s="17">
        <v>3182</v>
      </c>
      <c r="G5864" s="13">
        <v>4</v>
      </c>
      <c r="H5864" s="17">
        <v>0</v>
      </c>
      <c r="I5864" s="17">
        <v>1</v>
      </c>
      <c r="J5864" s="17">
        <v>66.08</v>
      </c>
      <c r="K5864" s="10"/>
      <c r="L5864" s="17">
        <v>166.08</v>
      </c>
      <c r="M5864" s="15"/>
      <c r="N5864" s="18"/>
      <c r="O5864" s="14"/>
      <c r="P5864" s="17">
        <v>2</v>
      </c>
      <c r="Q5864" s="19">
        <v>166.07999999999998</v>
      </c>
      <c r="R5864" s="14">
        <v>250</v>
      </c>
      <c r="S5864" s="19">
        <v>41519.999999999993</v>
      </c>
      <c r="T5864" s="17">
        <v>1</v>
      </c>
      <c r="U5864" s="17"/>
      <c r="V5864" s="17" t="s">
        <v>502</v>
      </c>
      <c r="W5864" s="4">
        <v>36</v>
      </c>
      <c r="X5864" s="17"/>
      <c r="Y5864" s="4">
        <v>36</v>
      </c>
      <c r="Z5864" s="17"/>
      <c r="AA5864" s="17"/>
      <c r="AB5864" s="17">
        <v>10</v>
      </c>
      <c r="AC5864" s="14"/>
      <c r="AD5864" s="14"/>
      <c r="AE5864" s="17"/>
      <c r="AF5864" s="14"/>
      <c r="AG5864" s="54"/>
      <c r="AH5864" s="11"/>
      <c r="AI5864" s="14"/>
      <c r="AJ5864" s="19">
        <v>0</v>
      </c>
      <c r="AK5864" s="23">
        <v>10</v>
      </c>
      <c r="AL5864" s="11"/>
      <c r="AM5864" s="19">
        <v>0</v>
      </c>
      <c r="AN5864" s="19">
        <v>41519.999999999993</v>
      </c>
      <c r="AO5864" s="14"/>
      <c r="AP5864" s="14">
        <v>41519.999999999993</v>
      </c>
      <c r="AQ5864" s="12"/>
      <c r="AR5864" s="19"/>
    </row>
    <row r="5865" spans="1:44" s="26" customFormat="1" x14ac:dyDescent="0.2">
      <c r="A5865" s="2">
        <f>+A5864+1</f>
        <v>4857</v>
      </c>
      <c r="B5865" s="13">
        <v>5</v>
      </c>
      <c r="C5865" s="17" t="s">
        <v>52</v>
      </c>
      <c r="D5865" s="17">
        <v>11669</v>
      </c>
      <c r="E5865" s="17">
        <v>76</v>
      </c>
      <c r="F5865" s="17">
        <v>3183</v>
      </c>
      <c r="G5865" s="13">
        <v>4</v>
      </c>
      <c r="H5865" s="17">
        <v>0</v>
      </c>
      <c r="I5865" s="17">
        <v>0</v>
      </c>
      <c r="J5865" s="17">
        <v>89.06</v>
      </c>
      <c r="K5865" s="10"/>
      <c r="L5865" s="17"/>
      <c r="M5865" s="15"/>
      <c r="N5865" s="18">
        <v>89.06</v>
      </c>
      <c r="O5865" s="14"/>
      <c r="P5865" s="17">
        <v>4</v>
      </c>
      <c r="Q5865" s="19">
        <v>89.06</v>
      </c>
      <c r="R5865" s="14">
        <v>250</v>
      </c>
      <c r="S5865" s="19">
        <v>22265</v>
      </c>
      <c r="T5865" s="17"/>
      <c r="U5865" s="17"/>
      <c r="V5865" s="17"/>
      <c r="W5865" s="4"/>
      <c r="X5865" s="17"/>
      <c r="Y5865" s="4"/>
      <c r="Z5865" s="17"/>
      <c r="AA5865" s="17"/>
      <c r="AB5865" s="17"/>
      <c r="AC5865" s="14"/>
      <c r="AD5865" s="14"/>
      <c r="AE5865" s="17"/>
      <c r="AF5865" s="14"/>
      <c r="AG5865" s="54"/>
      <c r="AH5865" s="11"/>
      <c r="AI5865" s="14"/>
      <c r="AJ5865" s="19">
        <v>0</v>
      </c>
      <c r="AK5865" s="23">
        <v>0</v>
      </c>
      <c r="AL5865" s="11"/>
      <c r="AM5865" s="19">
        <v>0</v>
      </c>
      <c r="AN5865" s="19">
        <v>22265</v>
      </c>
      <c r="AO5865" s="14"/>
      <c r="AP5865" s="14">
        <v>22265</v>
      </c>
      <c r="AQ5865" s="12">
        <v>3.0000000000000001E-3</v>
      </c>
      <c r="AR5865" s="19"/>
    </row>
    <row r="5866" spans="1:44" s="26" customFormat="1" x14ac:dyDescent="0.2">
      <c r="A5866" s="122">
        <f t="shared" ref="A5866:A5868" si="622">+A5865+1</f>
        <v>4858</v>
      </c>
      <c r="B5866" s="13">
        <v>6</v>
      </c>
      <c r="C5866" s="17" t="s">
        <v>65</v>
      </c>
      <c r="D5866" s="17">
        <v>2768</v>
      </c>
      <c r="E5866" s="17">
        <v>57</v>
      </c>
      <c r="F5866" s="17"/>
      <c r="G5866" s="13"/>
      <c r="H5866" s="17">
        <v>4</v>
      </c>
      <c r="I5866" s="17">
        <v>2</v>
      </c>
      <c r="J5866" s="17">
        <v>70</v>
      </c>
      <c r="K5866" s="10">
        <v>1870</v>
      </c>
      <c r="L5866" s="17"/>
      <c r="M5866" s="15"/>
      <c r="N5866" s="18"/>
      <c r="O5866" s="14"/>
      <c r="P5866" s="17">
        <v>1</v>
      </c>
      <c r="Q5866" s="19">
        <v>1870</v>
      </c>
      <c r="R5866" s="14">
        <v>500</v>
      </c>
      <c r="S5866" s="19">
        <v>935000</v>
      </c>
      <c r="T5866" s="17"/>
      <c r="U5866" s="17"/>
      <c r="V5866" s="17"/>
      <c r="W5866" s="4"/>
      <c r="X5866" s="17"/>
      <c r="Y5866" s="4"/>
      <c r="Z5866" s="17"/>
      <c r="AA5866" s="17"/>
      <c r="AB5866" s="17"/>
      <c r="AC5866" s="14"/>
      <c r="AD5866" s="14"/>
      <c r="AE5866" s="17"/>
      <c r="AF5866" s="14"/>
      <c r="AG5866" s="54"/>
      <c r="AH5866" s="11"/>
      <c r="AI5866" s="14"/>
      <c r="AJ5866" s="19">
        <v>0</v>
      </c>
      <c r="AK5866" s="23">
        <v>0</v>
      </c>
      <c r="AL5866" s="11"/>
      <c r="AM5866" s="19">
        <v>0</v>
      </c>
      <c r="AN5866" s="19">
        <v>935000</v>
      </c>
      <c r="AO5866" s="14"/>
      <c r="AP5866" s="14">
        <v>935000</v>
      </c>
      <c r="AQ5866" s="12">
        <v>1E-4</v>
      </c>
      <c r="AR5866" s="19"/>
    </row>
    <row r="5867" spans="1:44" s="26" customFormat="1" x14ac:dyDescent="0.2">
      <c r="A5867" s="122">
        <f t="shared" si="622"/>
        <v>4859</v>
      </c>
      <c r="B5867" s="13">
        <v>7</v>
      </c>
      <c r="C5867" s="17" t="s">
        <v>65</v>
      </c>
      <c r="D5867" s="17">
        <v>3427</v>
      </c>
      <c r="E5867" s="17">
        <v>155</v>
      </c>
      <c r="F5867" s="17"/>
      <c r="G5867" s="13"/>
      <c r="H5867" s="17">
        <v>0</v>
      </c>
      <c r="I5867" s="17">
        <v>3</v>
      </c>
      <c r="J5867" s="17">
        <v>81</v>
      </c>
      <c r="K5867" s="10"/>
      <c r="L5867" s="17"/>
      <c r="M5867" s="15"/>
      <c r="N5867" s="18" t="s">
        <v>597</v>
      </c>
      <c r="O5867" s="14"/>
      <c r="P5867" s="17">
        <v>4</v>
      </c>
      <c r="Q5867" s="19">
        <v>381</v>
      </c>
      <c r="R5867" s="14">
        <v>200</v>
      </c>
      <c r="S5867" s="19">
        <v>76200</v>
      </c>
      <c r="T5867" s="17"/>
      <c r="U5867" s="17"/>
      <c r="V5867" s="17"/>
      <c r="W5867" s="4"/>
      <c r="X5867" s="17"/>
      <c r="Y5867" s="4"/>
      <c r="Z5867" s="17"/>
      <c r="AA5867" s="17"/>
      <c r="AB5867" s="17"/>
      <c r="AC5867" s="14"/>
      <c r="AD5867" s="14"/>
      <c r="AE5867" s="17"/>
      <c r="AF5867" s="14"/>
      <c r="AG5867" s="54"/>
      <c r="AH5867" s="11"/>
      <c r="AI5867" s="14"/>
      <c r="AJ5867" s="19">
        <v>0</v>
      </c>
      <c r="AK5867" s="23">
        <v>0</v>
      </c>
      <c r="AL5867" s="11"/>
      <c r="AM5867" s="19">
        <v>0</v>
      </c>
      <c r="AN5867" s="19">
        <v>76200</v>
      </c>
      <c r="AO5867" s="14"/>
      <c r="AP5867" s="14">
        <v>76200</v>
      </c>
      <c r="AQ5867" s="12">
        <v>3.0000000000000001E-3</v>
      </c>
      <c r="AR5867" s="19"/>
    </row>
    <row r="5868" spans="1:44" s="26" customFormat="1" ht="42" x14ac:dyDescent="0.2">
      <c r="A5868" s="122">
        <f t="shared" si="622"/>
        <v>4860</v>
      </c>
      <c r="B5868" s="13">
        <v>1</v>
      </c>
      <c r="C5868" s="17" t="s">
        <v>52</v>
      </c>
      <c r="D5868" s="17">
        <v>8358</v>
      </c>
      <c r="E5868" s="17">
        <v>66</v>
      </c>
      <c r="F5868" s="17">
        <v>3126</v>
      </c>
      <c r="G5868" s="13">
        <v>4</v>
      </c>
      <c r="H5868" s="17">
        <v>0</v>
      </c>
      <c r="I5868" s="17">
        <v>1</v>
      </c>
      <c r="J5868" s="17">
        <v>38.01</v>
      </c>
      <c r="K5868" s="10"/>
      <c r="L5868" s="17">
        <v>138.01</v>
      </c>
      <c r="M5868" s="15"/>
      <c r="N5868" s="18"/>
      <c r="O5868" s="14"/>
      <c r="P5868" s="17">
        <v>2</v>
      </c>
      <c r="Q5868" s="19">
        <v>138.01</v>
      </c>
      <c r="R5868" s="14">
        <v>250</v>
      </c>
      <c r="S5868" s="19">
        <v>34502.5</v>
      </c>
      <c r="T5868" s="17">
        <v>1</v>
      </c>
      <c r="U5868" s="17"/>
      <c r="V5868" s="17" t="s">
        <v>183</v>
      </c>
      <c r="W5868" s="4">
        <v>125</v>
      </c>
      <c r="X5868" s="17"/>
      <c r="Y5868" s="4">
        <v>125</v>
      </c>
      <c r="Z5868" s="17"/>
      <c r="AA5868" s="17"/>
      <c r="AB5868" s="17">
        <v>19</v>
      </c>
      <c r="AC5868" s="14"/>
      <c r="AD5868" s="14"/>
      <c r="AE5868" s="17"/>
      <c r="AF5868" s="14"/>
      <c r="AG5868" s="54"/>
      <c r="AH5868" s="11"/>
      <c r="AI5868" s="14"/>
      <c r="AJ5868" s="19">
        <v>0</v>
      </c>
      <c r="AK5868" s="23">
        <v>19</v>
      </c>
      <c r="AL5868" s="11"/>
      <c r="AM5868" s="19">
        <v>0</v>
      </c>
      <c r="AN5868" s="19">
        <v>34502.5</v>
      </c>
      <c r="AO5868" s="14"/>
      <c r="AP5868" s="14">
        <v>34502.5</v>
      </c>
      <c r="AQ5868" s="12"/>
      <c r="AR5868" s="19"/>
    </row>
    <row r="5869" spans="1:44" s="26" customFormat="1" ht="63" x14ac:dyDescent="0.2">
      <c r="A5869" s="2"/>
      <c r="B5869" s="13"/>
      <c r="C5869" s="17"/>
      <c r="D5869" s="17"/>
      <c r="E5869" s="17"/>
      <c r="F5869" s="17"/>
      <c r="G5869" s="13"/>
      <c r="H5869" s="17"/>
      <c r="I5869" s="17"/>
      <c r="J5869" s="17"/>
      <c r="K5869" s="10"/>
      <c r="L5869" s="17"/>
      <c r="M5869" s="15"/>
      <c r="N5869" s="18"/>
      <c r="O5869" s="14"/>
      <c r="P5869" s="17"/>
      <c r="Q5869" s="19">
        <v>0</v>
      </c>
      <c r="R5869" s="14" t="e">
        <v>#N/A</v>
      </c>
      <c r="S5869" s="19" t="e">
        <v>#N/A</v>
      </c>
      <c r="T5869" s="17">
        <v>2</v>
      </c>
      <c r="U5869" s="17"/>
      <c r="V5869" s="17" t="s">
        <v>496</v>
      </c>
      <c r="W5869" s="4">
        <v>75</v>
      </c>
      <c r="X5869" s="17"/>
      <c r="Y5869" s="4">
        <v>75</v>
      </c>
      <c r="Z5869" s="17"/>
      <c r="AA5869" s="17"/>
      <c r="AB5869" s="17">
        <v>23</v>
      </c>
      <c r="AC5869" s="14"/>
      <c r="AD5869" s="14"/>
      <c r="AE5869" s="17"/>
      <c r="AF5869" s="14"/>
      <c r="AG5869" s="54"/>
      <c r="AH5869" s="11"/>
      <c r="AI5869" s="14"/>
      <c r="AJ5869" s="19">
        <v>0</v>
      </c>
      <c r="AK5869" s="23">
        <v>23</v>
      </c>
      <c r="AL5869" s="11"/>
      <c r="AM5869" s="19">
        <v>0</v>
      </c>
      <c r="AN5869" s="19" t="e">
        <v>#N/A</v>
      </c>
      <c r="AO5869" s="14"/>
      <c r="AP5869" s="14" t="e">
        <v>#N/A</v>
      </c>
      <c r="AQ5869" s="12"/>
      <c r="AR5869" s="19"/>
    </row>
    <row r="5870" spans="1:44" s="26" customFormat="1" ht="42" x14ac:dyDescent="0.2">
      <c r="A5870" s="2"/>
      <c r="B5870" s="13"/>
      <c r="C5870" s="17"/>
      <c r="D5870" s="17"/>
      <c r="E5870" s="17"/>
      <c r="F5870" s="17"/>
      <c r="G5870" s="13"/>
      <c r="H5870" s="17"/>
      <c r="I5870" s="17"/>
      <c r="J5870" s="17"/>
      <c r="K5870" s="10"/>
      <c r="L5870" s="17"/>
      <c r="M5870" s="15"/>
      <c r="N5870" s="18"/>
      <c r="O5870" s="14"/>
      <c r="P5870" s="17"/>
      <c r="Q5870" s="19">
        <v>0</v>
      </c>
      <c r="R5870" s="14" t="e">
        <v>#N/A</v>
      </c>
      <c r="S5870" s="19" t="e">
        <v>#N/A</v>
      </c>
      <c r="T5870" s="17">
        <v>3</v>
      </c>
      <c r="U5870" s="17"/>
      <c r="V5870" s="17" t="s">
        <v>530</v>
      </c>
      <c r="W5870" s="4">
        <v>44</v>
      </c>
      <c r="X5870" s="17"/>
      <c r="Y5870" s="4">
        <v>44</v>
      </c>
      <c r="Z5870" s="17"/>
      <c r="AA5870" s="17"/>
      <c r="AB5870" s="17">
        <v>21</v>
      </c>
      <c r="AC5870" s="14"/>
      <c r="AD5870" s="14"/>
      <c r="AE5870" s="17"/>
      <c r="AF5870" s="14"/>
      <c r="AG5870" s="54"/>
      <c r="AH5870" s="11"/>
      <c r="AI5870" s="14"/>
      <c r="AJ5870" s="19">
        <v>0</v>
      </c>
      <c r="AK5870" s="23">
        <v>21</v>
      </c>
      <c r="AL5870" s="11"/>
      <c r="AM5870" s="19">
        <v>0</v>
      </c>
      <c r="AN5870" s="19" t="e">
        <v>#N/A</v>
      </c>
      <c r="AO5870" s="14"/>
      <c r="AP5870" s="14" t="e">
        <v>#N/A</v>
      </c>
      <c r="AQ5870" s="12"/>
      <c r="AR5870" s="19"/>
    </row>
    <row r="5871" spans="1:44" s="26" customFormat="1" ht="63" x14ac:dyDescent="0.2">
      <c r="A5871" s="2">
        <v>4861</v>
      </c>
      <c r="B5871" s="13">
        <v>1</v>
      </c>
      <c r="C5871" s="17" t="s">
        <v>65</v>
      </c>
      <c r="D5871" s="17">
        <v>3420</v>
      </c>
      <c r="E5871" s="17">
        <v>148</v>
      </c>
      <c r="F5871" s="17"/>
      <c r="G5871" s="13"/>
      <c r="H5871" s="17">
        <v>0</v>
      </c>
      <c r="I5871" s="17">
        <v>0</v>
      </c>
      <c r="J5871" s="17">
        <v>95</v>
      </c>
      <c r="K5871" s="10"/>
      <c r="L5871" s="17" t="s">
        <v>598</v>
      </c>
      <c r="M5871" s="15"/>
      <c r="N5871" s="18"/>
      <c r="O5871" s="14"/>
      <c r="P5871" s="17">
        <v>2</v>
      </c>
      <c r="Q5871" s="19">
        <v>95</v>
      </c>
      <c r="R5871" s="14">
        <v>200</v>
      </c>
      <c r="S5871" s="19">
        <v>19000</v>
      </c>
      <c r="T5871" s="17"/>
      <c r="U5871" s="17" t="s">
        <v>57</v>
      </c>
      <c r="V5871" s="17" t="s">
        <v>84</v>
      </c>
      <c r="W5871" s="4" t="s">
        <v>253</v>
      </c>
      <c r="X5871" s="17"/>
      <c r="Y5871" s="4" t="s">
        <v>598</v>
      </c>
      <c r="Z5871" s="17"/>
      <c r="AA5871" s="17"/>
      <c r="AB5871" s="17" t="s">
        <v>534</v>
      </c>
      <c r="AC5871" s="14"/>
      <c r="AD5871" s="14"/>
      <c r="AE5871" s="17"/>
      <c r="AF5871" s="14"/>
      <c r="AG5871" s="54"/>
      <c r="AH5871" s="11"/>
      <c r="AI5871" s="14"/>
      <c r="AJ5871" s="19">
        <v>0</v>
      </c>
      <c r="AK5871" s="23" t="s">
        <v>534</v>
      </c>
      <c r="AL5871" s="11"/>
      <c r="AM5871" s="19">
        <v>0</v>
      </c>
      <c r="AN5871" s="19">
        <v>19000</v>
      </c>
      <c r="AO5871" s="14"/>
      <c r="AP5871" s="14">
        <v>19000</v>
      </c>
      <c r="AQ5871" s="12">
        <v>1E-4</v>
      </c>
      <c r="AR5871" s="19"/>
    </row>
    <row r="5872" spans="1:44" s="26" customFormat="1" ht="63" x14ac:dyDescent="0.2">
      <c r="A5872" s="2">
        <f>+A5871+1</f>
        <v>4862</v>
      </c>
      <c r="B5872" s="13">
        <v>1</v>
      </c>
      <c r="C5872" s="17" t="s">
        <v>65</v>
      </c>
      <c r="D5872" s="17">
        <v>3421</v>
      </c>
      <c r="E5872" s="17">
        <v>149</v>
      </c>
      <c r="F5872" s="17"/>
      <c r="G5872" s="13"/>
      <c r="H5872" s="17">
        <v>0</v>
      </c>
      <c r="I5872" s="17">
        <v>0</v>
      </c>
      <c r="J5872" s="17">
        <v>76</v>
      </c>
      <c r="K5872" s="10"/>
      <c r="L5872" s="17">
        <v>76</v>
      </c>
      <c r="M5872" s="15"/>
      <c r="N5872" s="18"/>
      <c r="O5872" s="14"/>
      <c r="P5872" s="17">
        <v>2</v>
      </c>
      <c r="Q5872" s="19">
        <v>76</v>
      </c>
      <c r="R5872" s="14">
        <v>200</v>
      </c>
      <c r="S5872" s="19">
        <v>15200</v>
      </c>
      <c r="T5872" s="17">
        <v>1</v>
      </c>
      <c r="U5872" s="17" t="s">
        <v>57</v>
      </c>
      <c r="V5872" s="17" t="s">
        <v>56</v>
      </c>
      <c r="W5872" s="4">
        <v>152</v>
      </c>
      <c r="X5872" s="17"/>
      <c r="Y5872" s="4">
        <v>152</v>
      </c>
      <c r="Z5872" s="17"/>
      <c r="AA5872" s="17"/>
      <c r="AB5872" s="17">
        <v>40</v>
      </c>
      <c r="AC5872" s="14"/>
      <c r="AD5872" s="14"/>
      <c r="AE5872" s="17"/>
      <c r="AF5872" s="14"/>
      <c r="AG5872" s="54"/>
      <c r="AH5872" s="11"/>
      <c r="AI5872" s="14"/>
      <c r="AJ5872" s="19">
        <v>0</v>
      </c>
      <c r="AK5872" s="23">
        <v>40</v>
      </c>
      <c r="AL5872" s="11"/>
      <c r="AM5872" s="19">
        <v>0</v>
      </c>
      <c r="AN5872" s="19">
        <v>15200</v>
      </c>
      <c r="AO5872" s="14"/>
      <c r="AP5872" s="14">
        <v>15200</v>
      </c>
      <c r="AQ5872" s="12">
        <v>2.0000000000000001E-4</v>
      </c>
      <c r="AR5872" s="19"/>
    </row>
    <row r="5873" spans="1:45" ht="63" x14ac:dyDescent="0.2">
      <c r="A5873" s="122">
        <f t="shared" ref="A5873:A5875" si="623">+A5872+1</f>
        <v>4863</v>
      </c>
      <c r="B5873" s="13">
        <v>1</v>
      </c>
      <c r="C5873" s="17" t="s">
        <v>65</v>
      </c>
      <c r="D5873" s="17">
        <v>3422</v>
      </c>
      <c r="E5873" s="17">
        <v>150</v>
      </c>
      <c r="H5873" s="17">
        <v>0</v>
      </c>
      <c r="I5873" s="17">
        <v>1</v>
      </c>
      <c r="J5873" s="17">
        <v>40</v>
      </c>
      <c r="L5873" s="17">
        <v>140</v>
      </c>
      <c r="P5873" s="17">
        <v>2</v>
      </c>
      <c r="Q5873" s="19">
        <v>140</v>
      </c>
      <c r="R5873" s="14">
        <v>160</v>
      </c>
      <c r="S5873" s="19">
        <v>22400</v>
      </c>
      <c r="T5873" s="17">
        <v>1</v>
      </c>
      <c r="U5873" s="17" t="s">
        <v>63</v>
      </c>
      <c r="V5873" s="17" t="s">
        <v>56</v>
      </c>
      <c r="W5873" s="4">
        <v>75</v>
      </c>
      <c r="Y5873" s="4">
        <v>75</v>
      </c>
      <c r="AB5873" s="17">
        <v>21</v>
      </c>
      <c r="AJ5873" s="19">
        <v>0</v>
      </c>
      <c r="AK5873" s="23">
        <v>21</v>
      </c>
      <c r="AM5873" s="19">
        <v>0</v>
      </c>
      <c r="AN5873" s="19">
        <v>22400</v>
      </c>
      <c r="AP5873" s="14">
        <v>22400</v>
      </c>
      <c r="AQ5873" s="12">
        <v>1E-4</v>
      </c>
    </row>
    <row r="5874" spans="1:45" ht="42" x14ac:dyDescent="0.2">
      <c r="A5874" s="122">
        <f t="shared" si="623"/>
        <v>4864</v>
      </c>
      <c r="B5874" s="13">
        <v>1</v>
      </c>
      <c r="C5874" s="17" t="s">
        <v>52</v>
      </c>
      <c r="D5874" s="17">
        <v>8362</v>
      </c>
      <c r="E5874" s="17">
        <v>70</v>
      </c>
      <c r="F5874" s="17">
        <v>3130</v>
      </c>
      <c r="G5874" s="13">
        <v>4</v>
      </c>
      <c r="H5874" s="17">
        <v>0</v>
      </c>
      <c r="I5874" s="17">
        <v>1</v>
      </c>
      <c r="J5874" s="17">
        <v>7.07</v>
      </c>
      <c r="K5874" s="10" t="s">
        <v>599</v>
      </c>
      <c r="P5874" s="17">
        <v>1</v>
      </c>
      <c r="Q5874" s="19">
        <v>107.07</v>
      </c>
      <c r="R5874" s="14">
        <v>250</v>
      </c>
      <c r="S5874" s="19">
        <v>26767.5</v>
      </c>
      <c r="T5874" s="17">
        <v>1</v>
      </c>
      <c r="V5874" s="17" t="s">
        <v>183</v>
      </c>
      <c r="W5874" s="4" t="s">
        <v>600</v>
      </c>
      <c r="Y5874" s="4" t="s">
        <v>600</v>
      </c>
      <c r="AB5874" s="17" t="s">
        <v>544</v>
      </c>
      <c r="AJ5874" s="19">
        <v>0</v>
      </c>
      <c r="AK5874" s="23" t="s">
        <v>544</v>
      </c>
      <c r="AM5874" s="19">
        <v>0</v>
      </c>
      <c r="AN5874" s="19">
        <v>26767.5</v>
      </c>
      <c r="AP5874" s="14">
        <v>26767.5</v>
      </c>
    </row>
    <row r="5875" spans="1:45" x14ac:dyDescent="0.2">
      <c r="A5875" s="122">
        <f t="shared" si="623"/>
        <v>4865</v>
      </c>
      <c r="B5875" s="13">
        <v>1</v>
      </c>
      <c r="C5875" s="17" t="s">
        <v>65</v>
      </c>
      <c r="D5875" s="17">
        <v>1666</v>
      </c>
      <c r="E5875" s="17">
        <v>26</v>
      </c>
      <c r="H5875" s="17">
        <v>0</v>
      </c>
      <c r="I5875" s="17">
        <v>3</v>
      </c>
      <c r="J5875" s="17">
        <v>9</v>
      </c>
      <c r="L5875" s="17" t="s">
        <v>584</v>
      </c>
      <c r="P5875" s="17">
        <v>2</v>
      </c>
      <c r="Q5875" s="19">
        <v>309</v>
      </c>
      <c r="R5875" s="14">
        <v>2000</v>
      </c>
      <c r="S5875" s="19">
        <v>618000</v>
      </c>
      <c r="AJ5875" s="19">
        <v>0</v>
      </c>
      <c r="AK5875" s="23">
        <v>0</v>
      </c>
      <c r="AM5875" s="19">
        <v>0</v>
      </c>
      <c r="AN5875" s="19">
        <v>618000</v>
      </c>
      <c r="AP5875" s="14">
        <v>618000</v>
      </c>
      <c r="AQ5875" s="12">
        <v>2.0000000000000001E-4</v>
      </c>
    </row>
    <row r="5876" spans="1:45" ht="63" x14ac:dyDescent="0.2">
      <c r="T5876" s="17">
        <v>1</v>
      </c>
      <c r="U5876" s="17" t="s">
        <v>63</v>
      </c>
      <c r="V5876" s="17" t="s">
        <v>56</v>
      </c>
      <c r="W5876" s="4">
        <v>63</v>
      </c>
      <c r="Y5876" s="4">
        <v>63</v>
      </c>
      <c r="AB5876" s="17">
        <v>31</v>
      </c>
      <c r="AJ5876" s="19">
        <v>0</v>
      </c>
      <c r="AK5876" s="23">
        <v>31</v>
      </c>
      <c r="AM5876" s="19">
        <v>0</v>
      </c>
      <c r="AN5876" s="19">
        <v>0</v>
      </c>
      <c r="AP5876" s="14">
        <v>0</v>
      </c>
    </row>
    <row r="5877" spans="1:45" ht="63" x14ac:dyDescent="0.2">
      <c r="T5877" s="17">
        <v>2</v>
      </c>
      <c r="U5877" s="17" t="s">
        <v>63</v>
      </c>
      <c r="V5877" s="17" t="s">
        <v>56</v>
      </c>
      <c r="W5877" s="4">
        <v>60</v>
      </c>
      <c r="Y5877" s="4">
        <v>60</v>
      </c>
      <c r="AB5877" s="17">
        <v>21</v>
      </c>
      <c r="AJ5877" s="19">
        <v>0</v>
      </c>
      <c r="AK5877" s="23">
        <v>21</v>
      </c>
      <c r="AM5877" s="19">
        <v>0</v>
      </c>
      <c r="AN5877" s="19">
        <v>0</v>
      </c>
      <c r="AP5877" s="14">
        <v>0</v>
      </c>
    </row>
    <row r="5878" spans="1:45" ht="42" x14ac:dyDescent="0.2">
      <c r="A5878" s="2">
        <v>4866</v>
      </c>
      <c r="B5878" s="13">
        <v>1</v>
      </c>
      <c r="C5878" s="17" t="s">
        <v>52</v>
      </c>
      <c r="D5878" s="17">
        <v>8359</v>
      </c>
      <c r="E5878" s="17">
        <v>67</v>
      </c>
      <c r="F5878" s="17">
        <v>3127</v>
      </c>
      <c r="G5878" s="13">
        <v>4</v>
      </c>
      <c r="H5878" s="17">
        <v>0</v>
      </c>
      <c r="I5878" s="17">
        <v>2</v>
      </c>
      <c r="J5878" s="17">
        <v>17.059999999999999</v>
      </c>
      <c r="L5878" s="17">
        <v>217.06</v>
      </c>
      <c r="P5878" s="17">
        <v>2</v>
      </c>
      <c r="Q5878" s="19">
        <v>217.06</v>
      </c>
      <c r="R5878" s="14">
        <v>250</v>
      </c>
      <c r="S5878" s="19">
        <v>54265</v>
      </c>
      <c r="T5878" s="17">
        <v>1</v>
      </c>
      <c r="V5878" s="17" t="s">
        <v>183</v>
      </c>
      <c r="W5878" s="4">
        <v>120</v>
      </c>
      <c r="Y5878" s="4">
        <v>120</v>
      </c>
      <c r="AB5878" s="17">
        <v>31</v>
      </c>
      <c r="AJ5878" s="19">
        <v>0</v>
      </c>
      <c r="AK5878" s="23">
        <v>31</v>
      </c>
      <c r="AM5878" s="19">
        <v>0</v>
      </c>
      <c r="AN5878" s="19">
        <v>54265</v>
      </c>
      <c r="AP5878" s="14">
        <v>54265</v>
      </c>
      <c r="AS5878" s="26">
        <v>7</v>
      </c>
    </row>
    <row r="5879" spans="1:45" x14ac:dyDescent="0.2">
      <c r="A5879" s="2">
        <f>+A5878+1</f>
        <v>4867</v>
      </c>
      <c r="B5879" s="13">
        <v>2</v>
      </c>
      <c r="C5879" s="17" t="s">
        <v>52</v>
      </c>
      <c r="D5879" s="17">
        <v>8361</v>
      </c>
      <c r="E5879" s="17">
        <v>69</v>
      </c>
      <c r="F5879" s="17">
        <v>3129</v>
      </c>
      <c r="G5879" s="13">
        <v>4</v>
      </c>
      <c r="H5879" s="17">
        <v>0</v>
      </c>
      <c r="I5879" s="17">
        <v>1</v>
      </c>
      <c r="J5879" s="17">
        <v>7.04</v>
      </c>
      <c r="K5879" s="10">
        <v>107.04</v>
      </c>
      <c r="P5879" s="17">
        <v>1</v>
      </c>
      <c r="Q5879" s="19">
        <v>107.04</v>
      </c>
      <c r="R5879" s="14">
        <v>250</v>
      </c>
      <c r="S5879" s="19">
        <v>26760</v>
      </c>
      <c r="AJ5879" s="19">
        <v>0</v>
      </c>
      <c r="AK5879" s="23">
        <v>0</v>
      </c>
      <c r="AM5879" s="19">
        <v>0</v>
      </c>
      <c r="AN5879" s="19">
        <v>26760</v>
      </c>
      <c r="AP5879" s="14">
        <v>26760</v>
      </c>
    </row>
    <row r="5880" spans="1:45" x14ac:dyDescent="0.2">
      <c r="A5880" s="122">
        <f t="shared" ref="A5880:A5882" si="624">+A5879+1</f>
        <v>4868</v>
      </c>
      <c r="B5880" s="13">
        <v>3</v>
      </c>
      <c r="C5880" s="17" t="s">
        <v>52</v>
      </c>
      <c r="D5880" s="17">
        <v>16786</v>
      </c>
      <c r="E5880" s="17">
        <v>37</v>
      </c>
      <c r="F5880" s="17">
        <v>3744</v>
      </c>
      <c r="G5880" s="13">
        <v>4</v>
      </c>
      <c r="H5880" s="17">
        <v>0</v>
      </c>
      <c r="I5880" s="17">
        <v>3</v>
      </c>
      <c r="J5880" s="17">
        <v>84</v>
      </c>
      <c r="N5880" s="18">
        <v>384</v>
      </c>
      <c r="P5880" s="17">
        <v>4</v>
      </c>
      <c r="Q5880" s="19">
        <v>384</v>
      </c>
      <c r="R5880" s="14">
        <v>1000</v>
      </c>
      <c r="S5880" s="19">
        <v>384000</v>
      </c>
      <c r="AJ5880" s="19">
        <v>0</v>
      </c>
      <c r="AK5880" s="23">
        <v>0</v>
      </c>
      <c r="AM5880" s="19">
        <v>0</v>
      </c>
      <c r="AN5880" s="19">
        <v>384000</v>
      </c>
      <c r="AP5880" s="14">
        <v>384000</v>
      </c>
      <c r="AQ5880" s="12">
        <v>3.0000000000000001E-3</v>
      </c>
    </row>
    <row r="5881" spans="1:45" x14ac:dyDescent="0.2">
      <c r="A5881" s="122">
        <f t="shared" si="624"/>
        <v>4869</v>
      </c>
      <c r="B5881" s="13">
        <v>1</v>
      </c>
      <c r="C5881" s="17" t="s">
        <v>52</v>
      </c>
      <c r="D5881" s="17">
        <v>2052</v>
      </c>
      <c r="E5881" s="17">
        <v>15</v>
      </c>
      <c r="F5881" s="17">
        <v>1164</v>
      </c>
      <c r="G5881" s="13">
        <v>4</v>
      </c>
      <c r="H5881" s="17">
        <v>0</v>
      </c>
      <c r="I5881" s="17">
        <v>0</v>
      </c>
      <c r="J5881" s="17">
        <v>79</v>
      </c>
      <c r="L5881" s="17">
        <v>79</v>
      </c>
      <c r="P5881" s="17">
        <v>2</v>
      </c>
      <c r="Q5881" s="19">
        <v>79</v>
      </c>
      <c r="R5881" s="14">
        <v>250</v>
      </c>
      <c r="S5881" s="19">
        <v>19750</v>
      </c>
      <c r="AJ5881" s="19">
        <v>0</v>
      </c>
      <c r="AK5881" s="23">
        <v>0</v>
      </c>
      <c r="AM5881" s="19">
        <v>0</v>
      </c>
      <c r="AN5881" s="19">
        <v>19750</v>
      </c>
      <c r="AP5881" s="14">
        <v>19750</v>
      </c>
    </row>
    <row r="5882" spans="1:45" x14ac:dyDescent="0.2">
      <c r="A5882" s="122">
        <f t="shared" si="624"/>
        <v>4870</v>
      </c>
      <c r="B5882" s="13">
        <v>2</v>
      </c>
      <c r="C5882" s="17" t="s">
        <v>52</v>
      </c>
      <c r="D5882" s="17">
        <v>8349</v>
      </c>
      <c r="E5882" s="17">
        <v>19</v>
      </c>
      <c r="F5882" s="17">
        <v>3139</v>
      </c>
      <c r="G5882" s="13">
        <v>4</v>
      </c>
      <c r="H5882" s="17">
        <v>0</v>
      </c>
      <c r="I5882" s="17">
        <v>0</v>
      </c>
      <c r="J5882" s="17">
        <v>31.04</v>
      </c>
      <c r="L5882" s="17">
        <v>31.04</v>
      </c>
      <c r="P5882" s="17">
        <v>2</v>
      </c>
      <c r="Q5882" s="19">
        <v>31.04</v>
      </c>
      <c r="R5882" s="14">
        <v>2000</v>
      </c>
      <c r="S5882" s="19">
        <v>62080</v>
      </c>
      <c r="AJ5882" s="19">
        <v>0</v>
      </c>
      <c r="AK5882" s="23">
        <v>0</v>
      </c>
      <c r="AM5882" s="19">
        <v>0</v>
      </c>
      <c r="AN5882" s="19">
        <v>62080</v>
      </c>
      <c r="AP5882" s="14">
        <v>62080</v>
      </c>
    </row>
    <row r="5883" spans="1:45" x14ac:dyDescent="0.2">
      <c r="R5883" s="14" t="e">
        <v>#N/A</v>
      </c>
    </row>
    <row r="5884" spans="1:45" ht="42" x14ac:dyDescent="0.2">
      <c r="A5884" s="2">
        <v>4871</v>
      </c>
      <c r="B5884" s="13">
        <v>1</v>
      </c>
      <c r="C5884" s="17" t="s">
        <v>52</v>
      </c>
      <c r="D5884" s="17">
        <v>8346</v>
      </c>
      <c r="E5884" s="17">
        <v>3</v>
      </c>
      <c r="F5884" s="17">
        <v>3136</v>
      </c>
      <c r="G5884" s="13">
        <v>4</v>
      </c>
      <c r="H5884" s="17">
        <v>0</v>
      </c>
      <c r="I5884" s="17">
        <v>1</v>
      </c>
      <c r="J5884" s="17">
        <v>46.06</v>
      </c>
      <c r="L5884" s="17">
        <v>146.06</v>
      </c>
      <c r="P5884" s="17">
        <v>2</v>
      </c>
      <c r="Q5884" s="19">
        <v>146.06</v>
      </c>
      <c r="R5884" s="14">
        <v>2000</v>
      </c>
      <c r="S5884" s="19">
        <v>292120</v>
      </c>
      <c r="T5884" s="17">
        <v>1</v>
      </c>
      <c r="V5884" s="17" t="s">
        <v>183</v>
      </c>
      <c r="W5884" s="4">
        <v>90</v>
      </c>
      <c r="Y5884" s="4">
        <v>90</v>
      </c>
      <c r="AB5884" s="17">
        <v>30</v>
      </c>
      <c r="AJ5884" s="19">
        <v>0</v>
      </c>
      <c r="AK5884" s="23">
        <v>30</v>
      </c>
      <c r="AM5884" s="19">
        <v>0</v>
      </c>
      <c r="AN5884" s="19">
        <v>292120</v>
      </c>
      <c r="AP5884" s="14">
        <v>292120</v>
      </c>
    </row>
    <row r="5885" spans="1:45" x14ac:dyDescent="0.2">
      <c r="A5885" s="2">
        <v>4872</v>
      </c>
      <c r="B5885" s="13">
        <v>2</v>
      </c>
      <c r="C5885" s="17" t="s">
        <v>65</v>
      </c>
      <c r="D5885" s="17">
        <v>1777</v>
      </c>
      <c r="E5885" s="17">
        <v>100</v>
      </c>
      <c r="H5885" s="17">
        <v>10</v>
      </c>
      <c r="I5885" s="17">
        <v>1</v>
      </c>
      <c r="J5885" s="17">
        <v>93</v>
      </c>
      <c r="K5885" s="10">
        <v>4193</v>
      </c>
      <c r="P5885" s="17">
        <v>1</v>
      </c>
      <c r="Q5885" s="19">
        <v>4193</v>
      </c>
      <c r="R5885" s="14">
        <v>160</v>
      </c>
      <c r="S5885" s="19">
        <v>670880</v>
      </c>
      <c r="AJ5885" s="19">
        <v>0</v>
      </c>
      <c r="AK5885" s="23">
        <v>0</v>
      </c>
      <c r="AM5885" s="19">
        <v>0</v>
      </c>
      <c r="AN5885" s="19">
        <v>670880</v>
      </c>
      <c r="AP5885" s="14">
        <v>670880</v>
      </c>
      <c r="AQ5885" s="12">
        <v>1E-4</v>
      </c>
    </row>
    <row r="5886" spans="1:45" x14ac:dyDescent="0.2">
      <c r="R5886" s="14" t="e">
        <v>#N/A</v>
      </c>
    </row>
    <row r="5887" spans="1:45" ht="42" x14ac:dyDescent="0.2">
      <c r="A5887" s="2">
        <v>4873</v>
      </c>
      <c r="B5887" s="13">
        <v>1</v>
      </c>
      <c r="C5887" s="17" t="s">
        <v>52</v>
      </c>
      <c r="D5887" s="17">
        <v>11743</v>
      </c>
      <c r="E5887" s="17">
        <v>22</v>
      </c>
      <c r="F5887" s="17">
        <v>3199</v>
      </c>
      <c r="G5887" s="13">
        <v>4</v>
      </c>
      <c r="H5887" s="17">
        <v>0</v>
      </c>
      <c r="I5887" s="17">
        <v>0</v>
      </c>
      <c r="J5887" s="17">
        <v>54.02</v>
      </c>
      <c r="L5887" s="17">
        <v>54.02</v>
      </c>
      <c r="P5887" s="17">
        <v>2</v>
      </c>
      <c r="Q5887" s="19">
        <v>54.02</v>
      </c>
      <c r="R5887" s="14">
        <v>2000</v>
      </c>
      <c r="S5887" s="19">
        <v>108040</v>
      </c>
      <c r="T5887" s="17">
        <v>1</v>
      </c>
      <c r="V5887" s="17" t="s">
        <v>183</v>
      </c>
      <c r="W5887" s="4">
        <v>112.5</v>
      </c>
      <c r="Y5887" s="4">
        <v>112.5</v>
      </c>
      <c r="AB5887" s="17">
        <v>29</v>
      </c>
      <c r="AJ5887" s="19">
        <v>0</v>
      </c>
      <c r="AK5887" s="23">
        <v>29</v>
      </c>
      <c r="AM5887" s="19">
        <v>0</v>
      </c>
      <c r="AN5887" s="19">
        <v>108040</v>
      </c>
      <c r="AP5887" s="14">
        <v>108040</v>
      </c>
    </row>
    <row r="5888" spans="1:45" ht="42" x14ac:dyDescent="0.2">
      <c r="A5888" s="2">
        <f>+A5887+1</f>
        <v>4874</v>
      </c>
      <c r="B5888" s="13">
        <v>1</v>
      </c>
      <c r="C5888" s="17" t="s">
        <v>52</v>
      </c>
      <c r="D5888" s="17">
        <v>8347</v>
      </c>
      <c r="E5888" s="17">
        <v>4</v>
      </c>
      <c r="F5888" s="17">
        <v>3137</v>
      </c>
      <c r="G5888" s="13">
        <v>4</v>
      </c>
      <c r="H5888" s="17">
        <v>0</v>
      </c>
      <c r="I5888" s="17">
        <v>1</v>
      </c>
      <c r="J5888" s="17">
        <v>51.08</v>
      </c>
      <c r="L5888" s="17">
        <v>151.08000000000001</v>
      </c>
      <c r="P5888" s="17">
        <v>2</v>
      </c>
      <c r="Q5888" s="19">
        <v>151.07999999999998</v>
      </c>
      <c r="R5888" s="14">
        <v>2000</v>
      </c>
      <c r="S5888" s="19">
        <v>302159.99999999994</v>
      </c>
      <c r="T5888" s="17">
        <v>1</v>
      </c>
      <c r="V5888" s="17" t="s">
        <v>183</v>
      </c>
      <c r="W5888" s="4">
        <v>85</v>
      </c>
      <c r="Y5888" s="4">
        <v>85</v>
      </c>
      <c r="AB5888" s="17">
        <v>27</v>
      </c>
      <c r="AJ5888" s="19">
        <v>0</v>
      </c>
      <c r="AK5888" s="23">
        <v>27</v>
      </c>
      <c r="AM5888" s="19">
        <v>0</v>
      </c>
      <c r="AN5888" s="19">
        <v>302159.99999999994</v>
      </c>
      <c r="AP5888" s="14">
        <v>302159.99999999994</v>
      </c>
    </row>
    <row r="5889" spans="1:46" x14ac:dyDescent="0.2">
      <c r="B5889" s="13">
        <v>2</v>
      </c>
      <c r="C5889" s="17" t="s">
        <v>65</v>
      </c>
      <c r="D5889" s="17">
        <v>3720</v>
      </c>
      <c r="E5889" s="17">
        <v>178</v>
      </c>
      <c r="H5889" s="17">
        <v>0</v>
      </c>
      <c r="I5889" s="17">
        <v>0</v>
      </c>
      <c r="J5889" s="17">
        <v>51</v>
      </c>
      <c r="N5889" s="18">
        <v>51</v>
      </c>
      <c r="Q5889" s="19">
        <v>51</v>
      </c>
      <c r="R5889" s="14" t="e">
        <v>#N/A</v>
      </c>
      <c r="S5889" s="19" t="e">
        <v>#N/A</v>
      </c>
      <c r="AE5889" s="17" t="s">
        <v>95</v>
      </c>
      <c r="AJ5889" s="19">
        <v>0</v>
      </c>
      <c r="AK5889" s="23">
        <v>0</v>
      </c>
      <c r="AM5889" s="19">
        <v>0</v>
      </c>
      <c r="AN5889" s="19" t="e">
        <v>#N/A</v>
      </c>
      <c r="AP5889" s="14" t="e">
        <v>#N/A</v>
      </c>
      <c r="AQ5889" s="12">
        <v>3.0000000000000001E-3</v>
      </c>
    </row>
    <row r="5890" spans="1:46" x14ac:dyDescent="0.2">
      <c r="A5890" s="2">
        <v>4875</v>
      </c>
      <c r="B5890" s="13">
        <v>1</v>
      </c>
      <c r="C5890" s="17" t="s">
        <v>52</v>
      </c>
      <c r="D5890" s="17">
        <v>28337</v>
      </c>
      <c r="E5890" s="17">
        <v>47</v>
      </c>
      <c r="F5890" s="17">
        <v>5311</v>
      </c>
      <c r="G5890" s="13">
        <v>4</v>
      </c>
      <c r="H5890" s="17">
        <v>0</v>
      </c>
      <c r="I5890" s="17">
        <v>0</v>
      </c>
      <c r="J5890" s="17">
        <v>78</v>
      </c>
      <c r="N5890" s="18">
        <v>78</v>
      </c>
      <c r="Q5890" s="19">
        <v>78</v>
      </c>
      <c r="R5890" s="14">
        <v>2000</v>
      </c>
      <c r="S5890" s="19">
        <v>156000</v>
      </c>
      <c r="AJ5890" s="19">
        <v>0</v>
      </c>
      <c r="AK5890" s="23">
        <v>0</v>
      </c>
      <c r="AM5890" s="19">
        <v>0</v>
      </c>
      <c r="AN5890" s="19">
        <v>156000</v>
      </c>
      <c r="AP5890" s="14">
        <v>156000</v>
      </c>
      <c r="AQ5890" s="12">
        <v>3.0000000000000001E-3</v>
      </c>
      <c r="AS5890" s="26">
        <v>55</v>
      </c>
    </row>
    <row r="5891" spans="1:46" x14ac:dyDescent="0.2">
      <c r="A5891" s="2">
        <f>+A5890+1</f>
        <v>4876</v>
      </c>
      <c r="B5891" s="13">
        <v>2</v>
      </c>
      <c r="C5891" s="17" t="s">
        <v>65</v>
      </c>
      <c r="D5891" s="17">
        <v>1411</v>
      </c>
      <c r="E5891" s="17">
        <v>102</v>
      </c>
      <c r="H5891" s="17">
        <v>7</v>
      </c>
      <c r="I5891" s="17">
        <v>1</v>
      </c>
      <c r="J5891" s="17">
        <v>0</v>
      </c>
      <c r="K5891" s="10">
        <v>2900</v>
      </c>
      <c r="P5891" s="17">
        <v>1</v>
      </c>
      <c r="Q5891" s="19">
        <v>2900</v>
      </c>
      <c r="R5891" s="14">
        <v>160</v>
      </c>
      <c r="S5891" s="19">
        <v>464000</v>
      </c>
      <c r="AJ5891" s="19">
        <v>0</v>
      </c>
      <c r="AK5891" s="23">
        <v>0</v>
      </c>
      <c r="AM5891" s="19">
        <v>0</v>
      </c>
      <c r="AN5891" s="19">
        <v>464000</v>
      </c>
      <c r="AP5891" s="14">
        <v>464000</v>
      </c>
      <c r="AQ5891" s="12">
        <v>1E-4</v>
      </c>
      <c r="AT5891" s="14">
        <v>1120.4000000000001</v>
      </c>
    </row>
    <row r="5892" spans="1:46" x14ac:dyDescent="0.2">
      <c r="A5892" s="122">
        <f t="shared" ref="A5892:A5894" si="625">+A5891+1</f>
        <v>4877</v>
      </c>
      <c r="B5892" s="13">
        <v>3</v>
      </c>
      <c r="C5892" s="17" t="s">
        <v>65</v>
      </c>
      <c r="D5892" s="17">
        <v>3613</v>
      </c>
      <c r="E5892" s="17">
        <v>169</v>
      </c>
      <c r="H5892" s="17">
        <v>0</v>
      </c>
      <c r="I5892" s="17">
        <v>0</v>
      </c>
      <c r="J5892" s="17">
        <v>51</v>
      </c>
      <c r="N5892" s="18">
        <v>51</v>
      </c>
      <c r="P5892" s="17">
        <v>4</v>
      </c>
      <c r="Q5892" s="19">
        <v>51</v>
      </c>
      <c r="R5892" s="14">
        <v>2000</v>
      </c>
      <c r="S5892" s="19">
        <v>102000</v>
      </c>
      <c r="AJ5892" s="19">
        <v>0</v>
      </c>
      <c r="AK5892" s="23">
        <v>0</v>
      </c>
      <c r="AM5892" s="19">
        <v>0</v>
      </c>
      <c r="AN5892" s="19">
        <v>102000</v>
      </c>
      <c r="AP5892" s="14">
        <v>102000</v>
      </c>
      <c r="AQ5892" s="12">
        <v>3.0000000000000001E-3</v>
      </c>
    </row>
    <row r="5893" spans="1:46" x14ac:dyDescent="0.2">
      <c r="A5893" s="122">
        <f t="shared" si="625"/>
        <v>4878</v>
      </c>
      <c r="B5893" s="13">
        <v>4</v>
      </c>
      <c r="C5893" s="17" t="s">
        <v>65</v>
      </c>
      <c r="D5893" s="17">
        <v>3614</v>
      </c>
      <c r="E5893" s="17">
        <v>170</v>
      </c>
      <c r="H5893" s="17">
        <v>0</v>
      </c>
      <c r="I5893" s="17">
        <v>0</v>
      </c>
      <c r="J5893" s="17">
        <v>50</v>
      </c>
      <c r="N5893" s="18">
        <v>50</v>
      </c>
      <c r="P5893" s="17">
        <v>4</v>
      </c>
      <c r="Q5893" s="19">
        <v>50</v>
      </c>
      <c r="R5893" s="14">
        <v>2000</v>
      </c>
      <c r="S5893" s="19">
        <v>100000</v>
      </c>
      <c r="AJ5893" s="19">
        <v>0</v>
      </c>
      <c r="AK5893" s="23">
        <v>0</v>
      </c>
      <c r="AM5893" s="19">
        <v>0</v>
      </c>
      <c r="AN5893" s="19">
        <v>100000</v>
      </c>
      <c r="AP5893" s="14">
        <v>100000</v>
      </c>
      <c r="AQ5893" s="12">
        <v>3.0000000000000001E-3</v>
      </c>
    </row>
    <row r="5894" spans="1:46" x14ac:dyDescent="0.2">
      <c r="A5894" s="122">
        <f t="shared" si="625"/>
        <v>4879</v>
      </c>
      <c r="B5894" s="13">
        <v>1</v>
      </c>
      <c r="C5894" s="17" t="s">
        <v>52</v>
      </c>
      <c r="D5894" s="17">
        <v>2051</v>
      </c>
      <c r="E5894" s="17">
        <v>16</v>
      </c>
      <c r="F5894" s="17">
        <v>1163</v>
      </c>
      <c r="G5894" s="13">
        <v>4</v>
      </c>
      <c r="H5894" s="17">
        <v>2</v>
      </c>
      <c r="I5894" s="17">
        <v>2</v>
      </c>
      <c r="J5894" s="17">
        <v>42</v>
      </c>
      <c r="L5894" s="17">
        <v>1042</v>
      </c>
      <c r="P5894" s="17">
        <v>2</v>
      </c>
      <c r="Q5894" s="19">
        <v>1042</v>
      </c>
      <c r="R5894" s="14">
        <v>200</v>
      </c>
      <c r="S5894" s="19">
        <v>208400</v>
      </c>
      <c r="AS5894" s="26">
        <v>17</v>
      </c>
    </row>
    <row r="5895" spans="1:46" ht="42" x14ac:dyDescent="0.2">
      <c r="S5895" s="19">
        <v>0</v>
      </c>
      <c r="T5895" s="17">
        <v>1</v>
      </c>
      <c r="V5895" s="17" t="s">
        <v>183</v>
      </c>
      <c r="W5895" s="4">
        <v>70</v>
      </c>
      <c r="Y5895" s="4">
        <v>70</v>
      </c>
      <c r="AB5895" s="17">
        <v>24</v>
      </c>
      <c r="AE5895" s="17" t="s">
        <v>602</v>
      </c>
      <c r="AF5895" s="14">
        <v>2</v>
      </c>
      <c r="AJ5895" s="19">
        <v>0</v>
      </c>
      <c r="AK5895" s="23">
        <v>24</v>
      </c>
      <c r="AM5895" s="19">
        <v>0</v>
      </c>
      <c r="AN5895" s="19">
        <v>0</v>
      </c>
      <c r="AP5895" s="14">
        <v>0</v>
      </c>
    </row>
    <row r="5896" spans="1:46" x14ac:dyDescent="0.2">
      <c r="Q5896" s="19">
        <v>500.5</v>
      </c>
      <c r="R5896" s="14">
        <v>200</v>
      </c>
      <c r="S5896" s="19">
        <v>100100</v>
      </c>
      <c r="T5896" s="17" t="s">
        <v>288</v>
      </c>
      <c r="AF5896" s="14">
        <v>3</v>
      </c>
      <c r="AJ5896" s="19">
        <v>0</v>
      </c>
      <c r="AK5896" s="23">
        <v>0</v>
      </c>
      <c r="AM5896" s="19">
        <v>0</v>
      </c>
      <c r="AN5896" s="19">
        <v>100100</v>
      </c>
      <c r="AP5896" s="14">
        <v>100100</v>
      </c>
      <c r="AQ5896" s="12">
        <v>3.0000000000000001E-3</v>
      </c>
    </row>
    <row r="5897" spans="1:46" x14ac:dyDescent="0.2">
      <c r="A5897" s="2">
        <v>4880</v>
      </c>
      <c r="B5897" s="13">
        <v>2</v>
      </c>
      <c r="C5897" s="17" t="s">
        <v>52</v>
      </c>
      <c r="D5897" s="17">
        <v>17989</v>
      </c>
      <c r="E5897" s="17">
        <v>30</v>
      </c>
      <c r="F5897" s="17">
        <v>3938</v>
      </c>
      <c r="G5897" s="13">
        <v>4</v>
      </c>
      <c r="H5897" s="17">
        <v>0</v>
      </c>
      <c r="I5897" s="17">
        <v>2</v>
      </c>
      <c r="J5897" s="17">
        <v>33</v>
      </c>
      <c r="K5897" s="10">
        <v>233</v>
      </c>
      <c r="P5897" s="17">
        <v>1</v>
      </c>
      <c r="Q5897" s="19">
        <v>233</v>
      </c>
      <c r="R5897" s="14">
        <v>2000</v>
      </c>
      <c r="S5897" s="19">
        <v>466000</v>
      </c>
      <c r="AJ5897" s="19">
        <v>0</v>
      </c>
      <c r="AK5897" s="23">
        <v>0</v>
      </c>
      <c r="AM5897" s="19">
        <v>0</v>
      </c>
      <c r="AN5897" s="19">
        <v>466000</v>
      </c>
      <c r="AP5897" s="14">
        <v>466000</v>
      </c>
    </row>
    <row r="5898" spans="1:46" ht="42" x14ac:dyDescent="0.2">
      <c r="A5898" s="2">
        <v>4881</v>
      </c>
      <c r="B5898" s="13">
        <v>3</v>
      </c>
      <c r="C5898" s="17" t="s">
        <v>52</v>
      </c>
      <c r="D5898" s="17">
        <v>28335</v>
      </c>
      <c r="E5898" s="17">
        <v>45</v>
      </c>
      <c r="F5898" s="17">
        <v>5309</v>
      </c>
      <c r="G5898" s="13">
        <v>4</v>
      </c>
      <c r="H5898" s="17">
        <v>0</v>
      </c>
      <c r="I5898" s="17">
        <v>1</v>
      </c>
      <c r="J5898" s="17">
        <v>79</v>
      </c>
      <c r="L5898" s="17">
        <v>179</v>
      </c>
      <c r="P5898" s="17">
        <v>2</v>
      </c>
      <c r="Q5898" s="19">
        <v>179</v>
      </c>
      <c r="R5898" s="14">
        <v>1500</v>
      </c>
      <c r="S5898" s="19">
        <v>268500</v>
      </c>
      <c r="T5898" s="17">
        <v>1</v>
      </c>
      <c r="V5898" s="17" t="s">
        <v>183</v>
      </c>
      <c r="W5898" s="4">
        <v>147</v>
      </c>
      <c r="Y5898" s="4">
        <v>147</v>
      </c>
      <c r="AB5898" s="17">
        <v>21</v>
      </c>
      <c r="AJ5898" s="19">
        <v>0</v>
      </c>
      <c r="AK5898" s="23">
        <v>21</v>
      </c>
      <c r="AM5898" s="19">
        <v>0</v>
      </c>
      <c r="AN5898" s="19">
        <v>268500</v>
      </c>
      <c r="AP5898" s="14">
        <v>268500</v>
      </c>
    </row>
    <row r="5899" spans="1:46" x14ac:dyDescent="0.2">
      <c r="A5899" s="2">
        <v>4882</v>
      </c>
      <c r="B5899" s="13">
        <v>4</v>
      </c>
      <c r="C5899" s="17" t="s">
        <v>52</v>
      </c>
      <c r="D5899" s="17">
        <v>28336</v>
      </c>
      <c r="E5899" s="17">
        <v>46</v>
      </c>
      <c r="F5899" s="17">
        <v>5310</v>
      </c>
      <c r="G5899" s="13">
        <v>4</v>
      </c>
      <c r="H5899" s="17">
        <v>0</v>
      </c>
      <c r="I5899" s="17">
        <v>1</v>
      </c>
      <c r="J5899" s="17">
        <v>78</v>
      </c>
      <c r="N5899" s="18">
        <v>178</v>
      </c>
      <c r="P5899" s="17">
        <v>4</v>
      </c>
      <c r="Q5899" s="19">
        <v>178</v>
      </c>
      <c r="R5899" s="14">
        <v>1500</v>
      </c>
      <c r="S5899" s="19">
        <v>267000</v>
      </c>
      <c r="AJ5899" s="19">
        <v>0</v>
      </c>
      <c r="AK5899" s="23">
        <v>0</v>
      </c>
      <c r="AM5899" s="19">
        <v>0</v>
      </c>
      <c r="AN5899" s="19">
        <v>267000</v>
      </c>
      <c r="AP5899" s="14">
        <v>267000</v>
      </c>
      <c r="AQ5899" s="12">
        <v>3.0000000000000001E-3</v>
      </c>
    </row>
    <row r="5900" spans="1:46" x14ac:dyDescent="0.2">
      <c r="A5900" s="2">
        <f>+A5899+1</f>
        <v>4883</v>
      </c>
      <c r="B5900" s="13">
        <v>5</v>
      </c>
      <c r="C5900" s="17" t="s">
        <v>65</v>
      </c>
      <c r="D5900" s="17">
        <v>1651</v>
      </c>
      <c r="E5900" s="17">
        <v>1</v>
      </c>
      <c r="H5900" s="17">
        <v>3</v>
      </c>
      <c r="I5900" s="17">
        <v>2</v>
      </c>
      <c r="J5900" s="17">
        <v>23</v>
      </c>
      <c r="K5900" s="10">
        <v>1423</v>
      </c>
      <c r="P5900" s="17">
        <v>1</v>
      </c>
      <c r="Q5900" s="19">
        <v>1423</v>
      </c>
      <c r="R5900" s="14">
        <v>160</v>
      </c>
      <c r="S5900" s="19">
        <v>227680</v>
      </c>
      <c r="AJ5900" s="19">
        <v>0</v>
      </c>
      <c r="AK5900" s="23">
        <v>0</v>
      </c>
      <c r="AM5900" s="19">
        <v>0</v>
      </c>
      <c r="AN5900" s="19">
        <v>227680</v>
      </c>
      <c r="AP5900" s="14">
        <v>227680</v>
      </c>
      <c r="AQ5900" s="12">
        <v>1E-4</v>
      </c>
    </row>
    <row r="5901" spans="1:46" x14ac:dyDescent="0.2">
      <c r="A5901" s="122">
        <f t="shared" ref="A5901:A5913" si="626">+A5900+1</f>
        <v>4884</v>
      </c>
      <c r="B5901" s="13">
        <v>1</v>
      </c>
      <c r="C5901" s="17" t="s">
        <v>52</v>
      </c>
      <c r="D5901" s="17">
        <v>28333</v>
      </c>
      <c r="E5901" s="17">
        <v>43</v>
      </c>
      <c r="F5901" s="17">
        <v>5307</v>
      </c>
      <c r="G5901" s="13">
        <v>4</v>
      </c>
      <c r="H5901" s="17">
        <v>0</v>
      </c>
      <c r="I5901" s="17">
        <v>0</v>
      </c>
      <c r="J5901" s="17">
        <v>54</v>
      </c>
      <c r="N5901" s="18">
        <v>54</v>
      </c>
      <c r="P5901" s="17">
        <v>4</v>
      </c>
      <c r="Q5901" s="19">
        <v>54</v>
      </c>
      <c r="R5901" s="14">
        <v>2000</v>
      </c>
      <c r="S5901" s="19">
        <v>108000</v>
      </c>
      <c r="AJ5901" s="19">
        <v>0</v>
      </c>
      <c r="AK5901" s="23">
        <v>0</v>
      </c>
      <c r="AM5901" s="19">
        <v>0</v>
      </c>
      <c r="AN5901" s="19">
        <v>108000</v>
      </c>
      <c r="AP5901" s="14">
        <v>108000</v>
      </c>
      <c r="AQ5901" s="12">
        <v>3.0000000000000001E-3</v>
      </c>
      <c r="AS5901" s="26">
        <v>3</v>
      </c>
    </row>
    <row r="5902" spans="1:46" x14ac:dyDescent="0.2">
      <c r="A5902" s="122">
        <f t="shared" si="626"/>
        <v>4885</v>
      </c>
      <c r="B5902" s="13">
        <v>2</v>
      </c>
      <c r="C5902" s="17" t="s">
        <v>52</v>
      </c>
      <c r="D5902" s="17">
        <v>28334</v>
      </c>
      <c r="E5902" s="17">
        <v>44</v>
      </c>
      <c r="F5902" s="17">
        <v>5308</v>
      </c>
      <c r="G5902" s="13">
        <v>4</v>
      </c>
      <c r="H5902" s="17">
        <v>0</v>
      </c>
      <c r="I5902" s="17">
        <v>1</v>
      </c>
      <c r="J5902" s="17">
        <v>56</v>
      </c>
      <c r="N5902" s="18">
        <v>156</v>
      </c>
      <c r="P5902" s="17">
        <v>4</v>
      </c>
      <c r="Q5902" s="19">
        <v>156</v>
      </c>
      <c r="R5902" s="14">
        <v>2000</v>
      </c>
      <c r="S5902" s="19">
        <v>312000</v>
      </c>
      <c r="AJ5902" s="19">
        <v>0</v>
      </c>
      <c r="AK5902" s="23">
        <v>0</v>
      </c>
      <c r="AM5902" s="19">
        <v>0</v>
      </c>
      <c r="AN5902" s="19">
        <v>312000</v>
      </c>
      <c r="AP5902" s="14">
        <v>312000</v>
      </c>
      <c r="AQ5902" s="12">
        <v>3.0000000000000001E-3</v>
      </c>
    </row>
    <row r="5903" spans="1:46" x14ac:dyDescent="0.2">
      <c r="A5903" s="122">
        <f t="shared" si="626"/>
        <v>4886</v>
      </c>
      <c r="B5903" s="13">
        <v>1</v>
      </c>
      <c r="C5903" s="17" t="s">
        <v>65</v>
      </c>
      <c r="D5903" s="17">
        <v>1933</v>
      </c>
      <c r="E5903" s="17">
        <v>112</v>
      </c>
      <c r="H5903" s="17">
        <v>0</v>
      </c>
      <c r="I5903" s="17">
        <v>1</v>
      </c>
      <c r="J5903" s="17">
        <v>85</v>
      </c>
      <c r="K5903" s="10">
        <v>185</v>
      </c>
      <c r="P5903" s="17">
        <v>1</v>
      </c>
      <c r="Q5903" s="19">
        <v>185</v>
      </c>
      <c r="R5903" s="14">
        <v>2000</v>
      </c>
      <c r="S5903" s="19">
        <v>370000</v>
      </c>
      <c r="AJ5903" s="19">
        <v>0</v>
      </c>
      <c r="AK5903" s="23">
        <v>0</v>
      </c>
      <c r="AM5903" s="19">
        <v>0</v>
      </c>
      <c r="AN5903" s="19">
        <v>370000</v>
      </c>
      <c r="AP5903" s="14">
        <v>370000</v>
      </c>
      <c r="AQ5903" s="12">
        <v>1E-4</v>
      </c>
    </row>
    <row r="5904" spans="1:46" x14ac:dyDescent="0.2">
      <c r="A5904" s="122">
        <f t="shared" si="626"/>
        <v>4887</v>
      </c>
      <c r="B5904" s="13">
        <v>1</v>
      </c>
      <c r="C5904" s="17" t="s">
        <v>52</v>
      </c>
      <c r="D5904" s="17">
        <v>927</v>
      </c>
      <c r="E5904" s="17">
        <v>37</v>
      </c>
      <c r="F5904" s="17">
        <v>316</v>
      </c>
      <c r="G5904" s="13">
        <v>1</v>
      </c>
      <c r="H5904" s="17">
        <v>0</v>
      </c>
      <c r="I5904" s="17">
        <v>0</v>
      </c>
      <c r="J5904" s="17">
        <v>60</v>
      </c>
      <c r="N5904" s="18">
        <v>60</v>
      </c>
      <c r="P5904" s="17">
        <v>4</v>
      </c>
      <c r="Q5904" s="19">
        <v>60</v>
      </c>
      <c r="R5904" s="14">
        <v>250</v>
      </c>
      <c r="S5904" s="19">
        <v>15000</v>
      </c>
      <c r="AJ5904" s="19">
        <v>0</v>
      </c>
      <c r="AK5904" s="23">
        <v>0</v>
      </c>
      <c r="AM5904" s="19">
        <v>0</v>
      </c>
      <c r="AN5904" s="19">
        <v>15000</v>
      </c>
      <c r="AP5904" s="14">
        <v>15000</v>
      </c>
      <c r="AQ5904" s="12">
        <v>3.0000000000000001E-3</v>
      </c>
    </row>
    <row r="5905" spans="1:45" x14ac:dyDescent="0.2">
      <c r="A5905" s="122">
        <f t="shared" si="626"/>
        <v>4888</v>
      </c>
      <c r="B5905" s="13">
        <v>1</v>
      </c>
      <c r="C5905" s="17" t="s">
        <v>52</v>
      </c>
      <c r="D5905" s="17">
        <v>2137</v>
      </c>
      <c r="E5905" s="17">
        <v>1</v>
      </c>
      <c r="F5905" s="17">
        <v>1698</v>
      </c>
      <c r="G5905" s="13">
        <v>4</v>
      </c>
      <c r="H5905" s="17">
        <v>1</v>
      </c>
      <c r="I5905" s="17">
        <v>1</v>
      </c>
      <c r="J5905" s="17">
        <v>91.09</v>
      </c>
      <c r="K5905" s="10">
        <v>591.09</v>
      </c>
      <c r="P5905" s="17">
        <v>1</v>
      </c>
      <c r="Q5905" s="19">
        <v>591.09</v>
      </c>
      <c r="R5905" s="14">
        <v>160</v>
      </c>
      <c r="S5905" s="19">
        <v>94574.400000000009</v>
      </c>
      <c r="AE5905" s="17" t="s">
        <v>603</v>
      </c>
      <c r="AJ5905" s="19">
        <v>0</v>
      </c>
      <c r="AK5905" s="23">
        <v>0</v>
      </c>
      <c r="AM5905" s="19">
        <v>0</v>
      </c>
      <c r="AN5905" s="19">
        <v>94574.400000000009</v>
      </c>
      <c r="AP5905" s="14">
        <v>94574.400000000009</v>
      </c>
    </row>
    <row r="5906" spans="1:45" x14ac:dyDescent="0.2">
      <c r="A5906" s="122">
        <f t="shared" si="626"/>
        <v>4889</v>
      </c>
      <c r="B5906" s="13">
        <v>2</v>
      </c>
      <c r="C5906" s="17" t="s">
        <v>52</v>
      </c>
      <c r="D5906" s="17">
        <v>37551</v>
      </c>
      <c r="E5906" s="17">
        <v>4</v>
      </c>
      <c r="F5906" s="17">
        <v>7420</v>
      </c>
      <c r="G5906" s="13">
        <v>4</v>
      </c>
      <c r="H5906" s="17">
        <v>1</v>
      </c>
      <c r="I5906" s="17">
        <v>0</v>
      </c>
      <c r="J5906" s="17">
        <v>90</v>
      </c>
      <c r="K5906" s="10">
        <v>490</v>
      </c>
      <c r="P5906" s="17">
        <v>1</v>
      </c>
      <c r="Q5906" s="19">
        <v>490</v>
      </c>
      <c r="R5906" s="14">
        <v>160</v>
      </c>
      <c r="S5906" s="19">
        <v>78400</v>
      </c>
      <c r="AE5906" s="17" t="s">
        <v>604</v>
      </c>
      <c r="AJ5906" s="19">
        <v>0</v>
      </c>
      <c r="AK5906" s="23">
        <v>0</v>
      </c>
      <c r="AM5906" s="19">
        <v>0</v>
      </c>
      <c r="AN5906" s="19">
        <v>78400</v>
      </c>
      <c r="AP5906" s="14">
        <v>78400</v>
      </c>
    </row>
    <row r="5907" spans="1:45" x14ac:dyDescent="0.2">
      <c r="A5907" s="122">
        <f t="shared" si="626"/>
        <v>4890</v>
      </c>
      <c r="B5907" s="13">
        <v>3</v>
      </c>
      <c r="C5907" s="17" t="s">
        <v>52</v>
      </c>
      <c r="D5907" s="17">
        <v>37552</v>
      </c>
      <c r="E5907" s="17">
        <v>5</v>
      </c>
      <c r="F5907" s="17">
        <v>7421</v>
      </c>
      <c r="G5907" s="13">
        <v>4</v>
      </c>
      <c r="H5907" s="17">
        <v>1</v>
      </c>
      <c r="I5907" s="17">
        <v>0</v>
      </c>
      <c r="J5907" s="17">
        <v>90</v>
      </c>
      <c r="K5907" s="10">
        <v>490</v>
      </c>
      <c r="P5907" s="17">
        <v>1</v>
      </c>
      <c r="Q5907" s="19">
        <v>490</v>
      </c>
      <c r="R5907" s="14">
        <v>160</v>
      </c>
      <c r="S5907" s="19">
        <v>78400</v>
      </c>
      <c r="AE5907" s="17" t="s">
        <v>605</v>
      </c>
      <c r="AG5907" s="54">
        <v>0</v>
      </c>
      <c r="AJ5907" s="19">
        <v>0</v>
      </c>
      <c r="AM5907" s="19">
        <v>0</v>
      </c>
      <c r="AN5907" s="19">
        <v>78400</v>
      </c>
      <c r="AP5907" s="14">
        <v>78400</v>
      </c>
    </row>
    <row r="5908" spans="1:45" x14ac:dyDescent="0.2">
      <c r="A5908" s="122">
        <f t="shared" si="626"/>
        <v>4891</v>
      </c>
      <c r="B5908" s="13">
        <v>1</v>
      </c>
      <c r="C5908" s="17" t="s">
        <v>52</v>
      </c>
      <c r="D5908" s="17">
        <v>2217</v>
      </c>
      <c r="E5908" s="17">
        <v>42</v>
      </c>
      <c r="F5908" s="17">
        <v>1827</v>
      </c>
      <c r="G5908" s="13">
        <v>4</v>
      </c>
      <c r="H5908" s="17">
        <v>0</v>
      </c>
      <c r="I5908" s="17">
        <v>1</v>
      </c>
      <c r="J5908" s="17">
        <v>73</v>
      </c>
      <c r="K5908" s="10">
        <v>173</v>
      </c>
      <c r="P5908" s="17">
        <v>1</v>
      </c>
      <c r="Q5908" s="19">
        <v>173</v>
      </c>
      <c r="R5908" s="14">
        <v>200</v>
      </c>
      <c r="S5908" s="19">
        <v>34600</v>
      </c>
      <c r="AJ5908" s="19">
        <v>0</v>
      </c>
      <c r="AK5908" s="23">
        <v>0</v>
      </c>
      <c r="AM5908" s="19">
        <v>0</v>
      </c>
      <c r="AN5908" s="19">
        <v>34600</v>
      </c>
      <c r="AP5908" s="14">
        <v>34600</v>
      </c>
    </row>
    <row r="5909" spans="1:45" x14ac:dyDescent="0.2">
      <c r="A5909" s="122">
        <f t="shared" si="626"/>
        <v>4892</v>
      </c>
      <c r="B5909" s="13">
        <v>2</v>
      </c>
      <c r="C5909" s="17" t="s">
        <v>52</v>
      </c>
      <c r="D5909" s="17">
        <v>2222</v>
      </c>
      <c r="E5909" s="17">
        <v>41</v>
      </c>
      <c r="F5909" s="17">
        <v>1836</v>
      </c>
      <c r="G5909" s="13">
        <v>4</v>
      </c>
      <c r="H5909" s="17">
        <v>0</v>
      </c>
      <c r="I5909" s="17">
        <v>0</v>
      </c>
      <c r="J5909" s="17">
        <v>55</v>
      </c>
      <c r="K5909" s="10">
        <v>55</v>
      </c>
      <c r="P5909" s="17">
        <v>1</v>
      </c>
      <c r="Q5909" s="19">
        <v>55</v>
      </c>
      <c r="R5909" s="14">
        <v>160</v>
      </c>
      <c r="S5909" s="19">
        <v>8800</v>
      </c>
      <c r="AJ5909" s="19">
        <v>0</v>
      </c>
      <c r="AK5909" s="23">
        <v>0</v>
      </c>
      <c r="AM5909" s="19">
        <v>0</v>
      </c>
      <c r="AN5909" s="19">
        <v>8800</v>
      </c>
      <c r="AP5909" s="14">
        <v>8800</v>
      </c>
    </row>
    <row r="5910" spans="1:45" x14ac:dyDescent="0.2">
      <c r="A5910" s="122">
        <f t="shared" si="626"/>
        <v>4893</v>
      </c>
      <c r="B5910" s="13">
        <v>3</v>
      </c>
      <c r="C5910" s="17" t="s">
        <v>52</v>
      </c>
      <c r="D5910" s="17">
        <v>2370</v>
      </c>
      <c r="E5910" s="17">
        <v>40</v>
      </c>
      <c r="F5910" s="17">
        <v>1826</v>
      </c>
      <c r="G5910" s="13">
        <v>4</v>
      </c>
      <c r="H5910" s="17">
        <v>1</v>
      </c>
      <c r="I5910" s="17">
        <v>3</v>
      </c>
      <c r="J5910" s="17">
        <v>75</v>
      </c>
      <c r="K5910" s="10">
        <v>775</v>
      </c>
      <c r="P5910" s="17">
        <v>1</v>
      </c>
      <c r="Q5910" s="19">
        <v>775</v>
      </c>
      <c r="R5910" s="14">
        <v>200</v>
      </c>
      <c r="S5910" s="19">
        <v>155000</v>
      </c>
      <c r="AJ5910" s="19">
        <v>0</v>
      </c>
      <c r="AK5910" s="23">
        <v>0</v>
      </c>
      <c r="AM5910" s="19">
        <v>0</v>
      </c>
      <c r="AN5910" s="19">
        <v>155000</v>
      </c>
      <c r="AP5910" s="14">
        <v>155000</v>
      </c>
    </row>
    <row r="5911" spans="1:45" x14ac:dyDescent="0.2">
      <c r="A5911" s="122">
        <f t="shared" si="626"/>
        <v>4894</v>
      </c>
      <c r="B5911" s="13">
        <v>4</v>
      </c>
      <c r="C5911" s="17" t="s">
        <v>52</v>
      </c>
      <c r="D5911" s="17">
        <v>2396</v>
      </c>
      <c r="E5911" s="17">
        <v>60</v>
      </c>
      <c r="F5911" s="17">
        <v>1735</v>
      </c>
      <c r="G5911" s="13">
        <v>4</v>
      </c>
      <c r="H5911" s="17">
        <v>0</v>
      </c>
      <c r="I5911" s="17">
        <v>0</v>
      </c>
      <c r="J5911" s="17">
        <v>70</v>
      </c>
      <c r="K5911" s="10">
        <v>70</v>
      </c>
      <c r="P5911" s="17">
        <v>1</v>
      </c>
      <c r="Q5911" s="19">
        <v>70</v>
      </c>
      <c r="R5911" s="14">
        <v>250</v>
      </c>
      <c r="S5911" s="19">
        <v>17500</v>
      </c>
      <c r="AJ5911" s="19">
        <v>0</v>
      </c>
      <c r="AK5911" s="23">
        <v>0</v>
      </c>
      <c r="AM5911" s="19">
        <v>0</v>
      </c>
      <c r="AN5911" s="19">
        <v>17500</v>
      </c>
      <c r="AP5911" s="14">
        <v>17500</v>
      </c>
    </row>
    <row r="5912" spans="1:45" x14ac:dyDescent="0.2">
      <c r="A5912" s="122">
        <f t="shared" si="626"/>
        <v>4895</v>
      </c>
      <c r="B5912" s="13">
        <v>5</v>
      </c>
      <c r="C5912" s="17" t="s">
        <v>52</v>
      </c>
      <c r="D5912" s="17">
        <v>31871</v>
      </c>
      <c r="E5912" s="17">
        <v>53</v>
      </c>
      <c r="F5912" s="17">
        <v>6266</v>
      </c>
      <c r="G5912" s="13">
        <v>4</v>
      </c>
      <c r="H5912" s="17">
        <v>0</v>
      </c>
      <c r="I5912" s="17">
        <v>1</v>
      </c>
      <c r="J5912" s="17">
        <v>33</v>
      </c>
      <c r="K5912" s="10">
        <v>133</v>
      </c>
      <c r="P5912" s="17">
        <v>1</v>
      </c>
      <c r="Q5912" s="19">
        <v>133</v>
      </c>
      <c r="R5912" s="14">
        <v>2000</v>
      </c>
      <c r="S5912" s="19">
        <v>266000</v>
      </c>
      <c r="AJ5912" s="19">
        <v>0</v>
      </c>
      <c r="AK5912" s="23">
        <v>0</v>
      </c>
      <c r="AM5912" s="19">
        <v>0</v>
      </c>
      <c r="AN5912" s="19">
        <v>266000</v>
      </c>
      <c r="AP5912" s="14">
        <v>266000</v>
      </c>
    </row>
    <row r="5913" spans="1:45" ht="42" x14ac:dyDescent="0.2">
      <c r="A5913" s="122">
        <f t="shared" si="626"/>
        <v>4896</v>
      </c>
      <c r="B5913" s="13">
        <v>6</v>
      </c>
      <c r="C5913" s="17" t="s">
        <v>52</v>
      </c>
      <c r="D5913" s="17">
        <v>31872</v>
      </c>
      <c r="E5913" s="17">
        <v>54</v>
      </c>
      <c r="F5913" s="17">
        <v>6267</v>
      </c>
      <c r="G5913" s="13">
        <v>4</v>
      </c>
      <c r="H5913" s="17">
        <v>0</v>
      </c>
      <c r="I5913" s="17">
        <v>1</v>
      </c>
      <c r="J5913" s="17">
        <v>48</v>
      </c>
      <c r="L5913" s="17">
        <v>148</v>
      </c>
      <c r="P5913" s="17">
        <v>2</v>
      </c>
      <c r="Q5913" s="19">
        <v>148</v>
      </c>
      <c r="R5913" s="14">
        <v>2000</v>
      </c>
      <c r="S5913" s="19">
        <v>296000</v>
      </c>
      <c r="T5913" s="17">
        <v>1</v>
      </c>
      <c r="V5913" s="17" t="s">
        <v>183</v>
      </c>
      <c r="W5913" s="4">
        <v>140</v>
      </c>
      <c r="Y5913" s="4">
        <v>140</v>
      </c>
      <c r="AB5913" s="17">
        <v>30</v>
      </c>
      <c r="AJ5913" s="19">
        <v>0</v>
      </c>
      <c r="AK5913" s="23">
        <v>30</v>
      </c>
      <c r="AM5913" s="19">
        <v>0</v>
      </c>
      <c r="AN5913" s="19">
        <v>296000</v>
      </c>
      <c r="AP5913" s="14">
        <v>296000</v>
      </c>
    </row>
    <row r="5914" spans="1:45" ht="42" x14ac:dyDescent="0.2">
      <c r="T5914" s="17">
        <v>2</v>
      </c>
      <c r="V5914" s="17" t="s">
        <v>183</v>
      </c>
      <c r="W5914" s="4">
        <v>60</v>
      </c>
      <c r="Y5914" s="4">
        <v>60</v>
      </c>
      <c r="AB5914" s="17">
        <v>15</v>
      </c>
      <c r="AJ5914" s="19">
        <v>0</v>
      </c>
      <c r="AK5914" s="23">
        <v>15</v>
      </c>
      <c r="AM5914" s="19">
        <v>0</v>
      </c>
      <c r="AN5914" s="19">
        <v>0</v>
      </c>
      <c r="AP5914" s="14">
        <v>0</v>
      </c>
    </row>
    <row r="5915" spans="1:45" x14ac:dyDescent="0.2">
      <c r="A5915" s="2">
        <v>4897</v>
      </c>
      <c r="B5915" s="13">
        <v>7</v>
      </c>
      <c r="C5915" s="17" t="s">
        <v>52</v>
      </c>
      <c r="D5915" s="17">
        <v>31873</v>
      </c>
      <c r="E5915" s="17">
        <v>55</v>
      </c>
      <c r="F5915" s="17">
        <v>6268</v>
      </c>
      <c r="G5915" s="13">
        <v>4</v>
      </c>
      <c r="H5915" s="17">
        <v>0</v>
      </c>
      <c r="I5915" s="17">
        <v>1</v>
      </c>
      <c r="J5915" s="17">
        <v>58</v>
      </c>
      <c r="L5915" s="17">
        <v>158</v>
      </c>
      <c r="P5915" s="17">
        <v>2</v>
      </c>
      <c r="Q5915" s="19">
        <v>158</v>
      </c>
      <c r="R5915" s="14">
        <v>2000</v>
      </c>
      <c r="S5915" s="19">
        <v>316000</v>
      </c>
      <c r="AJ5915" s="19">
        <v>0</v>
      </c>
      <c r="AK5915" s="23">
        <v>0</v>
      </c>
      <c r="AM5915" s="19">
        <v>0</v>
      </c>
      <c r="AN5915" s="19">
        <v>316000</v>
      </c>
      <c r="AP5915" s="14">
        <v>316000</v>
      </c>
    </row>
    <row r="5916" spans="1:45" ht="42" x14ac:dyDescent="0.2">
      <c r="A5916" s="2">
        <v>4898</v>
      </c>
      <c r="B5916" s="13">
        <v>8</v>
      </c>
      <c r="C5916" s="17" t="s">
        <v>52</v>
      </c>
      <c r="D5916" s="17">
        <v>31874</v>
      </c>
      <c r="E5916" s="17">
        <v>56</v>
      </c>
      <c r="F5916" s="17">
        <v>6269</v>
      </c>
      <c r="G5916" s="13">
        <v>4</v>
      </c>
      <c r="H5916" s="17">
        <v>0</v>
      </c>
      <c r="I5916" s="17">
        <v>1</v>
      </c>
      <c r="J5916" s="17">
        <v>88</v>
      </c>
      <c r="L5916" s="17">
        <v>188</v>
      </c>
      <c r="P5916" s="17">
        <v>2</v>
      </c>
      <c r="Q5916" s="19">
        <v>188</v>
      </c>
      <c r="R5916" s="14">
        <v>2000</v>
      </c>
      <c r="S5916" s="19">
        <v>376000</v>
      </c>
      <c r="T5916" s="17">
        <v>1</v>
      </c>
      <c r="V5916" s="17" t="s">
        <v>183</v>
      </c>
      <c r="W5916" s="4">
        <v>48</v>
      </c>
      <c r="Y5916" s="4">
        <v>48</v>
      </c>
      <c r="AB5916" s="17">
        <v>21</v>
      </c>
      <c r="AJ5916" s="19">
        <v>0</v>
      </c>
      <c r="AK5916" s="23">
        <v>21</v>
      </c>
      <c r="AM5916" s="19">
        <v>0</v>
      </c>
      <c r="AN5916" s="19">
        <v>376000</v>
      </c>
      <c r="AP5916" s="14">
        <v>376000</v>
      </c>
    </row>
    <row r="5917" spans="1:45" ht="42" x14ac:dyDescent="0.2">
      <c r="T5917" s="17">
        <v>2</v>
      </c>
      <c r="V5917" s="17" t="s">
        <v>183</v>
      </c>
      <c r="W5917" s="4">
        <v>60</v>
      </c>
      <c r="Y5917" s="4">
        <v>60</v>
      </c>
      <c r="AB5917" s="17">
        <v>29</v>
      </c>
      <c r="AJ5917" s="19">
        <v>0</v>
      </c>
      <c r="AK5917" s="23">
        <v>29</v>
      </c>
      <c r="AM5917" s="19">
        <v>0</v>
      </c>
      <c r="AN5917" s="19">
        <v>0</v>
      </c>
      <c r="AP5917" s="14">
        <v>0</v>
      </c>
    </row>
    <row r="5918" spans="1:45" ht="42" x14ac:dyDescent="0.2">
      <c r="T5918" s="17">
        <v>3</v>
      </c>
      <c r="V5918" s="17" t="s">
        <v>530</v>
      </c>
      <c r="W5918" s="4">
        <v>60</v>
      </c>
      <c r="Y5918" s="4">
        <v>60</v>
      </c>
      <c r="AB5918" s="17">
        <v>30</v>
      </c>
      <c r="AJ5918" s="19">
        <v>0</v>
      </c>
      <c r="AK5918" s="23">
        <v>30</v>
      </c>
      <c r="AM5918" s="19">
        <v>0</v>
      </c>
      <c r="AN5918" s="19">
        <v>0</v>
      </c>
      <c r="AP5918" s="14">
        <v>0</v>
      </c>
    </row>
    <row r="5919" spans="1:45" ht="42" x14ac:dyDescent="0.2">
      <c r="T5919" s="17">
        <v>4</v>
      </c>
      <c r="V5919" s="17" t="s">
        <v>502</v>
      </c>
      <c r="W5919" s="4">
        <v>20</v>
      </c>
      <c r="Y5919" s="4">
        <v>20</v>
      </c>
      <c r="AB5919" s="17">
        <v>15</v>
      </c>
      <c r="AJ5919" s="19">
        <v>0</v>
      </c>
      <c r="AK5919" s="23">
        <v>15</v>
      </c>
      <c r="AM5919" s="19">
        <v>0</v>
      </c>
      <c r="AN5919" s="19">
        <v>0</v>
      </c>
      <c r="AP5919" s="14">
        <v>0</v>
      </c>
    </row>
    <row r="5920" spans="1:45" x14ac:dyDescent="0.2">
      <c r="A5920" s="2">
        <v>4899</v>
      </c>
      <c r="B5920" s="13">
        <v>9</v>
      </c>
      <c r="C5920" s="17" t="s">
        <v>65</v>
      </c>
      <c r="D5920" s="17">
        <v>1812</v>
      </c>
      <c r="E5920" s="17">
        <v>10</v>
      </c>
      <c r="H5920" s="17">
        <v>1</v>
      </c>
      <c r="I5920" s="17">
        <v>2</v>
      </c>
      <c r="J5920" s="17">
        <v>40</v>
      </c>
      <c r="K5920" s="10">
        <v>640</v>
      </c>
      <c r="P5920" s="17">
        <v>1</v>
      </c>
      <c r="Q5920" s="19">
        <v>640</v>
      </c>
      <c r="R5920" s="14">
        <v>500</v>
      </c>
      <c r="S5920" s="19">
        <v>320000</v>
      </c>
      <c r="AJ5920" s="19">
        <v>0</v>
      </c>
      <c r="AK5920" s="23">
        <v>0</v>
      </c>
      <c r="AM5920" s="19">
        <v>0</v>
      </c>
      <c r="AN5920" s="19">
        <v>320000</v>
      </c>
      <c r="AP5920" s="14">
        <v>320000</v>
      </c>
      <c r="AQ5920" s="12">
        <v>1E-4</v>
      </c>
      <c r="AS5920" s="26">
        <v>68</v>
      </c>
    </row>
    <row r="5921" spans="1:46" x14ac:dyDescent="0.2">
      <c r="A5921" s="2">
        <f>+A5920+1</f>
        <v>4900</v>
      </c>
      <c r="B5921" s="13">
        <v>1</v>
      </c>
      <c r="C5921" s="17" t="s">
        <v>65</v>
      </c>
      <c r="D5921" s="17">
        <v>1814</v>
      </c>
      <c r="E5921" s="17">
        <v>12</v>
      </c>
      <c r="H5921" s="17">
        <v>7</v>
      </c>
      <c r="I5921" s="17">
        <v>2</v>
      </c>
      <c r="J5921" s="17">
        <v>66</v>
      </c>
      <c r="K5921" s="10">
        <v>3066</v>
      </c>
      <c r="P5921" s="17">
        <v>1</v>
      </c>
      <c r="Q5921" s="19">
        <v>3066</v>
      </c>
      <c r="R5921" s="14">
        <v>500</v>
      </c>
      <c r="S5921" s="19">
        <v>1533000</v>
      </c>
      <c r="AJ5921" s="19">
        <v>0</v>
      </c>
      <c r="AK5921" s="23">
        <v>0</v>
      </c>
      <c r="AM5921" s="19">
        <v>0</v>
      </c>
      <c r="AN5921" s="19">
        <v>1533000</v>
      </c>
      <c r="AP5921" s="14">
        <v>1533000</v>
      </c>
      <c r="AQ5921" s="12">
        <v>1E-4</v>
      </c>
      <c r="AS5921" s="26">
        <v>42</v>
      </c>
    </row>
    <row r="5922" spans="1:46" x14ac:dyDescent="0.2">
      <c r="A5922" s="122">
        <f t="shared" ref="A5922:A5928" si="627">+A5921+1</f>
        <v>4901</v>
      </c>
      <c r="B5922" s="13">
        <v>1</v>
      </c>
      <c r="C5922" s="17" t="s">
        <v>52</v>
      </c>
      <c r="D5922" s="17">
        <v>2038</v>
      </c>
      <c r="E5922" s="17">
        <v>4</v>
      </c>
      <c r="F5922" s="17">
        <v>1114</v>
      </c>
      <c r="G5922" s="13">
        <v>4</v>
      </c>
      <c r="H5922" s="17">
        <v>0</v>
      </c>
      <c r="I5922" s="17">
        <v>1</v>
      </c>
      <c r="J5922" s="17">
        <v>74</v>
      </c>
      <c r="N5922" s="18">
        <v>174</v>
      </c>
      <c r="P5922" s="17">
        <v>4</v>
      </c>
      <c r="Q5922" s="19">
        <v>174</v>
      </c>
      <c r="R5922" s="14">
        <v>2000</v>
      </c>
      <c r="S5922" s="19">
        <v>348000</v>
      </c>
      <c r="AJ5922" s="19">
        <v>0</v>
      </c>
      <c r="AK5922" s="23">
        <v>0</v>
      </c>
      <c r="AM5922" s="19">
        <v>0</v>
      </c>
      <c r="AN5922" s="19">
        <v>348000</v>
      </c>
      <c r="AP5922" s="14">
        <v>348000</v>
      </c>
      <c r="AQ5922" s="12">
        <v>3.0000000000000001E-3</v>
      </c>
      <c r="AS5922" s="26">
        <v>1063</v>
      </c>
      <c r="AT5922" s="14">
        <v>106.30000000000001</v>
      </c>
    </row>
    <row r="5923" spans="1:46" x14ac:dyDescent="0.2">
      <c r="A5923" s="122">
        <f t="shared" si="627"/>
        <v>4902</v>
      </c>
      <c r="B5923" s="13">
        <v>2</v>
      </c>
      <c r="C5923" s="17" t="s">
        <v>65</v>
      </c>
      <c r="D5923" s="17">
        <v>1973</v>
      </c>
      <c r="E5923" s="17">
        <v>75</v>
      </c>
      <c r="H5923" s="17">
        <v>0</v>
      </c>
      <c r="I5923" s="17">
        <v>0</v>
      </c>
      <c r="J5923" s="17">
        <v>95</v>
      </c>
      <c r="L5923" s="17">
        <v>95</v>
      </c>
      <c r="P5923" s="17">
        <v>2</v>
      </c>
      <c r="Q5923" s="19">
        <v>95</v>
      </c>
      <c r="R5923" s="14">
        <v>2000</v>
      </c>
      <c r="S5923" s="19">
        <v>190000</v>
      </c>
      <c r="AJ5923" s="19">
        <v>0</v>
      </c>
      <c r="AK5923" s="23">
        <v>0</v>
      </c>
      <c r="AM5923" s="19">
        <v>0</v>
      </c>
      <c r="AN5923" s="19">
        <v>190000</v>
      </c>
      <c r="AP5923" s="14">
        <v>190000</v>
      </c>
      <c r="AQ5923" s="12">
        <v>1E-4</v>
      </c>
    </row>
    <row r="5924" spans="1:46" x14ac:dyDescent="0.2">
      <c r="A5924" s="122">
        <f t="shared" si="627"/>
        <v>4903</v>
      </c>
      <c r="B5924" s="13">
        <v>1</v>
      </c>
      <c r="C5924" s="17" t="s">
        <v>52</v>
      </c>
      <c r="D5924" s="17">
        <v>18006</v>
      </c>
      <c r="E5924" s="17">
        <v>26</v>
      </c>
      <c r="F5924" s="17">
        <v>3955</v>
      </c>
      <c r="G5924" s="13">
        <v>4</v>
      </c>
      <c r="H5924" s="17">
        <v>2</v>
      </c>
      <c r="I5924" s="17">
        <v>0</v>
      </c>
      <c r="J5924" s="17">
        <v>32</v>
      </c>
      <c r="K5924" s="10">
        <v>832</v>
      </c>
      <c r="P5924" s="17">
        <v>1</v>
      </c>
      <c r="Q5924" s="19">
        <v>832</v>
      </c>
      <c r="R5924" s="14">
        <v>160</v>
      </c>
      <c r="S5924" s="19">
        <v>133120</v>
      </c>
      <c r="AJ5924" s="19">
        <v>0</v>
      </c>
      <c r="AK5924" s="23">
        <v>0</v>
      </c>
      <c r="AM5924" s="19">
        <v>0</v>
      </c>
      <c r="AN5924" s="19">
        <v>133120</v>
      </c>
      <c r="AP5924" s="14">
        <v>133120</v>
      </c>
    </row>
    <row r="5925" spans="1:46" x14ac:dyDescent="0.2">
      <c r="A5925" s="122">
        <f t="shared" si="627"/>
        <v>4904</v>
      </c>
      <c r="B5925" s="13">
        <v>2</v>
      </c>
      <c r="C5925" s="17" t="s">
        <v>52</v>
      </c>
      <c r="D5925" s="17">
        <v>18007</v>
      </c>
      <c r="E5925" s="17">
        <v>25</v>
      </c>
      <c r="F5925" s="17">
        <v>3956</v>
      </c>
      <c r="G5925" s="13">
        <v>4</v>
      </c>
      <c r="H5925" s="17">
        <v>7</v>
      </c>
      <c r="I5925" s="17">
        <v>2</v>
      </c>
      <c r="J5925" s="17">
        <v>10</v>
      </c>
      <c r="K5925" s="10">
        <v>3010</v>
      </c>
      <c r="P5925" s="17">
        <v>1</v>
      </c>
      <c r="Q5925" s="19">
        <v>3010</v>
      </c>
      <c r="R5925" s="14">
        <v>160</v>
      </c>
      <c r="S5925" s="19">
        <v>481600</v>
      </c>
      <c r="AJ5925" s="19">
        <v>0</v>
      </c>
      <c r="AK5925" s="23">
        <v>0</v>
      </c>
      <c r="AM5925" s="19">
        <v>0</v>
      </c>
      <c r="AN5925" s="19">
        <v>481600</v>
      </c>
      <c r="AP5925" s="14">
        <v>481600</v>
      </c>
    </row>
    <row r="5926" spans="1:46" x14ac:dyDescent="0.2">
      <c r="A5926" s="122">
        <f t="shared" si="627"/>
        <v>4905</v>
      </c>
      <c r="B5926" s="13">
        <v>3</v>
      </c>
      <c r="C5926" s="17" t="s">
        <v>65</v>
      </c>
      <c r="D5926" s="17">
        <v>1365</v>
      </c>
      <c r="E5926" s="17">
        <v>34</v>
      </c>
      <c r="H5926" s="17">
        <v>9</v>
      </c>
      <c r="I5926" s="17">
        <v>0</v>
      </c>
      <c r="J5926" s="17">
        <v>0</v>
      </c>
      <c r="K5926" s="10">
        <v>3600</v>
      </c>
      <c r="Q5926" s="19">
        <v>3600</v>
      </c>
      <c r="R5926" s="14">
        <v>750</v>
      </c>
      <c r="S5926" s="19">
        <v>2700000</v>
      </c>
      <c r="AE5926" s="17" t="s">
        <v>606</v>
      </c>
      <c r="AJ5926" s="19">
        <v>0</v>
      </c>
      <c r="AK5926" s="23">
        <v>0</v>
      </c>
      <c r="AM5926" s="19">
        <v>0</v>
      </c>
      <c r="AN5926" s="19">
        <v>2700000</v>
      </c>
      <c r="AP5926" s="14">
        <v>2700000</v>
      </c>
      <c r="AQ5926" s="12">
        <v>1E-4</v>
      </c>
    </row>
    <row r="5927" spans="1:46" x14ac:dyDescent="0.2">
      <c r="A5927" s="122">
        <f t="shared" si="627"/>
        <v>4906</v>
      </c>
      <c r="B5927" s="13">
        <v>1</v>
      </c>
      <c r="C5927" s="17" t="s">
        <v>52</v>
      </c>
      <c r="D5927" s="17">
        <v>18008</v>
      </c>
      <c r="E5927" s="17">
        <v>15</v>
      </c>
      <c r="F5927" s="17">
        <v>3957</v>
      </c>
      <c r="G5927" s="13">
        <v>4</v>
      </c>
      <c r="H5927" s="17">
        <v>3</v>
      </c>
      <c r="I5927" s="17">
        <v>0</v>
      </c>
      <c r="J5927" s="17">
        <v>80</v>
      </c>
      <c r="K5927" s="10">
        <v>1280</v>
      </c>
      <c r="P5927" s="17">
        <v>1</v>
      </c>
      <c r="Q5927" s="19">
        <v>1280</v>
      </c>
      <c r="R5927" s="14">
        <v>1500</v>
      </c>
      <c r="S5927" s="19">
        <v>1920000</v>
      </c>
      <c r="AJ5927" s="19">
        <v>0</v>
      </c>
      <c r="AK5927" s="23">
        <v>0</v>
      </c>
      <c r="AM5927" s="19">
        <v>0</v>
      </c>
      <c r="AN5927" s="19">
        <v>1920000</v>
      </c>
      <c r="AP5927" s="14">
        <v>1920000</v>
      </c>
    </row>
    <row r="5928" spans="1:46" x14ac:dyDescent="0.2">
      <c r="A5928" s="122">
        <f t="shared" si="627"/>
        <v>4907</v>
      </c>
      <c r="B5928" s="13">
        <v>1</v>
      </c>
      <c r="C5928" s="17" t="s">
        <v>52</v>
      </c>
      <c r="D5928" s="17">
        <v>2348</v>
      </c>
      <c r="E5928" s="17">
        <v>2</v>
      </c>
      <c r="F5928" s="17">
        <v>799</v>
      </c>
      <c r="G5928" s="13">
        <v>4</v>
      </c>
      <c r="H5928" s="17">
        <v>0</v>
      </c>
      <c r="I5928" s="17">
        <v>3</v>
      </c>
      <c r="J5928" s="17">
        <v>63</v>
      </c>
      <c r="K5928" s="10">
        <v>363</v>
      </c>
      <c r="P5928" s="17">
        <v>5</v>
      </c>
      <c r="Q5928" s="19">
        <v>363</v>
      </c>
      <c r="R5928" s="14">
        <v>2000</v>
      </c>
      <c r="S5928" s="19">
        <v>726000</v>
      </c>
      <c r="AJ5928" s="19">
        <v>0</v>
      </c>
      <c r="AK5928" s="23">
        <v>0</v>
      </c>
      <c r="AM5928" s="19">
        <v>0</v>
      </c>
    </row>
    <row r="5929" spans="1:46" x14ac:dyDescent="0.2">
      <c r="R5929" s="14">
        <v>2000</v>
      </c>
      <c r="S5929" s="19">
        <v>0</v>
      </c>
      <c r="T5929" s="17" t="s">
        <v>122</v>
      </c>
      <c r="AP5929" s="14">
        <v>0</v>
      </c>
    </row>
    <row r="5930" spans="1:46" x14ac:dyDescent="0.2">
      <c r="Q5930" s="19">
        <v>336</v>
      </c>
      <c r="R5930" s="14">
        <v>2000</v>
      </c>
      <c r="S5930" s="19">
        <v>672000</v>
      </c>
      <c r="T5930" s="17" t="s">
        <v>288</v>
      </c>
      <c r="AE5930" s="17" t="s">
        <v>607</v>
      </c>
      <c r="AN5930" s="19">
        <v>672000</v>
      </c>
      <c r="AP5930" s="14">
        <v>672000</v>
      </c>
      <c r="AQ5930" s="12">
        <v>3.0000000000000001E-3</v>
      </c>
    </row>
    <row r="5931" spans="1:46" ht="63" x14ac:dyDescent="0.2">
      <c r="A5931" s="2">
        <v>4908</v>
      </c>
      <c r="B5931" s="13">
        <v>1</v>
      </c>
      <c r="C5931" s="17" t="s">
        <v>65</v>
      </c>
      <c r="D5931" s="17">
        <v>1917</v>
      </c>
      <c r="E5931" s="17">
        <v>96</v>
      </c>
      <c r="H5931" s="17">
        <v>1</v>
      </c>
      <c r="I5931" s="17">
        <v>1</v>
      </c>
      <c r="J5931" s="17">
        <v>32</v>
      </c>
      <c r="L5931" s="17">
        <v>514.5</v>
      </c>
      <c r="P5931" s="17">
        <v>2</v>
      </c>
      <c r="Q5931" s="19">
        <v>532</v>
      </c>
      <c r="R5931" s="14">
        <v>250</v>
      </c>
      <c r="S5931" s="19">
        <v>133000</v>
      </c>
      <c r="T5931" s="17">
        <v>1</v>
      </c>
      <c r="U5931" s="17" t="s">
        <v>57</v>
      </c>
      <c r="V5931" s="17" t="s">
        <v>56</v>
      </c>
      <c r="W5931" s="4">
        <v>70</v>
      </c>
      <c r="Y5931" s="4">
        <v>70</v>
      </c>
      <c r="AB5931" s="17">
        <v>20</v>
      </c>
      <c r="AE5931" s="17" t="s">
        <v>94</v>
      </c>
      <c r="AJ5931" s="19">
        <v>0</v>
      </c>
      <c r="AK5931" s="23">
        <v>20</v>
      </c>
      <c r="AM5931" s="19">
        <v>0</v>
      </c>
      <c r="AN5931" s="19">
        <v>133000</v>
      </c>
      <c r="AP5931" s="14">
        <v>133000</v>
      </c>
      <c r="AQ5931" s="12">
        <v>2.0000000000000001E-4</v>
      </c>
    </row>
    <row r="5932" spans="1:46" ht="63" x14ac:dyDescent="0.2">
      <c r="L5932" s="17">
        <v>17.5</v>
      </c>
      <c r="P5932" s="17">
        <v>2</v>
      </c>
      <c r="Q5932" s="19">
        <v>0</v>
      </c>
      <c r="T5932" s="17">
        <v>2</v>
      </c>
      <c r="U5932" s="17" t="s">
        <v>57</v>
      </c>
      <c r="V5932" s="17" t="s">
        <v>56</v>
      </c>
      <c r="W5932" s="4">
        <v>70</v>
      </c>
      <c r="Y5932" s="4">
        <v>70</v>
      </c>
      <c r="AB5932" s="17">
        <v>25</v>
      </c>
      <c r="AJ5932" s="19">
        <v>0</v>
      </c>
      <c r="AK5932" s="23">
        <v>25</v>
      </c>
      <c r="AM5932" s="19">
        <v>0</v>
      </c>
      <c r="AN5932" s="19">
        <v>0</v>
      </c>
      <c r="AP5932" s="14">
        <v>0</v>
      </c>
    </row>
    <row r="5933" spans="1:46" x14ac:dyDescent="0.2">
      <c r="A5933" s="2">
        <v>4909</v>
      </c>
      <c r="B5933" s="13">
        <v>1</v>
      </c>
      <c r="C5933" s="17" t="s">
        <v>65</v>
      </c>
      <c r="D5933" s="17">
        <v>1913</v>
      </c>
      <c r="E5933" s="17">
        <v>91</v>
      </c>
      <c r="H5933" s="17">
        <v>23</v>
      </c>
      <c r="I5933" s="17">
        <v>3</v>
      </c>
      <c r="J5933" s="17">
        <v>70</v>
      </c>
      <c r="K5933" s="10">
        <v>9503.75</v>
      </c>
      <c r="L5933" s="17">
        <v>47.5</v>
      </c>
      <c r="P5933" s="17">
        <v>5</v>
      </c>
      <c r="Q5933" s="19">
        <v>9570</v>
      </c>
      <c r="R5933" s="14">
        <v>500</v>
      </c>
      <c r="S5933" s="19">
        <v>4785000</v>
      </c>
      <c r="AS5933" s="26">
        <v>72</v>
      </c>
    </row>
    <row r="5934" spans="1:46" x14ac:dyDescent="0.2">
      <c r="Q5934" s="19">
        <v>9503.75</v>
      </c>
      <c r="R5934" s="14">
        <v>500</v>
      </c>
      <c r="S5934" s="19">
        <v>4751875</v>
      </c>
      <c r="AN5934" s="19">
        <v>4751875</v>
      </c>
      <c r="AP5934" s="14">
        <v>4751875</v>
      </c>
      <c r="AQ5934" s="12">
        <v>1E-4</v>
      </c>
    </row>
    <row r="5935" spans="1:46" x14ac:dyDescent="0.2">
      <c r="Q5935" s="19">
        <v>66.25</v>
      </c>
      <c r="R5935" s="14">
        <v>500</v>
      </c>
      <c r="S5935" s="19">
        <v>33125</v>
      </c>
      <c r="AN5935" s="19">
        <v>33125</v>
      </c>
      <c r="AP5935" s="14">
        <v>33125</v>
      </c>
      <c r="AQ5935" s="12">
        <v>2.0000000000000001E-4</v>
      </c>
    </row>
    <row r="5936" spans="1:46" ht="63" x14ac:dyDescent="0.2">
      <c r="T5936" s="17">
        <v>1</v>
      </c>
      <c r="U5936" s="17" t="s">
        <v>57</v>
      </c>
      <c r="V5936" s="17" t="s">
        <v>56</v>
      </c>
      <c r="W5936" s="4">
        <v>190</v>
      </c>
      <c r="Y5936" s="4">
        <v>190</v>
      </c>
      <c r="AB5936" s="17">
        <v>15</v>
      </c>
    </row>
    <row r="5937" spans="1:45" ht="63" x14ac:dyDescent="0.2">
      <c r="L5937" s="17">
        <v>18.75</v>
      </c>
      <c r="Q5937" s="19">
        <v>0</v>
      </c>
      <c r="S5937" s="19">
        <v>0</v>
      </c>
      <c r="T5937" s="17">
        <v>2</v>
      </c>
      <c r="U5937" s="17" t="s">
        <v>57</v>
      </c>
      <c r="V5937" s="17" t="s">
        <v>56</v>
      </c>
      <c r="W5937" s="4">
        <v>75</v>
      </c>
      <c r="Y5937" s="4">
        <v>75</v>
      </c>
      <c r="AB5937" s="17">
        <v>10</v>
      </c>
      <c r="AJ5937" s="19">
        <v>0</v>
      </c>
      <c r="AK5937" s="23">
        <v>10</v>
      </c>
      <c r="AM5937" s="19">
        <v>0</v>
      </c>
      <c r="AN5937" s="19">
        <v>0</v>
      </c>
      <c r="AP5937" s="14">
        <v>0</v>
      </c>
    </row>
    <row r="5938" spans="1:45" x14ac:dyDescent="0.2">
      <c r="A5938" s="2">
        <v>4910</v>
      </c>
      <c r="B5938" s="13">
        <v>1</v>
      </c>
      <c r="C5938" s="17" t="s">
        <v>52</v>
      </c>
      <c r="D5938" s="17">
        <v>2462</v>
      </c>
      <c r="E5938" s="17">
        <v>3</v>
      </c>
      <c r="F5938" s="17">
        <v>1168</v>
      </c>
      <c r="G5938" s="13">
        <v>4</v>
      </c>
      <c r="H5938" s="17">
        <v>1</v>
      </c>
      <c r="I5938" s="17">
        <v>3</v>
      </c>
      <c r="J5938" s="17">
        <v>4</v>
      </c>
      <c r="K5938" s="10">
        <v>704</v>
      </c>
      <c r="P5938" s="17">
        <v>1</v>
      </c>
      <c r="Q5938" s="19">
        <v>704</v>
      </c>
      <c r="R5938" s="14">
        <v>160</v>
      </c>
      <c r="S5938" s="19">
        <v>112640</v>
      </c>
      <c r="AJ5938" s="19">
        <v>0</v>
      </c>
      <c r="AK5938" s="23">
        <v>0</v>
      </c>
      <c r="AM5938" s="19">
        <v>0</v>
      </c>
      <c r="AN5938" s="19">
        <v>112640</v>
      </c>
      <c r="AP5938" s="14">
        <v>112640</v>
      </c>
    </row>
    <row r="5939" spans="1:45" x14ac:dyDescent="0.2">
      <c r="A5939" s="2">
        <v>4911</v>
      </c>
      <c r="B5939" s="13">
        <v>2</v>
      </c>
      <c r="C5939" s="17" t="s">
        <v>65</v>
      </c>
      <c r="D5939" s="17">
        <v>1935</v>
      </c>
      <c r="E5939" s="17">
        <v>116</v>
      </c>
      <c r="H5939" s="17">
        <v>4</v>
      </c>
      <c r="I5939" s="17">
        <v>3</v>
      </c>
      <c r="J5939" s="17">
        <v>10</v>
      </c>
      <c r="K5939" s="10">
        <v>1910</v>
      </c>
      <c r="P5939" s="17">
        <v>1</v>
      </c>
      <c r="Q5939" s="19">
        <v>1910</v>
      </c>
      <c r="R5939" s="14">
        <v>160</v>
      </c>
      <c r="S5939" s="19">
        <v>305600</v>
      </c>
      <c r="AJ5939" s="19">
        <v>0</v>
      </c>
      <c r="AK5939" s="23">
        <v>0</v>
      </c>
      <c r="AM5939" s="19">
        <v>0</v>
      </c>
      <c r="AN5939" s="19">
        <v>305600</v>
      </c>
      <c r="AP5939" s="14">
        <v>305600</v>
      </c>
      <c r="AQ5939" s="12">
        <v>1E-4</v>
      </c>
    </row>
    <row r="5940" spans="1:45" x14ac:dyDescent="0.2">
      <c r="A5940" s="2">
        <v>4912</v>
      </c>
      <c r="B5940" s="13">
        <v>3</v>
      </c>
      <c r="C5940" s="17" t="s">
        <v>65</v>
      </c>
      <c r="D5940" s="17">
        <v>1937</v>
      </c>
      <c r="E5940" s="17">
        <v>118</v>
      </c>
      <c r="H5940" s="17">
        <v>3</v>
      </c>
      <c r="I5940" s="17">
        <v>3</v>
      </c>
      <c r="J5940" s="17">
        <v>3</v>
      </c>
      <c r="K5940" s="10">
        <v>1503</v>
      </c>
      <c r="P5940" s="17">
        <v>1</v>
      </c>
      <c r="Q5940" s="19">
        <v>1503</v>
      </c>
      <c r="R5940" s="14">
        <v>160</v>
      </c>
      <c r="S5940" s="19">
        <v>240480</v>
      </c>
      <c r="AJ5940" s="19">
        <v>0</v>
      </c>
      <c r="AK5940" s="23">
        <v>0</v>
      </c>
      <c r="AM5940" s="19">
        <v>0</v>
      </c>
      <c r="AN5940" s="19">
        <v>240480</v>
      </c>
      <c r="AP5940" s="14">
        <v>240480</v>
      </c>
      <c r="AQ5940" s="12">
        <v>1E-4</v>
      </c>
    </row>
    <row r="5941" spans="1:45" x14ac:dyDescent="0.2">
      <c r="B5941" s="13">
        <v>1</v>
      </c>
      <c r="C5941" s="17" t="s">
        <v>65</v>
      </c>
      <c r="D5941" s="17">
        <v>614</v>
      </c>
      <c r="E5941" s="17">
        <v>92</v>
      </c>
      <c r="H5941" s="17">
        <v>6</v>
      </c>
      <c r="I5941" s="17">
        <v>1</v>
      </c>
      <c r="J5941" s="17">
        <v>30</v>
      </c>
      <c r="K5941" s="10">
        <v>2530</v>
      </c>
      <c r="Q5941" s="19">
        <v>2530</v>
      </c>
      <c r="R5941" s="14" t="e">
        <v>#N/A</v>
      </c>
      <c r="S5941" s="19" t="e">
        <v>#N/A</v>
      </c>
      <c r="AE5941" s="17" t="s">
        <v>94</v>
      </c>
      <c r="AJ5941" s="19">
        <v>0</v>
      </c>
      <c r="AK5941" s="23">
        <v>0</v>
      </c>
      <c r="AM5941" s="19">
        <v>0</v>
      </c>
      <c r="AN5941" s="19" t="e">
        <v>#N/A</v>
      </c>
      <c r="AP5941" s="14" t="e">
        <v>#N/A</v>
      </c>
      <c r="AQ5941" s="12">
        <v>1E-4</v>
      </c>
    </row>
    <row r="5942" spans="1:45" x14ac:dyDescent="0.2">
      <c r="R5942" s="14" t="e">
        <v>#N/A</v>
      </c>
    </row>
    <row r="5943" spans="1:45" x14ac:dyDescent="0.2">
      <c r="A5943" s="2">
        <v>4913</v>
      </c>
      <c r="B5943" s="13">
        <v>1</v>
      </c>
      <c r="C5943" s="17" t="s">
        <v>52</v>
      </c>
      <c r="D5943" s="17">
        <v>12616</v>
      </c>
      <c r="E5943" s="17">
        <v>80</v>
      </c>
      <c r="F5943" s="17">
        <v>3263</v>
      </c>
      <c r="G5943" s="13">
        <v>4</v>
      </c>
      <c r="H5943" s="17">
        <v>0</v>
      </c>
      <c r="I5943" s="17">
        <v>0</v>
      </c>
      <c r="J5943" s="17">
        <v>23</v>
      </c>
      <c r="N5943" s="18">
        <v>23</v>
      </c>
      <c r="P5943" s="17">
        <v>4</v>
      </c>
      <c r="Q5943" s="19">
        <v>23</v>
      </c>
      <c r="R5943" s="14">
        <v>160</v>
      </c>
      <c r="S5943" s="19">
        <v>3680</v>
      </c>
      <c r="AJ5943" s="19">
        <v>0</v>
      </c>
      <c r="AK5943" s="23">
        <v>0</v>
      </c>
      <c r="AM5943" s="19">
        <v>0</v>
      </c>
      <c r="AN5943" s="19">
        <v>3680</v>
      </c>
      <c r="AP5943" s="14">
        <v>3680</v>
      </c>
      <c r="AQ5943" s="12">
        <v>3.0000000000000001E-3</v>
      </c>
    </row>
    <row r="5944" spans="1:45" x14ac:dyDescent="0.2">
      <c r="A5944" s="2">
        <f>+A5943+1</f>
        <v>4914</v>
      </c>
      <c r="B5944" s="13">
        <v>1</v>
      </c>
      <c r="C5944" s="17" t="s">
        <v>52</v>
      </c>
      <c r="D5944" s="17">
        <v>2145</v>
      </c>
      <c r="E5944" s="17">
        <v>14</v>
      </c>
      <c r="F5944" s="17">
        <v>1723</v>
      </c>
      <c r="G5944" s="13">
        <v>4</v>
      </c>
      <c r="H5944" s="17">
        <v>0</v>
      </c>
      <c r="I5944" s="17">
        <v>0</v>
      </c>
      <c r="J5944" s="17">
        <v>24</v>
      </c>
      <c r="L5944" s="17">
        <v>24</v>
      </c>
      <c r="P5944" s="17">
        <v>2</v>
      </c>
      <c r="Q5944" s="19">
        <v>24</v>
      </c>
      <c r="R5944" s="14">
        <v>200</v>
      </c>
      <c r="S5944" s="19">
        <v>4800</v>
      </c>
      <c r="AJ5944" s="19">
        <v>0</v>
      </c>
      <c r="AK5944" s="23">
        <v>0</v>
      </c>
      <c r="AM5944" s="19">
        <v>0</v>
      </c>
      <c r="AN5944" s="19">
        <v>4800</v>
      </c>
      <c r="AP5944" s="14">
        <v>4800</v>
      </c>
    </row>
    <row r="5945" spans="1:45" x14ac:dyDescent="0.2">
      <c r="A5945" s="122">
        <f t="shared" ref="A5945:A5947" si="628">+A5944+1</f>
        <v>4915</v>
      </c>
      <c r="B5945" s="13">
        <v>1</v>
      </c>
      <c r="C5945" s="17" t="s">
        <v>65</v>
      </c>
      <c r="D5945" s="17">
        <v>1931</v>
      </c>
      <c r="E5945" s="17">
        <v>110</v>
      </c>
      <c r="H5945" s="17">
        <v>9</v>
      </c>
      <c r="I5945" s="17">
        <v>3</v>
      </c>
      <c r="J5945" s="17">
        <v>3</v>
      </c>
      <c r="K5945" s="10">
        <v>3903</v>
      </c>
      <c r="P5945" s="17">
        <v>1</v>
      </c>
      <c r="Q5945" s="19">
        <v>3903</v>
      </c>
      <c r="R5945" s="14">
        <v>160</v>
      </c>
      <c r="S5945" s="19">
        <v>624480</v>
      </c>
      <c r="AJ5945" s="19">
        <v>0</v>
      </c>
      <c r="AK5945" s="23">
        <v>0</v>
      </c>
      <c r="AM5945" s="19">
        <v>0</v>
      </c>
      <c r="AN5945" s="19">
        <v>624480</v>
      </c>
      <c r="AP5945" s="14">
        <v>624480</v>
      </c>
      <c r="AQ5945" s="12">
        <v>1E-4</v>
      </c>
    </row>
    <row r="5946" spans="1:45" x14ac:dyDescent="0.2">
      <c r="A5946" s="122">
        <f t="shared" si="628"/>
        <v>4916</v>
      </c>
      <c r="B5946" s="13">
        <v>1</v>
      </c>
      <c r="C5946" s="17" t="s">
        <v>65</v>
      </c>
      <c r="D5946" s="17">
        <v>972</v>
      </c>
      <c r="E5946" s="17">
        <v>27</v>
      </c>
      <c r="H5946" s="17">
        <v>7</v>
      </c>
      <c r="I5946" s="17">
        <v>1</v>
      </c>
      <c r="J5946" s="17">
        <v>30</v>
      </c>
      <c r="K5946" s="10">
        <v>2930</v>
      </c>
      <c r="P5946" s="17">
        <v>1</v>
      </c>
      <c r="Q5946" s="19">
        <v>2930</v>
      </c>
      <c r="R5946" s="14">
        <v>1000</v>
      </c>
      <c r="S5946" s="19">
        <v>2930000</v>
      </c>
      <c r="AJ5946" s="19">
        <v>0</v>
      </c>
      <c r="AK5946" s="23">
        <v>0</v>
      </c>
      <c r="AM5946" s="19">
        <v>0</v>
      </c>
      <c r="AN5946" s="19">
        <v>2930000</v>
      </c>
      <c r="AP5946" s="14">
        <v>2930000</v>
      </c>
      <c r="AQ5946" s="12">
        <v>1E-4</v>
      </c>
      <c r="AS5946" s="26">
        <v>69</v>
      </c>
    </row>
    <row r="5947" spans="1:45" x14ac:dyDescent="0.2">
      <c r="A5947" s="122">
        <f t="shared" si="628"/>
        <v>4917</v>
      </c>
      <c r="B5947" s="13">
        <v>2</v>
      </c>
      <c r="C5947" s="17" t="s">
        <v>65</v>
      </c>
      <c r="D5947" s="17">
        <v>973</v>
      </c>
      <c r="E5947" s="17">
        <v>28</v>
      </c>
      <c r="H5947" s="17">
        <v>7</v>
      </c>
      <c r="I5947" s="17">
        <v>0</v>
      </c>
      <c r="J5947" s="17">
        <v>83</v>
      </c>
      <c r="K5947" s="10">
        <v>2787</v>
      </c>
      <c r="L5947" s="17">
        <v>24</v>
      </c>
      <c r="P5947" s="17">
        <v>5</v>
      </c>
      <c r="Q5947" s="19">
        <v>2883</v>
      </c>
      <c r="R5947" s="14">
        <v>1000</v>
      </c>
      <c r="S5947" s="19">
        <v>2883000</v>
      </c>
    </row>
    <row r="5948" spans="1:45" x14ac:dyDescent="0.2">
      <c r="A5948" s="122"/>
      <c r="Q5948" s="19">
        <v>2787</v>
      </c>
      <c r="R5948" s="14">
        <v>1000</v>
      </c>
      <c r="S5948" s="19">
        <v>2787000</v>
      </c>
      <c r="AJ5948" s="19">
        <v>0</v>
      </c>
      <c r="AK5948" s="23">
        <v>0</v>
      </c>
      <c r="AM5948" s="19">
        <v>0</v>
      </c>
      <c r="AN5948" s="19">
        <v>2787000</v>
      </c>
      <c r="AP5948" s="14">
        <v>2787000</v>
      </c>
      <c r="AQ5948" s="12">
        <v>1E-4</v>
      </c>
    </row>
    <row r="5949" spans="1:45" ht="63" x14ac:dyDescent="0.2">
      <c r="Q5949" s="19">
        <v>24</v>
      </c>
      <c r="R5949" s="14">
        <v>1000</v>
      </c>
      <c r="S5949" s="19">
        <v>24000</v>
      </c>
      <c r="T5949" s="17">
        <v>1</v>
      </c>
      <c r="U5949" s="17" t="s">
        <v>57</v>
      </c>
      <c r="V5949" s="17" t="s">
        <v>56</v>
      </c>
      <c r="W5949" s="4">
        <v>96</v>
      </c>
      <c r="Y5949" s="4">
        <v>96</v>
      </c>
      <c r="AF5949" s="14">
        <v>2</v>
      </c>
      <c r="AG5949" s="54">
        <v>96</v>
      </c>
      <c r="AH5949" s="11">
        <v>1</v>
      </c>
      <c r="AI5949" s="14">
        <v>7250</v>
      </c>
      <c r="AJ5949" s="19">
        <v>696000</v>
      </c>
      <c r="AK5949" s="23">
        <v>0</v>
      </c>
      <c r="AM5949" s="19">
        <v>696000</v>
      </c>
      <c r="AN5949" s="19">
        <v>720000</v>
      </c>
      <c r="AP5949" s="14">
        <v>720000</v>
      </c>
      <c r="AQ5949" s="12">
        <v>2.0000000000000001E-4</v>
      </c>
    </row>
    <row r="5950" spans="1:45" ht="63" x14ac:dyDescent="0.2">
      <c r="L5950" s="17">
        <v>27</v>
      </c>
      <c r="Q5950" s="19">
        <v>0</v>
      </c>
      <c r="S5950" s="19">
        <v>0</v>
      </c>
      <c r="T5950" s="17">
        <v>2</v>
      </c>
      <c r="U5950" s="17" t="s">
        <v>57</v>
      </c>
      <c r="V5950" s="17" t="s">
        <v>56</v>
      </c>
      <c r="W5950" s="4">
        <v>108</v>
      </c>
      <c r="Y5950" s="4">
        <v>108</v>
      </c>
      <c r="AF5950" s="14">
        <v>2</v>
      </c>
      <c r="AG5950" s="54">
        <v>108</v>
      </c>
      <c r="AH5950" s="11">
        <v>1</v>
      </c>
      <c r="AI5950" s="14">
        <v>7250</v>
      </c>
      <c r="AJ5950" s="19">
        <v>783000</v>
      </c>
      <c r="AK5950" s="23">
        <v>0</v>
      </c>
      <c r="AM5950" s="19">
        <v>783000</v>
      </c>
      <c r="AN5950" s="19">
        <v>783000</v>
      </c>
      <c r="AP5950" s="14">
        <v>783000</v>
      </c>
    </row>
    <row r="5951" spans="1:45" ht="63" x14ac:dyDescent="0.2">
      <c r="L5951" s="17">
        <v>45</v>
      </c>
      <c r="Q5951" s="19">
        <v>0</v>
      </c>
      <c r="S5951" s="19">
        <v>0</v>
      </c>
      <c r="T5951" s="17">
        <v>3</v>
      </c>
      <c r="U5951" s="17" t="s">
        <v>57</v>
      </c>
      <c r="V5951" s="17" t="s">
        <v>56</v>
      </c>
      <c r="W5951" s="4">
        <v>180</v>
      </c>
      <c r="Y5951" s="4">
        <v>180</v>
      </c>
      <c r="AF5951" s="14">
        <v>2</v>
      </c>
      <c r="AG5951" s="54">
        <v>180</v>
      </c>
      <c r="AH5951" s="11">
        <v>1</v>
      </c>
      <c r="AI5951" s="14">
        <v>7250</v>
      </c>
      <c r="AJ5951" s="19">
        <v>1305000</v>
      </c>
      <c r="AK5951" s="23">
        <v>0</v>
      </c>
      <c r="AM5951" s="19">
        <v>1305000</v>
      </c>
      <c r="AN5951" s="19">
        <v>1305000</v>
      </c>
      <c r="AP5951" s="14">
        <v>1305000</v>
      </c>
    </row>
    <row r="5952" spans="1:45" ht="42" x14ac:dyDescent="0.2">
      <c r="A5952" s="2">
        <v>4918</v>
      </c>
      <c r="B5952" s="13">
        <v>1</v>
      </c>
      <c r="C5952" s="17" t="s">
        <v>52</v>
      </c>
      <c r="D5952" s="17">
        <v>2277</v>
      </c>
      <c r="E5952" s="17">
        <v>5</v>
      </c>
      <c r="F5952" s="17">
        <v>1697</v>
      </c>
      <c r="G5952" s="13">
        <v>4</v>
      </c>
      <c r="H5952" s="17">
        <v>1</v>
      </c>
      <c r="I5952" s="17">
        <v>0</v>
      </c>
      <c r="J5952" s="17">
        <v>49</v>
      </c>
      <c r="L5952" s="17">
        <v>449</v>
      </c>
      <c r="P5952" s="17">
        <v>5</v>
      </c>
      <c r="Q5952" s="19">
        <v>449</v>
      </c>
      <c r="R5952" s="14">
        <v>2000</v>
      </c>
      <c r="S5952" s="19">
        <v>898000</v>
      </c>
      <c r="T5952" s="17">
        <v>1</v>
      </c>
      <c r="V5952" s="17" t="s">
        <v>183</v>
      </c>
      <c r="W5952" s="4">
        <v>132</v>
      </c>
      <c r="Y5952" s="4">
        <v>132</v>
      </c>
      <c r="AB5952" s="17">
        <v>29</v>
      </c>
      <c r="AJ5952" s="19">
        <v>0</v>
      </c>
      <c r="AK5952" s="23">
        <v>29</v>
      </c>
      <c r="AM5952" s="19">
        <v>0</v>
      </c>
      <c r="AN5952" s="19">
        <v>898000</v>
      </c>
      <c r="AP5952" s="14">
        <v>898000</v>
      </c>
    </row>
    <row r="5953" spans="1:45" s="19" customFormat="1" ht="42" x14ac:dyDescent="0.2">
      <c r="A5953" s="2"/>
      <c r="B5953" s="13"/>
      <c r="C5953" s="17"/>
      <c r="D5953" s="17"/>
      <c r="E5953" s="17"/>
      <c r="F5953" s="17"/>
      <c r="G5953" s="13"/>
      <c r="H5953" s="17"/>
      <c r="I5953" s="17"/>
      <c r="J5953" s="17"/>
      <c r="K5953" s="10"/>
      <c r="L5953" s="17"/>
      <c r="M5953" s="15"/>
      <c r="N5953" s="18"/>
      <c r="O5953" s="14"/>
      <c r="P5953" s="17"/>
      <c r="Q5953" s="19">
        <v>0</v>
      </c>
      <c r="R5953" s="14" t="e">
        <v>#N/A</v>
      </c>
      <c r="S5953" s="19" t="e">
        <v>#N/A</v>
      </c>
      <c r="T5953" s="17">
        <v>2</v>
      </c>
      <c r="U5953" s="17"/>
      <c r="V5953" s="17" t="s">
        <v>183</v>
      </c>
      <c r="W5953" s="4">
        <v>68</v>
      </c>
      <c r="X5953" s="17"/>
      <c r="Y5953" s="4">
        <v>68</v>
      </c>
      <c r="Z5953" s="17"/>
      <c r="AA5953" s="17"/>
      <c r="AB5953" s="17">
        <v>26</v>
      </c>
      <c r="AC5953" s="14"/>
      <c r="AD5953" s="14"/>
      <c r="AE5953" s="17"/>
      <c r="AF5953" s="14"/>
      <c r="AG5953" s="54"/>
      <c r="AH5953" s="11"/>
      <c r="AI5953" s="14"/>
      <c r="AJ5953" s="19">
        <v>0</v>
      </c>
      <c r="AK5953" s="23">
        <v>26</v>
      </c>
      <c r="AL5953" s="11"/>
      <c r="AM5953" s="19">
        <v>0</v>
      </c>
      <c r="AN5953" s="19" t="e">
        <v>#N/A</v>
      </c>
      <c r="AO5953" s="14"/>
      <c r="AP5953" s="14" t="e">
        <v>#N/A</v>
      </c>
      <c r="AQ5953" s="12"/>
      <c r="AS5953" s="26"/>
    </row>
    <row r="5954" spans="1:45" s="19" customFormat="1" ht="63" x14ac:dyDescent="0.2">
      <c r="A5954" s="2"/>
      <c r="B5954" s="13"/>
      <c r="C5954" s="17"/>
      <c r="D5954" s="17"/>
      <c r="E5954" s="17"/>
      <c r="F5954" s="17"/>
      <c r="G5954" s="13"/>
      <c r="H5954" s="17"/>
      <c r="I5954" s="17"/>
      <c r="J5954" s="17"/>
      <c r="K5954" s="10"/>
      <c r="L5954" s="17"/>
      <c r="M5954" s="15"/>
      <c r="N5954" s="18"/>
      <c r="O5954" s="14"/>
      <c r="P5954" s="17"/>
      <c r="Q5954" s="19">
        <v>0</v>
      </c>
      <c r="R5954" s="14" t="e">
        <v>#N/A</v>
      </c>
      <c r="S5954" s="19" t="e">
        <v>#N/A</v>
      </c>
      <c r="T5954" s="17">
        <v>3</v>
      </c>
      <c r="U5954" s="17"/>
      <c r="V5954" s="17" t="s">
        <v>496</v>
      </c>
      <c r="W5954" s="4">
        <v>80</v>
      </c>
      <c r="X5954" s="17"/>
      <c r="Y5954" s="4">
        <v>80</v>
      </c>
      <c r="Z5954" s="17"/>
      <c r="AA5954" s="17"/>
      <c r="AB5954" s="17">
        <v>19</v>
      </c>
      <c r="AC5954" s="14"/>
      <c r="AD5954" s="14"/>
      <c r="AE5954" s="17"/>
      <c r="AF5954" s="14"/>
      <c r="AG5954" s="54"/>
      <c r="AH5954" s="11"/>
      <c r="AI5954" s="14"/>
      <c r="AJ5954" s="19">
        <v>0</v>
      </c>
      <c r="AK5954" s="23">
        <v>19</v>
      </c>
      <c r="AL5954" s="11"/>
      <c r="AM5954" s="19">
        <v>0</v>
      </c>
      <c r="AN5954" s="19" t="e">
        <v>#N/A</v>
      </c>
      <c r="AO5954" s="14"/>
      <c r="AP5954" s="14" t="e">
        <v>#N/A</v>
      </c>
      <c r="AQ5954" s="12"/>
      <c r="AS5954" s="26"/>
    </row>
    <row r="5955" spans="1:45" s="19" customFormat="1" ht="42" x14ac:dyDescent="0.2">
      <c r="A5955" s="2">
        <v>4919</v>
      </c>
      <c r="B5955" s="13">
        <v>1</v>
      </c>
      <c r="C5955" s="17" t="s">
        <v>52</v>
      </c>
      <c r="D5955" s="17">
        <v>2353</v>
      </c>
      <c r="E5955" s="17">
        <v>3</v>
      </c>
      <c r="F5955" s="17">
        <v>1152</v>
      </c>
      <c r="G5955" s="13">
        <v>4</v>
      </c>
      <c r="H5955" s="17">
        <v>0</v>
      </c>
      <c r="I5955" s="17">
        <v>0</v>
      </c>
      <c r="J5955" s="17">
        <v>80</v>
      </c>
      <c r="K5955" s="10"/>
      <c r="L5955" s="17">
        <v>80</v>
      </c>
      <c r="M5955" s="15"/>
      <c r="N5955" s="18"/>
      <c r="O5955" s="14"/>
      <c r="P5955" s="17">
        <v>2</v>
      </c>
      <c r="Q5955" s="19">
        <v>80</v>
      </c>
      <c r="R5955" s="14">
        <v>2000</v>
      </c>
      <c r="S5955" s="19">
        <v>160000</v>
      </c>
      <c r="T5955" s="17">
        <v>1</v>
      </c>
      <c r="U5955" s="17"/>
      <c r="V5955" s="17" t="s">
        <v>183</v>
      </c>
      <c r="W5955" s="4">
        <v>75</v>
      </c>
      <c r="X5955" s="17"/>
      <c r="Y5955" s="4">
        <v>75</v>
      </c>
      <c r="Z5955" s="17"/>
      <c r="AA5955" s="17"/>
      <c r="AB5955" s="17">
        <v>24</v>
      </c>
      <c r="AC5955" s="14"/>
      <c r="AD5955" s="14"/>
      <c r="AE5955" s="17"/>
      <c r="AF5955" s="14"/>
      <c r="AG5955" s="54"/>
      <c r="AH5955" s="11"/>
      <c r="AI5955" s="14"/>
      <c r="AJ5955" s="19">
        <v>0</v>
      </c>
      <c r="AK5955" s="23">
        <v>24</v>
      </c>
      <c r="AL5955" s="11"/>
      <c r="AM5955" s="19">
        <v>0</v>
      </c>
      <c r="AN5955" s="19">
        <v>160000</v>
      </c>
      <c r="AO5955" s="14"/>
      <c r="AP5955" s="14">
        <v>160000</v>
      </c>
      <c r="AQ5955" s="12"/>
      <c r="AS5955" s="26"/>
    </row>
    <row r="5956" spans="1:45" s="19" customFormat="1" ht="42" x14ac:dyDescent="0.2">
      <c r="A5956" s="2">
        <v>4920</v>
      </c>
      <c r="B5956" s="13">
        <v>1</v>
      </c>
      <c r="C5956" s="17" t="s">
        <v>52</v>
      </c>
      <c r="D5956" s="17">
        <v>2316</v>
      </c>
      <c r="E5956" s="17">
        <v>2</v>
      </c>
      <c r="F5956" s="17">
        <v>1151</v>
      </c>
      <c r="G5956" s="13">
        <v>4</v>
      </c>
      <c r="H5956" s="17">
        <v>0</v>
      </c>
      <c r="I5956" s="17">
        <v>0</v>
      </c>
      <c r="J5956" s="17">
        <v>79</v>
      </c>
      <c r="K5956" s="10"/>
      <c r="L5956" s="17">
        <v>79</v>
      </c>
      <c r="M5956" s="15"/>
      <c r="N5956" s="18"/>
      <c r="O5956" s="14"/>
      <c r="P5956" s="17">
        <v>2</v>
      </c>
      <c r="Q5956" s="19">
        <v>79</v>
      </c>
      <c r="R5956" s="14">
        <v>2000</v>
      </c>
      <c r="S5956" s="19">
        <v>158000</v>
      </c>
      <c r="T5956" s="17">
        <v>1</v>
      </c>
      <c r="U5956" s="17"/>
      <c r="V5956" s="17" t="s">
        <v>183</v>
      </c>
      <c r="W5956" s="4">
        <v>60</v>
      </c>
      <c r="X5956" s="17"/>
      <c r="Y5956" s="4">
        <v>60</v>
      </c>
      <c r="Z5956" s="17"/>
      <c r="AA5956" s="17"/>
      <c r="AB5956" s="17">
        <v>30</v>
      </c>
      <c r="AC5956" s="14"/>
      <c r="AD5956" s="14"/>
      <c r="AE5956" s="17"/>
      <c r="AF5956" s="14"/>
      <c r="AG5956" s="54"/>
      <c r="AH5956" s="11"/>
      <c r="AI5956" s="14"/>
      <c r="AJ5956" s="19">
        <v>0</v>
      </c>
      <c r="AK5956" s="23">
        <v>30</v>
      </c>
      <c r="AL5956" s="11"/>
      <c r="AM5956" s="19">
        <v>0</v>
      </c>
      <c r="AN5956" s="19">
        <v>158000</v>
      </c>
      <c r="AO5956" s="14"/>
      <c r="AP5956" s="14">
        <v>158000</v>
      </c>
      <c r="AQ5956" s="12"/>
      <c r="AS5956" s="26"/>
    </row>
    <row r="5957" spans="1:45" s="19" customFormat="1" ht="42" x14ac:dyDescent="0.2">
      <c r="A5957" s="2"/>
      <c r="B5957" s="13"/>
      <c r="C5957" s="17"/>
      <c r="D5957" s="17"/>
      <c r="E5957" s="17"/>
      <c r="F5957" s="17"/>
      <c r="G5957" s="13"/>
      <c r="H5957" s="17"/>
      <c r="I5957" s="17"/>
      <c r="J5957" s="17"/>
      <c r="K5957" s="10"/>
      <c r="L5957" s="17"/>
      <c r="M5957" s="15"/>
      <c r="N5957" s="18"/>
      <c r="O5957" s="14"/>
      <c r="P5957" s="17">
        <v>2</v>
      </c>
      <c r="Q5957" s="19">
        <v>0</v>
      </c>
      <c r="R5957" s="14" t="e">
        <v>#N/A</v>
      </c>
      <c r="S5957" s="19" t="e">
        <v>#N/A</v>
      </c>
      <c r="T5957" s="17">
        <v>2</v>
      </c>
      <c r="U5957" s="17"/>
      <c r="V5957" s="17" t="s">
        <v>183</v>
      </c>
      <c r="W5957" s="4">
        <v>40</v>
      </c>
      <c r="X5957" s="17"/>
      <c r="Y5957" s="4">
        <v>40</v>
      </c>
      <c r="Z5957" s="17"/>
      <c r="AA5957" s="17"/>
      <c r="AB5957" s="17">
        <v>13</v>
      </c>
      <c r="AC5957" s="14"/>
      <c r="AD5957" s="14"/>
      <c r="AE5957" s="17"/>
      <c r="AF5957" s="14"/>
      <c r="AG5957" s="54"/>
      <c r="AH5957" s="11"/>
      <c r="AI5957" s="14"/>
      <c r="AJ5957" s="19">
        <v>0</v>
      </c>
      <c r="AK5957" s="23">
        <v>13</v>
      </c>
      <c r="AL5957" s="11"/>
      <c r="AM5957" s="19">
        <v>0</v>
      </c>
      <c r="AN5957" s="19" t="e">
        <v>#N/A</v>
      </c>
      <c r="AO5957" s="14"/>
      <c r="AP5957" s="14" t="e">
        <v>#N/A</v>
      </c>
      <c r="AQ5957" s="12"/>
      <c r="AS5957" s="26"/>
    </row>
    <row r="5958" spans="1:45" s="19" customFormat="1" ht="42" x14ac:dyDescent="0.2">
      <c r="A5958" s="2">
        <v>4921</v>
      </c>
      <c r="B5958" s="13">
        <v>1</v>
      </c>
      <c r="C5958" s="17" t="s">
        <v>52</v>
      </c>
      <c r="D5958" s="17">
        <v>30949</v>
      </c>
      <c r="E5958" s="17">
        <v>119</v>
      </c>
      <c r="F5958" s="17">
        <v>5901</v>
      </c>
      <c r="G5958" s="13">
        <v>2</v>
      </c>
      <c r="H5958" s="17">
        <v>0</v>
      </c>
      <c r="I5958" s="17">
        <v>0</v>
      </c>
      <c r="J5958" s="17">
        <v>40.04</v>
      </c>
      <c r="K5958" s="10"/>
      <c r="L5958" s="17">
        <v>40.04</v>
      </c>
      <c r="M5958" s="15"/>
      <c r="N5958" s="18"/>
      <c r="O5958" s="14"/>
      <c r="P5958" s="17">
        <v>2</v>
      </c>
      <c r="Q5958" s="19">
        <v>40.04</v>
      </c>
      <c r="R5958" s="14">
        <v>160</v>
      </c>
      <c r="S5958" s="19">
        <v>6406.4</v>
      </c>
      <c r="T5958" s="17">
        <v>1</v>
      </c>
      <c r="U5958" s="17"/>
      <c r="V5958" s="17" t="s">
        <v>183</v>
      </c>
      <c r="W5958" s="4">
        <v>102</v>
      </c>
      <c r="X5958" s="17"/>
      <c r="Y5958" s="4">
        <v>102</v>
      </c>
      <c r="Z5958" s="17"/>
      <c r="AA5958" s="17"/>
      <c r="AB5958" s="17">
        <v>40</v>
      </c>
      <c r="AC5958" s="14"/>
      <c r="AD5958" s="14"/>
      <c r="AE5958" s="17"/>
      <c r="AF5958" s="14"/>
      <c r="AG5958" s="54"/>
      <c r="AH5958" s="11"/>
      <c r="AI5958" s="14"/>
      <c r="AJ5958" s="19">
        <v>0</v>
      </c>
      <c r="AK5958" s="23">
        <v>40</v>
      </c>
      <c r="AL5958" s="11"/>
      <c r="AM5958" s="19">
        <v>0</v>
      </c>
      <c r="AN5958" s="19">
        <v>6406.4</v>
      </c>
      <c r="AO5958" s="14"/>
      <c r="AP5958" s="14">
        <v>6406.4</v>
      </c>
      <c r="AQ5958" s="12"/>
      <c r="AS5958" s="26"/>
    </row>
    <row r="5959" spans="1:45" s="19" customFormat="1" x14ac:dyDescent="0.2">
      <c r="A5959" s="2">
        <f>+A5958+1</f>
        <v>4922</v>
      </c>
      <c r="B5959" s="13">
        <v>2</v>
      </c>
      <c r="C5959" s="17" t="s">
        <v>52</v>
      </c>
      <c r="D5959" s="17">
        <v>30943</v>
      </c>
      <c r="E5959" s="17">
        <v>113</v>
      </c>
      <c r="F5959" s="17">
        <v>5895</v>
      </c>
      <c r="G5959" s="13">
        <v>2</v>
      </c>
      <c r="H5959" s="17">
        <v>4</v>
      </c>
      <c r="I5959" s="17">
        <v>0</v>
      </c>
      <c r="J5959" s="17">
        <v>61.05</v>
      </c>
      <c r="K5959" s="10">
        <v>1661.05</v>
      </c>
      <c r="L5959" s="17"/>
      <c r="M5959" s="15"/>
      <c r="N5959" s="18"/>
      <c r="O5959" s="14"/>
      <c r="P5959" s="17">
        <v>1</v>
      </c>
      <c r="Q5959" s="19">
        <v>1661.05</v>
      </c>
      <c r="R5959" s="14">
        <v>160</v>
      </c>
      <c r="S5959" s="19">
        <v>265768</v>
      </c>
      <c r="T5959" s="17"/>
      <c r="U5959" s="17"/>
      <c r="V5959" s="17"/>
      <c r="W5959" s="4"/>
      <c r="X5959" s="17"/>
      <c r="Y5959" s="4"/>
      <c r="Z5959" s="17"/>
      <c r="AA5959" s="17"/>
      <c r="AB5959" s="17"/>
      <c r="AC5959" s="14"/>
      <c r="AD5959" s="14"/>
      <c r="AE5959" s="17"/>
      <c r="AF5959" s="14"/>
      <c r="AG5959" s="54"/>
      <c r="AH5959" s="11"/>
      <c r="AI5959" s="14"/>
      <c r="AJ5959" s="19">
        <v>0</v>
      </c>
      <c r="AK5959" s="23">
        <v>0</v>
      </c>
      <c r="AL5959" s="11"/>
      <c r="AM5959" s="19">
        <v>0</v>
      </c>
      <c r="AN5959" s="19">
        <v>265768</v>
      </c>
      <c r="AO5959" s="14"/>
      <c r="AP5959" s="14">
        <v>265768</v>
      </c>
      <c r="AQ5959" s="12"/>
      <c r="AS5959" s="26"/>
    </row>
    <row r="5960" spans="1:45" s="19" customFormat="1" x14ac:dyDescent="0.2">
      <c r="A5960" s="122">
        <f t="shared" ref="A5960:A5961" si="629">+A5959+1</f>
        <v>4923</v>
      </c>
      <c r="B5960" s="13">
        <v>3</v>
      </c>
      <c r="C5960" s="17" t="s">
        <v>65</v>
      </c>
      <c r="D5960" s="17">
        <v>983</v>
      </c>
      <c r="E5960" s="17">
        <v>38</v>
      </c>
      <c r="F5960" s="17"/>
      <c r="G5960" s="13"/>
      <c r="H5960" s="17">
        <v>0</v>
      </c>
      <c r="I5960" s="17">
        <v>1</v>
      </c>
      <c r="J5960" s="17">
        <v>9</v>
      </c>
      <c r="K5960" s="10"/>
      <c r="L5960" s="17"/>
      <c r="M5960" s="15"/>
      <c r="N5960" s="18"/>
      <c r="O5960" s="14" t="s">
        <v>608</v>
      </c>
      <c r="P5960" s="17">
        <v>5</v>
      </c>
      <c r="Q5960" s="19">
        <v>109</v>
      </c>
      <c r="R5960" s="14">
        <v>1500</v>
      </c>
      <c r="S5960" s="19">
        <v>163500</v>
      </c>
      <c r="T5960" s="17"/>
      <c r="U5960" s="17"/>
      <c r="V5960" s="17"/>
      <c r="W5960" s="4"/>
      <c r="X5960" s="17"/>
      <c r="Y5960" s="4"/>
      <c r="Z5960" s="17"/>
      <c r="AA5960" s="17"/>
      <c r="AB5960" s="17"/>
      <c r="AC5960" s="14"/>
      <c r="AD5960" s="14"/>
      <c r="AE5960" s="17"/>
      <c r="AF5960" s="14">
        <v>2</v>
      </c>
      <c r="AG5960" s="54"/>
      <c r="AH5960" s="11"/>
      <c r="AI5960" s="14"/>
      <c r="AJ5960" s="19">
        <v>0</v>
      </c>
      <c r="AK5960" s="23">
        <v>0</v>
      </c>
      <c r="AL5960" s="11"/>
      <c r="AM5960" s="19">
        <v>0</v>
      </c>
      <c r="AN5960" s="19">
        <v>163500</v>
      </c>
      <c r="AO5960" s="14"/>
      <c r="AP5960" s="14">
        <v>163500</v>
      </c>
      <c r="AQ5960" s="12">
        <v>2.0000000000000001E-4</v>
      </c>
      <c r="AS5960" s="26"/>
    </row>
    <row r="5961" spans="1:45" s="19" customFormat="1" ht="63" x14ac:dyDescent="0.2">
      <c r="A5961" s="122">
        <f t="shared" si="629"/>
        <v>4924</v>
      </c>
      <c r="B5961" s="13"/>
      <c r="C5961" s="17"/>
      <c r="D5961" s="17"/>
      <c r="E5961" s="17"/>
      <c r="F5961" s="17"/>
      <c r="G5961" s="13"/>
      <c r="H5961" s="17"/>
      <c r="I5961" s="17"/>
      <c r="J5961" s="17"/>
      <c r="K5961" s="10"/>
      <c r="L5961" s="17"/>
      <c r="M5961" s="15"/>
      <c r="N5961" s="18"/>
      <c r="O5961" s="14"/>
      <c r="P5961" s="17"/>
      <c r="R5961" s="14"/>
      <c r="T5961" s="17"/>
      <c r="U5961" s="17" t="s">
        <v>57</v>
      </c>
      <c r="V5961" s="17" t="s">
        <v>56</v>
      </c>
      <c r="W5961" s="4" t="s">
        <v>609</v>
      </c>
      <c r="X5961" s="17"/>
      <c r="Y5961" s="4" t="s">
        <v>253</v>
      </c>
      <c r="Z5961" s="17"/>
      <c r="AA5961" s="17"/>
      <c r="AB5961" s="17" t="s">
        <v>544</v>
      </c>
      <c r="AC5961" s="14"/>
      <c r="AD5961" s="14"/>
      <c r="AE5961" s="17">
        <v>0.10714285714285714</v>
      </c>
      <c r="AF5961" s="14">
        <v>2</v>
      </c>
      <c r="AG5961" s="54">
        <v>112</v>
      </c>
      <c r="AH5961" s="11">
        <v>0.89</v>
      </c>
      <c r="AI5961" s="14">
        <v>7250</v>
      </c>
      <c r="AJ5961" s="19">
        <v>722680</v>
      </c>
      <c r="AK5961" s="23">
        <v>15</v>
      </c>
      <c r="AL5961" s="11">
        <v>0.2</v>
      </c>
      <c r="AM5961" s="19">
        <v>578144</v>
      </c>
      <c r="AN5961" s="19">
        <v>578144</v>
      </c>
      <c r="AO5961" s="14"/>
      <c r="AP5961" s="14">
        <v>578144</v>
      </c>
      <c r="AQ5961" s="12"/>
      <c r="AS5961" s="26"/>
    </row>
    <row r="5962" spans="1:45" s="19" customFormat="1" x14ac:dyDescent="0.2">
      <c r="A5962" s="2"/>
      <c r="B5962" s="13"/>
      <c r="C5962" s="17"/>
      <c r="D5962" s="17"/>
      <c r="E5962" s="17"/>
      <c r="F5962" s="17"/>
      <c r="G5962" s="13"/>
      <c r="H5962" s="17"/>
      <c r="I5962" s="17"/>
      <c r="J5962" s="17"/>
      <c r="K5962" s="10"/>
      <c r="L5962" s="17"/>
      <c r="M5962" s="15"/>
      <c r="N5962" s="18"/>
      <c r="O5962" s="14"/>
      <c r="P5962" s="17"/>
      <c r="R5962" s="14"/>
      <c r="T5962" s="17"/>
      <c r="U5962" s="17"/>
      <c r="V5962" s="17"/>
      <c r="W5962" s="4"/>
      <c r="X5962" s="17"/>
      <c r="Y5962" s="4"/>
      <c r="Z5962" s="17" t="s">
        <v>437</v>
      </c>
      <c r="AA5962" s="17"/>
      <c r="AB5962" s="17"/>
      <c r="AC5962" s="14"/>
      <c r="AD5962" s="14"/>
      <c r="AE5962" s="17"/>
      <c r="AF5962" s="14">
        <v>3</v>
      </c>
      <c r="AG5962" s="54">
        <v>112</v>
      </c>
      <c r="AH5962" s="11">
        <v>0.11</v>
      </c>
      <c r="AI5962" s="14">
        <v>7250</v>
      </c>
      <c r="AJ5962" s="19">
        <v>89320</v>
      </c>
      <c r="AK5962" s="23">
        <v>15</v>
      </c>
      <c r="AL5962" s="11">
        <v>0.2</v>
      </c>
      <c r="AM5962" s="19">
        <v>71456</v>
      </c>
      <c r="AN5962" s="19">
        <v>89441</v>
      </c>
      <c r="AO5962" s="14"/>
      <c r="AP5962" s="14">
        <v>89441</v>
      </c>
      <c r="AQ5962" s="12">
        <v>3.0000000000000001E-3</v>
      </c>
      <c r="AS5962" s="26"/>
    </row>
    <row r="5963" spans="1:45" s="19" customFormat="1" x14ac:dyDescent="0.2">
      <c r="A5963" s="2">
        <v>4925</v>
      </c>
      <c r="B5963" s="13">
        <v>4</v>
      </c>
      <c r="C5963" s="17" t="s">
        <v>65</v>
      </c>
      <c r="D5963" s="17">
        <v>1504</v>
      </c>
      <c r="E5963" s="17">
        <v>177</v>
      </c>
      <c r="F5963" s="17"/>
      <c r="G5963" s="13"/>
      <c r="H5963" s="17">
        <v>2</v>
      </c>
      <c r="I5963" s="17">
        <v>1</v>
      </c>
      <c r="J5963" s="17">
        <v>95</v>
      </c>
      <c r="K5963" s="10">
        <v>995</v>
      </c>
      <c r="L5963" s="17"/>
      <c r="M5963" s="15"/>
      <c r="N5963" s="18"/>
      <c r="O5963" s="14"/>
      <c r="P5963" s="17"/>
      <c r="Q5963" s="19">
        <v>995</v>
      </c>
      <c r="R5963" s="14">
        <v>200</v>
      </c>
      <c r="S5963" s="19">
        <v>199000</v>
      </c>
      <c r="T5963" s="17"/>
      <c r="U5963" s="17"/>
      <c r="V5963" s="17"/>
      <c r="W5963" s="4"/>
      <c r="X5963" s="17"/>
      <c r="Y5963" s="4"/>
      <c r="Z5963" s="17"/>
      <c r="AA5963" s="17"/>
      <c r="AB5963" s="17"/>
      <c r="AC5963" s="14"/>
      <c r="AD5963" s="14"/>
      <c r="AE5963" s="17" t="s">
        <v>94</v>
      </c>
      <c r="AF5963" s="14"/>
      <c r="AG5963" s="54"/>
      <c r="AH5963" s="11"/>
      <c r="AI5963" s="14"/>
      <c r="AJ5963" s="19">
        <v>0</v>
      </c>
      <c r="AK5963" s="23">
        <v>0</v>
      </c>
      <c r="AL5963" s="11"/>
      <c r="AM5963" s="19">
        <v>0</v>
      </c>
      <c r="AN5963" s="19">
        <v>199000</v>
      </c>
      <c r="AO5963" s="14"/>
      <c r="AP5963" s="14">
        <v>199000</v>
      </c>
      <c r="AQ5963" s="12">
        <v>1E-4</v>
      </c>
      <c r="AS5963" s="26"/>
    </row>
    <row r="5964" spans="1:45" s="19" customFormat="1" x14ac:dyDescent="0.2">
      <c r="A5964" s="2">
        <f>+A5963+1</f>
        <v>4926</v>
      </c>
      <c r="B5964" s="13">
        <v>1</v>
      </c>
      <c r="C5964" s="17" t="s">
        <v>52</v>
      </c>
      <c r="D5964" s="17">
        <v>2466</v>
      </c>
      <c r="E5964" s="17">
        <v>18</v>
      </c>
      <c r="F5964" s="17">
        <v>1301</v>
      </c>
      <c r="G5964" s="13">
        <v>2</v>
      </c>
      <c r="H5964" s="17">
        <v>4</v>
      </c>
      <c r="I5964" s="17">
        <v>0</v>
      </c>
      <c r="J5964" s="17">
        <v>50</v>
      </c>
      <c r="K5964" s="10">
        <v>1650</v>
      </c>
      <c r="L5964" s="17"/>
      <c r="M5964" s="15"/>
      <c r="N5964" s="18"/>
      <c r="O5964" s="14"/>
      <c r="P5964" s="17">
        <v>1</v>
      </c>
      <c r="Q5964" s="19">
        <v>1650</v>
      </c>
      <c r="R5964" s="14">
        <v>160</v>
      </c>
      <c r="S5964" s="19">
        <v>264000</v>
      </c>
      <c r="T5964" s="17"/>
      <c r="U5964" s="17"/>
      <c r="V5964" s="17"/>
      <c r="W5964" s="4"/>
      <c r="X5964" s="17"/>
      <c r="Y5964" s="4"/>
      <c r="Z5964" s="17"/>
      <c r="AA5964" s="17"/>
      <c r="AB5964" s="17"/>
      <c r="AC5964" s="14"/>
      <c r="AD5964" s="14"/>
      <c r="AE5964" s="17"/>
      <c r="AF5964" s="14"/>
      <c r="AG5964" s="54"/>
      <c r="AH5964" s="11"/>
      <c r="AI5964" s="14"/>
      <c r="AJ5964" s="19">
        <v>0</v>
      </c>
      <c r="AK5964" s="23">
        <v>0</v>
      </c>
      <c r="AL5964" s="11"/>
      <c r="AM5964" s="19">
        <v>0</v>
      </c>
      <c r="AN5964" s="19">
        <v>264000</v>
      </c>
      <c r="AO5964" s="14"/>
      <c r="AP5964" s="14">
        <v>264000</v>
      </c>
      <c r="AQ5964" s="12"/>
      <c r="AS5964" s="26"/>
    </row>
    <row r="5965" spans="1:45" s="19" customFormat="1" ht="42" x14ac:dyDescent="0.2">
      <c r="A5965" s="122">
        <f>+A5964+1</f>
        <v>4927</v>
      </c>
      <c r="B5965" s="13">
        <v>2</v>
      </c>
      <c r="C5965" s="17" t="s">
        <v>52</v>
      </c>
      <c r="D5965" s="17">
        <v>2961</v>
      </c>
      <c r="E5965" s="17">
        <v>22</v>
      </c>
      <c r="F5965" s="17">
        <v>2025</v>
      </c>
      <c r="G5965" s="13">
        <v>2</v>
      </c>
      <c r="H5965" s="17">
        <v>0</v>
      </c>
      <c r="I5965" s="17">
        <v>0</v>
      </c>
      <c r="J5965" s="17">
        <v>81</v>
      </c>
      <c r="K5965" s="10"/>
      <c r="L5965" s="17">
        <v>81</v>
      </c>
      <c r="M5965" s="15"/>
      <c r="N5965" s="18"/>
      <c r="O5965" s="14"/>
      <c r="P5965" s="17">
        <v>2</v>
      </c>
      <c r="Q5965" s="19">
        <v>81</v>
      </c>
      <c r="R5965" s="14">
        <v>250</v>
      </c>
      <c r="S5965" s="19">
        <v>20250</v>
      </c>
      <c r="T5965" s="17">
        <v>1</v>
      </c>
      <c r="U5965" s="17"/>
      <c r="V5965" s="17" t="s">
        <v>183</v>
      </c>
      <c r="W5965" s="4">
        <v>115.5</v>
      </c>
      <c r="X5965" s="17"/>
      <c r="Y5965" s="4">
        <v>115.5</v>
      </c>
      <c r="Z5965" s="17"/>
      <c r="AA5965" s="17"/>
      <c r="AB5965" s="17">
        <v>29</v>
      </c>
      <c r="AC5965" s="14"/>
      <c r="AD5965" s="14"/>
      <c r="AE5965" s="17"/>
      <c r="AF5965" s="14"/>
      <c r="AG5965" s="54"/>
      <c r="AH5965" s="11"/>
      <c r="AI5965" s="14"/>
      <c r="AJ5965" s="19">
        <v>0</v>
      </c>
      <c r="AK5965" s="23">
        <v>29</v>
      </c>
      <c r="AL5965" s="11"/>
      <c r="AM5965" s="19">
        <v>0</v>
      </c>
      <c r="AN5965" s="19">
        <v>20250</v>
      </c>
      <c r="AO5965" s="14"/>
      <c r="AP5965" s="14">
        <v>20250</v>
      </c>
      <c r="AQ5965" s="12"/>
      <c r="AS5965" s="26"/>
    </row>
    <row r="5966" spans="1:45" s="19" customFormat="1" ht="42" x14ac:dyDescent="0.2">
      <c r="A5966" s="2"/>
      <c r="B5966" s="13"/>
      <c r="C5966" s="17"/>
      <c r="D5966" s="17"/>
      <c r="E5966" s="17"/>
      <c r="F5966" s="17"/>
      <c r="G5966" s="13"/>
      <c r="H5966" s="17"/>
      <c r="I5966" s="17"/>
      <c r="J5966" s="17"/>
      <c r="K5966" s="10"/>
      <c r="L5966" s="17"/>
      <c r="M5966" s="15"/>
      <c r="N5966" s="18"/>
      <c r="O5966" s="14"/>
      <c r="P5966" s="17"/>
      <c r="Q5966" s="19">
        <v>0</v>
      </c>
      <c r="R5966" s="14" t="e">
        <v>#N/A</v>
      </c>
      <c r="S5966" s="19" t="e">
        <v>#N/A</v>
      </c>
      <c r="T5966" s="17">
        <v>2</v>
      </c>
      <c r="U5966" s="17"/>
      <c r="V5966" s="17" t="s">
        <v>183</v>
      </c>
      <c r="W5966" s="4">
        <v>94.5</v>
      </c>
      <c r="X5966" s="17"/>
      <c r="Y5966" s="4">
        <v>94.5</v>
      </c>
      <c r="Z5966" s="17"/>
      <c r="AA5966" s="17"/>
      <c r="AB5966" s="17">
        <v>28</v>
      </c>
      <c r="AC5966" s="14"/>
      <c r="AD5966" s="14"/>
      <c r="AE5966" s="17"/>
      <c r="AF5966" s="14"/>
      <c r="AG5966" s="54"/>
      <c r="AH5966" s="11"/>
      <c r="AI5966" s="14"/>
      <c r="AJ5966" s="19">
        <v>0</v>
      </c>
      <c r="AK5966" s="23">
        <v>28</v>
      </c>
      <c r="AL5966" s="11"/>
      <c r="AM5966" s="19">
        <v>0</v>
      </c>
      <c r="AN5966" s="19" t="e">
        <v>#N/A</v>
      </c>
      <c r="AO5966" s="14"/>
      <c r="AP5966" s="14" t="e">
        <v>#N/A</v>
      </c>
      <c r="AQ5966" s="12"/>
      <c r="AS5966" s="26"/>
    </row>
    <row r="5967" spans="1:45" s="19" customFormat="1" ht="42" x14ac:dyDescent="0.2">
      <c r="A5967" s="2">
        <v>4928</v>
      </c>
      <c r="B5967" s="13">
        <v>1</v>
      </c>
      <c r="C5967" s="17" t="s">
        <v>52</v>
      </c>
      <c r="D5967" s="17">
        <v>2962</v>
      </c>
      <c r="E5967" s="17">
        <v>24</v>
      </c>
      <c r="F5967" s="17">
        <v>2026</v>
      </c>
      <c r="G5967" s="13">
        <v>2</v>
      </c>
      <c r="H5967" s="17">
        <v>0</v>
      </c>
      <c r="I5967" s="17">
        <v>1</v>
      </c>
      <c r="J5967" s="17">
        <v>18</v>
      </c>
      <c r="K5967" s="10"/>
      <c r="L5967" s="17">
        <v>118</v>
      </c>
      <c r="M5967" s="15"/>
      <c r="N5967" s="18"/>
      <c r="O5967" s="14"/>
      <c r="P5967" s="17">
        <v>2</v>
      </c>
      <c r="Q5967" s="19">
        <v>118</v>
      </c>
      <c r="R5967" s="14">
        <v>250</v>
      </c>
      <c r="S5967" s="19">
        <v>29500</v>
      </c>
      <c r="T5967" s="17">
        <v>1</v>
      </c>
      <c r="U5967" s="17"/>
      <c r="V5967" s="17" t="s">
        <v>183</v>
      </c>
      <c r="W5967" s="4">
        <v>165</v>
      </c>
      <c r="X5967" s="17"/>
      <c r="Y5967" s="4">
        <v>165</v>
      </c>
      <c r="Z5967" s="17"/>
      <c r="AA5967" s="17"/>
      <c r="AB5967" s="17">
        <v>21</v>
      </c>
      <c r="AC5967" s="14"/>
      <c r="AD5967" s="14"/>
      <c r="AE5967" s="17"/>
      <c r="AF5967" s="14"/>
      <c r="AG5967" s="54"/>
      <c r="AH5967" s="11"/>
      <c r="AI5967" s="14"/>
      <c r="AJ5967" s="19">
        <v>0</v>
      </c>
      <c r="AK5967" s="23">
        <v>21</v>
      </c>
      <c r="AL5967" s="11"/>
      <c r="AM5967" s="19">
        <v>0</v>
      </c>
      <c r="AN5967" s="19">
        <v>29500</v>
      </c>
      <c r="AO5967" s="14"/>
      <c r="AP5967" s="14">
        <v>29500</v>
      </c>
      <c r="AQ5967" s="12"/>
      <c r="AS5967" s="26"/>
    </row>
    <row r="5968" spans="1:45" s="19" customFormat="1" x14ac:dyDescent="0.2">
      <c r="A5968" s="2">
        <v>4929</v>
      </c>
      <c r="B5968" s="13">
        <v>2</v>
      </c>
      <c r="C5968" s="17" t="s">
        <v>52</v>
      </c>
      <c r="D5968" s="17">
        <v>3761</v>
      </c>
      <c r="E5968" s="17">
        <v>36</v>
      </c>
      <c r="F5968" s="17">
        <v>2285</v>
      </c>
      <c r="G5968" s="13">
        <v>2</v>
      </c>
      <c r="H5968" s="17">
        <v>4</v>
      </c>
      <c r="I5968" s="17">
        <v>0</v>
      </c>
      <c r="J5968" s="17">
        <v>65</v>
      </c>
      <c r="K5968" s="10">
        <v>1665</v>
      </c>
      <c r="L5968" s="17"/>
      <c r="M5968" s="15"/>
      <c r="N5968" s="18"/>
      <c r="O5968" s="14"/>
      <c r="P5968" s="17">
        <v>1</v>
      </c>
      <c r="Q5968" s="19">
        <v>1665</v>
      </c>
      <c r="R5968" s="14">
        <v>200</v>
      </c>
      <c r="S5968" s="19">
        <v>333000</v>
      </c>
      <c r="T5968" s="17"/>
      <c r="U5968" s="17"/>
      <c r="V5968" s="17"/>
      <c r="W5968" s="4"/>
      <c r="X5968" s="17"/>
      <c r="Y5968" s="4"/>
      <c r="Z5968" s="17"/>
      <c r="AA5968" s="17"/>
      <c r="AB5968" s="17"/>
      <c r="AC5968" s="14"/>
      <c r="AD5968" s="14"/>
      <c r="AE5968" s="17"/>
      <c r="AF5968" s="14"/>
      <c r="AG5968" s="54"/>
      <c r="AH5968" s="11"/>
      <c r="AI5968" s="14"/>
      <c r="AJ5968" s="19">
        <v>0</v>
      </c>
      <c r="AK5968" s="23">
        <v>0</v>
      </c>
      <c r="AL5968" s="11"/>
      <c r="AM5968" s="19">
        <v>0</v>
      </c>
      <c r="AN5968" s="19">
        <v>333000</v>
      </c>
      <c r="AO5968" s="14"/>
      <c r="AP5968" s="14">
        <v>333000</v>
      </c>
      <c r="AQ5968" s="12"/>
      <c r="AS5968" s="26"/>
    </row>
    <row r="5969" spans="1:45" x14ac:dyDescent="0.2">
      <c r="A5969" s="2">
        <f>+A5968+1</f>
        <v>4930</v>
      </c>
      <c r="B5969" s="13">
        <v>1</v>
      </c>
      <c r="C5969" s="17" t="s">
        <v>52</v>
      </c>
      <c r="D5969" s="17">
        <v>2960</v>
      </c>
      <c r="E5969" s="17">
        <v>21</v>
      </c>
      <c r="F5969" s="17">
        <v>2024</v>
      </c>
      <c r="G5969" s="13">
        <v>2</v>
      </c>
      <c r="H5969" s="17">
        <v>0</v>
      </c>
      <c r="I5969" s="17">
        <v>0</v>
      </c>
      <c r="J5969" s="17">
        <v>50</v>
      </c>
      <c r="K5969" s="10">
        <v>50</v>
      </c>
      <c r="P5969" s="17">
        <v>1</v>
      </c>
      <c r="Q5969" s="19">
        <v>50</v>
      </c>
      <c r="R5969" s="14">
        <v>250</v>
      </c>
      <c r="S5969" s="19">
        <v>12500</v>
      </c>
      <c r="AJ5969" s="19">
        <v>0</v>
      </c>
      <c r="AK5969" s="23">
        <v>0</v>
      </c>
      <c r="AM5969" s="19">
        <v>0</v>
      </c>
      <c r="AN5969" s="19">
        <v>12500</v>
      </c>
      <c r="AP5969" s="14">
        <v>12500</v>
      </c>
    </row>
    <row r="5970" spans="1:45" x14ac:dyDescent="0.2">
      <c r="A5970" s="122">
        <f>+A5969+1</f>
        <v>4931</v>
      </c>
      <c r="B5970" s="13">
        <v>1</v>
      </c>
      <c r="C5970" s="17" t="s">
        <v>65</v>
      </c>
      <c r="D5970" s="17">
        <v>1378</v>
      </c>
      <c r="E5970" s="17">
        <v>66</v>
      </c>
      <c r="H5970" s="17">
        <v>10</v>
      </c>
      <c r="I5970" s="17">
        <v>2</v>
      </c>
      <c r="J5970" s="17">
        <v>74</v>
      </c>
      <c r="K5970" s="10">
        <v>4274</v>
      </c>
      <c r="P5970" s="17">
        <v>1</v>
      </c>
      <c r="Q5970" s="19">
        <v>4274</v>
      </c>
      <c r="R5970" s="14">
        <v>160</v>
      </c>
      <c r="S5970" s="19">
        <v>683840</v>
      </c>
      <c r="AJ5970" s="19">
        <v>0</v>
      </c>
      <c r="AK5970" s="23">
        <v>0</v>
      </c>
      <c r="AM5970" s="19">
        <v>0</v>
      </c>
      <c r="AN5970" s="19">
        <v>683840</v>
      </c>
      <c r="AP5970" s="14">
        <v>683840</v>
      </c>
      <c r="AQ5970" s="12">
        <v>1E-4</v>
      </c>
      <c r="AS5970" s="26">
        <v>32</v>
      </c>
    </row>
    <row r="5971" spans="1:45" x14ac:dyDescent="0.2">
      <c r="B5971" s="13">
        <v>1</v>
      </c>
      <c r="C5971" s="17" t="s">
        <v>65</v>
      </c>
      <c r="D5971" s="17">
        <v>3151</v>
      </c>
      <c r="E5971" s="17">
        <v>67</v>
      </c>
      <c r="H5971" s="17">
        <v>0</v>
      </c>
      <c r="I5971" s="17">
        <v>0</v>
      </c>
      <c r="J5971" s="17">
        <v>74</v>
      </c>
      <c r="N5971" s="18">
        <v>74</v>
      </c>
      <c r="Q5971" s="19">
        <v>74</v>
      </c>
      <c r="R5971" s="14" t="e">
        <v>#N/A</v>
      </c>
      <c r="S5971" s="19" t="e">
        <v>#N/A</v>
      </c>
      <c r="AE5971" s="17" t="s">
        <v>95</v>
      </c>
      <c r="AJ5971" s="19">
        <v>0</v>
      </c>
      <c r="AK5971" s="23">
        <v>0</v>
      </c>
      <c r="AM5971" s="19">
        <v>0</v>
      </c>
      <c r="AN5971" s="19" t="e">
        <v>#N/A</v>
      </c>
      <c r="AP5971" s="14" t="e">
        <v>#N/A</v>
      </c>
      <c r="AQ5971" s="12">
        <v>3.0000000000000001E-3</v>
      </c>
    </row>
    <row r="5972" spans="1:45" x14ac:dyDescent="0.2">
      <c r="A5972" s="2">
        <v>4932</v>
      </c>
      <c r="B5972" s="13">
        <v>1</v>
      </c>
      <c r="C5972" s="17" t="s">
        <v>52</v>
      </c>
      <c r="D5972" s="17">
        <v>1637</v>
      </c>
      <c r="E5972" s="17">
        <v>4</v>
      </c>
      <c r="F5972" s="17">
        <v>1419</v>
      </c>
      <c r="G5972" s="13">
        <v>3</v>
      </c>
      <c r="H5972" s="17">
        <v>8</v>
      </c>
      <c r="I5972" s="17">
        <v>0</v>
      </c>
      <c r="J5972" s="17">
        <v>91</v>
      </c>
      <c r="K5972" s="10">
        <v>3291</v>
      </c>
      <c r="P5972" s="17">
        <v>1</v>
      </c>
      <c r="Q5972" s="19">
        <v>3291</v>
      </c>
      <c r="R5972" s="14">
        <v>160</v>
      </c>
      <c r="S5972" s="19">
        <v>526560</v>
      </c>
      <c r="AJ5972" s="19">
        <v>0</v>
      </c>
      <c r="AK5972" s="23">
        <v>0</v>
      </c>
      <c r="AM5972" s="19">
        <v>0</v>
      </c>
      <c r="AN5972" s="19">
        <v>526560</v>
      </c>
      <c r="AP5972" s="14">
        <v>526560</v>
      </c>
    </row>
    <row r="5973" spans="1:45" x14ac:dyDescent="0.2">
      <c r="A5973" s="2">
        <f>+A5972+1</f>
        <v>4933</v>
      </c>
      <c r="B5973" s="13">
        <v>1</v>
      </c>
      <c r="C5973" s="17" t="s">
        <v>52</v>
      </c>
      <c r="D5973" s="17">
        <v>1636</v>
      </c>
      <c r="E5973" s="17">
        <v>3</v>
      </c>
      <c r="F5973" s="17">
        <v>1418</v>
      </c>
      <c r="H5973" s="17">
        <v>7</v>
      </c>
      <c r="I5973" s="17">
        <v>1</v>
      </c>
      <c r="J5973" s="17">
        <v>24</v>
      </c>
      <c r="K5973" s="10">
        <v>2924</v>
      </c>
      <c r="P5973" s="17">
        <v>1</v>
      </c>
      <c r="Q5973" s="19">
        <v>2924</v>
      </c>
      <c r="R5973" s="14">
        <v>200</v>
      </c>
      <c r="S5973" s="19">
        <v>584800</v>
      </c>
      <c r="AJ5973" s="19">
        <v>0</v>
      </c>
      <c r="AK5973" s="23">
        <v>0</v>
      </c>
      <c r="AM5973" s="19">
        <v>0</v>
      </c>
      <c r="AN5973" s="19">
        <v>584800</v>
      </c>
      <c r="AP5973" s="14">
        <v>584800</v>
      </c>
      <c r="AS5973" s="26">
        <v>111</v>
      </c>
    </row>
    <row r="5974" spans="1:45" x14ac:dyDescent="0.2">
      <c r="A5974" s="122">
        <f t="shared" ref="A5974:A5976" si="630">+A5973+1</f>
        <v>4934</v>
      </c>
      <c r="B5974" s="13">
        <v>2</v>
      </c>
      <c r="C5974" s="17" t="s">
        <v>52</v>
      </c>
      <c r="D5974" s="17">
        <v>1736</v>
      </c>
      <c r="E5974" s="17">
        <v>1</v>
      </c>
      <c r="F5974" s="17">
        <v>1416</v>
      </c>
      <c r="H5974" s="17">
        <v>3</v>
      </c>
      <c r="I5974" s="17">
        <v>3</v>
      </c>
      <c r="J5974" s="17">
        <v>21</v>
      </c>
      <c r="K5974" s="10">
        <v>1521</v>
      </c>
      <c r="P5974" s="17">
        <v>1</v>
      </c>
      <c r="Q5974" s="19">
        <v>1521</v>
      </c>
      <c r="R5974" s="14">
        <v>200</v>
      </c>
      <c r="S5974" s="19">
        <v>304200</v>
      </c>
      <c r="AJ5974" s="19">
        <v>0</v>
      </c>
      <c r="AK5974" s="23">
        <v>0</v>
      </c>
      <c r="AM5974" s="19">
        <v>0</v>
      </c>
      <c r="AN5974" s="19">
        <v>304200</v>
      </c>
      <c r="AP5974" s="14">
        <v>304200</v>
      </c>
    </row>
    <row r="5975" spans="1:45" x14ac:dyDescent="0.2">
      <c r="A5975" s="122">
        <f t="shared" si="630"/>
        <v>4935</v>
      </c>
      <c r="B5975" s="13">
        <v>3</v>
      </c>
      <c r="C5975" s="17" t="s">
        <v>52</v>
      </c>
      <c r="D5975" s="17">
        <v>1737</v>
      </c>
      <c r="E5975" s="17">
        <v>2</v>
      </c>
      <c r="F5975" s="17">
        <v>1417</v>
      </c>
      <c r="H5975" s="17">
        <v>1</v>
      </c>
      <c r="I5975" s="17">
        <v>2</v>
      </c>
      <c r="J5975" s="17">
        <v>13</v>
      </c>
      <c r="K5975" s="10">
        <v>613</v>
      </c>
      <c r="P5975" s="17">
        <v>1</v>
      </c>
      <c r="Q5975" s="19">
        <v>613</v>
      </c>
      <c r="R5975" s="14">
        <v>160</v>
      </c>
      <c r="S5975" s="19">
        <v>98080</v>
      </c>
      <c r="AJ5975" s="19">
        <v>0</v>
      </c>
      <c r="AK5975" s="23">
        <v>0</v>
      </c>
      <c r="AM5975" s="19">
        <v>0</v>
      </c>
      <c r="AN5975" s="19">
        <v>98080</v>
      </c>
      <c r="AP5975" s="14">
        <v>98080</v>
      </c>
    </row>
    <row r="5976" spans="1:45" x14ac:dyDescent="0.2">
      <c r="A5976" s="122">
        <f t="shared" si="630"/>
        <v>4936</v>
      </c>
      <c r="B5976" s="13">
        <v>1</v>
      </c>
      <c r="C5976" s="17" t="s">
        <v>65</v>
      </c>
      <c r="D5976" s="17">
        <v>759</v>
      </c>
      <c r="E5976" s="17">
        <v>6</v>
      </c>
      <c r="H5976" s="17">
        <v>3</v>
      </c>
      <c r="I5976" s="17">
        <v>0</v>
      </c>
      <c r="J5976" s="17">
        <v>7</v>
      </c>
      <c r="K5976" s="10">
        <v>1102.25</v>
      </c>
      <c r="L5976" s="17">
        <v>22</v>
      </c>
      <c r="P5976" s="17">
        <v>5</v>
      </c>
      <c r="Q5976" s="19">
        <v>1207</v>
      </c>
      <c r="R5976" s="14">
        <v>500</v>
      </c>
      <c r="S5976" s="19">
        <v>603500</v>
      </c>
      <c r="AM5976" s="19">
        <v>0</v>
      </c>
      <c r="AN5976" s="19">
        <v>603500</v>
      </c>
      <c r="AP5976" s="14">
        <v>603500</v>
      </c>
      <c r="AQ5976" s="12">
        <v>2.0000000000000001E-4</v>
      </c>
    </row>
    <row r="5977" spans="1:45" ht="63" x14ac:dyDescent="0.2">
      <c r="T5977" s="17">
        <v>1</v>
      </c>
      <c r="U5977" s="17" t="s">
        <v>57</v>
      </c>
      <c r="V5977" s="17" t="s">
        <v>56</v>
      </c>
      <c r="W5977" s="4">
        <v>88</v>
      </c>
      <c r="Y5977" s="4">
        <v>88</v>
      </c>
      <c r="AB5977" s="17">
        <v>16</v>
      </c>
      <c r="AF5977" s="14">
        <v>2</v>
      </c>
      <c r="AG5977" s="54">
        <v>88</v>
      </c>
      <c r="AH5977" s="11">
        <v>1</v>
      </c>
      <c r="AI5977" s="14">
        <v>7250</v>
      </c>
      <c r="AJ5977" s="19">
        <v>638000</v>
      </c>
      <c r="AK5977" s="23">
        <v>16</v>
      </c>
    </row>
    <row r="5978" spans="1:45" ht="63" x14ac:dyDescent="0.2">
      <c r="L5978" s="17">
        <v>31.25</v>
      </c>
      <c r="T5978" s="17">
        <v>2</v>
      </c>
      <c r="U5978" s="17" t="s">
        <v>57</v>
      </c>
      <c r="V5978" s="17" t="s">
        <v>56</v>
      </c>
      <c r="W5978" s="4">
        <v>125</v>
      </c>
      <c r="Y5978" s="4">
        <v>125</v>
      </c>
      <c r="AB5978" s="17">
        <v>19</v>
      </c>
      <c r="AF5978" s="14">
        <v>2</v>
      </c>
      <c r="AG5978" s="54">
        <v>125</v>
      </c>
      <c r="AH5978" s="11">
        <v>1</v>
      </c>
      <c r="AI5978" s="14">
        <v>7250</v>
      </c>
      <c r="AJ5978" s="19">
        <v>906250</v>
      </c>
      <c r="AK5978" s="23">
        <v>19</v>
      </c>
      <c r="AM5978" s="19">
        <v>906250</v>
      </c>
      <c r="AN5978" s="19">
        <v>906250</v>
      </c>
      <c r="AP5978" s="14">
        <v>906250</v>
      </c>
    </row>
    <row r="5979" spans="1:45" ht="63" x14ac:dyDescent="0.2">
      <c r="L5979" s="17">
        <v>8</v>
      </c>
      <c r="T5979" s="17">
        <v>3</v>
      </c>
      <c r="U5979" s="17" t="s">
        <v>57</v>
      </c>
      <c r="V5979" s="17" t="s">
        <v>56</v>
      </c>
      <c r="W5979" s="4">
        <v>32</v>
      </c>
      <c r="Y5979" s="4">
        <v>32</v>
      </c>
      <c r="AB5979" s="17">
        <v>14</v>
      </c>
      <c r="AF5979" s="14">
        <v>2</v>
      </c>
      <c r="AG5979" s="54">
        <v>32</v>
      </c>
      <c r="AH5979" s="11">
        <v>1</v>
      </c>
      <c r="AI5979" s="14">
        <v>7250</v>
      </c>
      <c r="AJ5979" s="19">
        <v>232000</v>
      </c>
      <c r="AK5979" s="23">
        <v>14</v>
      </c>
      <c r="AM5979" s="19">
        <v>232000</v>
      </c>
      <c r="AN5979" s="19">
        <v>232000</v>
      </c>
      <c r="AP5979" s="14">
        <v>232000</v>
      </c>
    </row>
    <row r="5980" spans="1:45" ht="63" x14ac:dyDescent="0.2">
      <c r="L5980" s="17">
        <v>13.5</v>
      </c>
      <c r="T5980" s="17">
        <v>4</v>
      </c>
      <c r="U5980" s="17" t="s">
        <v>57</v>
      </c>
      <c r="V5980" s="17" t="s">
        <v>56</v>
      </c>
      <c r="W5980" s="4">
        <v>54</v>
      </c>
      <c r="Y5980" s="4">
        <v>54</v>
      </c>
      <c r="AB5980" s="17">
        <v>20</v>
      </c>
      <c r="AF5980" s="14">
        <v>2</v>
      </c>
      <c r="AG5980" s="54">
        <v>54</v>
      </c>
      <c r="AH5980" s="11">
        <v>1</v>
      </c>
      <c r="AI5980" s="14">
        <v>7250</v>
      </c>
      <c r="AJ5980" s="19">
        <v>391500</v>
      </c>
      <c r="AK5980" s="23">
        <v>20</v>
      </c>
      <c r="AM5980" s="19">
        <v>391500</v>
      </c>
      <c r="AN5980" s="19">
        <v>391500</v>
      </c>
      <c r="AP5980" s="14">
        <v>391500</v>
      </c>
    </row>
    <row r="5981" spans="1:45" ht="63" x14ac:dyDescent="0.2">
      <c r="L5981" s="17">
        <v>30</v>
      </c>
      <c r="T5981" s="17">
        <v>5</v>
      </c>
      <c r="U5981" s="17" t="s">
        <v>57</v>
      </c>
      <c r="V5981" s="17" t="s">
        <v>56</v>
      </c>
      <c r="W5981" s="4">
        <v>120</v>
      </c>
      <c r="Y5981" s="4">
        <v>120</v>
      </c>
      <c r="AB5981" s="17">
        <v>20</v>
      </c>
      <c r="AF5981" s="14">
        <v>2</v>
      </c>
      <c r="AG5981" s="54">
        <v>120</v>
      </c>
      <c r="AH5981" s="11">
        <v>1</v>
      </c>
      <c r="AI5981" s="14">
        <v>7250</v>
      </c>
      <c r="AJ5981" s="19">
        <v>870000</v>
      </c>
      <c r="AK5981" s="23">
        <v>20</v>
      </c>
      <c r="AM5981" s="19">
        <v>870000</v>
      </c>
      <c r="AN5981" s="19">
        <v>870000</v>
      </c>
      <c r="AP5981" s="14">
        <v>870000</v>
      </c>
    </row>
    <row r="5982" spans="1:45" x14ac:dyDescent="0.2">
      <c r="A5982" s="2">
        <v>4937</v>
      </c>
      <c r="B5982" s="13">
        <v>1</v>
      </c>
      <c r="C5982" s="17" t="s">
        <v>52</v>
      </c>
      <c r="D5982" s="17">
        <v>3171</v>
      </c>
      <c r="E5982" s="17">
        <v>52</v>
      </c>
      <c r="F5982" s="17">
        <v>2100</v>
      </c>
      <c r="G5982" s="13">
        <v>2</v>
      </c>
      <c r="H5982" s="17">
        <v>3</v>
      </c>
      <c r="I5982" s="17">
        <v>0</v>
      </c>
      <c r="J5982" s="17">
        <v>57</v>
      </c>
      <c r="K5982" s="10">
        <v>1257</v>
      </c>
      <c r="P5982" s="17">
        <v>1</v>
      </c>
      <c r="Q5982" s="19">
        <v>1257</v>
      </c>
      <c r="R5982" s="14">
        <v>200</v>
      </c>
      <c r="S5982" s="19">
        <v>251400</v>
      </c>
      <c r="AJ5982" s="19">
        <v>0</v>
      </c>
      <c r="AK5982" s="23">
        <v>0</v>
      </c>
      <c r="AM5982" s="19">
        <v>0</v>
      </c>
      <c r="AN5982" s="19">
        <v>251400</v>
      </c>
      <c r="AP5982" s="14">
        <v>251400</v>
      </c>
    </row>
    <row r="5983" spans="1:45" x14ac:dyDescent="0.2">
      <c r="A5983" s="2">
        <v>4938</v>
      </c>
      <c r="B5983" s="13">
        <v>1</v>
      </c>
      <c r="C5983" s="17" t="s">
        <v>65</v>
      </c>
      <c r="D5983" s="17">
        <v>981</v>
      </c>
      <c r="E5983" s="17">
        <v>36</v>
      </c>
      <c r="H5983" s="17">
        <v>1</v>
      </c>
      <c r="I5983" s="17">
        <v>1</v>
      </c>
      <c r="J5983" s="17">
        <v>30</v>
      </c>
      <c r="K5983" s="10">
        <v>530</v>
      </c>
      <c r="P5983" s="17">
        <v>1</v>
      </c>
      <c r="Q5983" s="19">
        <v>530</v>
      </c>
      <c r="R5983" s="14">
        <v>1500</v>
      </c>
      <c r="S5983" s="19">
        <v>795000</v>
      </c>
      <c r="AJ5983" s="19">
        <v>0</v>
      </c>
      <c r="AK5983" s="23">
        <v>0</v>
      </c>
      <c r="AM5983" s="19">
        <v>0</v>
      </c>
      <c r="AN5983" s="19">
        <v>795000</v>
      </c>
      <c r="AP5983" s="14">
        <v>795000</v>
      </c>
      <c r="AQ5983" s="12">
        <v>1E-4</v>
      </c>
    </row>
    <row r="5984" spans="1:45" x14ac:dyDescent="0.2">
      <c r="B5984" s="13">
        <v>2</v>
      </c>
      <c r="C5984" s="17" t="s">
        <v>65</v>
      </c>
      <c r="D5984" s="17">
        <v>3887</v>
      </c>
      <c r="E5984" s="17">
        <v>86</v>
      </c>
      <c r="H5984" s="17">
        <v>1</v>
      </c>
      <c r="I5984" s="17">
        <v>0</v>
      </c>
      <c r="J5984" s="17">
        <v>3</v>
      </c>
      <c r="K5984" s="10">
        <v>403</v>
      </c>
      <c r="P5984" s="17">
        <v>1</v>
      </c>
      <c r="Q5984" s="19">
        <v>403</v>
      </c>
      <c r="R5984" s="14" t="e">
        <v>#N/A</v>
      </c>
      <c r="S5984" s="19" t="e">
        <v>#N/A</v>
      </c>
      <c r="AJ5984" s="19">
        <v>0</v>
      </c>
      <c r="AK5984" s="23">
        <v>0</v>
      </c>
      <c r="AM5984" s="19">
        <v>0</v>
      </c>
      <c r="AN5984" s="19" t="e">
        <v>#N/A</v>
      </c>
      <c r="AP5984" s="14" t="e">
        <v>#N/A</v>
      </c>
      <c r="AQ5984" s="12">
        <v>1E-4</v>
      </c>
    </row>
    <row r="5985" spans="1:45" x14ac:dyDescent="0.2">
      <c r="B5985" s="13">
        <v>3</v>
      </c>
      <c r="C5985" s="17" t="s">
        <v>65</v>
      </c>
      <c r="D5985" s="17">
        <v>3888</v>
      </c>
      <c r="E5985" s="17">
        <v>87</v>
      </c>
      <c r="H5985" s="17">
        <v>0</v>
      </c>
      <c r="I5985" s="17">
        <v>1</v>
      </c>
      <c r="J5985" s="17">
        <v>9</v>
      </c>
      <c r="K5985" s="10">
        <v>109</v>
      </c>
      <c r="P5985" s="17">
        <v>1</v>
      </c>
      <c r="Q5985" s="19">
        <v>109</v>
      </c>
      <c r="R5985" s="14" t="e">
        <v>#N/A</v>
      </c>
      <c r="S5985" s="19" t="e">
        <v>#N/A</v>
      </c>
      <c r="AJ5985" s="19">
        <v>0</v>
      </c>
      <c r="AK5985" s="23">
        <v>0</v>
      </c>
      <c r="AM5985" s="19">
        <v>0</v>
      </c>
      <c r="AN5985" s="19" t="e">
        <v>#N/A</v>
      </c>
      <c r="AP5985" s="14" t="e">
        <v>#N/A</v>
      </c>
      <c r="AQ5985" s="12">
        <v>1E-4</v>
      </c>
    </row>
    <row r="5986" spans="1:45" ht="42" x14ac:dyDescent="0.2">
      <c r="A5986" s="2">
        <v>4939</v>
      </c>
      <c r="B5986" s="13">
        <v>1</v>
      </c>
      <c r="C5986" s="17" t="s">
        <v>52</v>
      </c>
      <c r="D5986" s="17">
        <v>2445</v>
      </c>
      <c r="E5986" s="17">
        <v>8</v>
      </c>
      <c r="F5986" s="17">
        <v>840</v>
      </c>
      <c r="G5986" s="13">
        <v>4</v>
      </c>
      <c r="H5986" s="17">
        <v>0</v>
      </c>
      <c r="I5986" s="17">
        <v>0</v>
      </c>
      <c r="J5986" s="17">
        <v>84</v>
      </c>
      <c r="L5986" s="17">
        <v>84</v>
      </c>
      <c r="P5986" s="17">
        <v>2</v>
      </c>
      <c r="Q5986" s="19">
        <v>84</v>
      </c>
      <c r="R5986" s="14">
        <v>250</v>
      </c>
      <c r="S5986" s="19">
        <v>21000</v>
      </c>
      <c r="AJ5986" s="19">
        <v>0</v>
      </c>
      <c r="AK5986" s="23">
        <v>0</v>
      </c>
      <c r="AM5986" s="19">
        <v>0</v>
      </c>
      <c r="AN5986" s="19">
        <v>21000</v>
      </c>
      <c r="AP5986" s="14">
        <v>21000</v>
      </c>
      <c r="AS5986" s="26" t="s">
        <v>131</v>
      </c>
    </row>
    <row r="5987" spans="1:45" x14ac:dyDescent="0.2">
      <c r="A5987" s="2">
        <v>4940</v>
      </c>
      <c r="B5987" s="13">
        <v>1</v>
      </c>
      <c r="C5987" s="17" t="s">
        <v>52</v>
      </c>
      <c r="D5987" s="17">
        <v>34046</v>
      </c>
      <c r="E5987" s="17">
        <v>89</v>
      </c>
      <c r="F5987" s="17">
        <v>6762</v>
      </c>
      <c r="G5987" s="13">
        <v>4</v>
      </c>
      <c r="H5987" s="17">
        <v>0</v>
      </c>
      <c r="I5987" s="17">
        <v>0</v>
      </c>
      <c r="J5987" s="17">
        <v>49</v>
      </c>
      <c r="L5987" s="17">
        <v>49</v>
      </c>
      <c r="P5987" s="17">
        <v>2</v>
      </c>
      <c r="Q5987" s="19">
        <v>49</v>
      </c>
      <c r="R5987" s="14">
        <v>250</v>
      </c>
      <c r="S5987" s="19">
        <v>12250</v>
      </c>
      <c r="AJ5987" s="19">
        <v>0</v>
      </c>
      <c r="AK5987" s="23">
        <v>0</v>
      </c>
      <c r="AM5987" s="19">
        <v>0</v>
      </c>
      <c r="AN5987" s="19">
        <v>12250</v>
      </c>
      <c r="AP5987" s="14">
        <v>12250</v>
      </c>
    </row>
    <row r="5988" spans="1:45" x14ac:dyDescent="0.2">
      <c r="A5988" s="2">
        <v>4941</v>
      </c>
      <c r="B5988" s="13">
        <v>1</v>
      </c>
      <c r="C5988" s="17" t="s">
        <v>52</v>
      </c>
      <c r="D5988" s="17">
        <v>34045</v>
      </c>
      <c r="E5988" s="17">
        <v>88</v>
      </c>
      <c r="F5988" s="17">
        <v>6761</v>
      </c>
      <c r="G5988" s="13">
        <v>4</v>
      </c>
      <c r="H5988" s="17">
        <v>0</v>
      </c>
      <c r="I5988" s="17">
        <v>0</v>
      </c>
      <c r="J5988" s="17">
        <v>49</v>
      </c>
      <c r="L5988" s="17">
        <v>49</v>
      </c>
      <c r="P5988" s="17">
        <v>2</v>
      </c>
      <c r="Q5988" s="19">
        <v>49</v>
      </c>
      <c r="R5988" s="14">
        <v>250</v>
      </c>
      <c r="S5988" s="19">
        <v>12250</v>
      </c>
      <c r="AJ5988" s="19">
        <v>0</v>
      </c>
      <c r="AK5988" s="23">
        <v>0</v>
      </c>
      <c r="AM5988" s="19">
        <v>0</v>
      </c>
      <c r="AN5988" s="19">
        <v>12250</v>
      </c>
      <c r="AP5988" s="14">
        <v>12250</v>
      </c>
    </row>
    <row r="5989" spans="1:45" x14ac:dyDescent="0.2">
      <c r="A5989" s="2">
        <f>+A5988+1</f>
        <v>4942</v>
      </c>
      <c r="B5989" s="13">
        <v>2</v>
      </c>
      <c r="C5989" s="17" t="s">
        <v>65</v>
      </c>
      <c r="D5989" s="17">
        <v>3834</v>
      </c>
      <c r="E5989" s="17">
        <v>42</v>
      </c>
      <c r="H5989" s="17">
        <v>4</v>
      </c>
      <c r="I5989" s="17">
        <v>1</v>
      </c>
      <c r="J5989" s="17">
        <v>67</v>
      </c>
      <c r="K5989" s="10">
        <v>1767</v>
      </c>
      <c r="P5989" s="17">
        <v>1</v>
      </c>
      <c r="Q5989" s="19">
        <v>1767</v>
      </c>
      <c r="R5989" s="14">
        <v>1200</v>
      </c>
      <c r="S5989" s="19">
        <v>2120400</v>
      </c>
      <c r="AJ5989" s="19">
        <v>0</v>
      </c>
      <c r="AK5989" s="23">
        <v>0</v>
      </c>
      <c r="AM5989" s="19">
        <v>0</v>
      </c>
      <c r="AN5989" s="19">
        <v>2120400</v>
      </c>
      <c r="AP5989" s="14">
        <v>2120400</v>
      </c>
      <c r="AQ5989" s="12">
        <v>1E-4</v>
      </c>
    </row>
    <row r="5990" spans="1:45" x14ac:dyDescent="0.2">
      <c r="A5990" s="122">
        <f t="shared" ref="A5990:A5991" si="631">+A5989+1</f>
        <v>4943</v>
      </c>
      <c r="B5990" s="13">
        <v>1</v>
      </c>
      <c r="C5990" s="17" t="s">
        <v>65</v>
      </c>
      <c r="D5990" s="17">
        <v>3829</v>
      </c>
      <c r="E5990" s="17">
        <v>39</v>
      </c>
      <c r="H5990" s="17">
        <v>2</v>
      </c>
      <c r="I5990" s="17">
        <v>3</v>
      </c>
      <c r="J5990" s="17">
        <v>73</v>
      </c>
      <c r="K5990" s="10">
        <v>1173</v>
      </c>
      <c r="P5990" s="17">
        <v>1</v>
      </c>
      <c r="Q5990" s="19">
        <v>1173</v>
      </c>
      <c r="R5990" s="14">
        <v>160</v>
      </c>
      <c r="S5990" s="19">
        <v>187680</v>
      </c>
      <c r="AJ5990" s="19">
        <v>0</v>
      </c>
      <c r="AK5990" s="23">
        <v>0</v>
      </c>
      <c r="AM5990" s="19">
        <v>0</v>
      </c>
      <c r="AN5990" s="19">
        <v>187680</v>
      </c>
      <c r="AP5990" s="14">
        <v>187680</v>
      </c>
      <c r="AQ5990" s="12">
        <v>1E-4</v>
      </c>
    </row>
    <row r="5991" spans="1:45" x14ac:dyDescent="0.2">
      <c r="A5991" s="122">
        <f t="shared" si="631"/>
        <v>4944</v>
      </c>
      <c r="B5991" s="13">
        <v>1</v>
      </c>
      <c r="C5991" s="17" t="s">
        <v>52</v>
      </c>
      <c r="D5991" s="17">
        <v>2450</v>
      </c>
      <c r="E5991" s="17">
        <v>11</v>
      </c>
      <c r="F5991" s="17">
        <v>848</v>
      </c>
      <c r="G5991" s="13">
        <v>4</v>
      </c>
      <c r="H5991" s="17">
        <v>1</v>
      </c>
      <c r="I5991" s="17">
        <v>0</v>
      </c>
      <c r="J5991" s="17">
        <v>57</v>
      </c>
      <c r="K5991" s="10">
        <v>457</v>
      </c>
      <c r="P5991" s="17">
        <v>1</v>
      </c>
      <c r="Q5991" s="19">
        <v>457</v>
      </c>
      <c r="R5991" s="14">
        <v>160</v>
      </c>
      <c r="S5991" s="19">
        <v>73120</v>
      </c>
      <c r="AJ5991" s="19">
        <v>0</v>
      </c>
      <c r="AK5991" s="23">
        <v>0</v>
      </c>
      <c r="AM5991" s="19">
        <v>0</v>
      </c>
      <c r="AN5991" s="19">
        <v>73120</v>
      </c>
      <c r="AP5991" s="14">
        <v>73120</v>
      </c>
      <c r="AS5991" s="26">
        <v>450</v>
      </c>
    </row>
    <row r="5992" spans="1:45" ht="63" x14ac:dyDescent="0.2">
      <c r="Q5992" s="19">
        <v>0</v>
      </c>
      <c r="R5992" s="14" t="e">
        <v>#N/A</v>
      </c>
      <c r="AR5992" s="19">
        <v>450</v>
      </c>
    </row>
    <row r="5993" spans="1:45" x14ac:dyDescent="0.2">
      <c r="A5993" s="2">
        <v>4945</v>
      </c>
      <c r="B5993" s="13">
        <v>1</v>
      </c>
      <c r="C5993" s="17" t="s">
        <v>52</v>
      </c>
      <c r="D5993" s="17">
        <v>1991</v>
      </c>
      <c r="E5993" s="17">
        <v>4</v>
      </c>
      <c r="F5993" s="17">
        <v>836</v>
      </c>
      <c r="G5993" s="13">
        <v>4</v>
      </c>
      <c r="H5993" s="17">
        <v>6</v>
      </c>
      <c r="I5993" s="17">
        <v>2</v>
      </c>
      <c r="J5993" s="17">
        <v>23</v>
      </c>
      <c r="K5993" s="10">
        <v>2623</v>
      </c>
      <c r="P5993" s="17">
        <v>1</v>
      </c>
      <c r="Q5993" s="19">
        <v>2623</v>
      </c>
      <c r="R5993" s="14">
        <v>160</v>
      </c>
      <c r="S5993" s="19">
        <v>419680</v>
      </c>
      <c r="AJ5993" s="19">
        <v>0</v>
      </c>
      <c r="AK5993" s="23">
        <v>0</v>
      </c>
      <c r="AM5993" s="19">
        <v>0</v>
      </c>
      <c r="AN5993" s="19">
        <v>419680</v>
      </c>
      <c r="AP5993" s="14">
        <v>419680</v>
      </c>
    </row>
    <row r="5994" spans="1:45" ht="63" x14ac:dyDescent="0.2">
      <c r="A5994" s="2">
        <v>4946</v>
      </c>
      <c r="B5994" s="13">
        <v>2</v>
      </c>
      <c r="C5994" s="17" t="s">
        <v>52</v>
      </c>
      <c r="D5994" s="17">
        <v>2049</v>
      </c>
      <c r="E5994" s="17">
        <v>8</v>
      </c>
      <c r="F5994" s="17">
        <v>1161</v>
      </c>
      <c r="G5994" s="13">
        <v>4</v>
      </c>
      <c r="H5994" s="17">
        <v>0</v>
      </c>
      <c r="I5994" s="17">
        <v>2</v>
      </c>
      <c r="J5994" s="17">
        <v>29</v>
      </c>
      <c r="K5994" s="10">
        <v>193</v>
      </c>
      <c r="L5994" s="17">
        <v>36</v>
      </c>
      <c r="P5994" s="17">
        <v>5</v>
      </c>
      <c r="Q5994" s="19">
        <v>229</v>
      </c>
      <c r="R5994" s="14">
        <v>2000</v>
      </c>
      <c r="S5994" s="19">
        <v>458000</v>
      </c>
      <c r="T5994" s="17">
        <v>1</v>
      </c>
      <c r="V5994" s="17" t="s">
        <v>183</v>
      </c>
      <c r="W5994" s="4">
        <v>144</v>
      </c>
      <c r="Y5994" s="4">
        <v>144</v>
      </c>
      <c r="AB5994" s="17">
        <v>30</v>
      </c>
      <c r="AE5994" s="17" t="s">
        <v>610</v>
      </c>
      <c r="AF5994" s="14">
        <v>2</v>
      </c>
      <c r="AG5994" s="54">
        <v>144</v>
      </c>
      <c r="AJ5994" s="19">
        <v>0</v>
      </c>
      <c r="AK5994" s="23">
        <v>30</v>
      </c>
      <c r="AM5994" s="19">
        <v>0</v>
      </c>
      <c r="AN5994" s="19">
        <v>458000</v>
      </c>
      <c r="AP5994" s="14">
        <v>458000</v>
      </c>
      <c r="AR5994" s="19">
        <v>122</v>
      </c>
    </row>
    <row r="5995" spans="1:45" x14ac:dyDescent="0.2">
      <c r="R5995" s="14" t="e">
        <v>#N/A</v>
      </c>
      <c r="T5995" s="17" t="s">
        <v>288</v>
      </c>
      <c r="AF5995" s="14">
        <v>3</v>
      </c>
      <c r="AN5995" s="19">
        <v>50000</v>
      </c>
      <c r="AP5995" s="14">
        <v>50000</v>
      </c>
      <c r="AQ5995" s="12">
        <v>3.0000000000000001E-3</v>
      </c>
    </row>
    <row r="5996" spans="1:45" x14ac:dyDescent="0.2">
      <c r="A5996" s="2">
        <v>4947</v>
      </c>
      <c r="B5996" s="13">
        <v>3</v>
      </c>
      <c r="C5996" s="17" t="s">
        <v>52</v>
      </c>
      <c r="D5996" s="17">
        <v>2443</v>
      </c>
      <c r="E5996" s="17">
        <v>3</v>
      </c>
      <c r="F5996" s="17">
        <v>835</v>
      </c>
      <c r="G5996" s="13">
        <v>4</v>
      </c>
      <c r="H5996" s="17">
        <v>4</v>
      </c>
      <c r="I5996" s="17">
        <v>0</v>
      </c>
      <c r="J5996" s="17">
        <v>73</v>
      </c>
      <c r="K5996" s="10">
        <v>1673</v>
      </c>
      <c r="P5996" s="17">
        <v>1</v>
      </c>
      <c r="Q5996" s="19">
        <v>1673</v>
      </c>
      <c r="R5996" s="14">
        <v>160</v>
      </c>
      <c r="S5996" s="19">
        <v>267680</v>
      </c>
      <c r="AJ5996" s="19">
        <v>0</v>
      </c>
      <c r="AK5996" s="23">
        <v>0</v>
      </c>
      <c r="AM5996" s="19">
        <v>0</v>
      </c>
      <c r="AN5996" s="19">
        <v>267680</v>
      </c>
      <c r="AP5996" s="14">
        <v>267680</v>
      </c>
    </row>
    <row r="5997" spans="1:45" ht="42" x14ac:dyDescent="0.2">
      <c r="A5997" s="2">
        <f>+A5996+1</f>
        <v>4948</v>
      </c>
      <c r="B5997" s="13">
        <v>1</v>
      </c>
      <c r="C5997" s="17" t="s">
        <v>52</v>
      </c>
      <c r="D5997" s="17">
        <v>2048</v>
      </c>
      <c r="E5997" s="17">
        <v>7</v>
      </c>
      <c r="F5997" s="17">
        <v>1160</v>
      </c>
      <c r="G5997" s="13">
        <v>4</v>
      </c>
      <c r="H5997" s="17">
        <v>0</v>
      </c>
      <c r="I5997" s="17">
        <v>0</v>
      </c>
      <c r="J5997" s="17">
        <v>66</v>
      </c>
      <c r="K5997" s="10">
        <v>57.75</v>
      </c>
      <c r="L5997" s="17">
        <v>8.25</v>
      </c>
      <c r="P5997" s="17">
        <v>5</v>
      </c>
      <c r="Q5997" s="19">
        <v>66</v>
      </c>
      <c r="R5997" s="14">
        <v>2000</v>
      </c>
      <c r="S5997" s="19">
        <v>132000</v>
      </c>
      <c r="T5997" s="17">
        <v>1</v>
      </c>
      <c r="V5997" s="17" t="s">
        <v>183</v>
      </c>
      <c r="W5997" s="4">
        <v>33</v>
      </c>
      <c r="Y5997" s="4">
        <v>33</v>
      </c>
      <c r="AB5997" s="17">
        <v>20</v>
      </c>
      <c r="AJ5997" s="19">
        <v>0</v>
      </c>
      <c r="AK5997" s="23">
        <v>20</v>
      </c>
      <c r="AM5997" s="19">
        <v>0</v>
      </c>
      <c r="AN5997" s="19">
        <v>132000</v>
      </c>
      <c r="AP5997" s="14">
        <v>132000</v>
      </c>
      <c r="AS5997" s="26">
        <v>122</v>
      </c>
    </row>
    <row r="5998" spans="1:45" ht="42" x14ac:dyDescent="0.2">
      <c r="A5998" s="122">
        <f t="shared" ref="A5998:A6003" si="632">+A5997+1</f>
        <v>4949</v>
      </c>
      <c r="B5998" s="13">
        <v>2</v>
      </c>
      <c r="C5998" s="17" t="s">
        <v>65</v>
      </c>
      <c r="D5998" s="17">
        <v>971</v>
      </c>
      <c r="E5998" s="17">
        <v>26</v>
      </c>
      <c r="H5998" s="17">
        <v>26</v>
      </c>
      <c r="I5998" s="17">
        <v>3</v>
      </c>
      <c r="J5998" s="17">
        <v>66</v>
      </c>
      <c r="K5998" s="10">
        <v>10766</v>
      </c>
      <c r="P5998" s="17">
        <v>1</v>
      </c>
      <c r="Q5998" s="19">
        <v>10766</v>
      </c>
      <c r="R5998" s="14">
        <v>1000</v>
      </c>
      <c r="S5998" s="19">
        <v>10766000</v>
      </c>
      <c r="AJ5998" s="19">
        <v>0</v>
      </c>
      <c r="AK5998" s="23">
        <v>0</v>
      </c>
      <c r="AM5998" s="19">
        <v>0</v>
      </c>
      <c r="AN5998" s="19">
        <v>10766000</v>
      </c>
      <c r="AP5998" s="14">
        <v>10766000</v>
      </c>
      <c r="AQ5998" s="12">
        <v>1E-4</v>
      </c>
    </row>
    <row r="5999" spans="1:45" x14ac:dyDescent="0.2">
      <c r="A5999" s="122">
        <f t="shared" si="632"/>
        <v>4950</v>
      </c>
      <c r="B5999" s="13">
        <v>3</v>
      </c>
      <c r="C5999" s="17" t="s">
        <v>65</v>
      </c>
      <c r="D5999" s="17">
        <v>1419</v>
      </c>
      <c r="E5999" s="17">
        <v>111</v>
      </c>
      <c r="H5999" s="17">
        <v>0</v>
      </c>
      <c r="I5999" s="17">
        <v>3</v>
      </c>
      <c r="J5999" s="17">
        <v>0</v>
      </c>
      <c r="K5999" s="10">
        <v>300</v>
      </c>
      <c r="P5999" s="17">
        <v>1</v>
      </c>
      <c r="Q5999" s="19">
        <v>300</v>
      </c>
      <c r="R5999" s="14">
        <v>160</v>
      </c>
      <c r="S5999" s="19">
        <v>48000</v>
      </c>
      <c r="AJ5999" s="19">
        <v>0</v>
      </c>
      <c r="AK5999" s="23">
        <v>0</v>
      </c>
      <c r="AM5999" s="19">
        <v>0</v>
      </c>
      <c r="AN5999" s="19">
        <v>48000</v>
      </c>
      <c r="AP5999" s="14">
        <v>48000</v>
      </c>
      <c r="AQ5999" s="12">
        <v>1E-4</v>
      </c>
    </row>
    <row r="6000" spans="1:45" x14ac:dyDescent="0.2">
      <c r="A6000" s="122">
        <f t="shared" si="632"/>
        <v>4951</v>
      </c>
      <c r="B6000" s="13">
        <v>1</v>
      </c>
      <c r="C6000" s="17" t="s">
        <v>65</v>
      </c>
      <c r="D6000" s="17">
        <v>3386</v>
      </c>
      <c r="E6000" s="17">
        <v>78</v>
      </c>
      <c r="H6000" s="17">
        <v>0</v>
      </c>
      <c r="I6000" s="17">
        <v>2</v>
      </c>
      <c r="J6000" s="17">
        <v>25</v>
      </c>
      <c r="K6000" s="10">
        <v>225</v>
      </c>
      <c r="Q6000" s="19">
        <v>225</v>
      </c>
      <c r="R6000" s="14">
        <v>160</v>
      </c>
      <c r="S6000" s="19">
        <v>36000</v>
      </c>
      <c r="AE6000" s="17" t="s">
        <v>95</v>
      </c>
      <c r="AJ6000" s="19">
        <v>0</v>
      </c>
      <c r="AK6000" s="23">
        <v>0</v>
      </c>
      <c r="AM6000" s="19">
        <v>0</v>
      </c>
      <c r="AN6000" s="19">
        <v>36000</v>
      </c>
      <c r="AP6000" s="14">
        <v>36000</v>
      </c>
      <c r="AQ6000" s="12">
        <v>1E-4</v>
      </c>
    </row>
    <row r="6001" spans="1:45" s="19" customFormat="1" x14ac:dyDescent="0.2">
      <c r="A6001" s="122">
        <f t="shared" si="632"/>
        <v>4952</v>
      </c>
      <c r="B6001" s="13">
        <v>2</v>
      </c>
      <c r="C6001" s="17" t="s">
        <v>65</v>
      </c>
      <c r="D6001" s="17">
        <v>3388</v>
      </c>
      <c r="E6001" s="17">
        <v>79</v>
      </c>
      <c r="F6001" s="17"/>
      <c r="G6001" s="13"/>
      <c r="H6001" s="17">
        <v>1</v>
      </c>
      <c r="I6001" s="17">
        <v>2</v>
      </c>
      <c r="J6001" s="17">
        <v>13</v>
      </c>
      <c r="K6001" s="10">
        <v>613</v>
      </c>
      <c r="L6001" s="17"/>
      <c r="M6001" s="15"/>
      <c r="N6001" s="18"/>
      <c r="O6001" s="14"/>
      <c r="P6001" s="17"/>
      <c r="Q6001" s="19">
        <v>613</v>
      </c>
      <c r="R6001" s="14">
        <v>160</v>
      </c>
      <c r="S6001" s="19">
        <v>98080</v>
      </c>
      <c r="T6001" s="17"/>
      <c r="U6001" s="17"/>
      <c r="V6001" s="17"/>
      <c r="W6001" s="4"/>
      <c r="X6001" s="17"/>
      <c r="Y6001" s="4"/>
      <c r="Z6001" s="17"/>
      <c r="AA6001" s="17"/>
      <c r="AB6001" s="17"/>
      <c r="AC6001" s="14"/>
      <c r="AD6001" s="14"/>
      <c r="AE6001" s="17" t="s">
        <v>95</v>
      </c>
      <c r="AF6001" s="14"/>
      <c r="AG6001" s="54"/>
      <c r="AH6001" s="11"/>
      <c r="AI6001" s="14"/>
      <c r="AJ6001" s="19">
        <v>0</v>
      </c>
      <c r="AK6001" s="23">
        <v>0</v>
      </c>
      <c r="AL6001" s="11"/>
      <c r="AM6001" s="19">
        <v>0</v>
      </c>
      <c r="AN6001" s="19">
        <v>98080</v>
      </c>
      <c r="AO6001" s="14"/>
      <c r="AP6001" s="14">
        <v>98080</v>
      </c>
      <c r="AQ6001" s="12">
        <v>1E-4</v>
      </c>
      <c r="AS6001" s="26"/>
    </row>
    <row r="6002" spans="1:45" s="19" customFormat="1" x14ac:dyDescent="0.2">
      <c r="A6002" s="122">
        <f t="shared" si="632"/>
        <v>4953</v>
      </c>
      <c r="B6002" s="13">
        <v>3</v>
      </c>
      <c r="C6002" s="17" t="s">
        <v>65</v>
      </c>
      <c r="D6002" s="17">
        <v>3389</v>
      </c>
      <c r="E6002" s="17">
        <v>81</v>
      </c>
      <c r="F6002" s="17"/>
      <c r="G6002" s="13"/>
      <c r="H6002" s="17">
        <v>6</v>
      </c>
      <c r="I6002" s="17">
        <v>1</v>
      </c>
      <c r="J6002" s="17">
        <v>15</v>
      </c>
      <c r="K6002" s="10">
        <v>2515</v>
      </c>
      <c r="L6002" s="17"/>
      <c r="M6002" s="15"/>
      <c r="N6002" s="18"/>
      <c r="O6002" s="14"/>
      <c r="P6002" s="17"/>
      <c r="Q6002" s="19">
        <v>2515</v>
      </c>
      <c r="R6002" s="14">
        <v>160</v>
      </c>
      <c r="S6002" s="19">
        <v>402400</v>
      </c>
      <c r="T6002" s="17"/>
      <c r="U6002" s="17"/>
      <c r="V6002" s="17"/>
      <c r="W6002" s="4"/>
      <c r="X6002" s="17"/>
      <c r="Y6002" s="4"/>
      <c r="Z6002" s="17"/>
      <c r="AA6002" s="17"/>
      <c r="AB6002" s="17"/>
      <c r="AC6002" s="14"/>
      <c r="AD6002" s="14"/>
      <c r="AE6002" s="17" t="s">
        <v>95</v>
      </c>
      <c r="AF6002" s="14"/>
      <c r="AG6002" s="54"/>
      <c r="AH6002" s="11"/>
      <c r="AI6002" s="14"/>
      <c r="AJ6002" s="19">
        <v>0</v>
      </c>
      <c r="AK6002" s="23">
        <v>0</v>
      </c>
      <c r="AL6002" s="11"/>
      <c r="AM6002" s="19">
        <v>0</v>
      </c>
      <c r="AN6002" s="19">
        <v>402400</v>
      </c>
      <c r="AO6002" s="14"/>
      <c r="AP6002" s="14">
        <v>402400</v>
      </c>
      <c r="AQ6002" s="12">
        <v>1E-4</v>
      </c>
      <c r="AS6002" s="26"/>
    </row>
    <row r="6003" spans="1:45" s="19" customFormat="1" ht="42" x14ac:dyDescent="0.2">
      <c r="A6003" s="122">
        <f t="shared" si="632"/>
        <v>4954</v>
      </c>
      <c r="B6003" s="13">
        <v>1</v>
      </c>
      <c r="C6003" s="17" t="s">
        <v>52</v>
      </c>
      <c r="D6003" s="17">
        <v>25843</v>
      </c>
      <c r="E6003" s="17">
        <v>35</v>
      </c>
      <c r="F6003" s="17">
        <v>4978</v>
      </c>
      <c r="G6003" s="13">
        <v>4</v>
      </c>
      <c r="H6003" s="17">
        <v>9</v>
      </c>
      <c r="I6003" s="17">
        <v>3</v>
      </c>
      <c r="J6003" s="17">
        <v>41</v>
      </c>
      <c r="K6003" s="10">
        <v>3911.75</v>
      </c>
      <c r="L6003" s="17">
        <v>29.25</v>
      </c>
      <c r="M6003" s="15"/>
      <c r="N6003" s="18"/>
      <c r="O6003" s="14"/>
      <c r="P6003" s="17">
        <v>5</v>
      </c>
      <c r="Q6003" s="19">
        <v>3941</v>
      </c>
      <c r="R6003" s="14">
        <v>500</v>
      </c>
      <c r="S6003" s="19">
        <v>1970500</v>
      </c>
      <c r="T6003" s="17">
        <v>1</v>
      </c>
      <c r="U6003" s="17"/>
      <c r="V6003" s="17" t="s">
        <v>183</v>
      </c>
      <c r="W6003" s="4">
        <v>117</v>
      </c>
      <c r="X6003" s="17"/>
      <c r="Y6003" s="4">
        <v>117</v>
      </c>
      <c r="Z6003" s="17"/>
      <c r="AA6003" s="17"/>
      <c r="AB6003" s="17">
        <v>21</v>
      </c>
      <c r="AC6003" s="14"/>
      <c r="AD6003" s="14"/>
      <c r="AE6003" s="17"/>
      <c r="AF6003" s="14"/>
      <c r="AG6003" s="54"/>
      <c r="AH6003" s="11"/>
      <c r="AI6003" s="14"/>
      <c r="AJ6003" s="19">
        <v>0</v>
      </c>
      <c r="AK6003" s="23">
        <v>21</v>
      </c>
      <c r="AL6003" s="11"/>
      <c r="AM6003" s="19">
        <v>0</v>
      </c>
      <c r="AN6003" s="19">
        <v>1970500</v>
      </c>
      <c r="AO6003" s="14"/>
      <c r="AP6003" s="14">
        <v>1970500</v>
      </c>
      <c r="AQ6003" s="12"/>
      <c r="AS6003" s="26"/>
    </row>
    <row r="6004" spans="1:45" s="19" customFormat="1" x14ac:dyDescent="0.2">
      <c r="A6004" s="2"/>
      <c r="B6004" s="13">
        <v>2</v>
      </c>
      <c r="C6004" s="17"/>
      <c r="D6004" s="17"/>
      <c r="E6004" s="17"/>
      <c r="F6004" s="17"/>
      <c r="G6004" s="13"/>
      <c r="H6004" s="17"/>
      <c r="I6004" s="17"/>
      <c r="J6004" s="17"/>
      <c r="K6004" s="10"/>
      <c r="L6004" s="17"/>
      <c r="M6004" s="15"/>
      <c r="N6004" s="18"/>
      <c r="O6004" s="14"/>
      <c r="P6004" s="17"/>
      <c r="Q6004" s="19">
        <v>0</v>
      </c>
      <c r="R6004" s="14" t="e">
        <v>#N/A</v>
      </c>
      <c r="S6004" s="19" t="e">
        <v>#N/A</v>
      </c>
      <c r="T6004" s="17"/>
      <c r="U6004" s="17"/>
      <c r="V6004" s="17" t="s">
        <v>84</v>
      </c>
      <c r="W6004" s="4">
        <v>60</v>
      </c>
      <c r="X6004" s="17"/>
      <c r="Y6004" s="4" t="s">
        <v>274</v>
      </c>
      <c r="Z6004" s="17"/>
      <c r="AA6004" s="17"/>
      <c r="AB6004" s="17" t="s">
        <v>595</v>
      </c>
      <c r="AC6004" s="14"/>
      <c r="AD6004" s="14"/>
      <c r="AE6004" s="17"/>
      <c r="AF6004" s="14"/>
      <c r="AG6004" s="54"/>
      <c r="AH6004" s="11"/>
      <c r="AI6004" s="14"/>
      <c r="AJ6004" s="19">
        <v>0</v>
      </c>
      <c r="AK6004" s="23" t="s">
        <v>595</v>
      </c>
      <c r="AL6004" s="11"/>
      <c r="AM6004" s="19">
        <v>0</v>
      </c>
      <c r="AN6004" s="19" t="e">
        <v>#N/A</v>
      </c>
      <c r="AO6004" s="14"/>
      <c r="AP6004" s="14" t="e">
        <v>#N/A</v>
      </c>
      <c r="AQ6004" s="12"/>
      <c r="AS6004" s="26"/>
    </row>
    <row r="6005" spans="1:45" s="19" customFormat="1" x14ac:dyDescent="0.2">
      <c r="A6005" s="2">
        <v>4955</v>
      </c>
      <c r="B6005" s="13"/>
      <c r="C6005" s="17" t="s">
        <v>65</v>
      </c>
      <c r="D6005" s="17">
        <v>3387</v>
      </c>
      <c r="E6005" s="17">
        <v>80</v>
      </c>
      <c r="F6005" s="17"/>
      <c r="G6005" s="13"/>
      <c r="H6005" s="17">
        <v>8</v>
      </c>
      <c r="I6005" s="17">
        <v>2</v>
      </c>
      <c r="J6005" s="17">
        <v>18</v>
      </c>
      <c r="K6005" s="10">
        <v>3418</v>
      </c>
      <c r="L6005" s="17"/>
      <c r="M6005" s="15"/>
      <c r="N6005" s="18"/>
      <c r="O6005" s="14"/>
      <c r="P6005" s="17"/>
      <c r="Q6005" s="19">
        <v>3418</v>
      </c>
      <c r="R6005" s="14">
        <v>160</v>
      </c>
      <c r="T6005" s="17"/>
      <c r="U6005" s="17"/>
      <c r="V6005" s="17"/>
      <c r="W6005" s="4"/>
      <c r="X6005" s="17"/>
      <c r="Y6005" s="4"/>
      <c r="Z6005" s="17"/>
      <c r="AA6005" s="17"/>
      <c r="AB6005" s="17"/>
      <c r="AC6005" s="14"/>
      <c r="AD6005" s="14"/>
      <c r="AE6005" s="17" t="s">
        <v>611</v>
      </c>
      <c r="AF6005" s="14"/>
      <c r="AG6005" s="54"/>
      <c r="AH6005" s="11"/>
      <c r="AI6005" s="14"/>
      <c r="AK6005" s="23"/>
      <c r="AL6005" s="11"/>
      <c r="AO6005" s="14"/>
      <c r="AP6005" s="14"/>
      <c r="AQ6005" s="12"/>
      <c r="AS6005" s="26"/>
    </row>
    <row r="6006" spans="1:45" s="19" customFormat="1" x14ac:dyDescent="0.2">
      <c r="A6006" s="2">
        <f>+A6005+1</f>
        <v>4956</v>
      </c>
      <c r="B6006" s="13">
        <v>1</v>
      </c>
      <c r="C6006" s="17" t="s">
        <v>65</v>
      </c>
      <c r="D6006" s="17">
        <v>3645</v>
      </c>
      <c r="E6006" s="17">
        <v>252</v>
      </c>
      <c r="F6006" s="17"/>
      <c r="G6006" s="13"/>
      <c r="H6006" s="17">
        <v>0</v>
      </c>
      <c r="I6006" s="17">
        <v>0</v>
      </c>
      <c r="J6006" s="17">
        <v>60</v>
      </c>
      <c r="K6006" s="10"/>
      <c r="L6006" s="17"/>
      <c r="M6006" s="15"/>
      <c r="N6006" s="18">
        <v>60</v>
      </c>
      <c r="O6006" s="14"/>
      <c r="P6006" s="17">
        <v>4</v>
      </c>
      <c r="Q6006" s="19">
        <v>60</v>
      </c>
      <c r="R6006" s="14">
        <v>200</v>
      </c>
      <c r="S6006" s="19">
        <v>12000</v>
      </c>
      <c r="T6006" s="17"/>
      <c r="U6006" s="17"/>
      <c r="V6006" s="17"/>
      <c r="W6006" s="4"/>
      <c r="X6006" s="17"/>
      <c r="Y6006" s="4"/>
      <c r="Z6006" s="17"/>
      <c r="AA6006" s="17"/>
      <c r="AB6006" s="17"/>
      <c r="AC6006" s="14"/>
      <c r="AD6006" s="14"/>
      <c r="AE6006" s="17"/>
      <c r="AF6006" s="14"/>
      <c r="AG6006" s="54"/>
      <c r="AH6006" s="11"/>
      <c r="AI6006" s="14"/>
      <c r="AJ6006" s="19">
        <v>0</v>
      </c>
      <c r="AK6006" s="23">
        <v>0</v>
      </c>
      <c r="AL6006" s="11"/>
      <c r="AM6006" s="19">
        <v>0</v>
      </c>
      <c r="AN6006" s="19">
        <v>12000</v>
      </c>
      <c r="AO6006" s="14"/>
      <c r="AP6006" s="14">
        <v>12000</v>
      </c>
      <c r="AQ6006" s="12">
        <v>3.0000000000000001E-3</v>
      </c>
      <c r="AS6006" s="26"/>
    </row>
    <row r="6007" spans="1:45" s="19" customFormat="1" x14ac:dyDescent="0.2">
      <c r="A6007" s="122">
        <f t="shared" ref="A6007:A6009" si="633">+A6006+1</f>
        <v>4957</v>
      </c>
      <c r="B6007" s="13">
        <v>1</v>
      </c>
      <c r="C6007" s="17" t="s">
        <v>52</v>
      </c>
      <c r="D6007" s="17">
        <v>33569</v>
      </c>
      <c r="E6007" s="17">
        <v>85</v>
      </c>
      <c r="F6007" s="17">
        <v>6697</v>
      </c>
      <c r="G6007" s="13">
        <v>4</v>
      </c>
      <c r="H6007" s="17">
        <v>0</v>
      </c>
      <c r="I6007" s="17">
        <v>0</v>
      </c>
      <c r="J6007" s="17">
        <v>62</v>
      </c>
      <c r="K6007" s="10"/>
      <c r="L6007" s="17"/>
      <c r="M6007" s="15"/>
      <c r="N6007" s="18" t="s">
        <v>612</v>
      </c>
      <c r="O6007" s="14"/>
      <c r="P6007" s="17">
        <v>4</v>
      </c>
      <c r="Q6007" s="19">
        <v>62</v>
      </c>
      <c r="R6007" s="14">
        <v>2000</v>
      </c>
      <c r="S6007" s="19">
        <v>124000</v>
      </c>
      <c r="T6007" s="17"/>
      <c r="U6007" s="17"/>
      <c r="V6007" s="17"/>
      <c r="W6007" s="4"/>
      <c r="X6007" s="17"/>
      <c r="Y6007" s="4"/>
      <c r="Z6007" s="17"/>
      <c r="AA6007" s="17"/>
      <c r="AB6007" s="17"/>
      <c r="AC6007" s="14"/>
      <c r="AD6007" s="14"/>
      <c r="AE6007" s="17"/>
      <c r="AF6007" s="14"/>
      <c r="AG6007" s="54"/>
      <c r="AH6007" s="11"/>
      <c r="AI6007" s="14"/>
      <c r="AJ6007" s="19">
        <v>0</v>
      </c>
      <c r="AK6007" s="23">
        <v>0</v>
      </c>
      <c r="AL6007" s="11"/>
      <c r="AM6007" s="19">
        <v>0</v>
      </c>
      <c r="AN6007" s="19">
        <v>124000</v>
      </c>
      <c r="AO6007" s="14"/>
      <c r="AP6007" s="14">
        <v>124000</v>
      </c>
      <c r="AQ6007" s="12">
        <v>3.0000000000000001E-3</v>
      </c>
      <c r="AS6007" s="26"/>
    </row>
    <row r="6008" spans="1:45" s="19" customFormat="1" x14ac:dyDescent="0.2">
      <c r="A6008" s="122">
        <f t="shared" si="633"/>
        <v>4958</v>
      </c>
      <c r="B6008" s="13">
        <v>1</v>
      </c>
      <c r="C6008" s="17" t="s">
        <v>65</v>
      </c>
      <c r="D6008" s="17">
        <v>1422</v>
      </c>
      <c r="E6008" s="17">
        <v>115</v>
      </c>
      <c r="F6008" s="17"/>
      <c r="G6008" s="13"/>
      <c r="H6008" s="17">
        <v>2</v>
      </c>
      <c r="I6008" s="17">
        <v>0</v>
      </c>
      <c r="J6008" s="17">
        <v>4</v>
      </c>
      <c r="K6008" s="10">
        <v>804</v>
      </c>
      <c r="L6008" s="17"/>
      <c r="M6008" s="15"/>
      <c r="N6008" s="18"/>
      <c r="O6008" s="14"/>
      <c r="P6008" s="17">
        <v>1</v>
      </c>
      <c r="Q6008" s="19">
        <v>804</v>
      </c>
      <c r="R6008" s="14">
        <v>2000</v>
      </c>
      <c r="S6008" s="19">
        <v>1608000</v>
      </c>
      <c r="T6008" s="17"/>
      <c r="U6008" s="17"/>
      <c r="V6008" s="17"/>
      <c r="W6008" s="4"/>
      <c r="X6008" s="17"/>
      <c r="Y6008" s="4"/>
      <c r="Z6008" s="17"/>
      <c r="AA6008" s="17"/>
      <c r="AB6008" s="17"/>
      <c r="AC6008" s="14"/>
      <c r="AD6008" s="14"/>
      <c r="AE6008" s="17"/>
      <c r="AF6008" s="14"/>
      <c r="AG6008" s="54"/>
      <c r="AH6008" s="11"/>
      <c r="AI6008" s="14"/>
      <c r="AJ6008" s="19">
        <v>0</v>
      </c>
      <c r="AK6008" s="23">
        <v>0</v>
      </c>
      <c r="AL6008" s="11"/>
      <c r="AM6008" s="19">
        <v>0</v>
      </c>
      <c r="AN6008" s="19">
        <v>1608000</v>
      </c>
      <c r="AO6008" s="14"/>
      <c r="AP6008" s="14">
        <v>1608000</v>
      </c>
      <c r="AQ6008" s="12">
        <v>1E-4</v>
      </c>
      <c r="AS6008" s="26"/>
    </row>
    <row r="6009" spans="1:45" s="19" customFormat="1" ht="63" x14ac:dyDescent="0.2">
      <c r="A6009" s="122">
        <f t="shared" si="633"/>
        <v>4959</v>
      </c>
      <c r="B6009" s="13">
        <v>1</v>
      </c>
      <c r="C6009" s="17" t="s">
        <v>65</v>
      </c>
      <c r="D6009" s="17">
        <v>3640</v>
      </c>
      <c r="E6009" s="17">
        <v>247</v>
      </c>
      <c r="F6009" s="17"/>
      <c r="G6009" s="13"/>
      <c r="H6009" s="17">
        <v>0</v>
      </c>
      <c r="I6009" s="17">
        <v>3</v>
      </c>
      <c r="J6009" s="17">
        <v>91</v>
      </c>
      <c r="K6009" s="10"/>
      <c r="L6009" s="17">
        <v>391</v>
      </c>
      <c r="M6009" s="15"/>
      <c r="N6009" s="18"/>
      <c r="O6009" s="14"/>
      <c r="P6009" s="17">
        <v>2</v>
      </c>
      <c r="Q6009" s="19">
        <v>391</v>
      </c>
      <c r="R6009" s="14">
        <v>1500</v>
      </c>
      <c r="S6009" s="19">
        <v>586500</v>
      </c>
      <c r="T6009" s="17">
        <v>1</v>
      </c>
      <c r="U6009" s="17" t="s">
        <v>57</v>
      </c>
      <c r="V6009" s="17" t="s">
        <v>56</v>
      </c>
      <c r="W6009" s="4">
        <v>120</v>
      </c>
      <c r="X6009" s="17"/>
      <c r="Y6009" s="4">
        <v>120</v>
      </c>
      <c r="Z6009" s="17"/>
      <c r="AA6009" s="17"/>
      <c r="AB6009" s="17">
        <v>17</v>
      </c>
      <c r="AC6009" s="14"/>
      <c r="AD6009" s="14"/>
      <c r="AE6009" s="17"/>
      <c r="AF6009" s="14"/>
      <c r="AG6009" s="54"/>
      <c r="AH6009" s="11"/>
      <c r="AI6009" s="14"/>
      <c r="AJ6009" s="19">
        <v>0</v>
      </c>
      <c r="AK6009" s="23">
        <v>17</v>
      </c>
      <c r="AL6009" s="11"/>
      <c r="AM6009" s="19">
        <v>0</v>
      </c>
      <c r="AN6009" s="19">
        <v>586500</v>
      </c>
      <c r="AO6009" s="14"/>
      <c r="AP6009" s="14">
        <v>586500</v>
      </c>
      <c r="AQ6009" s="12">
        <v>2.0000000000000001E-4</v>
      </c>
      <c r="AS6009" s="26"/>
    </row>
    <row r="6010" spans="1:45" s="19" customFormat="1" x14ac:dyDescent="0.2">
      <c r="A6010" s="2">
        <v>4960</v>
      </c>
      <c r="B6010" s="13">
        <v>1</v>
      </c>
      <c r="C6010" s="17" t="s">
        <v>52</v>
      </c>
      <c r="D6010" s="17">
        <v>2144</v>
      </c>
      <c r="E6010" s="17">
        <v>13</v>
      </c>
      <c r="F6010" s="17">
        <v>1722</v>
      </c>
      <c r="G6010" s="13">
        <v>4</v>
      </c>
      <c r="H6010" s="17">
        <v>0</v>
      </c>
      <c r="I6010" s="17">
        <v>0</v>
      </c>
      <c r="J6010" s="17">
        <v>27</v>
      </c>
      <c r="K6010" s="10"/>
      <c r="L6010" s="17"/>
      <c r="M6010" s="15"/>
      <c r="N6010" s="18">
        <v>27</v>
      </c>
      <c r="O6010" s="14"/>
      <c r="P6010" s="17">
        <v>4</v>
      </c>
      <c r="Q6010" s="19">
        <v>27</v>
      </c>
      <c r="R6010" s="14">
        <v>160</v>
      </c>
      <c r="S6010" s="19">
        <v>4320</v>
      </c>
      <c r="T6010" s="17"/>
      <c r="U6010" s="17"/>
      <c r="V6010" s="17"/>
      <c r="W6010" s="4"/>
      <c r="X6010" s="17"/>
      <c r="Y6010" s="4"/>
      <c r="Z6010" s="17"/>
      <c r="AA6010" s="17"/>
      <c r="AB6010" s="17"/>
      <c r="AC6010" s="14"/>
      <c r="AD6010" s="14"/>
      <c r="AE6010" s="17"/>
      <c r="AF6010" s="14"/>
      <c r="AG6010" s="54"/>
      <c r="AH6010" s="11"/>
      <c r="AI6010" s="14"/>
      <c r="AJ6010" s="19">
        <v>0</v>
      </c>
      <c r="AK6010" s="23">
        <v>0</v>
      </c>
      <c r="AL6010" s="11"/>
      <c r="AM6010" s="19">
        <v>0</v>
      </c>
      <c r="AN6010" s="19">
        <v>4320</v>
      </c>
      <c r="AO6010" s="14"/>
      <c r="AP6010" s="14">
        <v>4320</v>
      </c>
      <c r="AQ6010" s="12">
        <v>3.0000000000000001E-3</v>
      </c>
      <c r="AS6010" s="26"/>
    </row>
    <row r="6011" spans="1:45" s="19" customFormat="1" ht="63" x14ac:dyDescent="0.2">
      <c r="A6011" s="2"/>
      <c r="B6011" s="13">
        <v>1</v>
      </c>
      <c r="C6011" s="17" t="s">
        <v>65</v>
      </c>
      <c r="D6011" s="17">
        <v>2877</v>
      </c>
      <c r="E6011" s="17">
        <v>190</v>
      </c>
      <c r="F6011" s="17"/>
      <c r="G6011" s="13"/>
      <c r="H6011" s="17">
        <v>0</v>
      </c>
      <c r="I6011" s="17">
        <v>0</v>
      </c>
      <c r="J6011" s="17">
        <v>64</v>
      </c>
      <c r="K6011" s="10"/>
      <c r="L6011" s="17">
        <v>64</v>
      </c>
      <c r="M6011" s="15"/>
      <c r="N6011" s="18"/>
      <c r="O6011" s="14"/>
      <c r="P6011" s="17">
        <v>2</v>
      </c>
      <c r="Q6011" s="19">
        <v>64</v>
      </c>
      <c r="R6011" s="14" t="e">
        <v>#N/A</v>
      </c>
      <c r="S6011" s="19" t="e">
        <v>#N/A</v>
      </c>
      <c r="T6011" s="17"/>
      <c r="U6011" s="17" t="s">
        <v>57</v>
      </c>
      <c r="V6011" s="17" t="s">
        <v>56</v>
      </c>
      <c r="W6011" s="4" t="s">
        <v>234</v>
      </c>
      <c r="X6011" s="17"/>
      <c r="Y6011" s="4" t="s">
        <v>234</v>
      </c>
      <c r="Z6011" s="17"/>
      <c r="AA6011" s="17"/>
      <c r="AB6011" s="17" t="s">
        <v>227</v>
      </c>
      <c r="AC6011" s="14"/>
      <c r="AD6011" s="14"/>
      <c r="AE6011" s="17"/>
      <c r="AF6011" s="14"/>
      <c r="AG6011" s="54"/>
      <c r="AH6011" s="11"/>
      <c r="AI6011" s="14"/>
      <c r="AJ6011" s="19">
        <v>0</v>
      </c>
      <c r="AK6011" s="23" t="s">
        <v>227</v>
      </c>
      <c r="AL6011" s="11"/>
      <c r="AM6011" s="19">
        <v>0</v>
      </c>
      <c r="AN6011" s="19" t="e">
        <v>#N/A</v>
      </c>
      <c r="AO6011" s="14"/>
      <c r="AP6011" s="14" t="e">
        <v>#N/A</v>
      </c>
      <c r="AQ6011" s="12">
        <v>1E-4</v>
      </c>
      <c r="AS6011" s="26"/>
    </row>
    <row r="6012" spans="1:45" s="19" customFormat="1" x14ac:dyDescent="0.2">
      <c r="A6012" s="2"/>
      <c r="B6012" s="13">
        <v>1</v>
      </c>
      <c r="C6012" s="17" t="s">
        <v>65</v>
      </c>
      <c r="D6012" s="17">
        <v>2872</v>
      </c>
      <c r="E6012" s="17">
        <v>185</v>
      </c>
      <c r="F6012" s="17"/>
      <c r="G6012" s="13"/>
      <c r="H6012" s="17">
        <v>1</v>
      </c>
      <c r="I6012" s="17">
        <v>1</v>
      </c>
      <c r="J6012" s="17">
        <v>55</v>
      </c>
      <c r="K6012" s="10">
        <v>555</v>
      </c>
      <c r="L6012" s="17"/>
      <c r="M6012" s="15"/>
      <c r="N6012" s="18"/>
      <c r="O6012" s="14"/>
      <c r="P6012" s="17">
        <v>1</v>
      </c>
      <c r="Q6012" s="19">
        <v>555</v>
      </c>
      <c r="R6012" s="14" t="e">
        <v>#N/A</v>
      </c>
      <c r="S6012" s="19" t="e">
        <v>#N/A</v>
      </c>
      <c r="T6012" s="17"/>
      <c r="U6012" s="17"/>
      <c r="V6012" s="17"/>
      <c r="W6012" s="4"/>
      <c r="X6012" s="17"/>
      <c r="Y6012" s="4"/>
      <c r="Z6012" s="17"/>
      <c r="AA6012" s="17"/>
      <c r="AB6012" s="17"/>
      <c r="AC6012" s="14"/>
      <c r="AD6012" s="14"/>
      <c r="AE6012" s="17" t="s">
        <v>95</v>
      </c>
      <c r="AF6012" s="14"/>
      <c r="AG6012" s="54"/>
      <c r="AH6012" s="11"/>
      <c r="AI6012" s="14"/>
      <c r="AJ6012" s="19">
        <v>0</v>
      </c>
      <c r="AK6012" s="23">
        <v>0</v>
      </c>
      <c r="AL6012" s="11"/>
      <c r="AM6012" s="19">
        <v>0</v>
      </c>
      <c r="AN6012" s="19" t="e">
        <v>#N/A</v>
      </c>
      <c r="AO6012" s="14"/>
      <c r="AP6012" s="14" t="e">
        <v>#N/A</v>
      </c>
      <c r="AQ6012" s="12">
        <v>1E-4</v>
      </c>
      <c r="AS6012" s="26"/>
    </row>
    <row r="6013" spans="1:45" s="19" customFormat="1" x14ac:dyDescent="0.2">
      <c r="A6013" s="2">
        <v>4961</v>
      </c>
      <c r="B6013" s="13">
        <v>2</v>
      </c>
      <c r="C6013" s="17" t="s">
        <v>65</v>
      </c>
      <c r="D6013" s="17">
        <v>2876</v>
      </c>
      <c r="E6013" s="17">
        <v>189</v>
      </c>
      <c r="F6013" s="17"/>
      <c r="G6013" s="13"/>
      <c r="H6013" s="17">
        <v>0</v>
      </c>
      <c r="I6013" s="17">
        <v>1</v>
      </c>
      <c r="J6013" s="17">
        <v>21</v>
      </c>
      <c r="K6013" s="10"/>
      <c r="L6013" s="17">
        <v>121</v>
      </c>
      <c r="M6013" s="15"/>
      <c r="N6013" s="18"/>
      <c r="O6013" s="14"/>
      <c r="P6013" s="17">
        <v>2</v>
      </c>
      <c r="Q6013" s="19">
        <v>121</v>
      </c>
      <c r="R6013" s="14">
        <v>2000</v>
      </c>
      <c r="S6013" s="19">
        <v>242000</v>
      </c>
      <c r="T6013" s="17"/>
      <c r="U6013" s="17"/>
      <c r="V6013" s="17"/>
      <c r="W6013" s="4"/>
      <c r="X6013" s="17"/>
      <c r="Y6013" s="4"/>
      <c r="Z6013" s="17"/>
      <c r="AA6013" s="17"/>
      <c r="AB6013" s="17"/>
      <c r="AC6013" s="14"/>
      <c r="AD6013" s="14"/>
      <c r="AE6013" s="17"/>
      <c r="AF6013" s="14"/>
      <c r="AG6013" s="54"/>
      <c r="AH6013" s="11"/>
      <c r="AI6013" s="14"/>
      <c r="AJ6013" s="19">
        <v>0</v>
      </c>
      <c r="AK6013" s="23">
        <v>0</v>
      </c>
      <c r="AL6013" s="11"/>
      <c r="AM6013" s="19">
        <v>0</v>
      </c>
      <c r="AN6013" s="19">
        <v>242000</v>
      </c>
      <c r="AO6013" s="14"/>
      <c r="AP6013" s="14">
        <v>242000</v>
      </c>
      <c r="AQ6013" s="12">
        <v>2.0000000000000001E-4</v>
      </c>
      <c r="AS6013" s="26"/>
    </row>
    <row r="6014" spans="1:45" s="19" customFormat="1" x14ac:dyDescent="0.2">
      <c r="A6014" s="2"/>
      <c r="B6014" s="13"/>
      <c r="C6014" s="17"/>
      <c r="D6014" s="17"/>
      <c r="E6014" s="17"/>
      <c r="F6014" s="17"/>
      <c r="G6014" s="13"/>
      <c r="H6014" s="17"/>
      <c r="I6014" s="17"/>
      <c r="J6014" s="17"/>
      <c r="K6014" s="10"/>
      <c r="L6014" s="17"/>
      <c r="M6014" s="15"/>
      <c r="N6014" s="18"/>
      <c r="O6014" s="14"/>
      <c r="P6014" s="17"/>
      <c r="R6014" s="14"/>
      <c r="T6014" s="17"/>
      <c r="U6014" s="17"/>
      <c r="V6014" s="17"/>
      <c r="W6014" s="4"/>
      <c r="X6014" s="17"/>
      <c r="Y6014" s="4"/>
      <c r="Z6014" s="17"/>
      <c r="AA6014" s="17"/>
      <c r="AB6014" s="17"/>
      <c r="AC6014" s="14"/>
      <c r="AD6014" s="14"/>
      <c r="AE6014" s="17"/>
      <c r="AF6014" s="14"/>
      <c r="AG6014" s="54"/>
      <c r="AH6014" s="11"/>
      <c r="AI6014" s="14"/>
      <c r="AJ6014" s="19">
        <v>0</v>
      </c>
      <c r="AK6014" s="23">
        <v>0</v>
      </c>
      <c r="AL6014" s="11"/>
      <c r="AM6014" s="19">
        <v>0</v>
      </c>
      <c r="AN6014" s="19">
        <v>0</v>
      </c>
      <c r="AO6014" s="14"/>
      <c r="AP6014" s="14">
        <v>0</v>
      </c>
      <c r="AQ6014" s="12"/>
      <c r="AS6014" s="26"/>
    </row>
    <row r="6015" spans="1:45" s="19" customFormat="1" ht="63" x14ac:dyDescent="0.2">
      <c r="A6015" s="2"/>
      <c r="B6015" s="13"/>
      <c r="C6015" s="17"/>
      <c r="D6015" s="17"/>
      <c r="E6015" s="17"/>
      <c r="F6015" s="17"/>
      <c r="G6015" s="13"/>
      <c r="H6015" s="17"/>
      <c r="I6015" s="17"/>
      <c r="J6015" s="17"/>
      <c r="K6015" s="10"/>
      <c r="L6015" s="17"/>
      <c r="M6015" s="15"/>
      <c r="N6015" s="18"/>
      <c r="O6015" s="14"/>
      <c r="P6015" s="17"/>
      <c r="R6015" s="14"/>
      <c r="T6015" s="17">
        <v>1</v>
      </c>
      <c r="U6015" s="17" t="s">
        <v>57</v>
      </c>
      <c r="V6015" s="17" t="s">
        <v>56</v>
      </c>
      <c r="W6015" s="4" t="s">
        <v>354</v>
      </c>
      <c r="X6015" s="17"/>
      <c r="Y6015" s="4" t="s">
        <v>613</v>
      </c>
      <c r="Z6015" s="17"/>
      <c r="AA6015" s="17"/>
      <c r="AB6015" s="17" t="s">
        <v>227</v>
      </c>
      <c r="AC6015" s="14"/>
      <c r="AD6015" s="14"/>
      <c r="AE6015" s="17">
        <v>0.13333333333333333</v>
      </c>
      <c r="AF6015" s="14">
        <v>2</v>
      </c>
      <c r="AG6015" s="54">
        <v>240</v>
      </c>
      <c r="AH6015" s="11">
        <v>0.87</v>
      </c>
      <c r="AI6015" s="14">
        <v>7250</v>
      </c>
      <c r="AJ6015" s="19">
        <v>1513800</v>
      </c>
      <c r="AK6015" s="23" t="s">
        <v>227</v>
      </c>
      <c r="AL6015" s="11">
        <v>0.28000000000000003</v>
      </c>
      <c r="AO6015" s="14"/>
      <c r="AP6015" s="14"/>
      <c r="AQ6015" s="12"/>
      <c r="AS6015" s="26"/>
    </row>
    <row r="6016" spans="1:45" s="19" customFormat="1" x14ac:dyDescent="0.2">
      <c r="A6016" s="2"/>
      <c r="B6016" s="13"/>
      <c r="C6016" s="17"/>
      <c r="D6016" s="17"/>
      <c r="E6016" s="17"/>
      <c r="F6016" s="17"/>
      <c r="G6016" s="13"/>
      <c r="H6016" s="17"/>
      <c r="I6016" s="17"/>
      <c r="J6016" s="17"/>
      <c r="K6016" s="10"/>
      <c r="L6016" s="17"/>
      <c r="M6016" s="15"/>
      <c r="N6016" s="18"/>
      <c r="O6016" s="14"/>
      <c r="P6016" s="17"/>
      <c r="R6016" s="14"/>
      <c r="T6016" s="17"/>
      <c r="U6016" s="17"/>
      <c r="V6016" s="17"/>
      <c r="W6016" s="4"/>
      <c r="X6016" s="17"/>
      <c r="Y6016" s="4"/>
      <c r="Z6016" s="17" t="s">
        <v>574</v>
      </c>
      <c r="AA6016" s="17"/>
      <c r="AB6016" s="17"/>
      <c r="AC6016" s="14"/>
      <c r="AD6016" s="14"/>
      <c r="AE6016" s="17">
        <v>208</v>
      </c>
      <c r="AF6016" s="14">
        <v>3</v>
      </c>
      <c r="AG6016" s="54">
        <v>240</v>
      </c>
      <c r="AH6016" s="11">
        <v>0.13</v>
      </c>
      <c r="AI6016" s="14">
        <v>7250</v>
      </c>
      <c r="AJ6016" s="19">
        <v>226200.00000000003</v>
      </c>
      <c r="AK6016" s="23">
        <v>19</v>
      </c>
      <c r="AL6016" s="11">
        <v>0.28000000000000003</v>
      </c>
      <c r="AM6016" s="19">
        <v>162864</v>
      </c>
      <c r="AN6016" s="19">
        <v>194324</v>
      </c>
      <c r="AO6016" s="14"/>
      <c r="AP6016" s="14">
        <v>194324</v>
      </c>
      <c r="AQ6016" s="12">
        <v>3.0000000000000001E-3</v>
      </c>
      <c r="AS6016" s="26"/>
    </row>
    <row r="6017" spans="1:45" x14ac:dyDescent="0.2">
      <c r="A6017" s="2">
        <v>4962</v>
      </c>
      <c r="B6017" s="13">
        <v>1</v>
      </c>
      <c r="C6017" s="17" t="s">
        <v>65</v>
      </c>
      <c r="D6017" s="17">
        <v>1566</v>
      </c>
      <c r="E6017" s="17">
        <v>134</v>
      </c>
      <c r="H6017" s="17">
        <v>17</v>
      </c>
      <c r="I6017" s="17">
        <v>3</v>
      </c>
      <c r="J6017" s="17">
        <v>56</v>
      </c>
      <c r="K6017" s="10">
        <v>7156</v>
      </c>
      <c r="P6017" s="17">
        <v>1</v>
      </c>
      <c r="Q6017" s="19">
        <v>7156</v>
      </c>
      <c r="R6017" s="14">
        <v>500</v>
      </c>
      <c r="S6017" s="19">
        <v>3578000</v>
      </c>
      <c r="AJ6017" s="19">
        <v>0</v>
      </c>
      <c r="AK6017" s="23">
        <v>0</v>
      </c>
      <c r="AM6017" s="19">
        <v>0</v>
      </c>
      <c r="AN6017" s="19">
        <v>3578000</v>
      </c>
      <c r="AP6017" s="14">
        <v>3578000</v>
      </c>
      <c r="AQ6017" s="12">
        <v>1E-4</v>
      </c>
    </row>
    <row r="6018" spans="1:45" ht="63" x14ac:dyDescent="0.2">
      <c r="A6018" s="2">
        <f>+A6017+1</f>
        <v>4963</v>
      </c>
      <c r="B6018" s="13">
        <v>1</v>
      </c>
      <c r="C6018" s="17" t="s">
        <v>52</v>
      </c>
      <c r="D6018" s="17">
        <v>424</v>
      </c>
      <c r="E6018" s="17">
        <v>502</v>
      </c>
      <c r="F6018" s="17">
        <v>17</v>
      </c>
      <c r="G6018" s="13">
        <v>2</v>
      </c>
      <c r="H6018" s="17">
        <v>0</v>
      </c>
      <c r="I6018" s="17">
        <v>1</v>
      </c>
      <c r="J6018" s="17">
        <v>83.04</v>
      </c>
      <c r="L6018" s="17" t="s">
        <v>614</v>
      </c>
      <c r="P6018" s="17">
        <v>2</v>
      </c>
      <c r="Q6018" s="19">
        <v>183.04000000000002</v>
      </c>
      <c r="R6018" s="14">
        <v>4500</v>
      </c>
      <c r="S6018" s="19">
        <v>823680.00000000012</v>
      </c>
      <c r="U6018" s="17" t="s">
        <v>57</v>
      </c>
      <c r="V6018" s="17" t="s">
        <v>56</v>
      </c>
      <c r="W6018" s="4" t="s">
        <v>156</v>
      </c>
      <c r="Y6018" s="4">
        <v>90</v>
      </c>
      <c r="AB6018" s="17" t="s">
        <v>615</v>
      </c>
      <c r="AJ6018" s="19">
        <v>0</v>
      </c>
      <c r="AK6018" s="23" t="s">
        <v>615</v>
      </c>
      <c r="AM6018" s="19">
        <v>0</v>
      </c>
      <c r="AN6018" s="19">
        <v>823680.00000000012</v>
      </c>
      <c r="AP6018" s="14">
        <v>823680.00000000012</v>
      </c>
      <c r="AS6018" s="26">
        <v>295</v>
      </c>
    </row>
    <row r="6019" spans="1:45" x14ac:dyDescent="0.2">
      <c r="A6019" s="122">
        <f t="shared" ref="A6019:A6024" si="634">+A6018+1</f>
        <v>4964</v>
      </c>
      <c r="B6019" s="13">
        <v>2</v>
      </c>
      <c r="C6019" s="17" t="s">
        <v>52</v>
      </c>
      <c r="D6019" s="17">
        <v>5003</v>
      </c>
      <c r="E6019" s="17">
        <v>2</v>
      </c>
      <c r="F6019" s="17">
        <v>2687</v>
      </c>
      <c r="G6019" s="13">
        <v>7</v>
      </c>
      <c r="H6019" s="17">
        <v>11</v>
      </c>
      <c r="I6019" s="17">
        <v>2</v>
      </c>
      <c r="J6019" s="17">
        <v>43</v>
      </c>
      <c r="K6019" s="10">
        <v>4643</v>
      </c>
      <c r="P6019" s="17">
        <v>1</v>
      </c>
      <c r="Q6019" s="19">
        <v>4643</v>
      </c>
      <c r="R6019" s="14">
        <v>1850</v>
      </c>
      <c r="S6019" s="19">
        <v>8589550</v>
      </c>
      <c r="AJ6019" s="19">
        <v>0</v>
      </c>
      <c r="AK6019" s="23">
        <v>0</v>
      </c>
      <c r="AM6019" s="19">
        <v>0</v>
      </c>
      <c r="AN6019" s="19">
        <v>8589550</v>
      </c>
      <c r="AP6019" s="14">
        <v>8589550</v>
      </c>
    </row>
    <row r="6020" spans="1:45" x14ac:dyDescent="0.2">
      <c r="A6020" s="122">
        <f t="shared" si="634"/>
        <v>4965</v>
      </c>
      <c r="B6020" s="13">
        <v>3</v>
      </c>
      <c r="C6020" s="17" t="s">
        <v>97</v>
      </c>
      <c r="D6020" s="17">
        <v>110</v>
      </c>
      <c r="G6020" s="13">
        <v>5</v>
      </c>
      <c r="H6020" s="17">
        <v>28</v>
      </c>
      <c r="I6020" s="17">
        <v>0</v>
      </c>
      <c r="J6020" s="17">
        <v>0</v>
      </c>
      <c r="K6020" s="10">
        <v>11200</v>
      </c>
      <c r="P6020" s="17">
        <v>1</v>
      </c>
      <c r="Q6020" s="19">
        <v>11200</v>
      </c>
      <c r="R6020" s="14">
        <v>160</v>
      </c>
      <c r="S6020" s="19">
        <v>1792000</v>
      </c>
      <c r="AJ6020" s="19">
        <v>0</v>
      </c>
      <c r="AK6020" s="23">
        <v>0</v>
      </c>
      <c r="AM6020" s="19">
        <v>0</v>
      </c>
      <c r="AN6020" s="19">
        <v>1792000</v>
      </c>
      <c r="AP6020" s="14">
        <v>1792000</v>
      </c>
      <c r="AQ6020" s="12">
        <v>1E-4</v>
      </c>
    </row>
    <row r="6021" spans="1:45" x14ac:dyDescent="0.2">
      <c r="A6021" s="122">
        <f t="shared" si="634"/>
        <v>4966</v>
      </c>
      <c r="B6021" s="13">
        <v>4</v>
      </c>
      <c r="C6021" s="17" t="s">
        <v>65</v>
      </c>
      <c r="D6021" s="17">
        <v>1559</v>
      </c>
      <c r="E6021" s="17">
        <v>27</v>
      </c>
      <c r="G6021" s="13">
        <v>5</v>
      </c>
      <c r="H6021" s="17">
        <v>14</v>
      </c>
      <c r="I6021" s="17">
        <v>0</v>
      </c>
      <c r="J6021" s="17">
        <v>60</v>
      </c>
      <c r="K6021" s="10">
        <v>5660</v>
      </c>
      <c r="P6021" s="17">
        <v>1</v>
      </c>
      <c r="Q6021" s="19">
        <v>5660</v>
      </c>
      <c r="R6021" s="14">
        <v>375</v>
      </c>
      <c r="S6021" s="19">
        <v>2122500</v>
      </c>
      <c r="AE6021" s="17" t="s">
        <v>94</v>
      </c>
      <c r="AJ6021" s="19">
        <v>0</v>
      </c>
      <c r="AK6021" s="23">
        <v>0</v>
      </c>
      <c r="AM6021" s="19">
        <v>0</v>
      </c>
      <c r="AN6021" s="19">
        <v>2122500</v>
      </c>
      <c r="AP6021" s="14">
        <v>2122500</v>
      </c>
      <c r="AQ6021" s="12">
        <v>1E-4</v>
      </c>
    </row>
    <row r="6022" spans="1:45" x14ac:dyDescent="0.2">
      <c r="A6022" s="122">
        <f t="shared" si="634"/>
        <v>4967</v>
      </c>
      <c r="B6022" s="13">
        <v>1</v>
      </c>
      <c r="C6022" s="17" t="s">
        <v>65</v>
      </c>
      <c r="D6022" s="17">
        <v>2464</v>
      </c>
      <c r="E6022" s="17">
        <v>131</v>
      </c>
      <c r="H6022" s="17">
        <v>0</v>
      </c>
      <c r="I6022" s="17">
        <v>0</v>
      </c>
      <c r="J6022" s="17">
        <v>33</v>
      </c>
      <c r="N6022" s="18">
        <v>33</v>
      </c>
      <c r="P6022" s="17">
        <v>4</v>
      </c>
      <c r="Q6022" s="19">
        <v>33</v>
      </c>
      <c r="R6022" s="14">
        <v>160</v>
      </c>
      <c r="S6022" s="19">
        <v>5280</v>
      </c>
      <c r="AJ6022" s="19">
        <v>0</v>
      </c>
      <c r="AK6022" s="23">
        <v>0</v>
      </c>
      <c r="AM6022" s="19">
        <v>0</v>
      </c>
      <c r="AN6022" s="19">
        <v>5280</v>
      </c>
      <c r="AP6022" s="14">
        <v>5280</v>
      </c>
      <c r="AQ6022" s="12">
        <v>3.0000000000000001E-3</v>
      </c>
    </row>
    <row r="6023" spans="1:45" x14ac:dyDescent="0.2">
      <c r="A6023" s="122">
        <f t="shared" si="634"/>
        <v>4968</v>
      </c>
      <c r="B6023" s="13">
        <v>1</v>
      </c>
      <c r="C6023" s="17" t="s">
        <v>52</v>
      </c>
      <c r="D6023" s="17">
        <v>32924</v>
      </c>
      <c r="E6023" s="17">
        <v>80</v>
      </c>
      <c r="F6023" s="17">
        <v>6470</v>
      </c>
      <c r="G6023" s="13">
        <v>4</v>
      </c>
      <c r="H6023" s="17">
        <v>0</v>
      </c>
      <c r="I6023" s="17">
        <v>0</v>
      </c>
      <c r="J6023" s="17">
        <v>31</v>
      </c>
      <c r="K6023" s="10" t="s">
        <v>616</v>
      </c>
      <c r="P6023" s="17">
        <v>1</v>
      </c>
      <c r="Q6023" s="19">
        <v>31</v>
      </c>
      <c r="R6023" s="14">
        <v>2000</v>
      </c>
      <c r="S6023" s="19">
        <v>62000</v>
      </c>
      <c r="AJ6023" s="19">
        <v>0</v>
      </c>
      <c r="AK6023" s="23">
        <v>0</v>
      </c>
      <c r="AM6023" s="19">
        <v>0</v>
      </c>
      <c r="AN6023" s="19">
        <v>62000</v>
      </c>
      <c r="AP6023" s="14">
        <v>62000</v>
      </c>
    </row>
    <row r="6024" spans="1:45" x14ac:dyDescent="0.2">
      <c r="A6024" s="122">
        <f t="shared" si="634"/>
        <v>4969</v>
      </c>
      <c r="B6024" s="13">
        <v>1</v>
      </c>
      <c r="C6024" s="17" t="s">
        <v>52</v>
      </c>
      <c r="D6024" s="17">
        <v>2142</v>
      </c>
      <c r="E6024" s="17">
        <v>20</v>
      </c>
      <c r="F6024" s="17">
        <v>1719</v>
      </c>
      <c r="G6024" s="13">
        <v>4</v>
      </c>
      <c r="H6024" s="17">
        <v>0</v>
      </c>
      <c r="I6024" s="17">
        <v>0</v>
      </c>
      <c r="J6024" s="17">
        <v>17</v>
      </c>
      <c r="L6024" s="17">
        <v>17</v>
      </c>
      <c r="P6024" s="17">
        <v>2</v>
      </c>
      <c r="Q6024" s="19">
        <v>17</v>
      </c>
      <c r="R6024" s="14">
        <v>250</v>
      </c>
      <c r="S6024" s="19">
        <v>4250</v>
      </c>
      <c r="AJ6024" s="19">
        <v>0</v>
      </c>
      <c r="AK6024" s="23">
        <v>0</v>
      </c>
      <c r="AM6024" s="19">
        <v>0</v>
      </c>
      <c r="AN6024" s="19">
        <v>4250</v>
      </c>
      <c r="AP6024" s="14">
        <v>4250</v>
      </c>
    </row>
    <row r="6025" spans="1:45" x14ac:dyDescent="0.2">
      <c r="B6025" s="13">
        <v>2</v>
      </c>
      <c r="C6025" s="17" t="s">
        <v>65</v>
      </c>
      <c r="D6025" s="17">
        <v>3430</v>
      </c>
      <c r="E6025" s="17">
        <v>228</v>
      </c>
      <c r="H6025" s="17">
        <v>3</v>
      </c>
      <c r="I6025" s="17">
        <v>1</v>
      </c>
      <c r="J6025" s="17">
        <v>19</v>
      </c>
      <c r="K6025" s="10">
        <v>1319</v>
      </c>
      <c r="Q6025" s="19">
        <v>1319</v>
      </c>
      <c r="R6025" s="14" t="e">
        <v>#N/A</v>
      </c>
      <c r="S6025" s="19" t="e">
        <v>#N/A</v>
      </c>
      <c r="AE6025" s="17" t="s">
        <v>95</v>
      </c>
      <c r="AJ6025" s="19">
        <v>0</v>
      </c>
      <c r="AK6025" s="23">
        <v>0</v>
      </c>
      <c r="AM6025" s="19">
        <v>0</v>
      </c>
      <c r="AN6025" s="19" t="e">
        <v>#N/A</v>
      </c>
      <c r="AP6025" s="14" t="e">
        <v>#N/A</v>
      </c>
      <c r="AQ6025" s="12">
        <v>1E-4</v>
      </c>
    </row>
    <row r="6026" spans="1:45" ht="42" x14ac:dyDescent="0.2">
      <c r="A6026" s="2">
        <v>4970</v>
      </c>
      <c r="B6026" s="13">
        <v>1</v>
      </c>
      <c r="C6026" s="17" t="s">
        <v>52</v>
      </c>
      <c r="D6026" s="17">
        <v>928</v>
      </c>
      <c r="E6026" s="17">
        <v>36</v>
      </c>
      <c r="F6026" s="17">
        <v>317</v>
      </c>
      <c r="G6026" s="13">
        <v>1</v>
      </c>
      <c r="H6026" s="17">
        <v>0</v>
      </c>
      <c r="I6026" s="17">
        <v>0</v>
      </c>
      <c r="J6026" s="17">
        <v>41</v>
      </c>
      <c r="L6026" s="17" t="s">
        <v>617</v>
      </c>
      <c r="P6026" s="17">
        <v>2</v>
      </c>
      <c r="Q6026" s="19">
        <v>41</v>
      </c>
      <c r="R6026" s="14">
        <v>250</v>
      </c>
      <c r="S6026" s="19">
        <v>10250</v>
      </c>
      <c r="T6026" s="17">
        <v>1</v>
      </c>
      <c r="V6026" s="17" t="s">
        <v>183</v>
      </c>
      <c r="W6026" s="4">
        <v>131.25</v>
      </c>
      <c r="Y6026" s="4">
        <v>131.25</v>
      </c>
      <c r="AB6026" s="17">
        <v>16</v>
      </c>
      <c r="AJ6026" s="19">
        <v>0</v>
      </c>
      <c r="AK6026" s="23">
        <v>16</v>
      </c>
      <c r="AM6026" s="19">
        <v>0</v>
      </c>
      <c r="AN6026" s="19">
        <v>10250</v>
      </c>
      <c r="AP6026" s="14">
        <v>10250</v>
      </c>
      <c r="AR6026" s="19" t="s">
        <v>102</v>
      </c>
      <c r="AS6026" s="26">
        <v>51</v>
      </c>
    </row>
    <row r="6027" spans="1:45" x14ac:dyDescent="0.2">
      <c r="A6027" s="2">
        <f>+A6026+1</f>
        <v>4971</v>
      </c>
      <c r="B6027" s="13">
        <v>2</v>
      </c>
      <c r="C6027" s="17" t="s">
        <v>52</v>
      </c>
      <c r="D6027" s="17">
        <v>932</v>
      </c>
      <c r="E6027" s="17">
        <v>13</v>
      </c>
      <c r="F6027" s="17">
        <v>321</v>
      </c>
      <c r="G6027" s="13">
        <v>1</v>
      </c>
      <c r="H6027" s="17">
        <v>5</v>
      </c>
      <c r="I6027" s="17">
        <v>1</v>
      </c>
      <c r="J6027" s="17">
        <v>93</v>
      </c>
      <c r="K6027" s="10">
        <v>2193</v>
      </c>
      <c r="P6027" s="17">
        <v>1</v>
      </c>
      <c r="Q6027" s="19">
        <v>2193</v>
      </c>
      <c r="R6027" s="14">
        <v>200</v>
      </c>
      <c r="S6027" s="19">
        <v>438600</v>
      </c>
      <c r="AJ6027" s="19">
        <v>0</v>
      </c>
      <c r="AK6027" s="23">
        <v>0</v>
      </c>
      <c r="AM6027" s="19">
        <v>0</v>
      </c>
      <c r="AN6027" s="19">
        <v>438600</v>
      </c>
      <c r="AP6027" s="14">
        <v>438600</v>
      </c>
    </row>
    <row r="6028" spans="1:45" ht="42" x14ac:dyDescent="0.2">
      <c r="A6028" s="122">
        <f t="shared" ref="A6028:A6030" si="635">+A6027+1</f>
        <v>4972</v>
      </c>
      <c r="B6028" s="13">
        <v>3</v>
      </c>
      <c r="C6028" s="17" t="s">
        <v>52</v>
      </c>
      <c r="D6028" s="17">
        <v>25441</v>
      </c>
      <c r="E6028" s="17">
        <v>219</v>
      </c>
      <c r="F6028" s="17">
        <v>4982</v>
      </c>
      <c r="G6028" s="13">
        <v>1</v>
      </c>
      <c r="H6028" s="17">
        <v>0</v>
      </c>
      <c r="I6028" s="17">
        <v>1</v>
      </c>
      <c r="J6028" s="17">
        <v>47</v>
      </c>
      <c r="K6028" s="10">
        <v>96.38</v>
      </c>
      <c r="L6028" s="17">
        <v>50.62</v>
      </c>
      <c r="P6028" s="17">
        <v>5</v>
      </c>
      <c r="Q6028" s="19">
        <v>147</v>
      </c>
      <c r="R6028" s="14">
        <v>200</v>
      </c>
      <c r="S6028" s="19">
        <v>29400</v>
      </c>
      <c r="T6028" s="17">
        <v>1</v>
      </c>
      <c r="V6028" s="17" t="s">
        <v>183</v>
      </c>
      <c r="W6028" s="4">
        <v>202.5</v>
      </c>
      <c r="Y6028" s="4">
        <v>202.5</v>
      </c>
      <c r="AB6028" s="17">
        <v>7</v>
      </c>
      <c r="AJ6028" s="19">
        <v>0</v>
      </c>
      <c r="AK6028" s="23">
        <v>7</v>
      </c>
      <c r="AM6028" s="19">
        <v>0</v>
      </c>
      <c r="AN6028" s="19">
        <v>29400</v>
      </c>
      <c r="AP6028" s="14">
        <v>29400</v>
      </c>
    </row>
    <row r="6029" spans="1:45" x14ac:dyDescent="0.2">
      <c r="A6029" s="122">
        <f t="shared" si="635"/>
        <v>4973</v>
      </c>
      <c r="B6029" s="13">
        <v>4</v>
      </c>
      <c r="C6029" s="17" t="s">
        <v>52</v>
      </c>
      <c r="D6029" s="17">
        <v>1604</v>
      </c>
      <c r="E6029" s="17">
        <v>39</v>
      </c>
      <c r="F6029" s="17">
        <v>556</v>
      </c>
      <c r="G6029" s="13">
        <v>2</v>
      </c>
      <c r="H6029" s="17">
        <v>3</v>
      </c>
      <c r="I6029" s="17">
        <v>3</v>
      </c>
      <c r="J6029" s="17">
        <v>60</v>
      </c>
      <c r="K6029" s="10">
        <v>1560</v>
      </c>
      <c r="P6029" s="17">
        <v>1</v>
      </c>
      <c r="Q6029" s="19">
        <v>1560</v>
      </c>
      <c r="R6029" s="14">
        <v>200</v>
      </c>
      <c r="S6029" s="19">
        <v>312000</v>
      </c>
      <c r="AJ6029" s="19">
        <v>0</v>
      </c>
      <c r="AK6029" s="23">
        <v>0</v>
      </c>
      <c r="AM6029" s="19">
        <v>0</v>
      </c>
      <c r="AN6029" s="19">
        <v>312000</v>
      </c>
      <c r="AP6029" s="14">
        <v>312000</v>
      </c>
    </row>
    <row r="6030" spans="1:45" x14ac:dyDescent="0.2">
      <c r="A6030" s="122">
        <f t="shared" si="635"/>
        <v>4974</v>
      </c>
      <c r="B6030" s="13">
        <v>1</v>
      </c>
      <c r="C6030" s="17" t="s">
        <v>52</v>
      </c>
      <c r="D6030" s="17">
        <v>35384</v>
      </c>
      <c r="E6030" s="17">
        <v>317</v>
      </c>
      <c r="F6030" s="17">
        <v>6888</v>
      </c>
      <c r="G6030" s="13">
        <v>1</v>
      </c>
      <c r="H6030" s="17">
        <v>0</v>
      </c>
      <c r="I6030" s="17">
        <v>0</v>
      </c>
      <c r="J6030" s="17">
        <v>78</v>
      </c>
      <c r="K6030" s="10">
        <v>78</v>
      </c>
      <c r="P6030" s="17">
        <v>1</v>
      </c>
      <c r="Q6030" s="19">
        <v>78</v>
      </c>
      <c r="R6030" s="14">
        <v>250</v>
      </c>
      <c r="S6030" s="19">
        <v>19500</v>
      </c>
      <c r="AJ6030" s="19">
        <v>0</v>
      </c>
      <c r="AK6030" s="23">
        <v>0</v>
      </c>
      <c r="AM6030" s="19">
        <v>0</v>
      </c>
      <c r="AN6030" s="19">
        <v>19500</v>
      </c>
      <c r="AP6030" s="14">
        <v>19500</v>
      </c>
    </row>
    <row r="6031" spans="1:45" x14ac:dyDescent="0.2">
      <c r="B6031" s="13">
        <v>1</v>
      </c>
      <c r="C6031" s="17" t="s">
        <v>65</v>
      </c>
      <c r="D6031" s="17">
        <v>3618</v>
      </c>
      <c r="E6031" s="17">
        <v>174</v>
      </c>
      <c r="H6031" s="17">
        <v>0</v>
      </c>
      <c r="I6031" s="17">
        <v>0</v>
      </c>
      <c r="J6031" s="17">
        <v>37</v>
      </c>
      <c r="N6031" s="18">
        <v>37</v>
      </c>
      <c r="Q6031" s="19">
        <v>37</v>
      </c>
      <c r="S6031" s="19">
        <v>0</v>
      </c>
      <c r="AE6031" s="17" t="s">
        <v>95</v>
      </c>
      <c r="AJ6031" s="19">
        <v>0</v>
      </c>
      <c r="AK6031" s="23">
        <v>0</v>
      </c>
      <c r="AM6031" s="19">
        <v>0</v>
      </c>
      <c r="AN6031" s="19">
        <v>0</v>
      </c>
      <c r="AP6031" s="14">
        <v>0</v>
      </c>
      <c r="AQ6031" s="12">
        <v>3.0000000000000001E-3</v>
      </c>
    </row>
    <row r="6032" spans="1:45" x14ac:dyDescent="0.2">
      <c r="A6032" s="2">
        <v>4975</v>
      </c>
      <c r="B6032" s="13">
        <v>1</v>
      </c>
      <c r="C6032" s="17" t="s">
        <v>52</v>
      </c>
      <c r="D6032" s="17">
        <v>29159</v>
      </c>
      <c r="E6032" s="17">
        <v>255</v>
      </c>
      <c r="F6032" s="17">
        <v>5354</v>
      </c>
      <c r="G6032" s="13">
        <v>1</v>
      </c>
      <c r="H6032" s="17">
        <v>0</v>
      </c>
      <c r="I6032" s="17">
        <v>0</v>
      </c>
      <c r="J6032" s="17">
        <v>88</v>
      </c>
      <c r="K6032" s="10">
        <v>88</v>
      </c>
      <c r="P6032" s="17">
        <v>1</v>
      </c>
      <c r="Q6032" s="19">
        <v>88</v>
      </c>
      <c r="R6032" s="14">
        <v>200</v>
      </c>
      <c r="S6032" s="19">
        <v>17600</v>
      </c>
      <c r="AJ6032" s="19">
        <v>0</v>
      </c>
      <c r="AK6032" s="23">
        <v>0</v>
      </c>
      <c r="AM6032" s="19">
        <v>0</v>
      </c>
      <c r="AN6032" s="19">
        <v>17600</v>
      </c>
      <c r="AP6032" s="14">
        <v>17600</v>
      </c>
    </row>
    <row r="6033" spans="1:45" x14ac:dyDescent="0.2">
      <c r="A6033" s="2">
        <f>+A6032+1</f>
        <v>4976</v>
      </c>
      <c r="B6033" s="13">
        <v>1</v>
      </c>
      <c r="C6033" s="17" t="s">
        <v>52</v>
      </c>
      <c r="D6033" s="17">
        <v>29166</v>
      </c>
      <c r="E6033" s="17">
        <v>262</v>
      </c>
      <c r="F6033" s="17">
        <v>5361</v>
      </c>
      <c r="G6033" s="13">
        <v>1</v>
      </c>
      <c r="H6033" s="17">
        <v>0</v>
      </c>
      <c r="I6033" s="17">
        <v>0</v>
      </c>
      <c r="J6033" s="17">
        <v>66</v>
      </c>
      <c r="K6033" s="10">
        <v>66</v>
      </c>
      <c r="P6033" s="17">
        <v>1</v>
      </c>
      <c r="Q6033" s="19">
        <v>66</v>
      </c>
      <c r="R6033" s="14">
        <v>200</v>
      </c>
      <c r="S6033" s="19">
        <v>13200</v>
      </c>
      <c r="AJ6033" s="19">
        <v>0</v>
      </c>
      <c r="AK6033" s="23">
        <v>0</v>
      </c>
      <c r="AM6033" s="19">
        <v>0</v>
      </c>
      <c r="AN6033" s="19">
        <v>13200</v>
      </c>
      <c r="AP6033" s="14">
        <v>13200</v>
      </c>
    </row>
    <row r="6034" spans="1:45" x14ac:dyDescent="0.2">
      <c r="A6034" s="122">
        <f t="shared" ref="A6034:A6039" si="636">+A6033+1</f>
        <v>4977</v>
      </c>
      <c r="B6034" s="13">
        <v>2</v>
      </c>
      <c r="C6034" s="17" t="s">
        <v>52</v>
      </c>
      <c r="D6034" s="17">
        <v>29167</v>
      </c>
      <c r="E6034" s="17">
        <v>263</v>
      </c>
      <c r="F6034" s="17">
        <v>5362</v>
      </c>
      <c r="G6034" s="13">
        <v>1</v>
      </c>
      <c r="H6034" s="17">
        <v>0</v>
      </c>
      <c r="I6034" s="17">
        <v>0</v>
      </c>
      <c r="J6034" s="17">
        <v>68</v>
      </c>
      <c r="K6034" s="10">
        <v>68</v>
      </c>
      <c r="P6034" s="17">
        <v>1</v>
      </c>
      <c r="Q6034" s="19">
        <v>68</v>
      </c>
      <c r="R6034" s="14">
        <v>200</v>
      </c>
      <c r="S6034" s="19">
        <v>13600</v>
      </c>
      <c r="AJ6034" s="19">
        <v>0</v>
      </c>
      <c r="AK6034" s="23">
        <v>0</v>
      </c>
      <c r="AM6034" s="19">
        <v>0</v>
      </c>
      <c r="AN6034" s="19">
        <v>13600</v>
      </c>
      <c r="AP6034" s="14">
        <v>13600</v>
      </c>
    </row>
    <row r="6035" spans="1:45" x14ac:dyDescent="0.2">
      <c r="A6035" s="122">
        <f t="shared" si="636"/>
        <v>4978</v>
      </c>
      <c r="B6035" s="13">
        <v>3</v>
      </c>
      <c r="C6035" s="17" t="s">
        <v>52</v>
      </c>
      <c r="D6035" s="17">
        <v>2192</v>
      </c>
      <c r="E6035" s="17">
        <v>21</v>
      </c>
      <c r="F6035" s="17">
        <v>1821</v>
      </c>
      <c r="G6035" s="13">
        <v>3</v>
      </c>
      <c r="H6035" s="17">
        <v>6</v>
      </c>
      <c r="I6035" s="17">
        <v>2</v>
      </c>
      <c r="J6035" s="17">
        <v>44</v>
      </c>
      <c r="K6035" s="10">
        <v>2644</v>
      </c>
      <c r="P6035" s="17">
        <v>1</v>
      </c>
      <c r="Q6035" s="19">
        <v>2644</v>
      </c>
      <c r="R6035" s="14">
        <v>500</v>
      </c>
      <c r="S6035" s="19">
        <v>1322000</v>
      </c>
      <c r="AJ6035" s="19">
        <v>0</v>
      </c>
      <c r="AK6035" s="23">
        <v>0</v>
      </c>
      <c r="AM6035" s="19">
        <v>0</v>
      </c>
      <c r="AN6035" s="19">
        <v>1322000</v>
      </c>
      <c r="AP6035" s="14">
        <v>1322000</v>
      </c>
    </row>
    <row r="6036" spans="1:45" x14ac:dyDescent="0.2">
      <c r="A6036" s="122">
        <f t="shared" si="636"/>
        <v>4979</v>
      </c>
      <c r="B6036" s="13">
        <v>4</v>
      </c>
      <c r="C6036" s="17" t="s">
        <v>52</v>
      </c>
      <c r="D6036" s="17">
        <v>2209</v>
      </c>
      <c r="E6036" s="17">
        <v>15</v>
      </c>
      <c r="F6036" s="17">
        <v>1657</v>
      </c>
      <c r="G6036" s="13">
        <v>3</v>
      </c>
      <c r="H6036" s="17">
        <v>5</v>
      </c>
      <c r="I6036" s="17">
        <v>0</v>
      </c>
      <c r="J6036" s="17">
        <v>23</v>
      </c>
      <c r="K6036" s="10">
        <v>2023</v>
      </c>
      <c r="P6036" s="17">
        <v>1</v>
      </c>
      <c r="Q6036" s="19">
        <v>2023</v>
      </c>
      <c r="R6036" s="14">
        <v>160</v>
      </c>
      <c r="S6036" s="19">
        <v>323680</v>
      </c>
      <c r="AJ6036" s="19">
        <v>0</v>
      </c>
      <c r="AK6036" s="23">
        <v>0</v>
      </c>
      <c r="AM6036" s="19">
        <v>0</v>
      </c>
      <c r="AN6036" s="19">
        <v>323680</v>
      </c>
      <c r="AP6036" s="14">
        <v>323680</v>
      </c>
    </row>
    <row r="6037" spans="1:45" x14ac:dyDescent="0.2">
      <c r="A6037" s="122">
        <f t="shared" si="636"/>
        <v>4980</v>
      </c>
      <c r="B6037" s="13">
        <v>5</v>
      </c>
      <c r="C6037" s="17" t="s">
        <v>52</v>
      </c>
      <c r="D6037" s="17">
        <v>33612</v>
      </c>
      <c r="E6037" s="17">
        <v>503</v>
      </c>
      <c r="F6037" s="17">
        <v>6700</v>
      </c>
      <c r="G6037" s="13">
        <v>3</v>
      </c>
      <c r="H6037" s="17">
        <v>0</v>
      </c>
      <c r="I6037" s="17">
        <v>0</v>
      </c>
      <c r="J6037" s="17">
        <v>24.09</v>
      </c>
      <c r="K6037" s="10">
        <v>24.09</v>
      </c>
      <c r="P6037" s="17">
        <v>1</v>
      </c>
      <c r="Q6037" s="19">
        <v>24.09</v>
      </c>
      <c r="R6037" s="14">
        <v>2000</v>
      </c>
      <c r="S6037" s="19">
        <v>48180</v>
      </c>
      <c r="AJ6037" s="19">
        <v>0</v>
      </c>
      <c r="AK6037" s="23">
        <v>0</v>
      </c>
      <c r="AM6037" s="19">
        <v>0</v>
      </c>
      <c r="AN6037" s="19">
        <v>48180</v>
      </c>
      <c r="AP6037" s="14">
        <v>48180</v>
      </c>
    </row>
    <row r="6038" spans="1:45" x14ac:dyDescent="0.2">
      <c r="A6038" s="122">
        <f t="shared" si="636"/>
        <v>4981</v>
      </c>
      <c r="B6038" s="13">
        <v>6</v>
      </c>
      <c r="C6038" s="17" t="s">
        <v>52</v>
      </c>
      <c r="D6038" s="17">
        <v>1498</v>
      </c>
      <c r="E6038" s="17">
        <v>47</v>
      </c>
      <c r="F6038" s="17">
        <v>1055</v>
      </c>
      <c r="H6038" s="17">
        <v>0</v>
      </c>
      <c r="I6038" s="17">
        <v>2</v>
      </c>
      <c r="J6038" s="17">
        <v>67</v>
      </c>
      <c r="K6038" s="10">
        <v>267</v>
      </c>
      <c r="P6038" s="17">
        <v>1</v>
      </c>
      <c r="Q6038" s="19">
        <v>267</v>
      </c>
      <c r="R6038" s="14">
        <v>160</v>
      </c>
      <c r="S6038" s="19">
        <v>42720</v>
      </c>
      <c r="AJ6038" s="19">
        <v>0</v>
      </c>
      <c r="AK6038" s="23">
        <v>0</v>
      </c>
      <c r="AM6038" s="19">
        <v>0</v>
      </c>
      <c r="AN6038" s="19">
        <v>42720</v>
      </c>
      <c r="AP6038" s="14">
        <v>42720</v>
      </c>
    </row>
    <row r="6039" spans="1:45" ht="63" x14ac:dyDescent="0.2">
      <c r="A6039" s="122">
        <f t="shared" si="636"/>
        <v>4982</v>
      </c>
      <c r="B6039" s="13">
        <v>7</v>
      </c>
      <c r="C6039" s="17" t="s">
        <v>52</v>
      </c>
      <c r="D6039" s="17">
        <v>2312</v>
      </c>
      <c r="E6039" s="17">
        <v>94</v>
      </c>
      <c r="F6039" s="17">
        <v>1084</v>
      </c>
      <c r="H6039" s="17">
        <v>12</v>
      </c>
      <c r="I6039" s="17">
        <v>0</v>
      </c>
      <c r="J6039" s="17">
        <v>89</v>
      </c>
      <c r="K6039" s="10">
        <v>4825.88</v>
      </c>
      <c r="L6039" s="17">
        <v>63.12</v>
      </c>
      <c r="P6039" s="17">
        <v>5</v>
      </c>
      <c r="Q6039" s="19">
        <v>4889</v>
      </c>
      <c r="R6039" s="14">
        <v>500</v>
      </c>
      <c r="S6039" s="19">
        <v>2444500</v>
      </c>
      <c r="T6039" s="17">
        <v>1</v>
      </c>
      <c r="V6039" s="17" t="s">
        <v>618</v>
      </c>
      <c r="W6039" s="4">
        <v>77.5</v>
      </c>
      <c r="Y6039" s="4">
        <v>77.5</v>
      </c>
      <c r="AB6039" s="17">
        <v>15</v>
      </c>
      <c r="AJ6039" s="19">
        <v>0</v>
      </c>
      <c r="AK6039" s="23">
        <v>15</v>
      </c>
      <c r="AM6039" s="19">
        <v>0</v>
      </c>
      <c r="AN6039" s="19">
        <v>2444500</v>
      </c>
      <c r="AP6039" s="14">
        <v>2444500</v>
      </c>
    </row>
    <row r="6040" spans="1:45" ht="42" x14ac:dyDescent="0.2">
      <c r="Q6040" s="19">
        <v>0</v>
      </c>
      <c r="R6040" s="14" t="e">
        <v>#N/A</v>
      </c>
      <c r="S6040" s="19" t="e">
        <v>#N/A</v>
      </c>
      <c r="T6040" s="17">
        <v>2</v>
      </c>
      <c r="V6040" s="17" t="s">
        <v>183</v>
      </c>
      <c r="W6040" s="4">
        <v>36</v>
      </c>
      <c r="Y6040" s="4">
        <v>36</v>
      </c>
      <c r="AB6040" s="17">
        <v>25</v>
      </c>
      <c r="AJ6040" s="19">
        <v>0</v>
      </c>
      <c r="AK6040" s="23">
        <v>25</v>
      </c>
      <c r="AM6040" s="19">
        <v>0</v>
      </c>
      <c r="AN6040" s="19" t="e">
        <v>#N/A</v>
      </c>
      <c r="AP6040" s="14" t="e">
        <v>#N/A</v>
      </c>
    </row>
    <row r="6041" spans="1:45" ht="42" x14ac:dyDescent="0.2">
      <c r="Q6041" s="19">
        <v>0</v>
      </c>
      <c r="R6041" s="14" t="e">
        <v>#N/A</v>
      </c>
      <c r="S6041" s="19" t="e">
        <v>#N/A</v>
      </c>
      <c r="T6041" s="17">
        <v>3</v>
      </c>
      <c r="V6041" s="17" t="s">
        <v>183</v>
      </c>
      <c r="W6041" s="4">
        <v>139</v>
      </c>
      <c r="Y6041" s="4">
        <v>139</v>
      </c>
      <c r="AB6041" s="17">
        <v>19</v>
      </c>
      <c r="AJ6041" s="19">
        <v>0</v>
      </c>
      <c r="AK6041" s="23">
        <v>19</v>
      </c>
      <c r="AM6041" s="19">
        <v>0</v>
      </c>
      <c r="AN6041" s="19" t="e">
        <v>#N/A</v>
      </c>
      <c r="AP6041" s="14" t="e">
        <v>#N/A</v>
      </c>
    </row>
    <row r="6042" spans="1:45" x14ac:dyDescent="0.2">
      <c r="A6042" s="2">
        <v>4983</v>
      </c>
      <c r="B6042" s="13">
        <v>8</v>
      </c>
      <c r="C6042" s="17" t="s">
        <v>65</v>
      </c>
      <c r="D6042" s="17">
        <v>3156</v>
      </c>
      <c r="E6042" s="17">
        <v>72</v>
      </c>
      <c r="G6042" s="13">
        <v>4</v>
      </c>
      <c r="H6042" s="17">
        <v>0</v>
      </c>
      <c r="I6042" s="17">
        <v>1</v>
      </c>
      <c r="J6042" s="17">
        <v>28</v>
      </c>
      <c r="K6042" s="10">
        <v>128</v>
      </c>
      <c r="Q6042" s="19">
        <v>128</v>
      </c>
      <c r="R6042" s="14">
        <v>2000</v>
      </c>
      <c r="S6042" s="19">
        <v>256000</v>
      </c>
      <c r="AE6042" s="17" t="s">
        <v>95</v>
      </c>
      <c r="AJ6042" s="19">
        <v>0</v>
      </c>
      <c r="AK6042" s="23">
        <v>0</v>
      </c>
      <c r="AM6042" s="19">
        <v>0</v>
      </c>
      <c r="AN6042" s="19">
        <v>256000</v>
      </c>
      <c r="AP6042" s="14">
        <v>256000</v>
      </c>
      <c r="AQ6042" s="12">
        <v>3.0000000000000001E-3</v>
      </c>
    </row>
    <row r="6043" spans="1:45" ht="63" x14ac:dyDescent="0.2">
      <c r="B6043" s="13">
        <v>1</v>
      </c>
      <c r="C6043" s="17" t="s">
        <v>65</v>
      </c>
      <c r="D6043" s="17">
        <v>3547</v>
      </c>
      <c r="E6043" s="17">
        <v>156</v>
      </c>
      <c r="H6043" s="17">
        <v>0</v>
      </c>
      <c r="I6043" s="17">
        <v>3</v>
      </c>
      <c r="J6043" s="17">
        <v>25</v>
      </c>
      <c r="K6043" s="10">
        <v>325</v>
      </c>
      <c r="P6043" s="17">
        <v>1</v>
      </c>
      <c r="Q6043" s="19">
        <v>325</v>
      </c>
      <c r="R6043" s="14" t="e">
        <v>#N/A</v>
      </c>
      <c r="S6043" s="19" t="e">
        <v>#N/A</v>
      </c>
      <c r="U6043" s="17" t="s">
        <v>57</v>
      </c>
      <c r="V6043" s="17" t="s">
        <v>56</v>
      </c>
      <c r="W6043" s="4" t="s">
        <v>253</v>
      </c>
      <c r="Y6043" s="4" t="s">
        <v>253</v>
      </c>
      <c r="AB6043" s="17" t="s">
        <v>534</v>
      </c>
      <c r="AJ6043" s="19">
        <v>0</v>
      </c>
      <c r="AK6043" s="23" t="s">
        <v>534</v>
      </c>
      <c r="AM6043" s="19">
        <v>0</v>
      </c>
      <c r="AN6043" s="19" t="e">
        <v>#N/A</v>
      </c>
      <c r="AP6043" s="14" t="e">
        <v>#N/A</v>
      </c>
      <c r="AQ6043" s="12">
        <v>1E-4</v>
      </c>
    </row>
    <row r="6044" spans="1:45" x14ac:dyDescent="0.2">
      <c r="A6044" s="2">
        <v>4984</v>
      </c>
      <c r="B6044" s="13">
        <v>1</v>
      </c>
      <c r="C6044" s="17" t="s">
        <v>52</v>
      </c>
      <c r="D6044" s="17">
        <v>29717</v>
      </c>
      <c r="E6044" s="17">
        <v>186</v>
      </c>
      <c r="F6044" s="17">
        <v>5517</v>
      </c>
      <c r="G6044" s="13">
        <v>2</v>
      </c>
      <c r="H6044" s="17">
        <v>0</v>
      </c>
      <c r="I6044" s="17">
        <v>0</v>
      </c>
      <c r="J6044" s="17">
        <v>25</v>
      </c>
      <c r="N6044" s="18">
        <v>25</v>
      </c>
      <c r="P6044" s="17">
        <v>4</v>
      </c>
      <c r="Q6044" s="19">
        <v>25</v>
      </c>
      <c r="R6044" s="14">
        <v>160</v>
      </c>
      <c r="S6044" s="19">
        <v>4000</v>
      </c>
      <c r="AJ6044" s="19">
        <v>0</v>
      </c>
      <c r="AK6044" s="23">
        <v>0</v>
      </c>
      <c r="AM6044" s="19">
        <v>0</v>
      </c>
      <c r="AN6044" s="19">
        <v>4000</v>
      </c>
      <c r="AP6044" s="14">
        <v>4000</v>
      </c>
      <c r="AQ6044" s="12">
        <v>3.0000000000000001E-3</v>
      </c>
      <c r="AS6044" s="26">
        <v>62</v>
      </c>
    </row>
    <row r="6045" spans="1:45" x14ac:dyDescent="0.2">
      <c r="A6045" s="2">
        <f>+A6044+1</f>
        <v>4985</v>
      </c>
      <c r="B6045" s="13">
        <v>2</v>
      </c>
      <c r="C6045" s="17" t="s">
        <v>52</v>
      </c>
      <c r="D6045" s="17">
        <v>29718</v>
      </c>
      <c r="E6045" s="17">
        <v>187</v>
      </c>
      <c r="F6045" s="17">
        <v>5518</v>
      </c>
      <c r="G6045" s="13">
        <v>2</v>
      </c>
      <c r="H6045" s="17">
        <v>0</v>
      </c>
      <c r="I6045" s="17">
        <v>0</v>
      </c>
      <c r="J6045" s="17">
        <v>25</v>
      </c>
      <c r="N6045" s="18">
        <v>25</v>
      </c>
      <c r="P6045" s="17">
        <v>4</v>
      </c>
      <c r="Q6045" s="19">
        <v>25</v>
      </c>
      <c r="R6045" s="14">
        <v>160</v>
      </c>
      <c r="S6045" s="19">
        <v>4000</v>
      </c>
      <c r="AJ6045" s="19">
        <v>0</v>
      </c>
      <c r="AK6045" s="23">
        <v>0</v>
      </c>
      <c r="AM6045" s="19">
        <v>0</v>
      </c>
      <c r="AN6045" s="19">
        <v>4000</v>
      </c>
      <c r="AP6045" s="14">
        <v>4000</v>
      </c>
      <c r="AQ6045" s="12">
        <v>3.0000000000000001E-3</v>
      </c>
    </row>
    <row r="6046" spans="1:45" x14ac:dyDescent="0.2">
      <c r="A6046" s="122">
        <f t="shared" ref="A6046:A6049" si="637">+A6045+1</f>
        <v>4986</v>
      </c>
      <c r="B6046" s="13">
        <v>3</v>
      </c>
      <c r="C6046" s="17" t="s">
        <v>52</v>
      </c>
      <c r="D6046" s="17">
        <v>29720</v>
      </c>
      <c r="E6046" s="17">
        <v>189</v>
      </c>
      <c r="F6046" s="17">
        <v>5520</v>
      </c>
      <c r="G6046" s="13">
        <v>2</v>
      </c>
      <c r="H6046" s="17">
        <v>0</v>
      </c>
      <c r="I6046" s="17">
        <v>0</v>
      </c>
      <c r="J6046" s="17">
        <v>25</v>
      </c>
      <c r="N6046" s="18">
        <v>25</v>
      </c>
      <c r="P6046" s="17">
        <v>4</v>
      </c>
      <c r="Q6046" s="19">
        <v>25</v>
      </c>
      <c r="R6046" s="14">
        <v>160</v>
      </c>
      <c r="S6046" s="19">
        <v>4000</v>
      </c>
      <c r="AJ6046" s="19">
        <v>0</v>
      </c>
      <c r="AK6046" s="23">
        <v>0</v>
      </c>
      <c r="AM6046" s="19">
        <v>0</v>
      </c>
      <c r="AN6046" s="19">
        <v>4000</v>
      </c>
      <c r="AP6046" s="14">
        <v>4000</v>
      </c>
      <c r="AQ6046" s="12">
        <v>3.0000000000000001E-3</v>
      </c>
    </row>
    <row r="6047" spans="1:45" x14ac:dyDescent="0.2">
      <c r="A6047" s="122">
        <f t="shared" si="637"/>
        <v>4987</v>
      </c>
      <c r="B6047" s="13">
        <v>4</v>
      </c>
      <c r="C6047" s="17" t="s">
        <v>52</v>
      </c>
      <c r="D6047" s="17">
        <v>29899</v>
      </c>
      <c r="E6047" s="17">
        <v>191</v>
      </c>
      <c r="F6047" s="17">
        <v>5739</v>
      </c>
      <c r="G6047" s="13">
        <v>2</v>
      </c>
      <c r="H6047" s="17">
        <v>0</v>
      </c>
      <c r="I6047" s="17">
        <v>0</v>
      </c>
      <c r="J6047" s="17">
        <v>25</v>
      </c>
      <c r="N6047" s="18">
        <v>25</v>
      </c>
      <c r="P6047" s="17">
        <v>4</v>
      </c>
      <c r="Q6047" s="19">
        <v>25</v>
      </c>
      <c r="R6047" s="14">
        <v>160</v>
      </c>
      <c r="S6047" s="19">
        <v>4000</v>
      </c>
      <c r="AJ6047" s="19">
        <v>0</v>
      </c>
      <c r="AK6047" s="23">
        <v>0</v>
      </c>
      <c r="AM6047" s="19">
        <v>0</v>
      </c>
      <c r="AN6047" s="19">
        <v>4000</v>
      </c>
      <c r="AP6047" s="14">
        <v>4000</v>
      </c>
      <c r="AQ6047" s="12">
        <v>3.0000000000000001E-3</v>
      </c>
    </row>
    <row r="6048" spans="1:45" x14ac:dyDescent="0.2">
      <c r="A6048" s="122">
        <f t="shared" si="637"/>
        <v>4988</v>
      </c>
      <c r="B6048" s="13">
        <v>5</v>
      </c>
      <c r="C6048" s="17" t="s">
        <v>52</v>
      </c>
      <c r="D6048" s="17">
        <v>32139</v>
      </c>
      <c r="E6048" s="17">
        <v>8</v>
      </c>
      <c r="F6048" s="17">
        <v>5281</v>
      </c>
      <c r="G6048" s="13">
        <v>7</v>
      </c>
      <c r="H6048" s="17">
        <v>0</v>
      </c>
      <c r="I6048" s="17">
        <v>1</v>
      </c>
      <c r="J6048" s="17">
        <v>62</v>
      </c>
      <c r="N6048" s="18">
        <v>162</v>
      </c>
      <c r="P6048" s="17">
        <v>4</v>
      </c>
      <c r="Q6048" s="19">
        <v>162</v>
      </c>
      <c r="R6048" s="14">
        <v>4500</v>
      </c>
      <c r="S6048" s="19">
        <v>729000</v>
      </c>
      <c r="AJ6048" s="19">
        <v>0</v>
      </c>
      <c r="AK6048" s="23">
        <v>0</v>
      </c>
      <c r="AM6048" s="19">
        <v>0</v>
      </c>
      <c r="AN6048" s="19">
        <v>729000</v>
      </c>
      <c r="AP6048" s="14">
        <v>729000</v>
      </c>
      <c r="AQ6048" s="12">
        <v>3.0000000000000001E-3</v>
      </c>
    </row>
    <row r="6049" spans="1:44" s="26" customFormat="1" x14ac:dyDescent="0.2">
      <c r="A6049" s="122">
        <f t="shared" si="637"/>
        <v>4989</v>
      </c>
      <c r="B6049" s="13">
        <v>6</v>
      </c>
      <c r="C6049" s="17" t="s">
        <v>65</v>
      </c>
      <c r="D6049" s="17">
        <v>1675</v>
      </c>
      <c r="E6049" s="17">
        <v>17</v>
      </c>
      <c r="F6049" s="17"/>
      <c r="G6049" s="13"/>
      <c r="H6049" s="17">
        <v>2</v>
      </c>
      <c r="I6049" s="17">
        <v>3</v>
      </c>
      <c r="J6049" s="17">
        <v>96</v>
      </c>
      <c r="K6049" s="10">
        <v>1196</v>
      </c>
      <c r="L6049" s="17"/>
      <c r="M6049" s="15"/>
      <c r="N6049" s="18"/>
      <c r="O6049" s="14"/>
      <c r="P6049" s="17">
        <v>5</v>
      </c>
      <c r="Q6049" s="19">
        <v>1196</v>
      </c>
      <c r="R6049" s="14">
        <v>500</v>
      </c>
      <c r="S6049" s="19">
        <v>598000</v>
      </c>
      <c r="T6049" s="17"/>
      <c r="U6049" s="17"/>
      <c r="V6049" s="17"/>
      <c r="W6049" s="4"/>
      <c r="X6049" s="17"/>
      <c r="Y6049" s="4"/>
      <c r="Z6049" s="17"/>
      <c r="AA6049" s="17"/>
      <c r="AB6049" s="17"/>
      <c r="AC6049" s="14"/>
      <c r="AD6049" s="14"/>
      <c r="AE6049" s="17"/>
      <c r="AF6049" s="14"/>
      <c r="AG6049" s="54"/>
      <c r="AH6049" s="11"/>
      <c r="AI6049" s="14"/>
      <c r="AJ6049" s="19">
        <v>0</v>
      </c>
      <c r="AK6049" s="23">
        <v>0</v>
      </c>
      <c r="AL6049" s="11"/>
      <c r="AM6049" s="19">
        <v>0</v>
      </c>
      <c r="AN6049" s="19">
        <v>598000</v>
      </c>
      <c r="AO6049" s="14"/>
      <c r="AP6049" s="14">
        <v>598000</v>
      </c>
      <c r="AQ6049" s="12"/>
      <c r="AR6049" s="19"/>
    </row>
    <row r="6050" spans="1:44" s="26" customFormat="1" x14ac:dyDescent="0.2">
      <c r="A6050" s="2"/>
      <c r="B6050" s="13"/>
      <c r="C6050" s="17"/>
      <c r="D6050" s="17"/>
      <c r="E6050" s="17"/>
      <c r="F6050" s="17"/>
      <c r="G6050" s="13"/>
      <c r="H6050" s="17"/>
      <c r="I6050" s="17"/>
      <c r="J6050" s="17"/>
      <c r="K6050" s="10"/>
      <c r="L6050" s="17"/>
      <c r="M6050" s="15"/>
      <c r="N6050" s="18"/>
      <c r="O6050" s="14"/>
      <c r="P6050" s="17"/>
      <c r="Q6050" s="19">
        <v>1176</v>
      </c>
      <c r="R6050" s="14">
        <v>500</v>
      </c>
      <c r="S6050" s="19">
        <v>588000</v>
      </c>
      <c r="T6050" s="17"/>
      <c r="U6050" s="17"/>
      <c r="V6050" s="17"/>
      <c r="W6050" s="4"/>
      <c r="X6050" s="17"/>
      <c r="Y6050" s="4"/>
      <c r="Z6050" s="17"/>
      <c r="AA6050" s="17"/>
      <c r="AB6050" s="17"/>
      <c r="AC6050" s="14"/>
      <c r="AD6050" s="14"/>
      <c r="AE6050" s="17"/>
      <c r="AF6050" s="14"/>
      <c r="AG6050" s="54"/>
      <c r="AH6050" s="11"/>
      <c r="AI6050" s="14"/>
      <c r="AJ6050" s="19">
        <v>0</v>
      </c>
      <c r="AK6050" s="23">
        <v>0</v>
      </c>
      <c r="AL6050" s="11"/>
      <c r="AM6050" s="19">
        <v>0</v>
      </c>
      <c r="AN6050" s="19">
        <v>588000</v>
      </c>
      <c r="AO6050" s="14"/>
      <c r="AP6050" s="14">
        <v>588000</v>
      </c>
      <c r="AQ6050" s="12">
        <v>1E-4</v>
      </c>
      <c r="AR6050" s="19"/>
    </row>
    <row r="6051" spans="1:44" s="26" customFormat="1" ht="63" x14ac:dyDescent="0.2">
      <c r="A6051" s="2"/>
      <c r="B6051" s="13"/>
      <c r="C6051" s="17"/>
      <c r="D6051" s="17"/>
      <c r="E6051" s="17"/>
      <c r="F6051" s="17"/>
      <c r="G6051" s="13"/>
      <c r="H6051" s="17"/>
      <c r="I6051" s="17"/>
      <c r="J6051" s="17"/>
      <c r="K6051" s="10"/>
      <c r="L6051" s="17"/>
      <c r="M6051" s="15"/>
      <c r="N6051" s="18"/>
      <c r="O6051" s="14"/>
      <c r="P6051" s="17"/>
      <c r="Q6051" s="19">
        <v>20</v>
      </c>
      <c r="R6051" s="14">
        <v>500</v>
      </c>
      <c r="S6051" s="19">
        <v>10000</v>
      </c>
      <c r="T6051" s="17"/>
      <c r="U6051" s="17" t="s">
        <v>57</v>
      </c>
      <c r="V6051" s="17" t="s">
        <v>56</v>
      </c>
      <c r="W6051" s="4" t="s">
        <v>354</v>
      </c>
      <c r="X6051" s="17"/>
      <c r="Y6051" s="4"/>
      <c r="Z6051" s="17" t="s">
        <v>354</v>
      </c>
      <c r="AA6051" s="17"/>
      <c r="AB6051" s="17" t="s">
        <v>288</v>
      </c>
      <c r="AC6051" s="14"/>
      <c r="AD6051" s="14"/>
      <c r="AE6051" s="17" t="s">
        <v>125</v>
      </c>
      <c r="AF6051" s="14">
        <v>3</v>
      </c>
      <c r="AG6051" s="54">
        <v>240</v>
      </c>
      <c r="AH6051" s="11">
        <v>1</v>
      </c>
      <c r="AI6051" s="14">
        <v>7250</v>
      </c>
      <c r="AJ6051" s="19">
        <v>1740000</v>
      </c>
      <c r="AK6051" s="23" t="s">
        <v>288</v>
      </c>
      <c r="AL6051" s="11">
        <v>0.02</v>
      </c>
      <c r="AM6051" s="19">
        <v>1705200</v>
      </c>
      <c r="AN6051" s="19">
        <v>1715200</v>
      </c>
      <c r="AO6051" s="14"/>
      <c r="AP6051" s="14">
        <v>1715200</v>
      </c>
      <c r="AQ6051" s="12">
        <v>3.0000000000000001E-3</v>
      </c>
      <c r="AR6051" s="19"/>
    </row>
    <row r="6052" spans="1:44" s="26" customFormat="1" x14ac:dyDescent="0.2">
      <c r="A6052" s="2">
        <v>4990</v>
      </c>
      <c r="B6052" s="13">
        <v>7</v>
      </c>
      <c r="C6052" s="17" t="s">
        <v>65</v>
      </c>
      <c r="D6052" s="17">
        <v>1676</v>
      </c>
      <c r="E6052" s="17">
        <v>18</v>
      </c>
      <c r="F6052" s="17"/>
      <c r="G6052" s="13"/>
      <c r="H6052" s="17">
        <v>2</v>
      </c>
      <c r="I6052" s="17">
        <v>3</v>
      </c>
      <c r="J6052" s="17">
        <v>30</v>
      </c>
      <c r="K6052" s="10">
        <v>1130</v>
      </c>
      <c r="L6052" s="17"/>
      <c r="M6052" s="15"/>
      <c r="N6052" s="18"/>
      <c r="O6052" s="14"/>
      <c r="P6052" s="17">
        <v>1</v>
      </c>
      <c r="Q6052" s="19">
        <v>1130</v>
      </c>
      <c r="R6052" s="14">
        <v>500</v>
      </c>
      <c r="S6052" s="19">
        <v>565000</v>
      </c>
      <c r="T6052" s="17"/>
      <c r="U6052" s="17"/>
      <c r="V6052" s="17"/>
      <c r="W6052" s="4"/>
      <c r="X6052" s="17"/>
      <c r="Y6052" s="4"/>
      <c r="Z6052" s="17"/>
      <c r="AA6052" s="17"/>
      <c r="AB6052" s="17"/>
      <c r="AC6052" s="14"/>
      <c r="AD6052" s="14"/>
      <c r="AE6052" s="17"/>
      <c r="AF6052" s="14"/>
      <c r="AG6052" s="54"/>
      <c r="AH6052" s="11"/>
      <c r="AI6052" s="14"/>
      <c r="AJ6052" s="19">
        <v>0</v>
      </c>
      <c r="AK6052" s="23">
        <v>0</v>
      </c>
      <c r="AL6052" s="11"/>
      <c r="AM6052" s="19">
        <v>0</v>
      </c>
      <c r="AN6052" s="19">
        <v>565000</v>
      </c>
      <c r="AO6052" s="14"/>
      <c r="AP6052" s="14">
        <v>565000</v>
      </c>
      <c r="AQ6052" s="12">
        <v>1E-4</v>
      </c>
      <c r="AR6052" s="19"/>
    </row>
    <row r="6053" spans="1:44" s="26" customFormat="1" x14ac:dyDescent="0.2">
      <c r="A6053" s="2">
        <f>+A6052+1</f>
        <v>4991</v>
      </c>
      <c r="B6053" s="13">
        <v>8</v>
      </c>
      <c r="C6053" s="17" t="s">
        <v>65</v>
      </c>
      <c r="D6053" s="17">
        <v>1677</v>
      </c>
      <c r="E6053" s="17">
        <v>19</v>
      </c>
      <c r="F6053" s="17"/>
      <c r="G6053" s="13"/>
      <c r="H6053" s="17">
        <v>3</v>
      </c>
      <c r="I6053" s="17">
        <v>3</v>
      </c>
      <c r="J6053" s="17">
        <v>50</v>
      </c>
      <c r="K6053" s="10">
        <v>1550</v>
      </c>
      <c r="L6053" s="17"/>
      <c r="M6053" s="15"/>
      <c r="N6053" s="18"/>
      <c r="O6053" s="14"/>
      <c r="P6053" s="17">
        <v>1</v>
      </c>
      <c r="Q6053" s="19">
        <v>1550</v>
      </c>
      <c r="R6053" s="14">
        <v>500</v>
      </c>
      <c r="S6053" s="19">
        <v>775000</v>
      </c>
      <c r="T6053" s="17"/>
      <c r="U6053" s="17"/>
      <c r="V6053" s="17"/>
      <c r="W6053" s="4"/>
      <c r="X6053" s="17"/>
      <c r="Y6053" s="4"/>
      <c r="Z6053" s="17"/>
      <c r="AA6053" s="17"/>
      <c r="AB6053" s="17"/>
      <c r="AC6053" s="14"/>
      <c r="AD6053" s="14"/>
      <c r="AE6053" s="17"/>
      <c r="AF6053" s="14"/>
      <c r="AG6053" s="54"/>
      <c r="AH6053" s="11"/>
      <c r="AI6053" s="14"/>
      <c r="AJ6053" s="19">
        <v>0</v>
      </c>
      <c r="AK6053" s="23">
        <v>0</v>
      </c>
      <c r="AL6053" s="11"/>
      <c r="AM6053" s="19">
        <v>0</v>
      </c>
      <c r="AN6053" s="19">
        <v>775000</v>
      </c>
      <c r="AO6053" s="14"/>
      <c r="AP6053" s="14">
        <v>775000</v>
      </c>
      <c r="AQ6053" s="12">
        <v>1E-4</v>
      </c>
      <c r="AR6053" s="19"/>
    </row>
    <row r="6054" spans="1:44" s="26" customFormat="1" ht="63" x14ac:dyDescent="0.2">
      <c r="A6054" s="122">
        <f t="shared" ref="A6054:A6062" si="638">+A6053+1</f>
        <v>4992</v>
      </c>
      <c r="B6054" s="13">
        <v>9</v>
      </c>
      <c r="C6054" s="17" t="s">
        <v>65</v>
      </c>
      <c r="D6054" s="17">
        <v>1939</v>
      </c>
      <c r="E6054" s="17">
        <v>120</v>
      </c>
      <c r="F6054" s="17"/>
      <c r="G6054" s="13"/>
      <c r="H6054" s="17">
        <v>2</v>
      </c>
      <c r="I6054" s="17">
        <v>2</v>
      </c>
      <c r="J6054" s="17">
        <v>16</v>
      </c>
      <c r="K6054" s="10">
        <v>1016</v>
      </c>
      <c r="L6054" s="17"/>
      <c r="M6054" s="15"/>
      <c r="N6054" s="18"/>
      <c r="O6054" s="14"/>
      <c r="P6054" s="17">
        <v>1</v>
      </c>
      <c r="Q6054" s="19">
        <v>1016</v>
      </c>
      <c r="R6054" s="14">
        <v>1000</v>
      </c>
      <c r="S6054" s="19">
        <v>1016000</v>
      </c>
      <c r="T6054" s="17"/>
      <c r="U6054" s="17"/>
      <c r="V6054" s="17"/>
      <c r="W6054" s="4"/>
      <c r="X6054" s="17"/>
      <c r="Y6054" s="4"/>
      <c r="Z6054" s="17"/>
      <c r="AA6054" s="17"/>
      <c r="AB6054" s="17"/>
      <c r="AC6054" s="14"/>
      <c r="AD6054" s="14"/>
      <c r="AE6054" s="17"/>
      <c r="AF6054" s="14"/>
      <c r="AG6054" s="54"/>
      <c r="AH6054" s="11"/>
      <c r="AI6054" s="14"/>
      <c r="AJ6054" s="19">
        <v>0</v>
      </c>
      <c r="AK6054" s="23">
        <v>0</v>
      </c>
      <c r="AL6054" s="11"/>
      <c r="AM6054" s="19">
        <v>0</v>
      </c>
      <c r="AN6054" s="19">
        <v>1016000</v>
      </c>
      <c r="AO6054" s="14"/>
      <c r="AP6054" s="14">
        <v>1016000</v>
      </c>
      <c r="AQ6054" s="12">
        <v>1E-4</v>
      </c>
      <c r="AR6054" s="19">
        <v>5488.0000000000009</v>
      </c>
    </row>
    <row r="6055" spans="1:44" s="26" customFormat="1" x14ac:dyDescent="0.2">
      <c r="A6055" s="122">
        <f t="shared" si="638"/>
        <v>4993</v>
      </c>
      <c r="B6055" s="13">
        <v>1</v>
      </c>
      <c r="C6055" s="17" t="s">
        <v>65</v>
      </c>
      <c r="D6055" s="17">
        <v>3413</v>
      </c>
      <c r="E6055" s="17">
        <v>147</v>
      </c>
      <c r="F6055" s="17"/>
      <c r="G6055" s="13"/>
      <c r="H6055" s="17">
        <v>0</v>
      </c>
      <c r="I6055" s="17">
        <v>0</v>
      </c>
      <c r="J6055" s="17">
        <v>91</v>
      </c>
      <c r="K6055" s="10"/>
      <c r="L6055" s="17"/>
      <c r="M6055" s="15"/>
      <c r="N6055" s="18">
        <v>91</v>
      </c>
      <c r="O6055" s="14"/>
      <c r="P6055" s="17">
        <v>4</v>
      </c>
      <c r="Q6055" s="19">
        <v>91</v>
      </c>
      <c r="R6055" s="14">
        <v>250</v>
      </c>
      <c r="S6055" s="19">
        <v>22750</v>
      </c>
      <c r="T6055" s="17"/>
      <c r="U6055" s="17"/>
      <c r="V6055" s="17"/>
      <c r="W6055" s="4"/>
      <c r="X6055" s="17"/>
      <c r="Y6055" s="4"/>
      <c r="Z6055" s="17"/>
      <c r="AA6055" s="17"/>
      <c r="AB6055" s="17"/>
      <c r="AC6055" s="14"/>
      <c r="AD6055" s="14"/>
      <c r="AE6055" s="17"/>
      <c r="AF6055" s="14"/>
      <c r="AG6055" s="54"/>
      <c r="AH6055" s="11"/>
      <c r="AI6055" s="14"/>
      <c r="AJ6055" s="19">
        <v>0</v>
      </c>
      <c r="AK6055" s="23">
        <v>0</v>
      </c>
      <c r="AL6055" s="11"/>
      <c r="AM6055" s="19">
        <v>0</v>
      </c>
      <c r="AN6055" s="19">
        <v>22750</v>
      </c>
      <c r="AO6055" s="14"/>
      <c r="AP6055" s="14">
        <v>22750</v>
      </c>
      <c r="AQ6055" s="12">
        <v>3.0000000000000001E-3</v>
      </c>
      <c r="AR6055" s="19"/>
    </row>
    <row r="6056" spans="1:44" s="26" customFormat="1" x14ac:dyDescent="0.2">
      <c r="A6056" s="122">
        <f t="shared" si="638"/>
        <v>4994</v>
      </c>
      <c r="B6056" s="13">
        <v>1</v>
      </c>
      <c r="C6056" s="17" t="s">
        <v>52</v>
      </c>
      <c r="D6056" s="17">
        <v>1964</v>
      </c>
      <c r="E6056" s="17">
        <v>41</v>
      </c>
      <c r="F6056" s="17">
        <v>1321</v>
      </c>
      <c r="G6056" s="13">
        <v>2</v>
      </c>
      <c r="H6056" s="17">
        <v>5</v>
      </c>
      <c r="I6056" s="17">
        <v>2</v>
      </c>
      <c r="J6056" s="17">
        <v>36</v>
      </c>
      <c r="K6056" s="10">
        <v>2236</v>
      </c>
      <c r="L6056" s="17"/>
      <c r="M6056" s="15"/>
      <c r="N6056" s="18"/>
      <c r="O6056" s="14"/>
      <c r="P6056" s="17">
        <v>1</v>
      </c>
      <c r="Q6056" s="19">
        <v>2236</v>
      </c>
      <c r="R6056" s="14">
        <v>160</v>
      </c>
      <c r="S6056" s="19">
        <v>357760</v>
      </c>
      <c r="T6056" s="17"/>
      <c r="U6056" s="17"/>
      <c r="V6056" s="17"/>
      <c r="W6056" s="4"/>
      <c r="X6056" s="17"/>
      <c r="Y6056" s="4"/>
      <c r="Z6056" s="17"/>
      <c r="AA6056" s="17"/>
      <c r="AB6056" s="17"/>
      <c r="AC6056" s="14"/>
      <c r="AD6056" s="14"/>
      <c r="AE6056" s="17"/>
      <c r="AF6056" s="14"/>
      <c r="AG6056" s="54"/>
      <c r="AH6056" s="11"/>
      <c r="AI6056" s="14"/>
      <c r="AJ6056" s="19">
        <v>0</v>
      </c>
      <c r="AK6056" s="23">
        <v>0</v>
      </c>
      <c r="AL6056" s="11"/>
      <c r="AM6056" s="19">
        <v>0</v>
      </c>
      <c r="AN6056" s="19">
        <v>357760</v>
      </c>
      <c r="AO6056" s="14"/>
      <c r="AP6056" s="14">
        <v>357760</v>
      </c>
      <c r="AQ6056" s="12"/>
      <c r="AR6056" s="19"/>
    </row>
    <row r="6057" spans="1:44" s="26" customFormat="1" ht="105" x14ac:dyDescent="0.2">
      <c r="A6057" s="122">
        <f t="shared" si="638"/>
        <v>4995</v>
      </c>
      <c r="B6057" s="13">
        <v>1</v>
      </c>
      <c r="C6057" s="17" t="s">
        <v>52</v>
      </c>
      <c r="D6057" s="17">
        <v>2215</v>
      </c>
      <c r="E6057" s="17">
        <v>2</v>
      </c>
      <c r="F6057" s="17">
        <v>1708</v>
      </c>
      <c r="G6057" s="13">
        <v>4</v>
      </c>
      <c r="H6057" s="17">
        <v>0</v>
      </c>
      <c r="I6057" s="17">
        <v>0</v>
      </c>
      <c r="J6057" s="17">
        <v>28.01</v>
      </c>
      <c r="K6057" s="10"/>
      <c r="L6057" s="17">
        <v>24.38</v>
      </c>
      <c r="M6057" s="15"/>
      <c r="N6057" s="18"/>
      <c r="O6057" s="14"/>
      <c r="P6057" s="17">
        <v>2</v>
      </c>
      <c r="Q6057" s="19">
        <v>28.01</v>
      </c>
      <c r="R6057" s="14">
        <v>2000</v>
      </c>
      <c r="S6057" s="19">
        <v>56020</v>
      </c>
      <c r="T6057" s="17">
        <v>1</v>
      </c>
      <c r="U6057" s="17"/>
      <c r="V6057" s="17" t="s">
        <v>183</v>
      </c>
      <c r="W6057" s="4">
        <v>97.5</v>
      </c>
      <c r="X6057" s="17"/>
      <c r="Y6057" s="4">
        <v>97.5</v>
      </c>
      <c r="Z6057" s="17"/>
      <c r="AA6057" s="17"/>
      <c r="AB6057" s="17">
        <v>30</v>
      </c>
      <c r="AC6057" s="14" t="s">
        <v>346</v>
      </c>
      <c r="AD6057" s="14"/>
      <c r="AE6057" s="17"/>
      <c r="AF6057" s="14"/>
      <c r="AG6057" s="54"/>
      <c r="AH6057" s="11"/>
      <c r="AI6057" s="14"/>
      <c r="AJ6057" s="19">
        <v>0</v>
      </c>
      <c r="AK6057" s="23">
        <v>30</v>
      </c>
      <c r="AL6057" s="11"/>
      <c r="AM6057" s="19">
        <v>0</v>
      </c>
      <c r="AN6057" s="19">
        <v>56020</v>
      </c>
      <c r="AO6057" s="14"/>
      <c r="AP6057" s="14">
        <v>56020</v>
      </c>
      <c r="AQ6057" s="12"/>
      <c r="AR6057" s="19"/>
    </row>
    <row r="6058" spans="1:44" s="26" customFormat="1" ht="42" x14ac:dyDescent="0.2">
      <c r="A6058" s="122">
        <f t="shared" si="638"/>
        <v>4996</v>
      </c>
      <c r="B6058" s="13">
        <v>2</v>
      </c>
      <c r="C6058" s="17" t="s">
        <v>52</v>
      </c>
      <c r="D6058" s="17">
        <v>2343</v>
      </c>
      <c r="E6058" s="17">
        <v>26</v>
      </c>
      <c r="F6058" s="17">
        <v>1745</v>
      </c>
      <c r="G6058" s="13">
        <v>4</v>
      </c>
      <c r="H6058" s="17">
        <v>0</v>
      </c>
      <c r="I6058" s="17">
        <v>0</v>
      </c>
      <c r="J6058" s="17">
        <v>54</v>
      </c>
      <c r="K6058" s="10"/>
      <c r="L6058" s="17">
        <v>28</v>
      </c>
      <c r="M6058" s="15"/>
      <c r="N6058" s="18"/>
      <c r="O6058" s="14"/>
      <c r="P6058" s="17">
        <v>2</v>
      </c>
      <c r="Q6058" s="19">
        <v>54</v>
      </c>
      <c r="R6058" s="14">
        <v>250</v>
      </c>
      <c r="S6058" s="19">
        <v>13500</v>
      </c>
      <c r="T6058" s="17">
        <v>1</v>
      </c>
      <c r="U6058" s="17"/>
      <c r="V6058" s="17" t="s">
        <v>183</v>
      </c>
      <c r="W6058" s="4">
        <v>112</v>
      </c>
      <c r="X6058" s="17"/>
      <c r="Y6058" s="4">
        <v>112</v>
      </c>
      <c r="Z6058" s="17"/>
      <c r="AA6058" s="17"/>
      <c r="AB6058" s="17">
        <v>31</v>
      </c>
      <c r="AC6058" s="14"/>
      <c r="AD6058" s="14"/>
      <c r="AE6058" s="17"/>
      <c r="AF6058" s="14"/>
      <c r="AG6058" s="54"/>
      <c r="AH6058" s="11"/>
      <c r="AI6058" s="14"/>
      <c r="AJ6058" s="19">
        <v>0</v>
      </c>
      <c r="AK6058" s="23">
        <v>31</v>
      </c>
      <c r="AL6058" s="11"/>
      <c r="AM6058" s="19">
        <v>0</v>
      </c>
      <c r="AN6058" s="19">
        <v>13500</v>
      </c>
      <c r="AO6058" s="14"/>
      <c r="AP6058" s="14">
        <v>13500</v>
      </c>
      <c r="AQ6058" s="12"/>
      <c r="AR6058" s="19"/>
    </row>
    <row r="6059" spans="1:44" s="26" customFormat="1" x14ac:dyDescent="0.2">
      <c r="A6059" s="122">
        <f t="shared" si="638"/>
        <v>4997</v>
      </c>
      <c r="B6059" s="13">
        <v>3</v>
      </c>
      <c r="C6059" s="17" t="s">
        <v>52</v>
      </c>
      <c r="D6059" s="17">
        <v>20360</v>
      </c>
      <c r="E6059" s="17">
        <v>103</v>
      </c>
      <c r="F6059" s="17">
        <v>4575</v>
      </c>
      <c r="G6059" s="13">
        <v>4</v>
      </c>
      <c r="H6059" s="17">
        <v>0</v>
      </c>
      <c r="I6059" s="17">
        <v>0</v>
      </c>
      <c r="J6059" s="17">
        <v>98</v>
      </c>
      <c r="K6059" s="10" t="s">
        <v>333</v>
      </c>
      <c r="L6059" s="17"/>
      <c r="M6059" s="15"/>
      <c r="N6059" s="18"/>
      <c r="O6059" s="14"/>
      <c r="P6059" s="17">
        <v>1</v>
      </c>
      <c r="Q6059" s="19">
        <v>98</v>
      </c>
      <c r="R6059" s="14">
        <v>2000</v>
      </c>
      <c r="S6059" s="19">
        <v>196000</v>
      </c>
      <c r="T6059" s="17"/>
      <c r="U6059" s="17"/>
      <c r="V6059" s="17"/>
      <c r="W6059" s="4"/>
      <c r="X6059" s="17"/>
      <c r="Y6059" s="4"/>
      <c r="Z6059" s="17"/>
      <c r="AA6059" s="17"/>
      <c r="AB6059" s="17"/>
      <c r="AC6059" s="14"/>
      <c r="AD6059" s="14"/>
      <c r="AE6059" s="17"/>
      <c r="AF6059" s="14"/>
      <c r="AG6059" s="54"/>
      <c r="AH6059" s="11"/>
      <c r="AI6059" s="14"/>
      <c r="AJ6059" s="19">
        <v>0</v>
      </c>
      <c r="AK6059" s="23">
        <v>0</v>
      </c>
      <c r="AL6059" s="11"/>
      <c r="AM6059" s="19">
        <v>0</v>
      </c>
      <c r="AN6059" s="19">
        <v>196000</v>
      </c>
      <c r="AO6059" s="14"/>
      <c r="AP6059" s="14">
        <v>196000</v>
      </c>
      <c r="AQ6059" s="12"/>
      <c r="AR6059" s="19"/>
    </row>
    <row r="6060" spans="1:44" s="26" customFormat="1" x14ac:dyDescent="0.2">
      <c r="A6060" s="122">
        <f t="shared" si="638"/>
        <v>4998</v>
      </c>
      <c r="B6060" s="13">
        <v>4</v>
      </c>
      <c r="C6060" s="17" t="s">
        <v>52</v>
      </c>
      <c r="D6060" s="17">
        <v>33568</v>
      </c>
      <c r="E6060" s="17">
        <v>84</v>
      </c>
      <c r="F6060" s="17">
        <v>6696</v>
      </c>
      <c r="G6060" s="13">
        <v>4</v>
      </c>
      <c r="H6060" s="17">
        <v>0</v>
      </c>
      <c r="I6060" s="17">
        <v>0</v>
      </c>
      <c r="J6060" s="17">
        <v>62</v>
      </c>
      <c r="K6060" s="10"/>
      <c r="L6060" s="17" t="s">
        <v>612</v>
      </c>
      <c r="M6060" s="15"/>
      <c r="N6060" s="18"/>
      <c r="O6060" s="14"/>
      <c r="P6060" s="17">
        <v>2</v>
      </c>
      <c r="Q6060" s="19">
        <v>62</v>
      </c>
      <c r="R6060" s="14">
        <v>2000</v>
      </c>
      <c r="S6060" s="19">
        <v>124000</v>
      </c>
      <c r="T6060" s="17"/>
      <c r="U6060" s="17"/>
      <c r="V6060" s="17"/>
      <c r="W6060" s="4"/>
      <c r="X6060" s="17"/>
      <c r="Y6060" s="4"/>
      <c r="Z6060" s="17"/>
      <c r="AA6060" s="17"/>
      <c r="AB6060" s="17"/>
      <c r="AC6060" s="14"/>
      <c r="AD6060" s="14"/>
      <c r="AE6060" s="17"/>
      <c r="AF6060" s="14"/>
      <c r="AG6060" s="54"/>
      <c r="AH6060" s="11"/>
      <c r="AI6060" s="14"/>
      <c r="AJ6060" s="19">
        <v>0</v>
      </c>
      <c r="AK6060" s="23">
        <v>0</v>
      </c>
      <c r="AL6060" s="11"/>
      <c r="AM6060" s="19">
        <v>0</v>
      </c>
      <c r="AN6060" s="19">
        <v>124000</v>
      </c>
      <c r="AO6060" s="14"/>
      <c r="AP6060" s="14">
        <v>124000</v>
      </c>
      <c r="AQ6060" s="12"/>
      <c r="AR6060" s="19"/>
    </row>
    <row r="6061" spans="1:44" s="26" customFormat="1" x14ac:dyDescent="0.2">
      <c r="A6061" s="122">
        <f t="shared" si="638"/>
        <v>4999</v>
      </c>
      <c r="B6061" s="13">
        <v>5</v>
      </c>
      <c r="C6061" s="17" t="s">
        <v>52</v>
      </c>
      <c r="D6061" s="17">
        <v>33570</v>
      </c>
      <c r="E6061" s="17">
        <v>86</v>
      </c>
      <c r="F6061" s="17">
        <v>6698</v>
      </c>
      <c r="G6061" s="13">
        <v>4</v>
      </c>
      <c r="H6061" s="17">
        <v>0</v>
      </c>
      <c r="I6061" s="17">
        <v>0</v>
      </c>
      <c r="J6061" s="17">
        <v>62</v>
      </c>
      <c r="K6061" s="10"/>
      <c r="L6061" s="17" t="s">
        <v>612</v>
      </c>
      <c r="M6061" s="15"/>
      <c r="N6061" s="18"/>
      <c r="O6061" s="14"/>
      <c r="P6061" s="17">
        <v>2</v>
      </c>
      <c r="Q6061" s="19">
        <v>62</v>
      </c>
      <c r="R6061" s="14">
        <v>2000</v>
      </c>
      <c r="S6061" s="19">
        <v>124000</v>
      </c>
      <c r="T6061" s="17"/>
      <c r="U6061" s="17"/>
      <c r="V6061" s="17"/>
      <c r="W6061" s="4"/>
      <c r="X6061" s="17"/>
      <c r="Y6061" s="4"/>
      <c r="Z6061" s="17"/>
      <c r="AA6061" s="17"/>
      <c r="AB6061" s="17"/>
      <c r="AC6061" s="14"/>
      <c r="AD6061" s="14"/>
      <c r="AE6061" s="17"/>
      <c r="AF6061" s="14"/>
      <c r="AG6061" s="54"/>
      <c r="AH6061" s="11"/>
      <c r="AI6061" s="14"/>
      <c r="AJ6061" s="19">
        <v>0</v>
      </c>
      <c r="AK6061" s="23">
        <v>0</v>
      </c>
      <c r="AL6061" s="11"/>
      <c r="AM6061" s="19">
        <v>0</v>
      </c>
      <c r="AN6061" s="19">
        <v>124000</v>
      </c>
      <c r="AO6061" s="14"/>
      <c r="AP6061" s="14">
        <v>124000</v>
      </c>
      <c r="AQ6061" s="12"/>
      <c r="AR6061" s="19"/>
    </row>
    <row r="6062" spans="1:44" s="26" customFormat="1" x14ac:dyDescent="0.2">
      <c r="A6062" s="122">
        <f t="shared" si="638"/>
        <v>5000</v>
      </c>
      <c r="B6062" s="13">
        <v>6</v>
      </c>
      <c r="C6062" s="17" t="s">
        <v>115</v>
      </c>
      <c r="D6062" s="17"/>
      <c r="E6062" s="17"/>
      <c r="F6062" s="17"/>
      <c r="G6062" s="13"/>
      <c r="H6062" s="17"/>
      <c r="I6062" s="17"/>
      <c r="J6062" s="17">
        <v>43</v>
      </c>
      <c r="K6062" s="10"/>
      <c r="L6062" s="17"/>
      <c r="M6062" s="15"/>
      <c r="N6062" s="18"/>
      <c r="O6062" s="14"/>
      <c r="P6062" s="17"/>
      <c r="Q6062" s="19">
        <v>43</v>
      </c>
      <c r="R6062" s="14">
        <v>250</v>
      </c>
      <c r="S6062" s="19">
        <v>10750</v>
      </c>
      <c r="T6062" s="17"/>
      <c r="U6062" s="17"/>
      <c r="V6062" s="17"/>
      <c r="W6062" s="4"/>
      <c r="X6062" s="17"/>
      <c r="Y6062" s="4"/>
      <c r="Z6062" s="17"/>
      <c r="AA6062" s="17"/>
      <c r="AB6062" s="17"/>
      <c r="AC6062" s="14"/>
      <c r="AD6062" s="14"/>
      <c r="AE6062" s="17">
        <v>43</v>
      </c>
      <c r="AF6062" s="14"/>
      <c r="AG6062" s="54"/>
      <c r="AH6062" s="11"/>
      <c r="AI6062" s="14"/>
      <c r="AJ6062" s="19">
        <v>0</v>
      </c>
      <c r="AK6062" s="23">
        <v>0</v>
      </c>
      <c r="AL6062" s="11"/>
      <c r="AM6062" s="19">
        <v>0</v>
      </c>
      <c r="AN6062" s="19">
        <v>10750</v>
      </c>
      <c r="AO6062" s="14"/>
      <c r="AP6062" s="14">
        <v>10750</v>
      </c>
      <c r="AQ6062" s="12"/>
      <c r="AR6062" s="19"/>
    </row>
    <row r="6063" spans="1:44" s="26" customFormat="1" x14ac:dyDescent="0.2">
      <c r="A6063" s="2"/>
      <c r="B6063" s="13"/>
      <c r="C6063" s="17"/>
      <c r="D6063" s="17"/>
      <c r="E6063" s="17"/>
      <c r="F6063" s="17"/>
      <c r="G6063" s="13"/>
      <c r="H6063" s="17"/>
      <c r="I6063" s="17"/>
      <c r="J6063" s="17"/>
      <c r="K6063" s="10"/>
      <c r="L6063" s="17"/>
      <c r="M6063" s="15"/>
      <c r="N6063" s="18"/>
      <c r="O6063" s="14"/>
      <c r="P6063" s="17"/>
      <c r="Q6063" s="19"/>
      <c r="R6063" s="14"/>
      <c r="S6063" s="19"/>
      <c r="T6063" s="17"/>
      <c r="U6063" s="17"/>
      <c r="V6063" s="17"/>
      <c r="W6063" s="4" t="s">
        <v>620</v>
      </c>
      <c r="X6063" s="17"/>
      <c r="Y6063" s="4"/>
      <c r="Z6063" s="17"/>
      <c r="AA6063" s="17"/>
      <c r="AB6063" s="17" t="s">
        <v>595</v>
      </c>
      <c r="AC6063" s="14"/>
      <c r="AD6063" s="14"/>
      <c r="AE6063" s="17"/>
      <c r="AF6063" s="14">
        <v>2</v>
      </c>
      <c r="AG6063" s="54">
        <v>172</v>
      </c>
      <c r="AH6063" s="11">
        <v>0.81</v>
      </c>
      <c r="AI6063" s="14">
        <v>7250</v>
      </c>
      <c r="AJ6063" s="19">
        <v>1010070.0000000001</v>
      </c>
      <c r="AK6063" s="23">
        <v>40</v>
      </c>
      <c r="AL6063" s="11">
        <v>0.7</v>
      </c>
      <c r="AM6063" s="19">
        <v>303021.00000000012</v>
      </c>
      <c r="AN6063" s="19">
        <v>303021.00000000012</v>
      </c>
      <c r="AO6063" s="14"/>
      <c r="AP6063" s="14">
        <v>303021.00000000012</v>
      </c>
      <c r="AQ6063" s="12">
        <v>2.0000000000000001E-4</v>
      </c>
      <c r="AR6063" s="19"/>
    </row>
    <row r="6064" spans="1:44" s="26" customFormat="1" x14ac:dyDescent="0.2">
      <c r="A6064" s="2"/>
      <c r="B6064" s="13"/>
      <c r="C6064" s="17"/>
      <c r="D6064" s="17"/>
      <c r="E6064" s="17"/>
      <c r="F6064" s="17"/>
      <c r="G6064" s="13"/>
      <c r="H6064" s="17"/>
      <c r="I6064" s="17"/>
      <c r="J6064" s="17"/>
      <c r="K6064" s="10"/>
      <c r="L6064" s="17"/>
      <c r="M6064" s="15"/>
      <c r="N6064" s="18"/>
      <c r="O6064" s="14"/>
      <c r="P6064" s="17"/>
      <c r="Q6064" s="19"/>
      <c r="R6064" s="14"/>
      <c r="S6064" s="19"/>
      <c r="T6064" s="17"/>
      <c r="U6064" s="17"/>
      <c r="V6064" s="17"/>
      <c r="W6064" s="4"/>
      <c r="X6064" s="17"/>
      <c r="Y6064" s="4"/>
      <c r="Z6064" s="17"/>
      <c r="AA6064" s="17"/>
      <c r="AB6064" s="17"/>
      <c r="AC6064" s="14"/>
      <c r="AD6064" s="14"/>
      <c r="AE6064" s="17">
        <v>0.18604651162790697</v>
      </c>
      <c r="AF6064" s="14">
        <v>3</v>
      </c>
      <c r="AG6064" s="54">
        <v>172</v>
      </c>
      <c r="AH6064" s="11">
        <v>0.19</v>
      </c>
      <c r="AI6064" s="14">
        <v>7250</v>
      </c>
      <c r="AJ6064" s="19">
        <v>236930</v>
      </c>
      <c r="AK6064" s="23">
        <v>40</v>
      </c>
      <c r="AL6064" s="11">
        <v>0.7</v>
      </c>
      <c r="AM6064" s="19">
        <v>71079</v>
      </c>
      <c r="AN6064" s="19">
        <v>71079</v>
      </c>
      <c r="AO6064" s="14"/>
      <c r="AP6064" s="14">
        <v>71079</v>
      </c>
      <c r="AQ6064" s="12">
        <v>3.0000000000000001E-3</v>
      </c>
      <c r="AR6064" s="19"/>
    </row>
    <row r="6065" spans="1:45" s="19" customFormat="1" x14ac:dyDescent="0.2">
      <c r="A6065" s="2">
        <v>5001</v>
      </c>
      <c r="B6065" s="13">
        <v>1</v>
      </c>
      <c r="C6065" s="17" t="s">
        <v>52</v>
      </c>
      <c r="D6065" s="17">
        <v>2351</v>
      </c>
      <c r="E6065" s="17">
        <v>5</v>
      </c>
      <c r="F6065" s="17">
        <v>1148</v>
      </c>
      <c r="G6065" s="13">
        <v>4</v>
      </c>
      <c r="H6065" s="17">
        <v>7</v>
      </c>
      <c r="I6065" s="17">
        <v>0</v>
      </c>
      <c r="J6065" s="17">
        <v>59</v>
      </c>
      <c r="K6065" s="10">
        <v>2859</v>
      </c>
      <c r="L6065" s="17"/>
      <c r="M6065" s="15"/>
      <c r="N6065" s="18"/>
      <c r="O6065" s="14"/>
      <c r="P6065" s="17">
        <v>1</v>
      </c>
      <c r="Q6065" s="19">
        <v>2859</v>
      </c>
      <c r="R6065" s="14">
        <v>500</v>
      </c>
      <c r="S6065" s="19">
        <v>1429500</v>
      </c>
      <c r="T6065" s="17"/>
      <c r="U6065" s="17"/>
      <c r="V6065" s="17"/>
      <c r="W6065" s="4"/>
      <c r="X6065" s="17"/>
      <c r="Y6065" s="4"/>
      <c r="Z6065" s="17"/>
      <c r="AA6065" s="17"/>
      <c r="AB6065" s="17"/>
      <c r="AC6065" s="14"/>
      <c r="AD6065" s="14"/>
      <c r="AE6065" s="17"/>
      <c r="AF6065" s="14"/>
      <c r="AG6065" s="54"/>
      <c r="AH6065" s="11"/>
      <c r="AI6065" s="14"/>
      <c r="AJ6065" s="19">
        <v>0</v>
      </c>
      <c r="AK6065" s="23">
        <v>0</v>
      </c>
      <c r="AL6065" s="11"/>
      <c r="AM6065" s="19">
        <v>0</v>
      </c>
      <c r="AN6065" s="19">
        <v>1429500</v>
      </c>
      <c r="AO6065" s="14"/>
      <c r="AP6065" s="14">
        <v>1429500</v>
      </c>
      <c r="AQ6065" s="12"/>
      <c r="AS6065" s="26"/>
    </row>
    <row r="6066" spans="1:45" s="19" customFormat="1" x14ac:dyDescent="0.2">
      <c r="A6066" s="2">
        <f>+A6065+1</f>
        <v>5002</v>
      </c>
      <c r="B6066" s="13">
        <v>2</v>
      </c>
      <c r="C6066" s="17" t="s">
        <v>52</v>
      </c>
      <c r="D6066" s="17">
        <v>2407</v>
      </c>
      <c r="E6066" s="17">
        <v>34</v>
      </c>
      <c r="F6066" s="17">
        <v>1743</v>
      </c>
      <c r="G6066" s="13">
        <v>4</v>
      </c>
      <c r="H6066" s="17">
        <v>0</v>
      </c>
      <c r="I6066" s="17">
        <v>0</v>
      </c>
      <c r="J6066" s="17">
        <v>35</v>
      </c>
      <c r="K6066" s="10"/>
      <c r="L6066" s="17">
        <v>35</v>
      </c>
      <c r="M6066" s="15"/>
      <c r="N6066" s="18"/>
      <c r="O6066" s="14"/>
      <c r="P6066" s="17">
        <v>2</v>
      </c>
      <c r="Q6066" s="19">
        <v>35</v>
      </c>
      <c r="R6066" s="14">
        <v>250</v>
      </c>
      <c r="S6066" s="19">
        <v>8750</v>
      </c>
      <c r="T6066" s="17"/>
      <c r="U6066" s="17"/>
      <c r="V6066" s="17"/>
      <c r="W6066" s="4"/>
      <c r="X6066" s="17"/>
      <c r="Y6066" s="4"/>
      <c r="Z6066" s="17"/>
      <c r="AA6066" s="17"/>
      <c r="AB6066" s="17"/>
      <c r="AC6066" s="14"/>
      <c r="AD6066" s="14"/>
      <c r="AE6066" s="17"/>
      <c r="AF6066" s="14"/>
      <c r="AG6066" s="54"/>
      <c r="AH6066" s="11"/>
      <c r="AI6066" s="14"/>
      <c r="AJ6066" s="19">
        <v>0</v>
      </c>
      <c r="AK6066" s="23">
        <v>0</v>
      </c>
      <c r="AL6066" s="11"/>
      <c r="AM6066" s="19">
        <v>0</v>
      </c>
      <c r="AN6066" s="19">
        <v>8750</v>
      </c>
      <c r="AO6066" s="14"/>
      <c r="AP6066" s="14">
        <v>8750</v>
      </c>
      <c r="AQ6066" s="12"/>
      <c r="AS6066" s="26"/>
    </row>
    <row r="6067" spans="1:45" s="19" customFormat="1" x14ac:dyDescent="0.2">
      <c r="A6067" s="122">
        <f t="shared" ref="A6067:A6086" si="639">+A6066+1</f>
        <v>5003</v>
      </c>
      <c r="B6067" s="13">
        <v>3</v>
      </c>
      <c r="C6067" s="17" t="s">
        <v>52</v>
      </c>
      <c r="D6067" s="17">
        <v>2446</v>
      </c>
      <c r="E6067" s="17">
        <v>8</v>
      </c>
      <c r="F6067" s="17">
        <v>841</v>
      </c>
      <c r="G6067" s="13">
        <v>4</v>
      </c>
      <c r="H6067" s="17">
        <v>4</v>
      </c>
      <c r="I6067" s="17">
        <v>3</v>
      </c>
      <c r="J6067" s="17">
        <v>73</v>
      </c>
      <c r="K6067" s="10">
        <v>1573</v>
      </c>
      <c r="L6067" s="17"/>
      <c r="M6067" s="15"/>
      <c r="N6067" s="18"/>
      <c r="O6067" s="14"/>
      <c r="P6067" s="17">
        <v>1</v>
      </c>
      <c r="Q6067" s="19">
        <v>1973</v>
      </c>
      <c r="R6067" s="14">
        <v>200</v>
      </c>
      <c r="S6067" s="19">
        <v>394600</v>
      </c>
      <c r="T6067" s="17"/>
      <c r="U6067" s="17"/>
      <c r="V6067" s="17"/>
      <c r="W6067" s="4"/>
      <c r="X6067" s="17"/>
      <c r="Y6067" s="4"/>
      <c r="Z6067" s="17"/>
      <c r="AA6067" s="17"/>
      <c r="AB6067" s="17"/>
      <c r="AC6067" s="14"/>
      <c r="AD6067" s="14"/>
      <c r="AE6067" s="17"/>
      <c r="AF6067" s="14"/>
      <c r="AG6067" s="54"/>
      <c r="AH6067" s="11"/>
      <c r="AI6067" s="14"/>
      <c r="AJ6067" s="19">
        <v>0</v>
      </c>
      <c r="AK6067" s="23">
        <v>0</v>
      </c>
      <c r="AL6067" s="11"/>
      <c r="AM6067" s="19">
        <v>0</v>
      </c>
      <c r="AN6067" s="19">
        <v>394600</v>
      </c>
      <c r="AO6067" s="14"/>
      <c r="AP6067" s="14">
        <v>394600</v>
      </c>
      <c r="AQ6067" s="12"/>
      <c r="AS6067" s="26"/>
    </row>
    <row r="6068" spans="1:45" s="19" customFormat="1" x14ac:dyDescent="0.2">
      <c r="A6068" s="122">
        <f t="shared" si="639"/>
        <v>5004</v>
      </c>
      <c r="B6068" s="13">
        <v>4</v>
      </c>
      <c r="C6068" s="17" t="s">
        <v>65</v>
      </c>
      <c r="D6068" s="17">
        <v>1532</v>
      </c>
      <c r="E6068" s="17">
        <v>51</v>
      </c>
      <c r="F6068" s="17"/>
      <c r="G6068" s="13"/>
      <c r="H6068" s="17">
        <v>8</v>
      </c>
      <c r="I6068" s="17">
        <v>1</v>
      </c>
      <c r="J6068" s="17">
        <v>54</v>
      </c>
      <c r="K6068" s="10">
        <v>3354</v>
      </c>
      <c r="L6068" s="17"/>
      <c r="M6068" s="15"/>
      <c r="N6068" s="18"/>
      <c r="O6068" s="14"/>
      <c r="P6068" s="17">
        <v>1</v>
      </c>
      <c r="Q6068" s="19">
        <v>3354</v>
      </c>
      <c r="R6068" s="14">
        <v>160</v>
      </c>
      <c r="S6068" s="19">
        <v>536640</v>
      </c>
      <c r="T6068" s="17"/>
      <c r="U6068" s="17"/>
      <c r="V6068" s="17"/>
      <c r="W6068" s="4"/>
      <c r="X6068" s="17"/>
      <c r="Y6068" s="4"/>
      <c r="Z6068" s="17"/>
      <c r="AA6068" s="17"/>
      <c r="AB6068" s="17"/>
      <c r="AC6068" s="14"/>
      <c r="AD6068" s="14"/>
      <c r="AE6068" s="17"/>
      <c r="AF6068" s="14"/>
      <c r="AG6068" s="54"/>
      <c r="AH6068" s="11"/>
      <c r="AI6068" s="14"/>
      <c r="AJ6068" s="19">
        <v>0</v>
      </c>
      <c r="AK6068" s="23">
        <v>0</v>
      </c>
      <c r="AL6068" s="11"/>
      <c r="AM6068" s="19">
        <v>0</v>
      </c>
      <c r="AN6068" s="19">
        <v>536640</v>
      </c>
      <c r="AO6068" s="14"/>
      <c r="AP6068" s="14">
        <v>536640</v>
      </c>
      <c r="AQ6068" s="12">
        <v>1E-4</v>
      </c>
      <c r="AS6068" s="26"/>
    </row>
    <row r="6069" spans="1:45" s="19" customFormat="1" x14ac:dyDescent="0.2">
      <c r="A6069" s="122">
        <f t="shared" si="639"/>
        <v>5005</v>
      </c>
      <c r="B6069" s="13">
        <v>1</v>
      </c>
      <c r="C6069" s="17" t="s">
        <v>52</v>
      </c>
      <c r="D6069" s="17">
        <v>1985</v>
      </c>
      <c r="E6069" s="17">
        <v>15</v>
      </c>
      <c r="F6069" s="17">
        <v>821</v>
      </c>
      <c r="G6069" s="13">
        <v>4</v>
      </c>
      <c r="H6069" s="17">
        <v>0</v>
      </c>
      <c r="I6069" s="17">
        <v>0</v>
      </c>
      <c r="J6069" s="17">
        <v>39</v>
      </c>
      <c r="K6069" s="10"/>
      <c r="L6069" s="17"/>
      <c r="M6069" s="15"/>
      <c r="N6069" s="18">
        <v>39</v>
      </c>
      <c r="O6069" s="14"/>
      <c r="P6069" s="17">
        <v>4</v>
      </c>
      <c r="Q6069" s="19">
        <v>39</v>
      </c>
      <c r="R6069" s="14">
        <v>2000</v>
      </c>
      <c r="S6069" s="19">
        <v>78000</v>
      </c>
      <c r="T6069" s="17"/>
      <c r="U6069" s="17"/>
      <c r="V6069" s="17"/>
      <c r="W6069" s="4"/>
      <c r="X6069" s="17"/>
      <c r="Y6069" s="4"/>
      <c r="Z6069" s="17"/>
      <c r="AA6069" s="17"/>
      <c r="AB6069" s="17"/>
      <c r="AC6069" s="14"/>
      <c r="AD6069" s="14"/>
      <c r="AE6069" s="17"/>
      <c r="AF6069" s="14"/>
      <c r="AG6069" s="54"/>
      <c r="AH6069" s="11"/>
      <c r="AI6069" s="14"/>
      <c r="AJ6069" s="19">
        <v>0</v>
      </c>
      <c r="AK6069" s="23">
        <v>0</v>
      </c>
      <c r="AL6069" s="11"/>
      <c r="AM6069" s="19">
        <v>0</v>
      </c>
      <c r="AN6069" s="19">
        <v>78000</v>
      </c>
      <c r="AO6069" s="14"/>
      <c r="AP6069" s="14">
        <v>78000</v>
      </c>
      <c r="AQ6069" s="12">
        <v>3.0000000000000001E-3</v>
      </c>
      <c r="AS6069" s="26"/>
    </row>
    <row r="6070" spans="1:45" s="19" customFormat="1" x14ac:dyDescent="0.2">
      <c r="A6070" s="122">
        <f t="shared" si="639"/>
        <v>5006</v>
      </c>
      <c r="B6070" s="13">
        <v>2</v>
      </c>
      <c r="C6070" s="17" t="s">
        <v>52</v>
      </c>
      <c r="D6070" s="17">
        <v>1986</v>
      </c>
      <c r="E6070" s="17">
        <v>14</v>
      </c>
      <c r="F6070" s="17">
        <v>822</v>
      </c>
      <c r="G6070" s="13">
        <v>4</v>
      </c>
      <c r="H6070" s="17">
        <v>0</v>
      </c>
      <c r="I6070" s="17">
        <v>2</v>
      </c>
      <c r="J6070" s="17">
        <v>31</v>
      </c>
      <c r="K6070" s="10">
        <v>231</v>
      </c>
      <c r="L6070" s="17"/>
      <c r="M6070" s="15"/>
      <c r="N6070" s="18"/>
      <c r="O6070" s="14"/>
      <c r="P6070" s="17">
        <v>1</v>
      </c>
      <c r="Q6070" s="19">
        <v>231</v>
      </c>
      <c r="R6070" s="14">
        <v>1500</v>
      </c>
      <c r="S6070" s="19">
        <v>346500</v>
      </c>
      <c r="T6070" s="17"/>
      <c r="U6070" s="17"/>
      <c r="V6070" s="17"/>
      <c r="W6070" s="4"/>
      <c r="X6070" s="17"/>
      <c r="Y6070" s="4"/>
      <c r="Z6070" s="17"/>
      <c r="AA6070" s="17"/>
      <c r="AB6070" s="17"/>
      <c r="AC6070" s="14"/>
      <c r="AD6070" s="14"/>
      <c r="AE6070" s="17"/>
      <c r="AF6070" s="14"/>
      <c r="AG6070" s="54"/>
      <c r="AH6070" s="11"/>
      <c r="AI6070" s="14"/>
      <c r="AJ6070" s="19">
        <v>0</v>
      </c>
      <c r="AK6070" s="23">
        <v>0</v>
      </c>
      <c r="AL6070" s="11"/>
      <c r="AM6070" s="19">
        <v>0</v>
      </c>
      <c r="AN6070" s="19">
        <v>346500</v>
      </c>
      <c r="AO6070" s="14"/>
      <c r="AP6070" s="14">
        <v>346500</v>
      </c>
      <c r="AQ6070" s="12"/>
      <c r="AS6070" s="26"/>
    </row>
    <row r="6071" spans="1:45" s="19" customFormat="1" ht="42" x14ac:dyDescent="0.2">
      <c r="A6071" s="122">
        <f t="shared" si="639"/>
        <v>5007</v>
      </c>
      <c r="B6071" s="13">
        <v>3</v>
      </c>
      <c r="C6071" s="17" t="s">
        <v>52</v>
      </c>
      <c r="D6071" s="17">
        <v>2390</v>
      </c>
      <c r="E6071" s="17">
        <v>22</v>
      </c>
      <c r="F6071" s="17">
        <v>1728</v>
      </c>
      <c r="G6071" s="13">
        <v>4</v>
      </c>
      <c r="H6071" s="17">
        <v>0</v>
      </c>
      <c r="I6071" s="17">
        <v>0</v>
      </c>
      <c r="J6071" s="17">
        <v>52</v>
      </c>
      <c r="K6071" s="10"/>
      <c r="L6071" s="17">
        <v>76.5</v>
      </c>
      <c r="M6071" s="15"/>
      <c r="N6071" s="18"/>
      <c r="O6071" s="14"/>
      <c r="P6071" s="17">
        <v>2</v>
      </c>
      <c r="Q6071" s="19">
        <v>52</v>
      </c>
      <c r="R6071" s="14">
        <v>250</v>
      </c>
      <c r="S6071" s="19">
        <v>13000</v>
      </c>
      <c r="T6071" s="17">
        <v>1</v>
      </c>
      <c r="U6071" s="17"/>
      <c r="V6071" s="17" t="s">
        <v>621</v>
      </c>
      <c r="W6071" s="4">
        <v>306</v>
      </c>
      <c r="X6071" s="17"/>
      <c r="Y6071" s="4">
        <v>306</v>
      </c>
      <c r="Z6071" s="17"/>
      <c r="AA6071" s="17"/>
      <c r="AB6071" s="17">
        <v>28</v>
      </c>
      <c r="AC6071" s="14"/>
      <c r="AD6071" s="14"/>
      <c r="AE6071" s="17"/>
      <c r="AF6071" s="14"/>
      <c r="AG6071" s="54"/>
      <c r="AH6071" s="11"/>
      <c r="AI6071" s="14"/>
      <c r="AJ6071" s="19">
        <v>0</v>
      </c>
      <c r="AK6071" s="23">
        <v>28</v>
      </c>
      <c r="AL6071" s="11"/>
      <c r="AM6071" s="19">
        <v>0</v>
      </c>
      <c r="AN6071" s="19">
        <v>13000</v>
      </c>
      <c r="AO6071" s="14"/>
      <c r="AP6071" s="14">
        <v>13000</v>
      </c>
      <c r="AQ6071" s="12"/>
      <c r="AS6071" s="26"/>
    </row>
    <row r="6072" spans="1:45" s="19" customFormat="1" x14ac:dyDescent="0.2">
      <c r="A6072" s="122">
        <f t="shared" si="639"/>
        <v>5008</v>
      </c>
      <c r="B6072" s="13">
        <v>4</v>
      </c>
      <c r="C6072" s="17" t="s">
        <v>52</v>
      </c>
      <c r="D6072" s="17">
        <v>34444</v>
      </c>
      <c r="E6072" s="17">
        <v>94</v>
      </c>
      <c r="F6072" s="17">
        <v>6845</v>
      </c>
      <c r="G6072" s="13">
        <v>4</v>
      </c>
      <c r="H6072" s="17">
        <v>0</v>
      </c>
      <c r="I6072" s="17">
        <v>0</v>
      </c>
      <c r="J6072" s="17">
        <v>34</v>
      </c>
      <c r="K6072" s="10"/>
      <c r="L6072" s="17"/>
      <c r="M6072" s="15"/>
      <c r="N6072" s="18">
        <v>34</v>
      </c>
      <c r="O6072" s="14"/>
      <c r="P6072" s="17">
        <v>4</v>
      </c>
      <c r="Q6072" s="19">
        <v>34</v>
      </c>
      <c r="R6072" s="14">
        <v>2000</v>
      </c>
      <c r="S6072" s="19">
        <v>68000</v>
      </c>
      <c r="T6072" s="17"/>
      <c r="U6072" s="17"/>
      <c r="V6072" s="17"/>
      <c r="W6072" s="4"/>
      <c r="X6072" s="17"/>
      <c r="Y6072" s="4"/>
      <c r="Z6072" s="17"/>
      <c r="AA6072" s="17"/>
      <c r="AB6072" s="17"/>
      <c r="AC6072" s="14"/>
      <c r="AD6072" s="14"/>
      <c r="AE6072" s="17"/>
      <c r="AF6072" s="14"/>
      <c r="AG6072" s="54"/>
      <c r="AH6072" s="11"/>
      <c r="AI6072" s="14"/>
      <c r="AJ6072" s="19">
        <v>0</v>
      </c>
      <c r="AK6072" s="23">
        <v>0</v>
      </c>
      <c r="AL6072" s="11"/>
      <c r="AM6072" s="19">
        <v>0</v>
      </c>
      <c r="AN6072" s="19">
        <v>68000</v>
      </c>
      <c r="AO6072" s="14"/>
      <c r="AP6072" s="14">
        <v>68000</v>
      </c>
      <c r="AQ6072" s="12">
        <v>3.0000000000000001E-3</v>
      </c>
      <c r="AS6072" s="26"/>
    </row>
    <row r="6073" spans="1:45" s="19" customFormat="1" ht="42" x14ac:dyDescent="0.2">
      <c r="A6073" s="122">
        <f t="shared" si="639"/>
        <v>5009</v>
      </c>
      <c r="B6073" s="13">
        <v>5</v>
      </c>
      <c r="C6073" s="17" t="s">
        <v>52</v>
      </c>
      <c r="D6073" s="17">
        <v>34445</v>
      </c>
      <c r="E6073" s="17">
        <v>95</v>
      </c>
      <c r="F6073" s="17">
        <v>6846</v>
      </c>
      <c r="G6073" s="13">
        <v>4</v>
      </c>
      <c r="H6073" s="17">
        <v>0</v>
      </c>
      <c r="I6073" s="17">
        <v>0</v>
      </c>
      <c r="J6073" s="17">
        <v>51</v>
      </c>
      <c r="K6073" s="10"/>
      <c r="L6073" s="17" t="s">
        <v>622</v>
      </c>
      <c r="M6073" s="15"/>
      <c r="N6073" s="18"/>
      <c r="O6073" s="14"/>
      <c r="P6073" s="17">
        <v>2</v>
      </c>
      <c r="Q6073" s="19">
        <v>51</v>
      </c>
      <c r="R6073" s="14">
        <v>2000</v>
      </c>
      <c r="S6073" s="19">
        <v>102000</v>
      </c>
      <c r="T6073" s="17">
        <v>1</v>
      </c>
      <c r="U6073" s="17"/>
      <c r="V6073" s="17" t="s">
        <v>621</v>
      </c>
      <c r="W6073" s="4">
        <v>75</v>
      </c>
      <c r="X6073" s="17"/>
      <c r="Y6073" s="4">
        <v>75</v>
      </c>
      <c r="Z6073" s="17"/>
      <c r="AA6073" s="17"/>
      <c r="AB6073" s="17">
        <v>20</v>
      </c>
      <c r="AC6073" s="14"/>
      <c r="AD6073" s="14"/>
      <c r="AE6073" s="17"/>
      <c r="AF6073" s="14"/>
      <c r="AG6073" s="54"/>
      <c r="AH6073" s="11"/>
      <c r="AI6073" s="14"/>
      <c r="AJ6073" s="19">
        <v>0</v>
      </c>
      <c r="AK6073" s="23">
        <v>20</v>
      </c>
      <c r="AL6073" s="11"/>
      <c r="AM6073" s="19">
        <v>0</v>
      </c>
      <c r="AN6073" s="19">
        <v>102000</v>
      </c>
      <c r="AO6073" s="14"/>
      <c r="AP6073" s="14">
        <v>102000</v>
      </c>
      <c r="AQ6073" s="12"/>
      <c r="AS6073" s="26"/>
    </row>
    <row r="6074" spans="1:45" s="19" customFormat="1" ht="42" x14ac:dyDescent="0.2">
      <c r="A6074" s="122">
        <f t="shared" si="639"/>
        <v>5010</v>
      </c>
      <c r="B6074" s="13">
        <v>1</v>
      </c>
      <c r="C6074" s="17" t="s">
        <v>52</v>
      </c>
      <c r="D6074" s="17">
        <v>1701</v>
      </c>
      <c r="E6074" s="17">
        <v>217</v>
      </c>
      <c r="F6074" s="17">
        <v>894</v>
      </c>
      <c r="G6074" s="13">
        <v>2</v>
      </c>
      <c r="H6074" s="17">
        <v>0</v>
      </c>
      <c r="I6074" s="17">
        <v>0</v>
      </c>
      <c r="J6074" s="17">
        <v>42.07</v>
      </c>
      <c r="K6074" s="10"/>
      <c r="L6074" s="17" t="s">
        <v>623</v>
      </c>
      <c r="M6074" s="15"/>
      <c r="N6074" s="18"/>
      <c r="O6074" s="14"/>
      <c r="P6074" s="17">
        <v>2</v>
      </c>
      <c r="Q6074" s="19">
        <v>42.07</v>
      </c>
      <c r="R6074" s="14">
        <v>250</v>
      </c>
      <c r="S6074" s="19">
        <v>10517.5</v>
      </c>
      <c r="T6074" s="17">
        <v>1</v>
      </c>
      <c r="U6074" s="17"/>
      <c r="V6074" s="17" t="s">
        <v>621</v>
      </c>
      <c r="W6074" s="4">
        <v>85</v>
      </c>
      <c r="X6074" s="17"/>
      <c r="Y6074" s="4">
        <v>85</v>
      </c>
      <c r="Z6074" s="17"/>
      <c r="AA6074" s="17"/>
      <c r="AB6074" s="17">
        <v>19</v>
      </c>
      <c r="AC6074" s="14"/>
      <c r="AD6074" s="14"/>
      <c r="AE6074" s="17"/>
      <c r="AF6074" s="14"/>
      <c r="AG6074" s="54"/>
      <c r="AH6074" s="11"/>
      <c r="AI6074" s="14"/>
      <c r="AJ6074" s="19">
        <v>0</v>
      </c>
      <c r="AK6074" s="23">
        <v>19</v>
      </c>
      <c r="AL6074" s="11"/>
      <c r="AM6074" s="19">
        <v>0</v>
      </c>
      <c r="AN6074" s="19">
        <v>10517.5</v>
      </c>
      <c r="AO6074" s="14"/>
      <c r="AP6074" s="14">
        <v>10517.5</v>
      </c>
      <c r="AQ6074" s="12"/>
      <c r="AS6074" s="26"/>
    </row>
    <row r="6075" spans="1:45" s="19" customFormat="1" x14ac:dyDescent="0.2">
      <c r="A6075" s="122">
        <f t="shared" si="639"/>
        <v>5011</v>
      </c>
      <c r="B6075" s="13">
        <v>2</v>
      </c>
      <c r="C6075" s="17" t="s">
        <v>52</v>
      </c>
      <c r="D6075" s="17">
        <v>1980</v>
      </c>
      <c r="E6075" s="17">
        <v>3</v>
      </c>
      <c r="F6075" s="17">
        <v>814</v>
      </c>
      <c r="G6075" s="13">
        <v>4</v>
      </c>
      <c r="H6075" s="17">
        <v>2</v>
      </c>
      <c r="I6075" s="17">
        <v>2</v>
      </c>
      <c r="J6075" s="17">
        <v>94</v>
      </c>
      <c r="K6075" s="10">
        <v>1094</v>
      </c>
      <c r="L6075" s="17"/>
      <c r="M6075" s="15"/>
      <c r="N6075" s="18"/>
      <c r="O6075" s="14"/>
      <c r="P6075" s="17">
        <v>1</v>
      </c>
      <c r="Q6075" s="19">
        <v>1094</v>
      </c>
      <c r="R6075" s="14">
        <v>1000</v>
      </c>
      <c r="S6075" s="19">
        <v>1094000</v>
      </c>
      <c r="T6075" s="17"/>
      <c r="U6075" s="17"/>
      <c r="V6075" s="17"/>
      <c r="W6075" s="4"/>
      <c r="X6075" s="17"/>
      <c r="Y6075" s="4"/>
      <c r="Z6075" s="17"/>
      <c r="AA6075" s="17"/>
      <c r="AB6075" s="17"/>
      <c r="AC6075" s="14"/>
      <c r="AD6075" s="14"/>
      <c r="AE6075" s="17"/>
      <c r="AF6075" s="14"/>
      <c r="AG6075" s="54"/>
      <c r="AH6075" s="11"/>
      <c r="AI6075" s="14"/>
      <c r="AJ6075" s="19">
        <v>0</v>
      </c>
      <c r="AK6075" s="23">
        <v>0</v>
      </c>
      <c r="AL6075" s="11"/>
      <c r="AM6075" s="19">
        <v>0</v>
      </c>
      <c r="AN6075" s="19">
        <v>1094000</v>
      </c>
      <c r="AO6075" s="14"/>
      <c r="AP6075" s="14">
        <v>1094000</v>
      </c>
      <c r="AQ6075" s="12"/>
      <c r="AS6075" s="26"/>
    </row>
    <row r="6076" spans="1:45" s="19" customFormat="1" ht="63" x14ac:dyDescent="0.2">
      <c r="A6076" s="122">
        <f t="shared" si="639"/>
        <v>5012</v>
      </c>
      <c r="B6076" s="13">
        <v>3</v>
      </c>
      <c r="C6076" s="17" t="s">
        <v>65</v>
      </c>
      <c r="D6076" s="17">
        <v>1523</v>
      </c>
      <c r="E6076" s="17">
        <v>27</v>
      </c>
      <c r="F6076" s="17"/>
      <c r="G6076" s="13"/>
      <c r="H6076" s="17">
        <v>4</v>
      </c>
      <c r="I6076" s="17">
        <v>2</v>
      </c>
      <c r="J6076" s="17">
        <v>50</v>
      </c>
      <c r="K6076" s="10">
        <v>1836.5</v>
      </c>
      <c r="L6076" s="17">
        <v>13.5</v>
      </c>
      <c r="M6076" s="15"/>
      <c r="N6076" s="18"/>
      <c r="O6076" s="14"/>
      <c r="P6076" s="17">
        <v>5</v>
      </c>
      <c r="Q6076" s="19">
        <v>1850</v>
      </c>
      <c r="R6076" s="14">
        <v>160</v>
      </c>
      <c r="S6076" s="19">
        <v>296000</v>
      </c>
      <c r="T6076" s="17">
        <v>1</v>
      </c>
      <c r="U6076" s="17" t="s">
        <v>63</v>
      </c>
      <c r="V6076" s="17" t="s">
        <v>56</v>
      </c>
      <c r="W6076" s="4">
        <v>54</v>
      </c>
      <c r="X6076" s="17"/>
      <c r="Y6076" s="4">
        <v>54</v>
      </c>
      <c r="Z6076" s="17"/>
      <c r="AA6076" s="17"/>
      <c r="AB6076" s="17">
        <v>13</v>
      </c>
      <c r="AC6076" s="14"/>
      <c r="AD6076" s="14"/>
      <c r="AE6076" s="17"/>
      <c r="AF6076" s="14"/>
      <c r="AG6076" s="54"/>
      <c r="AH6076" s="11"/>
      <c r="AI6076" s="14"/>
      <c r="AJ6076" s="19">
        <v>0</v>
      </c>
      <c r="AK6076" s="23">
        <v>13</v>
      </c>
      <c r="AL6076" s="11"/>
      <c r="AM6076" s="19">
        <v>0</v>
      </c>
      <c r="AN6076" s="19">
        <v>296000</v>
      </c>
      <c r="AO6076" s="14"/>
      <c r="AP6076" s="14">
        <v>296000</v>
      </c>
      <c r="AQ6076" s="12">
        <v>1E-4</v>
      </c>
      <c r="AS6076" s="26"/>
    </row>
    <row r="6077" spans="1:45" s="19" customFormat="1" x14ac:dyDescent="0.2">
      <c r="A6077" s="122">
        <f t="shared" si="639"/>
        <v>5013</v>
      </c>
      <c r="B6077" s="13">
        <v>1</v>
      </c>
      <c r="C6077" s="17" t="s">
        <v>52</v>
      </c>
      <c r="D6077" s="17">
        <v>1976</v>
      </c>
      <c r="E6077" s="17">
        <v>2</v>
      </c>
      <c r="F6077" s="17">
        <v>810</v>
      </c>
      <c r="G6077" s="13">
        <v>4</v>
      </c>
      <c r="H6077" s="17">
        <v>0</v>
      </c>
      <c r="I6077" s="17">
        <v>0</v>
      </c>
      <c r="J6077" s="17">
        <v>89</v>
      </c>
      <c r="K6077" s="10"/>
      <c r="L6077" s="17"/>
      <c r="M6077" s="15"/>
      <c r="N6077" s="18">
        <v>89</v>
      </c>
      <c r="O6077" s="14"/>
      <c r="P6077" s="17">
        <v>4</v>
      </c>
      <c r="Q6077" s="19">
        <v>89</v>
      </c>
      <c r="R6077" s="14">
        <v>2000</v>
      </c>
      <c r="S6077" s="19">
        <v>178000</v>
      </c>
      <c r="T6077" s="17"/>
      <c r="U6077" s="17"/>
      <c r="V6077" s="17"/>
      <c r="W6077" s="4"/>
      <c r="X6077" s="17"/>
      <c r="Y6077" s="4"/>
      <c r="Z6077" s="17"/>
      <c r="AA6077" s="17"/>
      <c r="AB6077" s="17"/>
      <c r="AC6077" s="14"/>
      <c r="AD6077" s="14"/>
      <c r="AE6077" s="17"/>
      <c r="AF6077" s="14"/>
      <c r="AG6077" s="54"/>
      <c r="AH6077" s="11"/>
      <c r="AI6077" s="14"/>
      <c r="AJ6077" s="19">
        <v>0</v>
      </c>
      <c r="AK6077" s="23">
        <v>0</v>
      </c>
      <c r="AL6077" s="11"/>
      <c r="AM6077" s="19">
        <v>0</v>
      </c>
      <c r="AN6077" s="19">
        <v>178000</v>
      </c>
      <c r="AO6077" s="14"/>
      <c r="AP6077" s="14">
        <v>178000</v>
      </c>
      <c r="AQ6077" s="12">
        <v>3.0000000000000001E-3</v>
      </c>
      <c r="AS6077" s="26"/>
    </row>
    <row r="6078" spans="1:45" s="19" customFormat="1" x14ac:dyDescent="0.2">
      <c r="A6078" s="122">
        <f t="shared" si="639"/>
        <v>5014</v>
      </c>
      <c r="B6078" s="13">
        <v>1</v>
      </c>
      <c r="C6078" s="17" t="s">
        <v>52</v>
      </c>
      <c r="D6078" s="17">
        <v>2413</v>
      </c>
      <c r="E6078" s="17">
        <v>49</v>
      </c>
      <c r="F6078" s="17">
        <v>1752</v>
      </c>
      <c r="G6078" s="13">
        <v>4</v>
      </c>
      <c r="H6078" s="17">
        <v>0</v>
      </c>
      <c r="I6078" s="17">
        <v>0</v>
      </c>
      <c r="J6078" s="17">
        <v>35</v>
      </c>
      <c r="K6078" s="10">
        <v>35</v>
      </c>
      <c r="L6078" s="17"/>
      <c r="M6078" s="15"/>
      <c r="N6078" s="18"/>
      <c r="O6078" s="14"/>
      <c r="P6078" s="17">
        <v>1</v>
      </c>
      <c r="Q6078" s="19">
        <v>35</v>
      </c>
      <c r="R6078" s="14">
        <v>250</v>
      </c>
      <c r="S6078" s="19">
        <v>8750</v>
      </c>
      <c r="T6078" s="17"/>
      <c r="U6078" s="17"/>
      <c r="V6078" s="17"/>
      <c r="W6078" s="4"/>
      <c r="X6078" s="17"/>
      <c r="Y6078" s="4"/>
      <c r="Z6078" s="17"/>
      <c r="AA6078" s="17"/>
      <c r="AB6078" s="17"/>
      <c r="AC6078" s="14"/>
      <c r="AD6078" s="14"/>
      <c r="AE6078" s="17"/>
      <c r="AF6078" s="14"/>
      <c r="AG6078" s="54"/>
      <c r="AH6078" s="11"/>
      <c r="AI6078" s="14"/>
      <c r="AJ6078" s="19">
        <v>0</v>
      </c>
      <c r="AK6078" s="23">
        <v>0</v>
      </c>
      <c r="AL6078" s="11"/>
      <c r="AM6078" s="19">
        <v>0</v>
      </c>
      <c r="AN6078" s="19">
        <v>8750</v>
      </c>
      <c r="AO6078" s="14"/>
      <c r="AP6078" s="14">
        <v>8750</v>
      </c>
      <c r="AQ6078" s="12"/>
      <c r="AS6078" s="26"/>
    </row>
    <row r="6079" spans="1:45" s="19" customFormat="1" ht="42" x14ac:dyDescent="0.2">
      <c r="A6079" s="122">
        <f t="shared" si="639"/>
        <v>5015</v>
      </c>
      <c r="B6079" s="13">
        <v>1</v>
      </c>
      <c r="C6079" s="17" t="s">
        <v>52</v>
      </c>
      <c r="D6079" s="17">
        <v>20989</v>
      </c>
      <c r="E6079" s="17">
        <v>26</v>
      </c>
      <c r="F6079" s="17">
        <v>4661</v>
      </c>
      <c r="G6079" s="13">
        <v>4</v>
      </c>
      <c r="H6079" s="17">
        <v>0</v>
      </c>
      <c r="I6079" s="17">
        <v>1</v>
      </c>
      <c r="J6079" s="17">
        <v>23</v>
      </c>
      <c r="K6079" s="10">
        <v>75.5</v>
      </c>
      <c r="L6079" s="17">
        <v>47.5</v>
      </c>
      <c r="M6079" s="15"/>
      <c r="N6079" s="18"/>
      <c r="O6079" s="14"/>
      <c r="P6079" s="17">
        <v>5</v>
      </c>
      <c r="Q6079" s="19">
        <v>123</v>
      </c>
      <c r="R6079" s="14">
        <v>2000</v>
      </c>
      <c r="S6079" s="19">
        <v>246000</v>
      </c>
      <c r="T6079" s="17">
        <v>1</v>
      </c>
      <c r="U6079" s="17"/>
      <c r="V6079" s="17" t="s">
        <v>621</v>
      </c>
      <c r="W6079" s="4">
        <v>190</v>
      </c>
      <c r="X6079" s="17"/>
      <c r="Y6079" s="4">
        <v>190</v>
      </c>
      <c r="Z6079" s="17"/>
      <c r="AA6079" s="17"/>
      <c r="AB6079" s="17">
        <v>16</v>
      </c>
      <c r="AC6079" s="14"/>
      <c r="AD6079" s="14"/>
      <c r="AE6079" s="17"/>
      <c r="AF6079" s="14"/>
      <c r="AG6079" s="54"/>
      <c r="AH6079" s="11"/>
      <c r="AI6079" s="14"/>
      <c r="AJ6079" s="19">
        <v>0</v>
      </c>
      <c r="AK6079" s="23">
        <v>16</v>
      </c>
      <c r="AL6079" s="11"/>
      <c r="AM6079" s="19">
        <v>0</v>
      </c>
      <c r="AN6079" s="19">
        <v>246000</v>
      </c>
      <c r="AO6079" s="14"/>
      <c r="AP6079" s="14">
        <v>246000</v>
      </c>
      <c r="AQ6079" s="12"/>
      <c r="AS6079" s="26"/>
    </row>
    <row r="6080" spans="1:45" s="19" customFormat="1" x14ac:dyDescent="0.2">
      <c r="A6080" s="122">
        <f t="shared" si="639"/>
        <v>5016</v>
      </c>
      <c r="B6080" s="13">
        <v>2</v>
      </c>
      <c r="C6080" s="17" t="s">
        <v>52</v>
      </c>
      <c r="D6080" s="17">
        <v>20997</v>
      </c>
      <c r="E6080" s="17">
        <v>34</v>
      </c>
      <c r="F6080" s="17">
        <v>4999</v>
      </c>
      <c r="G6080" s="13">
        <v>4</v>
      </c>
      <c r="H6080" s="17">
        <v>0</v>
      </c>
      <c r="I6080" s="17">
        <v>0</v>
      </c>
      <c r="J6080" s="17">
        <v>84</v>
      </c>
      <c r="K6080" s="10"/>
      <c r="L6080" s="17"/>
      <c r="M6080" s="15"/>
      <c r="N6080" s="18">
        <v>84</v>
      </c>
      <c r="O6080" s="14"/>
      <c r="P6080" s="17">
        <v>4</v>
      </c>
      <c r="Q6080" s="19">
        <v>84</v>
      </c>
      <c r="R6080" s="14">
        <v>2000</v>
      </c>
      <c r="S6080" s="19">
        <v>168000</v>
      </c>
      <c r="T6080" s="17"/>
      <c r="U6080" s="17"/>
      <c r="V6080" s="17"/>
      <c r="W6080" s="4"/>
      <c r="X6080" s="17"/>
      <c r="Y6080" s="4"/>
      <c r="Z6080" s="17"/>
      <c r="AA6080" s="17"/>
      <c r="AB6080" s="17"/>
      <c r="AC6080" s="14"/>
      <c r="AD6080" s="14"/>
      <c r="AE6080" s="17"/>
      <c r="AF6080" s="14"/>
      <c r="AG6080" s="54"/>
      <c r="AH6080" s="11"/>
      <c r="AI6080" s="14"/>
      <c r="AJ6080" s="19">
        <v>0</v>
      </c>
      <c r="AK6080" s="23">
        <v>0</v>
      </c>
      <c r="AL6080" s="11"/>
      <c r="AM6080" s="19">
        <v>0</v>
      </c>
      <c r="AN6080" s="19">
        <v>168000</v>
      </c>
      <c r="AO6080" s="14"/>
      <c r="AP6080" s="14">
        <v>168000</v>
      </c>
      <c r="AQ6080" s="12">
        <v>3.0000000000000001E-3</v>
      </c>
      <c r="AS6080" s="26"/>
    </row>
    <row r="6081" spans="1:45" x14ac:dyDescent="0.2">
      <c r="A6081" s="122">
        <f t="shared" si="639"/>
        <v>5017</v>
      </c>
      <c r="B6081" s="13">
        <v>3</v>
      </c>
      <c r="C6081" s="17" t="s">
        <v>52</v>
      </c>
      <c r="D6081" s="17">
        <v>34358</v>
      </c>
      <c r="E6081" s="17">
        <v>38</v>
      </c>
      <c r="F6081" s="17">
        <v>6858</v>
      </c>
      <c r="G6081" s="13">
        <v>4</v>
      </c>
      <c r="H6081" s="17">
        <v>4</v>
      </c>
      <c r="I6081" s="17">
        <v>2</v>
      </c>
      <c r="J6081" s="17">
        <v>61</v>
      </c>
      <c r="K6081" s="10">
        <v>1864</v>
      </c>
      <c r="P6081" s="17">
        <v>1</v>
      </c>
      <c r="Q6081" s="19">
        <v>1861</v>
      </c>
      <c r="R6081" s="14">
        <v>160</v>
      </c>
      <c r="S6081" s="19">
        <v>297760</v>
      </c>
      <c r="AJ6081" s="19">
        <v>0</v>
      </c>
      <c r="AK6081" s="23">
        <v>0</v>
      </c>
      <c r="AM6081" s="19">
        <v>0</v>
      </c>
      <c r="AN6081" s="19">
        <v>297760</v>
      </c>
      <c r="AP6081" s="14">
        <v>297760</v>
      </c>
    </row>
    <row r="6082" spans="1:45" x14ac:dyDescent="0.2">
      <c r="A6082" s="122">
        <f t="shared" si="639"/>
        <v>5018</v>
      </c>
      <c r="B6082" s="13">
        <v>4</v>
      </c>
      <c r="C6082" s="17" t="s">
        <v>52</v>
      </c>
      <c r="D6082" s="17">
        <v>34359</v>
      </c>
      <c r="E6082" s="17">
        <v>39</v>
      </c>
      <c r="F6082" s="17">
        <v>6859</v>
      </c>
      <c r="G6082" s="13">
        <v>4</v>
      </c>
      <c r="H6082" s="17">
        <v>1</v>
      </c>
      <c r="I6082" s="17">
        <v>1</v>
      </c>
      <c r="J6082" s="17">
        <v>21</v>
      </c>
      <c r="K6082" s="10">
        <v>521</v>
      </c>
      <c r="P6082" s="17">
        <v>1</v>
      </c>
      <c r="Q6082" s="19">
        <v>521</v>
      </c>
      <c r="R6082" s="14">
        <v>200</v>
      </c>
      <c r="S6082" s="19">
        <v>104200</v>
      </c>
      <c r="AJ6082" s="19">
        <v>0</v>
      </c>
      <c r="AK6082" s="23">
        <v>0</v>
      </c>
      <c r="AM6082" s="19">
        <v>0</v>
      </c>
      <c r="AN6082" s="19">
        <v>104200</v>
      </c>
      <c r="AP6082" s="14">
        <v>104200</v>
      </c>
    </row>
    <row r="6083" spans="1:45" ht="42" x14ac:dyDescent="0.2">
      <c r="A6083" s="122">
        <f t="shared" si="639"/>
        <v>5019</v>
      </c>
      <c r="B6083" s="13">
        <v>1</v>
      </c>
      <c r="C6083" s="17" t="s">
        <v>52</v>
      </c>
      <c r="D6083" s="17">
        <v>2346</v>
      </c>
      <c r="E6083" s="17">
        <v>50</v>
      </c>
      <c r="F6083" s="17">
        <v>1753</v>
      </c>
      <c r="G6083" s="13">
        <v>4</v>
      </c>
      <c r="H6083" s="17">
        <v>0</v>
      </c>
      <c r="I6083" s="17">
        <v>0</v>
      </c>
      <c r="J6083" s="17">
        <v>32</v>
      </c>
      <c r="L6083" s="17" t="s">
        <v>574</v>
      </c>
      <c r="P6083" s="17">
        <v>2</v>
      </c>
      <c r="Q6083" s="19">
        <v>32</v>
      </c>
      <c r="R6083" s="14">
        <v>250</v>
      </c>
      <c r="S6083" s="19">
        <v>8000</v>
      </c>
      <c r="T6083" s="17">
        <v>1</v>
      </c>
      <c r="V6083" s="17" t="s">
        <v>624</v>
      </c>
      <c r="W6083" s="4">
        <v>77</v>
      </c>
      <c r="Y6083" s="4">
        <v>77</v>
      </c>
      <c r="AB6083" s="17">
        <v>39</v>
      </c>
      <c r="AJ6083" s="19">
        <v>0</v>
      </c>
      <c r="AK6083" s="23">
        <v>39</v>
      </c>
      <c r="AM6083" s="19">
        <v>0</v>
      </c>
      <c r="AN6083" s="19">
        <v>8000</v>
      </c>
      <c r="AP6083" s="14">
        <v>8000</v>
      </c>
    </row>
    <row r="6084" spans="1:45" x14ac:dyDescent="0.2">
      <c r="A6084" s="122">
        <f t="shared" si="639"/>
        <v>5020</v>
      </c>
      <c r="B6084" s="13">
        <v>1</v>
      </c>
      <c r="C6084" s="17" t="s">
        <v>52</v>
      </c>
      <c r="D6084" s="17">
        <v>1998</v>
      </c>
      <c r="E6084" s="17">
        <v>8</v>
      </c>
      <c r="F6084" s="17">
        <v>859</v>
      </c>
      <c r="G6084" s="13">
        <v>4</v>
      </c>
      <c r="H6084" s="17">
        <v>2</v>
      </c>
      <c r="I6084" s="17">
        <v>3</v>
      </c>
      <c r="J6084" s="17">
        <v>39</v>
      </c>
      <c r="K6084" s="10">
        <v>1139</v>
      </c>
      <c r="P6084" s="17">
        <v>1</v>
      </c>
      <c r="Q6084" s="19">
        <v>1139</v>
      </c>
      <c r="R6084" s="14">
        <v>1500</v>
      </c>
      <c r="S6084" s="19">
        <v>1708500</v>
      </c>
      <c r="AJ6084" s="19">
        <v>0</v>
      </c>
      <c r="AK6084" s="23">
        <v>0</v>
      </c>
      <c r="AM6084" s="19">
        <v>0</v>
      </c>
      <c r="AN6084" s="19">
        <v>1708500</v>
      </c>
      <c r="AP6084" s="14">
        <v>1708500</v>
      </c>
      <c r="AS6084" s="26">
        <v>525</v>
      </c>
    </row>
    <row r="6085" spans="1:45" ht="63" x14ac:dyDescent="0.2">
      <c r="A6085" s="122">
        <f t="shared" si="639"/>
        <v>5021</v>
      </c>
      <c r="B6085" s="13">
        <v>2</v>
      </c>
      <c r="C6085" s="17" t="s">
        <v>52</v>
      </c>
      <c r="D6085" s="17">
        <v>2386</v>
      </c>
      <c r="E6085" s="17">
        <v>19</v>
      </c>
      <c r="F6085" s="17">
        <v>1720</v>
      </c>
      <c r="G6085" s="13">
        <v>4</v>
      </c>
      <c r="H6085" s="17">
        <v>0</v>
      </c>
      <c r="I6085" s="17">
        <v>1</v>
      </c>
      <c r="J6085" s="17">
        <v>53</v>
      </c>
      <c r="K6085" s="10">
        <v>132.69</v>
      </c>
      <c r="L6085" s="17">
        <v>20.309999999999999</v>
      </c>
      <c r="P6085" s="17">
        <v>5</v>
      </c>
      <c r="Q6085" s="19">
        <v>153</v>
      </c>
      <c r="R6085" s="14">
        <v>200</v>
      </c>
      <c r="S6085" s="19">
        <v>30600</v>
      </c>
      <c r="T6085" s="17">
        <v>1</v>
      </c>
      <c r="U6085" s="17" t="s">
        <v>63</v>
      </c>
      <c r="V6085" s="17" t="s">
        <v>56</v>
      </c>
      <c r="W6085" s="4">
        <v>81.25</v>
      </c>
      <c r="Y6085" s="4">
        <v>81.25</v>
      </c>
      <c r="AB6085" s="17">
        <v>41</v>
      </c>
      <c r="AJ6085" s="19">
        <v>0</v>
      </c>
      <c r="AK6085" s="23">
        <v>41</v>
      </c>
      <c r="AM6085" s="19">
        <v>0</v>
      </c>
      <c r="AN6085" s="19">
        <v>30600</v>
      </c>
      <c r="AP6085" s="14">
        <v>30600</v>
      </c>
    </row>
    <row r="6086" spans="1:45" ht="231" x14ac:dyDescent="0.2">
      <c r="A6086" s="122">
        <f t="shared" si="639"/>
        <v>5022</v>
      </c>
      <c r="B6086" s="13">
        <v>3</v>
      </c>
      <c r="C6086" s="17" t="s">
        <v>52</v>
      </c>
      <c r="D6086" s="17">
        <v>2389</v>
      </c>
      <c r="E6086" s="17">
        <v>18</v>
      </c>
      <c r="F6086" s="17">
        <v>1727</v>
      </c>
      <c r="G6086" s="13">
        <v>4</v>
      </c>
      <c r="H6086" s="17">
        <v>0</v>
      </c>
      <c r="I6086" s="17">
        <v>1</v>
      </c>
      <c r="J6086" s="17">
        <v>66</v>
      </c>
      <c r="K6086" s="10">
        <v>67</v>
      </c>
      <c r="L6086" s="17">
        <v>99</v>
      </c>
      <c r="P6086" s="17">
        <v>5</v>
      </c>
      <c r="Q6086" s="19">
        <v>166</v>
      </c>
      <c r="R6086" s="14">
        <v>250</v>
      </c>
      <c r="S6086" s="19">
        <v>41500</v>
      </c>
      <c r="T6086" s="17">
        <v>1</v>
      </c>
      <c r="U6086" s="17" t="s">
        <v>63</v>
      </c>
      <c r="V6086" s="17" t="s">
        <v>56</v>
      </c>
      <c r="W6086" s="4">
        <v>99</v>
      </c>
      <c r="Y6086" s="4" t="s">
        <v>156</v>
      </c>
      <c r="AB6086" s="17" t="s">
        <v>574</v>
      </c>
      <c r="AC6086" s="14" t="s">
        <v>486</v>
      </c>
      <c r="AE6086" s="17">
        <v>27.5</v>
      </c>
      <c r="AF6086" s="14">
        <v>2</v>
      </c>
      <c r="AG6086" s="54">
        <v>99</v>
      </c>
      <c r="AH6086" s="11">
        <v>0.72</v>
      </c>
      <c r="AI6086" s="14">
        <v>8100</v>
      </c>
      <c r="AJ6086" s="19">
        <v>577368</v>
      </c>
      <c r="AK6086" s="23" t="s">
        <v>574</v>
      </c>
      <c r="AL6086" s="11">
        <v>0.54</v>
      </c>
      <c r="AM6086" s="19">
        <v>265589.27999999997</v>
      </c>
      <c r="AN6086" s="19">
        <v>273059.27999999997</v>
      </c>
      <c r="AP6086" s="14">
        <v>273059.27999999997</v>
      </c>
    </row>
    <row r="6087" spans="1:45" x14ac:dyDescent="0.2">
      <c r="Z6087" s="17" t="s">
        <v>505</v>
      </c>
      <c r="AF6087" s="14">
        <v>3</v>
      </c>
      <c r="AG6087" s="54">
        <v>99</v>
      </c>
      <c r="AH6087" s="11">
        <v>0.28000000000000003</v>
      </c>
      <c r="AI6087" s="14">
        <v>8100</v>
      </c>
      <c r="AJ6087" s="19">
        <v>224532.00000000003</v>
      </c>
      <c r="AL6087" s="11">
        <v>0.54</v>
      </c>
      <c r="AM6087" s="19">
        <v>103284.72</v>
      </c>
      <c r="AN6087" s="19">
        <v>106189.72</v>
      </c>
      <c r="AP6087" s="14">
        <v>106189.72</v>
      </c>
      <c r="AQ6087" s="12">
        <v>3.0000000000000001E-3</v>
      </c>
    </row>
    <row r="6088" spans="1:45" ht="63" x14ac:dyDescent="0.2">
      <c r="T6088" s="17">
        <v>2</v>
      </c>
      <c r="U6088" s="17" t="s">
        <v>63</v>
      </c>
      <c r="V6088" s="17" t="s">
        <v>56</v>
      </c>
      <c r="W6088" s="4">
        <v>99</v>
      </c>
      <c r="Y6088" s="4">
        <v>99</v>
      </c>
      <c r="AB6088" s="17" t="s">
        <v>574</v>
      </c>
      <c r="AF6088" s="14">
        <v>2</v>
      </c>
      <c r="AG6088" s="54">
        <v>99</v>
      </c>
      <c r="AH6088" s="11">
        <v>1</v>
      </c>
      <c r="AI6088" s="14">
        <v>8100</v>
      </c>
      <c r="AJ6088" s="19">
        <v>801900</v>
      </c>
      <c r="AK6088" s="23" t="s">
        <v>574</v>
      </c>
      <c r="AL6088" s="11">
        <v>0.54</v>
      </c>
      <c r="AM6088" s="19">
        <v>368874</v>
      </c>
      <c r="AN6088" s="19">
        <v>379249</v>
      </c>
      <c r="AP6088" s="14">
        <v>379249</v>
      </c>
    </row>
    <row r="6089" spans="1:45" ht="63" x14ac:dyDescent="0.2">
      <c r="T6089" s="17">
        <v>3</v>
      </c>
      <c r="U6089" s="17" t="s">
        <v>63</v>
      </c>
      <c r="V6089" s="17" t="s">
        <v>56</v>
      </c>
      <c r="W6089" s="4">
        <v>99</v>
      </c>
      <c r="Y6089" s="4">
        <v>99</v>
      </c>
      <c r="AB6089" s="17" t="s">
        <v>574</v>
      </c>
      <c r="AF6089" s="14">
        <v>2</v>
      </c>
      <c r="AG6089" s="54">
        <v>99</v>
      </c>
      <c r="AH6089" s="11">
        <v>1</v>
      </c>
      <c r="AI6089" s="14">
        <v>8100</v>
      </c>
      <c r="AJ6089" s="19">
        <v>801900</v>
      </c>
      <c r="AK6089" s="23" t="s">
        <v>574</v>
      </c>
      <c r="AL6089" s="11">
        <v>0.54</v>
      </c>
      <c r="AM6089" s="19">
        <v>368874</v>
      </c>
      <c r="AN6089" s="19">
        <v>379249</v>
      </c>
      <c r="AP6089" s="14">
        <v>379249</v>
      </c>
    </row>
    <row r="6090" spans="1:45" ht="231" x14ac:dyDescent="0.2">
      <c r="T6090" s="17">
        <v>4</v>
      </c>
      <c r="U6090" s="17" t="s">
        <v>63</v>
      </c>
      <c r="V6090" s="17" t="s">
        <v>56</v>
      </c>
      <c r="W6090" s="4">
        <v>99</v>
      </c>
      <c r="Y6090" s="4" t="s">
        <v>625</v>
      </c>
      <c r="AB6090" s="17" t="s">
        <v>616</v>
      </c>
      <c r="AC6090" s="14" t="s">
        <v>486</v>
      </c>
      <c r="AF6090" s="14">
        <v>2</v>
      </c>
      <c r="AG6090" s="54">
        <v>99</v>
      </c>
      <c r="AH6090" s="11">
        <v>1</v>
      </c>
      <c r="AI6090" s="14">
        <v>8100</v>
      </c>
      <c r="AJ6090" s="19">
        <v>801900</v>
      </c>
      <c r="AK6090" s="23" t="s">
        <v>616</v>
      </c>
      <c r="AL6090" s="11">
        <v>0.52</v>
      </c>
      <c r="AM6090" s="19">
        <v>384912</v>
      </c>
      <c r="AN6090" s="19">
        <v>392382</v>
      </c>
      <c r="AP6090" s="14">
        <v>392382</v>
      </c>
    </row>
    <row r="6091" spans="1:45" x14ac:dyDescent="0.2">
      <c r="A6091" s="2">
        <v>5023</v>
      </c>
      <c r="B6091" s="13">
        <v>4</v>
      </c>
      <c r="C6091" s="17" t="s">
        <v>52</v>
      </c>
      <c r="D6091" s="17">
        <v>1511</v>
      </c>
      <c r="E6091" s="17">
        <v>107</v>
      </c>
      <c r="F6091" s="17">
        <v>1099</v>
      </c>
      <c r="H6091" s="17">
        <v>15</v>
      </c>
      <c r="I6091" s="17">
        <v>0</v>
      </c>
      <c r="J6091" s="17">
        <v>68</v>
      </c>
      <c r="K6091" s="10">
        <v>6068</v>
      </c>
      <c r="P6091" s="17">
        <v>1</v>
      </c>
      <c r="Q6091" s="19">
        <v>6068</v>
      </c>
      <c r="R6091" s="14">
        <v>160</v>
      </c>
      <c r="S6091" s="19">
        <v>970880</v>
      </c>
      <c r="AJ6091" s="19">
        <v>0</v>
      </c>
      <c r="AK6091" s="23">
        <v>0</v>
      </c>
      <c r="AM6091" s="19">
        <v>0</v>
      </c>
      <c r="AN6091" s="19">
        <v>970880</v>
      </c>
      <c r="AP6091" s="14">
        <v>970880</v>
      </c>
    </row>
    <row r="6092" spans="1:45" x14ac:dyDescent="0.2">
      <c r="A6092" s="2">
        <v>5024</v>
      </c>
      <c r="B6092" s="13">
        <v>5</v>
      </c>
      <c r="C6092" s="17" t="s">
        <v>52</v>
      </c>
      <c r="D6092" s="17">
        <v>1512</v>
      </c>
      <c r="E6092" s="17">
        <v>110</v>
      </c>
      <c r="F6092" s="17">
        <v>1100</v>
      </c>
      <c r="H6092" s="17">
        <v>10</v>
      </c>
      <c r="I6092" s="17">
        <v>2</v>
      </c>
      <c r="J6092" s="17">
        <v>51</v>
      </c>
      <c r="K6092" s="10">
        <v>4251</v>
      </c>
      <c r="P6092" s="17">
        <v>5</v>
      </c>
      <c r="Q6092" s="19">
        <v>4251</v>
      </c>
      <c r="R6092" s="14">
        <v>160</v>
      </c>
      <c r="S6092" s="19">
        <v>680160</v>
      </c>
      <c r="AJ6092" s="19">
        <v>0</v>
      </c>
      <c r="AK6092" s="23">
        <v>0</v>
      </c>
      <c r="AM6092" s="19">
        <v>0</v>
      </c>
      <c r="AN6092" s="19">
        <v>680160</v>
      </c>
      <c r="AP6092" s="14">
        <v>680160</v>
      </c>
    </row>
    <row r="6093" spans="1:45" ht="63" x14ac:dyDescent="0.2">
      <c r="A6093" s="2">
        <v>5025</v>
      </c>
      <c r="B6093" s="13">
        <v>6</v>
      </c>
      <c r="C6093" s="17" t="s">
        <v>115</v>
      </c>
      <c r="T6093" s="17" t="s">
        <v>122</v>
      </c>
      <c r="U6093" s="17" t="s">
        <v>63</v>
      </c>
      <c r="V6093" s="17" t="s">
        <v>56</v>
      </c>
      <c r="W6093" s="4" t="s">
        <v>274</v>
      </c>
      <c r="Y6093" s="4" t="s">
        <v>399</v>
      </c>
      <c r="AB6093" s="17" t="s">
        <v>626</v>
      </c>
      <c r="AE6093" s="17">
        <v>28</v>
      </c>
      <c r="AF6093" s="14">
        <v>2</v>
      </c>
      <c r="AG6093" s="54">
        <v>60</v>
      </c>
      <c r="AH6093" s="11">
        <v>0.67</v>
      </c>
      <c r="AI6093" s="14">
        <v>8100</v>
      </c>
      <c r="AJ6093" s="19">
        <v>325620</v>
      </c>
      <c r="AK6093" s="23" t="s">
        <v>626</v>
      </c>
      <c r="AL6093" s="11">
        <v>0.46</v>
      </c>
      <c r="AM6093" s="19">
        <v>175834.8</v>
      </c>
      <c r="AN6093" s="19">
        <v>175834.8</v>
      </c>
      <c r="AP6093" s="14">
        <v>175834.8</v>
      </c>
      <c r="AQ6093" s="12">
        <v>2.0000000000000001E-4</v>
      </c>
    </row>
    <row r="6094" spans="1:45" x14ac:dyDescent="0.2">
      <c r="Z6094" s="17" t="s">
        <v>559</v>
      </c>
      <c r="AF6094" s="14">
        <v>3</v>
      </c>
      <c r="AG6094" s="54">
        <v>60</v>
      </c>
      <c r="AH6094" s="11">
        <v>0.33</v>
      </c>
      <c r="AI6094" s="14">
        <v>8100</v>
      </c>
      <c r="AJ6094" s="19">
        <v>160380</v>
      </c>
      <c r="AK6094" s="23">
        <v>28</v>
      </c>
      <c r="AL6094" s="11">
        <v>0.46</v>
      </c>
      <c r="AM6094" s="19">
        <v>86605.2</v>
      </c>
      <c r="AN6094" s="19">
        <v>86605.2</v>
      </c>
      <c r="AP6094" s="14">
        <v>86605.2</v>
      </c>
      <c r="AQ6094" s="12">
        <v>3.0000000000000001E-3</v>
      </c>
    </row>
    <row r="6095" spans="1:45" x14ac:dyDescent="0.2">
      <c r="A6095" s="2">
        <v>5026</v>
      </c>
      <c r="B6095" s="13">
        <v>1</v>
      </c>
      <c r="C6095" s="17" t="s">
        <v>52</v>
      </c>
      <c r="D6095" s="17">
        <v>36620</v>
      </c>
      <c r="E6095" s="17">
        <v>181</v>
      </c>
      <c r="F6095" s="17">
        <v>7168</v>
      </c>
      <c r="G6095" s="13">
        <v>3</v>
      </c>
      <c r="H6095" s="17">
        <v>5</v>
      </c>
      <c r="I6095" s="17">
        <v>0</v>
      </c>
      <c r="J6095" s="17">
        <v>36.090000000000003</v>
      </c>
      <c r="K6095" s="10">
        <v>2036.09</v>
      </c>
      <c r="P6095" s="17">
        <v>1</v>
      </c>
      <c r="Q6095" s="19">
        <v>2036.09</v>
      </c>
      <c r="R6095" s="14">
        <v>160</v>
      </c>
      <c r="S6095" s="19">
        <v>325774.39999999997</v>
      </c>
      <c r="AJ6095" s="19">
        <v>0</v>
      </c>
      <c r="AK6095" s="23">
        <v>0</v>
      </c>
      <c r="AM6095" s="19">
        <v>0</v>
      </c>
      <c r="AN6095" s="19">
        <v>325774.39999999997</v>
      </c>
      <c r="AP6095" s="14">
        <v>325774.39999999997</v>
      </c>
    </row>
    <row r="6096" spans="1:45" x14ac:dyDescent="0.2">
      <c r="A6096" s="2">
        <f>+A6095+1</f>
        <v>5027</v>
      </c>
      <c r="B6096" s="13">
        <v>1</v>
      </c>
      <c r="C6096" s="17" t="s">
        <v>52</v>
      </c>
      <c r="D6096" s="17">
        <v>36618</v>
      </c>
      <c r="E6096" s="17">
        <v>178</v>
      </c>
      <c r="F6096" s="17">
        <v>7166</v>
      </c>
      <c r="G6096" s="13">
        <v>3</v>
      </c>
      <c r="H6096" s="17">
        <v>3</v>
      </c>
      <c r="I6096" s="17">
        <v>1</v>
      </c>
      <c r="J6096" s="17">
        <v>26.03</v>
      </c>
      <c r="K6096" s="10">
        <v>1326.03</v>
      </c>
      <c r="P6096" s="17">
        <v>1</v>
      </c>
      <c r="Q6096" s="19">
        <v>1326.03</v>
      </c>
      <c r="R6096" s="14">
        <v>160</v>
      </c>
      <c r="S6096" s="19">
        <v>212164.8</v>
      </c>
      <c r="AJ6096" s="19">
        <v>0</v>
      </c>
      <c r="AK6096" s="23">
        <v>0</v>
      </c>
      <c r="AM6096" s="19">
        <v>0</v>
      </c>
      <c r="AN6096" s="19">
        <v>212164.8</v>
      </c>
      <c r="AP6096" s="14">
        <v>212164.8</v>
      </c>
      <c r="AS6096" s="26">
        <v>270</v>
      </c>
    </row>
    <row r="6097" spans="1:45" x14ac:dyDescent="0.2">
      <c r="A6097" s="122">
        <f t="shared" ref="A6097:A6104" si="640">+A6096+1</f>
        <v>5028</v>
      </c>
      <c r="B6097" s="13">
        <v>1</v>
      </c>
      <c r="C6097" s="17" t="s">
        <v>52</v>
      </c>
      <c r="D6097" s="17">
        <v>36619</v>
      </c>
      <c r="E6097" s="17">
        <v>179</v>
      </c>
      <c r="F6097" s="17">
        <v>7167</v>
      </c>
      <c r="G6097" s="13">
        <v>3</v>
      </c>
      <c r="H6097" s="17">
        <v>2</v>
      </c>
      <c r="I6097" s="17">
        <v>3</v>
      </c>
      <c r="J6097" s="17">
        <v>31</v>
      </c>
      <c r="K6097" s="10">
        <v>1131</v>
      </c>
      <c r="P6097" s="17">
        <v>1</v>
      </c>
      <c r="Q6097" s="19">
        <v>1131</v>
      </c>
      <c r="R6097" s="14">
        <v>160</v>
      </c>
      <c r="S6097" s="19">
        <v>180960</v>
      </c>
      <c r="AJ6097" s="19">
        <v>0</v>
      </c>
      <c r="AK6097" s="23">
        <v>0</v>
      </c>
      <c r="AM6097" s="19">
        <v>0</v>
      </c>
      <c r="AN6097" s="19">
        <v>180960</v>
      </c>
      <c r="AP6097" s="14">
        <v>180960</v>
      </c>
    </row>
    <row r="6098" spans="1:45" x14ac:dyDescent="0.2">
      <c r="A6098" s="122">
        <f t="shared" si="640"/>
        <v>5029</v>
      </c>
      <c r="B6098" s="13">
        <v>1</v>
      </c>
      <c r="C6098" s="17" t="s">
        <v>52</v>
      </c>
      <c r="D6098" s="17">
        <v>36632</v>
      </c>
      <c r="E6098" s="17">
        <v>180</v>
      </c>
      <c r="F6098" s="17">
        <v>7180</v>
      </c>
      <c r="G6098" s="13">
        <v>3</v>
      </c>
      <c r="H6098" s="17">
        <v>2</v>
      </c>
      <c r="I6098" s="17">
        <v>1</v>
      </c>
      <c r="J6098" s="17">
        <v>10.08</v>
      </c>
      <c r="K6098" s="10">
        <v>910.08</v>
      </c>
      <c r="P6098" s="17">
        <v>1</v>
      </c>
      <c r="Q6098" s="19">
        <v>910.08</v>
      </c>
      <c r="R6098" s="14">
        <v>160</v>
      </c>
      <c r="S6098" s="19">
        <v>145612.80000000002</v>
      </c>
      <c r="AJ6098" s="19">
        <v>0</v>
      </c>
      <c r="AK6098" s="23">
        <v>0</v>
      </c>
      <c r="AM6098" s="19">
        <v>0</v>
      </c>
      <c r="AN6098" s="19">
        <v>145612.80000000002</v>
      </c>
      <c r="AP6098" s="14">
        <v>145612.80000000002</v>
      </c>
    </row>
    <row r="6099" spans="1:45" x14ac:dyDescent="0.2">
      <c r="A6099" s="122">
        <f t="shared" si="640"/>
        <v>5030</v>
      </c>
      <c r="B6099" s="13">
        <v>1</v>
      </c>
      <c r="C6099" s="17" t="s">
        <v>52</v>
      </c>
      <c r="D6099" s="17">
        <v>18159</v>
      </c>
      <c r="E6099" s="17">
        <v>3</v>
      </c>
      <c r="F6099" s="17">
        <v>4081</v>
      </c>
      <c r="G6099" s="13">
        <v>5</v>
      </c>
      <c r="H6099" s="17">
        <v>8</v>
      </c>
      <c r="I6099" s="17">
        <v>0</v>
      </c>
      <c r="J6099" s="17">
        <v>63</v>
      </c>
      <c r="K6099" s="10">
        <v>3263</v>
      </c>
      <c r="P6099" s="17">
        <v>1</v>
      </c>
      <c r="Q6099" s="19">
        <v>3263</v>
      </c>
      <c r="R6099" s="14">
        <v>160</v>
      </c>
      <c r="S6099" s="19">
        <v>522080</v>
      </c>
      <c r="AJ6099" s="19">
        <v>0</v>
      </c>
      <c r="AK6099" s="23">
        <v>0</v>
      </c>
      <c r="AM6099" s="19">
        <v>0</v>
      </c>
      <c r="AN6099" s="19">
        <v>522080</v>
      </c>
      <c r="AP6099" s="14">
        <v>522080</v>
      </c>
      <c r="AS6099" s="26">
        <v>42</v>
      </c>
    </row>
    <row r="6100" spans="1:45" x14ac:dyDescent="0.2">
      <c r="A6100" s="122">
        <f t="shared" si="640"/>
        <v>5031</v>
      </c>
      <c r="B6100" s="13">
        <v>2</v>
      </c>
      <c r="C6100" s="17" t="s">
        <v>52</v>
      </c>
      <c r="D6100" s="17">
        <v>25435</v>
      </c>
      <c r="E6100" s="17">
        <v>44</v>
      </c>
      <c r="F6100" s="17">
        <v>4938</v>
      </c>
      <c r="G6100" s="13">
        <v>5</v>
      </c>
      <c r="H6100" s="17">
        <v>1</v>
      </c>
      <c r="I6100" s="17">
        <v>3</v>
      </c>
      <c r="J6100" s="17">
        <v>50</v>
      </c>
      <c r="K6100" s="10">
        <v>750</v>
      </c>
      <c r="P6100" s="17">
        <v>1</v>
      </c>
      <c r="Q6100" s="19">
        <v>750</v>
      </c>
      <c r="R6100" s="14">
        <v>160</v>
      </c>
      <c r="S6100" s="19">
        <v>120000</v>
      </c>
      <c r="AJ6100" s="19">
        <v>0</v>
      </c>
      <c r="AK6100" s="23">
        <v>0</v>
      </c>
      <c r="AM6100" s="19">
        <v>0</v>
      </c>
      <c r="AN6100" s="19">
        <v>120000</v>
      </c>
      <c r="AP6100" s="14">
        <v>120000</v>
      </c>
    </row>
    <row r="6101" spans="1:45" x14ac:dyDescent="0.2">
      <c r="A6101" s="122">
        <f t="shared" si="640"/>
        <v>5032</v>
      </c>
      <c r="B6101" s="13">
        <v>3</v>
      </c>
      <c r="C6101" s="17" t="s">
        <v>65</v>
      </c>
      <c r="D6101" s="17">
        <v>1306</v>
      </c>
      <c r="E6101" s="17">
        <v>20</v>
      </c>
      <c r="H6101" s="17">
        <v>3</v>
      </c>
      <c r="I6101" s="17">
        <v>0</v>
      </c>
      <c r="J6101" s="17">
        <v>80</v>
      </c>
      <c r="K6101" s="10">
        <v>1280</v>
      </c>
      <c r="P6101" s="17">
        <v>1</v>
      </c>
      <c r="Q6101" s="19">
        <v>1280</v>
      </c>
      <c r="R6101" s="14">
        <v>250</v>
      </c>
      <c r="S6101" s="19">
        <v>320000</v>
      </c>
      <c r="AJ6101" s="19">
        <v>0</v>
      </c>
      <c r="AK6101" s="23">
        <v>0</v>
      </c>
      <c r="AM6101" s="19">
        <v>0</v>
      </c>
      <c r="AN6101" s="19">
        <v>320000</v>
      </c>
      <c r="AP6101" s="14">
        <v>320000</v>
      </c>
      <c r="AQ6101" s="12">
        <v>1E-4</v>
      </c>
    </row>
    <row r="6102" spans="1:45" x14ac:dyDescent="0.2">
      <c r="A6102" s="122">
        <f t="shared" si="640"/>
        <v>5033</v>
      </c>
      <c r="B6102" s="13">
        <v>1</v>
      </c>
      <c r="C6102" s="17" t="s">
        <v>52</v>
      </c>
      <c r="D6102" s="17">
        <v>25438</v>
      </c>
      <c r="E6102" s="17">
        <v>107</v>
      </c>
      <c r="F6102" s="17">
        <v>4941</v>
      </c>
      <c r="G6102" s="13">
        <v>5</v>
      </c>
      <c r="H6102" s="17">
        <v>1</v>
      </c>
      <c r="I6102" s="17">
        <v>1</v>
      </c>
      <c r="J6102" s="17">
        <v>90</v>
      </c>
      <c r="K6102" s="10">
        <v>590</v>
      </c>
      <c r="P6102" s="17">
        <v>1</v>
      </c>
      <c r="Q6102" s="19">
        <v>590</v>
      </c>
      <c r="R6102" s="14">
        <v>750</v>
      </c>
      <c r="S6102" s="19">
        <v>442500</v>
      </c>
      <c r="AJ6102" s="19">
        <v>0</v>
      </c>
      <c r="AK6102" s="23">
        <v>0</v>
      </c>
      <c r="AM6102" s="19">
        <v>0</v>
      </c>
      <c r="AN6102" s="19">
        <v>442500</v>
      </c>
      <c r="AP6102" s="14">
        <v>442500</v>
      </c>
      <c r="AS6102" s="26">
        <v>8</v>
      </c>
    </row>
    <row r="6103" spans="1:45" x14ac:dyDescent="0.2">
      <c r="A6103" s="122">
        <f t="shared" si="640"/>
        <v>5034</v>
      </c>
      <c r="B6103" s="13">
        <v>1</v>
      </c>
      <c r="C6103" s="17" t="s">
        <v>52</v>
      </c>
      <c r="D6103" s="17">
        <v>25439</v>
      </c>
      <c r="E6103" s="17">
        <v>108</v>
      </c>
      <c r="F6103" s="17">
        <v>4942</v>
      </c>
      <c r="G6103" s="13">
        <v>5</v>
      </c>
      <c r="H6103" s="17">
        <v>1</v>
      </c>
      <c r="I6103" s="17">
        <v>0</v>
      </c>
      <c r="J6103" s="17">
        <v>83</v>
      </c>
      <c r="K6103" s="10">
        <v>483</v>
      </c>
      <c r="P6103" s="17">
        <v>1</v>
      </c>
      <c r="Q6103" s="19">
        <v>483</v>
      </c>
      <c r="R6103" s="14">
        <v>750</v>
      </c>
      <c r="S6103" s="19">
        <v>362250</v>
      </c>
      <c r="AJ6103" s="19">
        <v>0</v>
      </c>
      <c r="AK6103" s="23">
        <v>0</v>
      </c>
      <c r="AM6103" s="19">
        <v>0</v>
      </c>
      <c r="AN6103" s="19">
        <v>362250</v>
      </c>
      <c r="AP6103" s="14">
        <v>362250</v>
      </c>
    </row>
    <row r="6104" spans="1:45" x14ac:dyDescent="0.2">
      <c r="A6104" s="122">
        <f t="shared" si="640"/>
        <v>5035</v>
      </c>
      <c r="B6104" s="13">
        <v>2</v>
      </c>
      <c r="C6104" s="17" t="s">
        <v>52</v>
      </c>
      <c r="D6104" s="17">
        <v>36794</v>
      </c>
      <c r="E6104" s="17">
        <v>142</v>
      </c>
      <c r="F6104" s="17">
        <v>7124</v>
      </c>
      <c r="G6104" s="13">
        <v>5</v>
      </c>
      <c r="H6104" s="17">
        <v>0</v>
      </c>
      <c r="I6104" s="17">
        <v>1</v>
      </c>
      <c r="J6104" s="17">
        <v>53.08</v>
      </c>
      <c r="K6104" s="10">
        <v>153.08000000000001</v>
      </c>
      <c r="P6104" s="17">
        <v>1</v>
      </c>
      <c r="Q6104" s="19">
        <v>153.07999999999998</v>
      </c>
      <c r="R6104" s="14">
        <v>160</v>
      </c>
      <c r="S6104" s="19">
        <v>24492.799999999996</v>
      </c>
      <c r="AJ6104" s="19">
        <v>0</v>
      </c>
      <c r="AK6104" s="23">
        <v>0</v>
      </c>
      <c r="AM6104" s="19">
        <v>0</v>
      </c>
      <c r="AN6104" s="19">
        <v>24492.799999999996</v>
      </c>
      <c r="AP6104" s="14">
        <v>24492.799999999996</v>
      </c>
    </row>
    <row r="6105" spans="1:45" x14ac:dyDescent="0.2">
      <c r="R6105" s="14" t="e">
        <v>#N/A</v>
      </c>
    </row>
    <row r="6106" spans="1:45" x14ac:dyDescent="0.2">
      <c r="A6106" s="2">
        <v>5036</v>
      </c>
      <c r="B6106" s="13">
        <v>1</v>
      </c>
      <c r="C6106" s="17" t="s">
        <v>52</v>
      </c>
      <c r="D6106" s="17">
        <v>25436</v>
      </c>
      <c r="E6106" s="17">
        <v>45</v>
      </c>
      <c r="F6106" s="17">
        <v>4939</v>
      </c>
      <c r="G6106" s="13">
        <v>5</v>
      </c>
      <c r="H6106" s="17">
        <v>2</v>
      </c>
      <c r="I6106" s="17">
        <v>1</v>
      </c>
      <c r="J6106" s="17">
        <v>42</v>
      </c>
      <c r="K6106" s="10">
        <v>942</v>
      </c>
      <c r="P6106" s="17">
        <v>1</v>
      </c>
      <c r="Q6106" s="19">
        <v>942</v>
      </c>
      <c r="R6106" s="14">
        <v>160</v>
      </c>
      <c r="S6106" s="19">
        <v>150720</v>
      </c>
      <c r="AJ6106" s="19">
        <v>0</v>
      </c>
      <c r="AK6106" s="23">
        <v>0</v>
      </c>
      <c r="AM6106" s="19">
        <v>0</v>
      </c>
      <c r="AN6106" s="19">
        <v>150720</v>
      </c>
      <c r="AP6106" s="14">
        <v>150720</v>
      </c>
      <c r="AS6106" s="26">
        <v>18</v>
      </c>
    </row>
    <row r="6107" spans="1:45" x14ac:dyDescent="0.2">
      <c r="A6107" s="2">
        <f>+A6106+1</f>
        <v>5037</v>
      </c>
      <c r="B6107" s="13">
        <v>2</v>
      </c>
      <c r="C6107" s="17" t="s">
        <v>52</v>
      </c>
      <c r="D6107" s="17">
        <v>25437</v>
      </c>
      <c r="E6107" s="17">
        <v>28</v>
      </c>
      <c r="F6107" s="17">
        <v>4940</v>
      </c>
      <c r="G6107" s="13">
        <v>5</v>
      </c>
      <c r="H6107" s="17">
        <v>1</v>
      </c>
      <c r="I6107" s="17">
        <v>3</v>
      </c>
      <c r="J6107" s="17">
        <v>79</v>
      </c>
      <c r="K6107" s="10">
        <v>779</v>
      </c>
      <c r="P6107" s="17">
        <v>1</v>
      </c>
      <c r="Q6107" s="19">
        <v>779</v>
      </c>
      <c r="R6107" s="14">
        <v>750</v>
      </c>
      <c r="S6107" s="19">
        <v>584250</v>
      </c>
      <c r="AJ6107" s="19">
        <v>0</v>
      </c>
      <c r="AK6107" s="23">
        <v>0</v>
      </c>
      <c r="AM6107" s="19">
        <v>0</v>
      </c>
      <c r="AN6107" s="19">
        <v>584250</v>
      </c>
      <c r="AP6107" s="14">
        <v>584250</v>
      </c>
    </row>
    <row r="6108" spans="1:45" x14ac:dyDescent="0.2">
      <c r="A6108" s="122">
        <f t="shared" ref="A6108:A6110" si="641">+A6107+1</f>
        <v>5038</v>
      </c>
      <c r="B6108" s="13">
        <v>1</v>
      </c>
      <c r="C6108" s="17" t="s">
        <v>52</v>
      </c>
      <c r="D6108" s="17">
        <v>29895</v>
      </c>
      <c r="E6108" s="17">
        <v>76</v>
      </c>
      <c r="F6108" s="17">
        <v>5750</v>
      </c>
      <c r="G6108" s="13">
        <v>5</v>
      </c>
      <c r="H6108" s="17">
        <v>0</v>
      </c>
      <c r="I6108" s="17">
        <v>0</v>
      </c>
      <c r="J6108" s="17">
        <v>38</v>
      </c>
      <c r="N6108" s="18">
        <v>38</v>
      </c>
      <c r="P6108" s="17">
        <v>4</v>
      </c>
      <c r="Q6108" s="19">
        <v>38</v>
      </c>
      <c r="R6108" s="14">
        <v>1500</v>
      </c>
      <c r="S6108" s="19">
        <v>57000</v>
      </c>
      <c r="AJ6108" s="19">
        <v>0</v>
      </c>
      <c r="AK6108" s="23">
        <v>0</v>
      </c>
      <c r="AM6108" s="19">
        <v>0</v>
      </c>
      <c r="AN6108" s="19">
        <v>57000</v>
      </c>
      <c r="AP6108" s="14">
        <v>57000</v>
      </c>
      <c r="AQ6108" s="12">
        <v>3.0000000000000001E-3</v>
      </c>
      <c r="AS6108" s="26">
        <v>20</v>
      </c>
    </row>
    <row r="6109" spans="1:45" x14ac:dyDescent="0.2">
      <c r="A6109" s="122">
        <f t="shared" si="641"/>
        <v>5039</v>
      </c>
      <c r="B6109" s="13">
        <v>2</v>
      </c>
      <c r="C6109" s="17" t="s">
        <v>52</v>
      </c>
      <c r="D6109" s="17">
        <v>29896</v>
      </c>
      <c r="E6109" s="17">
        <v>77</v>
      </c>
      <c r="F6109" s="17">
        <v>5751</v>
      </c>
      <c r="G6109" s="13">
        <v>5</v>
      </c>
      <c r="H6109" s="17">
        <v>0</v>
      </c>
      <c r="I6109" s="17">
        <v>0</v>
      </c>
      <c r="J6109" s="17">
        <v>38</v>
      </c>
      <c r="N6109" s="18">
        <v>38</v>
      </c>
      <c r="P6109" s="17">
        <v>4</v>
      </c>
      <c r="Q6109" s="19">
        <v>38</v>
      </c>
      <c r="R6109" s="14">
        <v>1500</v>
      </c>
      <c r="S6109" s="19">
        <v>57000</v>
      </c>
      <c r="AJ6109" s="19">
        <v>0</v>
      </c>
      <c r="AK6109" s="23">
        <v>0</v>
      </c>
      <c r="AM6109" s="19">
        <v>0</v>
      </c>
      <c r="AN6109" s="19">
        <v>57000</v>
      </c>
      <c r="AP6109" s="14">
        <v>57000</v>
      </c>
      <c r="AQ6109" s="12">
        <v>3.0000000000000001E-3</v>
      </c>
    </row>
    <row r="6110" spans="1:45" x14ac:dyDescent="0.2">
      <c r="A6110" s="122">
        <f t="shared" si="641"/>
        <v>5040</v>
      </c>
      <c r="B6110" s="13">
        <v>1</v>
      </c>
      <c r="C6110" s="17" t="s">
        <v>52</v>
      </c>
      <c r="D6110" s="17">
        <v>1274</v>
      </c>
      <c r="E6110" s="17">
        <v>14</v>
      </c>
      <c r="F6110" s="17">
        <v>745</v>
      </c>
      <c r="G6110" s="13">
        <v>6</v>
      </c>
      <c r="H6110" s="17">
        <v>3</v>
      </c>
      <c r="I6110" s="17">
        <v>2</v>
      </c>
      <c r="J6110" s="17">
        <v>99</v>
      </c>
      <c r="K6110" s="10">
        <v>1499</v>
      </c>
      <c r="P6110" s="17">
        <v>1</v>
      </c>
      <c r="Q6110" s="19">
        <v>1499</v>
      </c>
      <c r="R6110" s="14">
        <v>375</v>
      </c>
      <c r="S6110" s="19">
        <v>562125</v>
      </c>
      <c r="AJ6110" s="19">
        <v>0</v>
      </c>
      <c r="AK6110" s="23">
        <v>0</v>
      </c>
      <c r="AM6110" s="19">
        <v>0</v>
      </c>
      <c r="AN6110" s="19">
        <v>562125</v>
      </c>
      <c r="AP6110" s="14">
        <v>562125</v>
      </c>
      <c r="AS6110" s="26">
        <v>15</v>
      </c>
    </row>
    <row r="6111" spans="1:45" x14ac:dyDescent="0.2">
      <c r="R6111" s="14" t="e">
        <v>#N/A</v>
      </c>
    </row>
    <row r="6112" spans="1:45" ht="63" x14ac:dyDescent="0.2">
      <c r="A6112" s="2">
        <v>5041</v>
      </c>
      <c r="B6112" s="13">
        <v>1</v>
      </c>
      <c r="C6112" s="17" t="s">
        <v>52</v>
      </c>
      <c r="D6112" s="17">
        <v>5880</v>
      </c>
      <c r="E6112" s="17">
        <v>48</v>
      </c>
      <c r="F6112" s="17">
        <v>3018</v>
      </c>
      <c r="G6112" s="13">
        <v>5</v>
      </c>
      <c r="H6112" s="17">
        <v>0</v>
      </c>
      <c r="I6112" s="17">
        <v>3</v>
      </c>
      <c r="J6112" s="17">
        <v>56</v>
      </c>
      <c r="K6112" s="10">
        <v>322.63</v>
      </c>
      <c r="L6112" s="17">
        <v>33.369999999999997</v>
      </c>
      <c r="P6112" s="17">
        <v>5</v>
      </c>
      <c r="Q6112" s="19">
        <v>356</v>
      </c>
      <c r="R6112" s="14">
        <v>1100</v>
      </c>
      <c r="S6112" s="19">
        <v>391600</v>
      </c>
      <c r="T6112" s="17">
        <v>1</v>
      </c>
      <c r="V6112" s="17" t="s">
        <v>618</v>
      </c>
      <c r="W6112" s="4">
        <v>58.5</v>
      </c>
      <c r="Y6112" s="4">
        <v>58.5</v>
      </c>
      <c r="AB6112" s="17">
        <v>59</v>
      </c>
      <c r="AJ6112" s="19">
        <v>0</v>
      </c>
      <c r="AK6112" s="23">
        <v>59</v>
      </c>
      <c r="AM6112" s="19">
        <v>0</v>
      </c>
      <c r="AN6112" s="19">
        <v>391600</v>
      </c>
      <c r="AP6112" s="14">
        <v>391600</v>
      </c>
    </row>
    <row r="6113" spans="1:45" ht="42" x14ac:dyDescent="0.2">
      <c r="Q6113" s="19">
        <v>0</v>
      </c>
      <c r="R6113" s="14" t="e">
        <v>#N/A</v>
      </c>
      <c r="S6113" s="19" t="e">
        <v>#N/A</v>
      </c>
      <c r="T6113" s="17">
        <v>2</v>
      </c>
      <c r="V6113" s="17" t="s">
        <v>624</v>
      </c>
      <c r="W6113" s="4">
        <v>75</v>
      </c>
      <c r="Y6113" s="4">
        <v>75</v>
      </c>
      <c r="AB6113" s="17">
        <v>11</v>
      </c>
      <c r="AJ6113" s="19">
        <v>0</v>
      </c>
      <c r="AK6113" s="23">
        <v>11</v>
      </c>
      <c r="AM6113" s="19">
        <v>0</v>
      </c>
      <c r="AN6113" s="19" t="e">
        <v>#N/A</v>
      </c>
      <c r="AP6113" s="14" t="e">
        <v>#N/A</v>
      </c>
    </row>
    <row r="6114" spans="1:45" x14ac:dyDescent="0.2">
      <c r="A6114" s="2">
        <v>5042</v>
      </c>
      <c r="B6114" s="13">
        <v>1</v>
      </c>
      <c r="C6114" s="17" t="s">
        <v>52</v>
      </c>
      <c r="D6114" s="17">
        <v>5836</v>
      </c>
      <c r="E6114" s="17">
        <v>4</v>
      </c>
      <c r="F6114" s="17">
        <v>3033</v>
      </c>
      <c r="G6114" s="13">
        <v>5</v>
      </c>
      <c r="H6114" s="17">
        <v>0</v>
      </c>
      <c r="I6114" s="17">
        <v>1</v>
      </c>
      <c r="J6114" s="17">
        <v>74</v>
      </c>
      <c r="K6114" s="10">
        <v>174</v>
      </c>
      <c r="P6114" s="17">
        <v>1</v>
      </c>
      <c r="Q6114" s="19">
        <v>174</v>
      </c>
      <c r="R6114" s="14">
        <v>160</v>
      </c>
      <c r="S6114" s="19">
        <v>27840</v>
      </c>
      <c r="AJ6114" s="19">
        <v>0</v>
      </c>
      <c r="AK6114" s="23">
        <v>0</v>
      </c>
      <c r="AM6114" s="19">
        <v>0</v>
      </c>
      <c r="AN6114" s="19">
        <v>27840</v>
      </c>
      <c r="AP6114" s="14">
        <v>27840</v>
      </c>
    </row>
    <row r="6115" spans="1:45" x14ac:dyDescent="0.2">
      <c r="A6115" s="2">
        <f>+A6114+1</f>
        <v>5043</v>
      </c>
      <c r="B6115" s="13">
        <v>1</v>
      </c>
      <c r="C6115" s="17" t="s">
        <v>52</v>
      </c>
      <c r="D6115" s="17">
        <v>5837</v>
      </c>
      <c r="E6115" s="17">
        <v>5</v>
      </c>
      <c r="F6115" s="17">
        <v>3034</v>
      </c>
      <c r="G6115" s="13">
        <v>5</v>
      </c>
      <c r="H6115" s="17">
        <v>0</v>
      </c>
      <c r="I6115" s="17">
        <v>2</v>
      </c>
      <c r="J6115" s="17">
        <v>1</v>
      </c>
      <c r="K6115" s="10">
        <v>201</v>
      </c>
      <c r="P6115" s="17">
        <v>1</v>
      </c>
      <c r="Q6115" s="19">
        <v>201</v>
      </c>
      <c r="R6115" s="14">
        <v>160</v>
      </c>
      <c r="S6115" s="19">
        <v>32160</v>
      </c>
      <c r="AJ6115" s="19">
        <v>0</v>
      </c>
      <c r="AK6115" s="23">
        <v>0</v>
      </c>
      <c r="AM6115" s="19">
        <v>0</v>
      </c>
      <c r="AN6115" s="19">
        <v>32160</v>
      </c>
      <c r="AP6115" s="14">
        <v>32160</v>
      </c>
    </row>
    <row r="6116" spans="1:45" ht="42" x14ac:dyDescent="0.2">
      <c r="A6116" s="122">
        <f t="shared" ref="A6116:A6117" si="642">+A6115+1</f>
        <v>5044</v>
      </c>
      <c r="B6116" s="13">
        <v>1</v>
      </c>
      <c r="C6116" s="17" t="s">
        <v>52</v>
      </c>
      <c r="D6116" s="17">
        <v>3421</v>
      </c>
      <c r="E6116" s="17">
        <v>18</v>
      </c>
      <c r="F6116" s="17">
        <v>2195</v>
      </c>
      <c r="G6116" s="13">
        <v>2</v>
      </c>
      <c r="H6116" s="17">
        <v>0</v>
      </c>
      <c r="I6116" s="17">
        <v>3</v>
      </c>
      <c r="J6116" s="17">
        <v>93</v>
      </c>
      <c r="K6116" s="10">
        <v>367</v>
      </c>
      <c r="L6116" s="17">
        <v>26</v>
      </c>
      <c r="P6116" s="17">
        <v>5</v>
      </c>
      <c r="Q6116" s="19">
        <v>393</v>
      </c>
      <c r="R6116" s="14">
        <v>200</v>
      </c>
      <c r="S6116" s="19">
        <v>78600</v>
      </c>
      <c r="T6116" s="17">
        <v>1</v>
      </c>
      <c r="V6116" s="17" t="s">
        <v>183</v>
      </c>
      <c r="W6116" s="4">
        <v>104</v>
      </c>
      <c r="Y6116" s="4">
        <v>104</v>
      </c>
      <c r="AB6116" s="17">
        <v>2</v>
      </c>
      <c r="AJ6116" s="19">
        <v>0</v>
      </c>
      <c r="AK6116" s="23">
        <v>2</v>
      </c>
      <c r="AM6116" s="19">
        <v>0</v>
      </c>
      <c r="AN6116" s="19">
        <v>78600</v>
      </c>
      <c r="AP6116" s="14">
        <v>78600</v>
      </c>
    </row>
    <row r="6117" spans="1:45" ht="42" x14ac:dyDescent="0.2">
      <c r="A6117" s="122">
        <f t="shared" si="642"/>
        <v>5045</v>
      </c>
      <c r="B6117" s="13">
        <v>1</v>
      </c>
      <c r="C6117" s="17" t="s">
        <v>52</v>
      </c>
      <c r="D6117" s="17">
        <v>5919</v>
      </c>
      <c r="E6117" s="17">
        <v>51</v>
      </c>
      <c r="F6117" s="17">
        <v>3016</v>
      </c>
      <c r="G6117" s="13">
        <v>5</v>
      </c>
      <c r="H6117" s="17">
        <v>0</v>
      </c>
      <c r="I6117" s="17">
        <v>2</v>
      </c>
      <c r="J6117" s="17">
        <v>41</v>
      </c>
      <c r="K6117" s="10">
        <v>195.69</v>
      </c>
      <c r="L6117" s="17">
        <v>45.31</v>
      </c>
      <c r="P6117" s="17">
        <v>5</v>
      </c>
      <c r="Q6117" s="19">
        <v>241</v>
      </c>
      <c r="R6117" s="14">
        <v>250</v>
      </c>
      <c r="S6117" s="19">
        <v>60250</v>
      </c>
      <c r="T6117" s="17">
        <v>1</v>
      </c>
      <c r="V6117" s="17" t="s">
        <v>183</v>
      </c>
      <c r="W6117" s="4">
        <v>48</v>
      </c>
      <c r="Y6117" s="4">
        <v>48</v>
      </c>
      <c r="AB6117" s="17">
        <v>11</v>
      </c>
      <c r="AJ6117" s="19">
        <v>0</v>
      </c>
      <c r="AK6117" s="23">
        <v>11</v>
      </c>
      <c r="AM6117" s="19">
        <v>0</v>
      </c>
      <c r="AN6117" s="19">
        <v>60250</v>
      </c>
      <c r="AP6117" s="14">
        <v>60250</v>
      </c>
    </row>
    <row r="6118" spans="1:45" ht="42" x14ac:dyDescent="0.2">
      <c r="Q6118" s="19">
        <v>0</v>
      </c>
      <c r="R6118" s="14" t="e">
        <v>#N/A</v>
      </c>
      <c r="S6118" s="19" t="e">
        <v>#N/A</v>
      </c>
      <c r="T6118" s="17">
        <v>2</v>
      </c>
      <c r="V6118" s="17" t="s">
        <v>183</v>
      </c>
      <c r="W6118" s="4">
        <v>50</v>
      </c>
      <c r="Y6118" s="4">
        <v>50</v>
      </c>
      <c r="AB6118" s="17">
        <v>8</v>
      </c>
      <c r="AJ6118" s="19">
        <v>0</v>
      </c>
      <c r="AK6118" s="23">
        <v>8</v>
      </c>
      <c r="AM6118" s="19">
        <v>0</v>
      </c>
      <c r="AN6118" s="19" t="e">
        <v>#N/A</v>
      </c>
      <c r="AP6118" s="14" t="e">
        <v>#N/A</v>
      </c>
    </row>
    <row r="6119" spans="1:45" ht="42" x14ac:dyDescent="0.2">
      <c r="Q6119" s="19">
        <v>0</v>
      </c>
      <c r="R6119" s="14" t="e">
        <v>#N/A</v>
      </c>
      <c r="S6119" s="19" t="e">
        <v>#N/A</v>
      </c>
      <c r="T6119" s="17">
        <v>3</v>
      </c>
      <c r="V6119" s="17" t="s">
        <v>183</v>
      </c>
      <c r="W6119" s="4">
        <v>36</v>
      </c>
      <c r="Y6119" s="4">
        <v>36</v>
      </c>
      <c r="AB6119" s="17">
        <v>8</v>
      </c>
      <c r="AJ6119" s="19">
        <v>0</v>
      </c>
      <c r="AK6119" s="23">
        <v>8</v>
      </c>
      <c r="AM6119" s="19">
        <v>0</v>
      </c>
      <c r="AN6119" s="19" t="e">
        <v>#N/A</v>
      </c>
      <c r="AP6119" s="14" t="e">
        <v>#N/A</v>
      </c>
    </row>
    <row r="6120" spans="1:45" ht="42" x14ac:dyDescent="0.2">
      <c r="Q6120" s="19">
        <v>0</v>
      </c>
      <c r="R6120" s="14" t="e">
        <v>#N/A</v>
      </c>
      <c r="S6120" s="19" t="e">
        <v>#N/A</v>
      </c>
      <c r="T6120" s="17">
        <v>4</v>
      </c>
      <c r="V6120" s="17" t="s">
        <v>183</v>
      </c>
      <c r="W6120" s="4">
        <v>47.25</v>
      </c>
      <c r="Y6120" s="4">
        <v>47.25</v>
      </c>
      <c r="AB6120" s="17">
        <v>7</v>
      </c>
      <c r="AJ6120" s="19">
        <v>0</v>
      </c>
      <c r="AK6120" s="23">
        <v>7</v>
      </c>
      <c r="AM6120" s="19">
        <v>0</v>
      </c>
      <c r="AN6120" s="19" t="e">
        <v>#N/A</v>
      </c>
      <c r="AP6120" s="14" t="e">
        <v>#N/A</v>
      </c>
    </row>
    <row r="6121" spans="1:45" ht="42" x14ac:dyDescent="0.2">
      <c r="Q6121" s="19">
        <v>0</v>
      </c>
      <c r="R6121" s="14" t="e">
        <v>#N/A</v>
      </c>
      <c r="S6121" s="19" t="e">
        <v>#N/A</v>
      </c>
      <c r="T6121" s="17">
        <v>5</v>
      </c>
      <c r="V6121" s="17" t="s">
        <v>183</v>
      </c>
      <c r="W6121" s="4">
        <v>20</v>
      </c>
      <c r="Y6121" s="4">
        <v>20</v>
      </c>
      <c r="AB6121" s="17">
        <v>11</v>
      </c>
      <c r="AJ6121" s="19">
        <v>0</v>
      </c>
      <c r="AK6121" s="23">
        <v>11</v>
      </c>
      <c r="AM6121" s="19">
        <v>0</v>
      </c>
      <c r="AN6121" s="19" t="e">
        <v>#N/A</v>
      </c>
      <c r="AP6121" s="14" t="e">
        <v>#N/A</v>
      </c>
    </row>
    <row r="6122" spans="1:45" ht="63" x14ac:dyDescent="0.2">
      <c r="A6122" s="2">
        <v>5046</v>
      </c>
      <c r="B6122" s="13">
        <v>1</v>
      </c>
      <c r="C6122" s="17" t="s">
        <v>52</v>
      </c>
      <c r="D6122" s="17">
        <v>33662</v>
      </c>
      <c r="E6122" s="17">
        <v>67</v>
      </c>
      <c r="F6122" s="17">
        <v>6681</v>
      </c>
      <c r="G6122" s="13">
        <v>7</v>
      </c>
      <c r="H6122" s="17">
        <v>0</v>
      </c>
      <c r="I6122" s="17">
        <v>0</v>
      </c>
      <c r="J6122" s="17">
        <v>33</v>
      </c>
      <c r="L6122" s="17" t="s">
        <v>629</v>
      </c>
      <c r="P6122" s="17">
        <v>2</v>
      </c>
      <c r="Q6122" s="19">
        <v>33</v>
      </c>
      <c r="R6122" s="14">
        <v>250</v>
      </c>
      <c r="S6122" s="19">
        <v>8250</v>
      </c>
      <c r="T6122" s="17">
        <v>1</v>
      </c>
      <c r="V6122" s="17" t="s">
        <v>618</v>
      </c>
      <c r="W6122" s="4">
        <v>76.5</v>
      </c>
      <c r="Y6122" s="4">
        <v>76.5</v>
      </c>
      <c r="AB6122" s="17">
        <v>21</v>
      </c>
      <c r="AJ6122" s="19">
        <v>0</v>
      </c>
      <c r="AK6122" s="23">
        <v>21</v>
      </c>
      <c r="AM6122" s="19">
        <v>0</v>
      </c>
      <c r="AN6122" s="19">
        <v>8250</v>
      </c>
      <c r="AP6122" s="14">
        <v>8250</v>
      </c>
    </row>
    <row r="6123" spans="1:45" x14ac:dyDescent="0.2">
      <c r="A6123" s="2">
        <f>+A6122+1</f>
        <v>5047</v>
      </c>
      <c r="B6123" s="13">
        <v>1</v>
      </c>
      <c r="C6123" s="17" t="s">
        <v>52</v>
      </c>
      <c r="D6123" s="17">
        <v>4948</v>
      </c>
      <c r="E6123" s="17">
        <v>6</v>
      </c>
      <c r="F6123" s="17">
        <v>2552</v>
      </c>
      <c r="G6123" s="13">
        <v>7</v>
      </c>
      <c r="H6123" s="17">
        <v>0</v>
      </c>
      <c r="I6123" s="17">
        <v>1</v>
      </c>
      <c r="J6123" s="17">
        <v>97</v>
      </c>
      <c r="K6123" s="10">
        <v>197</v>
      </c>
      <c r="P6123" s="17">
        <v>1</v>
      </c>
      <c r="Q6123" s="19">
        <v>197</v>
      </c>
      <c r="R6123" s="14">
        <v>3950</v>
      </c>
      <c r="S6123" s="19">
        <v>778150</v>
      </c>
      <c r="AJ6123" s="19">
        <v>0</v>
      </c>
      <c r="AK6123" s="23">
        <v>0</v>
      </c>
      <c r="AM6123" s="19">
        <v>0</v>
      </c>
      <c r="AN6123" s="19">
        <v>778150</v>
      </c>
      <c r="AP6123" s="14">
        <v>778150</v>
      </c>
    </row>
    <row r="6124" spans="1:45" x14ac:dyDescent="0.2">
      <c r="A6124" s="122">
        <f t="shared" ref="A6124:A6126" si="643">+A6123+1</f>
        <v>5048</v>
      </c>
      <c r="B6124" s="13">
        <v>1</v>
      </c>
      <c r="C6124" s="17" t="s">
        <v>52</v>
      </c>
      <c r="D6124" s="17">
        <v>33663</v>
      </c>
      <c r="E6124" s="17">
        <v>99</v>
      </c>
      <c r="F6124" s="17">
        <v>6682</v>
      </c>
      <c r="G6124" s="13">
        <v>7</v>
      </c>
      <c r="H6124" s="17">
        <v>0</v>
      </c>
      <c r="I6124" s="17">
        <v>0</v>
      </c>
      <c r="J6124" s="17">
        <v>98</v>
      </c>
      <c r="K6124" s="10">
        <v>98</v>
      </c>
      <c r="P6124" s="17">
        <v>1</v>
      </c>
      <c r="Q6124" s="19">
        <v>98</v>
      </c>
      <c r="R6124" s="14">
        <v>250</v>
      </c>
      <c r="S6124" s="19">
        <v>24500</v>
      </c>
      <c r="AJ6124" s="19">
        <v>0</v>
      </c>
      <c r="AK6124" s="23">
        <v>0</v>
      </c>
      <c r="AM6124" s="19">
        <v>0</v>
      </c>
      <c r="AN6124" s="19">
        <v>24500</v>
      </c>
      <c r="AP6124" s="14">
        <v>24500</v>
      </c>
    </row>
    <row r="6125" spans="1:45" x14ac:dyDescent="0.2">
      <c r="A6125" s="122">
        <f t="shared" si="643"/>
        <v>5049</v>
      </c>
      <c r="B6125" s="13">
        <v>1</v>
      </c>
      <c r="C6125" s="17" t="s">
        <v>52</v>
      </c>
      <c r="D6125" s="17">
        <v>1277</v>
      </c>
      <c r="E6125" s="17">
        <v>30</v>
      </c>
      <c r="F6125" s="17">
        <v>750</v>
      </c>
      <c r="G6125" s="13">
        <v>6</v>
      </c>
      <c r="H6125" s="17">
        <v>6</v>
      </c>
      <c r="I6125" s="17">
        <v>3</v>
      </c>
      <c r="J6125" s="17">
        <v>14</v>
      </c>
      <c r="K6125" s="10">
        <v>2714</v>
      </c>
      <c r="P6125" s="17">
        <v>1</v>
      </c>
      <c r="Q6125" s="19">
        <v>2714</v>
      </c>
      <c r="R6125" s="14">
        <v>1100</v>
      </c>
      <c r="S6125" s="19">
        <v>2985400</v>
      </c>
      <c r="AJ6125" s="19">
        <v>0</v>
      </c>
      <c r="AK6125" s="23">
        <v>0</v>
      </c>
      <c r="AM6125" s="19">
        <v>0</v>
      </c>
      <c r="AN6125" s="19">
        <v>2985400</v>
      </c>
      <c r="AP6125" s="14">
        <v>2985400</v>
      </c>
      <c r="AS6125" s="26">
        <v>200</v>
      </c>
    </row>
    <row r="6126" spans="1:45" ht="42" x14ac:dyDescent="0.2">
      <c r="A6126" s="122">
        <f t="shared" si="643"/>
        <v>5050</v>
      </c>
      <c r="B6126" s="13">
        <v>1</v>
      </c>
      <c r="C6126" s="17" t="s">
        <v>52</v>
      </c>
      <c r="D6126" s="17">
        <v>1239</v>
      </c>
      <c r="E6126" s="17">
        <v>8</v>
      </c>
      <c r="F6126" s="17">
        <v>266</v>
      </c>
      <c r="G6126" s="13">
        <v>6</v>
      </c>
      <c r="H6126" s="17">
        <v>0</v>
      </c>
      <c r="I6126" s="17">
        <v>3</v>
      </c>
      <c r="J6126" s="17">
        <v>85.8</v>
      </c>
      <c r="K6126" s="10">
        <v>4466.88</v>
      </c>
      <c r="L6126" s="17">
        <v>140.12</v>
      </c>
      <c r="P6126" s="17">
        <v>5</v>
      </c>
      <c r="Q6126" s="19">
        <v>385.8</v>
      </c>
      <c r="R6126" s="14">
        <v>375</v>
      </c>
      <c r="S6126" s="19">
        <v>144675</v>
      </c>
      <c r="T6126" s="17">
        <v>1</v>
      </c>
      <c r="V6126" s="17" t="s">
        <v>183</v>
      </c>
      <c r="W6126" s="4">
        <v>192.5</v>
      </c>
      <c r="Y6126" s="4">
        <v>192.5</v>
      </c>
      <c r="AB6126" s="17">
        <v>41</v>
      </c>
      <c r="AJ6126" s="19">
        <v>0</v>
      </c>
      <c r="AK6126" s="23">
        <v>41</v>
      </c>
      <c r="AM6126" s="19">
        <v>0</v>
      </c>
      <c r="AN6126" s="19">
        <v>144675</v>
      </c>
      <c r="AP6126" s="14">
        <v>144675</v>
      </c>
      <c r="AS6126" s="26">
        <v>31</v>
      </c>
    </row>
    <row r="6127" spans="1:45" ht="42" x14ac:dyDescent="0.2">
      <c r="Q6127" s="19">
        <v>0</v>
      </c>
      <c r="R6127" s="14" t="e">
        <v>#N/A</v>
      </c>
      <c r="S6127" s="19" t="e">
        <v>#N/A</v>
      </c>
      <c r="T6127" s="17" t="s">
        <v>288</v>
      </c>
      <c r="V6127" s="17" t="s">
        <v>183</v>
      </c>
      <c r="W6127" s="4">
        <v>52</v>
      </c>
      <c r="Y6127" s="4">
        <v>52</v>
      </c>
      <c r="AB6127" s="17">
        <v>21</v>
      </c>
      <c r="AJ6127" s="19">
        <v>0</v>
      </c>
      <c r="AK6127" s="23">
        <v>21</v>
      </c>
      <c r="AM6127" s="19">
        <v>0</v>
      </c>
      <c r="AN6127" s="19" t="e">
        <v>#N/A</v>
      </c>
      <c r="AP6127" s="14" t="e">
        <v>#N/A</v>
      </c>
    </row>
    <row r="6128" spans="1:45" ht="42" x14ac:dyDescent="0.2">
      <c r="Q6128" s="19">
        <v>0</v>
      </c>
      <c r="R6128" s="14" t="e">
        <v>#N/A</v>
      </c>
      <c r="S6128" s="19" t="e">
        <v>#N/A</v>
      </c>
      <c r="T6128" s="17" t="s">
        <v>515</v>
      </c>
      <c r="V6128" s="17" t="s">
        <v>183</v>
      </c>
      <c r="W6128" s="4">
        <v>216</v>
      </c>
      <c r="Y6128" s="4">
        <v>216</v>
      </c>
      <c r="AB6128" s="17">
        <v>27</v>
      </c>
      <c r="AJ6128" s="19">
        <v>0</v>
      </c>
      <c r="AK6128" s="23">
        <v>27</v>
      </c>
      <c r="AM6128" s="19">
        <v>0</v>
      </c>
      <c r="AN6128" s="19" t="e">
        <v>#N/A</v>
      </c>
      <c r="AP6128" s="14" t="e">
        <v>#N/A</v>
      </c>
    </row>
    <row r="6129" spans="1:45" x14ac:dyDescent="0.2">
      <c r="A6129" s="2">
        <v>5051</v>
      </c>
      <c r="B6129" s="13">
        <v>2</v>
      </c>
      <c r="C6129" s="17" t="s">
        <v>52</v>
      </c>
      <c r="D6129" s="17">
        <v>1240</v>
      </c>
      <c r="E6129" s="17">
        <v>5</v>
      </c>
      <c r="F6129" s="17">
        <v>267</v>
      </c>
      <c r="G6129" s="13">
        <v>6</v>
      </c>
      <c r="H6129" s="17">
        <v>5</v>
      </c>
      <c r="I6129" s="17">
        <v>2</v>
      </c>
      <c r="J6129" s="17">
        <v>87</v>
      </c>
      <c r="K6129" s="10">
        <v>2287</v>
      </c>
      <c r="P6129" s="17" t="s">
        <v>122</v>
      </c>
      <c r="Q6129" s="19">
        <v>2287</v>
      </c>
      <c r="R6129" s="14">
        <v>375</v>
      </c>
      <c r="S6129" s="19">
        <v>857625</v>
      </c>
      <c r="AJ6129" s="19">
        <v>0</v>
      </c>
      <c r="AK6129" s="23">
        <v>0</v>
      </c>
      <c r="AM6129" s="19">
        <v>0</v>
      </c>
      <c r="AN6129" s="19">
        <v>857625</v>
      </c>
      <c r="AP6129" s="14">
        <v>857625</v>
      </c>
    </row>
    <row r="6130" spans="1:45" x14ac:dyDescent="0.2">
      <c r="A6130" s="2">
        <f>+A6129+1</f>
        <v>5052</v>
      </c>
      <c r="B6130" s="13">
        <v>3</v>
      </c>
      <c r="C6130" s="17" t="s">
        <v>52</v>
      </c>
      <c r="D6130" s="17">
        <v>1241</v>
      </c>
      <c r="E6130" s="17">
        <v>6</v>
      </c>
      <c r="F6130" s="17">
        <v>268</v>
      </c>
      <c r="G6130" s="13">
        <v>6</v>
      </c>
      <c r="H6130" s="17">
        <v>3</v>
      </c>
      <c r="I6130" s="17">
        <v>3</v>
      </c>
      <c r="J6130" s="17">
        <v>75</v>
      </c>
      <c r="K6130" s="10">
        <v>1575</v>
      </c>
      <c r="P6130" s="17" t="s">
        <v>122</v>
      </c>
      <c r="Q6130" s="19">
        <v>1575</v>
      </c>
      <c r="R6130" s="14">
        <v>160</v>
      </c>
      <c r="S6130" s="19">
        <v>252000</v>
      </c>
      <c r="AJ6130" s="19">
        <v>0</v>
      </c>
      <c r="AK6130" s="23">
        <v>0</v>
      </c>
      <c r="AM6130" s="19">
        <v>0</v>
      </c>
      <c r="AN6130" s="19">
        <v>252000</v>
      </c>
      <c r="AP6130" s="14">
        <v>252000</v>
      </c>
    </row>
    <row r="6131" spans="1:45" ht="42" x14ac:dyDescent="0.2">
      <c r="A6131" s="122">
        <f>+A6130+1</f>
        <v>5053</v>
      </c>
      <c r="B6131" s="13">
        <v>4</v>
      </c>
      <c r="C6131" s="17" t="s">
        <v>52</v>
      </c>
      <c r="D6131" s="17">
        <v>1249</v>
      </c>
      <c r="E6131" s="17">
        <v>7</v>
      </c>
      <c r="F6131" s="17">
        <v>297</v>
      </c>
      <c r="G6131" s="13">
        <v>6</v>
      </c>
      <c r="H6131" s="17">
        <v>5</v>
      </c>
      <c r="I6131" s="17">
        <v>0</v>
      </c>
      <c r="J6131" s="17">
        <v>70.03</v>
      </c>
      <c r="K6131" s="10">
        <v>2032.53</v>
      </c>
      <c r="L6131" s="17">
        <v>37.5</v>
      </c>
      <c r="P6131" s="17">
        <v>5</v>
      </c>
      <c r="Q6131" s="19">
        <v>2070.0300000000002</v>
      </c>
      <c r="R6131" s="14">
        <v>160</v>
      </c>
      <c r="S6131" s="19">
        <v>331204.80000000005</v>
      </c>
      <c r="T6131" s="17">
        <v>1</v>
      </c>
      <c r="V6131" s="17" t="s">
        <v>183</v>
      </c>
      <c r="W6131" s="4">
        <v>90</v>
      </c>
      <c r="Y6131" s="4">
        <v>90</v>
      </c>
      <c r="AB6131" s="17">
        <v>31</v>
      </c>
      <c r="AJ6131" s="19">
        <v>0</v>
      </c>
      <c r="AK6131" s="23">
        <v>31</v>
      </c>
      <c r="AM6131" s="19">
        <v>0</v>
      </c>
      <c r="AN6131" s="19">
        <v>331204.80000000005</v>
      </c>
      <c r="AP6131" s="14">
        <v>331204.80000000005</v>
      </c>
    </row>
    <row r="6132" spans="1:45" ht="42" x14ac:dyDescent="0.2">
      <c r="Q6132" s="19">
        <v>0</v>
      </c>
      <c r="R6132" s="14" t="e">
        <v>#N/A</v>
      </c>
      <c r="S6132" s="19" t="e">
        <v>#N/A</v>
      </c>
      <c r="T6132" s="17">
        <v>2</v>
      </c>
      <c r="V6132" s="17" t="s">
        <v>183</v>
      </c>
      <c r="W6132" s="4">
        <v>60</v>
      </c>
      <c r="Y6132" s="4">
        <v>60</v>
      </c>
      <c r="AB6132" s="17">
        <v>27</v>
      </c>
      <c r="AJ6132" s="19">
        <v>0</v>
      </c>
      <c r="AK6132" s="23">
        <v>27</v>
      </c>
      <c r="AM6132" s="19">
        <v>0</v>
      </c>
      <c r="AN6132" s="19" t="e">
        <v>#N/A</v>
      </c>
      <c r="AP6132" s="14" t="e">
        <v>#N/A</v>
      </c>
    </row>
    <row r="6133" spans="1:45" ht="42" x14ac:dyDescent="0.2">
      <c r="B6133" s="13">
        <v>1</v>
      </c>
      <c r="C6133" s="17" t="s">
        <v>52</v>
      </c>
      <c r="D6133" s="17">
        <v>40658</v>
      </c>
      <c r="E6133" s="17">
        <v>113</v>
      </c>
      <c r="F6133" s="17">
        <v>8049</v>
      </c>
      <c r="G6133" s="13">
        <v>6</v>
      </c>
      <c r="H6133" s="17">
        <v>0</v>
      </c>
      <c r="I6133" s="17">
        <v>3</v>
      </c>
      <c r="J6133" s="17">
        <v>80</v>
      </c>
      <c r="L6133" s="17" t="s">
        <v>630</v>
      </c>
      <c r="P6133" s="17">
        <v>2</v>
      </c>
      <c r="R6133" s="14" t="e">
        <v>#N/A</v>
      </c>
      <c r="V6133" s="17" t="s">
        <v>183</v>
      </c>
      <c r="W6133" s="4" t="s">
        <v>253</v>
      </c>
      <c r="Y6133" s="4">
        <v>100</v>
      </c>
      <c r="AB6133" s="17">
        <v>27</v>
      </c>
    </row>
    <row r="6134" spans="1:45" x14ac:dyDescent="0.2">
      <c r="A6134" s="2">
        <v>5054</v>
      </c>
      <c r="B6134" s="13">
        <v>1</v>
      </c>
      <c r="C6134" s="17" t="s">
        <v>52</v>
      </c>
      <c r="D6134" s="17">
        <v>1250</v>
      </c>
      <c r="E6134" s="17">
        <v>5</v>
      </c>
      <c r="F6134" s="17">
        <v>298</v>
      </c>
      <c r="G6134" s="13">
        <v>6</v>
      </c>
      <c r="H6134" s="17">
        <v>3</v>
      </c>
      <c r="I6134" s="17">
        <v>1</v>
      </c>
      <c r="J6134" s="17">
        <v>14</v>
      </c>
      <c r="K6134" s="10">
        <v>1314</v>
      </c>
      <c r="P6134" s="17">
        <v>1</v>
      </c>
      <c r="Q6134" s="19">
        <v>1314</v>
      </c>
      <c r="R6134" s="14">
        <v>160</v>
      </c>
      <c r="S6134" s="19">
        <v>210240</v>
      </c>
      <c r="AJ6134" s="19">
        <v>0</v>
      </c>
      <c r="AK6134" s="23">
        <v>0</v>
      </c>
      <c r="AM6134" s="19">
        <v>0</v>
      </c>
      <c r="AN6134" s="19">
        <v>210240</v>
      </c>
      <c r="AP6134" s="14">
        <v>210240</v>
      </c>
      <c r="AS6134" s="26">
        <v>25</v>
      </c>
    </row>
    <row r="6135" spans="1:45" x14ac:dyDescent="0.2">
      <c r="A6135" s="2">
        <f>+A6134+1</f>
        <v>5055</v>
      </c>
      <c r="B6135" s="13">
        <v>2</v>
      </c>
      <c r="C6135" s="17" t="s">
        <v>52</v>
      </c>
      <c r="D6135" s="17">
        <v>10433</v>
      </c>
      <c r="E6135" s="17">
        <v>22</v>
      </c>
      <c r="F6135" s="17">
        <v>3105</v>
      </c>
      <c r="G6135" s="13">
        <v>6</v>
      </c>
      <c r="H6135" s="17">
        <v>0</v>
      </c>
      <c r="I6135" s="17">
        <v>3</v>
      </c>
      <c r="J6135" s="17">
        <v>53.07</v>
      </c>
      <c r="K6135" s="10">
        <v>353.07</v>
      </c>
      <c r="P6135" s="17">
        <v>1</v>
      </c>
      <c r="Q6135" s="19">
        <v>353.07</v>
      </c>
      <c r="R6135" s="14">
        <v>160</v>
      </c>
      <c r="S6135" s="19">
        <v>56491.199999999997</v>
      </c>
      <c r="AJ6135" s="19">
        <v>0</v>
      </c>
      <c r="AK6135" s="23">
        <v>0</v>
      </c>
      <c r="AM6135" s="19">
        <v>0</v>
      </c>
      <c r="AN6135" s="19">
        <v>56491.199999999997</v>
      </c>
      <c r="AP6135" s="14">
        <v>56491.199999999997</v>
      </c>
    </row>
    <row r="6136" spans="1:45" x14ac:dyDescent="0.2">
      <c r="A6136" s="122">
        <f t="shared" ref="A6136:A6146" si="644">+A6135+1</f>
        <v>5056</v>
      </c>
      <c r="B6136" s="13">
        <v>1</v>
      </c>
      <c r="C6136" s="17" t="s">
        <v>52</v>
      </c>
      <c r="D6136" s="17">
        <v>10434</v>
      </c>
      <c r="E6136" s="17">
        <v>23</v>
      </c>
      <c r="F6136" s="17">
        <v>3106</v>
      </c>
      <c r="G6136" s="13">
        <v>6</v>
      </c>
      <c r="H6136" s="17">
        <v>0</v>
      </c>
      <c r="I6136" s="17">
        <v>3</v>
      </c>
      <c r="J6136" s="17">
        <v>86.03</v>
      </c>
      <c r="K6136" s="10">
        <v>386.03</v>
      </c>
      <c r="P6136" s="17">
        <v>1</v>
      </c>
      <c r="Q6136" s="19">
        <v>386.03</v>
      </c>
      <c r="R6136" s="14">
        <v>160</v>
      </c>
      <c r="S6136" s="19">
        <v>61764.799999999996</v>
      </c>
      <c r="AJ6136" s="19">
        <v>0</v>
      </c>
      <c r="AK6136" s="23">
        <v>0</v>
      </c>
      <c r="AM6136" s="19">
        <v>0</v>
      </c>
      <c r="AN6136" s="19">
        <v>61764.799999999996</v>
      </c>
      <c r="AP6136" s="14">
        <v>61764.799999999996</v>
      </c>
    </row>
    <row r="6137" spans="1:45" ht="42" x14ac:dyDescent="0.2">
      <c r="A6137" s="122">
        <f t="shared" si="644"/>
        <v>5057</v>
      </c>
      <c r="B6137" s="13">
        <v>1</v>
      </c>
      <c r="C6137" s="17" t="s">
        <v>52</v>
      </c>
      <c r="D6137" s="17">
        <v>22594</v>
      </c>
      <c r="E6137" s="17">
        <v>31</v>
      </c>
      <c r="F6137" s="17">
        <v>4811</v>
      </c>
      <c r="G6137" s="13">
        <v>6</v>
      </c>
      <c r="H6137" s="17">
        <v>0</v>
      </c>
      <c r="I6137" s="17">
        <v>0</v>
      </c>
      <c r="J6137" s="17">
        <v>30</v>
      </c>
      <c r="L6137" s="17" t="s">
        <v>534</v>
      </c>
      <c r="P6137" s="17">
        <v>2</v>
      </c>
      <c r="Q6137" s="19">
        <v>30</v>
      </c>
      <c r="R6137" s="14">
        <v>160</v>
      </c>
      <c r="S6137" s="19">
        <v>4800</v>
      </c>
      <c r="T6137" s="17">
        <v>1</v>
      </c>
      <c r="V6137" s="17" t="s">
        <v>183</v>
      </c>
      <c r="W6137" s="4">
        <v>87.5</v>
      </c>
      <c r="Y6137" s="4">
        <v>87.5</v>
      </c>
      <c r="AB6137" s="17">
        <v>14</v>
      </c>
      <c r="AJ6137" s="19">
        <v>0</v>
      </c>
      <c r="AK6137" s="23">
        <v>14</v>
      </c>
      <c r="AM6137" s="19">
        <v>0</v>
      </c>
      <c r="AN6137" s="19">
        <v>4800</v>
      </c>
      <c r="AP6137" s="14">
        <v>4800</v>
      </c>
      <c r="AS6137" s="26">
        <v>47</v>
      </c>
    </row>
    <row r="6138" spans="1:45" x14ac:dyDescent="0.2">
      <c r="A6138" s="122">
        <f t="shared" si="644"/>
        <v>5058</v>
      </c>
      <c r="B6138" s="13">
        <v>1</v>
      </c>
      <c r="C6138" s="17" t="s">
        <v>52</v>
      </c>
      <c r="D6138" s="17">
        <v>32322</v>
      </c>
      <c r="E6138" s="17">
        <v>37</v>
      </c>
      <c r="F6138" s="17">
        <v>6391</v>
      </c>
      <c r="G6138" s="13">
        <v>6</v>
      </c>
      <c r="H6138" s="17">
        <v>0</v>
      </c>
      <c r="I6138" s="17">
        <v>0</v>
      </c>
      <c r="J6138" s="17">
        <v>69</v>
      </c>
      <c r="K6138" s="10">
        <v>69</v>
      </c>
      <c r="P6138" s="17">
        <v>1</v>
      </c>
      <c r="Q6138" s="19">
        <v>69</v>
      </c>
      <c r="R6138" s="14">
        <v>375</v>
      </c>
      <c r="S6138" s="19">
        <v>25875</v>
      </c>
      <c r="AJ6138" s="19">
        <v>0</v>
      </c>
      <c r="AK6138" s="23">
        <v>0</v>
      </c>
      <c r="AM6138" s="19">
        <v>0</v>
      </c>
      <c r="AN6138" s="19">
        <v>25875</v>
      </c>
      <c r="AP6138" s="14">
        <v>25875</v>
      </c>
    </row>
    <row r="6139" spans="1:45" ht="63" x14ac:dyDescent="0.2">
      <c r="A6139" s="122">
        <f t="shared" si="644"/>
        <v>5059</v>
      </c>
      <c r="B6139" s="13">
        <v>1</v>
      </c>
      <c r="C6139" s="17" t="s">
        <v>52</v>
      </c>
      <c r="D6139" s="17">
        <v>32323</v>
      </c>
      <c r="E6139" s="17">
        <v>38</v>
      </c>
      <c r="F6139" s="17">
        <v>6392</v>
      </c>
      <c r="G6139" s="13">
        <v>6</v>
      </c>
      <c r="H6139" s="17">
        <v>0</v>
      </c>
      <c r="I6139" s="17">
        <v>0</v>
      </c>
      <c r="J6139" s="17">
        <v>67</v>
      </c>
      <c r="K6139" s="10">
        <v>67</v>
      </c>
      <c r="P6139" s="17">
        <v>1</v>
      </c>
      <c r="Q6139" s="19">
        <v>67</v>
      </c>
      <c r="R6139" s="14">
        <v>375</v>
      </c>
      <c r="S6139" s="19">
        <v>25125</v>
      </c>
      <c r="U6139" s="17" t="s">
        <v>57</v>
      </c>
      <c r="V6139" s="17" t="s">
        <v>56</v>
      </c>
      <c r="W6139" s="4" t="s">
        <v>615</v>
      </c>
      <c r="Y6139" s="4" t="s">
        <v>615</v>
      </c>
      <c r="AB6139" s="17" t="s">
        <v>544</v>
      </c>
      <c r="AJ6139" s="19">
        <v>0</v>
      </c>
      <c r="AK6139" s="23" t="s">
        <v>544</v>
      </c>
      <c r="AM6139" s="19">
        <v>0</v>
      </c>
      <c r="AN6139" s="19">
        <v>25125</v>
      </c>
      <c r="AP6139" s="14">
        <v>25125</v>
      </c>
    </row>
    <row r="6140" spans="1:45" x14ac:dyDescent="0.2">
      <c r="A6140" s="122">
        <f t="shared" si="644"/>
        <v>5060</v>
      </c>
      <c r="B6140" s="13">
        <v>1</v>
      </c>
      <c r="C6140" s="17" t="s">
        <v>52</v>
      </c>
      <c r="D6140" s="17">
        <v>32324</v>
      </c>
      <c r="E6140" s="17">
        <v>39</v>
      </c>
      <c r="F6140" s="17">
        <v>6393</v>
      </c>
      <c r="G6140" s="13">
        <v>6</v>
      </c>
      <c r="H6140" s="17">
        <v>0</v>
      </c>
      <c r="I6140" s="17">
        <v>0</v>
      </c>
      <c r="J6140" s="17">
        <v>75</v>
      </c>
      <c r="K6140" s="10">
        <v>75</v>
      </c>
      <c r="P6140" s="17">
        <v>1</v>
      </c>
      <c r="Q6140" s="19">
        <v>75</v>
      </c>
      <c r="R6140" s="14">
        <v>750</v>
      </c>
      <c r="S6140" s="19">
        <v>56250</v>
      </c>
      <c r="AJ6140" s="19">
        <v>0</v>
      </c>
      <c r="AK6140" s="23">
        <v>0</v>
      </c>
      <c r="AM6140" s="19">
        <v>0</v>
      </c>
      <c r="AN6140" s="19">
        <v>56250</v>
      </c>
      <c r="AP6140" s="14">
        <v>56250</v>
      </c>
    </row>
    <row r="6141" spans="1:45" x14ac:dyDescent="0.2">
      <c r="A6141" s="122">
        <f t="shared" si="644"/>
        <v>5061</v>
      </c>
      <c r="B6141" s="13">
        <v>1</v>
      </c>
      <c r="C6141" s="17" t="s">
        <v>52</v>
      </c>
      <c r="D6141" s="17">
        <v>32320</v>
      </c>
      <c r="E6141" s="17">
        <v>35</v>
      </c>
      <c r="F6141" s="17">
        <v>6389</v>
      </c>
      <c r="G6141" s="13">
        <v>6</v>
      </c>
      <c r="H6141" s="17">
        <v>0</v>
      </c>
      <c r="I6141" s="17">
        <v>0</v>
      </c>
      <c r="J6141" s="17">
        <v>68</v>
      </c>
      <c r="K6141" s="10">
        <v>68</v>
      </c>
      <c r="P6141" s="17">
        <v>1</v>
      </c>
      <c r="Q6141" s="19">
        <v>68</v>
      </c>
      <c r="R6141" s="14">
        <v>375</v>
      </c>
      <c r="S6141" s="19">
        <v>25500</v>
      </c>
      <c r="AJ6141" s="19">
        <v>0</v>
      </c>
      <c r="AK6141" s="23">
        <v>0</v>
      </c>
      <c r="AM6141" s="19">
        <v>0</v>
      </c>
      <c r="AN6141" s="19">
        <v>25500</v>
      </c>
      <c r="AP6141" s="14">
        <v>25500</v>
      </c>
    </row>
    <row r="6142" spans="1:45" x14ac:dyDescent="0.2">
      <c r="A6142" s="122">
        <f t="shared" si="644"/>
        <v>5062</v>
      </c>
      <c r="B6142" s="13">
        <v>1</v>
      </c>
      <c r="C6142" s="17" t="s">
        <v>52</v>
      </c>
      <c r="D6142" s="17">
        <v>32326</v>
      </c>
      <c r="E6142" s="17">
        <v>41</v>
      </c>
      <c r="F6142" s="17">
        <v>6395</v>
      </c>
      <c r="G6142" s="13">
        <v>6</v>
      </c>
      <c r="H6142" s="17">
        <v>0</v>
      </c>
      <c r="I6142" s="17">
        <v>0</v>
      </c>
      <c r="J6142" s="17">
        <v>55</v>
      </c>
      <c r="K6142" s="10">
        <v>55</v>
      </c>
      <c r="P6142" s="17">
        <v>1</v>
      </c>
      <c r="Q6142" s="19">
        <v>55</v>
      </c>
      <c r="R6142" s="14">
        <v>750</v>
      </c>
      <c r="S6142" s="19">
        <v>41250</v>
      </c>
      <c r="AJ6142" s="19">
        <v>0</v>
      </c>
      <c r="AK6142" s="23">
        <v>0</v>
      </c>
      <c r="AM6142" s="19">
        <v>0</v>
      </c>
      <c r="AN6142" s="19">
        <v>41250</v>
      </c>
      <c r="AP6142" s="14">
        <v>41250</v>
      </c>
    </row>
    <row r="6143" spans="1:45" x14ac:dyDescent="0.2">
      <c r="A6143" s="122">
        <f t="shared" si="644"/>
        <v>5063</v>
      </c>
      <c r="B6143" s="13">
        <v>2</v>
      </c>
      <c r="C6143" s="17" t="s">
        <v>52</v>
      </c>
      <c r="D6143" s="17">
        <v>32319</v>
      </c>
      <c r="E6143" s="17">
        <v>34</v>
      </c>
      <c r="F6143" s="17">
        <v>6388</v>
      </c>
      <c r="G6143" s="13">
        <v>6</v>
      </c>
      <c r="H6143" s="17">
        <v>0</v>
      </c>
      <c r="I6143" s="17">
        <v>3</v>
      </c>
      <c r="J6143" s="17">
        <v>63</v>
      </c>
      <c r="K6143" s="10">
        <v>363</v>
      </c>
      <c r="P6143" s="17">
        <v>1</v>
      </c>
      <c r="Q6143" s="19">
        <v>363</v>
      </c>
      <c r="R6143" s="14">
        <v>160</v>
      </c>
      <c r="S6143" s="19">
        <v>58080</v>
      </c>
      <c r="AE6143" s="17" t="s">
        <v>631</v>
      </c>
      <c r="AJ6143" s="19">
        <v>0</v>
      </c>
      <c r="AK6143" s="23">
        <v>0</v>
      </c>
      <c r="AM6143" s="19">
        <v>0</v>
      </c>
      <c r="AN6143" s="19">
        <v>58080</v>
      </c>
      <c r="AP6143" s="14">
        <v>58080</v>
      </c>
    </row>
    <row r="6144" spans="1:45" ht="63" x14ac:dyDescent="0.2">
      <c r="A6144" s="122">
        <f t="shared" si="644"/>
        <v>5064</v>
      </c>
      <c r="B6144" s="13">
        <v>1</v>
      </c>
      <c r="C6144" s="17" t="s">
        <v>52</v>
      </c>
      <c r="D6144" s="17">
        <v>32325</v>
      </c>
      <c r="E6144" s="17">
        <v>40</v>
      </c>
      <c r="F6144" s="17">
        <v>6394</v>
      </c>
      <c r="G6144" s="13">
        <v>6</v>
      </c>
      <c r="H6144" s="17">
        <v>0</v>
      </c>
      <c r="I6144" s="17">
        <v>0</v>
      </c>
      <c r="J6144" s="17">
        <v>59</v>
      </c>
      <c r="L6144" s="17" t="s">
        <v>632</v>
      </c>
      <c r="P6144" s="17">
        <v>2</v>
      </c>
      <c r="Q6144" s="19">
        <v>59</v>
      </c>
      <c r="R6144" s="14">
        <v>750</v>
      </c>
      <c r="S6144" s="19">
        <v>44250</v>
      </c>
      <c r="U6144" s="17" t="s">
        <v>57</v>
      </c>
      <c r="V6144" s="17" t="s">
        <v>56</v>
      </c>
      <c r="Y6144" s="4">
        <v>65</v>
      </c>
      <c r="AB6144" s="17" t="s">
        <v>336</v>
      </c>
      <c r="AJ6144" s="19">
        <v>0</v>
      </c>
      <c r="AK6144" s="23" t="s">
        <v>336</v>
      </c>
      <c r="AM6144" s="19">
        <v>0</v>
      </c>
      <c r="AN6144" s="19">
        <v>44250</v>
      </c>
      <c r="AP6144" s="14">
        <v>44250</v>
      </c>
    </row>
    <row r="6145" spans="1:45" x14ac:dyDescent="0.2">
      <c r="A6145" s="122">
        <f t="shared" si="644"/>
        <v>5065</v>
      </c>
      <c r="B6145" s="13">
        <v>1</v>
      </c>
      <c r="C6145" s="17" t="s">
        <v>65</v>
      </c>
      <c r="D6145" s="17">
        <v>3627</v>
      </c>
      <c r="E6145" s="17">
        <v>198</v>
      </c>
      <c r="H6145" s="17">
        <v>0</v>
      </c>
      <c r="I6145" s="17">
        <v>1</v>
      </c>
      <c r="J6145" s="17">
        <v>22</v>
      </c>
      <c r="K6145" s="10">
        <v>122</v>
      </c>
      <c r="Q6145" s="19">
        <v>122</v>
      </c>
      <c r="R6145" s="14">
        <v>200</v>
      </c>
      <c r="S6145" s="19">
        <v>24400</v>
      </c>
      <c r="AE6145" s="17" t="s">
        <v>95</v>
      </c>
      <c r="AJ6145" s="19">
        <v>0</v>
      </c>
      <c r="AK6145" s="23">
        <v>0</v>
      </c>
      <c r="AM6145" s="19">
        <v>0</v>
      </c>
      <c r="AN6145" s="19">
        <v>24400</v>
      </c>
      <c r="AP6145" s="14">
        <v>24400</v>
      </c>
      <c r="AQ6145" s="12">
        <v>1E-4</v>
      </c>
    </row>
    <row r="6146" spans="1:45" x14ac:dyDescent="0.2">
      <c r="A6146" s="122">
        <f t="shared" si="644"/>
        <v>5066</v>
      </c>
      <c r="B6146" s="13">
        <v>1</v>
      </c>
      <c r="C6146" s="17" t="s">
        <v>65</v>
      </c>
      <c r="D6146" s="17">
        <v>1852</v>
      </c>
      <c r="E6146" s="17">
        <v>109</v>
      </c>
      <c r="H6146" s="17">
        <v>2</v>
      </c>
      <c r="I6146" s="17">
        <v>3</v>
      </c>
      <c r="J6146" s="17">
        <v>94</v>
      </c>
      <c r="K6146" s="10">
        <v>1194</v>
      </c>
      <c r="P6146" s="17">
        <v>1</v>
      </c>
      <c r="Q6146" s="19">
        <v>1194</v>
      </c>
      <c r="R6146" s="14">
        <v>160</v>
      </c>
      <c r="S6146" s="19">
        <v>191040</v>
      </c>
      <c r="AJ6146" s="19">
        <v>0</v>
      </c>
      <c r="AK6146" s="23">
        <v>0</v>
      </c>
      <c r="AM6146" s="19">
        <v>0</v>
      </c>
      <c r="AN6146" s="19">
        <v>191040</v>
      </c>
      <c r="AP6146" s="14">
        <v>191040</v>
      </c>
      <c r="AQ6146" s="12">
        <v>1E-4</v>
      </c>
      <c r="AS6146" s="26">
        <v>13</v>
      </c>
    </row>
    <row r="6147" spans="1:45" x14ac:dyDescent="0.2">
      <c r="B6147" s="13">
        <v>2</v>
      </c>
      <c r="C6147" s="17" t="s">
        <v>65</v>
      </c>
      <c r="D6147" s="17">
        <v>3879</v>
      </c>
      <c r="E6147" s="17">
        <v>109</v>
      </c>
      <c r="H6147" s="17">
        <v>1</v>
      </c>
      <c r="I6147" s="17">
        <v>2</v>
      </c>
      <c r="J6147" s="17">
        <v>9</v>
      </c>
      <c r="K6147" s="10">
        <v>609</v>
      </c>
      <c r="Q6147" s="19">
        <v>609</v>
      </c>
      <c r="R6147" s="14" t="e">
        <v>#N/A</v>
      </c>
      <c r="S6147" s="19" t="e">
        <v>#N/A</v>
      </c>
      <c r="AJ6147" s="19">
        <v>0</v>
      </c>
      <c r="AK6147" s="23">
        <v>0</v>
      </c>
      <c r="AM6147" s="19">
        <v>0</v>
      </c>
      <c r="AN6147" s="19" t="e">
        <v>#N/A</v>
      </c>
      <c r="AP6147" s="14" t="e">
        <v>#N/A</v>
      </c>
      <c r="AQ6147" s="12">
        <v>1E-4</v>
      </c>
    </row>
    <row r="6148" spans="1:45" x14ac:dyDescent="0.2">
      <c r="B6148" s="13">
        <v>3</v>
      </c>
      <c r="C6148" s="17" t="s">
        <v>65</v>
      </c>
      <c r="D6148" s="17">
        <v>3880</v>
      </c>
      <c r="E6148" s="17">
        <v>109</v>
      </c>
      <c r="H6148" s="17">
        <v>1</v>
      </c>
      <c r="I6148" s="17">
        <v>2</v>
      </c>
      <c r="J6148" s="17">
        <v>96</v>
      </c>
      <c r="K6148" s="10">
        <v>696</v>
      </c>
      <c r="Q6148" s="19">
        <v>696</v>
      </c>
      <c r="R6148" s="14" t="e">
        <v>#N/A</v>
      </c>
      <c r="S6148" s="19" t="e">
        <v>#N/A</v>
      </c>
      <c r="AJ6148" s="19">
        <v>0</v>
      </c>
      <c r="AK6148" s="23">
        <v>0</v>
      </c>
      <c r="AM6148" s="19">
        <v>0</v>
      </c>
      <c r="AN6148" s="19" t="e">
        <v>#N/A</v>
      </c>
      <c r="AP6148" s="14" t="e">
        <v>#N/A</v>
      </c>
      <c r="AQ6148" s="12">
        <v>1E-4</v>
      </c>
    </row>
    <row r="6149" spans="1:45" x14ac:dyDescent="0.2">
      <c r="B6149" s="13">
        <v>4</v>
      </c>
      <c r="C6149" s="17" t="s">
        <v>65</v>
      </c>
      <c r="D6149" s="17">
        <v>3881</v>
      </c>
      <c r="E6149" s="17">
        <v>109</v>
      </c>
      <c r="H6149" s="17">
        <v>1</v>
      </c>
      <c r="I6149" s="17">
        <v>0</v>
      </c>
      <c r="J6149" s="17">
        <v>46</v>
      </c>
      <c r="K6149" s="10">
        <v>446</v>
      </c>
      <c r="Q6149" s="19">
        <v>446</v>
      </c>
      <c r="R6149" s="14" t="e">
        <v>#N/A</v>
      </c>
      <c r="S6149" s="19" t="e">
        <v>#N/A</v>
      </c>
      <c r="AJ6149" s="19">
        <v>0</v>
      </c>
      <c r="AK6149" s="23">
        <v>0</v>
      </c>
      <c r="AM6149" s="19">
        <v>0</v>
      </c>
      <c r="AN6149" s="19" t="e">
        <v>#N/A</v>
      </c>
      <c r="AP6149" s="14" t="e">
        <v>#N/A</v>
      </c>
      <c r="AQ6149" s="12">
        <v>1E-4</v>
      </c>
    </row>
    <row r="6150" spans="1:45" x14ac:dyDescent="0.2">
      <c r="B6150" s="13">
        <v>5</v>
      </c>
      <c r="C6150" s="17" t="s">
        <v>65</v>
      </c>
      <c r="D6150" s="17">
        <v>3882</v>
      </c>
      <c r="E6150" s="17">
        <v>109</v>
      </c>
      <c r="H6150" s="17">
        <v>1</v>
      </c>
      <c r="I6150" s="17">
        <v>1</v>
      </c>
      <c r="J6150" s="17">
        <v>89</v>
      </c>
      <c r="K6150" s="10">
        <v>589</v>
      </c>
      <c r="Q6150" s="19">
        <v>589</v>
      </c>
      <c r="R6150" s="14" t="e">
        <v>#N/A</v>
      </c>
      <c r="S6150" s="19" t="e">
        <v>#N/A</v>
      </c>
      <c r="AJ6150" s="19">
        <v>0</v>
      </c>
      <c r="AK6150" s="23">
        <v>0</v>
      </c>
      <c r="AM6150" s="19">
        <v>0</v>
      </c>
      <c r="AN6150" s="19" t="e">
        <v>#N/A</v>
      </c>
      <c r="AP6150" s="14" t="e">
        <v>#N/A</v>
      </c>
      <c r="AQ6150" s="12">
        <v>1E-4</v>
      </c>
    </row>
    <row r="6151" spans="1:45" x14ac:dyDescent="0.2">
      <c r="B6151" s="13">
        <v>1</v>
      </c>
      <c r="C6151" s="17" t="s">
        <v>65</v>
      </c>
      <c r="D6151" s="17">
        <v>3869</v>
      </c>
      <c r="E6151" s="17">
        <v>207</v>
      </c>
      <c r="H6151" s="17">
        <v>1</v>
      </c>
      <c r="I6151" s="17">
        <v>2</v>
      </c>
      <c r="J6151" s="17">
        <v>86</v>
      </c>
      <c r="K6151" s="10">
        <v>686</v>
      </c>
      <c r="P6151" s="17">
        <v>1</v>
      </c>
      <c r="Q6151" s="19">
        <v>686</v>
      </c>
      <c r="R6151" s="14" t="e">
        <v>#N/A</v>
      </c>
      <c r="S6151" s="19" t="e">
        <v>#N/A</v>
      </c>
      <c r="AJ6151" s="19">
        <v>0</v>
      </c>
      <c r="AK6151" s="23">
        <v>0</v>
      </c>
      <c r="AM6151" s="19">
        <v>0</v>
      </c>
      <c r="AN6151" s="19" t="e">
        <v>#N/A</v>
      </c>
      <c r="AP6151" s="14" t="e">
        <v>#N/A</v>
      </c>
      <c r="AQ6151" s="12">
        <v>1E-4</v>
      </c>
    </row>
    <row r="6152" spans="1:45" x14ac:dyDescent="0.2">
      <c r="A6152" s="2">
        <v>5067</v>
      </c>
      <c r="B6152" s="13">
        <v>1</v>
      </c>
      <c r="C6152" s="17" t="s">
        <v>65</v>
      </c>
      <c r="D6152" s="17">
        <v>2025</v>
      </c>
      <c r="E6152" s="17">
        <v>130</v>
      </c>
      <c r="H6152" s="17">
        <v>1</v>
      </c>
      <c r="I6152" s="17">
        <v>3</v>
      </c>
      <c r="J6152" s="17">
        <v>17</v>
      </c>
      <c r="K6152" s="10">
        <v>717</v>
      </c>
      <c r="Q6152" s="19">
        <v>717</v>
      </c>
      <c r="R6152" s="14">
        <v>2000</v>
      </c>
      <c r="S6152" s="19">
        <v>1434000</v>
      </c>
      <c r="AE6152" s="17" t="s">
        <v>94</v>
      </c>
      <c r="AJ6152" s="19">
        <v>0</v>
      </c>
      <c r="AK6152" s="23">
        <v>0</v>
      </c>
      <c r="AM6152" s="19">
        <v>0</v>
      </c>
      <c r="AN6152" s="19">
        <v>1434000</v>
      </c>
      <c r="AP6152" s="14">
        <v>1434000</v>
      </c>
      <c r="AQ6152" s="12">
        <v>1E-4</v>
      </c>
    </row>
    <row r="6153" spans="1:45" x14ac:dyDescent="0.2">
      <c r="B6153" s="13">
        <v>1</v>
      </c>
      <c r="C6153" s="17" t="s">
        <v>65</v>
      </c>
      <c r="D6153" s="17">
        <v>3866</v>
      </c>
      <c r="E6153" s="17">
        <v>204</v>
      </c>
      <c r="H6153" s="17">
        <v>3</v>
      </c>
      <c r="I6153" s="17">
        <v>3</v>
      </c>
      <c r="J6153" s="17">
        <v>40</v>
      </c>
      <c r="K6153" s="10">
        <v>1540</v>
      </c>
      <c r="P6153" s="17">
        <v>1</v>
      </c>
      <c r="Q6153" s="19">
        <v>1540</v>
      </c>
      <c r="R6153" s="14" t="e">
        <v>#N/A</v>
      </c>
      <c r="S6153" s="19" t="e">
        <v>#N/A</v>
      </c>
      <c r="AJ6153" s="19">
        <v>0</v>
      </c>
      <c r="AK6153" s="23">
        <v>0</v>
      </c>
      <c r="AM6153" s="19">
        <v>0</v>
      </c>
      <c r="AN6153" s="19" t="e">
        <v>#N/A</v>
      </c>
      <c r="AP6153" s="14" t="e">
        <v>#N/A</v>
      </c>
      <c r="AQ6153" s="12">
        <v>1E-4</v>
      </c>
    </row>
    <row r="6154" spans="1:45" x14ac:dyDescent="0.2">
      <c r="B6154" s="13">
        <v>1</v>
      </c>
      <c r="C6154" s="17" t="s">
        <v>65</v>
      </c>
      <c r="D6154" s="17">
        <v>2519</v>
      </c>
      <c r="E6154" s="17">
        <v>182</v>
      </c>
      <c r="H6154" s="17">
        <v>1</v>
      </c>
      <c r="I6154" s="17">
        <v>3</v>
      </c>
      <c r="J6154" s="17">
        <v>65</v>
      </c>
      <c r="K6154" s="10">
        <v>765</v>
      </c>
      <c r="Q6154" s="19">
        <v>765</v>
      </c>
      <c r="R6154" s="14" t="e">
        <v>#N/A</v>
      </c>
      <c r="S6154" s="19" t="e">
        <v>#N/A</v>
      </c>
      <c r="AE6154" s="17" t="s">
        <v>95</v>
      </c>
      <c r="AJ6154" s="19">
        <v>0</v>
      </c>
      <c r="AK6154" s="23">
        <v>0</v>
      </c>
      <c r="AM6154" s="19">
        <v>0</v>
      </c>
      <c r="AN6154" s="19" t="e">
        <v>#N/A</v>
      </c>
      <c r="AP6154" s="14" t="e">
        <v>#N/A</v>
      </c>
      <c r="AQ6154" s="12">
        <v>1E-4</v>
      </c>
    </row>
    <row r="6155" spans="1:45" x14ac:dyDescent="0.2">
      <c r="P6155" s="17">
        <v>5</v>
      </c>
      <c r="R6155" s="14" t="e">
        <v>#N/A</v>
      </c>
    </row>
    <row r="6156" spans="1:45" ht="42" x14ac:dyDescent="0.2">
      <c r="A6156" s="2">
        <v>5068</v>
      </c>
      <c r="B6156" s="13">
        <v>1</v>
      </c>
      <c r="C6156" s="17" t="s">
        <v>52</v>
      </c>
      <c r="D6156" s="17">
        <v>11769</v>
      </c>
      <c r="E6156" s="17">
        <v>56</v>
      </c>
      <c r="F6156" s="17">
        <v>3207</v>
      </c>
      <c r="G6156" s="13">
        <v>6</v>
      </c>
      <c r="H6156" s="17">
        <v>0</v>
      </c>
      <c r="I6156" s="17">
        <v>0</v>
      </c>
      <c r="J6156" s="17">
        <v>94.09</v>
      </c>
      <c r="K6156" s="10">
        <v>81.72</v>
      </c>
      <c r="L6156" s="17">
        <v>12.37</v>
      </c>
      <c r="Q6156" s="19">
        <v>94.09</v>
      </c>
      <c r="R6156" s="14">
        <v>1500</v>
      </c>
      <c r="S6156" s="19">
        <v>141135</v>
      </c>
      <c r="T6156" s="17">
        <v>1</v>
      </c>
      <c r="V6156" s="17" t="s">
        <v>183</v>
      </c>
      <c r="W6156" s="4">
        <v>49.5</v>
      </c>
      <c r="Y6156" s="4">
        <v>49.5</v>
      </c>
      <c r="AB6156" s="17">
        <v>27</v>
      </c>
      <c r="AJ6156" s="19">
        <v>0</v>
      </c>
      <c r="AK6156" s="23">
        <v>27</v>
      </c>
      <c r="AM6156" s="19">
        <v>0</v>
      </c>
      <c r="AN6156" s="19">
        <v>141135</v>
      </c>
      <c r="AP6156" s="14">
        <v>141135</v>
      </c>
    </row>
    <row r="6157" spans="1:45" x14ac:dyDescent="0.2">
      <c r="A6157" s="2">
        <f>+A6156+1</f>
        <v>5069</v>
      </c>
      <c r="B6157" s="13">
        <v>1</v>
      </c>
      <c r="C6157" s="17" t="s">
        <v>65</v>
      </c>
      <c r="D6157" s="17">
        <v>1831</v>
      </c>
      <c r="E6157" s="17">
        <v>86</v>
      </c>
      <c r="H6157" s="17">
        <v>3</v>
      </c>
      <c r="I6157" s="17">
        <v>1</v>
      </c>
      <c r="J6157" s="17">
        <v>80</v>
      </c>
      <c r="K6157" s="10">
        <v>1380</v>
      </c>
      <c r="Q6157" s="19">
        <v>1380</v>
      </c>
      <c r="R6157" s="14">
        <v>160</v>
      </c>
      <c r="S6157" s="19">
        <v>220800</v>
      </c>
      <c r="AE6157" s="17" t="s">
        <v>94</v>
      </c>
      <c r="AJ6157" s="19">
        <v>0</v>
      </c>
      <c r="AK6157" s="23">
        <v>0</v>
      </c>
      <c r="AM6157" s="19">
        <v>0</v>
      </c>
      <c r="AN6157" s="19">
        <v>220800</v>
      </c>
      <c r="AP6157" s="14">
        <v>220800</v>
      </c>
      <c r="AQ6157" s="12">
        <v>1E-4</v>
      </c>
    </row>
    <row r="6158" spans="1:45" x14ac:dyDescent="0.2">
      <c r="A6158" s="122">
        <f t="shared" ref="A6158:A6170" si="645">+A6157+1</f>
        <v>5070</v>
      </c>
      <c r="B6158" s="13">
        <v>1</v>
      </c>
      <c r="C6158" s="17" t="s">
        <v>65</v>
      </c>
      <c r="D6158" s="17">
        <v>1291</v>
      </c>
      <c r="E6158" s="17">
        <v>5</v>
      </c>
      <c r="H6158" s="17">
        <v>10</v>
      </c>
      <c r="I6158" s="17">
        <v>0</v>
      </c>
      <c r="J6158" s="17">
        <v>20</v>
      </c>
      <c r="K6158" s="10">
        <v>4020</v>
      </c>
      <c r="P6158" s="17">
        <v>1</v>
      </c>
      <c r="Q6158" s="19">
        <v>4020</v>
      </c>
      <c r="R6158" s="14">
        <v>160</v>
      </c>
      <c r="S6158" s="19">
        <v>643200</v>
      </c>
      <c r="AJ6158" s="19">
        <v>0</v>
      </c>
      <c r="AK6158" s="23">
        <v>0</v>
      </c>
      <c r="AM6158" s="19">
        <v>0</v>
      </c>
      <c r="AN6158" s="19">
        <v>643200</v>
      </c>
      <c r="AP6158" s="14">
        <v>643200</v>
      </c>
      <c r="AQ6158" s="12">
        <v>1E-4</v>
      </c>
    </row>
    <row r="6159" spans="1:45" x14ac:dyDescent="0.2">
      <c r="A6159" s="122">
        <f t="shared" si="645"/>
        <v>5071</v>
      </c>
      <c r="B6159" s="13">
        <v>1</v>
      </c>
      <c r="C6159" s="17" t="s">
        <v>52</v>
      </c>
      <c r="D6159" s="17">
        <v>813</v>
      </c>
      <c r="E6159" s="17">
        <v>19</v>
      </c>
      <c r="F6159" s="17">
        <v>288</v>
      </c>
      <c r="G6159" s="13">
        <v>6</v>
      </c>
      <c r="H6159" s="17">
        <v>8</v>
      </c>
      <c r="I6159" s="17">
        <v>0</v>
      </c>
      <c r="J6159" s="17">
        <v>53</v>
      </c>
      <c r="K6159" s="10">
        <v>3253</v>
      </c>
      <c r="P6159" s="17">
        <v>1</v>
      </c>
      <c r="Q6159" s="19">
        <v>3253</v>
      </c>
      <c r="R6159" s="14">
        <v>160</v>
      </c>
      <c r="S6159" s="19">
        <v>520480</v>
      </c>
      <c r="AJ6159" s="19">
        <v>0</v>
      </c>
      <c r="AK6159" s="23">
        <v>0</v>
      </c>
      <c r="AM6159" s="19">
        <v>0</v>
      </c>
      <c r="AN6159" s="19">
        <v>520480</v>
      </c>
      <c r="AP6159" s="14">
        <v>520480</v>
      </c>
    </row>
    <row r="6160" spans="1:45" ht="42" x14ac:dyDescent="0.2">
      <c r="A6160" s="122">
        <f t="shared" si="645"/>
        <v>5072</v>
      </c>
      <c r="B6160" s="13">
        <v>2</v>
      </c>
      <c r="C6160" s="17" t="s">
        <v>52</v>
      </c>
      <c r="D6160" s="17">
        <v>1273</v>
      </c>
      <c r="E6160" s="17">
        <v>21</v>
      </c>
      <c r="F6160" s="17">
        <v>743</v>
      </c>
      <c r="G6160" s="13">
        <v>6</v>
      </c>
      <c r="H6160" s="17">
        <v>0</v>
      </c>
      <c r="I6160" s="17">
        <v>2</v>
      </c>
      <c r="J6160" s="17">
        <v>37.020000000000003</v>
      </c>
      <c r="K6160" s="10">
        <v>205.02</v>
      </c>
      <c r="L6160" s="17">
        <v>32</v>
      </c>
      <c r="P6160" s="17">
        <v>5</v>
      </c>
      <c r="Q6160" s="19">
        <v>237.02</v>
      </c>
      <c r="R6160" s="14">
        <v>1500</v>
      </c>
      <c r="S6160" s="19">
        <v>355530</v>
      </c>
      <c r="T6160" s="17">
        <v>1</v>
      </c>
      <c r="V6160" s="17" t="s">
        <v>183</v>
      </c>
      <c r="W6160" s="4">
        <v>128.25</v>
      </c>
      <c r="Y6160" s="4">
        <v>128</v>
      </c>
      <c r="AB6160" s="17">
        <v>29</v>
      </c>
      <c r="AJ6160" s="19">
        <v>0</v>
      </c>
      <c r="AK6160" s="23">
        <v>29</v>
      </c>
      <c r="AM6160" s="19">
        <v>0</v>
      </c>
      <c r="AN6160" s="19">
        <v>355530</v>
      </c>
      <c r="AP6160" s="14">
        <v>355530</v>
      </c>
    </row>
    <row r="6161" spans="1:45" ht="42" x14ac:dyDescent="0.2">
      <c r="A6161" s="122">
        <f t="shared" si="645"/>
        <v>5073</v>
      </c>
      <c r="B6161" s="13">
        <v>3</v>
      </c>
      <c r="C6161" s="17" t="s">
        <v>52</v>
      </c>
      <c r="D6161" s="17">
        <v>11721</v>
      </c>
      <c r="E6161" s="17">
        <v>51</v>
      </c>
      <c r="F6161" s="17">
        <v>3194</v>
      </c>
      <c r="G6161" s="13">
        <v>6</v>
      </c>
      <c r="H6161" s="17">
        <v>0</v>
      </c>
      <c r="I6161" s="17">
        <v>0</v>
      </c>
      <c r="J6161" s="17">
        <v>66.069999999999993</v>
      </c>
      <c r="K6161" s="10">
        <v>54.07</v>
      </c>
      <c r="L6161" s="17">
        <v>12</v>
      </c>
      <c r="P6161" s="17">
        <v>5</v>
      </c>
      <c r="Q6161" s="19">
        <v>66.069999999999993</v>
      </c>
      <c r="R6161" s="14">
        <v>1500</v>
      </c>
      <c r="S6161" s="19">
        <v>99104.999999999985</v>
      </c>
      <c r="T6161" s="17">
        <v>1</v>
      </c>
      <c r="V6161" s="17" t="s">
        <v>183</v>
      </c>
      <c r="W6161" s="4">
        <v>48</v>
      </c>
      <c r="Y6161" s="4">
        <v>48</v>
      </c>
      <c r="AB6161" s="17">
        <v>1</v>
      </c>
      <c r="AJ6161" s="19">
        <v>0</v>
      </c>
      <c r="AK6161" s="23">
        <v>1</v>
      </c>
      <c r="AM6161" s="19">
        <v>0</v>
      </c>
      <c r="AN6161" s="19">
        <v>99104.999999999985</v>
      </c>
      <c r="AP6161" s="14">
        <v>99104.999999999985</v>
      </c>
    </row>
    <row r="6162" spans="1:45" ht="42" x14ac:dyDescent="0.2">
      <c r="A6162" s="122">
        <f t="shared" si="645"/>
        <v>5074</v>
      </c>
      <c r="B6162" s="13">
        <v>4</v>
      </c>
      <c r="C6162" s="17" t="s">
        <v>52</v>
      </c>
      <c r="D6162" s="17">
        <v>11723</v>
      </c>
      <c r="E6162" s="17">
        <v>53</v>
      </c>
      <c r="F6162" s="17">
        <v>3196</v>
      </c>
      <c r="G6162" s="13">
        <v>6</v>
      </c>
      <c r="H6162" s="17">
        <v>0</v>
      </c>
      <c r="I6162" s="17">
        <v>1</v>
      </c>
      <c r="J6162" s="17">
        <v>81.09</v>
      </c>
      <c r="K6162" s="10">
        <v>153.09</v>
      </c>
      <c r="L6162" s="17">
        <v>28</v>
      </c>
      <c r="P6162" s="17">
        <v>5</v>
      </c>
      <c r="Q6162" s="19">
        <v>181.09</v>
      </c>
      <c r="R6162" s="14">
        <v>1500</v>
      </c>
      <c r="S6162" s="19">
        <v>271635</v>
      </c>
      <c r="T6162" s="17">
        <v>1</v>
      </c>
      <c r="V6162" s="17" t="s">
        <v>183</v>
      </c>
      <c r="W6162" s="4">
        <v>112</v>
      </c>
      <c r="Y6162" s="4">
        <v>112</v>
      </c>
      <c r="AB6162" s="17">
        <v>15</v>
      </c>
      <c r="AJ6162" s="19">
        <v>0</v>
      </c>
      <c r="AK6162" s="23">
        <v>15</v>
      </c>
      <c r="AM6162" s="19">
        <v>0</v>
      </c>
      <c r="AN6162" s="19">
        <v>271635</v>
      </c>
      <c r="AP6162" s="14">
        <v>271635</v>
      </c>
    </row>
    <row r="6163" spans="1:45" ht="42" x14ac:dyDescent="0.2">
      <c r="A6163" s="122">
        <f t="shared" si="645"/>
        <v>5075</v>
      </c>
      <c r="B6163" s="13">
        <v>1</v>
      </c>
      <c r="C6163" s="17" t="s">
        <v>52</v>
      </c>
      <c r="D6163" s="17">
        <v>11770</v>
      </c>
      <c r="E6163" s="17">
        <v>57</v>
      </c>
      <c r="F6163" s="17">
        <v>3208</v>
      </c>
      <c r="G6163" s="13">
        <v>6</v>
      </c>
      <c r="H6163" s="17">
        <v>0</v>
      </c>
      <c r="I6163" s="17">
        <v>2</v>
      </c>
      <c r="J6163" s="17">
        <v>19</v>
      </c>
      <c r="K6163" s="10">
        <v>150.13</v>
      </c>
      <c r="L6163" s="17">
        <v>68.87</v>
      </c>
      <c r="P6163" s="17">
        <v>5</v>
      </c>
      <c r="Q6163" s="19">
        <v>219</v>
      </c>
      <c r="R6163" s="14">
        <v>1500</v>
      </c>
      <c r="S6163" s="19">
        <v>328500</v>
      </c>
      <c r="T6163" s="17">
        <v>1</v>
      </c>
      <c r="V6163" s="17" t="s">
        <v>183</v>
      </c>
      <c r="W6163" s="4">
        <v>275.5</v>
      </c>
      <c r="Y6163" s="4">
        <v>275.5</v>
      </c>
      <c r="AB6163" s="17">
        <v>30</v>
      </c>
      <c r="AJ6163" s="19">
        <v>0</v>
      </c>
      <c r="AK6163" s="23">
        <v>30</v>
      </c>
      <c r="AM6163" s="19">
        <v>0</v>
      </c>
      <c r="AN6163" s="19">
        <v>328500</v>
      </c>
      <c r="AP6163" s="14">
        <v>328500</v>
      </c>
    </row>
    <row r="6164" spans="1:45" x14ac:dyDescent="0.2">
      <c r="A6164" s="122">
        <f t="shared" si="645"/>
        <v>5076</v>
      </c>
      <c r="B6164" s="13">
        <v>1</v>
      </c>
      <c r="C6164" s="17" t="s">
        <v>52</v>
      </c>
      <c r="D6164" s="17">
        <v>11772</v>
      </c>
      <c r="E6164" s="17">
        <v>59</v>
      </c>
      <c r="F6164" s="17">
        <v>3210</v>
      </c>
      <c r="G6164" s="13">
        <v>6</v>
      </c>
      <c r="H6164" s="17">
        <v>0</v>
      </c>
      <c r="I6164" s="17">
        <v>1</v>
      </c>
      <c r="J6164" s="17">
        <v>92.07</v>
      </c>
      <c r="N6164" s="18" t="s">
        <v>633</v>
      </c>
      <c r="P6164" s="17">
        <v>4</v>
      </c>
      <c r="Q6164" s="19">
        <v>192.07</v>
      </c>
      <c r="R6164" s="14">
        <v>1500</v>
      </c>
      <c r="S6164" s="19">
        <v>288105</v>
      </c>
      <c r="AJ6164" s="19">
        <v>0</v>
      </c>
      <c r="AK6164" s="23">
        <v>0</v>
      </c>
      <c r="AM6164" s="19">
        <v>0</v>
      </c>
      <c r="AN6164" s="19">
        <v>288105</v>
      </c>
      <c r="AP6164" s="14">
        <v>288105</v>
      </c>
    </row>
    <row r="6165" spans="1:45" x14ac:dyDescent="0.2">
      <c r="A6165" s="122">
        <f t="shared" si="645"/>
        <v>5077</v>
      </c>
      <c r="B6165" s="13">
        <v>2</v>
      </c>
      <c r="C6165" s="17" t="s">
        <v>52</v>
      </c>
      <c r="D6165" s="17">
        <v>11720</v>
      </c>
      <c r="E6165" s="17">
        <v>50</v>
      </c>
      <c r="F6165" s="17">
        <v>3193</v>
      </c>
      <c r="G6165" s="13">
        <v>6</v>
      </c>
      <c r="H6165" s="17">
        <v>0</v>
      </c>
      <c r="I6165" s="17">
        <v>1</v>
      </c>
      <c r="J6165" s="17">
        <v>55</v>
      </c>
      <c r="N6165" s="18">
        <v>155</v>
      </c>
      <c r="P6165" s="17">
        <v>4</v>
      </c>
      <c r="Q6165" s="19">
        <v>155</v>
      </c>
      <c r="R6165" s="14">
        <v>1500</v>
      </c>
      <c r="S6165" s="19">
        <v>232500</v>
      </c>
      <c r="AJ6165" s="19">
        <v>0</v>
      </c>
      <c r="AK6165" s="23">
        <v>0</v>
      </c>
      <c r="AM6165" s="19">
        <v>0</v>
      </c>
      <c r="AN6165" s="19">
        <v>232500</v>
      </c>
      <c r="AP6165" s="14">
        <v>232500</v>
      </c>
    </row>
    <row r="6166" spans="1:45" x14ac:dyDescent="0.2">
      <c r="A6166" s="122">
        <f t="shared" si="645"/>
        <v>5078</v>
      </c>
      <c r="B6166" s="13">
        <v>3</v>
      </c>
      <c r="C6166" s="17" t="s">
        <v>52</v>
      </c>
      <c r="D6166" s="17">
        <v>4994</v>
      </c>
      <c r="E6166" s="17">
        <v>50</v>
      </c>
      <c r="F6166" s="17">
        <v>2612</v>
      </c>
      <c r="G6166" s="13">
        <v>7</v>
      </c>
      <c r="H6166" s="17">
        <v>0</v>
      </c>
      <c r="I6166" s="17">
        <v>0</v>
      </c>
      <c r="J6166" s="17">
        <v>58</v>
      </c>
      <c r="L6166" s="17">
        <v>58</v>
      </c>
      <c r="P6166" s="17">
        <v>2</v>
      </c>
      <c r="Q6166" s="19">
        <v>58</v>
      </c>
      <c r="R6166" s="14">
        <v>4500</v>
      </c>
      <c r="S6166" s="19">
        <v>261000</v>
      </c>
      <c r="AJ6166" s="19">
        <v>0</v>
      </c>
      <c r="AK6166" s="23">
        <v>0</v>
      </c>
      <c r="AM6166" s="19">
        <v>0</v>
      </c>
      <c r="AN6166" s="19">
        <v>261000</v>
      </c>
      <c r="AP6166" s="14">
        <v>261000</v>
      </c>
    </row>
    <row r="6167" spans="1:45" x14ac:dyDescent="0.2">
      <c r="A6167" s="122">
        <f t="shared" si="645"/>
        <v>5079</v>
      </c>
      <c r="B6167" s="13">
        <v>1</v>
      </c>
      <c r="C6167" s="17" t="s">
        <v>52</v>
      </c>
      <c r="D6167" s="17">
        <v>11771</v>
      </c>
      <c r="E6167" s="17">
        <v>58</v>
      </c>
      <c r="F6167" s="17">
        <v>3209</v>
      </c>
      <c r="G6167" s="13">
        <v>6</v>
      </c>
      <c r="H6167" s="17">
        <v>0</v>
      </c>
      <c r="I6167" s="17">
        <v>1</v>
      </c>
      <c r="J6167" s="17">
        <v>82.09</v>
      </c>
      <c r="N6167" s="18">
        <v>182.09</v>
      </c>
      <c r="P6167" s="17">
        <v>4</v>
      </c>
      <c r="Q6167" s="19">
        <v>182.09</v>
      </c>
      <c r="R6167" s="14">
        <v>1500</v>
      </c>
      <c r="S6167" s="19">
        <v>273135</v>
      </c>
      <c r="AJ6167" s="19">
        <v>0</v>
      </c>
      <c r="AK6167" s="23">
        <v>0</v>
      </c>
      <c r="AM6167" s="19">
        <v>0</v>
      </c>
      <c r="AN6167" s="19">
        <v>273135</v>
      </c>
      <c r="AP6167" s="14">
        <v>273135</v>
      </c>
      <c r="AQ6167" s="12">
        <v>3.0000000000000001E-3</v>
      </c>
    </row>
    <row r="6168" spans="1:45" x14ac:dyDescent="0.2">
      <c r="A6168" s="122">
        <f t="shared" si="645"/>
        <v>5080</v>
      </c>
      <c r="B6168" s="13">
        <v>1</v>
      </c>
      <c r="C6168" s="17" t="s">
        <v>65</v>
      </c>
      <c r="D6168" s="17">
        <v>3379</v>
      </c>
      <c r="E6168" s="17">
        <v>57</v>
      </c>
      <c r="H6168" s="17">
        <v>3</v>
      </c>
      <c r="I6168" s="17">
        <v>0</v>
      </c>
      <c r="J6168" s="17">
        <v>42</v>
      </c>
      <c r="K6168" s="10">
        <v>1242</v>
      </c>
      <c r="P6168" s="17">
        <v>1</v>
      </c>
      <c r="Q6168" s="19">
        <v>1242</v>
      </c>
      <c r="R6168" s="14">
        <v>160</v>
      </c>
      <c r="S6168" s="19">
        <v>198720</v>
      </c>
      <c r="AJ6168" s="19">
        <v>0</v>
      </c>
      <c r="AK6168" s="23">
        <v>0</v>
      </c>
      <c r="AM6168" s="19">
        <v>0</v>
      </c>
      <c r="AN6168" s="19">
        <v>198720</v>
      </c>
      <c r="AP6168" s="14">
        <v>198720</v>
      </c>
      <c r="AQ6168" s="12">
        <v>1E-4</v>
      </c>
    </row>
    <row r="6169" spans="1:45" x14ac:dyDescent="0.2">
      <c r="A6169" s="122">
        <f t="shared" si="645"/>
        <v>5081</v>
      </c>
      <c r="B6169" s="13">
        <v>2</v>
      </c>
      <c r="C6169" s="17" t="s">
        <v>65</v>
      </c>
      <c r="D6169" s="17">
        <v>3381</v>
      </c>
      <c r="E6169" s="17">
        <v>59</v>
      </c>
      <c r="H6169" s="17">
        <v>2</v>
      </c>
      <c r="I6169" s="17">
        <v>2</v>
      </c>
      <c r="J6169" s="17">
        <v>56</v>
      </c>
      <c r="K6169" s="10">
        <v>1056</v>
      </c>
      <c r="P6169" s="17">
        <v>1</v>
      </c>
      <c r="Q6169" s="19">
        <v>1056</v>
      </c>
      <c r="R6169" s="14">
        <v>160</v>
      </c>
      <c r="S6169" s="19">
        <v>168960</v>
      </c>
      <c r="AJ6169" s="19">
        <v>0</v>
      </c>
      <c r="AK6169" s="23">
        <v>0</v>
      </c>
      <c r="AM6169" s="19">
        <v>0</v>
      </c>
      <c r="AN6169" s="19">
        <v>168960</v>
      </c>
      <c r="AP6169" s="14">
        <v>168960</v>
      </c>
      <c r="AQ6169" s="12">
        <v>1E-4</v>
      </c>
    </row>
    <row r="6170" spans="1:45" ht="42" x14ac:dyDescent="0.2">
      <c r="A6170" s="122">
        <f t="shared" si="645"/>
        <v>5082</v>
      </c>
      <c r="B6170" s="13">
        <v>1</v>
      </c>
      <c r="C6170" s="17" t="s">
        <v>52</v>
      </c>
      <c r="D6170" s="17">
        <v>818</v>
      </c>
      <c r="E6170" s="17">
        <v>35</v>
      </c>
      <c r="F6170" s="17">
        <v>296</v>
      </c>
      <c r="G6170" s="13">
        <v>6</v>
      </c>
      <c r="H6170" s="17">
        <v>2</v>
      </c>
      <c r="I6170" s="17">
        <v>1</v>
      </c>
      <c r="J6170" s="17">
        <v>5</v>
      </c>
      <c r="K6170" s="10">
        <v>884.5</v>
      </c>
      <c r="L6170" s="17">
        <v>20.5</v>
      </c>
      <c r="P6170" s="17">
        <v>5</v>
      </c>
      <c r="Q6170" s="19">
        <v>905</v>
      </c>
      <c r="R6170" s="14">
        <v>1100</v>
      </c>
      <c r="S6170" s="19">
        <v>995500</v>
      </c>
      <c r="T6170" s="17">
        <v>1</v>
      </c>
      <c r="V6170" s="17" t="s">
        <v>183</v>
      </c>
      <c r="W6170" s="4">
        <v>50</v>
      </c>
      <c r="Y6170" s="4">
        <v>50</v>
      </c>
      <c r="AB6170" s="17">
        <v>24</v>
      </c>
      <c r="AJ6170" s="19">
        <v>0</v>
      </c>
      <c r="AK6170" s="23">
        <v>24</v>
      </c>
      <c r="AM6170" s="19">
        <v>0</v>
      </c>
      <c r="AN6170" s="19">
        <v>995500</v>
      </c>
      <c r="AP6170" s="14">
        <v>995500</v>
      </c>
      <c r="AS6170" s="26">
        <v>100</v>
      </c>
    </row>
    <row r="6171" spans="1:45" ht="42" x14ac:dyDescent="0.2">
      <c r="Q6171" s="19">
        <v>0</v>
      </c>
      <c r="R6171" s="14" t="e">
        <v>#N/A</v>
      </c>
      <c r="S6171" s="19" t="e">
        <v>#N/A</v>
      </c>
      <c r="T6171" s="17">
        <v>2</v>
      </c>
      <c r="V6171" s="17" t="s">
        <v>183</v>
      </c>
      <c r="W6171" s="4">
        <v>32</v>
      </c>
      <c r="Y6171" s="4">
        <v>32</v>
      </c>
      <c r="AB6171" s="17">
        <v>18</v>
      </c>
      <c r="AJ6171" s="19">
        <v>0</v>
      </c>
      <c r="AK6171" s="23">
        <v>18</v>
      </c>
      <c r="AM6171" s="19">
        <v>0</v>
      </c>
      <c r="AN6171" s="19" t="e">
        <v>#N/A</v>
      </c>
      <c r="AP6171" s="14" t="e">
        <v>#N/A</v>
      </c>
    </row>
    <row r="6172" spans="1:45" ht="63" x14ac:dyDescent="0.2">
      <c r="A6172" s="2">
        <v>5083</v>
      </c>
      <c r="B6172" s="13">
        <v>1</v>
      </c>
      <c r="C6172" s="17" t="s">
        <v>52</v>
      </c>
      <c r="D6172" s="17">
        <v>11719</v>
      </c>
      <c r="E6172" s="17">
        <v>49</v>
      </c>
      <c r="F6172" s="17">
        <v>3192</v>
      </c>
      <c r="G6172" s="13">
        <v>6</v>
      </c>
      <c r="H6172" s="17">
        <v>0</v>
      </c>
      <c r="I6172" s="17">
        <v>0</v>
      </c>
      <c r="J6172" s="17">
        <v>38.01</v>
      </c>
      <c r="L6172" s="17" t="s">
        <v>634</v>
      </c>
      <c r="P6172" s="17">
        <v>2</v>
      </c>
      <c r="Q6172" s="19">
        <v>38.01</v>
      </c>
      <c r="R6172" s="14">
        <v>1500</v>
      </c>
      <c r="S6172" s="19">
        <v>57015</v>
      </c>
      <c r="U6172" s="17" t="s">
        <v>57</v>
      </c>
      <c r="V6172" s="17" t="s">
        <v>56</v>
      </c>
      <c r="W6172" s="4" t="s">
        <v>399</v>
      </c>
      <c r="Y6172" s="4" t="s">
        <v>399</v>
      </c>
      <c r="AJ6172" s="19">
        <v>0</v>
      </c>
      <c r="AK6172" s="23">
        <v>0</v>
      </c>
      <c r="AM6172" s="19">
        <v>0</v>
      </c>
      <c r="AN6172" s="19">
        <v>57015</v>
      </c>
      <c r="AP6172" s="14">
        <v>57015</v>
      </c>
    </row>
    <row r="6173" spans="1:45" x14ac:dyDescent="0.2">
      <c r="A6173" s="2">
        <f>+A6172+1</f>
        <v>5084</v>
      </c>
      <c r="B6173" s="13">
        <v>1</v>
      </c>
      <c r="C6173" s="17" t="s">
        <v>52</v>
      </c>
      <c r="D6173" s="17">
        <v>1748</v>
      </c>
      <c r="E6173" s="17">
        <v>32</v>
      </c>
      <c r="F6173" s="17">
        <v>256</v>
      </c>
      <c r="G6173" s="13">
        <v>6</v>
      </c>
      <c r="H6173" s="17">
        <v>15</v>
      </c>
      <c r="I6173" s="17">
        <v>2</v>
      </c>
      <c r="J6173" s="17">
        <v>88</v>
      </c>
      <c r="K6173" s="10">
        <v>6288</v>
      </c>
      <c r="P6173" s="17">
        <v>1</v>
      </c>
      <c r="Q6173" s="19">
        <v>6288</v>
      </c>
      <c r="R6173" s="14">
        <v>160</v>
      </c>
      <c r="S6173" s="19">
        <v>1006080</v>
      </c>
      <c r="AJ6173" s="19">
        <v>0</v>
      </c>
      <c r="AK6173" s="23">
        <v>0</v>
      </c>
      <c r="AM6173" s="19">
        <v>0</v>
      </c>
      <c r="AN6173" s="19">
        <v>1006080</v>
      </c>
      <c r="AP6173" s="14">
        <v>1006080</v>
      </c>
      <c r="AS6173" s="26">
        <v>44</v>
      </c>
    </row>
    <row r="6174" spans="1:45" x14ac:dyDescent="0.2">
      <c r="A6174" s="122">
        <f t="shared" ref="A6174:A6179" si="646">+A6173+1</f>
        <v>5085</v>
      </c>
      <c r="B6174" s="13">
        <v>1</v>
      </c>
      <c r="C6174" s="17" t="s">
        <v>52</v>
      </c>
      <c r="D6174" s="17">
        <v>1270</v>
      </c>
      <c r="E6174" s="17">
        <v>33</v>
      </c>
      <c r="F6174" s="17">
        <v>738</v>
      </c>
      <c r="G6174" s="13">
        <v>6</v>
      </c>
      <c r="H6174" s="17">
        <v>2</v>
      </c>
      <c r="I6174" s="17">
        <v>3</v>
      </c>
      <c r="J6174" s="17">
        <v>8</v>
      </c>
      <c r="K6174" s="10">
        <v>1108</v>
      </c>
      <c r="P6174" s="17">
        <v>1</v>
      </c>
      <c r="Q6174" s="19">
        <v>1108</v>
      </c>
      <c r="R6174" s="14">
        <v>160</v>
      </c>
      <c r="S6174" s="19">
        <v>177280</v>
      </c>
      <c r="AJ6174" s="19">
        <v>0</v>
      </c>
      <c r="AK6174" s="23">
        <v>0</v>
      </c>
      <c r="AM6174" s="19">
        <v>0</v>
      </c>
      <c r="AN6174" s="19">
        <v>177280</v>
      </c>
      <c r="AP6174" s="14">
        <v>177280</v>
      </c>
      <c r="AS6174" s="26">
        <v>8</v>
      </c>
    </row>
    <row r="6175" spans="1:45" x14ac:dyDescent="0.2">
      <c r="A6175" s="122">
        <f t="shared" si="646"/>
        <v>5086</v>
      </c>
      <c r="B6175" s="13">
        <v>1</v>
      </c>
      <c r="C6175" s="17" t="s">
        <v>52</v>
      </c>
      <c r="D6175" s="17">
        <v>35392</v>
      </c>
      <c r="E6175" s="17">
        <v>82</v>
      </c>
      <c r="F6175" s="17">
        <v>6840</v>
      </c>
      <c r="G6175" s="13">
        <v>6</v>
      </c>
      <c r="H6175" s="17">
        <v>0</v>
      </c>
      <c r="I6175" s="17">
        <v>0</v>
      </c>
      <c r="J6175" s="17">
        <v>42</v>
      </c>
      <c r="N6175" s="18">
        <v>42</v>
      </c>
      <c r="P6175" s="17">
        <v>4</v>
      </c>
      <c r="Q6175" s="19">
        <v>42</v>
      </c>
      <c r="R6175" s="14">
        <v>160</v>
      </c>
      <c r="S6175" s="19">
        <v>6720</v>
      </c>
      <c r="AJ6175" s="19">
        <v>0</v>
      </c>
      <c r="AK6175" s="23">
        <v>0</v>
      </c>
      <c r="AM6175" s="19">
        <v>0</v>
      </c>
      <c r="AN6175" s="19">
        <v>6720</v>
      </c>
      <c r="AP6175" s="14">
        <v>6720</v>
      </c>
      <c r="AQ6175" s="12">
        <v>3.0000000000000001E-3</v>
      </c>
    </row>
    <row r="6176" spans="1:45" x14ac:dyDescent="0.2">
      <c r="A6176" s="122">
        <f t="shared" si="646"/>
        <v>5087</v>
      </c>
      <c r="B6176" s="13">
        <v>1</v>
      </c>
      <c r="C6176" s="17" t="s">
        <v>65</v>
      </c>
      <c r="D6176" s="17">
        <v>3629</v>
      </c>
      <c r="E6176" s="17">
        <v>200</v>
      </c>
      <c r="H6176" s="17">
        <v>0</v>
      </c>
      <c r="I6176" s="17">
        <v>0</v>
      </c>
      <c r="J6176" s="17">
        <v>30</v>
      </c>
      <c r="N6176" s="18">
        <v>30</v>
      </c>
      <c r="P6176" s="17">
        <v>4</v>
      </c>
      <c r="Q6176" s="19">
        <v>30</v>
      </c>
      <c r="R6176" s="14">
        <v>200</v>
      </c>
      <c r="S6176" s="19">
        <v>6000</v>
      </c>
      <c r="AE6176" s="17" t="s">
        <v>95</v>
      </c>
      <c r="AJ6176" s="19">
        <v>0</v>
      </c>
      <c r="AK6176" s="23">
        <v>0</v>
      </c>
      <c r="AM6176" s="19">
        <v>0</v>
      </c>
      <c r="AN6176" s="19">
        <v>6000</v>
      </c>
      <c r="AP6176" s="14">
        <v>6000</v>
      </c>
      <c r="AQ6176" s="12">
        <v>3.0000000000000001E-3</v>
      </c>
    </row>
    <row r="6177" spans="1:45" x14ac:dyDescent="0.2">
      <c r="A6177" s="122">
        <f t="shared" si="646"/>
        <v>5088</v>
      </c>
      <c r="B6177" s="13">
        <v>1</v>
      </c>
      <c r="C6177" s="17" t="s">
        <v>52</v>
      </c>
      <c r="D6177" s="17">
        <v>24544</v>
      </c>
      <c r="E6177" s="17">
        <v>36</v>
      </c>
      <c r="F6177" s="17">
        <v>3951</v>
      </c>
      <c r="G6177" s="13">
        <v>6</v>
      </c>
      <c r="H6177" s="17">
        <v>0</v>
      </c>
      <c r="I6177" s="17">
        <v>1</v>
      </c>
      <c r="J6177" s="17">
        <v>62</v>
      </c>
      <c r="N6177" s="18">
        <v>162</v>
      </c>
      <c r="P6177" s="17">
        <v>4</v>
      </c>
      <c r="Q6177" s="19">
        <v>162</v>
      </c>
      <c r="R6177" s="14">
        <v>1500</v>
      </c>
      <c r="S6177" s="19">
        <v>243000</v>
      </c>
      <c r="AJ6177" s="19">
        <v>0</v>
      </c>
      <c r="AK6177" s="23">
        <v>0</v>
      </c>
      <c r="AM6177" s="19">
        <v>0</v>
      </c>
      <c r="AN6177" s="19">
        <v>243000</v>
      </c>
      <c r="AP6177" s="14">
        <v>243000</v>
      </c>
      <c r="AQ6177" s="12">
        <v>3.0000000000000001E-3</v>
      </c>
      <c r="AS6177" s="26">
        <v>3</v>
      </c>
    </row>
    <row r="6178" spans="1:45" x14ac:dyDescent="0.2">
      <c r="A6178" s="122">
        <f t="shared" si="646"/>
        <v>5089</v>
      </c>
      <c r="B6178" s="13">
        <v>1</v>
      </c>
      <c r="C6178" s="17" t="s">
        <v>52</v>
      </c>
      <c r="D6178" s="17">
        <v>1269</v>
      </c>
      <c r="E6178" s="17">
        <v>34</v>
      </c>
      <c r="F6178" s="17">
        <v>737</v>
      </c>
      <c r="G6178" s="13">
        <v>6</v>
      </c>
      <c r="H6178" s="17">
        <v>5</v>
      </c>
      <c r="I6178" s="17">
        <v>3</v>
      </c>
      <c r="J6178" s="17">
        <v>36</v>
      </c>
      <c r="K6178" s="10">
        <v>2336</v>
      </c>
      <c r="P6178" s="17">
        <v>1</v>
      </c>
      <c r="Q6178" s="19">
        <v>2336</v>
      </c>
      <c r="R6178" s="14">
        <v>750</v>
      </c>
      <c r="S6178" s="19">
        <v>1752000</v>
      </c>
      <c r="AJ6178" s="19">
        <v>0</v>
      </c>
      <c r="AK6178" s="23">
        <v>0</v>
      </c>
      <c r="AM6178" s="19">
        <v>0</v>
      </c>
      <c r="AN6178" s="19">
        <v>1752000</v>
      </c>
      <c r="AP6178" s="14">
        <v>1752000</v>
      </c>
    </row>
    <row r="6179" spans="1:45" ht="231" x14ac:dyDescent="0.2">
      <c r="A6179" s="122">
        <f t="shared" si="646"/>
        <v>5090</v>
      </c>
      <c r="B6179" s="13">
        <v>1</v>
      </c>
      <c r="C6179" s="17" t="s">
        <v>52</v>
      </c>
      <c r="D6179" s="17">
        <v>1254</v>
      </c>
      <c r="E6179" s="17">
        <v>44</v>
      </c>
      <c r="F6179" s="17">
        <v>304</v>
      </c>
      <c r="G6179" s="13">
        <v>6</v>
      </c>
      <c r="H6179" s="17">
        <v>3</v>
      </c>
      <c r="I6179" s="17">
        <v>0</v>
      </c>
      <c r="J6179" s="17">
        <v>74</v>
      </c>
      <c r="K6179" s="10">
        <v>1274</v>
      </c>
      <c r="L6179" s="17">
        <v>71.5</v>
      </c>
      <c r="P6179" s="17">
        <v>5</v>
      </c>
      <c r="Q6179" s="19">
        <v>1274</v>
      </c>
      <c r="R6179" s="14">
        <v>750</v>
      </c>
      <c r="S6179" s="19">
        <v>955500</v>
      </c>
      <c r="T6179" s="17">
        <v>1</v>
      </c>
      <c r="U6179" s="17" t="s">
        <v>57</v>
      </c>
      <c r="V6179" s="17" t="s">
        <v>56</v>
      </c>
      <c r="W6179" s="4">
        <v>286</v>
      </c>
      <c r="Y6179" s="4">
        <v>274</v>
      </c>
      <c r="Z6179" s="17" t="s">
        <v>437</v>
      </c>
      <c r="AB6179" s="17">
        <v>17</v>
      </c>
      <c r="AC6179" s="14" t="s">
        <v>486</v>
      </c>
      <c r="AF6179" s="14">
        <v>2</v>
      </c>
      <c r="AG6179" s="54">
        <v>286</v>
      </c>
      <c r="AH6179" s="11">
        <v>0.95804195804195802</v>
      </c>
      <c r="AI6179" s="14">
        <v>7250</v>
      </c>
      <c r="AJ6179" s="19">
        <v>1986500</v>
      </c>
      <c r="AK6179" s="23">
        <v>17</v>
      </c>
      <c r="AL6179" s="11">
        <v>0.24</v>
      </c>
      <c r="AM6179" s="19">
        <v>1509740</v>
      </c>
      <c r="AN6179" s="19">
        <v>2465240</v>
      </c>
      <c r="AP6179" s="14">
        <v>2465240</v>
      </c>
      <c r="AR6179" s="19">
        <v>12</v>
      </c>
    </row>
    <row r="6180" spans="1:45" x14ac:dyDescent="0.2">
      <c r="AF6180" s="14">
        <v>3</v>
      </c>
      <c r="AG6180" s="54">
        <v>286</v>
      </c>
      <c r="AH6180" s="11">
        <v>0.04</v>
      </c>
      <c r="AI6180" s="14">
        <v>7250</v>
      </c>
      <c r="AJ6180" s="19">
        <v>82940</v>
      </c>
      <c r="AK6180" s="23">
        <v>17</v>
      </c>
      <c r="AL6180" s="11">
        <v>0.24</v>
      </c>
      <c r="AM6180" s="19">
        <v>63034.400000000001</v>
      </c>
      <c r="AN6180" s="19">
        <v>101254.39999999999</v>
      </c>
      <c r="AP6180" s="14">
        <v>101254.39999999999</v>
      </c>
      <c r="AQ6180" s="12">
        <v>3.0000000000000001E-3</v>
      </c>
    </row>
    <row r="6181" spans="1:45" ht="63" x14ac:dyDescent="0.2">
      <c r="A6181" s="2">
        <v>5091</v>
      </c>
      <c r="B6181" s="13">
        <v>1</v>
      </c>
      <c r="C6181" s="17" t="s">
        <v>52</v>
      </c>
      <c r="D6181" s="17">
        <v>3490</v>
      </c>
      <c r="E6181" s="17">
        <v>19</v>
      </c>
      <c r="F6181" s="17">
        <v>2256</v>
      </c>
      <c r="G6181" s="13">
        <v>6</v>
      </c>
      <c r="H6181" s="17">
        <v>0</v>
      </c>
      <c r="I6181" s="17">
        <v>1</v>
      </c>
      <c r="J6181" s="17">
        <v>56.09</v>
      </c>
      <c r="K6181" s="10">
        <v>156.09</v>
      </c>
      <c r="P6181" s="17">
        <v>5</v>
      </c>
      <c r="Q6181" s="19">
        <v>156.09</v>
      </c>
      <c r="R6181" s="14">
        <v>750</v>
      </c>
      <c r="S6181" s="19">
        <v>117067.5</v>
      </c>
      <c r="U6181" s="17" t="s">
        <v>57</v>
      </c>
      <c r="V6181" s="17" t="s">
        <v>56</v>
      </c>
      <c r="W6181" s="4" t="s">
        <v>234</v>
      </c>
      <c r="Y6181" s="4" t="s">
        <v>234</v>
      </c>
      <c r="AB6181" s="17" t="s">
        <v>227</v>
      </c>
      <c r="AJ6181" s="19">
        <v>0</v>
      </c>
      <c r="AK6181" s="23" t="s">
        <v>227</v>
      </c>
      <c r="AM6181" s="19">
        <v>0</v>
      </c>
      <c r="AN6181" s="19">
        <v>117067.5</v>
      </c>
      <c r="AP6181" s="14">
        <v>117067.5</v>
      </c>
    </row>
    <row r="6182" spans="1:45" x14ac:dyDescent="0.2">
      <c r="B6182" s="13">
        <v>2</v>
      </c>
      <c r="C6182" s="17" t="s">
        <v>52</v>
      </c>
      <c r="D6182" s="17">
        <v>40180</v>
      </c>
      <c r="E6182" s="17">
        <v>39</v>
      </c>
      <c r="F6182" s="17">
        <v>7907</v>
      </c>
      <c r="H6182" s="17">
        <v>5</v>
      </c>
      <c r="I6182" s="17">
        <v>1</v>
      </c>
      <c r="J6182" s="17">
        <v>29</v>
      </c>
      <c r="K6182" s="10" t="s">
        <v>635</v>
      </c>
      <c r="P6182" s="17">
        <v>1</v>
      </c>
      <c r="Q6182" s="19">
        <v>2129</v>
      </c>
      <c r="R6182" s="14" t="e">
        <v>#N/A</v>
      </c>
      <c r="S6182" s="19" t="e">
        <v>#N/A</v>
      </c>
      <c r="AE6182" s="17" t="s">
        <v>636</v>
      </c>
      <c r="AJ6182" s="19">
        <v>0</v>
      </c>
      <c r="AK6182" s="23">
        <v>0</v>
      </c>
      <c r="AM6182" s="19">
        <v>0</v>
      </c>
      <c r="AN6182" s="19" t="e">
        <v>#N/A</v>
      </c>
      <c r="AP6182" s="14" t="e">
        <v>#N/A</v>
      </c>
      <c r="AQ6182" s="12">
        <v>1E-4</v>
      </c>
    </row>
    <row r="6183" spans="1:45" x14ac:dyDescent="0.2">
      <c r="C6183" s="17" t="s">
        <v>52</v>
      </c>
      <c r="D6183" s="17">
        <v>40179</v>
      </c>
      <c r="E6183" s="17">
        <v>38</v>
      </c>
      <c r="F6183" s="17">
        <v>7906</v>
      </c>
      <c r="H6183" s="17">
        <v>7</v>
      </c>
      <c r="I6183" s="17">
        <v>2</v>
      </c>
      <c r="J6183" s="17">
        <v>48</v>
      </c>
      <c r="K6183" s="10" t="s">
        <v>637</v>
      </c>
      <c r="P6183" s="17">
        <v>1</v>
      </c>
      <c r="Q6183" s="19">
        <v>3048</v>
      </c>
      <c r="R6183" s="14" t="e">
        <v>#N/A</v>
      </c>
    </row>
    <row r="6184" spans="1:45" x14ac:dyDescent="0.2">
      <c r="A6184" s="2">
        <v>5092</v>
      </c>
      <c r="B6184" s="13">
        <v>1</v>
      </c>
      <c r="C6184" s="17" t="s">
        <v>52</v>
      </c>
      <c r="D6184" s="17">
        <v>820</v>
      </c>
      <c r="E6184" s="17">
        <v>41</v>
      </c>
      <c r="F6184" s="17">
        <v>301</v>
      </c>
      <c r="G6184" s="13">
        <v>6</v>
      </c>
      <c r="H6184" s="17">
        <v>1</v>
      </c>
      <c r="I6184" s="17">
        <v>1</v>
      </c>
      <c r="J6184" s="17">
        <v>86</v>
      </c>
      <c r="K6184" s="10">
        <v>586</v>
      </c>
      <c r="P6184" s="17">
        <v>1</v>
      </c>
      <c r="Q6184" s="19">
        <v>586</v>
      </c>
      <c r="R6184" s="14">
        <v>160</v>
      </c>
      <c r="S6184" s="19">
        <v>93760</v>
      </c>
      <c r="AJ6184" s="19">
        <v>0</v>
      </c>
      <c r="AK6184" s="23">
        <v>0</v>
      </c>
      <c r="AM6184" s="19">
        <v>0</v>
      </c>
      <c r="AN6184" s="19">
        <v>93760</v>
      </c>
      <c r="AP6184" s="14">
        <v>93760</v>
      </c>
      <c r="AS6184" s="26">
        <v>130</v>
      </c>
    </row>
    <row r="6185" spans="1:45" ht="42" x14ac:dyDescent="0.2">
      <c r="A6185" s="2">
        <f>+A6184+1</f>
        <v>5093</v>
      </c>
      <c r="B6185" s="13">
        <v>2</v>
      </c>
      <c r="C6185" s="17" t="s">
        <v>52</v>
      </c>
      <c r="D6185" s="17">
        <v>1251</v>
      </c>
      <c r="E6185" s="17">
        <v>40</v>
      </c>
      <c r="F6185" s="17">
        <v>300</v>
      </c>
      <c r="G6185" s="13">
        <v>6</v>
      </c>
      <c r="H6185" s="17">
        <v>3</v>
      </c>
      <c r="I6185" s="17">
        <v>2</v>
      </c>
      <c r="J6185" s="17">
        <v>15</v>
      </c>
      <c r="K6185" s="10">
        <v>1396.25</v>
      </c>
      <c r="L6185" s="17">
        <v>18.75</v>
      </c>
      <c r="P6185" s="17">
        <v>5</v>
      </c>
      <c r="Q6185" s="19">
        <v>1415</v>
      </c>
      <c r="R6185" s="14">
        <v>1100</v>
      </c>
      <c r="S6185" s="19">
        <v>1556500</v>
      </c>
      <c r="T6185" s="17">
        <v>1</v>
      </c>
      <c r="V6185" s="17" t="s">
        <v>530</v>
      </c>
      <c r="W6185" s="4">
        <v>75</v>
      </c>
      <c r="Y6185" s="4">
        <v>75</v>
      </c>
      <c r="AB6185" s="17">
        <v>26</v>
      </c>
      <c r="AJ6185" s="19">
        <v>0</v>
      </c>
      <c r="AK6185" s="23">
        <v>26</v>
      </c>
      <c r="AM6185" s="19">
        <v>0</v>
      </c>
      <c r="AN6185" s="19">
        <v>1556500</v>
      </c>
      <c r="AP6185" s="14">
        <v>1556500</v>
      </c>
    </row>
    <row r="6186" spans="1:45" x14ac:dyDescent="0.2">
      <c r="A6186" s="122">
        <f t="shared" ref="A6186:A6191" si="647">+A6185+1</f>
        <v>5094</v>
      </c>
      <c r="B6186" s="13">
        <v>3</v>
      </c>
      <c r="C6186" s="17" t="s">
        <v>52</v>
      </c>
      <c r="D6186" s="17">
        <v>1256</v>
      </c>
      <c r="E6186" s="17">
        <v>6</v>
      </c>
      <c r="F6186" s="17">
        <v>309</v>
      </c>
      <c r="G6186" s="13">
        <v>6</v>
      </c>
      <c r="H6186" s="17">
        <v>3</v>
      </c>
      <c r="I6186" s="17">
        <v>0</v>
      </c>
      <c r="J6186" s="17">
        <v>42</v>
      </c>
      <c r="K6186" s="10">
        <v>1242</v>
      </c>
      <c r="P6186" s="17">
        <v>1</v>
      </c>
      <c r="Q6186" s="19">
        <v>1242</v>
      </c>
      <c r="R6186" s="14">
        <v>750</v>
      </c>
      <c r="S6186" s="19">
        <v>931500</v>
      </c>
      <c r="AJ6186" s="19">
        <v>0</v>
      </c>
      <c r="AK6186" s="23">
        <v>0</v>
      </c>
      <c r="AM6186" s="19">
        <v>0</v>
      </c>
      <c r="AN6186" s="19">
        <v>931500</v>
      </c>
      <c r="AP6186" s="14">
        <v>931500</v>
      </c>
    </row>
    <row r="6187" spans="1:45" ht="42" x14ac:dyDescent="0.2">
      <c r="A6187" s="122">
        <f t="shared" si="647"/>
        <v>5095</v>
      </c>
      <c r="B6187" s="13">
        <v>1</v>
      </c>
      <c r="C6187" s="17" t="s">
        <v>52</v>
      </c>
      <c r="D6187" s="17">
        <v>1268</v>
      </c>
      <c r="E6187" s="17">
        <v>1</v>
      </c>
      <c r="F6187" s="17">
        <v>736</v>
      </c>
      <c r="G6187" s="13">
        <v>6</v>
      </c>
      <c r="H6187" s="17">
        <v>6</v>
      </c>
      <c r="I6187" s="17">
        <v>0</v>
      </c>
      <c r="J6187" s="17">
        <v>93</v>
      </c>
      <c r="K6187" s="10">
        <v>2478</v>
      </c>
      <c r="L6187" s="17">
        <v>15</v>
      </c>
      <c r="P6187" s="17">
        <v>5</v>
      </c>
      <c r="Q6187" s="19">
        <v>2493</v>
      </c>
      <c r="R6187" s="14">
        <v>375</v>
      </c>
      <c r="S6187" s="19">
        <v>934875</v>
      </c>
      <c r="T6187" s="17">
        <v>1</v>
      </c>
      <c r="V6187" s="17" t="s">
        <v>183</v>
      </c>
      <c r="W6187" s="4">
        <v>60</v>
      </c>
      <c r="Y6187" s="4">
        <v>60</v>
      </c>
      <c r="AB6187" s="17">
        <v>21</v>
      </c>
      <c r="AJ6187" s="19">
        <v>0</v>
      </c>
      <c r="AK6187" s="23">
        <v>21</v>
      </c>
      <c r="AM6187" s="19">
        <v>0</v>
      </c>
      <c r="AN6187" s="19">
        <v>934875</v>
      </c>
      <c r="AP6187" s="14">
        <v>934875</v>
      </c>
    </row>
    <row r="6188" spans="1:45" x14ac:dyDescent="0.2">
      <c r="A6188" s="122">
        <f t="shared" si="647"/>
        <v>5096</v>
      </c>
      <c r="B6188" s="13">
        <v>2</v>
      </c>
      <c r="C6188" s="17" t="s">
        <v>52</v>
      </c>
      <c r="D6188" s="17">
        <v>35218</v>
      </c>
      <c r="E6188" s="17">
        <v>46</v>
      </c>
      <c r="F6188" s="17">
        <v>7019</v>
      </c>
      <c r="G6188" s="13">
        <v>6</v>
      </c>
      <c r="H6188" s="17">
        <v>0</v>
      </c>
      <c r="I6188" s="17">
        <v>2</v>
      </c>
      <c r="J6188" s="17">
        <v>97.02</v>
      </c>
      <c r="K6188" s="10">
        <v>297.02</v>
      </c>
      <c r="P6188" s="17">
        <v>1</v>
      </c>
      <c r="Q6188" s="19">
        <v>297.02</v>
      </c>
      <c r="R6188" s="14">
        <v>750</v>
      </c>
      <c r="S6188" s="19">
        <v>222765</v>
      </c>
      <c r="AJ6188" s="19">
        <v>0</v>
      </c>
      <c r="AK6188" s="23">
        <v>0</v>
      </c>
      <c r="AM6188" s="19">
        <v>0</v>
      </c>
      <c r="AN6188" s="19">
        <v>222765</v>
      </c>
      <c r="AP6188" s="14">
        <v>222765</v>
      </c>
    </row>
    <row r="6189" spans="1:45" x14ac:dyDescent="0.2">
      <c r="A6189" s="122">
        <f t="shared" si="647"/>
        <v>5097</v>
      </c>
      <c r="B6189" s="13">
        <v>3</v>
      </c>
      <c r="C6189" s="17" t="s">
        <v>65</v>
      </c>
      <c r="D6189" s="17">
        <v>1853</v>
      </c>
      <c r="E6189" s="17">
        <v>110</v>
      </c>
      <c r="H6189" s="17">
        <v>9</v>
      </c>
      <c r="I6189" s="17">
        <v>2</v>
      </c>
      <c r="J6189" s="17">
        <v>40</v>
      </c>
      <c r="K6189" s="10">
        <v>3840</v>
      </c>
      <c r="P6189" s="17">
        <v>1</v>
      </c>
      <c r="Q6189" s="19">
        <v>3840</v>
      </c>
      <c r="R6189" s="14">
        <v>160</v>
      </c>
      <c r="S6189" s="19">
        <v>614400</v>
      </c>
      <c r="AJ6189" s="19">
        <v>0</v>
      </c>
      <c r="AK6189" s="23">
        <v>0</v>
      </c>
      <c r="AM6189" s="19">
        <v>0</v>
      </c>
      <c r="AN6189" s="19">
        <v>614400</v>
      </c>
      <c r="AP6189" s="14">
        <v>614400</v>
      </c>
      <c r="AQ6189" s="12">
        <v>1E-4</v>
      </c>
    </row>
    <row r="6190" spans="1:45" ht="42" x14ac:dyDescent="0.2">
      <c r="A6190" s="122">
        <f t="shared" si="647"/>
        <v>5098</v>
      </c>
      <c r="B6190" s="13">
        <v>1</v>
      </c>
      <c r="C6190" s="17" t="s">
        <v>52</v>
      </c>
      <c r="D6190" s="17">
        <v>35216</v>
      </c>
      <c r="E6190" s="17">
        <v>44</v>
      </c>
      <c r="F6190" s="17">
        <v>7017</v>
      </c>
      <c r="G6190" s="13">
        <v>6</v>
      </c>
      <c r="H6190" s="17">
        <v>0</v>
      </c>
      <c r="I6190" s="17">
        <v>2</v>
      </c>
      <c r="J6190" s="17">
        <v>56.06</v>
      </c>
      <c r="K6190" s="10">
        <v>229.06</v>
      </c>
      <c r="L6190" s="17">
        <v>27</v>
      </c>
      <c r="P6190" s="17">
        <v>5</v>
      </c>
      <c r="Q6190" s="19">
        <v>256.06</v>
      </c>
      <c r="R6190" s="14">
        <v>750</v>
      </c>
      <c r="S6190" s="19">
        <v>192045</v>
      </c>
      <c r="T6190" s="17">
        <v>1</v>
      </c>
      <c r="V6190" s="17" t="s">
        <v>183</v>
      </c>
      <c r="W6190" s="4">
        <v>108</v>
      </c>
      <c r="Y6190" s="4" t="s">
        <v>314</v>
      </c>
      <c r="AB6190" s="17">
        <v>8</v>
      </c>
      <c r="AJ6190" s="19">
        <v>0</v>
      </c>
      <c r="AK6190" s="23">
        <v>8</v>
      </c>
      <c r="AM6190" s="19">
        <v>0</v>
      </c>
      <c r="AN6190" s="19">
        <v>192045</v>
      </c>
      <c r="AP6190" s="14">
        <v>192045</v>
      </c>
    </row>
    <row r="6191" spans="1:45" ht="42" x14ac:dyDescent="0.2">
      <c r="A6191" s="122">
        <f t="shared" si="647"/>
        <v>5099</v>
      </c>
      <c r="B6191" s="13">
        <v>1</v>
      </c>
      <c r="C6191" s="17" t="s">
        <v>52</v>
      </c>
      <c r="D6191" s="17">
        <v>20521</v>
      </c>
      <c r="E6191" s="17">
        <v>27</v>
      </c>
      <c r="F6191" s="17">
        <v>4558</v>
      </c>
      <c r="G6191" s="13">
        <v>6</v>
      </c>
      <c r="H6191" s="17">
        <v>0</v>
      </c>
      <c r="I6191" s="17">
        <v>1</v>
      </c>
      <c r="J6191" s="17">
        <v>5</v>
      </c>
      <c r="K6191" s="10">
        <v>77</v>
      </c>
      <c r="L6191" s="17">
        <v>28</v>
      </c>
      <c r="P6191" s="17">
        <v>5</v>
      </c>
      <c r="Q6191" s="19">
        <v>105</v>
      </c>
      <c r="R6191" s="14">
        <v>1500</v>
      </c>
      <c r="S6191" s="19">
        <v>157500</v>
      </c>
      <c r="T6191" s="17">
        <v>1</v>
      </c>
      <c r="V6191" s="17" t="s">
        <v>183</v>
      </c>
      <c r="W6191" s="4">
        <v>84</v>
      </c>
      <c r="Y6191" s="4">
        <v>84</v>
      </c>
      <c r="AB6191" s="17">
        <v>14</v>
      </c>
      <c r="AJ6191" s="19">
        <v>0</v>
      </c>
      <c r="AK6191" s="23">
        <v>14</v>
      </c>
      <c r="AM6191" s="19">
        <v>0</v>
      </c>
      <c r="AN6191" s="19">
        <v>157500</v>
      </c>
      <c r="AP6191" s="14">
        <v>157500</v>
      </c>
    </row>
    <row r="6192" spans="1:45" ht="42" x14ac:dyDescent="0.2">
      <c r="Q6192" s="19">
        <v>0</v>
      </c>
      <c r="R6192" s="14" t="e">
        <v>#N/A</v>
      </c>
      <c r="S6192" s="19" t="e">
        <v>#N/A</v>
      </c>
      <c r="T6192" s="17">
        <v>2</v>
      </c>
      <c r="V6192" s="17" t="s">
        <v>183</v>
      </c>
      <c r="W6192" s="4">
        <v>28</v>
      </c>
      <c r="Y6192" s="4">
        <v>28</v>
      </c>
      <c r="AB6192" s="17">
        <v>12</v>
      </c>
      <c r="AJ6192" s="19">
        <v>0</v>
      </c>
      <c r="AK6192" s="23">
        <v>12</v>
      </c>
      <c r="AM6192" s="19">
        <v>0</v>
      </c>
      <c r="AN6192" s="19" t="e">
        <v>#N/A</v>
      </c>
      <c r="AP6192" s="14" t="e">
        <v>#N/A</v>
      </c>
    </row>
    <row r="6193" spans="1:45" ht="42" x14ac:dyDescent="0.2">
      <c r="A6193" s="2">
        <v>5100</v>
      </c>
      <c r="B6193" s="13">
        <v>1</v>
      </c>
      <c r="C6193" s="17" t="s">
        <v>52</v>
      </c>
      <c r="D6193" s="17">
        <v>3489</v>
      </c>
      <c r="E6193" s="17">
        <v>86</v>
      </c>
      <c r="F6193" s="17">
        <v>2255</v>
      </c>
      <c r="G6193" s="13">
        <v>6</v>
      </c>
      <c r="H6193" s="17">
        <v>0</v>
      </c>
      <c r="I6193" s="17">
        <v>0</v>
      </c>
      <c r="J6193" s="17">
        <v>38.01</v>
      </c>
      <c r="L6193" s="17" t="s">
        <v>634</v>
      </c>
      <c r="P6193" s="17">
        <v>2</v>
      </c>
      <c r="Q6193" s="19">
        <v>38.01</v>
      </c>
      <c r="R6193" s="14">
        <v>1500</v>
      </c>
      <c r="S6193" s="19">
        <v>57015</v>
      </c>
      <c r="T6193" s="17">
        <v>1</v>
      </c>
      <c r="V6193" s="17" t="s">
        <v>502</v>
      </c>
      <c r="W6193" s="4">
        <v>100</v>
      </c>
      <c r="Y6193" s="4">
        <v>100</v>
      </c>
      <c r="AB6193" s="17">
        <v>20</v>
      </c>
      <c r="AJ6193" s="19">
        <v>0</v>
      </c>
      <c r="AK6193" s="23">
        <v>20</v>
      </c>
      <c r="AM6193" s="19">
        <v>0</v>
      </c>
      <c r="AN6193" s="19">
        <v>57015</v>
      </c>
      <c r="AP6193" s="14">
        <v>57015</v>
      </c>
    </row>
    <row r="6194" spans="1:45" x14ac:dyDescent="0.2">
      <c r="A6194" s="2">
        <f>+A6193+1</f>
        <v>5101</v>
      </c>
      <c r="B6194" s="13">
        <v>1</v>
      </c>
      <c r="C6194" s="17" t="s">
        <v>52</v>
      </c>
      <c r="D6194" s="17">
        <v>36681</v>
      </c>
      <c r="E6194" s="17">
        <v>10</v>
      </c>
      <c r="F6194" s="17">
        <v>7229</v>
      </c>
      <c r="G6194" s="13">
        <v>5</v>
      </c>
      <c r="H6194" s="17">
        <v>0</v>
      </c>
      <c r="I6194" s="17">
        <v>1</v>
      </c>
      <c r="J6194" s="17">
        <v>69.09</v>
      </c>
      <c r="K6194" s="10">
        <v>169.09</v>
      </c>
      <c r="P6194" s="17">
        <v>1</v>
      </c>
      <c r="Q6194" s="19">
        <v>169.09</v>
      </c>
      <c r="R6194" s="14">
        <v>1500</v>
      </c>
      <c r="S6194" s="19">
        <v>253635</v>
      </c>
      <c r="AJ6194" s="19">
        <v>0</v>
      </c>
      <c r="AK6194" s="23">
        <v>0</v>
      </c>
      <c r="AM6194" s="19">
        <v>0</v>
      </c>
      <c r="AN6194" s="19">
        <v>253635</v>
      </c>
      <c r="AP6194" s="14">
        <v>253635</v>
      </c>
    </row>
    <row r="6195" spans="1:45" x14ac:dyDescent="0.2">
      <c r="A6195" s="122">
        <f t="shared" ref="A6195:A6207" si="648">+A6194+1</f>
        <v>5102</v>
      </c>
      <c r="B6195" s="13">
        <v>1</v>
      </c>
      <c r="C6195" s="17" t="s">
        <v>52</v>
      </c>
      <c r="D6195" s="17">
        <v>20519</v>
      </c>
      <c r="E6195" s="17">
        <v>25</v>
      </c>
      <c r="F6195" s="17">
        <v>4556</v>
      </c>
      <c r="G6195" s="13">
        <v>6</v>
      </c>
      <c r="H6195" s="17">
        <v>0</v>
      </c>
      <c r="I6195" s="17">
        <v>0</v>
      </c>
      <c r="J6195" s="17">
        <v>59</v>
      </c>
      <c r="N6195" s="18">
        <v>59</v>
      </c>
      <c r="P6195" s="17">
        <v>4</v>
      </c>
      <c r="Q6195" s="19">
        <v>59</v>
      </c>
      <c r="R6195" s="14">
        <v>1500</v>
      </c>
      <c r="S6195" s="19">
        <v>88500</v>
      </c>
      <c r="AJ6195" s="19">
        <v>0</v>
      </c>
      <c r="AK6195" s="23">
        <v>0</v>
      </c>
      <c r="AM6195" s="19">
        <v>0</v>
      </c>
      <c r="AN6195" s="19">
        <v>88500</v>
      </c>
      <c r="AP6195" s="14">
        <v>88500</v>
      </c>
      <c r="AQ6195" s="12">
        <v>3.0000000000000001E-3</v>
      </c>
      <c r="AS6195" s="26">
        <v>2</v>
      </c>
    </row>
    <row r="6196" spans="1:45" ht="42" x14ac:dyDescent="0.2">
      <c r="A6196" s="122">
        <f t="shared" si="648"/>
        <v>5103</v>
      </c>
      <c r="B6196" s="13">
        <v>1</v>
      </c>
      <c r="C6196" s="17" t="s">
        <v>52</v>
      </c>
      <c r="D6196" s="17">
        <v>14785</v>
      </c>
      <c r="E6196" s="17">
        <v>62</v>
      </c>
      <c r="F6196" s="17">
        <v>3339</v>
      </c>
      <c r="G6196" s="13">
        <v>6</v>
      </c>
      <c r="H6196" s="17">
        <v>0</v>
      </c>
      <c r="I6196" s="17">
        <v>0</v>
      </c>
      <c r="J6196" s="17">
        <v>43</v>
      </c>
      <c r="L6196" s="17" t="s">
        <v>638</v>
      </c>
      <c r="P6196" s="17">
        <v>2</v>
      </c>
      <c r="Q6196" s="19">
        <v>43</v>
      </c>
      <c r="R6196" s="14">
        <v>1500</v>
      </c>
      <c r="S6196" s="19">
        <v>64500</v>
      </c>
      <c r="T6196" s="17">
        <v>1</v>
      </c>
      <c r="V6196" s="17" t="s">
        <v>183</v>
      </c>
      <c r="W6196" s="4">
        <v>87</v>
      </c>
      <c r="Y6196" s="4">
        <v>87</v>
      </c>
      <c r="AB6196" s="17">
        <v>31</v>
      </c>
      <c r="AJ6196" s="19">
        <v>0</v>
      </c>
      <c r="AK6196" s="23">
        <v>31</v>
      </c>
      <c r="AM6196" s="19">
        <v>0</v>
      </c>
      <c r="AN6196" s="19">
        <v>64500</v>
      </c>
      <c r="AP6196" s="14">
        <v>64500</v>
      </c>
    </row>
    <row r="6197" spans="1:45" ht="42" x14ac:dyDescent="0.2">
      <c r="A6197" s="122">
        <f t="shared" si="648"/>
        <v>5104</v>
      </c>
      <c r="B6197" s="13">
        <v>2</v>
      </c>
      <c r="C6197" s="17" t="s">
        <v>52</v>
      </c>
      <c r="D6197" s="17">
        <v>20453</v>
      </c>
      <c r="E6197" s="17">
        <v>28</v>
      </c>
      <c r="F6197" s="17">
        <v>4619</v>
      </c>
      <c r="G6197" s="13">
        <v>6</v>
      </c>
      <c r="H6197" s="17">
        <v>0</v>
      </c>
      <c r="I6197" s="17">
        <v>1</v>
      </c>
      <c r="J6197" s="17">
        <v>13.05</v>
      </c>
      <c r="K6197" s="10">
        <v>98.05</v>
      </c>
      <c r="L6197" s="17">
        <v>15</v>
      </c>
      <c r="P6197" s="17">
        <v>5</v>
      </c>
      <c r="Q6197" s="19">
        <v>113.05</v>
      </c>
      <c r="R6197" s="14">
        <v>160</v>
      </c>
      <c r="S6197" s="19">
        <v>18088</v>
      </c>
      <c r="T6197" s="17">
        <v>1</v>
      </c>
      <c r="V6197" s="17" t="s">
        <v>183</v>
      </c>
      <c r="W6197" s="4">
        <v>60</v>
      </c>
      <c r="Y6197" s="4">
        <v>60</v>
      </c>
      <c r="AB6197" s="17">
        <v>27</v>
      </c>
      <c r="AJ6197" s="19">
        <v>0</v>
      </c>
      <c r="AK6197" s="23">
        <v>27</v>
      </c>
      <c r="AM6197" s="19">
        <v>0</v>
      </c>
      <c r="AN6197" s="19">
        <v>18088</v>
      </c>
      <c r="AP6197" s="14">
        <v>18088</v>
      </c>
    </row>
    <row r="6198" spans="1:45" x14ac:dyDescent="0.2">
      <c r="A6198" s="122">
        <f t="shared" si="648"/>
        <v>5105</v>
      </c>
      <c r="B6198" s="13">
        <v>1</v>
      </c>
      <c r="C6198" s="17" t="s">
        <v>52</v>
      </c>
      <c r="D6198" s="17">
        <v>1228</v>
      </c>
      <c r="E6198" s="17">
        <v>17</v>
      </c>
      <c r="F6198" s="17">
        <v>773</v>
      </c>
      <c r="G6198" s="13">
        <v>6</v>
      </c>
      <c r="H6198" s="17">
        <v>11</v>
      </c>
      <c r="I6198" s="17">
        <v>2</v>
      </c>
      <c r="J6198" s="17">
        <v>81</v>
      </c>
      <c r="K6198" s="10">
        <v>4681</v>
      </c>
      <c r="P6198" s="17">
        <v>1</v>
      </c>
      <c r="Q6198" s="19">
        <v>4681</v>
      </c>
      <c r="R6198" s="14">
        <v>375</v>
      </c>
      <c r="S6198" s="19">
        <v>1755375</v>
      </c>
      <c r="AJ6198" s="19">
        <v>0</v>
      </c>
      <c r="AK6198" s="23">
        <v>0</v>
      </c>
      <c r="AM6198" s="19">
        <v>0</v>
      </c>
      <c r="AN6198" s="19">
        <v>1755375</v>
      </c>
      <c r="AP6198" s="14">
        <v>1755375</v>
      </c>
    </row>
    <row r="6199" spans="1:45" x14ac:dyDescent="0.2">
      <c r="A6199" s="122">
        <f t="shared" si="648"/>
        <v>5106</v>
      </c>
      <c r="B6199" s="13">
        <v>2</v>
      </c>
      <c r="C6199" s="17" t="s">
        <v>52</v>
      </c>
      <c r="D6199" s="17">
        <v>1229</v>
      </c>
      <c r="E6199" s="17">
        <v>28</v>
      </c>
      <c r="F6199" s="17">
        <v>253</v>
      </c>
      <c r="G6199" s="13">
        <v>6</v>
      </c>
      <c r="H6199" s="17">
        <v>16</v>
      </c>
      <c r="I6199" s="17">
        <v>1</v>
      </c>
      <c r="J6199" s="17">
        <v>0</v>
      </c>
      <c r="K6199" s="10">
        <v>6500</v>
      </c>
      <c r="P6199" s="17">
        <v>1</v>
      </c>
      <c r="Q6199" s="19">
        <v>6500</v>
      </c>
      <c r="R6199" s="14">
        <v>1100</v>
      </c>
      <c r="S6199" s="19">
        <v>7150000</v>
      </c>
      <c r="AJ6199" s="19">
        <v>0</v>
      </c>
      <c r="AK6199" s="23">
        <v>0</v>
      </c>
      <c r="AM6199" s="19">
        <v>0</v>
      </c>
      <c r="AN6199" s="19">
        <v>7150000</v>
      </c>
      <c r="AP6199" s="14">
        <v>7150000</v>
      </c>
    </row>
    <row r="6200" spans="1:45" ht="42" x14ac:dyDescent="0.2">
      <c r="A6200" s="122">
        <f t="shared" si="648"/>
        <v>5107</v>
      </c>
      <c r="B6200" s="13">
        <v>3</v>
      </c>
      <c r="C6200" s="17" t="s">
        <v>52</v>
      </c>
      <c r="D6200" s="17">
        <v>1258</v>
      </c>
      <c r="E6200" s="17">
        <v>10</v>
      </c>
      <c r="F6200" s="17">
        <v>311</v>
      </c>
      <c r="G6200" s="13">
        <v>6</v>
      </c>
      <c r="H6200" s="17">
        <v>4</v>
      </c>
      <c r="I6200" s="17">
        <v>2</v>
      </c>
      <c r="J6200" s="17">
        <v>20</v>
      </c>
      <c r="K6200" s="10">
        <v>1758.13</v>
      </c>
      <c r="L6200" s="17">
        <v>61.87</v>
      </c>
      <c r="P6200" s="17">
        <v>5</v>
      </c>
      <c r="Q6200" s="19">
        <v>1820</v>
      </c>
      <c r="R6200" s="14">
        <v>750</v>
      </c>
      <c r="S6200" s="19">
        <v>1365000</v>
      </c>
      <c r="T6200" s="17">
        <v>1</v>
      </c>
      <c r="V6200" s="17" t="s">
        <v>183</v>
      </c>
      <c r="W6200" s="4">
        <v>247.5</v>
      </c>
      <c r="Y6200" s="4">
        <v>247.5</v>
      </c>
      <c r="AB6200" s="17">
        <v>41</v>
      </c>
      <c r="AJ6200" s="19">
        <v>0</v>
      </c>
      <c r="AK6200" s="23">
        <v>41</v>
      </c>
      <c r="AM6200" s="19">
        <v>0</v>
      </c>
      <c r="AN6200" s="19">
        <v>1365000</v>
      </c>
      <c r="AP6200" s="14">
        <v>1365000</v>
      </c>
    </row>
    <row r="6201" spans="1:45" x14ac:dyDescent="0.2">
      <c r="A6201" s="122">
        <f t="shared" si="648"/>
        <v>5108</v>
      </c>
      <c r="B6201" s="13">
        <v>4</v>
      </c>
      <c r="C6201" s="17" t="s">
        <v>52</v>
      </c>
      <c r="D6201" s="17">
        <v>1262</v>
      </c>
      <c r="E6201" s="17">
        <v>13</v>
      </c>
      <c r="F6201" s="17">
        <v>729</v>
      </c>
      <c r="G6201" s="13">
        <v>6</v>
      </c>
      <c r="H6201" s="17">
        <v>6</v>
      </c>
      <c r="I6201" s="17">
        <v>1</v>
      </c>
      <c r="J6201" s="17">
        <v>99</v>
      </c>
      <c r="K6201" s="10">
        <v>2599</v>
      </c>
      <c r="P6201" s="17">
        <v>1</v>
      </c>
      <c r="Q6201" s="19">
        <v>2599</v>
      </c>
      <c r="R6201" s="14">
        <v>750</v>
      </c>
      <c r="S6201" s="19">
        <v>1949250</v>
      </c>
      <c r="AJ6201" s="19">
        <v>0</v>
      </c>
      <c r="AK6201" s="23">
        <v>0</v>
      </c>
      <c r="AM6201" s="19">
        <v>0</v>
      </c>
      <c r="AN6201" s="19">
        <v>1949250</v>
      </c>
      <c r="AP6201" s="14">
        <v>1949250</v>
      </c>
    </row>
    <row r="6202" spans="1:45" x14ac:dyDescent="0.2">
      <c r="A6202" s="122">
        <f t="shared" si="648"/>
        <v>5109</v>
      </c>
      <c r="B6202" s="13">
        <v>5</v>
      </c>
      <c r="C6202" s="17" t="s">
        <v>52</v>
      </c>
      <c r="D6202" s="17">
        <v>1263</v>
      </c>
      <c r="E6202" s="17">
        <v>16</v>
      </c>
      <c r="F6202" s="17">
        <v>730</v>
      </c>
      <c r="G6202" s="13">
        <v>6</v>
      </c>
      <c r="H6202" s="17">
        <v>5</v>
      </c>
      <c r="I6202" s="17">
        <v>3</v>
      </c>
      <c r="J6202" s="17">
        <v>5</v>
      </c>
      <c r="K6202" s="10">
        <v>2305</v>
      </c>
      <c r="P6202" s="17">
        <v>1</v>
      </c>
      <c r="Q6202" s="19">
        <v>2305</v>
      </c>
      <c r="R6202" s="14">
        <v>200</v>
      </c>
      <c r="S6202" s="19">
        <v>461000</v>
      </c>
      <c r="AJ6202" s="19">
        <v>0</v>
      </c>
      <c r="AK6202" s="23">
        <v>0</v>
      </c>
      <c r="AM6202" s="19">
        <v>0</v>
      </c>
      <c r="AN6202" s="19">
        <v>461000</v>
      </c>
      <c r="AP6202" s="14">
        <v>461000</v>
      </c>
    </row>
    <row r="6203" spans="1:45" x14ac:dyDescent="0.2">
      <c r="A6203" s="122">
        <f t="shared" si="648"/>
        <v>5110</v>
      </c>
      <c r="B6203" s="13">
        <v>6</v>
      </c>
      <c r="C6203" s="17" t="s">
        <v>52</v>
      </c>
      <c r="D6203" s="17">
        <v>1266</v>
      </c>
      <c r="E6203" s="17">
        <v>15</v>
      </c>
      <c r="F6203" s="17">
        <v>734</v>
      </c>
      <c r="G6203" s="13">
        <v>6</v>
      </c>
      <c r="H6203" s="17">
        <v>18</v>
      </c>
      <c r="I6203" s="17">
        <v>2</v>
      </c>
      <c r="J6203" s="17">
        <v>95</v>
      </c>
      <c r="K6203" s="10">
        <v>7495</v>
      </c>
      <c r="P6203" s="17">
        <v>1</v>
      </c>
      <c r="Q6203" s="19">
        <v>7495</v>
      </c>
      <c r="R6203" s="14">
        <v>160</v>
      </c>
      <c r="S6203" s="19">
        <v>1199200</v>
      </c>
      <c r="AJ6203" s="19">
        <v>0</v>
      </c>
      <c r="AK6203" s="23">
        <v>0</v>
      </c>
      <c r="AM6203" s="19">
        <v>0</v>
      </c>
      <c r="AN6203" s="19">
        <v>1199200</v>
      </c>
      <c r="AP6203" s="14">
        <v>1199200</v>
      </c>
    </row>
    <row r="6204" spans="1:45" x14ac:dyDescent="0.2">
      <c r="A6204" s="122">
        <f t="shared" si="648"/>
        <v>5111</v>
      </c>
      <c r="B6204" s="13">
        <v>7</v>
      </c>
      <c r="C6204" s="17" t="s">
        <v>52</v>
      </c>
      <c r="D6204" s="17">
        <v>1752</v>
      </c>
      <c r="E6204" s="17">
        <v>14</v>
      </c>
      <c r="F6204" s="17">
        <v>733</v>
      </c>
      <c r="G6204" s="13">
        <v>6</v>
      </c>
      <c r="H6204" s="17">
        <v>16</v>
      </c>
      <c r="I6204" s="17">
        <v>1</v>
      </c>
      <c r="J6204" s="17">
        <v>24</v>
      </c>
      <c r="K6204" s="10">
        <v>6524</v>
      </c>
      <c r="P6204" s="17">
        <v>1</v>
      </c>
      <c r="Q6204" s="19">
        <v>6524</v>
      </c>
      <c r="R6204" s="14">
        <v>750</v>
      </c>
      <c r="S6204" s="19">
        <v>4893000</v>
      </c>
      <c r="AJ6204" s="19">
        <v>0</v>
      </c>
      <c r="AK6204" s="23">
        <v>0</v>
      </c>
      <c r="AM6204" s="19">
        <v>0</v>
      </c>
      <c r="AN6204" s="19">
        <v>4893000</v>
      </c>
      <c r="AP6204" s="14">
        <v>4893000</v>
      </c>
    </row>
    <row r="6205" spans="1:45" x14ac:dyDescent="0.2">
      <c r="A6205" s="122">
        <f t="shared" si="648"/>
        <v>5112</v>
      </c>
      <c r="B6205" s="13">
        <v>8</v>
      </c>
      <c r="C6205" s="17" t="s">
        <v>52</v>
      </c>
      <c r="D6205" s="17">
        <v>1767</v>
      </c>
      <c r="E6205" s="17">
        <v>13</v>
      </c>
      <c r="F6205" s="17">
        <v>776</v>
      </c>
      <c r="G6205" s="13">
        <v>6</v>
      </c>
      <c r="H6205" s="17">
        <v>0</v>
      </c>
      <c r="I6205" s="17">
        <v>0</v>
      </c>
      <c r="J6205" s="17">
        <v>56</v>
      </c>
      <c r="N6205" s="18">
        <v>56</v>
      </c>
      <c r="P6205" s="17">
        <v>4</v>
      </c>
      <c r="Q6205" s="19">
        <v>56</v>
      </c>
      <c r="R6205" s="14">
        <v>4500</v>
      </c>
      <c r="S6205" s="19">
        <v>252000</v>
      </c>
      <c r="AJ6205" s="19">
        <v>0</v>
      </c>
      <c r="AK6205" s="23">
        <v>0</v>
      </c>
      <c r="AM6205" s="19">
        <v>0</v>
      </c>
      <c r="AN6205" s="19">
        <v>252000</v>
      </c>
      <c r="AP6205" s="14">
        <v>252000</v>
      </c>
    </row>
    <row r="6206" spans="1:45" x14ac:dyDescent="0.2">
      <c r="A6206" s="122">
        <f t="shared" si="648"/>
        <v>5113</v>
      </c>
      <c r="B6206" s="13">
        <v>9</v>
      </c>
      <c r="C6206" s="17" t="s">
        <v>52</v>
      </c>
      <c r="D6206" s="17">
        <v>1757</v>
      </c>
      <c r="E6206" s="17">
        <v>2</v>
      </c>
      <c r="F6206" s="17">
        <v>765</v>
      </c>
      <c r="G6206" s="13">
        <v>7</v>
      </c>
      <c r="H6206" s="17">
        <v>5</v>
      </c>
      <c r="I6206" s="17">
        <v>0</v>
      </c>
      <c r="J6206" s="17">
        <v>32</v>
      </c>
      <c r="K6206" s="10">
        <v>2032</v>
      </c>
      <c r="P6206" s="17">
        <v>1</v>
      </c>
      <c r="Q6206" s="19">
        <v>2032</v>
      </c>
      <c r="R6206" s="14">
        <v>2250</v>
      </c>
      <c r="S6206" s="19">
        <v>4572000</v>
      </c>
      <c r="AJ6206" s="19">
        <v>0</v>
      </c>
      <c r="AK6206" s="23">
        <v>0</v>
      </c>
      <c r="AM6206" s="19">
        <v>0</v>
      </c>
      <c r="AN6206" s="19">
        <v>4572000</v>
      </c>
      <c r="AP6206" s="14">
        <v>4572000</v>
      </c>
    </row>
    <row r="6207" spans="1:45" ht="63" x14ac:dyDescent="0.2">
      <c r="A6207" s="122">
        <f t="shared" si="648"/>
        <v>5114</v>
      </c>
      <c r="B6207" s="13">
        <v>10</v>
      </c>
      <c r="D6207" s="17">
        <v>38714</v>
      </c>
      <c r="E6207" s="17">
        <v>60</v>
      </c>
      <c r="F6207" s="17">
        <v>7742</v>
      </c>
      <c r="G6207" s="13">
        <v>6</v>
      </c>
      <c r="H6207" s="17">
        <v>0</v>
      </c>
      <c r="I6207" s="17">
        <v>1</v>
      </c>
      <c r="J6207" s="17">
        <v>48</v>
      </c>
      <c r="L6207" s="17" t="s">
        <v>570</v>
      </c>
      <c r="P6207" s="17">
        <v>5</v>
      </c>
      <c r="Q6207" s="19">
        <v>148</v>
      </c>
      <c r="R6207" s="14">
        <v>4500</v>
      </c>
      <c r="S6207" s="19">
        <v>666000</v>
      </c>
      <c r="T6207" s="17" t="s">
        <v>122</v>
      </c>
      <c r="U6207" s="17" t="s">
        <v>57</v>
      </c>
      <c r="V6207" s="17" t="s">
        <v>84</v>
      </c>
      <c r="W6207" s="4" t="s">
        <v>639</v>
      </c>
      <c r="Y6207" s="4" t="s">
        <v>330</v>
      </c>
      <c r="AB6207" s="17" t="s">
        <v>574</v>
      </c>
      <c r="AE6207" s="17">
        <v>32</v>
      </c>
      <c r="AF6207" s="14">
        <v>2</v>
      </c>
      <c r="AG6207" s="54">
        <v>160</v>
      </c>
      <c r="AH6207" s="11">
        <v>0.96</v>
      </c>
      <c r="AI6207" s="14">
        <v>7250</v>
      </c>
      <c r="AJ6207" s="19">
        <v>1113600</v>
      </c>
      <c r="AK6207" s="23">
        <v>32</v>
      </c>
      <c r="AM6207" s="19">
        <v>1113600</v>
      </c>
      <c r="AN6207" s="19">
        <v>1779600</v>
      </c>
      <c r="AP6207" s="14">
        <v>1779600</v>
      </c>
    </row>
    <row r="6208" spans="1:45" x14ac:dyDescent="0.2">
      <c r="R6208" s="14" t="e">
        <v>#N/A</v>
      </c>
      <c r="T6208" s="17" t="s">
        <v>288</v>
      </c>
      <c r="Z6208" s="17" t="s">
        <v>549</v>
      </c>
      <c r="AB6208" s="17" t="s">
        <v>574</v>
      </c>
      <c r="AF6208" s="14">
        <v>3</v>
      </c>
      <c r="AG6208" s="54">
        <v>160</v>
      </c>
      <c r="AH6208" s="11">
        <v>0.04</v>
      </c>
      <c r="AI6208" s="14">
        <v>7250</v>
      </c>
      <c r="AJ6208" s="19">
        <v>46400</v>
      </c>
      <c r="AK6208" s="23">
        <v>32</v>
      </c>
      <c r="AM6208" s="19">
        <v>46400</v>
      </c>
      <c r="AN6208" s="19">
        <v>73040</v>
      </c>
      <c r="AP6208" s="14">
        <v>73040</v>
      </c>
      <c r="AQ6208" s="12">
        <v>3.0000000000000001E-3</v>
      </c>
    </row>
    <row r="6209" spans="1:45" x14ac:dyDescent="0.2">
      <c r="B6209" s="13">
        <v>11</v>
      </c>
      <c r="D6209" s="17">
        <v>38715</v>
      </c>
      <c r="E6209" s="17">
        <v>61</v>
      </c>
      <c r="F6209" s="17">
        <v>7743</v>
      </c>
      <c r="G6209" s="13">
        <v>6</v>
      </c>
      <c r="H6209" s="17">
        <v>0</v>
      </c>
      <c r="I6209" s="17">
        <v>1</v>
      </c>
      <c r="J6209" s="17">
        <v>43</v>
      </c>
      <c r="R6209" s="14" t="e">
        <v>#N/A</v>
      </c>
      <c r="S6209" s="19" t="e">
        <v>#N/A</v>
      </c>
    </row>
    <row r="6210" spans="1:45" x14ac:dyDescent="0.2">
      <c r="B6210" s="13">
        <v>12</v>
      </c>
      <c r="D6210" s="17">
        <v>38716</v>
      </c>
      <c r="E6210" s="17">
        <v>62</v>
      </c>
      <c r="F6210" s="17">
        <v>7744</v>
      </c>
      <c r="G6210" s="13">
        <v>6</v>
      </c>
      <c r="H6210" s="17">
        <v>0</v>
      </c>
      <c r="I6210" s="17">
        <v>1</v>
      </c>
      <c r="J6210" s="17">
        <v>4</v>
      </c>
      <c r="R6210" s="14" t="e">
        <v>#N/A</v>
      </c>
      <c r="S6210" s="19" t="e">
        <v>#N/A</v>
      </c>
    </row>
    <row r="6211" spans="1:45" x14ac:dyDescent="0.2">
      <c r="B6211" s="13">
        <v>13</v>
      </c>
      <c r="D6211" s="17">
        <v>38717</v>
      </c>
      <c r="E6211" s="17">
        <v>63</v>
      </c>
      <c r="F6211" s="17">
        <v>7745</v>
      </c>
      <c r="G6211" s="13">
        <v>6</v>
      </c>
      <c r="H6211" s="17">
        <v>0</v>
      </c>
      <c r="I6211" s="17">
        <v>1</v>
      </c>
      <c r="J6211" s="17">
        <v>48</v>
      </c>
      <c r="R6211" s="14" t="e">
        <v>#N/A</v>
      </c>
      <c r="S6211" s="19" t="e">
        <v>#N/A</v>
      </c>
    </row>
    <row r="6212" spans="1:45" x14ac:dyDescent="0.2">
      <c r="A6212" s="2">
        <v>5115</v>
      </c>
      <c r="B6212" s="13">
        <v>14</v>
      </c>
      <c r="C6212" s="17" t="s">
        <v>69</v>
      </c>
      <c r="E6212" s="17">
        <v>1514</v>
      </c>
      <c r="F6212" s="17">
        <v>5</v>
      </c>
      <c r="G6212" s="13">
        <v>6</v>
      </c>
      <c r="H6212" s="17">
        <v>5</v>
      </c>
      <c r="I6212" s="17">
        <v>0</v>
      </c>
      <c r="J6212" s="17">
        <v>35</v>
      </c>
      <c r="K6212" s="10">
        <v>2035</v>
      </c>
      <c r="P6212" s="17">
        <v>1</v>
      </c>
      <c r="Q6212" s="19">
        <v>2035</v>
      </c>
      <c r="R6212" s="14">
        <v>200</v>
      </c>
      <c r="S6212" s="19">
        <v>407000</v>
      </c>
      <c r="AJ6212" s="19">
        <v>0</v>
      </c>
      <c r="AK6212" s="23">
        <v>0</v>
      </c>
      <c r="AM6212" s="19">
        <v>0</v>
      </c>
      <c r="AN6212" s="19">
        <v>407000</v>
      </c>
      <c r="AP6212" s="14">
        <v>407000</v>
      </c>
      <c r="AQ6212" s="12">
        <v>1E-4</v>
      </c>
    </row>
    <row r="6213" spans="1:45" x14ac:dyDescent="0.2">
      <c r="A6213" s="2">
        <f>+A6212+1</f>
        <v>5116</v>
      </c>
      <c r="B6213" s="13">
        <v>10</v>
      </c>
      <c r="C6213" s="17" t="s">
        <v>65</v>
      </c>
      <c r="D6213" s="17">
        <v>1740</v>
      </c>
      <c r="E6213" s="17">
        <v>61</v>
      </c>
      <c r="H6213" s="17">
        <v>15</v>
      </c>
      <c r="I6213" s="17">
        <v>1</v>
      </c>
      <c r="J6213" s="17">
        <v>86</v>
      </c>
      <c r="K6213" s="10">
        <v>6186</v>
      </c>
      <c r="Q6213" s="19">
        <v>6186</v>
      </c>
      <c r="R6213" s="14">
        <v>160</v>
      </c>
      <c r="S6213" s="19">
        <v>989760</v>
      </c>
      <c r="AD6213" s="14" t="s">
        <v>94</v>
      </c>
      <c r="AE6213" s="17" t="s">
        <v>372</v>
      </c>
      <c r="AJ6213" s="19">
        <v>0</v>
      </c>
      <c r="AK6213" s="23">
        <v>0</v>
      </c>
      <c r="AM6213" s="19">
        <v>0</v>
      </c>
      <c r="AN6213" s="19">
        <v>989760</v>
      </c>
      <c r="AP6213" s="14">
        <v>989760</v>
      </c>
      <c r="AQ6213" s="12">
        <v>1E-4</v>
      </c>
    </row>
    <row r="6214" spans="1:45" x14ac:dyDescent="0.2">
      <c r="A6214" s="122">
        <f t="shared" ref="A6214:A6215" si="649">+A6213+1</f>
        <v>5117</v>
      </c>
      <c r="B6214" s="13">
        <v>1</v>
      </c>
      <c r="C6214" s="17" t="s">
        <v>65</v>
      </c>
      <c r="D6214" s="17">
        <v>1728</v>
      </c>
      <c r="E6214" s="17">
        <v>49</v>
      </c>
      <c r="H6214" s="17">
        <v>2</v>
      </c>
      <c r="I6214" s="17">
        <v>2</v>
      </c>
      <c r="J6214" s="17">
        <v>30</v>
      </c>
      <c r="K6214" s="10">
        <v>1030</v>
      </c>
      <c r="P6214" s="17">
        <v>1</v>
      </c>
      <c r="Q6214" s="19">
        <v>1030</v>
      </c>
      <c r="R6214" s="14">
        <v>160</v>
      </c>
      <c r="S6214" s="19">
        <v>164800</v>
      </c>
      <c r="AJ6214" s="19">
        <v>0</v>
      </c>
      <c r="AK6214" s="23">
        <v>0</v>
      </c>
      <c r="AM6214" s="19">
        <v>0</v>
      </c>
      <c r="AN6214" s="19">
        <v>164800</v>
      </c>
      <c r="AP6214" s="14">
        <v>164800</v>
      </c>
      <c r="AQ6214" s="12">
        <v>1E-4</v>
      </c>
    </row>
    <row r="6215" spans="1:45" ht="42" x14ac:dyDescent="0.2">
      <c r="A6215" s="122">
        <f t="shared" si="649"/>
        <v>5118</v>
      </c>
      <c r="B6215" s="13">
        <v>1</v>
      </c>
      <c r="C6215" s="17" t="s">
        <v>52</v>
      </c>
      <c r="D6215" s="17">
        <v>4949</v>
      </c>
      <c r="E6215" s="17">
        <v>7</v>
      </c>
      <c r="F6215" s="17">
        <v>2559</v>
      </c>
      <c r="G6215" s="13">
        <v>7</v>
      </c>
      <c r="H6215" s="17">
        <v>0</v>
      </c>
      <c r="I6215" s="17">
        <v>2</v>
      </c>
      <c r="J6215" s="17">
        <v>80</v>
      </c>
      <c r="K6215" s="10">
        <v>233.5</v>
      </c>
      <c r="L6215" s="17">
        <v>46.5</v>
      </c>
      <c r="P6215" s="17">
        <v>5</v>
      </c>
      <c r="Q6215" s="19">
        <v>280</v>
      </c>
      <c r="R6215" s="14">
        <v>660</v>
      </c>
      <c r="S6215" s="19">
        <v>184800</v>
      </c>
      <c r="T6215" s="17">
        <v>1</v>
      </c>
      <c r="V6215" s="17" t="s">
        <v>183</v>
      </c>
      <c r="W6215" s="4">
        <v>124</v>
      </c>
      <c r="Y6215" s="4">
        <v>124</v>
      </c>
      <c r="AB6215" s="17">
        <v>5</v>
      </c>
      <c r="AE6215" s="17" t="s">
        <v>640</v>
      </c>
      <c r="AJ6215" s="19">
        <v>0</v>
      </c>
      <c r="AK6215" s="23">
        <v>5</v>
      </c>
      <c r="AM6215" s="19">
        <v>0</v>
      </c>
      <c r="AN6215" s="19">
        <v>184800</v>
      </c>
      <c r="AP6215" s="14">
        <v>184800</v>
      </c>
    </row>
    <row r="6216" spans="1:45" ht="42" x14ac:dyDescent="0.2">
      <c r="Q6216" s="19">
        <v>0</v>
      </c>
      <c r="R6216" s="14" t="e">
        <v>#N/A</v>
      </c>
      <c r="S6216" s="19" t="e">
        <v>#N/A</v>
      </c>
      <c r="T6216" s="17">
        <v>2</v>
      </c>
      <c r="V6216" s="17" t="s">
        <v>183</v>
      </c>
      <c r="W6216" s="4">
        <v>62</v>
      </c>
      <c r="Y6216" s="4">
        <v>62</v>
      </c>
      <c r="AB6216" s="17">
        <v>27</v>
      </c>
      <c r="AJ6216" s="19">
        <v>0</v>
      </c>
      <c r="AK6216" s="23">
        <v>27</v>
      </c>
      <c r="AM6216" s="19">
        <v>0</v>
      </c>
      <c r="AN6216" s="19" t="e">
        <v>#N/A</v>
      </c>
      <c r="AP6216" s="14" t="e">
        <v>#N/A</v>
      </c>
    </row>
    <row r="6217" spans="1:45" ht="42" x14ac:dyDescent="0.2">
      <c r="A6217" s="2">
        <v>5119</v>
      </c>
      <c r="B6217" s="13">
        <v>2</v>
      </c>
      <c r="C6217" s="17" t="s">
        <v>52</v>
      </c>
      <c r="D6217" s="17">
        <v>19373</v>
      </c>
      <c r="E6217" s="17">
        <v>71</v>
      </c>
      <c r="F6217" s="17">
        <v>4197</v>
      </c>
      <c r="G6217" s="13">
        <v>7</v>
      </c>
      <c r="H6217" s="17">
        <v>0</v>
      </c>
      <c r="I6217" s="17">
        <v>0</v>
      </c>
      <c r="J6217" s="17">
        <v>62</v>
      </c>
      <c r="L6217" s="17" t="s">
        <v>612</v>
      </c>
      <c r="P6217" s="17">
        <v>2</v>
      </c>
      <c r="Q6217" s="19">
        <v>62</v>
      </c>
      <c r="R6217" s="14">
        <v>4500</v>
      </c>
      <c r="S6217" s="19">
        <v>279000</v>
      </c>
      <c r="T6217" s="17">
        <v>1</v>
      </c>
      <c r="V6217" s="17" t="s">
        <v>183</v>
      </c>
      <c r="W6217" s="4">
        <v>174.25</v>
      </c>
      <c r="Y6217" s="4">
        <v>174.25</v>
      </c>
      <c r="AB6217" s="17">
        <v>37</v>
      </c>
      <c r="AJ6217" s="19">
        <v>0</v>
      </c>
      <c r="AK6217" s="23">
        <v>37</v>
      </c>
      <c r="AM6217" s="19">
        <v>0</v>
      </c>
      <c r="AN6217" s="19">
        <v>279000</v>
      </c>
      <c r="AP6217" s="14">
        <v>279000</v>
      </c>
    </row>
    <row r="6218" spans="1:45" x14ac:dyDescent="0.2">
      <c r="A6218" s="2">
        <f>+A6217+1</f>
        <v>5120</v>
      </c>
      <c r="B6218" s="13">
        <v>3</v>
      </c>
      <c r="C6218" s="17" t="s">
        <v>52</v>
      </c>
      <c r="D6218" s="17">
        <v>30337</v>
      </c>
      <c r="E6218" s="17">
        <v>63</v>
      </c>
      <c r="F6218" s="17">
        <v>5009</v>
      </c>
      <c r="G6218" s="13">
        <v>7</v>
      </c>
      <c r="H6218" s="17">
        <v>0</v>
      </c>
      <c r="I6218" s="17">
        <v>1</v>
      </c>
      <c r="J6218" s="17">
        <v>19</v>
      </c>
      <c r="N6218" s="18">
        <v>119</v>
      </c>
      <c r="P6218" s="17">
        <v>4</v>
      </c>
      <c r="Q6218" s="19">
        <v>119</v>
      </c>
      <c r="R6218" s="14">
        <v>250</v>
      </c>
      <c r="S6218" s="19">
        <v>29750</v>
      </c>
      <c r="AJ6218" s="19">
        <v>0</v>
      </c>
      <c r="AK6218" s="23">
        <v>0</v>
      </c>
      <c r="AM6218" s="19">
        <v>0</v>
      </c>
      <c r="AN6218" s="19">
        <v>29750</v>
      </c>
      <c r="AP6218" s="14">
        <v>29750</v>
      </c>
    </row>
    <row r="6219" spans="1:45" x14ac:dyDescent="0.2">
      <c r="A6219" s="122">
        <f t="shared" ref="A6219:A6231" si="650">+A6218+1</f>
        <v>5121</v>
      </c>
      <c r="B6219" s="13">
        <v>4</v>
      </c>
      <c r="C6219" s="17" t="s">
        <v>52</v>
      </c>
      <c r="D6219" s="17">
        <v>30338</v>
      </c>
      <c r="E6219" s="17">
        <v>64</v>
      </c>
      <c r="F6219" s="17">
        <v>5010</v>
      </c>
      <c r="G6219" s="13">
        <v>7</v>
      </c>
      <c r="H6219" s="17">
        <v>0</v>
      </c>
      <c r="I6219" s="17">
        <v>0</v>
      </c>
      <c r="J6219" s="17">
        <v>95</v>
      </c>
      <c r="N6219" s="18">
        <v>95</v>
      </c>
      <c r="P6219" s="17">
        <v>4</v>
      </c>
      <c r="Q6219" s="19">
        <v>95</v>
      </c>
      <c r="R6219" s="14">
        <v>250</v>
      </c>
      <c r="S6219" s="19">
        <v>23750</v>
      </c>
      <c r="AJ6219" s="19">
        <v>0</v>
      </c>
      <c r="AK6219" s="23">
        <v>0</v>
      </c>
      <c r="AM6219" s="19">
        <v>0</v>
      </c>
      <c r="AN6219" s="19">
        <v>23750</v>
      </c>
      <c r="AP6219" s="14">
        <v>23750</v>
      </c>
    </row>
    <row r="6220" spans="1:45" x14ac:dyDescent="0.2">
      <c r="A6220" s="122">
        <f t="shared" si="650"/>
        <v>5122</v>
      </c>
      <c r="B6220" s="13">
        <v>1</v>
      </c>
      <c r="C6220" s="17" t="s">
        <v>52</v>
      </c>
      <c r="D6220" s="17">
        <v>19786</v>
      </c>
      <c r="E6220" s="17">
        <v>26</v>
      </c>
      <c r="F6220" s="17">
        <v>4373</v>
      </c>
      <c r="G6220" s="13">
        <v>7</v>
      </c>
      <c r="H6220" s="17">
        <v>0</v>
      </c>
      <c r="I6220" s="17">
        <v>1</v>
      </c>
      <c r="J6220" s="17">
        <v>87</v>
      </c>
      <c r="L6220" s="17">
        <v>187</v>
      </c>
      <c r="P6220" s="17">
        <v>2</v>
      </c>
      <c r="Q6220" s="19">
        <v>187</v>
      </c>
      <c r="R6220" s="14">
        <v>160</v>
      </c>
      <c r="S6220" s="19">
        <v>29920</v>
      </c>
      <c r="AJ6220" s="19">
        <v>0</v>
      </c>
      <c r="AK6220" s="23">
        <v>0</v>
      </c>
      <c r="AM6220" s="19">
        <v>0</v>
      </c>
      <c r="AN6220" s="19">
        <v>29920</v>
      </c>
      <c r="AP6220" s="14">
        <v>29920</v>
      </c>
    </row>
    <row r="6221" spans="1:45" x14ac:dyDescent="0.2">
      <c r="A6221" s="122">
        <f t="shared" si="650"/>
        <v>5123</v>
      </c>
      <c r="B6221" s="13">
        <v>1</v>
      </c>
      <c r="C6221" s="17" t="s">
        <v>52</v>
      </c>
      <c r="D6221" s="17">
        <v>4778</v>
      </c>
      <c r="E6221" s="17">
        <v>89</v>
      </c>
      <c r="F6221" s="17">
        <v>2648</v>
      </c>
      <c r="G6221" s="13">
        <v>7</v>
      </c>
      <c r="H6221" s="17">
        <v>2</v>
      </c>
      <c r="I6221" s="17">
        <v>0</v>
      </c>
      <c r="J6221" s="17">
        <v>87</v>
      </c>
      <c r="K6221" s="10">
        <v>887</v>
      </c>
      <c r="P6221" s="17">
        <v>1</v>
      </c>
      <c r="Q6221" s="19">
        <v>887</v>
      </c>
      <c r="R6221" s="14">
        <v>160</v>
      </c>
      <c r="S6221" s="19">
        <v>141920</v>
      </c>
      <c r="AJ6221" s="19">
        <v>0</v>
      </c>
      <c r="AK6221" s="23">
        <v>0</v>
      </c>
      <c r="AM6221" s="19">
        <v>0</v>
      </c>
      <c r="AN6221" s="19">
        <v>141920</v>
      </c>
      <c r="AP6221" s="14">
        <v>141920</v>
      </c>
      <c r="AS6221" s="26">
        <v>81</v>
      </c>
    </row>
    <row r="6222" spans="1:45" ht="42" x14ac:dyDescent="0.2">
      <c r="A6222" s="122">
        <f t="shared" si="650"/>
        <v>5124</v>
      </c>
      <c r="B6222" s="13">
        <v>2</v>
      </c>
      <c r="C6222" s="17" t="s">
        <v>52</v>
      </c>
      <c r="D6222" s="17">
        <v>4826</v>
      </c>
      <c r="E6222" s="17">
        <v>34</v>
      </c>
      <c r="F6222" s="17">
        <v>2716</v>
      </c>
      <c r="G6222" s="13">
        <v>7</v>
      </c>
      <c r="H6222" s="17">
        <v>4</v>
      </c>
      <c r="I6222" s="17">
        <v>0</v>
      </c>
      <c r="J6222" s="17">
        <v>25</v>
      </c>
      <c r="K6222" s="10">
        <v>1610</v>
      </c>
      <c r="L6222" s="17">
        <v>15</v>
      </c>
      <c r="P6222" s="17">
        <v>5</v>
      </c>
      <c r="Q6222" s="19">
        <v>1625</v>
      </c>
      <c r="R6222" s="14">
        <v>160</v>
      </c>
      <c r="S6222" s="19">
        <v>260000</v>
      </c>
      <c r="T6222" s="17">
        <v>1</v>
      </c>
      <c r="V6222" s="17" t="s">
        <v>183</v>
      </c>
      <c r="W6222" s="4">
        <v>60</v>
      </c>
      <c r="Y6222" s="4">
        <v>60</v>
      </c>
      <c r="AB6222" s="17">
        <v>29</v>
      </c>
      <c r="AJ6222" s="19">
        <v>0</v>
      </c>
      <c r="AK6222" s="23">
        <v>29</v>
      </c>
      <c r="AM6222" s="19">
        <v>0</v>
      </c>
      <c r="AN6222" s="19">
        <v>260000</v>
      </c>
      <c r="AP6222" s="14">
        <v>260000</v>
      </c>
    </row>
    <row r="6223" spans="1:45" ht="42" x14ac:dyDescent="0.2">
      <c r="A6223" s="122">
        <f t="shared" si="650"/>
        <v>5125</v>
      </c>
      <c r="B6223" s="13">
        <v>3</v>
      </c>
      <c r="C6223" s="17" t="s">
        <v>52</v>
      </c>
      <c r="D6223" s="17">
        <v>4829</v>
      </c>
      <c r="E6223" s="17">
        <v>29</v>
      </c>
      <c r="F6223" s="17">
        <v>2719</v>
      </c>
      <c r="G6223" s="13">
        <v>7</v>
      </c>
      <c r="H6223" s="17">
        <v>8</v>
      </c>
      <c r="I6223" s="17">
        <v>2</v>
      </c>
      <c r="J6223" s="17">
        <v>93</v>
      </c>
      <c r="K6223" s="10">
        <v>3446.13</v>
      </c>
      <c r="L6223" s="17">
        <v>46.87</v>
      </c>
      <c r="P6223" s="17">
        <v>5</v>
      </c>
      <c r="Q6223" s="19">
        <v>3493</v>
      </c>
      <c r="R6223" s="14">
        <v>160</v>
      </c>
      <c r="S6223" s="19">
        <v>558880</v>
      </c>
      <c r="T6223" s="17">
        <v>1</v>
      </c>
      <c r="V6223" s="17" t="s">
        <v>183</v>
      </c>
      <c r="W6223" s="4">
        <v>187.5</v>
      </c>
      <c r="Y6223" s="4">
        <v>187.5</v>
      </c>
      <c r="AB6223" s="17">
        <v>20</v>
      </c>
      <c r="AJ6223" s="19">
        <v>0</v>
      </c>
      <c r="AK6223" s="23">
        <v>20</v>
      </c>
      <c r="AM6223" s="19">
        <v>0</v>
      </c>
      <c r="AN6223" s="19">
        <v>558880</v>
      </c>
      <c r="AP6223" s="14">
        <v>558880</v>
      </c>
    </row>
    <row r="6224" spans="1:45" x14ac:dyDescent="0.2">
      <c r="A6224" s="122">
        <f t="shared" si="650"/>
        <v>5126</v>
      </c>
      <c r="B6224" s="13">
        <v>4</v>
      </c>
      <c r="C6224" s="17" t="s">
        <v>52</v>
      </c>
      <c r="D6224" s="17">
        <v>4830</v>
      </c>
      <c r="E6224" s="17">
        <v>27</v>
      </c>
      <c r="F6224" s="17">
        <v>2720</v>
      </c>
      <c r="G6224" s="13">
        <v>7</v>
      </c>
      <c r="H6224" s="17">
        <v>10</v>
      </c>
      <c r="I6224" s="17">
        <v>2</v>
      </c>
      <c r="J6224" s="17">
        <v>24</v>
      </c>
      <c r="K6224" s="10">
        <v>4224</v>
      </c>
      <c r="P6224" s="17">
        <v>1</v>
      </c>
      <c r="Q6224" s="19">
        <v>4224</v>
      </c>
      <c r="R6224" s="14">
        <v>160</v>
      </c>
      <c r="S6224" s="19">
        <v>675840</v>
      </c>
      <c r="AJ6224" s="19">
        <v>0</v>
      </c>
      <c r="AK6224" s="23">
        <v>0</v>
      </c>
      <c r="AM6224" s="19">
        <v>0</v>
      </c>
      <c r="AN6224" s="19">
        <v>675840</v>
      </c>
      <c r="AP6224" s="14">
        <v>675840</v>
      </c>
    </row>
    <row r="6225" spans="1:45" x14ac:dyDescent="0.2">
      <c r="A6225" s="122">
        <f t="shared" si="650"/>
        <v>5127</v>
      </c>
      <c r="B6225" s="13">
        <v>5</v>
      </c>
      <c r="C6225" s="17" t="s">
        <v>52</v>
      </c>
      <c r="D6225" s="17">
        <v>4894</v>
      </c>
      <c r="E6225" s="17">
        <v>21</v>
      </c>
      <c r="F6225" s="17">
        <v>2766</v>
      </c>
      <c r="G6225" s="13">
        <v>7</v>
      </c>
      <c r="H6225" s="17">
        <v>16</v>
      </c>
      <c r="I6225" s="17">
        <v>3</v>
      </c>
      <c r="J6225" s="17">
        <v>85</v>
      </c>
      <c r="K6225" s="10">
        <v>6785</v>
      </c>
      <c r="P6225" s="17">
        <v>1</v>
      </c>
      <c r="Q6225" s="19">
        <v>6785</v>
      </c>
      <c r="R6225" s="14">
        <v>160</v>
      </c>
      <c r="S6225" s="19">
        <v>1085600</v>
      </c>
      <c r="AJ6225" s="19">
        <v>0</v>
      </c>
      <c r="AK6225" s="23">
        <v>0</v>
      </c>
      <c r="AM6225" s="19">
        <v>0</v>
      </c>
      <c r="AN6225" s="19">
        <v>1085600</v>
      </c>
      <c r="AP6225" s="14">
        <v>1085600</v>
      </c>
    </row>
    <row r="6226" spans="1:45" x14ac:dyDescent="0.2">
      <c r="A6226" s="122">
        <f t="shared" si="650"/>
        <v>5128</v>
      </c>
      <c r="B6226" s="13">
        <v>6</v>
      </c>
      <c r="C6226" s="17" t="s">
        <v>52</v>
      </c>
      <c r="D6226" s="17">
        <v>4952</v>
      </c>
      <c r="E6226" s="17">
        <v>10</v>
      </c>
      <c r="F6226" s="17">
        <v>2563</v>
      </c>
      <c r="G6226" s="13">
        <v>7</v>
      </c>
      <c r="H6226" s="17">
        <v>0</v>
      </c>
      <c r="I6226" s="17">
        <v>0</v>
      </c>
      <c r="J6226" s="17">
        <v>62</v>
      </c>
      <c r="N6226" s="18">
        <v>62</v>
      </c>
      <c r="P6226" s="17">
        <v>4</v>
      </c>
      <c r="Q6226" s="19">
        <v>62</v>
      </c>
      <c r="R6226" s="14">
        <v>4500</v>
      </c>
      <c r="S6226" s="19">
        <v>279000</v>
      </c>
      <c r="AJ6226" s="19">
        <v>0</v>
      </c>
      <c r="AK6226" s="23">
        <v>0</v>
      </c>
      <c r="AM6226" s="19">
        <v>0</v>
      </c>
      <c r="AN6226" s="19">
        <v>279000</v>
      </c>
      <c r="AP6226" s="14">
        <v>279000</v>
      </c>
      <c r="AQ6226" s="12">
        <v>3.0000000000000001E-3</v>
      </c>
    </row>
    <row r="6227" spans="1:45" x14ac:dyDescent="0.2">
      <c r="A6227" s="122">
        <f t="shared" si="650"/>
        <v>5129</v>
      </c>
      <c r="B6227" s="13">
        <v>1</v>
      </c>
      <c r="C6227" s="17" t="s">
        <v>52</v>
      </c>
      <c r="D6227" s="17">
        <v>4895</v>
      </c>
      <c r="E6227" s="17">
        <v>20</v>
      </c>
      <c r="F6227" s="17">
        <v>2767</v>
      </c>
      <c r="G6227" s="13">
        <v>7</v>
      </c>
      <c r="H6227" s="17">
        <v>10</v>
      </c>
      <c r="I6227" s="17">
        <v>2</v>
      </c>
      <c r="J6227" s="17">
        <v>71</v>
      </c>
      <c r="K6227" s="10">
        <v>4271</v>
      </c>
      <c r="P6227" s="17">
        <v>1</v>
      </c>
      <c r="Q6227" s="19">
        <v>4271</v>
      </c>
      <c r="R6227" s="14">
        <v>160</v>
      </c>
      <c r="S6227" s="19">
        <v>683360</v>
      </c>
      <c r="AJ6227" s="19">
        <v>0</v>
      </c>
      <c r="AK6227" s="23">
        <v>0</v>
      </c>
      <c r="AM6227" s="19">
        <v>0</v>
      </c>
      <c r="AN6227" s="19">
        <v>683360</v>
      </c>
      <c r="AP6227" s="14">
        <v>683360</v>
      </c>
      <c r="AS6227" s="26">
        <v>59</v>
      </c>
    </row>
    <row r="6228" spans="1:45" ht="42" x14ac:dyDescent="0.2">
      <c r="A6228" s="122">
        <f t="shared" si="650"/>
        <v>5130</v>
      </c>
      <c r="B6228" s="13">
        <v>2</v>
      </c>
      <c r="C6228" s="17" t="s">
        <v>52</v>
      </c>
      <c r="D6228" s="17">
        <v>4954</v>
      </c>
      <c r="E6228" s="17">
        <v>12</v>
      </c>
      <c r="F6228" s="17">
        <v>2565</v>
      </c>
      <c r="G6228" s="13">
        <v>7</v>
      </c>
      <c r="H6228" s="17">
        <v>0</v>
      </c>
      <c r="I6228" s="17">
        <v>0</v>
      </c>
      <c r="J6228" s="17">
        <v>63</v>
      </c>
      <c r="L6228" s="17" t="s">
        <v>491</v>
      </c>
      <c r="P6228" s="17">
        <v>2</v>
      </c>
      <c r="Q6228" s="19">
        <v>63</v>
      </c>
      <c r="R6228" s="14">
        <v>4500</v>
      </c>
      <c r="S6228" s="19">
        <v>283500</v>
      </c>
      <c r="T6228" s="17">
        <v>1</v>
      </c>
      <c r="V6228" s="17" t="s">
        <v>183</v>
      </c>
      <c r="W6228" s="4">
        <v>125</v>
      </c>
      <c r="Y6228" s="4">
        <v>125</v>
      </c>
      <c r="AB6228" s="17">
        <v>15</v>
      </c>
      <c r="AJ6228" s="19">
        <v>0</v>
      </c>
      <c r="AK6228" s="23">
        <v>15</v>
      </c>
      <c r="AM6228" s="19">
        <v>0</v>
      </c>
      <c r="AN6228" s="19">
        <v>283500</v>
      </c>
      <c r="AP6228" s="14">
        <v>283500</v>
      </c>
    </row>
    <row r="6229" spans="1:45" x14ac:dyDescent="0.2">
      <c r="A6229" s="122">
        <f t="shared" si="650"/>
        <v>5131</v>
      </c>
      <c r="B6229" s="13">
        <v>1</v>
      </c>
      <c r="C6229" s="17" t="s">
        <v>52</v>
      </c>
      <c r="D6229" s="17">
        <v>20272</v>
      </c>
      <c r="E6229" s="17">
        <v>76</v>
      </c>
      <c r="F6229" s="17">
        <v>4560</v>
      </c>
      <c r="G6229" s="13">
        <v>7</v>
      </c>
      <c r="H6229" s="17">
        <v>0</v>
      </c>
      <c r="I6229" s="17">
        <v>0</v>
      </c>
      <c r="J6229" s="17">
        <v>60</v>
      </c>
      <c r="N6229" s="18">
        <v>60</v>
      </c>
      <c r="P6229" s="17">
        <v>1</v>
      </c>
      <c r="Q6229" s="19">
        <v>60</v>
      </c>
      <c r="R6229" s="14">
        <v>4500</v>
      </c>
      <c r="S6229" s="19">
        <v>270000</v>
      </c>
      <c r="AJ6229" s="19">
        <v>0</v>
      </c>
      <c r="AK6229" s="23">
        <v>0</v>
      </c>
      <c r="AM6229" s="19">
        <v>0</v>
      </c>
      <c r="AN6229" s="19">
        <v>270000</v>
      </c>
      <c r="AP6229" s="14">
        <v>270000</v>
      </c>
    </row>
    <row r="6230" spans="1:45" x14ac:dyDescent="0.2">
      <c r="A6230" s="122">
        <f t="shared" si="650"/>
        <v>5132</v>
      </c>
      <c r="B6230" s="13">
        <v>1</v>
      </c>
      <c r="C6230" s="17" t="s">
        <v>52</v>
      </c>
      <c r="D6230" s="17">
        <v>4914</v>
      </c>
      <c r="E6230" s="17">
        <v>48</v>
      </c>
      <c r="F6230" s="17">
        <v>2790</v>
      </c>
      <c r="G6230" s="13">
        <v>7</v>
      </c>
      <c r="H6230" s="17">
        <v>5</v>
      </c>
      <c r="I6230" s="17">
        <v>1</v>
      </c>
      <c r="J6230" s="17">
        <v>78</v>
      </c>
      <c r="K6230" s="10">
        <v>2178</v>
      </c>
      <c r="P6230" s="17">
        <v>1</v>
      </c>
      <c r="Q6230" s="19">
        <v>2178</v>
      </c>
      <c r="R6230" s="14">
        <v>160</v>
      </c>
      <c r="S6230" s="19">
        <v>348480</v>
      </c>
      <c r="AJ6230" s="19">
        <v>0</v>
      </c>
      <c r="AK6230" s="23">
        <v>0</v>
      </c>
      <c r="AM6230" s="19">
        <v>0</v>
      </c>
      <c r="AN6230" s="19">
        <v>348480</v>
      </c>
      <c r="AP6230" s="14">
        <v>348480</v>
      </c>
      <c r="AS6230" s="26">
        <v>72</v>
      </c>
    </row>
    <row r="6231" spans="1:45" x14ac:dyDescent="0.2">
      <c r="A6231" s="122">
        <f t="shared" si="650"/>
        <v>5133</v>
      </c>
      <c r="B6231" s="13">
        <v>2</v>
      </c>
      <c r="C6231" s="17" t="s">
        <v>52</v>
      </c>
      <c r="D6231" s="17">
        <v>4950</v>
      </c>
      <c r="E6231" s="17">
        <v>8</v>
      </c>
      <c r="F6231" s="17">
        <v>2561</v>
      </c>
      <c r="G6231" s="13">
        <v>7</v>
      </c>
      <c r="H6231" s="17">
        <v>3</v>
      </c>
      <c r="I6231" s="17">
        <v>1</v>
      </c>
      <c r="J6231" s="17">
        <v>63</v>
      </c>
      <c r="K6231" s="10">
        <v>1331.75</v>
      </c>
      <c r="L6231" s="17">
        <v>31.25</v>
      </c>
      <c r="P6231" s="17">
        <v>5</v>
      </c>
      <c r="Q6231" s="19">
        <v>1363</v>
      </c>
      <c r="R6231" s="14">
        <v>160</v>
      </c>
      <c r="S6231" s="19">
        <v>218080</v>
      </c>
      <c r="AJ6231" s="19">
        <v>0</v>
      </c>
      <c r="AK6231" s="23">
        <v>0</v>
      </c>
      <c r="AM6231" s="19">
        <v>0</v>
      </c>
      <c r="AN6231" s="19">
        <v>218080</v>
      </c>
      <c r="AP6231" s="14">
        <v>218080</v>
      </c>
    </row>
    <row r="6232" spans="1:45" ht="63" x14ac:dyDescent="0.2">
      <c r="R6232" s="14" t="e">
        <v>#N/A</v>
      </c>
      <c r="S6232" s="19" t="e">
        <v>#N/A</v>
      </c>
      <c r="T6232" s="17" t="s">
        <v>122</v>
      </c>
      <c r="U6232" s="17" t="s">
        <v>57</v>
      </c>
      <c r="V6232" s="17" t="s">
        <v>56</v>
      </c>
      <c r="W6232" s="4">
        <v>125</v>
      </c>
      <c r="Y6232" s="4">
        <v>125</v>
      </c>
      <c r="AB6232" s="17">
        <v>22</v>
      </c>
      <c r="AJ6232" s="19">
        <v>0</v>
      </c>
      <c r="AK6232" s="23">
        <v>22</v>
      </c>
      <c r="AM6232" s="19">
        <v>0</v>
      </c>
      <c r="AN6232" s="19" t="e">
        <v>#N/A</v>
      </c>
      <c r="AP6232" s="14" t="e">
        <v>#N/A</v>
      </c>
    </row>
    <row r="6233" spans="1:45" x14ac:dyDescent="0.2">
      <c r="P6233" s="17">
        <v>2</v>
      </c>
      <c r="Q6233" s="19">
        <v>56.25</v>
      </c>
      <c r="R6233" s="14">
        <v>160</v>
      </c>
      <c r="S6233" s="19">
        <v>9000</v>
      </c>
      <c r="T6233" s="17" t="s">
        <v>288</v>
      </c>
      <c r="AE6233" s="17" t="s">
        <v>641</v>
      </c>
      <c r="AJ6233" s="19">
        <v>0</v>
      </c>
      <c r="AK6233" s="23">
        <v>0</v>
      </c>
      <c r="AM6233" s="19">
        <v>0</v>
      </c>
      <c r="AN6233" s="19">
        <v>9000</v>
      </c>
      <c r="AP6233" s="14">
        <v>9000</v>
      </c>
      <c r="AQ6233" s="12">
        <v>3.0000000000000001E-3</v>
      </c>
    </row>
    <row r="6234" spans="1:45" x14ac:dyDescent="0.2">
      <c r="A6234" s="2">
        <v>5134</v>
      </c>
      <c r="B6234" s="13">
        <v>3</v>
      </c>
      <c r="C6234" s="17" t="s">
        <v>52</v>
      </c>
      <c r="D6234" s="17">
        <v>4955</v>
      </c>
      <c r="E6234" s="17">
        <v>13</v>
      </c>
      <c r="F6234" s="17">
        <v>2566</v>
      </c>
      <c r="G6234" s="13">
        <v>7</v>
      </c>
      <c r="H6234" s="17">
        <v>0</v>
      </c>
      <c r="I6234" s="17">
        <v>0</v>
      </c>
      <c r="J6234" s="17">
        <v>60</v>
      </c>
      <c r="L6234" s="17" t="s">
        <v>274</v>
      </c>
      <c r="P6234" s="17">
        <v>2</v>
      </c>
      <c r="Q6234" s="19">
        <v>60</v>
      </c>
      <c r="R6234" s="14">
        <v>4500</v>
      </c>
      <c r="S6234" s="19">
        <v>270000</v>
      </c>
      <c r="AE6234" s="17" t="s">
        <v>331</v>
      </c>
      <c r="AJ6234" s="19">
        <v>0</v>
      </c>
      <c r="AK6234" s="23">
        <v>0</v>
      </c>
      <c r="AM6234" s="19">
        <v>0</v>
      </c>
      <c r="AN6234" s="19">
        <v>270000</v>
      </c>
      <c r="AP6234" s="14">
        <v>270000</v>
      </c>
    </row>
    <row r="6235" spans="1:45" x14ac:dyDescent="0.2">
      <c r="A6235" s="2">
        <f>+A6234+1</f>
        <v>5135</v>
      </c>
      <c r="B6235" s="13">
        <v>4</v>
      </c>
      <c r="C6235" s="17" t="s">
        <v>52</v>
      </c>
      <c r="D6235" s="17">
        <v>5024</v>
      </c>
      <c r="E6235" s="17">
        <v>22</v>
      </c>
      <c r="F6235" s="17">
        <v>2765</v>
      </c>
      <c r="G6235" s="13">
        <v>7</v>
      </c>
      <c r="H6235" s="17">
        <v>18</v>
      </c>
      <c r="I6235" s="17">
        <v>1</v>
      </c>
      <c r="J6235" s="17">
        <v>74</v>
      </c>
      <c r="K6235" s="10">
        <v>7374</v>
      </c>
      <c r="P6235" s="17">
        <v>1</v>
      </c>
      <c r="Q6235" s="19">
        <v>7374</v>
      </c>
      <c r="R6235" s="14">
        <v>160</v>
      </c>
      <c r="S6235" s="19">
        <v>1179840</v>
      </c>
      <c r="AJ6235" s="19">
        <v>0</v>
      </c>
      <c r="AK6235" s="23">
        <v>0</v>
      </c>
      <c r="AM6235" s="19">
        <v>0</v>
      </c>
      <c r="AN6235" s="19">
        <v>1179840</v>
      </c>
      <c r="AP6235" s="14">
        <v>1179840</v>
      </c>
    </row>
    <row r="6236" spans="1:45" x14ac:dyDescent="0.2">
      <c r="A6236" s="122">
        <f t="shared" ref="A6236:A6254" si="651">+A6235+1</f>
        <v>5136</v>
      </c>
      <c r="B6236" s="13">
        <v>5</v>
      </c>
      <c r="C6236" s="17" t="s">
        <v>52</v>
      </c>
      <c r="D6236" s="17">
        <v>30440</v>
      </c>
      <c r="E6236" s="17">
        <v>44</v>
      </c>
      <c r="F6236" s="17">
        <v>5846</v>
      </c>
      <c r="G6236" s="13">
        <v>7</v>
      </c>
      <c r="H6236" s="17">
        <v>0</v>
      </c>
      <c r="I6236" s="17">
        <v>0</v>
      </c>
      <c r="J6236" s="17">
        <v>38</v>
      </c>
      <c r="K6236" s="10" t="s">
        <v>642</v>
      </c>
      <c r="P6236" s="17">
        <v>4</v>
      </c>
      <c r="Q6236" s="19">
        <v>38</v>
      </c>
      <c r="R6236" s="14">
        <v>1000</v>
      </c>
      <c r="S6236" s="19">
        <v>38000</v>
      </c>
      <c r="AJ6236" s="19">
        <v>0</v>
      </c>
      <c r="AK6236" s="23">
        <v>0</v>
      </c>
      <c r="AM6236" s="19">
        <v>0</v>
      </c>
      <c r="AN6236" s="19">
        <v>38000</v>
      </c>
      <c r="AP6236" s="14">
        <v>38000</v>
      </c>
      <c r="AQ6236" s="12">
        <v>3.0000000000000001E-3</v>
      </c>
    </row>
    <row r="6237" spans="1:45" x14ac:dyDescent="0.2">
      <c r="A6237" s="122">
        <f t="shared" si="651"/>
        <v>5137</v>
      </c>
      <c r="B6237" s="13">
        <v>6</v>
      </c>
      <c r="C6237" s="17" t="s">
        <v>65</v>
      </c>
      <c r="D6237" s="17">
        <v>2106</v>
      </c>
      <c r="E6237" s="17">
        <v>13</v>
      </c>
      <c r="H6237" s="17">
        <v>4</v>
      </c>
      <c r="I6237" s="17">
        <v>0</v>
      </c>
      <c r="J6237" s="17">
        <v>84</v>
      </c>
      <c r="K6237" s="10">
        <v>1684</v>
      </c>
      <c r="Q6237" s="19">
        <v>1684</v>
      </c>
      <c r="R6237" s="14">
        <v>200</v>
      </c>
      <c r="S6237" s="19">
        <v>336800</v>
      </c>
      <c r="AE6237" s="17" t="s">
        <v>643</v>
      </c>
      <c r="AJ6237" s="19">
        <v>0</v>
      </c>
      <c r="AK6237" s="23">
        <v>0</v>
      </c>
      <c r="AM6237" s="19">
        <v>0</v>
      </c>
      <c r="AN6237" s="19">
        <v>336800</v>
      </c>
      <c r="AP6237" s="14">
        <v>336800</v>
      </c>
      <c r="AQ6237" s="12">
        <v>1E-4</v>
      </c>
    </row>
    <row r="6238" spans="1:45" x14ac:dyDescent="0.2">
      <c r="A6238" s="122">
        <f t="shared" si="651"/>
        <v>5138</v>
      </c>
      <c r="B6238" s="13">
        <v>1</v>
      </c>
      <c r="C6238" s="17" t="s">
        <v>52</v>
      </c>
      <c r="D6238" s="17">
        <v>4869</v>
      </c>
      <c r="E6238" s="17">
        <v>18</v>
      </c>
      <c r="F6238" s="17">
        <v>2567</v>
      </c>
      <c r="G6238" s="13">
        <v>7</v>
      </c>
      <c r="H6238" s="17">
        <v>1</v>
      </c>
      <c r="I6238" s="17">
        <v>0</v>
      </c>
      <c r="J6238" s="17">
        <v>67</v>
      </c>
      <c r="L6238" s="17">
        <v>467</v>
      </c>
      <c r="P6238" s="17">
        <v>2</v>
      </c>
      <c r="Q6238" s="19">
        <v>467</v>
      </c>
      <c r="R6238" s="14">
        <v>160</v>
      </c>
      <c r="S6238" s="19">
        <v>74720</v>
      </c>
      <c r="AJ6238" s="19">
        <v>0</v>
      </c>
      <c r="AK6238" s="23">
        <v>0</v>
      </c>
      <c r="AM6238" s="19">
        <v>0</v>
      </c>
      <c r="AN6238" s="19">
        <v>74720</v>
      </c>
      <c r="AP6238" s="14">
        <v>74720</v>
      </c>
    </row>
    <row r="6239" spans="1:45" x14ac:dyDescent="0.2">
      <c r="A6239" s="122">
        <f t="shared" si="651"/>
        <v>5139</v>
      </c>
      <c r="B6239" s="13">
        <v>2</v>
      </c>
      <c r="C6239" s="17" t="s">
        <v>52</v>
      </c>
      <c r="D6239" s="17">
        <v>4869</v>
      </c>
      <c r="E6239" s="17">
        <v>18</v>
      </c>
      <c r="F6239" s="17">
        <v>2567</v>
      </c>
      <c r="G6239" s="13">
        <v>7</v>
      </c>
      <c r="H6239" s="17">
        <v>1</v>
      </c>
      <c r="I6239" s="17">
        <v>0</v>
      </c>
      <c r="J6239" s="17">
        <v>67</v>
      </c>
      <c r="L6239" s="17">
        <v>467</v>
      </c>
      <c r="P6239" s="17">
        <v>2</v>
      </c>
      <c r="Q6239" s="19">
        <v>467</v>
      </c>
      <c r="R6239" s="14">
        <v>160</v>
      </c>
      <c r="S6239" s="19">
        <v>74720</v>
      </c>
      <c r="AJ6239" s="19">
        <v>0</v>
      </c>
      <c r="AK6239" s="23">
        <v>0</v>
      </c>
      <c r="AM6239" s="19">
        <v>0</v>
      </c>
      <c r="AN6239" s="19">
        <v>74720</v>
      </c>
      <c r="AP6239" s="14">
        <v>74720</v>
      </c>
    </row>
    <row r="6240" spans="1:45" ht="42" x14ac:dyDescent="0.2">
      <c r="A6240" s="122">
        <f t="shared" si="651"/>
        <v>5140</v>
      </c>
      <c r="B6240" s="13">
        <v>1</v>
      </c>
      <c r="C6240" s="17" t="s">
        <v>52</v>
      </c>
      <c r="D6240" s="17">
        <v>4957</v>
      </c>
      <c r="E6240" s="17">
        <v>15</v>
      </c>
      <c r="F6240" s="17">
        <v>2571</v>
      </c>
      <c r="G6240" s="13">
        <v>7</v>
      </c>
      <c r="H6240" s="17">
        <v>0</v>
      </c>
      <c r="I6240" s="17">
        <v>1</v>
      </c>
      <c r="J6240" s="17">
        <v>9</v>
      </c>
      <c r="K6240" s="10">
        <v>95</v>
      </c>
      <c r="L6240" s="17">
        <v>14</v>
      </c>
      <c r="P6240" s="17">
        <v>5</v>
      </c>
      <c r="Q6240" s="19">
        <v>109</v>
      </c>
      <c r="R6240" s="14">
        <v>4500</v>
      </c>
      <c r="S6240" s="19">
        <v>490500</v>
      </c>
      <c r="T6240" s="17">
        <v>1</v>
      </c>
      <c r="V6240" s="17" t="s">
        <v>183</v>
      </c>
      <c r="W6240" s="4">
        <v>56</v>
      </c>
      <c r="Y6240" s="4">
        <v>56</v>
      </c>
      <c r="AB6240" s="17">
        <v>15</v>
      </c>
      <c r="AJ6240" s="19">
        <v>0</v>
      </c>
      <c r="AK6240" s="23">
        <v>15</v>
      </c>
      <c r="AM6240" s="19">
        <v>0</v>
      </c>
      <c r="AN6240" s="19">
        <v>490500</v>
      </c>
      <c r="AP6240" s="14">
        <v>490500</v>
      </c>
    </row>
    <row r="6241" spans="1:45" x14ac:dyDescent="0.2">
      <c r="A6241" s="122">
        <f t="shared" si="651"/>
        <v>5141</v>
      </c>
      <c r="B6241" s="13">
        <v>1</v>
      </c>
      <c r="C6241" s="17" t="s">
        <v>52</v>
      </c>
      <c r="D6241" s="17">
        <v>4862</v>
      </c>
      <c r="E6241" s="17">
        <v>10</v>
      </c>
      <c r="F6241" s="17">
        <v>2547</v>
      </c>
      <c r="G6241" s="13">
        <v>7</v>
      </c>
      <c r="H6241" s="17">
        <v>0</v>
      </c>
      <c r="I6241" s="17">
        <v>0</v>
      </c>
      <c r="J6241" s="17">
        <v>67</v>
      </c>
      <c r="K6241" s="10">
        <v>67</v>
      </c>
      <c r="P6241" s="17">
        <v>1</v>
      </c>
      <c r="Q6241" s="19">
        <v>67</v>
      </c>
      <c r="R6241" s="14">
        <v>160</v>
      </c>
      <c r="S6241" s="19">
        <v>10720</v>
      </c>
      <c r="AJ6241" s="19">
        <v>0</v>
      </c>
      <c r="AK6241" s="23">
        <v>0</v>
      </c>
      <c r="AM6241" s="19">
        <v>0</v>
      </c>
      <c r="AN6241" s="19">
        <v>10720</v>
      </c>
      <c r="AP6241" s="14">
        <v>10720</v>
      </c>
    </row>
    <row r="6242" spans="1:45" x14ac:dyDescent="0.2">
      <c r="A6242" s="122">
        <f t="shared" si="651"/>
        <v>5142</v>
      </c>
      <c r="B6242" s="13">
        <v>2</v>
      </c>
      <c r="C6242" s="17" t="s">
        <v>52</v>
      </c>
      <c r="D6242" s="17">
        <v>4862</v>
      </c>
      <c r="E6242" s="17">
        <v>10</v>
      </c>
      <c r="F6242" s="17">
        <v>2547</v>
      </c>
      <c r="G6242" s="13">
        <v>7</v>
      </c>
      <c r="H6242" s="17">
        <v>0</v>
      </c>
      <c r="I6242" s="17">
        <v>0</v>
      </c>
      <c r="J6242" s="17">
        <v>67</v>
      </c>
      <c r="K6242" s="10">
        <v>67</v>
      </c>
      <c r="P6242" s="17">
        <v>1</v>
      </c>
      <c r="Q6242" s="19">
        <v>67</v>
      </c>
      <c r="R6242" s="14">
        <v>160</v>
      </c>
      <c r="S6242" s="19">
        <v>10720</v>
      </c>
      <c r="AJ6242" s="19">
        <v>0</v>
      </c>
      <c r="AK6242" s="23">
        <v>0</v>
      </c>
      <c r="AM6242" s="19">
        <v>0</v>
      </c>
      <c r="AN6242" s="19">
        <v>10720</v>
      </c>
      <c r="AP6242" s="14">
        <v>10720</v>
      </c>
    </row>
    <row r="6243" spans="1:45" x14ac:dyDescent="0.2">
      <c r="A6243" s="122">
        <f t="shared" si="651"/>
        <v>5143</v>
      </c>
      <c r="B6243" s="13">
        <v>1</v>
      </c>
      <c r="C6243" s="17" t="s">
        <v>52</v>
      </c>
      <c r="D6243" s="17">
        <v>4956</v>
      </c>
      <c r="E6243" s="17">
        <v>14</v>
      </c>
      <c r="F6243" s="17">
        <v>2570</v>
      </c>
      <c r="G6243" s="13">
        <v>7</v>
      </c>
      <c r="H6243" s="17">
        <v>3</v>
      </c>
      <c r="I6243" s="17">
        <v>0</v>
      </c>
      <c r="J6243" s="17">
        <v>42</v>
      </c>
      <c r="K6243" s="10">
        <v>1242</v>
      </c>
      <c r="P6243" s="17">
        <v>1</v>
      </c>
      <c r="Q6243" s="19">
        <v>1242</v>
      </c>
      <c r="R6243" s="14">
        <v>160</v>
      </c>
      <c r="S6243" s="19">
        <v>198720</v>
      </c>
      <c r="AJ6243" s="19">
        <v>0</v>
      </c>
      <c r="AK6243" s="23">
        <v>0</v>
      </c>
      <c r="AM6243" s="19">
        <v>0</v>
      </c>
      <c r="AN6243" s="19">
        <v>198720</v>
      </c>
      <c r="AP6243" s="14">
        <v>198720</v>
      </c>
    </row>
    <row r="6244" spans="1:45" ht="42" x14ac:dyDescent="0.2">
      <c r="A6244" s="122">
        <f t="shared" si="651"/>
        <v>5144</v>
      </c>
      <c r="B6244" s="13">
        <v>2</v>
      </c>
      <c r="C6244" s="17" t="s">
        <v>52</v>
      </c>
      <c r="D6244" s="17">
        <v>4958</v>
      </c>
      <c r="E6244" s="17">
        <v>16</v>
      </c>
      <c r="F6244" s="17">
        <v>2572</v>
      </c>
      <c r="G6244" s="13">
        <v>7</v>
      </c>
      <c r="H6244" s="17">
        <v>0</v>
      </c>
      <c r="I6244" s="17">
        <v>0</v>
      </c>
      <c r="J6244" s="17">
        <v>65</v>
      </c>
      <c r="L6244" s="17" t="s">
        <v>414</v>
      </c>
      <c r="P6244" s="17">
        <v>2</v>
      </c>
      <c r="Q6244" s="19">
        <v>65</v>
      </c>
      <c r="R6244" s="14">
        <v>4500</v>
      </c>
      <c r="S6244" s="19">
        <v>292500</v>
      </c>
      <c r="T6244" s="17">
        <v>1</v>
      </c>
      <c r="V6244" s="17" t="s">
        <v>183</v>
      </c>
      <c r="W6244" s="4">
        <v>108</v>
      </c>
      <c r="Y6244" s="4">
        <v>108</v>
      </c>
      <c r="AB6244" s="17">
        <v>20</v>
      </c>
      <c r="AJ6244" s="19">
        <v>0</v>
      </c>
      <c r="AK6244" s="23">
        <v>20</v>
      </c>
      <c r="AM6244" s="19">
        <v>0</v>
      </c>
      <c r="AN6244" s="19">
        <v>292500</v>
      </c>
      <c r="AP6244" s="14">
        <v>292500</v>
      </c>
    </row>
    <row r="6245" spans="1:45" x14ac:dyDescent="0.2">
      <c r="A6245" s="122">
        <f t="shared" si="651"/>
        <v>5145</v>
      </c>
      <c r="B6245" s="13">
        <v>3</v>
      </c>
      <c r="C6245" s="17" t="s">
        <v>52</v>
      </c>
      <c r="D6245" s="17">
        <v>37521</v>
      </c>
      <c r="E6245" s="17">
        <v>73</v>
      </c>
      <c r="F6245" s="17">
        <v>7310</v>
      </c>
      <c r="G6245" s="13">
        <v>7</v>
      </c>
      <c r="H6245" s="17">
        <v>0</v>
      </c>
      <c r="I6245" s="17">
        <v>3</v>
      </c>
      <c r="J6245" s="17">
        <v>7</v>
      </c>
      <c r="K6245" s="10">
        <v>307</v>
      </c>
      <c r="P6245" s="17">
        <v>1</v>
      </c>
      <c r="Q6245" s="19">
        <v>307</v>
      </c>
      <c r="R6245" s="14">
        <v>160</v>
      </c>
      <c r="S6245" s="19">
        <v>49120</v>
      </c>
      <c r="AJ6245" s="19">
        <v>0</v>
      </c>
      <c r="AK6245" s="23">
        <v>0</v>
      </c>
      <c r="AM6245" s="19">
        <v>0</v>
      </c>
      <c r="AN6245" s="19">
        <v>49120</v>
      </c>
      <c r="AP6245" s="14">
        <v>49120</v>
      </c>
    </row>
    <row r="6246" spans="1:45" ht="42" x14ac:dyDescent="0.2">
      <c r="A6246" s="122">
        <f t="shared" si="651"/>
        <v>5146</v>
      </c>
      <c r="B6246" s="13">
        <v>1</v>
      </c>
      <c r="C6246" s="17" t="s">
        <v>52</v>
      </c>
      <c r="D6246" s="17">
        <v>4880</v>
      </c>
      <c r="E6246" s="17">
        <v>24</v>
      </c>
      <c r="F6246" s="17">
        <v>2695</v>
      </c>
      <c r="G6246" s="13">
        <v>7</v>
      </c>
      <c r="H6246" s="17">
        <v>0</v>
      </c>
      <c r="I6246" s="17">
        <v>1</v>
      </c>
      <c r="J6246" s="17">
        <v>12</v>
      </c>
      <c r="K6246" s="10">
        <v>100</v>
      </c>
      <c r="L6246" s="17">
        <v>12</v>
      </c>
      <c r="P6246" s="17">
        <v>5</v>
      </c>
      <c r="Q6246" s="19">
        <v>112</v>
      </c>
      <c r="R6246" s="14">
        <v>1000</v>
      </c>
      <c r="S6246" s="19">
        <v>112000</v>
      </c>
      <c r="T6246" s="17">
        <v>1</v>
      </c>
      <c r="V6246" s="17" t="s">
        <v>183</v>
      </c>
      <c r="W6246" s="4">
        <v>48</v>
      </c>
      <c r="Y6246" s="4">
        <v>48</v>
      </c>
      <c r="AB6246" s="17">
        <v>40</v>
      </c>
      <c r="AJ6246" s="19">
        <v>0</v>
      </c>
      <c r="AK6246" s="23">
        <v>40</v>
      </c>
      <c r="AM6246" s="19">
        <v>0</v>
      </c>
      <c r="AN6246" s="19">
        <v>112000</v>
      </c>
      <c r="AP6246" s="14">
        <v>112000</v>
      </c>
    </row>
    <row r="6247" spans="1:45" ht="42" x14ac:dyDescent="0.2">
      <c r="A6247" s="122">
        <f t="shared" si="651"/>
        <v>5147</v>
      </c>
      <c r="B6247" s="13">
        <v>1</v>
      </c>
      <c r="C6247" s="17" t="s">
        <v>52</v>
      </c>
      <c r="D6247" s="17">
        <v>4960</v>
      </c>
      <c r="E6247" s="17">
        <v>18</v>
      </c>
      <c r="F6247" s="17">
        <v>2574</v>
      </c>
      <c r="G6247" s="13">
        <v>7</v>
      </c>
      <c r="H6247" s="17">
        <v>0</v>
      </c>
      <c r="I6247" s="17">
        <v>0</v>
      </c>
      <c r="J6247" s="17">
        <v>40</v>
      </c>
      <c r="L6247" s="17" t="s">
        <v>595</v>
      </c>
      <c r="P6247" s="17">
        <v>2</v>
      </c>
      <c r="Q6247" s="19">
        <v>40</v>
      </c>
      <c r="R6247" s="14">
        <v>4500</v>
      </c>
      <c r="S6247" s="19">
        <v>180000</v>
      </c>
      <c r="T6247" s="17">
        <v>1</v>
      </c>
      <c r="V6247" s="17" t="s">
        <v>183</v>
      </c>
      <c r="W6247" s="4">
        <v>112.5</v>
      </c>
      <c r="Y6247" s="4">
        <v>112.5</v>
      </c>
      <c r="AB6247" s="17">
        <v>28</v>
      </c>
      <c r="AJ6247" s="19">
        <v>0</v>
      </c>
      <c r="AK6247" s="23">
        <v>28</v>
      </c>
      <c r="AM6247" s="19">
        <v>0</v>
      </c>
      <c r="AN6247" s="19">
        <v>180000</v>
      </c>
      <c r="AP6247" s="14">
        <v>180000</v>
      </c>
    </row>
    <row r="6248" spans="1:45" x14ac:dyDescent="0.2">
      <c r="A6248" s="122">
        <f t="shared" si="651"/>
        <v>5148</v>
      </c>
      <c r="B6248" s="13">
        <v>1</v>
      </c>
      <c r="C6248" s="17" t="s">
        <v>52</v>
      </c>
      <c r="D6248" s="17">
        <v>4870</v>
      </c>
      <c r="E6248" s="17">
        <v>19</v>
      </c>
      <c r="F6248" s="17">
        <v>2568</v>
      </c>
      <c r="G6248" s="13">
        <v>7</v>
      </c>
      <c r="H6248" s="17">
        <v>0</v>
      </c>
      <c r="I6248" s="17">
        <v>0</v>
      </c>
      <c r="J6248" s="17">
        <v>95</v>
      </c>
      <c r="L6248" s="17">
        <v>95</v>
      </c>
      <c r="P6248" s="17">
        <v>2</v>
      </c>
      <c r="Q6248" s="19">
        <v>95</v>
      </c>
      <c r="R6248" s="14">
        <v>160</v>
      </c>
      <c r="S6248" s="19">
        <v>15200</v>
      </c>
      <c r="AJ6248" s="19">
        <v>0</v>
      </c>
      <c r="AK6248" s="23">
        <v>0</v>
      </c>
      <c r="AM6248" s="19">
        <v>0</v>
      </c>
      <c r="AN6248" s="19">
        <v>15200</v>
      </c>
      <c r="AP6248" s="14">
        <v>15200</v>
      </c>
    </row>
    <row r="6249" spans="1:45" x14ac:dyDescent="0.2">
      <c r="A6249" s="122">
        <f t="shared" si="651"/>
        <v>5149</v>
      </c>
      <c r="B6249" s="13">
        <v>2</v>
      </c>
      <c r="C6249" s="17" t="s">
        <v>52</v>
      </c>
      <c r="D6249" s="17">
        <v>4870</v>
      </c>
      <c r="E6249" s="17">
        <v>19</v>
      </c>
      <c r="F6249" s="17">
        <v>2568</v>
      </c>
      <c r="G6249" s="13">
        <v>7</v>
      </c>
      <c r="H6249" s="17">
        <v>0</v>
      </c>
      <c r="I6249" s="17">
        <v>0</v>
      </c>
      <c r="J6249" s="17">
        <v>95</v>
      </c>
      <c r="L6249" s="17">
        <v>95</v>
      </c>
      <c r="P6249" s="17">
        <v>2</v>
      </c>
      <c r="Q6249" s="19">
        <v>95</v>
      </c>
      <c r="R6249" s="14">
        <v>160</v>
      </c>
      <c r="S6249" s="19">
        <v>15200</v>
      </c>
      <c r="AJ6249" s="19">
        <v>0</v>
      </c>
      <c r="AK6249" s="23">
        <v>0</v>
      </c>
      <c r="AM6249" s="19">
        <v>0</v>
      </c>
      <c r="AN6249" s="19">
        <v>15200</v>
      </c>
      <c r="AP6249" s="14">
        <v>15200</v>
      </c>
    </row>
    <row r="6250" spans="1:45" x14ac:dyDescent="0.2">
      <c r="A6250" s="122">
        <f t="shared" si="651"/>
        <v>5150</v>
      </c>
      <c r="B6250" s="13">
        <v>1</v>
      </c>
      <c r="C6250" s="17" t="s">
        <v>52</v>
      </c>
      <c r="D6250" s="17">
        <v>4878</v>
      </c>
      <c r="E6250" s="17">
        <v>23</v>
      </c>
      <c r="F6250" s="17">
        <v>2693</v>
      </c>
      <c r="G6250" s="13">
        <v>7</v>
      </c>
      <c r="H6250" s="17">
        <v>0</v>
      </c>
      <c r="I6250" s="17">
        <v>0</v>
      </c>
      <c r="J6250" s="17">
        <v>99</v>
      </c>
      <c r="L6250" s="17">
        <v>99</v>
      </c>
      <c r="P6250" s="17">
        <v>2</v>
      </c>
      <c r="Q6250" s="19">
        <v>99</v>
      </c>
      <c r="R6250" s="14">
        <v>160</v>
      </c>
      <c r="S6250" s="19">
        <v>15840</v>
      </c>
      <c r="AJ6250" s="19">
        <v>0</v>
      </c>
      <c r="AK6250" s="23">
        <v>0</v>
      </c>
      <c r="AM6250" s="19">
        <v>0</v>
      </c>
      <c r="AN6250" s="19">
        <v>15840</v>
      </c>
      <c r="AP6250" s="14">
        <v>15840</v>
      </c>
    </row>
    <row r="6251" spans="1:45" ht="42" x14ac:dyDescent="0.2">
      <c r="A6251" s="122">
        <f t="shared" si="651"/>
        <v>5151</v>
      </c>
      <c r="B6251" s="13">
        <v>1</v>
      </c>
      <c r="C6251" s="17" t="s">
        <v>52</v>
      </c>
      <c r="D6251" s="17">
        <v>4959</v>
      </c>
      <c r="E6251" s="17">
        <v>17</v>
      </c>
      <c r="F6251" s="17">
        <v>2573</v>
      </c>
      <c r="G6251" s="13">
        <v>7</v>
      </c>
      <c r="H6251" s="17">
        <v>0</v>
      </c>
      <c r="I6251" s="17">
        <v>0</v>
      </c>
      <c r="J6251" s="17">
        <v>47</v>
      </c>
      <c r="L6251" s="17" t="s">
        <v>587</v>
      </c>
      <c r="P6251" s="17">
        <v>2</v>
      </c>
      <c r="Q6251" s="19">
        <v>47</v>
      </c>
      <c r="R6251" s="14">
        <v>4500</v>
      </c>
      <c r="S6251" s="19">
        <v>211500</v>
      </c>
      <c r="T6251" s="17">
        <v>1</v>
      </c>
      <c r="V6251" s="17" t="s">
        <v>183</v>
      </c>
      <c r="W6251" s="4">
        <v>112.5</v>
      </c>
      <c r="Y6251" s="4">
        <v>112.5</v>
      </c>
      <c r="AB6251" s="17">
        <v>28</v>
      </c>
      <c r="AJ6251" s="19">
        <v>0</v>
      </c>
      <c r="AK6251" s="23">
        <v>28</v>
      </c>
      <c r="AM6251" s="19">
        <v>0</v>
      </c>
      <c r="AN6251" s="19">
        <v>211500</v>
      </c>
      <c r="AP6251" s="14">
        <v>211500</v>
      </c>
    </row>
    <row r="6252" spans="1:45" x14ac:dyDescent="0.2">
      <c r="A6252" s="122">
        <f t="shared" si="651"/>
        <v>5152</v>
      </c>
      <c r="B6252" s="13">
        <v>2</v>
      </c>
      <c r="C6252" s="17" t="s">
        <v>52</v>
      </c>
      <c r="D6252" s="17">
        <v>19787</v>
      </c>
      <c r="E6252" s="17">
        <v>27</v>
      </c>
      <c r="F6252" s="17">
        <v>4374</v>
      </c>
      <c r="G6252" s="13">
        <v>7</v>
      </c>
      <c r="H6252" s="17">
        <v>0</v>
      </c>
      <c r="I6252" s="17">
        <v>0</v>
      </c>
      <c r="J6252" s="17">
        <v>57</v>
      </c>
      <c r="K6252" s="10">
        <v>57</v>
      </c>
      <c r="P6252" s="17">
        <v>1</v>
      </c>
      <c r="Q6252" s="19">
        <v>57</v>
      </c>
      <c r="R6252" s="14">
        <v>160</v>
      </c>
      <c r="S6252" s="19">
        <v>9120</v>
      </c>
      <c r="AJ6252" s="19">
        <v>0</v>
      </c>
      <c r="AK6252" s="23">
        <v>0</v>
      </c>
      <c r="AM6252" s="19">
        <v>0</v>
      </c>
      <c r="AN6252" s="19">
        <v>9120</v>
      </c>
      <c r="AP6252" s="14">
        <v>9120</v>
      </c>
    </row>
    <row r="6253" spans="1:45" x14ac:dyDescent="0.2">
      <c r="A6253" s="122">
        <f t="shared" si="651"/>
        <v>5153</v>
      </c>
      <c r="B6253" s="13">
        <v>3</v>
      </c>
      <c r="C6253" s="17" t="s">
        <v>52</v>
      </c>
      <c r="D6253" s="17">
        <v>19787</v>
      </c>
      <c r="E6253" s="17">
        <v>27</v>
      </c>
      <c r="F6253" s="17">
        <v>4374</v>
      </c>
      <c r="G6253" s="13">
        <v>7</v>
      </c>
      <c r="H6253" s="17">
        <v>0</v>
      </c>
      <c r="I6253" s="17">
        <v>0</v>
      </c>
      <c r="J6253" s="17">
        <v>57</v>
      </c>
      <c r="K6253" s="10">
        <v>57</v>
      </c>
      <c r="P6253" s="17">
        <v>1</v>
      </c>
      <c r="Q6253" s="19">
        <v>57</v>
      </c>
      <c r="R6253" s="14">
        <v>160</v>
      </c>
      <c r="S6253" s="19">
        <v>9120</v>
      </c>
      <c r="AJ6253" s="19">
        <v>0</v>
      </c>
      <c r="AK6253" s="23">
        <v>0</v>
      </c>
      <c r="AM6253" s="19">
        <v>0</v>
      </c>
      <c r="AN6253" s="19">
        <v>9120</v>
      </c>
      <c r="AP6253" s="14">
        <v>9120</v>
      </c>
    </row>
    <row r="6254" spans="1:45" ht="42" x14ac:dyDescent="0.2">
      <c r="A6254" s="122">
        <f t="shared" si="651"/>
        <v>5154</v>
      </c>
      <c r="B6254" s="13">
        <v>1</v>
      </c>
      <c r="C6254" s="17" t="s">
        <v>52</v>
      </c>
      <c r="D6254" s="17">
        <v>4881</v>
      </c>
      <c r="E6254" s="17">
        <v>26</v>
      </c>
      <c r="F6254" s="17">
        <v>2696</v>
      </c>
      <c r="G6254" s="13">
        <v>7</v>
      </c>
      <c r="H6254" s="17">
        <v>1</v>
      </c>
      <c r="I6254" s="17">
        <v>2</v>
      </c>
      <c r="J6254" s="17">
        <v>63</v>
      </c>
      <c r="K6254" s="10">
        <v>634.88</v>
      </c>
      <c r="L6254" s="17">
        <v>28.12</v>
      </c>
      <c r="P6254" s="17">
        <v>5</v>
      </c>
      <c r="Q6254" s="19">
        <v>663</v>
      </c>
      <c r="R6254" s="14">
        <v>750</v>
      </c>
      <c r="S6254" s="19">
        <v>497250</v>
      </c>
      <c r="T6254" s="17">
        <v>1</v>
      </c>
      <c r="V6254" s="17" t="s">
        <v>183</v>
      </c>
      <c r="W6254" s="4">
        <v>52.5</v>
      </c>
      <c r="Y6254" s="4">
        <v>52.5</v>
      </c>
      <c r="AB6254" s="17">
        <v>18</v>
      </c>
      <c r="AJ6254" s="19">
        <v>0</v>
      </c>
      <c r="AK6254" s="23">
        <v>18</v>
      </c>
      <c r="AM6254" s="19">
        <v>0</v>
      </c>
      <c r="AN6254" s="19">
        <v>497250</v>
      </c>
      <c r="AP6254" s="14">
        <v>497250</v>
      </c>
      <c r="AS6254" s="26">
        <v>4</v>
      </c>
    </row>
    <row r="6255" spans="1:45" ht="42" x14ac:dyDescent="0.2">
      <c r="Q6255" s="19">
        <v>0</v>
      </c>
      <c r="R6255" s="14" t="e">
        <v>#N/A</v>
      </c>
      <c r="S6255" s="19" t="e">
        <v>#N/A</v>
      </c>
      <c r="T6255" s="17">
        <v>2</v>
      </c>
      <c r="V6255" s="17" t="s">
        <v>183</v>
      </c>
      <c r="W6255" s="4">
        <v>60</v>
      </c>
      <c r="Y6255" s="4">
        <v>60</v>
      </c>
      <c r="AB6255" s="17">
        <v>16</v>
      </c>
      <c r="AJ6255" s="19">
        <v>0</v>
      </c>
      <c r="AK6255" s="23">
        <v>16</v>
      </c>
      <c r="AM6255" s="19">
        <v>0</v>
      </c>
      <c r="AN6255" s="19" t="e">
        <v>#N/A</v>
      </c>
      <c r="AP6255" s="14" t="e">
        <v>#N/A</v>
      </c>
    </row>
    <row r="6256" spans="1:45" x14ac:dyDescent="0.2">
      <c r="A6256" s="2">
        <v>5155</v>
      </c>
      <c r="B6256" s="13">
        <v>1</v>
      </c>
      <c r="C6256" s="17" t="s">
        <v>52</v>
      </c>
      <c r="D6256" s="17">
        <v>19788</v>
      </c>
      <c r="E6256" s="17">
        <v>28</v>
      </c>
      <c r="F6256" s="17">
        <v>4375</v>
      </c>
      <c r="G6256" s="13">
        <v>7</v>
      </c>
      <c r="H6256" s="17">
        <v>0</v>
      </c>
      <c r="I6256" s="17">
        <v>0</v>
      </c>
      <c r="J6256" s="17">
        <v>50</v>
      </c>
      <c r="K6256" s="10">
        <v>50</v>
      </c>
      <c r="P6256" s="17">
        <v>1</v>
      </c>
      <c r="Q6256" s="19">
        <v>50</v>
      </c>
      <c r="R6256" s="14">
        <v>160</v>
      </c>
      <c r="S6256" s="19">
        <v>8000</v>
      </c>
      <c r="AJ6256" s="19">
        <v>0</v>
      </c>
      <c r="AK6256" s="23">
        <v>0</v>
      </c>
      <c r="AM6256" s="19">
        <v>0</v>
      </c>
      <c r="AN6256" s="19">
        <v>8000</v>
      </c>
      <c r="AP6256" s="14">
        <v>8000</v>
      </c>
    </row>
    <row r="6257" spans="1:45" s="19" customFormat="1" x14ac:dyDescent="0.2">
      <c r="A6257" s="2">
        <f>+A6256+1</f>
        <v>5156</v>
      </c>
      <c r="B6257" s="13">
        <v>2</v>
      </c>
      <c r="C6257" s="17" t="s">
        <v>52</v>
      </c>
      <c r="D6257" s="17">
        <v>19788</v>
      </c>
      <c r="E6257" s="17">
        <v>28</v>
      </c>
      <c r="F6257" s="17">
        <v>4375</v>
      </c>
      <c r="G6257" s="13">
        <v>7</v>
      </c>
      <c r="H6257" s="17">
        <v>0</v>
      </c>
      <c r="I6257" s="17">
        <v>0</v>
      </c>
      <c r="J6257" s="17">
        <v>50</v>
      </c>
      <c r="K6257" s="10">
        <v>50</v>
      </c>
      <c r="L6257" s="17"/>
      <c r="M6257" s="15"/>
      <c r="N6257" s="18"/>
      <c r="O6257" s="14"/>
      <c r="P6257" s="17">
        <v>1</v>
      </c>
      <c r="Q6257" s="19">
        <v>50</v>
      </c>
      <c r="R6257" s="14">
        <v>160</v>
      </c>
      <c r="S6257" s="19">
        <v>8000</v>
      </c>
      <c r="T6257" s="17"/>
      <c r="U6257" s="17"/>
      <c r="V6257" s="17"/>
      <c r="W6257" s="4"/>
      <c r="X6257" s="17"/>
      <c r="Y6257" s="4"/>
      <c r="Z6257" s="17"/>
      <c r="AA6257" s="17"/>
      <c r="AB6257" s="17"/>
      <c r="AC6257" s="14"/>
      <c r="AD6257" s="14"/>
      <c r="AE6257" s="17"/>
      <c r="AF6257" s="14"/>
      <c r="AG6257" s="54"/>
      <c r="AH6257" s="11"/>
      <c r="AI6257" s="14"/>
      <c r="AJ6257" s="19">
        <v>0</v>
      </c>
      <c r="AK6257" s="23">
        <v>0</v>
      </c>
      <c r="AL6257" s="11"/>
      <c r="AM6257" s="19">
        <v>0</v>
      </c>
      <c r="AN6257" s="19">
        <v>8000</v>
      </c>
      <c r="AO6257" s="14"/>
      <c r="AP6257" s="14">
        <v>8000</v>
      </c>
      <c r="AQ6257" s="12"/>
      <c r="AS6257" s="26"/>
    </row>
    <row r="6258" spans="1:45" s="19" customFormat="1" x14ac:dyDescent="0.2">
      <c r="A6258" s="122">
        <f t="shared" ref="A6258:A6259" si="652">+A6257+1</f>
        <v>5157</v>
      </c>
      <c r="B6258" s="13">
        <v>1</v>
      </c>
      <c r="C6258" s="17" t="s">
        <v>52</v>
      </c>
      <c r="D6258" s="17">
        <v>4860</v>
      </c>
      <c r="E6258" s="17">
        <v>8</v>
      </c>
      <c r="F6258" s="17">
        <v>2545</v>
      </c>
      <c r="G6258" s="13">
        <v>7</v>
      </c>
      <c r="H6258" s="17">
        <v>0</v>
      </c>
      <c r="I6258" s="17">
        <v>1</v>
      </c>
      <c r="J6258" s="17">
        <v>31</v>
      </c>
      <c r="K6258" s="10"/>
      <c r="L6258" s="17"/>
      <c r="M6258" s="15"/>
      <c r="N6258" s="18">
        <v>131</v>
      </c>
      <c r="O6258" s="14"/>
      <c r="P6258" s="17">
        <v>4</v>
      </c>
      <c r="Q6258" s="19">
        <v>131</v>
      </c>
      <c r="R6258" s="14">
        <v>160</v>
      </c>
      <c r="S6258" s="19">
        <v>20960</v>
      </c>
      <c r="T6258" s="17"/>
      <c r="U6258" s="17"/>
      <c r="V6258" s="17"/>
      <c r="W6258" s="4"/>
      <c r="X6258" s="17"/>
      <c r="Y6258" s="4"/>
      <c r="Z6258" s="17"/>
      <c r="AA6258" s="17"/>
      <c r="AB6258" s="17"/>
      <c r="AC6258" s="14"/>
      <c r="AD6258" s="14"/>
      <c r="AE6258" s="17"/>
      <c r="AF6258" s="14"/>
      <c r="AG6258" s="54"/>
      <c r="AH6258" s="11"/>
      <c r="AI6258" s="14"/>
      <c r="AJ6258" s="19">
        <v>0</v>
      </c>
      <c r="AK6258" s="23">
        <v>0</v>
      </c>
      <c r="AL6258" s="11"/>
      <c r="AM6258" s="19">
        <v>0</v>
      </c>
      <c r="AN6258" s="19">
        <v>20960</v>
      </c>
      <c r="AO6258" s="14"/>
      <c r="AP6258" s="14">
        <v>20960</v>
      </c>
      <c r="AQ6258" s="12">
        <v>3.0000000000000001E-3</v>
      </c>
      <c r="AS6258" s="26"/>
    </row>
    <row r="6259" spans="1:45" s="19" customFormat="1" ht="42" x14ac:dyDescent="0.2">
      <c r="A6259" s="122">
        <f t="shared" si="652"/>
        <v>5158</v>
      </c>
      <c r="B6259" s="13">
        <v>1</v>
      </c>
      <c r="C6259" s="17" t="s">
        <v>52</v>
      </c>
      <c r="D6259" s="17">
        <v>4944</v>
      </c>
      <c r="E6259" s="17">
        <v>2</v>
      </c>
      <c r="F6259" s="17">
        <v>2548</v>
      </c>
      <c r="G6259" s="13">
        <v>7</v>
      </c>
      <c r="H6259" s="17">
        <v>0</v>
      </c>
      <c r="I6259" s="17">
        <v>0</v>
      </c>
      <c r="J6259" s="17">
        <v>94</v>
      </c>
      <c r="K6259" s="10"/>
      <c r="L6259" s="17" t="s">
        <v>644</v>
      </c>
      <c r="M6259" s="15"/>
      <c r="N6259" s="18"/>
      <c r="O6259" s="14"/>
      <c r="P6259" s="17">
        <v>2</v>
      </c>
      <c r="Q6259" s="19">
        <v>94</v>
      </c>
      <c r="R6259" s="14">
        <v>4500</v>
      </c>
      <c r="S6259" s="19">
        <v>423000</v>
      </c>
      <c r="T6259" s="17">
        <v>1</v>
      </c>
      <c r="U6259" s="17"/>
      <c r="V6259" s="17" t="s">
        <v>183</v>
      </c>
      <c r="W6259" s="4">
        <v>71.5</v>
      </c>
      <c r="X6259" s="17"/>
      <c r="Y6259" s="4">
        <v>71.5</v>
      </c>
      <c r="Z6259" s="17"/>
      <c r="AA6259" s="17"/>
      <c r="AB6259" s="17">
        <v>30</v>
      </c>
      <c r="AC6259" s="14"/>
      <c r="AD6259" s="14"/>
      <c r="AE6259" s="17"/>
      <c r="AF6259" s="14"/>
      <c r="AG6259" s="54"/>
      <c r="AH6259" s="11"/>
      <c r="AI6259" s="14"/>
      <c r="AJ6259" s="19">
        <v>0</v>
      </c>
      <c r="AK6259" s="23">
        <v>30</v>
      </c>
      <c r="AL6259" s="11"/>
      <c r="AM6259" s="19">
        <v>0</v>
      </c>
      <c r="AN6259" s="19">
        <v>423000</v>
      </c>
      <c r="AO6259" s="14"/>
      <c r="AP6259" s="14">
        <v>423000</v>
      </c>
      <c r="AQ6259" s="12"/>
      <c r="AS6259" s="26"/>
    </row>
    <row r="6260" spans="1:45" s="19" customFormat="1" ht="42" x14ac:dyDescent="0.2">
      <c r="A6260" s="2"/>
      <c r="B6260" s="13"/>
      <c r="C6260" s="17"/>
      <c r="D6260" s="17"/>
      <c r="E6260" s="17"/>
      <c r="F6260" s="17"/>
      <c r="G6260" s="13"/>
      <c r="H6260" s="17"/>
      <c r="I6260" s="17"/>
      <c r="J6260" s="17"/>
      <c r="K6260" s="10"/>
      <c r="L6260" s="17"/>
      <c r="M6260" s="15"/>
      <c r="N6260" s="18"/>
      <c r="O6260" s="14"/>
      <c r="P6260" s="17"/>
      <c r="Q6260" s="19">
        <v>0</v>
      </c>
      <c r="R6260" s="14" t="e">
        <v>#N/A</v>
      </c>
      <c r="S6260" s="19" t="e">
        <v>#N/A</v>
      </c>
      <c r="T6260" s="17">
        <v>2</v>
      </c>
      <c r="U6260" s="17"/>
      <c r="V6260" s="17" t="s">
        <v>183</v>
      </c>
      <c r="W6260" s="4">
        <v>78</v>
      </c>
      <c r="X6260" s="17"/>
      <c r="Y6260" s="4">
        <v>78</v>
      </c>
      <c r="Z6260" s="17"/>
      <c r="AA6260" s="17"/>
      <c r="AB6260" s="17">
        <v>32</v>
      </c>
      <c r="AC6260" s="14"/>
      <c r="AD6260" s="14"/>
      <c r="AE6260" s="17"/>
      <c r="AF6260" s="14"/>
      <c r="AG6260" s="54"/>
      <c r="AH6260" s="11"/>
      <c r="AI6260" s="14"/>
      <c r="AJ6260" s="19">
        <v>0</v>
      </c>
      <c r="AK6260" s="23">
        <v>32</v>
      </c>
      <c r="AL6260" s="11"/>
      <c r="AM6260" s="19">
        <v>0</v>
      </c>
      <c r="AN6260" s="19" t="e">
        <v>#N/A</v>
      </c>
      <c r="AO6260" s="14"/>
      <c r="AP6260" s="14" t="e">
        <v>#N/A</v>
      </c>
      <c r="AQ6260" s="12"/>
      <c r="AS6260" s="26"/>
    </row>
    <row r="6261" spans="1:45" s="19" customFormat="1" ht="42" x14ac:dyDescent="0.2">
      <c r="A6261" s="2"/>
      <c r="B6261" s="13"/>
      <c r="C6261" s="17"/>
      <c r="D6261" s="17"/>
      <c r="E6261" s="17"/>
      <c r="F6261" s="17"/>
      <c r="G6261" s="13"/>
      <c r="H6261" s="17"/>
      <c r="I6261" s="17"/>
      <c r="J6261" s="17"/>
      <c r="K6261" s="10"/>
      <c r="L6261" s="17"/>
      <c r="M6261" s="15"/>
      <c r="N6261" s="18"/>
      <c r="O6261" s="14"/>
      <c r="P6261" s="17"/>
      <c r="Q6261" s="19">
        <v>0</v>
      </c>
      <c r="R6261" s="14" t="e">
        <v>#N/A</v>
      </c>
      <c r="S6261" s="19" t="e">
        <v>#N/A</v>
      </c>
      <c r="T6261" s="17">
        <v>3</v>
      </c>
      <c r="U6261" s="17"/>
      <c r="V6261" s="17" t="s">
        <v>183</v>
      </c>
      <c r="W6261" s="4">
        <v>60</v>
      </c>
      <c r="X6261" s="17"/>
      <c r="Y6261" s="4">
        <v>60</v>
      </c>
      <c r="Z6261" s="17"/>
      <c r="AA6261" s="17"/>
      <c r="AB6261" s="17">
        <v>28</v>
      </c>
      <c r="AC6261" s="14"/>
      <c r="AD6261" s="14"/>
      <c r="AE6261" s="17"/>
      <c r="AF6261" s="14"/>
      <c r="AG6261" s="54"/>
      <c r="AH6261" s="11"/>
      <c r="AI6261" s="14"/>
      <c r="AJ6261" s="19">
        <v>0</v>
      </c>
      <c r="AK6261" s="23">
        <v>28</v>
      </c>
      <c r="AL6261" s="11"/>
      <c r="AM6261" s="19">
        <v>0</v>
      </c>
      <c r="AN6261" s="19" t="e">
        <v>#N/A</v>
      </c>
      <c r="AO6261" s="14"/>
      <c r="AP6261" s="14" t="e">
        <v>#N/A</v>
      </c>
      <c r="AQ6261" s="12"/>
      <c r="AS6261" s="26"/>
    </row>
    <row r="6262" spans="1:45" s="19" customFormat="1" ht="42" x14ac:dyDescent="0.2">
      <c r="A6262" s="2">
        <v>5159</v>
      </c>
      <c r="B6262" s="13">
        <v>1</v>
      </c>
      <c r="C6262" s="17" t="s">
        <v>52</v>
      </c>
      <c r="D6262" s="17">
        <v>5007</v>
      </c>
      <c r="E6262" s="17">
        <v>6</v>
      </c>
      <c r="F6262" s="17">
        <v>2691</v>
      </c>
      <c r="G6262" s="13">
        <v>7</v>
      </c>
      <c r="H6262" s="17">
        <v>0</v>
      </c>
      <c r="I6262" s="17">
        <v>1</v>
      </c>
      <c r="J6262" s="17">
        <v>15</v>
      </c>
      <c r="K6262" s="10">
        <v>96.25</v>
      </c>
      <c r="L6262" s="17">
        <v>18.75</v>
      </c>
      <c r="M6262" s="15"/>
      <c r="N6262" s="18"/>
      <c r="O6262" s="14"/>
      <c r="P6262" s="17">
        <v>5</v>
      </c>
      <c r="Q6262" s="19">
        <v>115</v>
      </c>
      <c r="R6262" s="14">
        <v>4500</v>
      </c>
      <c r="S6262" s="19">
        <v>517500</v>
      </c>
      <c r="T6262" s="17">
        <v>1</v>
      </c>
      <c r="U6262" s="17"/>
      <c r="V6262" s="17" t="s">
        <v>183</v>
      </c>
      <c r="W6262" s="4">
        <v>75</v>
      </c>
      <c r="X6262" s="17"/>
      <c r="Y6262" s="4">
        <v>75</v>
      </c>
      <c r="Z6262" s="17"/>
      <c r="AA6262" s="17"/>
      <c r="AB6262" s="17">
        <v>40</v>
      </c>
      <c r="AC6262" s="14"/>
      <c r="AD6262" s="14"/>
      <c r="AE6262" s="17"/>
      <c r="AF6262" s="14"/>
      <c r="AG6262" s="54"/>
      <c r="AH6262" s="11"/>
      <c r="AI6262" s="14"/>
      <c r="AJ6262" s="19">
        <v>0</v>
      </c>
      <c r="AK6262" s="23">
        <v>40</v>
      </c>
      <c r="AL6262" s="11"/>
      <c r="AM6262" s="19">
        <v>0</v>
      </c>
      <c r="AN6262" s="19">
        <v>517500</v>
      </c>
      <c r="AO6262" s="14"/>
      <c r="AP6262" s="14">
        <v>517500</v>
      </c>
      <c r="AQ6262" s="12"/>
      <c r="AS6262" s="26"/>
    </row>
    <row r="6263" spans="1:45" s="19" customFormat="1" x14ac:dyDescent="0.2">
      <c r="A6263" s="2">
        <f>+A6262+1</f>
        <v>5160</v>
      </c>
      <c r="B6263" s="13">
        <v>2</v>
      </c>
      <c r="C6263" s="17" t="s">
        <v>69</v>
      </c>
      <c r="D6263" s="17"/>
      <c r="E6263" s="17">
        <v>1500</v>
      </c>
      <c r="F6263" s="17">
        <v>4</v>
      </c>
      <c r="G6263" s="13">
        <v>6</v>
      </c>
      <c r="H6263" s="17">
        <v>12</v>
      </c>
      <c r="I6263" s="17">
        <v>3</v>
      </c>
      <c r="J6263" s="17">
        <v>19</v>
      </c>
      <c r="K6263" s="10">
        <v>5119</v>
      </c>
      <c r="L6263" s="17"/>
      <c r="M6263" s="15"/>
      <c r="N6263" s="18"/>
      <c r="O6263" s="14"/>
      <c r="P6263" s="17">
        <v>1</v>
      </c>
      <c r="Q6263" s="19">
        <v>5119</v>
      </c>
      <c r="R6263" s="14">
        <v>160</v>
      </c>
      <c r="S6263" s="19">
        <v>819040</v>
      </c>
      <c r="T6263" s="17"/>
      <c r="U6263" s="17"/>
      <c r="V6263" s="17"/>
      <c r="W6263" s="4"/>
      <c r="X6263" s="17"/>
      <c r="Y6263" s="4"/>
      <c r="Z6263" s="17"/>
      <c r="AA6263" s="17"/>
      <c r="AB6263" s="17"/>
      <c r="AC6263" s="14"/>
      <c r="AD6263" s="14"/>
      <c r="AE6263" s="17"/>
      <c r="AF6263" s="14"/>
      <c r="AG6263" s="54"/>
      <c r="AH6263" s="11"/>
      <c r="AI6263" s="14"/>
      <c r="AJ6263" s="19">
        <v>0</v>
      </c>
      <c r="AK6263" s="23">
        <v>0</v>
      </c>
      <c r="AL6263" s="11"/>
      <c r="AM6263" s="19">
        <v>0</v>
      </c>
      <c r="AN6263" s="19">
        <v>819040</v>
      </c>
      <c r="AO6263" s="14"/>
      <c r="AP6263" s="14">
        <v>819040</v>
      </c>
      <c r="AQ6263" s="12">
        <v>1E-4</v>
      </c>
      <c r="AS6263" s="26"/>
    </row>
    <row r="6264" spans="1:45" s="19" customFormat="1" x14ac:dyDescent="0.2">
      <c r="A6264" s="122">
        <f t="shared" ref="A6264:A6270" si="653">+A6263+1</f>
        <v>5161</v>
      </c>
      <c r="B6264" s="13">
        <v>3</v>
      </c>
      <c r="C6264" s="17" t="s">
        <v>69</v>
      </c>
      <c r="D6264" s="17"/>
      <c r="E6264" s="17">
        <v>1500</v>
      </c>
      <c r="F6264" s="17">
        <v>5</v>
      </c>
      <c r="G6264" s="13">
        <v>6</v>
      </c>
      <c r="H6264" s="17">
        <v>17</v>
      </c>
      <c r="I6264" s="17">
        <v>3</v>
      </c>
      <c r="J6264" s="17">
        <v>2</v>
      </c>
      <c r="K6264" s="10">
        <v>7102</v>
      </c>
      <c r="L6264" s="17"/>
      <c r="M6264" s="15"/>
      <c r="N6264" s="18"/>
      <c r="O6264" s="14"/>
      <c r="P6264" s="17">
        <v>1</v>
      </c>
      <c r="Q6264" s="19">
        <v>7102</v>
      </c>
      <c r="R6264" s="14">
        <v>160</v>
      </c>
      <c r="S6264" s="19">
        <v>1136320</v>
      </c>
      <c r="T6264" s="17"/>
      <c r="U6264" s="17"/>
      <c r="V6264" s="17"/>
      <c r="W6264" s="4"/>
      <c r="X6264" s="17"/>
      <c r="Y6264" s="4"/>
      <c r="Z6264" s="17"/>
      <c r="AA6264" s="17"/>
      <c r="AB6264" s="17"/>
      <c r="AC6264" s="14"/>
      <c r="AD6264" s="14"/>
      <c r="AE6264" s="17"/>
      <c r="AF6264" s="14"/>
      <c r="AG6264" s="54"/>
      <c r="AH6264" s="11"/>
      <c r="AI6264" s="14"/>
      <c r="AJ6264" s="19">
        <v>0</v>
      </c>
      <c r="AK6264" s="23">
        <v>0</v>
      </c>
      <c r="AL6264" s="11"/>
      <c r="AM6264" s="19">
        <v>0</v>
      </c>
      <c r="AN6264" s="19">
        <v>1136320</v>
      </c>
      <c r="AO6264" s="14"/>
      <c r="AP6264" s="14">
        <v>1136320</v>
      </c>
      <c r="AQ6264" s="12">
        <v>1E-4</v>
      </c>
      <c r="AS6264" s="26"/>
    </row>
    <row r="6265" spans="1:45" s="19" customFormat="1" x14ac:dyDescent="0.2">
      <c r="A6265" s="122">
        <f t="shared" si="653"/>
        <v>5162</v>
      </c>
      <c r="B6265" s="13">
        <v>1</v>
      </c>
      <c r="C6265" s="17" t="s">
        <v>69</v>
      </c>
      <c r="D6265" s="17"/>
      <c r="E6265" s="17">
        <v>1500</v>
      </c>
      <c r="F6265" s="17">
        <v>3</v>
      </c>
      <c r="G6265" s="13">
        <v>6</v>
      </c>
      <c r="H6265" s="17">
        <v>8</v>
      </c>
      <c r="I6265" s="17">
        <v>2</v>
      </c>
      <c r="J6265" s="17">
        <v>40</v>
      </c>
      <c r="K6265" s="10">
        <v>3440</v>
      </c>
      <c r="L6265" s="17"/>
      <c r="M6265" s="15"/>
      <c r="N6265" s="18"/>
      <c r="O6265" s="14"/>
      <c r="P6265" s="17">
        <v>1</v>
      </c>
      <c r="Q6265" s="19">
        <v>3440</v>
      </c>
      <c r="R6265" s="14">
        <v>200</v>
      </c>
      <c r="S6265" s="19">
        <v>688000</v>
      </c>
      <c r="T6265" s="17"/>
      <c r="U6265" s="17"/>
      <c r="V6265" s="17"/>
      <c r="W6265" s="4"/>
      <c r="X6265" s="17"/>
      <c r="Y6265" s="4"/>
      <c r="Z6265" s="17"/>
      <c r="AA6265" s="17"/>
      <c r="AB6265" s="17"/>
      <c r="AC6265" s="14"/>
      <c r="AD6265" s="14"/>
      <c r="AE6265" s="17"/>
      <c r="AF6265" s="14"/>
      <c r="AG6265" s="54"/>
      <c r="AH6265" s="11"/>
      <c r="AI6265" s="14"/>
      <c r="AJ6265" s="19">
        <v>0</v>
      </c>
      <c r="AK6265" s="23">
        <v>0</v>
      </c>
      <c r="AL6265" s="11"/>
      <c r="AM6265" s="19">
        <v>0</v>
      </c>
      <c r="AN6265" s="19">
        <v>688000</v>
      </c>
      <c r="AO6265" s="14"/>
      <c r="AP6265" s="14">
        <v>688000</v>
      </c>
      <c r="AQ6265" s="12">
        <v>1E-4</v>
      </c>
      <c r="AS6265" s="26"/>
    </row>
    <row r="6266" spans="1:45" s="19" customFormat="1" x14ac:dyDescent="0.2">
      <c r="A6266" s="122">
        <f t="shared" si="653"/>
        <v>5163</v>
      </c>
      <c r="B6266" s="13">
        <v>1</v>
      </c>
      <c r="C6266" s="17" t="s">
        <v>69</v>
      </c>
      <c r="D6266" s="17"/>
      <c r="E6266" s="17">
        <v>1495</v>
      </c>
      <c r="F6266" s="17">
        <v>2</v>
      </c>
      <c r="G6266" s="13">
        <v>6</v>
      </c>
      <c r="H6266" s="17">
        <v>12</v>
      </c>
      <c r="I6266" s="17">
        <v>3</v>
      </c>
      <c r="J6266" s="17">
        <v>79</v>
      </c>
      <c r="K6266" s="10">
        <v>5179</v>
      </c>
      <c r="L6266" s="17"/>
      <c r="M6266" s="15"/>
      <c r="N6266" s="18"/>
      <c r="O6266" s="14"/>
      <c r="P6266" s="17">
        <v>1</v>
      </c>
      <c r="Q6266" s="19">
        <v>5179</v>
      </c>
      <c r="R6266" s="14">
        <v>200</v>
      </c>
      <c r="S6266" s="19">
        <v>1035800</v>
      </c>
      <c r="T6266" s="17"/>
      <c r="U6266" s="17"/>
      <c r="V6266" s="17"/>
      <c r="W6266" s="4"/>
      <c r="X6266" s="17"/>
      <c r="Y6266" s="4"/>
      <c r="Z6266" s="17"/>
      <c r="AA6266" s="17"/>
      <c r="AB6266" s="17"/>
      <c r="AC6266" s="14"/>
      <c r="AD6266" s="14"/>
      <c r="AE6266" s="17"/>
      <c r="AF6266" s="14"/>
      <c r="AG6266" s="54"/>
      <c r="AH6266" s="11"/>
      <c r="AI6266" s="14"/>
      <c r="AJ6266" s="19">
        <v>0</v>
      </c>
      <c r="AK6266" s="23">
        <v>0</v>
      </c>
      <c r="AL6266" s="11"/>
      <c r="AM6266" s="19">
        <v>0</v>
      </c>
      <c r="AN6266" s="19">
        <v>1035800</v>
      </c>
      <c r="AO6266" s="14"/>
      <c r="AP6266" s="14">
        <v>1035800</v>
      </c>
      <c r="AQ6266" s="12">
        <v>1E-4</v>
      </c>
      <c r="AS6266" s="26"/>
    </row>
    <row r="6267" spans="1:45" s="19" customFormat="1" ht="42" x14ac:dyDescent="0.2">
      <c r="A6267" s="122">
        <f t="shared" si="653"/>
        <v>5164</v>
      </c>
      <c r="B6267" s="13">
        <v>1</v>
      </c>
      <c r="C6267" s="17" t="s">
        <v>52</v>
      </c>
      <c r="D6267" s="17">
        <v>4970</v>
      </c>
      <c r="E6267" s="17">
        <v>29</v>
      </c>
      <c r="F6267" s="17">
        <v>2586</v>
      </c>
      <c r="G6267" s="13">
        <v>7</v>
      </c>
      <c r="H6267" s="17">
        <v>0</v>
      </c>
      <c r="I6267" s="17">
        <v>1</v>
      </c>
      <c r="J6267" s="17">
        <v>32</v>
      </c>
      <c r="K6267" s="10">
        <v>103.25</v>
      </c>
      <c r="L6267" s="17">
        <v>28.75</v>
      </c>
      <c r="M6267" s="15"/>
      <c r="N6267" s="18"/>
      <c r="O6267" s="14"/>
      <c r="P6267" s="17">
        <v>5</v>
      </c>
      <c r="Q6267" s="19">
        <v>132</v>
      </c>
      <c r="R6267" s="14">
        <v>3350</v>
      </c>
      <c r="S6267" s="19">
        <v>442200</v>
      </c>
      <c r="T6267" s="17">
        <v>1</v>
      </c>
      <c r="U6267" s="17"/>
      <c r="V6267" s="17" t="s">
        <v>183</v>
      </c>
      <c r="W6267" s="4">
        <v>115</v>
      </c>
      <c r="X6267" s="17"/>
      <c r="Y6267" s="4">
        <v>115</v>
      </c>
      <c r="Z6267" s="17"/>
      <c r="AA6267" s="17"/>
      <c r="AB6267" s="17">
        <v>40</v>
      </c>
      <c r="AC6267" s="14"/>
      <c r="AD6267" s="14"/>
      <c r="AE6267" s="17"/>
      <c r="AF6267" s="14"/>
      <c r="AG6267" s="54"/>
      <c r="AH6267" s="11"/>
      <c r="AI6267" s="14"/>
      <c r="AJ6267" s="19">
        <v>0</v>
      </c>
      <c r="AK6267" s="23">
        <v>40</v>
      </c>
      <c r="AL6267" s="11"/>
      <c r="AM6267" s="19">
        <v>0</v>
      </c>
      <c r="AN6267" s="19">
        <v>442200</v>
      </c>
      <c r="AO6267" s="14"/>
      <c r="AP6267" s="14">
        <v>442200</v>
      </c>
      <c r="AQ6267" s="12"/>
      <c r="AS6267" s="26"/>
    </row>
    <row r="6268" spans="1:45" s="19" customFormat="1" ht="42" x14ac:dyDescent="0.2">
      <c r="A6268" s="122">
        <f t="shared" si="653"/>
        <v>5165</v>
      </c>
      <c r="B6268" s="13">
        <v>1</v>
      </c>
      <c r="C6268" s="17" t="s">
        <v>52</v>
      </c>
      <c r="D6268" s="17">
        <v>12506</v>
      </c>
      <c r="E6268" s="17">
        <v>59</v>
      </c>
      <c r="F6268" s="17">
        <v>3243</v>
      </c>
      <c r="G6268" s="13">
        <v>7</v>
      </c>
      <c r="H6268" s="17">
        <v>0</v>
      </c>
      <c r="I6268" s="17">
        <v>0</v>
      </c>
      <c r="J6268" s="17">
        <v>84</v>
      </c>
      <c r="K6268" s="10">
        <v>66</v>
      </c>
      <c r="L6268" s="17">
        <v>18</v>
      </c>
      <c r="M6268" s="15"/>
      <c r="N6268" s="18"/>
      <c r="O6268" s="14"/>
      <c r="P6268" s="17">
        <v>5</v>
      </c>
      <c r="Q6268" s="19">
        <v>84</v>
      </c>
      <c r="R6268" s="14">
        <v>160</v>
      </c>
      <c r="S6268" s="19">
        <v>13440</v>
      </c>
      <c r="T6268" s="17">
        <v>1</v>
      </c>
      <c r="U6268" s="17"/>
      <c r="V6268" s="17" t="s">
        <v>183</v>
      </c>
      <c r="W6268" s="4">
        <v>72</v>
      </c>
      <c r="X6268" s="17"/>
      <c r="Y6268" s="4">
        <v>72</v>
      </c>
      <c r="Z6268" s="17"/>
      <c r="AA6268" s="17"/>
      <c r="AB6268" s="17">
        <v>25</v>
      </c>
      <c r="AC6268" s="14"/>
      <c r="AD6268" s="14"/>
      <c r="AE6268" s="17"/>
      <c r="AF6268" s="14"/>
      <c r="AG6268" s="54"/>
      <c r="AH6268" s="11"/>
      <c r="AI6268" s="14"/>
      <c r="AJ6268" s="19">
        <v>0</v>
      </c>
      <c r="AK6268" s="23">
        <v>25</v>
      </c>
      <c r="AL6268" s="11"/>
      <c r="AM6268" s="19">
        <v>0</v>
      </c>
      <c r="AN6268" s="19">
        <v>13440</v>
      </c>
      <c r="AO6268" s="14"/>
      <c r="AP6268" s="14">
        <v>13440</v>
      </c>
      <c r="AQ6268" s="12"/>
      <c r="AS6268" s="26"/>
    </row>
    <row r="6269" spans="1:45" s="19" customFormat="1" x14ac:dyDescent="0.2">
      <c r="A6269" s="122">
        <f t="shared" si="653"/>
        <v>5166</v>
      </c>
      <c r="B6269" s="13">
        <v>1</v>
      </c>
      <c r="C6269" s="17" t="s">
        <v>52</v>
      </c>
      <c r="D6269" s="17">
        <v>21100</v>
      </c>
      <c r="E6269" s="17">
        <v>82</v>
      </c>
      <c r="F6269" s="17">
        <v>4658</v>
      </c>
      <c r="G6269" s="13">
        <v>7</v>
      </c>
      <c r="H6269" s="17">
        <v>0</v>
      </c>
      <c r="I6269" s="17">
        <v>0</v>
      </c>
      <c r="J6269" s="17">
        <v>81</v>
      </c>
      <c r="K6269" s="10"/>
      <c r="L6269" s="17"/>
      <c r="M6269" s="15"/>
      <c r="N6269" s="18">
        <v>81</v>
      </c>
      <c r="O6269" s="14"/>
      <c r="P6269" s="17">
        <v>4</v>
      </c>
      <c r="Q6269" s="19">
        <v>81</v>
      </c>
      <c r="R6269" s="14">
        <v>160</v>
      </c>
      <c r="S6269" s="19">
        <v>12960</v>
      </c>
      <c r="T6269" s="17"/>
      <c r="U6269" s="17"/>
      <c r="V6269" s="17"/>
      <c r="W6269" s="4"/>
      <c r="X6269" s="17"/>
      <c r="Y6269" s="4"/>
      <c r="Z6269" s="17"/>
      <c r="AA6269" s="17"/>
      <c r="AB6269" s="17"/>
      <c r="AC6269" s="14"/>
      <c r="AD6269" s="14"/>
      <c r="AE6269" s="17"/>
      <c r="AF6269" s="14"/>
      <c r="AG6269" s="54"/>
      <c r="AH6269" s="11"/>
      <c r="AI6269" s="14"/>
      <c r="AJ6269" s="19">
        <v>0</v>
      </c>
      <c r="AK6269" s="23">
        <v>0</v>
      </c>
      <c r="AL6269" s="11"/>
      <c r="AM6269" s="19">
        <v>0</v>
      </c>
      <c r="AN6269" s="19">
        <v>12960</v>
      </c>
      <c r="AO6269" s="14"/>
      <c r="AP6269" s="14">
        <v>12960</v>
      </c>
      <c r="AQ6269" s="12">
        <v>3.0000000000000001E-3</v>
      </c>
      <c r="AS6269" s="26"/>
    </row>
    <row r="6270" spans="1:45" s="19" customFormat="1" ht="42" x14ac:dyDescent="0.2">
      <c r="A6270" s="122">
        <f t="shared" si="653"/>
        <v>5167</v>
      </c>
      <c r="B6270" s="13">
        <v>1</v>
      </c>
      <c r="C6270" s="17" t="s">
        <v>52</v>
      </c>
      <c r="D6270" s="17">
        <v>4972</v>
      </c>
      <c r="E6270" s="17">
        <v>58</v>
      </c>
      <c r="F6270" s="17">
        <v>2588</v>
      </c>
      <c r="G6270" s="13">
        <v>7</v>
      </c>
      <c r="H6270" s="17">
        <v>0</v>
      </c>
      <c r="I6270" s="17">
        <v>3</v>
      </c>
      <c r="J6270" s="17">
        <v>80</v>
      </c>
      <c r="K6270" s="10">
        <v>345</v>
      </c>
      <c r="L6270" s="17">
        <v>35</v>
      </c>
      <c r="M6270" s="15"/>
      <c r="N6270" s="18"/>
      <c r="O6270" s="14"/>
      <c r="P6270" s="17">
        <v>5</v>
      </c>
      <c r="Q6270" s="19">
        <v>380</v>
      </c>
      <c r="R6270" s="14">
        <v>1100</v>
      </c>
      <c r="S6270" s="19">
        <v>418000</v>
      </c>
      <c r="T6270" s="17">
        <v>1</v>
      </c>
      <c r="U6270" s="17"/>
      <c r="V6270" s="17" t="s">
        <v>183</v>
      </c>
      <c r="W6270" s="4">
        <v>70</v>
      </c>
      <c r="X6270" s="17"/>
      <c r="Y6270" s="4">
        <v>70</v>
      </c>
      <c r="Z6270" s="17"/>
      <c r="AA6270" s="17"/>
      <c r="AB6270" s="17">
        <v>20</v>
      </c>
      <c r="AC6270" s="14"/>
      <c r="AD6270" s="14"/>
      <c r="AE6270" s="17"/>
      <c r="AF6270" s="14"/>
      <c r="AG6270" s="54"/>
      <c r="AH6270" s="11"/>
      <c r="AI6270" s="14"/>
      <c r="AJ6270" s="19">
        <v>0</v>
      </c>
      <c r="AK6270" s="23">
        <v>20</v>
      </c>
      <c r="AL6270" s="11"/>
      <c r="AM6270" s="19">
        <v>0</v>
      </c>
      <c r="AN6270" s="19">
        <v>418000</v>
      </c>
      <c r="AO6270" s="14"/>
      <c r="AP6270" s="14">
        <v>418000</v>
      </c>
      <c r="AQ6270" s="12"/>
      <c r="AS6270" s="26"/>
    </row>
    <row r="6271" spans="1:45" s="19" customFormat="1" ht="42" x14ac:dyDescent="0.2">
      <c r="A6271" s="2"/>
      <c r="B6271" s="13"/>
      <c r="C6271" s="17"/>
      <c r="D6271" s="17"/>
      <c r="E6271" s="17"/>
      <c r="F6271" s="17"/>
      <c r="G6271" s="13"/>
      <c r="H6271" s="17"/>
      <c r="I6271" s="17"/>
      <c r="J6271" s="17"/>
      <c r="K6271" s="10"/>
      <c r="L6271" s="17"/>
      <c r="M6271" s="15"/>
      <c r="N6271" s="18"/>
      <c r="O6271" s="14"/>
      <c r="P6271" s="17"/>
      <c r="Q6271" s="19">
        <v>0</v>
      </c>
      <c r="R6271" s="14" t="e">
        <v>#N/A</v>
      </c>
      <c r="S6271" s="19" t="e">
        <v>#N/A</v>
      </c>
      <c r="T6271" s="17">
        <v>2</v>
      </c>
      <c r="U6271" s="17"/>
      <c r="V6271" s="17" t="s">
        <v>183</v>
      </c>
      <c r="W6271" s="4">
        <v>70</v>
      </c>
      <c r="X6271" s="17"/>
      <c r="Y6271" s="4">
        <v>70</v>
      </c>
      <c r="Z6271" s="17"/>
      <c r="AA6271" s="17"/>
      <c r="AB6271" s="17">
        <v>20</v>
      </c>
      <c r="AC6271" s="14"/>
      <c r="AD6271" s="14"/>
      <c r="AE6271" s="17"/>
      <c r="AF6271" s="14"/>
      <c r="AG6271" s="54"/>
      <c r="AH6271" s="11"/>
      <c r="AI6271" s="14"/>
      <c r="AJ6271" s="19">
        <v>0</v>
      </c>
      <c r="AK6271" s="23">
        <v>20</v>
      </c>
      <c r="AL6271" s="11"/>
      <c r="AM6271" s="19">
        <v>0</v>
      </c>
      <c r="AN6271" s="19" t="e">
        <v>#N/A</v>
      </c>
      <c r="AO6271" s="14"/>
      <c r="AP6271" s="14" t="e">
        <v>#N/A</v>
      </c>
      <c r="AQ6271" s="12"/>
      <c r="AS6271" s="26"/>
    </row>
    <row r="6272" spans="1:45" s="19" customFormat="1" x14ac:dyDescent="0.2">
      <c r="A6272" s="2">
        <v>5168</v>
      </c>
      <c r="B6272" s="13">
        <v>2</v>
      </c>
      <c r="C6272" s="17" t="s">
        <v>52</v>
      </c>
      <c r="D6272" s="17">
        <v>4973</v>
      </c>
      <c r="E6272" s="17">
        <v>31</v>
      </c>
      <c r="F6272" s="17">
        <v>2589</v>
      </c>
      <c r="G6272" s="13">
        <v>7</v>
      </c>
      <c r="H6272" s="17">
        <v>0</v>
      </c>
      <c r="I6272" s="17">
        <v>3</v>
      </c>
      <c r="J6272" s="17">
        <v>57</v>
      </c>
      <c r="K6272" s="10">
        <v>357</v>
      </c>
      <c r="L6272" s="17"/>
      <c r="M6272" s="15"/>
      <c r="N6272" s="18"/>
      <c r="O6272" s="14"/>
      <c r="P6272" s="17">
        <v>1</v>
      </c>
      <c r="Q6272" s="19">
        <v>357</v>
      </c>
      <c r="R6272" s="14">
        <v>1100</v>
      </c>
      <c r="S6272" s="19">
        <v>392700</v>
      </c>
      <c r="T6272" s="17"/>
      <c r="U6272" s="17"/>
      <c r="V6272" s="17"/>
      <c r="W6272" s="4"/>
      <c r="X6272" s="17"/>
      <c r="Y6272" s="4"/>
      <c r="Z6272" s="17"/>
      <c r="AA6272" s="17"/>
      <c r="AB6272" s="17"/>
      <c r="AC6272" s="14"/>
      <c r="AD6272" s="14"/>
      <c r="AE6272" s="17"/>
      <c r="AF6272" s="14"/>
      <c r="AG6272" s="54"/>
      <c r="AH6272" s="11"/>
      <c r="AI6272" s="14"/>
      <c r="AJ6272" s="19">
        <v>0</v>
      </c>
      <c r="AK6272" s="23">
        <v>0</v>
      </c>
      <c r="AL6272" s="11"/>
      <c r="AM6272" s="19">
        <v>0</v>
      </c>
      <c r="AN6272" s="19">
        <v>392700</v>
      </c>
      <c r="AO6272" s="14"/>
      <c r="AP6272" s="14">
        <v>392700</v>
      </c>
      <c r="AQ6272" s="12"/>
      <c r="AS6272" s="26"/>
    </row>
    <row r="6273" spans="1:45" x14ac:dyDescent="0.2">
      <c r="A6273" s="2">
        <f>+A6272+1</f>
        <v>5169</v>
      </c>
      <c r="B6273" s="13">
        <v>3</v>
      </c>
      <c r="C6273" s="17" t="s">
        <v>65</v>
      </c>
      <c r="D6273" s="17">
        <v>2098</v>
      </c>
      <c r="E6273" s="17">
        <v>5</v>
      </c>
      <c r="H6273" s="17">
        <v>0</v>
      </c>
      <c r="I6273" s="17">
        <v>3</v>
      </c>
      <c r="J6273" s="17">
        <v>15</v>
      </c>
      <c r="K6273" s="10">
        <v>315</v>
      </c>
      <c r="P6273" s="17">
        <v>1</v>
      </c>
      <c r="Q6273" s="19">
        <v>315</v>
      </c>
      <c r="R6273" s="14">
        <v>160</v>
      </c>
      <c r="S6273" s="19">
        <v>50400</v>
      </c>
      <c r="AJ6273" s="19">
        <v>0</v>
      </c>
      <c r="AK6273" s="23">
        <v>0</v>
      </c>
      <c r="AM6273" s="19">
        <v>0</v>
      </c>
      <c r="AN6273" s="19">
        <v>50400</v>
      </c>
      <c r="AP6273" s="14">
        <v>50400</v>
      </c>
      <c r="AQ6273" s="12">
        <v>1E-4</v>
      </c>
    </row>
    <row r="6274" spans="1:45" ht="42" x14ac:dyDescent="0.2">
      <c r="A6274" s="122">
        <f t="shared" ref="A6274:A6278" si="654">+A6273+1</f>
        <v>5170</v>
      </c>
      <c r="B6274" s="13">
        <v>4</v>
      </c>
      <c r="C6274" s="17" t="s">
        <v>52</v>
      </c>
      <c r="D6274" s="17">
        <v>14875</v>
      </c>
      <c r="E6274" s="17">
        <v>63</v>
      </c>
      <c r="F6274" s="17">
        <v>3369</v>
      </c>
      <c r="G6274" s="13">
        <v>7</v>
      </c>
      <c r="H6274" s="17">
        <v>0</v>
      </c>
      <c r="I6274" s="17">
        <v>2</v>
      </c>
      <c r="J6274" s="17">
        <v>97</v>
      </c>
      <c r="K6274" s="10">
        <v>265</v>
      </c>
      <c r="L6274" s="17">
        <v>32</v>
      </c>
      <c r="P6274" s="17">
        <v>5</v>
      </c>
      <c r="Q6274" s="19">
        <v>297</v>
      </c>
      <c r="R6274" s="14">
        <v>160</v>
      </c>
      <c r="S6274" s="19">
        <v>47520</v>
      </c>
      <c r="T6274" s="17">
        <v>1</v>
      </c>
      <c r="V6274" s="17" t="s">
        <v>183</v>
      </c>
      <c r="W6274" s="4">
        <v>128</v>
      </c>
      <c r="Y6274" s="4">
        <v>128</v>
      </c>
      <c r="AB6274" s="17">
        <v>7</v>
      </c>
      <c r="AJ6274" s="19">
        <v>0</v>
      </c>
      <c r="AK6274" s="23">
        <v>7</v>
      </c>
      <c r="AM6274" s="19">
        <v>0</v>
      </c>
      <c r="AN6274" s="19">
        <v>47520</v>
      </c>
      <c r="AP6274" s="14">
        <v>47520</v>
      </c>
    </row>
    <row r="6275" spans="1:45" x14ac:dyDescent="0.2">
      <c r="A6275" s="122">
        <f t="shared" si="654"/>
        <v>5171</v>
      </c>
      <c r="B6275" s="13">
        <v>5</v>
      </c>
      <c r="C6275" s="17" t="s">
        <v>52</v>
      </c>
      <c r="D6275" s="17">
        <v>19753</v>
      </c>
      <c r="E6275" s="17">
        <v>74</v>
      </c>
      <c r="F6275" s="17">
        <v>4364</v>
      </c>
      <c r="G6275" s="13">
        <v>7</v>
      </c>
      <c r="H6275" s="17">
        <v>1</v>
      </c>
      <c r="I6275" s="17">
        <v>0</v>
      </c>
      <c r="J6275" s="17">
        <v>56</v>
      </c>
      <c r="K6275" s="10">
        <v>456</v>
      </c>
      <c r="P6275" s="17">
        <v>1</v>
      </c>
      <c r="Q6275" s="19">
        <v>456</v>
      </c>
      <c r="R6275" s="14">
        <v>1100</v>
      </c>
      <c r="S6275" s="19">
        <v>501600</v>
      </c>
      <c r="AJ6275" s="19">
        <v>0</v>
      </c>
      <c r="AK6275" s="23">
        <v>0</v>
      </c>
      <c r="AM6275" s="19">
        <v>0</v>
      </c>
      <c r="AN6275" s="19">
        <v>501600</v>
      </c>
      <c r="AP6275" s="14">
        <v>501600</v>
      </c>
    </row>
    <row r="6276" spans="1:45" x14ac:dyDescent="0.2">
      <c r="A6276" s="122">
        <f t="shared" si="654"/>
        <v>5172</v>
      </c>
      <c r="B6276" s="13">
        <v>1</v>
      </c>
      <c r="C6276" s="17" t="s">
        <v>52</v>
      </c>
      <c r="D6276" s="17">
        <v>4868</v>
      </c>
      <c r="E6276" s="17">
        <v>17</v>
      </c>
      <c r="F6276" s="17">
        <v>2560</v>
      </c>
      <c r="G6276" s="13">
        <v>7</v>
      </c>
      <c r="H6276" s="17">
        <v>6</v>
      </c>
      <c r="I6276" s="17">
        <v>3</v>
      </c>
      <c r="J6276" s="17">
        <v>50</v>
      </c>
      <c r="K6276" s="10">
        <v>2750</v>
      </c>
      <c r="P6276" s="17">
        <v>1</v>
      </c>
      <c r="Q6276" s="19">
        <v>2750</v>
      </c>
      <c r="R6276" s="14">
        <v>160</v>
      </c>
      <c r="S6276" s="19">
        <v>440000</v>
      </c>
      <c r="AJ6276" s="19">
        <v>0</v>
      </c>
      <c r="AK6276" s="23">
        <v>0</v>
      </c>
      <c r="AM6276" s="19">
        <v>0</v>
      </c>
      <c r="AN6276" s="19">
        <v>440000</v>
      </c>
      <c r="AP6276" s="14">
        <v>440000</v>
      </c>
    </row>
    <row r="6277" spans="1:45" x14ac:dyDescent="0.2">
      <c r="A6277" s="122">
        <f t="shared" si="654"/>
        <v>5173</v>
      </c>
      <c r="B6277" s="13">
        <v>2</v>
      </c>
      <c r="C6277" s="17" t="s">
        <v>52</v>
      </c>
      <c r="D6277" s="17">
        <v>4868</v>
      </c>
      <c r="E6277" s="17">
        <v>17</v>
      </c>
      <c r="F6277" s="17">
        <v>2560</v>
      </c>
      <c r="G6277" s="13">
        <v>7</v>
      </c>
      <c r="H6277" s="17">
        <v>6</v>
      </c>
      <c r="I6277" s="17">
        <v>3</v>
      </c>
      <c r="J6277" s="17">
        <v>50</v>
      </c>
      <c r="K6277" s="10">
        <v>2750</v>
      </c>
      <c r="P6277" s="17">
        <v>1</v>
      </c>
      <c r="Q6277" s="19">
        <v>2750</v>
      </c>
      <c r="R6277" s="14">
        <v>160</v>
      </c>
      <c r="S6277" s="19">
        <v>440000</v>
      </c>
      <c r="AJ6277" s="19">
        <v>0</v>
      </c>
      <c r="AK6277" s="23">
        <v>0</v>
      </c>
      <c r="AM6277" s="19">
        <v>0</v>
      </c>
      <c r="AN6277" s="19">
        <v>440000</v>
      </c>
      <c r="AP6277" s="14">
        <v>440000</v>
      </c>
    </row>
    <row r="6278" spans="1:45" ht="42" x14ac:dyDescent="0.2">
      <c r="A6278" s="122">
        <f t="shared" si="654"/>
        <v>5174</v>
      </c>
      <c r="B6278" s="13">
        <v>1</v>
      </c>
      <c r="C6278" s="17" t="s">
        <v>52</v>
      </c>
      <c r="D6278" s="17">
        <v>4980</v>
      </c>
      <c r="E6278" s="17">
        <v>38</v>
      </c>
      <c r="F6278" s="17">
        <v>2596</v>
      </c>
      <c r="G6278" s="13">
        <v>7</v>
      </c>
      <c r="H6278" s="17">
        <v>0</v>
      </c>
      <c r="I6278" s="17">
        <v>0</v>
      </c>
      <c r="J6278" s="17">
        <v>50</v>
      </c>
      <c r="L6278" s="17">
        <v>68</v>
      </c>
      <c r="P6278" s="17">
        <v>2</v>
      </c>
      <c r="Q6278" s="19">
        <v>50</v>
      </c>
      <c r="R6278" s="14">
        <v>4500</v>
      </c>
      <c r="S6278" s="19">
        <v>225000</v>
      </c>
      <c r="T6278" s="17">
        <v>1</v>
      </c>
      <c r="V6278" s="17" t="s">
        <v>183</v>
      </c>
      <c r="W6278" s="4">
        <v>160</v>
      </c>
      <c r="Y6278" s="4">
        <v>160</v>
      </c>
      <c r="AB6278" s="17">
        <v>20</v>
      </c>
      <c r="AJ6278" s="19">
        <v>0</v>
      </c>
      <c r="AK6278" s="23">
        <v>20</v>
      </c>
      <c r="AM6278" s="19">
        <v>0</v>
      </c>
      <c r="AN6278" s="19">
        <v>225000</v>
      </c>
      <c r="AP6278" s="14">
        <v>225000</v>
      </c>
    </row>
    <row r="6279" spans="1:45" ht="42" x14ac:dyDescent="0.2">
      <c r="Q6279" s="19">
        <v>0</v>
      </c>
      <c r="R6279" s="14" t="e">
        <v>#N/A</v>
      </c>
      <c r="S6279" s="19" t="e">
        <v>#N/A</v>
      </c>
      <c r="T6279" s="17">
        <v>2</v>
      </c>
      <c r="V6279" s="17" t="s">
        <v>183</v>
      </c>
      <c r="W6279" s="4">
        <v>112</v>
      </c>
      <c r="Y6279" s="4">
        <v>112</v>
      </c>
      <c r="AB6279" s="17">
        <v>21</v>
      </c>
      <c r="AJ6279" s="19">
        <v>0</v>
      </c>
      <c r="AK6279" s="23">
        <v>21</v>
      </c>
      <c r="AM6279" s="19">
        <v>0</v>
      </c>
      <c r="AN6279" s="19" t="e">
        <v>#N/A</v>
      </c>
      <c r="AP6279" s="14" t="e">
        <v>#N/A</v>
      </c>
    </row>
    <row r="6280" spans="1:45" x14ac:dyDescent="0.2">
      <c r="A6280" s="2">
        <v>5175</v>
      </c>
      <c r="B6280" s="13">
        <v>1</v>
      </c>
      <c r="C6280" s="17" t="s">
        <v>52</v>
      </c>
      <c r="D6280" s="17">
        <v>4986</v>
      </c>
      <c r="E6280" s="17">
        <v>47</v>
      </c>
      <c r="F6280" s="17">
        <v>2604</v>
      </c>
      <c r="G6280" s="13">
        <v>7</v>
      </c>
      <c r="H6280" s="17">
        <v>1</v>
      </c>
      <c r="I6280" s="17">
        <v>1</v>
      </c>
      <c r="J6280" s="17">
        <v>38</v>
      </c>
      <c r="K6280" s="10">
        <v>538</v>
      </c>
      <c r="P6280" s="17">
        <v>1</v>
      </c>
      <c r="Q6280" s="19">
        <v>538</v>
      </c>
      <c r="R6280" s="14">
        <v>1100</v>
      </c>
      <c r="S6280" s="19">
        <v>591800</v>
      </c>
      <c r="AJ6280" s="19">
        <v>0</v>
      </c>
      <c r="AK6280" s="23">
        <v>0</v>
      </c>
      <c r="AM6280" s="19">
        <v>0</v>
      </c>
      <c r="AN6280" s="19">
        <v>591800</v>
      </c>
      <c r="AP6280" s="14">
        <v>591800</v>
      </c>
      <c r="AS6280" s="26">
        <v>1800</v>
      </c>
    </row>
    <row r="6281" spans="1:45" ht="63" x14ac:dyDescent="0.2">
      <c r="A6281" s="2">
        <f>+A6280+1</f>
        <v>5176</v>
      </c>
      <c r="B6281" s="13">
        <v>2</v>
      </c>
      <c r="C6281" s="17" t="s">
        <v>52</v>
      </c>
      <c r="D6281" s="17">
        <v>33605</v>
      </c>
      <c r="E6281" s="17">
        <v>100</v>
      </c>
      <c r="F6281" s="17">
        <v>6730</v>
      </c>
      <c r="G6281" s="13">
        <v>7</v>
      </c>
      <c r="H6281" s="17">
        <v>0</v>
      </c>
      <c r="I6281" s="17">
        <v>3</v>
      </c>
      <c r="J6281" s="17">
        <v>1</v>
      </c>
      <c r="K6281" s="10">
        <v>293.5</v>
      </c>
      <c r="L6281" s="17">
        <v>7.5</v>
      </c>
      <c r="P6281" s="17">
        <v>5</v>
      </c>
      <c r="Q6281" s="19">
        <v>301</v>
      </c>
      <c r="R6281" s="14">
        <v>160</v>
      </c>
      <c r="S6281" s="19">
        <v>48160</v>
      </c>
      <c r="T6281" s="17">
        <v>1</v>
      </c>
      <c r="V6281" s="17" t="s">
        <v>496</v>
      </c>
      <c r="W6281" s="4">
        <v>30</v>
      </c>
      <c r="Y6281" s="4">
        <v>30</v>
      </c>
      <c r="AB6281" s="17">
        <v>14</v>
      </c>
      <c r="AJ6281" s="19">
        <v>0</v>
      </c>
      <c r="AK6281" s="23">
        <v>14</v>
      </c>
      <c r="AM6281" s="19">
        <v>0</v>
      </c>
      <c r="AN6281" s="19">
        <v>48160</v>
      </c>
      <c r="AP6281" s="14">
        <v>48160</v>
      </c>
    </row>
    <row r="6282" spans="1:45" ht="126" x14ac:dyDescent="0.2">
      <c r="A6282" s="122">
        <f t="shared" ref="A6282:A6283" si="655">+A6281+1</f>
        <v>5177</v>
      </c>
      <c r="B6282" s="13">
        <v>3</v>
      </c>
      <c r="C6282" s="17" t="s">
        <v>52</v>
      </c>
      <c r="D6282" s="17">
        <v>33606</v>
      </c>
      <c r="E6282" s="17">
        <v>101</v>
      </c>
      <c r="F6282" s="17">
        <v>6731</v>
      </c>
      <c r="G6282" s="13">
        <v>7</v>
      </c>
      <c r="H6282" s="17">
        <v>0</v>
      </c>
      <c r="I6282" s="17">
        <v>3</v>
      </c>
      <c r="J6282" s="17">
        <v>12</v>
      </c>
      <c r="K6282" s="10">
        <v>228</v>
      </c>
      <c r="M6282" s="15" t="s">
        <v>326</v>
      </c>
      <c r="P6282" s="17">
        <v>5</v>
      </c>
      <c r="Q6282" s="19">
        <v>312</v>
      </c>
      <c r="R6282" s="14">
        <v>160</v>
      </c>
      <c r="S6282" s="19">
        <v>49920</v>
      </c>
      <c r="T6282" s="17">
        <v>1</v>
      </c>
      <c r="V6282" s="17" t="s">
        <v>183</v>
      </c>
      <c r="W6282" s="4">
        <v>336</v>
      </c>
      <c r="Y6282" s="4">
        <v>336</v>
      </c>
      <c r="AB6282" s="17">
        <v>14</v>
      </c>
      <c r="AC6282" s="14" t="s">
        <v>645</v>
      </c>
      <c r="AF6282" s="14">
        <v>3</v>
      </c>
      <c r="AG6282" s="54">
        <v>336</v>
      </c>
      <c r="AH6282" s="11">
        <v>1</v>
      </c>
      <c r="AI6282" s="14">
        <v>7250</v>
      </c>
      <c r="AJ6282" s="19">
        <v>2436000</v>
      </c>
      <c r="AK6282" s="23">
        <v>14</v>
      </c>
      <c r="AM6282" s="19">
        <v>2436000</v>
      </c>
      <c r="AN6282" s="19">
        <v>2485920</v>
      </c>
      <c r="AP6282" s="14">
        <v>2485920</v>
      </c>
      <c r="AQ6282" s="12">
        <v>3.0000000000000001E-3</v>
      </c>
    </row>
    <row r="6283" spans="1:45" ht="42" x14ac:dyDescent="0.2">
      <c r="A6283" s="122">
        <f t="shared" si="655"/>
        <v>5178</v>
      </c>
      <c r="B6283" s="13">
        <v>1</v>
      </c>
      <c r="C6283" s="17" t="s">
        <v>52</v>
      </c>
      <c r="D6283" s="17">
        <v>19345</v>
      </c>
      <c r="E6283" s="17">
        <v>75</v>
      </c>
      <c r="F6283" s="17">
        <v>3686</v>
      </c>
      <c r="G6283" s="13">
        <v>1</v>
      </c>
      <c r="H6283" s="17">
        <v>5</v>
      </c>
      <c r="I6283" s="17">
        <v>1</v>
      </c>
      <c r="J6283" s="17">
        <v>71</v>
      </c>
      <c r="K6283" s="10">
        <v>2171</v>
      </c>
      <c r="P6283" s="17">
        <v>1</v>
      </c>
      <c r="Q6283" s="19">
        <v>2171</v>
      </c>
      <c r="R6283" s="14">
        <v>200</v>
      </c>
      <c r="S6283" s="19">
        <v>434200</v>
      </c>
      <c r="AJ6283" s="19">
        <v>0</v>
      </c>
      <c r="AK6283" s="23">
        <v>0</v>
      </c>
      <c r="AM6283" s="19">
        <v>0</v>
      </c>
      <c r="AN6283" s="19">
        <v>434200</v>
      </c>
      <c r="AP6283" s="14">
        <v>434200</v>
      </c>
      <c r="AS6283" s="26" t="s">
        <v>646</v>
      </c>
    </row>
    <row r="6285" spans="1:45" ht="42" x14ac:dyDescent="0.2">
      <c r="A6285" s="2">
        <v>5179</v>
      </c>
      <c r="B6285" s="13">
        <v>1</v>
      </c>
      <c r="C6285" s="17" t="s">
        <v>52</v>
      </c>
      <c r="D6285" s="17">
        <v>4918</v>
      </c>
      <c r="E6285" s="17">
        <v>50</v>
      </c>
      <c r="F6285" s="17">
        <v>2794</v>
      </c>
      <c r="G6285" s="13">
        <v>7</v>
      </c>
      <c r="H6285" s="17">
        <v>5</v>
      </c>
      <c r="I6285" s="17">
        <v>2</v>
      </c>
      <c r="J6285" s="17">
        <v>76</v>
      </c>
      <c r="K6285" s="10">
        <v>2240</v>
      </c>
      <c r="L6285" s="17">
        <v>36</v>
      </c>
      <c r="P6285" s="17">
        <v>5</v>
      </c>
      <c r="Q6285" s="19">
        <v>2276</v>
      </c>
      <c r="R6285" s="14">
        <v>540</v>
      </c>
      <c r="S6285" s="19">
        <v>1229040</v>
      </c>
      <c r="T6285" s="17">
        <v>1</v>
      </c>
      <c r="V6285" s="17" t="s">
        <v>183</v>
      </c>
      <c r="W6285" s="4">
        <v>144</v>
      </c>
      <c r="Y6285" s="4">
        <v>144</v>
      </c>
      <c r="AB6285" s="17">
        <v>19</v>
      </c>
      <c r="AJ6285" s="19">
        <v>0</v>
      </c>
      <c r="AK6285" s="23">
        <v>19</v>
      </c>
      <c r="AM6285" s="19">
        <v>0</v>
      </c>
      <c r="AN6285" s="19">
        <v>1229040</v>
      </c>
      <c r="AP6285" s="14">
        <v>1229040</v>
      </c>
      <c r="AS6285" s="26">
        <v>53</v>
      </c>
    </row>
    <row r="6286" spans="1:45" x14ac:dyDescent="0.2">
      <c r="A6286" s="2">
        <f>+A6285+1</f>
        <v>5180</v>
      </c>
      <c r="B6286" s="13">
        <v>2</v>
      </c>
      <c r="C6286" s="17" t="s">
        <v>52</v>
      </c>
      <c r="D6286" s="17">
        <v>4919</v>
      </c>
      <c r="E6286" s="17">
        <v>51</v>
      </c>
      <c r="F6286" s="17">
        <v>2795</v>
      </c>
      <c r="G6286" s="13">
        <v>7</v>
      </c>
      <c r="H6286" s="17">
        <v>4</v>
      </c>
      <c r="I6286" s="17">
        <v>3</v>
      </c>
      <c r="J6286" s="17">
        <v>76</v>
      </c>
      <c r="K6286" s="10">
        <v>1976</v>
      </c>
      <c r="P6286" s="17">
        <v>1</v>
      </c>
      <c r="Q6286" s="19">
        <v>1976</v>
      </c>
      <c r="R6286" s="14">
        <v>540</v>
      </c>
      <c r="S6286" s="19">
        <v>1067040</v>
      </c>
      <c r="AJ6286" s="19">
        <v>0</v>
      </c>
      <c r="AK6286" s="23">
        <v>0</v>
      </c>
      <c r="AM6286" s="19">
        <v>0</v>
      </c>
      <c r="AN6286" s="19">
        <v>1067040</v>
      </c>
      <c r="AP6286" s="14">
        <v>1067040</v>
      </c>
    </row>
    <row r="6287" spans="1:45" x14ac:dyDescent="0.2">
      <c r="A6287" s="122">
        <f t="shared" ref="A6287:A6289" si="656">+A6286+1</f>
        <v>5181</v>
      </c>
      <c r="B6287" s="13">
        <v>1</v>
      </c>
      <c r="C6287" s="17" t="s">
        <v>52</v>
      </c>
      <c r="D6287" s="17">
        <v>4823</v>
      </c>
      <c r="E6287" s="17">
        <v>33</v>
      </c>
      <c r="F6287" s="17">
        <v>2713</v>
      </c>
      <c r="G6287" s="13">
        <v>7</v>
      </c>
      <c r="H6287" s="17">
        <v>2</v>
      </c>
      <c r="I6287" s="17">
        <v>3</v>
      </c>
      <c r="J6287" s="17">
        <v>61</v>
      </c>
      <c r="K6287" s="10">
        <v>1161</v>
      </c>
      <c r="P6287" s="17">
        <v>1</v>
      </c>
      <c r="Q6287" s="19">
        <v>1161</v>
      </c>
      <c r="R6287" s="14">
        <v>160</v>
      </c>
      <c r="S6287" s="19">
        <v>185760</v>
      </c>
      <c r="AJ6287" s="19">
        <v>0</v>
      </c>
      <c r="AK6287" s="23">
        <v>0</v>
      </c>
      <c r="AM6287" s="19">
        <v>0</v>
      </c>
      <c r="AN6287" s="19">
        <v>185760</v>
      </c>
      <c r="AP6287" s="14">
        <v>185760</v>
      </c>
    </row>
    <row r="6288" spans="1:45" ht="42" x14ac:dyDescent="0.2">
      <c r="A6288" s="122">
        <f t="shared" si="656"/>
        <v>5182</v>
      </c>
      <c r="B6288" s="13">
        <v>2</v>
      </c>
      <c r="C6288" s="17" t="s">
        <v>52</v>
      </c>
      <c r="D6288" s="17">
        <v>4921</v>
      </c>
      <c r="E6288" s="17">
        <v>56</v>
      </c>
      <c r="F6288" s="17">
        <v>2797</v>
      </c>
      <c r="G6288" s="13">
        <v>7</v>
      </c>
      <c r="H6288" s="17">
        <v>3</v>
      </c>
      <c r="I6288" s="17">
        <v>3</v>
      </c>
      <c r="J6288" s="17">
        <v>22</v>
      </c>
      <c r="K6288" s="10">
        <v>1460</v>
      </c>
      <c r="L6288" s="17">
        <v>62</v>
      </c>
      <c r="P6288" s="17">
        <v>5</v>
      </c>
      <c r="Q6288" s="19">
        <v>1522</v>
      </c>
      <c r="R6288" s="14">
        <v>540</v>
      </c>
      <c r="S6288" s="19">
        <v>821880</v>
      </c>
      <c r="T6288" s="17">
        <v>1</v>
      </c>
      <c r="V6288" s="17" t="s">
        <v>183</v>
      </c>
      <c r="W6288" s="4">
        <v>248</v>
      </c>
      <c r="Y6288" s="4">
        <v>248</v>
      </c>
      <c r="AB6288" s="17">
        <v>20</v>
      </c>
      <c r="AJ6288" s="19">
        <v>0</v>
      </c>
      <c r="AK6288" s="23">
        <v>20</v>
      </c>
      <c r="AM6288" s="19">
        <v>0</v>
      </c>
      <c r="AN6288" s="19">
        <v>821880</v>
      </c>
      <c r="AP6288" s="14">
        <v>821880</v>
      </c>
    </row>
    <row r="6289" spans="1:45" ht="42" x14ac:dyDescent="0.2">
      <c r="A6289" s="122">
        <f t="shared" si="656"/>
        <v>5183</v>
      </c>
      <c r="B6289" s="13">
        <v>1</v>
      </c>
      <c r="C6289" s="17" t="s">
        <v>52</v>
      </c>
      <c r="D6289" s="17">
        <v>1242</v>
      </c>
      <c r="E6289" s="17">
        <v>13</v>
      </c>
      <c r="F6289" s="17">
        <v>270</v>
      </c>
      <c r="G6289" s="13">
        <v>6</v>
      </c>
      <c r="H6289" s="17">
        <v>0</v>
      </c>
      <c r="I6289" s="17">
        <v>3</v>
      </c>
      <c r="J6289" s="17">
        <v>53</v>
      </c>
      <c r="K6289" s="10">
        <v>262</v>
      </c>
      <c r="L6289" s="17">
        <v>91</v>
      </c>
      <c r="P6289" s="17">
        <v>5</v>
      </c>
      <c r="Q6289" s="19">
        <v>353</v>
      </c>
      <c r="R6289" s="14">
        <v>1100</v>
      </c>
      <c r="S6289" s="19">
        <v>388300</v>
      </c>
      <c r="T6289" s="17">
        <v>1</v>
      </c>
      <c r="V6289" s="17" t="s">
        <v>183</v>
      </c>
      <c r="W6289" s="4">
        <v>220</v>
      </c>
      <c r="Y6289" s="4">
        <v>220</v>
      </c>
      <c r="AB6289" s="17">
        <v>21</v>
      </c>
      <c r="AJ6289" s="19">
        <v>0</v>
      </c>
      <c r="AK6289" s="23">
        <v>21</v>
      </c>
      <c r="AM6289" s="19">
        <v>0</v>
      </c>
      <c r="AN6289" s="19">
        <v>388300</v>
      </c>
      <c r="AP6289" s="14">
        <v>388300</v>
      </c>
    </row>
    <row r="6290" spans="1:45" ht="42" x14ac:dyDescent="0.2">
      <c r="Q6290" s="19">
        <v>0</v>
      </c>
      <c r="R6290" s="14" t="e">
        <v>#N/A</v>
      </c>
      <c r="S6290" s="19" t="e">
        <v>#N/A</v>
      </c>
      <c r="T6290" s="17">
        <v>2</v>
      </c>
      <c r="V6290" s="17" t="s">
        <v>183</v>
      </c>
      <c r="W6290" s="4">
        <v>144</v>
      </c>
      <c r="Y6290" s="4">
        <v>144</v>
      </c>
      <c r="AB6290" s="17">
        <v>13</v>
      </c>
      <c r="AJ6290" s="19">
        <v>0</v>
      </c>
      <c r="AK6290" s="23">
        <v>13</v>
      </c>
      <c r="AM6290" s="19">
        <v>0</v>
      </c>
      <c r="AN6290" s="19" t="e">
        <v>#N/A</v>
      </c>
      <c r="AP6290" s="14" t="e">
        <v>#N/A</v>
      </c>
    </row>
    <row r="6291" spans="1:45" x14ac:dyDescent="0.2">
      <c r="A6291" s="2">
        <v>5184</v>
      </c>
      <c r="B6291" s="13">
        <v>1</v>
      </c>
      <c r="C6291" s="17" t="s">
        <v>52</v>
      </c>
      <c r="D6291" s="17">
        <v>4873</v>
      </c>
      <c r="E6291" s="17">
        <v>22</v>
      </c>
      <c r="F6291" s="17">
        <v>2577</v>
      </c>
      <c r="G6291" s="13">
        <v>7</v>
      </c>
      <c r="H6291" s="17">
        <v>1</v>
      </c>
      <c r="I6291" s="17">
        <v>2</v>
      </c>
      <c r="J6291" s="17">
        <v>50</v>
      </c>
      <c r="K6291" s="10">
        <v>650</v>
      </c>
      <c r="P6291" s="17">
        <v>1</v>
      </c>
      <c r="Q6291" s="19">
        <v>650</v>
      </c>
      <c r="R6291" s="14">
        <v>160</v>
      </c>
      <c r="S6291" s="19">
        <v>104000</v>
      </c>
      <c r="AJ6291" s="19">
        <v>0</v>
      </c>
      <c r="AK6291" s="23">
        <v>0</v>
      </c>
      <c r="AM6291" s="19">
        <v>0</v>
      </c>
      <c r="AN6291" s="19">
        <v>104000</v>
      </c>
      <c r="AP6291" s="14">
        <v>104000</v>
      </c>
      <c r="AS6291" s="26">
        <v>490</v>
      </c>
    </row>
    <row r="6292" spans="1:45" x14ac:dyDescent="0.2">
      <c r="A6292" s="2">
        <f>+A6291+1</f>
        <v>5185</v>
      </c>
      <c r="B6292" s="13">
        <v>2</v>
      </c>
      <c r="C6292" s="17" t="s">
        <v>52</v>
      </c>
      <c r="D6292" s="17">
        <v>4873</v>
      </c>
      <c r="E6292" s="17">
        <v>22</v>
      </c>
      <c r="F6292" s="17">
        <v>2577</v>
      </c>
      <c r="G6292" s="13">
        <v>7</v>
      </c>
      <c r="H6292" s="17">
        <v>1</v>
      </c>
      <c r="I6292" s="17">
        <v>2</v>
      </c>
      <c r="J6292" s="17">
        <v>50</v>
      </c>
      <c r="K6292" s="10">
        <v>650</v>
      </c>
      <c r="P6292" s="17">
        <v>1</v>
      </c>
      <c r="Q6292" s="19">
        <v>650</v>
      </c>
      <c r="R6292" s="14">
        <v>160</v>
      </c>
      <c r="S6292" s="19">
        <v>104000</v>
      </c>
      <c r="AJ6292" s="19">
        <v>0</v>
      </c>
      <c r="AK6292" s="23">
        <v>0</v>
      </c>
      <c r="AM6292" s="19">
        <v>0</v>
      </c>
      <c r="AN6292" s="19">
        <v>104000</v>
      </c>
      <c r="AP6292" s="14">
        <v>104000</v>
      </c>
    </row>
    <row r="6293" spans="1:45" x14ac:dyDescent="0.2">
      <c r="A6293" s="122">
        <f t="shared" ref="A6293:A6301" si="657">+A6292+1</f>
        <v>5186</v>
      </c>
      <c r="B6293" s="13">
        <v>3</v>
      </c>
      <c r="C6293" s="17" t="s">
        <v>52</v>
      </c>
      <c r="D6293" s="17">
        <v>4962</v>
      </c>
      <c r="E6293" s="17">
        <v>21</v>
      </c>
      <c r="F6293" s="17">
        <v>2578</v>
      </c>
      <c r="G6293" s="13">
        <v>7</v>
      </c>
      <c r="H6293" s="17">
        <v>1</v>
      </c>
      <c r="I6293" s="17">
        <v>0</v>
      </c>
      <c r="J6293" s="17">
        <v>41</v>
      </c>
      <c r="K6293" s="10">
        <v>441</v>
      </c>
      <c r="P6293" s="17">
        <v>1</v>
      </c>
      <c r="Q6293" s="19">
        <v>441</v>
      </c>
      <c r="R6293" s="14">
        <v>1100</v>
      </c>
      <c r="S6293" s="19">
        <v>485100</v>
      </c>
      <c r="AJ6293" s="19">
        <v>0</v>
      </c>
      <c r="AK6293" s="23">
        <v>0</v>
      </c>
      <c r="AM6293" s="19">
        <v>0</v>
      </c>
      <c r="AN6293" s="19">
        <v>485100</v>
      </c>
      <c r="AP6293" s="14">
        <v>485100</v>
      </c>
    </row>
    <row r="6294" spans="1:45" x14ac:dyDescent="0.2">
      <c r="A6294" s="122">
        <f t="shared" si="657"/>
        <v>5187</v>
      </c>
      <c r="B6294" s="13">
        <v>4</v>
      </c>
      <c r="C6294" s="17" t="s">
        <v>52</v>
      </c>
      <c r="D6294" s="17">
        <v>4963</v>
      </c>
      <c r="E6294" s="17">
        <v>22</v>
      </c>
      <c r="F6294" s="17">
        <v>2579</v>
      </c>
      <c r="G6294" s="13">
        <v>7</v>
      </c>
      <c r="H6294" s="17">
        <v>0</v>
      </c>
      <c r="I6294" s="17">
        <v>3</v>
      </c>
      <c r="J6294" s="17">
        <v>54</v>
      </c>
      <c r="K6294" s="10">
        <v>354</v>
      </c>
      <c r="P6294" s="17">
        <v>1</v>
      </c>
      <c r="Q6294" s="19">
        <v>354</v>
      </c>
      <c r="R6294" s="14">
        <v>1100</v>
      </c>
      <c r="S6294" s="19">
        <v>389400</v>
      </c>
      <c r="AJ6294" s="19">
        <v>0</v>
      </c>
      <c r="AK6294" s="23">
        <v>0</v>
      </c>
      <c r="AM6294" s="19">
        <v>0</v>
      </c>
      <c r="AN6294" s="19">
        <v>389400</v>
      </c>
      <c r="AP6294" s="14">
        <v>389400</v>
      </c>
    </row>
    <row r="6295" spans="1:45" x14ac:dyDescent="0.2">
      <c r="A6295" s="122">
        <f t="shared" si="657"/>
        <v>5188</v>
      </c>
      <c r="B6295" s="13">
        <v>5</v>
      </c>
      <c r="C6295" s="17" t="s">
        <v>52</v>
      </c>
      <c r="D6295" s="17">
        <v>4968</v>
      </c>
      <c r="E6295" s="17">
        <v>27</v>
      </c>
      <c r="F6295" s="17">
        <v>2584</v>
      </c>
      <c r="G6295" s="13">
        <v>7</v>
      </c>
      <c r="H6295" s="17">
        <v>0</v>
      </c>
      <c r="I6295" s="17">
        <v>1</v>
      </c>
      <c r="J6295" s="17">
        <v>0</v>
      </c>
      <c r="L6295" s="17">
        <v>100</v>
      </c>
      <c r="P6295" s="17">
        <v>2</v>
      </c>
      <c r="Q6295" s="19">
        <v>100</v>
      </c>
      <c r="R6295" s="14">
        <v>4500</v>
      </c>
      <c r="S6295" s="19">
        <v>450000</v>
      </c>
      <c r="AJ6295" s="19">
        <v>0</v>
      </c>
      <c r="AK6295" s="23">
        <v>0</v>
      </c>
      <c r="AM6295" s="19">
        <v>0</v>
      </c>
      <c r="AN6295" s="19">
        <v>450000</v>
      </c>
      <c r="AP6295" s="14">
        <v>450000</v>
      </c>
    </row>
    <row r="6296" spans="1:45" x14ac:dyDescent="0.2">
      <c r="A6296" s="122">
        <f t="shared" si="657"/>
        <v>5189</v>
      </c>
      <c r="B6296" s="13">
        <v>6</v>
      </c>
      <c r="C6296" s="17" t="s">
        <v>52</v>
      </c>
      <c r="D6296" s="17">
        <v>4977</v>
      </c>
      <c r="E6296" s="17">
        <v>35</v>
      </c>
      <c r="F6296" s="17">
        <v>2593</v>
      </c>
      <c r="G6296" s="13">
        <v>7</v>
      </c>
      <c r="H6296" s="17">
        <v>1</v>
      </c>
      <c r="I6296" s="17">
        <v>1</v>
      </c>
      <c r="J6296" s="17">
        <v>56</v>
      </c>
      <c r="K6296" s="10">
        <v>556</v>
      </c>
      <c r="P6296" s="17">
        <v>1</v>
      </c>
      <c r="Q6296" s="19">
        <v>556</v>
      </c>
      <c r="R6296" s="14">
        <v>160</v>
      </c>
      <c r="S6296" s="19">
        <v>88960</v>
      </c>
      <c r="AJ6296" s="19">
        <v>0</v>
      </c>
      <c r="AK6296" s="23">
        <v>0</v>
      </c>
      <c r="AM6296" s="19">
        <v>0</v>
      </c>
      <c r="AN6296" s="19">
        <v>88960</v>
      </c>
      <c r="AP6296" s="14">
        <v>88960</v>
      </c>
    </row>
    <row r="6297" spans="1:45" x14ac:dyDescent="0.2">
      <c r="A6297" s="122">
        <f t="shared" si="657"/>
        <v>5190</v>
      </c>
      <c r="B6297" s="13">
        <v>7</v>
      </c>
      <c r="C6297" s="17" t="s">
        <v>52</v>
      </c>
      <c r="D6297" s="17">
        <v>4978</v>
      </c>
      <c r="E6297" s="17">
        <v>36</v>
      </c>
      <c r="F6297" s="17">
        <v>2594</v>
      </c>
      <c r="G6297" s="13">
        <v>7</v>
      </c>
      <c r="H6297" s="17">
        <v>0</v>
      </c>
      <c r="I6297" s="17">
        <v>3</v>
      </c>
      <c r="J6297" s="17">
        <v>9</v>
      </c>
      <c r="K6297" s="10">
        <v>309</v>
      </c>
      <c r="P6297" s="17">
        <v>1</v>
      </c>
      <c r="Q6297" s="19">
        <v>309</v>
      </c>
      <c r="R6297" s="14">
        <v>1100</v>
      </c>
      <c r="S6297" s="19">
        <v>339900</v>
      </c>
      <c r="AJ6297" s="19">
        <v>0</v>
      </c>
      <c r="AK6297" s="23">
        <v>0</v>
      </c>
      <c r="AM6297" s="19">
        <v>0</v>
      </c>
      <c r="AN6297" s="19">
        <v>339900</v>
      </c>
      <c r="AP6297" s="14">
        <v>339900</v>
      </c>
    </row>
    <row r="6298" spans="1:45" x14ac:dyDescent="0.2">
      <c r="A6298" s="122">
        <f t="shared" si="657"/>
        <v>5191</v>
      </c>
      <c r="B6298" s="13">
        <v>8</v>
      </c>
      <c r="C6298" s="17" t="s">
        <v>52</v>
      </c>
      <c r="D6298" s="17">
        <v>4984</v>
      </c>
      <c r="E6298" s="17">
        <v>42</v>
      </c>
      <c r="F6298" s="17">
        <v>2600</v>
      </c>
      <c r="G6298" s="13">
        <v>7</v>
      </c>
      <c r="H6298" s="17">
        <v>5</v>
      </c>
      <c r="I6298" s="17">
        <v>1</v>
      </c>
      <c r="J6298" s="17">
        <v>85</v>
      </c>
      <c r="K6298" s="10">
        <v>2185</v>
      </c>
      <c r="P6298" s="17">
        <v>1</v>
      </c>
      <c r="Q6298" s="19">
        <v>2185</v>
      </c>
      <c r="R6298" s="14">
        <v>1850</v>
      </c>
      <c r="S6298" s="19">
        <v>4042250</v>
      </c>
      <c r="AJ6298" s="19">
        <v>0</v>
      </c>
      <c r="AK6298" s="23">
        <v>0</v>
      </c>
      <c r="AM6298" s="19">
        <v>0</v>
      </c>
      <c r="AN6298" s="19">
        <v>4042250</v>
      </c>
      <c r="AP6298" s="14">
        <v>4042250</v>
      </c>
    </row>
    <row r="6299" spans="1:45" x14ac:dyDescent="0.2">
      <c r="A6299" s="122">
        <f t="shared" si="657"/>
        <v>5192</v>
      </c>
      <c r="B6299" s="13">
        <v>9</v>
      </c>
      <c r="C6299" s="17" t="s">
        <v>52</v>
      </c>
      <c r="D6299" s="17">
        <v>5116</v>
      </c>
      <c r="E6299" s="17">
        <v>23</v>
      </c>
      <c r="F6299" s="17">
        <v>2876</v>
      </c>
      <c r="G6299" s="13">
        <v>7</v>
      </c>
      <c r="H6299" s="17">
        <v>11</v>
      </c>
      <c r="I6299" s="17">
        <v>3</v>
      </c>
      <c r="J6299" s="17">
        <v>60</v>
      </c>
      <c r="K6299" s="10">
        <v>4760</v>
      </c>
      <c r="P6299" s="17">
        <v>1</v>
      </c>
      <c r="Q6299" s="19">
        <v>4760</v>
      </c>
      <c r="R6299" s="14">
        <v>160</v>
      </c>
      <c r="S6299" s="19">
        <v>761600</v>
      </c>
      <c r="AJ6299" s="19">
        <v>0</v>
      </c>
      <c r="AK6299" s="23">
        <v>0</v>
      </c>
      <c r="AM6299" s="19">
        <v>0</v>
      </c>
      <c r="AN6299" s="19">
        <v>761600</v>
      </c>
      <c r="AP6299" s="14">
        <v>761600</v>
      </c>
    </row>
    <row r="6300" spans="1:45" x14ac:dyDescent="0.2">
      <c r="A6300" s="122">
        <f t="shared" si="657"/>
        <v>5193</v>
      </c>
      <c r="B6300" s="13">
        <v>10</v>
      </c>
      <c r="C6300" s="17" t="s">
        <v>52</v>
      </c>
      <c r="D6300" s="17">
        <v>5116</v>
      </c>
      <c r="E6300" s="17">
        <v>23</v>
      </c>
      <c r="F6300" s="17">
        <v>2876</v>
      </c>
      <c r="G6300" s="13">
        <v>7</v>
      </c>
      <c r="H6300" s="17">
        <v>11</v>
      </c>
      <c r="I6300" s="17">
        <v>3</v>
      </c>
      <c r="J6300" s="17">
        <v>60</v>
      </c>
      <c r="K6300" s="10">
        <v>4760</v>
      </c>
      <c r="P6300" s="17">
        <v>1</v>
      </c>
      <c r="Q6300" s="19">
        <v>4760</v>
      </c>
      <c r="R6300" s="14">
        <v>160</v>
      </c>
      <c r="S6300" s="19">
        <v>761600</v>
      </c>
      <c r="AJ6300" s="19">
        <v>0</v>
      </c>
      <c r="AK6300" s="23">
        <v>0</v>
      </c>
      <c r="AM6300" s="19">
        <v>0</v>
      </c>
      <c r="AN6300" s="19">
        <v>761600</v>
      </c>
      <c r="AP6300" s="14">
        <v>761600</v>
      </c>
    </row>
    <row r="6301" spans="1:45" ht="42" x14ac:dyDescent="0.2">
      <c r="A6301" s="122">
        <f t="shared" si="657"/>
        <v>5194</v>
      </c>
      <c r="B6301" s="13">
        <v>11</v>
      </c>
      <c r="C6301" s="17" t="s">
        <v>52</v>
      </c>
      <c r="D6301" s="17">
        <v>5131</v>
      </c>
      <c r="E6301" s="17">
        <v>4</v>
      </c>
      <c r="F6301" s="17">
        <v>2878</v>
      </c>
      <c r="G6301" s="13">
        <v>7</v>
      </c>
      <c r="H6301" s="17">
        <v>42</v>
      </c>
      <c r="I6301" s="17">
        <v>0</v>
      </c>
      <c r="J6301" s="17">
        <v>29</v>
      </c>
      <c r="K6301" s="10">
        <v>16695.75</v>
      </c>
      <c r="L6301" s="17">
        <v>133.25</v>
      </c>
      <c r="P6301" s="17">
        <v>5</v>
      </c>
      <c r="Q6301" s="19">
        <v>16829</v>
      </c>
      <c r="R6301" s="14">
        <v>1100</v>
      </c>
      <c r="S6301" s="19">
        <v>18511900</v>
      </c>
      <c r="T6301" s="17">
        <v>1</v>
      </c>
      <c r="V6301" s="17" t="s">
        <v>183</v>
      </c>
      <c r="W6301" s="4">
        <v>120</v>
      </c>
      <c r="Y6301" s="4">
        <v>120</v>
      </c>
      <c r="AB6301" s="17">
        <v>10</v>
      </c>
      <c r="AJ6301" s="19">
        <v>0</v>
      </c>
      <c r="AK6301" s="23">
        <v>10</v>
      </c>
      <c r="AM6301" s="19">
        <v>0</v>
      </c>
      <c r="AN6301" s="19">
        <v>18511900</v>
      </c>
      <c r="AP6301" s="14">
        <v>18511900</v>
      </c>
    </row>
    <row r="6302" spans="1:45" ht="42" x14ac:dyDescent="0.2">
      <c r="Q6302" s="19">
        <v>0</v>
      </c>
      <c r="R6302" s="14" t="e">
        <v>#N/A</v>
      </c>
      <c r="S6302" s="19" t="e">
        <v>#N/A</v>
      </c>
      <c r="T6302" s="17">
        <v>2</v>
      </c>
      <c r="V6302" s="17" t="s">
        <v>183</v>
      </c>
      <c r="W6302" s="4">
        <v>350</v>
      </c>
      <c r="Y6302" s="4">
        <v>350</v>
      </c>
      <c r="AB6302" s="17">
        <v>32</v>
      </c>
      <c r="AJ6302" s="19">
        <v>0</v>
      </c>
      <c r="AK6302" s="23">
        <v>32</v>
      </c>
      <c r="AM6302" s="19">
        <v>0</v>
      </c>
      <c r="AN6302" s="19" t="e">
        <v>#N/A</v>
      </c>
      <c r="AP6302" s="14" t="e">
        <v>#N/A</v>
      </c>
    </row>
    <row r="6303" spans="1:45" ht="42" x14ac:dyDescent="0.2">
      <c r="Q6303" s="19">
        <v>0</v>
      </c>
      <c r="R6303" s="14" t="e">
        <v>#N/A</v>
      </c>
      <c r="S6303" s="19" t="e">
        <v>#N/A</v>
      </c>
      <c r="T6303" s="17">
        <v>3</v>
      </c>
      <c r="V6303" s="17" t="s">
        <v>183</v>
      </c>
      <c r="W6303" s="4">
        <v>63</v>
      </c>
      <c r="Y6303" s="4">
        <v>63</v>
      </c>
      <c r="AB6303" s="17">
        <v>14</v>
      </c>
      <c r="AJ6303" s="19">
        <v>0</v>
      </c>
      <c r="AK6303" s="23">
        <v>14</v>
      </c>
      <c r="AM6303" s="19">
        <v>0</v>
      </c>
      <c r="AN6303" s="19" t="e">
        <v>#N/A</v>
      </c>
      <c r="AP6303" s="14" t="e">
        <v>#N/A</v>
      </c>
    </row>
    <row r="6304" spans="1:45" x14ac:dyDescent="0.2">
      <c r="A6304" s="2">
        <v>5195</v>
      </c>
      <c r="B6304" s="13">
        <v>12</v>
      </c>
      <c r="C6304" s="17" t="s">
        <v>52</v>
      </c>
      <c r="D6304" s="17">
        <v>5134</v>
      </c>
      <c r="E6304" s="17">
        <v>1</v>
      </c>
      <c r="F6304" s="17">
        <v>2887</v>
      </c>
      <c r="G6304" s="13">
        <v>7</v>
      </c>
      <c r="H6304" s="17">
        <v>13</v>
      </c>
      <c r="I6304" s="17">
        <v>0</v>
      </c>
      <c r="J6304" s="17">
        <v>42</v>
      </c>
      <c r="K6304" s="10">
        <v>5242</v>
      </c>
      <c r="P6304" s="17">
        <v>1</v>
      </c>
      <c r="Q6304" s="19">
        <v>5242</v>
      </c>
      <c r="R6304" s="14">
        <v>1100</v>
      </c>
      <c r="S6304" s="19">
        <v>5766200</v>
      </c>
      <c r="AJ6304" s="19">
        <v>0</v>
      </c>
      <c r="AK6304" s="23">
        <v>0</v>
      </c>
      <c r="AM6304" s="19">
        <v>0</v>
      </c>
      <c r="AN6304" s="19">
        <v>5766200</v>
      </c>
      <c r="AP6304" s="14">
        <v>5766200</v>
      </c>
    </row>
    <row r="6305" spans="1:45" ht="42" x14ac:dyDescent="0.2">
      <c r="A6305" s="2">
        <f>+A6304+1</f>
        <v>5196</v>
      </c>
      <c r="B6305" s="13">
        <v>1</v>
      </c>
      <c r="C6305" s="17" t="s">
        <v>52</v>
      </c>
      <c r="D6305" s="17">
        <v>21917</v>
      </c>
      <c r="E6305" s="17">
        <v>8</v>
      </c>
      <c r="F6305" s="17">
        <v>4744</v>
      </c>
      <c r="G6305" s="13">
        <v>7</v>
      </c>
      <c r="H6305" s="17">
        <v>0</v>
      </c>
      <c r="I6305" s="17">
        <v>3</v>
      </c>
      <c r="J6305" s="17">
        <v>98</v>
      </c>
      <c r="K6305" s="10">
        <v>375.5</v>
      </c>
      <c r="L6305" s="17">
        <v>22.5</v>
      </c>
      <c r="P6305" s="17">
        <v>5</v>
      </c>
      <c r="Q6305" s="19">
        <v>398</v>
      </c>
      <c r="R6305" s="14">
        <v>4500</v>
      </c>
      <c r="S6305" s="19">
        <v>1791000</v>
      </c>
      <c r="T6305" s="17">
        <v>1</v>
      </c>
      <c r="V6305" s="17" t="s">
        <v>183</v>
      </c>
      <c r="W6305" s="4">
        <v>90</v>
      </c>
      <c r="Y6305" s="4">
        <v>90</v>
      </c>
      <c r="AB6305" s="17">
        <v>20</v>
      </c>
      <c r="AJ6305" s="19">
        <v>0</v>
      </c>
      <c r="AK6305" s="23">
        <v>20</v>
      </c>
      <c r="AM6305" s="19">
        <v>0</v>
      </c>
      <c r="AN6305" s="19">
        <v>1791000</v>
      </c>
      <c r="AP6305" s="14">
        <v>1791000</v>
      </c>
    </row>
    <row r="6306" spans="1:45" ht="42" x14ac:dyDescent="0.2">
      <c r="A6306" s="122">
        <f t="shared" ref="A6306:A6320" si="658">+A6305+1</f>
        <v>5197</v>
      </c>
      <c r="B6306" s="13">
        <v>1</v>
      </c>
      <c r="C6306" s="17" t="s">
        <v>52</v>
      </c>
      <c r="D6306" s="17">
        <v>21916</v>
      </c>
      <c r="E6306" s="17">
        <v>7</v>
      </c>
      <c r="F6306" s="17">
        <v>4743</v>
      </c>
      <c r="G6306" s="13">
        <v>7</v>
      </c>
      <c r="H6306" s="17">
        <v>9</v>
      </c>
      <c r="I6306" s="17">
        <v>1</v>
      </c>
      <c r="J6306" s="17">
        <v>5</v>
      </c>
      <c r="K6306" s="10">
        <v>3680</v>
      </c>
      <c r="L6306" s="17">
        <v>25</v>
      </c>
      <c r="P6306" s="17">
        <v>5</v>
      </c>
      <c r="Q6306" s="19">
        <v>3705</v>
      </c>
      <c r="R6306" s="14">
        <v>1100</v>
      </c>
      <c r="S6306" s="19">
        <v>4075500</v>
      </c>
      <c r="T6306" s="17">
        <v>1</v>
      </c>
      <c r="V6306" s="17" t="s">
        <v>183</v>
      </c>
      <c r="W6306" s="4">
        <v>100</v>
      </c>
      <c r="Y6306" s="4">
        <v>100</v>
      </c>
      <c r="AB6306" s="17">
        <v>15</v>
      </c>
      <c r="AJ6306" s="19">
        <v>0</v>
      </c>
      <c r="AK6306" s="23">
        <v>15</v>
      </c>
      <c r="AM6306" s="19">
        <v>0</v>
      </c>
      <c r="AN6306" s="19">
        <v>4075500</v>
      </c>
      <c r="AP6306" s="14">
        <v>4075500</v>
      </c>
      <c r="AS6306" s="26">
        <v>58</v>
      </c>
    </row>
    <row r="6307" spans="1:45" x14ac:dyDescent="0.2">
      <c r="A6307" s="122">
        <f t="shared" si="658"/>
        <v>5198</v>
      </c>
      <c r="B6307" s="13">
        <v>1</v>
      </c>
      <c r="C6307" s="17" t="s">
        <v>52</v>
      </c>
      <c r="D6307" s="17">
        <v>4875</v>
      </c>
      <c r="E6307" s="17">
        <v>43</v>
      </c>
      <c r="F6307" s="17">
        <v>2601</v>
      </c>
      <c r="G6307" s="13">
        <v>7</v>
      </c>
      <c r="H6307" s="17">
        <v>1</v>
      </c>
      <c r="I6307" s="17">
        <v>3</v>
      </c>
      <c r="J6307" s="17">
        <v>50</v>
      </c>
      <c r="K6307" s="10">
        <v>750</v>
      </c>
      <c r="P6307" s="17">
        <v>1</v>
      </c>
      <c r="Q6307" s="19">
        <v>750</v>
      </c>
      <c r="R6307" s="14">
        <v>160</v>
      </c>
      <c r="S6307" s="19">
        <v>120000</v>
      </c>
      <c r="AJ6307" s="19">
        <v>0</v>
      </c>
      <c r="AK6307" s="23">
        <v>0</v>
      </c>
      <c r="AM6307" s="19">
        <v>0</v>
      </c>
      <c r="AN6307" s="19">
        <v>120000</v>
      </c>
      <c r="AP6307" s="14">
        <v>120000</v>
      </c>
      <c r="AS6307" s="26">
        <v>8</v>
      </c>
    </row>
    <row r="6308" spans="1:45" x14ac:dyDescent="0.2">
      <c r="A6308" s="122">
        <f t="shared" si="658"/>
        <v>5199</v>
      </c>
      <c r="B6308" s="13">
        <v>2</v>
      </c>
      <c r="C6308" s="17" t="s">
        <v>52</v>
      </c>
      <c r="D6308" s="17">
        <v>4979</v>
      </c>
      <c r="E6308" s="17">
        <v>37</v>
      </c>
      <c r="F6308" s="17">
        <v>2595</v>
      </c>
      <c r="G6308" s="13">
        <v>7</v>
      </c>
      <c r="H6308" s="17">
        <v>0</v>
      </c>
      <c r="I6308" s="17">
        <v>0</v>
      </c>
      <c r="J6308" s="17">
        <v>86</v>
      </c>
      <c r="N6308" s="18">
        <v>86</v>
      </c>
      <c r="P6308" s="17">
        <v>4</v>
      </c>
      <c r="Q6308" s="19">
        <v>86</v>
      </c>
      <c r="R6308" s="14">
        <v>3350</v>
      </c>
      <c r="S6308" s="19">
        <v>288100</v>
      </c>
      <c r="AJ6308" s="19">
        <v>0</v>
      </c>
      <c r="AK6308" s="23">
        <v>0</v>
      </c>
      <c r="AM6308" s="19">
        <v>0</v>
      </c>
      <c r="AN6308" s="19">
        <v>288100</v>
      </c>
      <c r="AP6308" s="14">
        <v>288100</v>
      </c>
      <c r="AQ6308" s="12">
        <v>3.0000000000000001E-3</v>
      </c>
    </row>
    <row r="6309" spans="1:45" x14ac:dyDescent="0.2">
      <c r="A6309" s="122">
        <f t="shared" si="658"/>
        <v>5200</v>
      </c>
      <c r="B6309" s="13">
        <v>3</v>
      </c>
      <c r="C6309" s="17" t="s">
        <v>52</v>
      </c>
      <c r="D6309" s="17">
        <v>28021</v>
      </c>
      <c r="E6309" s="17">
        <v>90</v>
      </c>
      <c r="F6309" s="17">
        <v>5012</v>
      </c>
      <c r="G6309" s="13">
        <v>7</v>
      </c>
      <c r="H6309" s="17">
        <v>0</v>
      </c>
      <c r="I6309" s="17">
        <v>0</v>
      </c>
      <c r="J6309" s="17">
        <v>50</v>
      </c>
      <c r="N6309" s="18">
        <v>50</v>
      </c>
      <c r="P6309" s="17">
        <v>4</v>
      </c>
      <c r="Q6309" s="19">
        <v>50</v>
      </c>
      <c r="R6309" s="14">
        <v>4500</v>
      </c>
      <c r="S6309" s="19">
        <v>225000</v>
      </c>
      <c r="AJ6309" s="19">
        <v>0</v>
      </c>
      <c r="AK6309" s="23">
        <v>0</v>
      </c>
      <c r="AM6309" s="19">
        <v>0</v>
      </c>
      <c r="AN6309" s="19">
        <v>225000</v>
      </c>
      <c r="AP6309" s="14">
        <v>225000</v>
      </c>
      <c r="AQ6309" s="12">
        <v>3.0000000000000001E-3</v>
      </c>
    </row>
    <row r="6310" spans="1:45" x14ac:dyDescent="0.2">
      <c r="A6310" s="122">
        <f t="shared" si="658"/>
        <v>5201</v>
      </c>
      <c r="B6310" s="13">
        <v>1</v>
      </c>
      <c r="C6310" s="17" t="s">
        <v>52</v>
      </c>
      <c r="D6310" s="17">
        <v>4976</v>
      </c>
      <c r="E6310" s="17">
        <v>34</v>
      </c>
      <c r="F6310" s="17">
        <v>2592</v>
      </c>
      <c r="G6310" s="13">
        <v>7</v>
      </c>
      <c r="H6310" s="17">
        <v>1</v>
      </c>
      <c r="I6310" s="17">
        <v>3</v>
      </c>
      <c r="J6310" s="17">
        <v>82</v>
      </c>
      <c r="K6310" s="10">
        <v>782</v>
      </c>
      <c r="P6310" s="17">
        <v>1</v>
      </c>
      <c r="Q6310" s="19">
        <v>782</v>
      </c>
      <c r="R6310" s="14">
        <v>160</v>
      </c>
      <c r="S6310" s="19">
        <v>125120</v>
      </c>
      <c r="AJ6310" s="19">
        <v>0</v>
      </c>
      <c r="AK6310" s="23">
        <v>0</v>
      </c>
      <c r="AM6310" s="19">
        <v>0</v>
      </c>
      <c r="AN6310" s="19">
        <v>125120</v>
      </c>
      <c r="AP6310" s="14">
        <v>125120</v>
      </c>
      <c r="AS6310" s="26">
        <v>14</v>
      </c>
    </row>
    <row r="6311" spans="1:45" x14ac:dyDescent="0.2">
      <c r="A6311" s="122">
        <f t="shared" si="658"/>
        <v>5202</v>
      </c>
      <c r="B6311" s="13">
        <v>1</v>
      </c>
      <c r="C6311" s="17" t="s">
        <v>65</v>
      </c>
      <c r="D6311" s="17">
        <v>3243</v>
      </c>
      <c r="E6311" s="17">
        <v>4</v>
      </c>
      <c r="H6311" s="17">
        <v>9</v>
      </c>
      <c r="I6311" s="17">
        <v>0</v>
      </c>
      <c r="J6311" s="17">
        <v>75</v>
      </c>
      <c r="K6311" s="10">
        <v>3675</v>
      </c>
      <c r="P6311" s="17">
        <v>1</v>
      </c>
      <c r="Q6311" s="19">
        <v>3675</v>
      </c>
      <c r="R6311" s="14">
        <v>2250</v>
      </c>
      <c r="S6311" s="19">
        <v>8268750</v>
      </c>
      <c r="AJ6311" s="19">
        <v>0</v>
      </c>
      <c r="AK6311" s="23">
        <v>0</v>
      </c>
      <c r="AM6311" s="19">
        <v>0</v>
      </c>
      <c r="AN6311" s="19">
        <v>8268750</v>
      </c>
      <c r="AP6311" s="14">
        <v>8268750</v>
      </c>
      <c r="AQ6311" s="12">
        <v>1E-4</v>
      </c>
      <c r="AS6311" s="26">
        <v>221</v>
      </c>
    </row>
    <row r="6312" spans="1:45" x14ac:dyDescent="0.2">
      <c r="A6312" s="122">
        <f t="shared" si="658"/>
        <v>5203</v>
      </c>
      <c r="B6312" s="13">
        <v>2</v>
      </c>
      <c r="C6312" s="17" t="s">
        <v>65</v>
      </c>
      <c r="D6312" s="17">
        <v>3351</v>
      </c>
      <c r="E6312" s="17">
        <v>16</v>
      </c>
      <c r="H6312" s="17">
        <v>0</v>
      </c>
      <c r="I6312" s="17">
        <v>0</v>
      </c>
      <c r="J6312" s="17">
        <v>60</v>
      </c>
      <c r="K6312" s="10">
        <v>60</v>
      </c>
      <c r="P6312" s="17">
        <v>1</v>
      </c>
      <c r="Q6312" s="19">
        <v>60</v>
      </c>
      <c r="R6312" s="14">
        <v>4500</v>
      </c>
      <c r="S6312" s="19">
        <v>270000</v>
      </c>
      <c r="AJ6312" s="19">
        <v>0</v>
      </c>
      <c r="AK6312" s="23">
        <v>0</v>
      </c>
      <c r="AM6312" s="19">
        <v>0</v>
      </c>
      <c r="AN6312" s="19">
        <v>270000</v>
      </c>
      <c r="AP6312" s="14">
        <v>270000</v>
      </c>
      <c r="AQ6312" s="12">
        <v>1E-4</v>
      </c>
    </row>
    <row r="6313" spans="1:45" x14ac:dyDescent="0.2">
      <c r="A6313" s="122">
        <f t="shared" si="658"/>
        <v>5204</v>
      </c>
      <c r="B6313" s="13">
        <v>1</v>
      </c>
      <c r="C6313" s="17" t="s">
        <v>52</v>
      </c>
      <c r="D6313" s="17">
        <v>4992</v>
      </c>
      <c r="E6313" s="17">
        <v>52</v>
      </c>
      <c r="F6313" s="17">
        <v>2610</v>
      </c>
      <c r="G6313" s="13">
        <v>7</v>
      </c>
      <c r="H6313" s="17">
        <v>0</v>
      </c>
      <c r="I6313" s="17">
        <v>0</v>
      </c>
      <c r="J6313" s="17">
        <v>52</v>
      </c>
      <c r="K6313" s="10">
        <v>52</v>
      </c>
      <c r="P6313" s="17">
        <v>1</v>
      </c>
      <c r="Q6313" s="19">
        <v>52</v>
      </c>
      <c r="R6313" s="14">
        <v>4500</v>
      </c>
      <c r="S6313" s="19">
        <v>234000</v>
      </c>
      <c r="AJ6313" s="19">
        <v>0</v>
      </c>
      <c r="AK6313" s="23">
        <v>0</v>
      </c>
      <c r="AM6313" s="19">
        <v>0</v>
      </c>
      <c r="AN6313" s="19">
        <v>234000</v>
      </c>
      <c r="AP6313" s="14">
        <v>234000</v>
      </c>
    </row>
    <row r="6314" spans="1:45" ht="42" x14ac:dyDescent="0.2">
      <c r="A6314" s="122">
        <f t="shared" si="658"/>
        <v>5205</v>
      </c>
      <c r="B6314" s="13">
        <v>1</v>
      </c>
      <c r="C6314" s="17" t="s">
        <v>52</v>
      </c>
      <c r="D6314" s="17">
        <v>4987</v>
      </c>
      <c r="E6314" s="17">
        <v>57</v>
      </c>
      <c r="F6314" s="17">
        <v>2605</v>
      </c>
      <c r="G6314" s="13">
        <v>7</v>
      </c>
      <c r="H6314" s="17">
        <v>2</v>
      </c>
      <c r="I6314" s="17">
        <v>1</v>
      </c>
      <c r="J6314" s="17">
        <v>76</v>
      </c>
      <c r="K6314" s="10">
        <v>910.75</v>
      </c>
      <c r="L6314" s="17">
        <v>65.25</v>
      </c>
      <c r="P6314" s="17">
        <v>5</v>
      </c>
      <c r="Q6314" s="19">
        <v>976</v>
      </c>
      <c r="R6314" s="14">
        <v>3400</v>
      </c>
      <c r="S6314" s="19">
        <v>3318400</v>
      </c>
      <c r="T6314" s="17">
        <v>1</v>
      </c>
      <c r="V6314" s="17" t="s">
        <v>183</v>
      </c>
      <c r="W6314" s="4">
        <v>261</v>
      </c>
      <c r="Y6314" s="4">
        <v>261</v>
      </c>
      <c r="AB6314" s="17">
        <v>29</v>
      </c>
      <c r="AJ6314" s="19">
        <v>0</v>
      </c>
      <c r="AK6314" s="23">
        <v>29</v>
      </c>
      <c r="AM6314" s="19">
        <v>0</v>
      </c>
      <c r="AN6314" s="19">
        <v>3318400</v>
      </c>
      <c r="AP6314" s="14">
        <v>3318400</v>
      </c>
      <c r="AS6314" s="26">
        <v>246</v>
      </c>
    </row>
    <row r="6315" spans="1:45" x14ac:dyDescent="0.2">
      <c r="A6315" s="122">
        <f t="shared" si="658"/>
        <v>5206</v>
      </c>
      <c r="B6315" s="13">
        <v>2</v>
      </c>
      <c r="C6315" s="17" t="s">
        <v>52</v>
      </c>
      <c r="D6315" s="17">
        <v>5023</v>
      </c>
      <c r="E6315" s="17">
        <v>21</v>
      </c>
      <c r="F6315" s="17">
        <v>2764</v>
      </c>
      <c r="G6315" s="13">
        <v>7</v>
      </c>
      <c r="H6315" s="17">
        <v>23</v>
      </c>
      <c r="I6315" s="17">
        <v>1</v>
      </c>
      <c r="J6315" s="17">
        <v>48</v>
      </c>
      <c r="K6315" s="10">
        <v>9348</v>
      </c>
      <c r="P6315" s="17">
        <v>1</v>
      </c>
      <c r="Q6315" s="19">
        <v>9348</v>
      </c>
      <c r="R6315" s="14">
        <v>160</v>
      </c>
      <c r="S6315" s="19">
        <v>1495680</v>
      </c>
      <c r="AJ6315" s="19">
        <v>0</v>
      </c>
      <c r="AK6315" s="23">
        <v>0</v>
      </c>
      <c r="AM6315" s="19">
        <v>0</v>
      </c>
      <c r="AN6315" s="19">
        <v>1495680</v>
      </c>
      <c r="AP6315" s="14">
        <v>1495680</v>
      </c>
    </row>
    <row r="6316" spans="1:45" x14ac:dyDescent="0.2">
      <c r="A6316" s="122">
        <f t="shared" si="658"/>
        <v>5207</v>
      </c>
      <c r="B6316" s="13">
        <v>3</v>
      </c>
      <c r="C6316" s="17" t="s">
        <v>52</v>
      </c>
      <c r="D6316" s="17">
        <v>5097</v>
      </c>
      <c r="E6316" s="17">
        <v>8</v>
      </c>
      <c r="F6316" s="17">
        <v>2863</v>
      </c>
      <c r="G6316" s="13">
        <v>7</v>
      </c>
      <c r="H6316" s="17">
        <v>21</v>
      </c>
      <c r="I6316" s="17">
        <v>1</v>
      </c>
      <c r="J6316" s="17">
        <v>25</v>
      </c>
      <c r="K6316" s="10">
        <v>8525</v>
      </c>
      <c r="P6316" s="17">
        <v>1</v>
      </c>
      <c r="Q6316" s="19">
        <v>8525</v>
      </c>
      <c r="R6316" s="14">
        <v>160</v>
      </c>
      <c r="S6316" s="19">
        <v>1364000</v>
      </c>
      <c r="AJ6316" s="19">
        <v>0</v>
      </c>
      <c r="AK6316" s="23">
        <v>0</v>
      </c>
      <c r="AM6316" s="19">
        <v>0</v>
      </c>
      <c r="AN6316" s="19">
        <v>1364000</v>
      </c>
      <c r="AP6316" s="14">
        <v>1364000</v>
      </c>
    </row>
    <row r="6317" spans="1:45" x14ac:dyDescent="0.2">
      <c r="A6317" s="122">
        <f t="shared" si="658"/>
        <v>5208</v>
      </c>
      <c r="B6317" s="13">
        <v>4</v>
      </c>
      <c r="C6317" s="17" t="s">
        <v>52</v>
      </c>
      <c r="D6317" s="17">
        <v>25967</v>
      </c>
      <c r="E6317" s="17">
        <v>89</v>
      </c>
      <c r="F6317" s="17">
        <v>4901</v>
      </c>
      <c r="G6317" s="13">
        <v>7</v>
      </c>
      <c r="H6317" s="17">
        <v>0</v>
      </c>
      <c r="I6317" s="17">
        <v>1</v>
      </c>
      <c r="J6317" s="17">
        <v>55</v>
      </c>
      <c r="K6317" s="10">
        <v>155</v>
      </c>
      <c r="P6317" s="17">
        <v>1</v>
      </c>
      <c r="Q6317" s="19">
        <v>155</v>
      </c>
      <c r="R6317" s="14">
        <v>250</v>
      </c>
      <c r="S6317" s="19">
        <v>38750</v>
      </c>
      <c r="AJ6317" s="19">
        <v>0</v>
      </c>
      <c r="AK6317" s="23">
        <v>0</v>
      </c>
      <c r="AM6317" s="19">
        <v>0</v>
      </c>
      <c r="AN6317" s="19">
        <v>38750</v>
      </c>
      <c r="AP6317" s="14">
        <v>38750</v>
      </c>
    </row>
    <row r="6318" spans="1:45" ht="42" x14ac:dyDescent="0.2">
      <c r="A6318" s="122">
        <f t="shared" si="658"/>
        <v>5209</v>
      </c>
      <c r="B6318" s="13">
        <v>1</v>
      </c>
      <c r="C6318" s="17" t="s">
        <v>52</v>
      </c>
      <c r="D6318" s="17">
        <v>4989</v>
      </c>
      <c r="E6318" s="17">
        <v>55</v>
      </c>
      <c r="F6318" s="17">
        <v>2607</v>
      </c>
      <c r="G6318" s="13">
        <v>7</v>
      </c>
      <c r="H6318" s="17">
        <v>0</v>
      </c>
      <c r="I6318" s="17">
        <v>0</v>
      </c>
      <c r="J6318" s="17">
        <v>75</v>
      </c>
      <c r="L6318" s="17" t="s">
        <v>403</v>
      </c>
      <c r="P6318" s="17">
        <v>2</v>
      </c>
      <c r="Q6318" s="19">
        <v>75</v>
      </c>
      <c r="R6318" s="14">
        <v>4500</v>
      </c>
      <c r="S6318" s="19">
        <v>337500</v>
      </c>
      <c r="T6318" s="17">
        <v>1</v>
      </c>
      <c r="V6318" s="17" t="s">
        <v>183</v>
      </c>
      <c r="W6318" s="4">
        <v>232</v>
      </c>
      <c r="Y6318" s="4">
        <v>232</v>
      </c>
      <c r="AB6318" s="17">
        <v>31</v>
      </c>
      <c r="AJ6318" s="19">
        <v>0</v>
      </c>
      <c r="AK6318" s="23">
        <v>31</v>
      </c>
      <c r="AM6318" s="19">
        <v>0</v>
      </c>
      <c r="AN6318" s="19">
        <v>337500</v>
      </c>
      <c r="AP6318" s="14">
        <v>337500</v>
      </c>
    </row>
    <row r="6319" spans="1:45" x14ac:dyDescent="0.2">
      <c r="A6319" s="122">
        <f t="shared" si="658"/>
        <v>5210</v>
      </c>
      <c r="B6319" s="13">
        <v>2</v>
      </c>
      <c r="C6319" s="17" t="s">
        <v>69</v>
      </c>
      <c r="E6319" s="17">
        <v>1500</v>
      </c>
      <c r="F6319" s="17">
        <v>8</v>
      </c>
      <c r="G6319" s="13">
        <v>6</v>
      </c>
      <c r="H6319" s="17">
        <v>26</v>
      </c>
      <c r="I6319" s="17">
        <v>0</v>
      </c>
      <c r="J6319" s="17">
        <v>16</v>
      </c>
      <c r="K6319" s="10">
        <v>10416</v>
      </c>
      <c r="P6319" s="17">
        <v>1</v>
      </c>
      <c r="Q6319" s="19">
        <v>10416</v>
      </c>
      <c r="R6319" s="14">
        <v>160</v>
      </c>
      <c r="S6319" s="19">
        <v>1666560</v>
      </c>
      <c r="AJ6319" s="19">
        <v>0</v>
      </c>
      <c r="AK6319" s="23">
        <v>0</v>
      </c>
      <c r="AM6319" s="19">
        <v>0</v>
      </c>
      <c r="AN6319" s="19">
        <v>1666560</v>
      </c>
      <c r="AP6319" s="14">
        <v>1666560</v>
      </c>
      <c r="AQ6319" s="12">
        <v>1E-4</v>
      </c>
    </row>
    <row r="6320" spans="1:45" x14ac:dyDescent="0.2">
      <c r="A6320" s="122">
        <f t="shared" si="658"/>
        <v>5211</v>
      </c>
      <c r="B6320" s="13">
        <v>1</v>
      </c>
      <c r="C6320" s="17" t="s">
        <v>69</v>
      </c>
      <c r="E6320" s="17">
        <v>1500</v>
      </c>
      <c r="F6320" s="17">
        <v>7</v>
      </c>
      <c r="G6320" s="13">
        <v>6</v>
      </c>
      <c r="H6320" s="17">
        <v>20</v>
      </c>
      <c r="I6320" s="17">
        <v>0</v>
      </c>
      <c r="J6320" s="17">
        <v>54</v>
      </c>
      <c r="K6320" s="10">
        <v>8054</v>
      </c>
      <c r="P6320" s="17">
        <v>1</v>
      </c>
      <c r="Q6320" s="19">
        <v>8054</v>
      </c>
      <c r="R6320" s="14">
        <v>160</v>
      </c>
      <c r="S6320" s="19">
        <v>1288640</v>
      </c>
      <c r="AJ6320" s="19">
        <v>0</v>
      </c>
      <c r="AK6320" s="23">
        <v>0</v>
      </c>
      <c r="AM6320" s="19">
        <v>0</v>
      </c>
      <c r="AN6320" s="19">
        <v>1288640</v>
      </c>
      <c r="AP6320" s="14">
        <v>1288640</v>
      </c>
      <c r="AQ6320" s="12">
        <v>1E-4</v>
      </c>
    </row>
    <row r="6321" spans="1:45" x14ac:dyDescent="0.2">
      <c r="B6321" s="13">
        <v>1</v>
      </c>
      <c r="C6321" s="17" t="s">
        <v>97</v>
      </c>
      <c r="D6321" s="17">
        <v>129</v>
      </c>
      <c r="G6321" s="13">
        <v>6</v>
      </c>
      <c r="H6321" s="17">
        <v>3</v>
      </c>
      <c r="I6321" s="17">
        <v>0</v>
      </c>
      <c r="J6321" s="17">
        <v>76</v>
      </c>
      <c r="K6321" s="10">
        <v>1276</v>
      </c>
      <c r="P6321" s="17">
        <v>1</v>
      </c>
      <c r="Q6321" s="19">
        <v>1276</v>
      </c>
      <c r="R6321" s="14" t="e">
        <v>#N/A</v>
      </c>
      <c r="S6321" s="19" t="e">
        <v>#N/A</v>
      </c>
      <c r="AJ6321" s="19">
        <v>0</v>
      </c>
      <c r="AK6321" s="23">
        <v>0</v>
      </c>
      <c r="AM6321" s="19">
        <v>0</v>
      </c>
      <c r="AN6321" s="19" t="e">
        <v>#N/A</v>
      </c>
      <c r="AP6321" s="14" t="e">
        <v>#N/A</v>
      </c>
      <c r="AQ6321" s="12">
        <v>1E-4</v>
      </c>
    </row>
    <row r="6322" spans="1:45" ht="42" x14ac:dyDescent="0.2">
      <c r="A6322" s="2">
        <v>5212</v>
      </c>
      <c r="B6322" s="13">
        <v>1</v>
      </c>
      <c r="C6322" s="17" t="s">
        <v>52</v>
      </c>
      <c r="D6322" s="17">
        <v>31584</v>
      </c>
      <c r="E6322" s="17">
        <v>96</v>
      </c>
      <c r="F6322" s="17">
        <v>6184</v>
      </c>
      <c r="G6322" s="13">
        <v>7</v>
      </c>
      <c r="H6322" s="17">
        <v>0</v>
      </c>
      <c r="I6322" s="17">
        <v>3</v>
      </c>
      <c r="J6322" s="17">
        <v>52</v>
      </c>
      <c r="N6322" s="18">
        <v>352</v>
      </c>
      <c r="Q6322" s="19">
        <v>352</v>
      </c>
      <c r="R6322" s="14">
        <v>160</v>
      </c>
      <c r="S6322" s="19">
        <v>56320</v>
      </c>
      <c r="AJ6322" s="19">
        <v>0</v>
      </c>
      <c r="AK6322" s="23">
        <v>0</v>
      </c>
      <c r="AM6322" s="19">
        <v>0</v>
      </c>
      <c r="AN6322" s="19">
        <v>56320</v>
      </c>
      <c r="AP6322" s="14">
        <v>56320</v>
      </c>
      <c r="AQ6322" s="12">
        <v>3.0000000000000001E-3</v>
      </c>
      <c r="AS6322" s="26" t="s">
        <v>170</v>
      </c>
    </row>
    <row r="6323" spans="1:45" x14ac:dyDescent="0.2">
      <c r="B6323" s="13">
        <v>2</v>
      </c>
      <c r="C6323" s="17" t="s">
        <v>97</v>
      </c>
      <c r="D6323" s="17">
        <v>137</v>
      </c>
      <c r="G6323" s="13">
        <v>7</v>
      </c>
      <c r="H6323" s="17">
        <v>0</v>
      </c>
      <c r="I6323" s="17">
        <v>3</v>
      </c>
      <c r="J6323" s="17">
        <v>78</v>
      </c>
      <c r="K6323" s="10">
        <v>378</v>
      </c>
      <c r="Q6323" s="19">
        <v>378</v>
      </c>
      <c r="R6323" s="14" t="e">
        <v>#N/A</v>
      </c>
      <c r="S6323" s="19" t="e">
        <v>#N/A</v>
      </c>
      <c r="AE6323" s="17" t="s">
        <v>647</v>
      </c>
      <c r="AJ6323" s="19">
        <v>0</v>
      </c>
      <c r="AK6323" s="23">
        <v>0</v>
      </c>
      <c r="AM6323" s="19">
        <v>0</v>
      </c>
      <c r="AN6323" s="19" t="e">
        <v>#N/A</v>
      </c>
      <c r="AP6323" s="14" t="e">
        <v>#N/A</v>
      </c>
      <c r="AQ6323" s="12">
        <v>1E-4</v>
      </c>
    </row>
    <row r="6324" spans="1:45" x14ac:dyDescent="0.2">
      <c r="A6324" s="2">
        <v>5213</v>
      </c>
      <c r="B6324" s="13">
        <v>1</v>
      </c>
      <c r="C6324" s="17" t="s">
        <v>52</v>
      </c>
      <c r="D6324" s="17">
        <v>4997</v>
      </c>
      <c r="E6324" s="17">
        <v>11</v>
      </c>
      <c r="F6324" s="17">
        <v>2616</v>
      </c>
      <c r="G6324" s="13">
        <v>7</v>
      </c>
      <c r="H6324" s="17">
        <v>3</v>
      </c>
      <c r="I6324" s="17">
        <v>1</v>
      </c>
      <c r="J6324" s="17">
        <v>0</v>
      </c>
      <c r="K6324" s="10">
        <v>1300</v>
      </c>
      <c r="P6324" s="17">
        <v>1</v>
      </c>
      <c r="Q6324" s="19">
        <v>1300</v>
      </c>
      <c r="R6324" s="14">
        <v>2250</v>
      </c>
      <c r="S6324" s="19">
        <v>2925000</v>
      </c>
      <c r="AJ6324" s="19">
        <v>0</v>
      </c>
      <c r="AK6324" s="23">
        <v>0</v>
      </c>
      <c r="AM6324" s="19">
        <v>0</v>
      </c>
      <c r="AN6324" s="19">
        <v>2925000</v>
      </c>
      <c r="AP6324" s="14">
        <v>2925000</v>
      </c>
    </row>
    <row r="6325" spans="1:45" ht="42" x14ac:dyDescent="0.2">
      <c r="A6325" s="2">
        <f>+A6324+1</f>
        <v>5214</v>
      </c>
      <c r="B6325" s="13">
        <v>1</v>
      </c>
      <c r="C6325" s="17" t="s">
        <v>52</v>
      </c>
      <c r="D6325" s="17">
        <v>4991</v>
      </c>
      <c r="E6325" s="17">
        <v>53</v>
      </c>
      <c r="F6325" s="17">
        <v>2609</v>
      </c>
      <c r="G6325" s="13">
        <v>7</v>
      </c>
      <c r="H6325" s="17">
        <v>0</v>
      </c>
      <c r="I6325" s="17">
        <v>0</v>
      </c>
      <c r="J6325" s="17">
        <v>43</v>
      </c>
      <c r="N6325" s="18">
        <v>43</v>
      </c>
      <c r="P6325" s="17">
        <v>4</v>
      </c>
      <c r="Q6325" s="19">
        <v>43</v>
      </c>
      <c r="R6325" s="14">
        <v>4500</v>
      </c>
      <c r="S6325" s="19">
        <v>193500</v>
      </c>
      <c r="AJ6325" s="19">
        <v>0</v>
      </c>
      <c r="AK6325" s="23">
        <v>0</v>
      </c>
      <c r="AM6325" s="19">
        <v>0</v>
      </c>
      <c r="AN6325" s="19">
        <v>193500</v>
      </c>
      <c r="AP6325" s="14">
        <v>193500</v>
      </c>
      <c r="AQ6325" s="12">
        <v>3.0000000000000001E-3</v>
      </c>
      <c r="AS6325" s="26" t="s">
        <v>111</v>
      </c>
    </row>
    <row r="6326" spans="1:45" x14ac:dyDescent="0.2">
      <c r="A6326" s="122">
        <f t="shared" ref="A6326:A6336" si="659">+A6325+1</f>
        <v>5215</v>
      </c>
      <c r="B6326" s="13">
        <v>1</v>
      </c>
      <c r="C6326" s="17" t="s">
        <v>69</v>
      </c>
      <c r="E6326" s="17">
        <v>1515</v>
      </c>
      <c r="F6326" s="17">
        <v>1</v>
      </c>
      <c r="G6326" s="13">
        <v>6</v>
      </c>
      <c r="H6326" s="17">
        <v>12</v>
      </c>
      <c r="I6326" s="17">
        <v>1</v>
      </c>
      <c r="J6326" s="17">
        <v>15</v>
      </c>
      <c r="K6326" s="10">
        <v>4915</v>
      </c>
      <c r="P6326" s="17">
        <v>1</v>
      </c>
      <c r="Q6326" s="19">
        <v>4915</v>
      </c>
      <c r="R6326" s="14">
        <v>160</v>
      </c>
      <c r="S6326" s="19">
        <v>786400</v>
      </c>
      <c r="AJ6326" s="19">
        <v>0</v>
      </c>
      <c r="AK6326" s="23">
        <v>0</v>
      </c>
      <c r="AM6326" s="19">
        <v>0</v>
      </c>
      <c r="AN6326" s="19">
        <v>786400</v>
      </c>
      <c r="AP6326" s="14">
        <v>786400</v>
      </c>
      <c r="AQ6326" s="12">
        <v>1E-4</v>
      </c>
    </row>
    <row r="6327" spans="1:45" x14ac:dyDescent="0.2">
      <c r="A6327" s="122">
        <f t="shared" si="659"/>
        <v>5216</v>
      </c>
      <c r="B6327" s="13">
        <v>1</v>
      </c>
      <c r="C6327" s="17" t="s">
        <v>52</v>
      </c>
      <c r="D6327" s="17">
        <v>4953</v>
      </c>
      <c r="E6327" s="17">
        <v>11</v>
      </c>
      <c r="F6327" s="17">
        <v>2564</v>
      </c>
      <c r="G6327" s="13">
        <v>7</v>
      </c>
      <c r="H6327" s="17">
        <v>0</v>
      </c>
      <c r="I6327" s="17">
        <v>0</v>
      </c>
      <c r="J6327" s="17">
        <v>62</v>
      </c>
      <c r="N6327" s="18">
        <v>62</v>
      </c>
      <c r="P6327" s="17">
        <v>4</v>
      </c>
      <c r="Q6327" s="19">
        <v>62</v>
      </c>
      <c r="R6327" s="14">
        <v>4500</v>
      </c>
      <c r="S6327" s="19">
        <v>279000</v>
      </c>
      <c r="AJ6327" s="19">
        <v>0</v>
      </c>
      <c r="AK6327" s="23">
        <v>0</v>
      </c>
      <c r="AM6327" s="19">
        <v>0</v>
      </c>
      <c r="AN6327" s="19">
        <v>279000</v>
      </c>
      <c r="AP6327" s="14">
        <v>279000</v>
      </c>
      <c r="AQ6327" s="12">
        <v>3.0000000000000001E-3</v>
      </c>
    </row>
    <row r="6328" spans="1:45" x14ac:dyDescent="0.2">
      <c r="A6328" s="122">
        <f t="shared" si="659"/>
        <v>5217</v>
      </c>
      <c r="B6328" s="13">
        <v>1</v>
      </c>
      <c r="C6328" s="17" t="s">
        <v>52</v>
      </c>
      <c r="D6328" s="17">
        <v>4790</v>
      </c>
      <c r="E6328" s="17">
        <v>98</v>
      </c>
      <c r="F6328" s="17">
        <v>2661</v>
      </c>
      <c r="G6328" s="13">
        <v>7</v>
      </c>
      <c r="H6328" s="17">
        <v>2</v>
      </c>
      <c r="I6328" s="17">
        <v>0</v>
      </c>
      <c r="J6328" s="17">
        <v>55</v>
      </c>
      <c r="K6328" s="10">
        <v>855</v>
      </c>
      <c r="P6328" s="17">
        <v>1</v>
      </c>
      <c r="Q6328" s="19">
        <v>855</v>
      </c>
      <c r="R6328" s="14">
        <v>160</v>
      </c>
      <c r="S6328" s="19">
        <v>136800</v>
      </c>
      <c r="AJ6328" s="19">
        <v>0</v>
      </c>
      <c r="AK6328" s="23">
        <v>0</v>
      </c>
      <c r="AM6328" s="19">
        <v>0</v>
      </c>
      <c r="AN6328" s="19">
        <v>136800</v>
      </c>
      <c r="AP6328" s="14">
        <v>136800</v>
      </c>
      <c r="AS6328" s="26">
        <v>97</v>
      </c>
    </row>
    <row r="6329" spans="1:45" x14ac:dyDescent="0.2">
      <c r="A6329" s="122">
        <f t="shared" si="659"/>
        <v>5218</v>
      </c>
      <c r="B6329" s="13">
        <v>2</v>
      </c>
      <c r="C6329" s="17" t="s">
        <v>52</v>
      </c>
      <c r="D6329" s="17">
        <v>4791</v>
      </c>
      <c r="E6329" s="17">
        <v>99</v>
      </c>
      <c r="F6329" s="17">
        <v>2662</v>
      </c>
      <c r="G6329" s="13">
        <v>7</v>
      </c>
      <c r="H6329" s="17">
        <v>16</v>
      </c>
      <c r="I6329" s="17">
        <v>1</v>
      </c>
      <c r="J6329" s="17">
        <v>57</v>
      </c>
      <c r="K6329" s="10">
        <v>6557</v>
      </c>
      <c r="P6329" s="17">
        <v>1</v>
      </c>
      <c r="Q6329" s="19">
        <v>6557</v>
      </c>
      <c r="R6329" s="14">
        <v>160</v>
      </c>
      <c r="S6329" s="19">
        <v>1049120</v>
      </c>
      <c r="AJ6329" s="19">
        <v>0</v>
      </c>
      <c r="AK6329" s="23">
        <v>0</v>
      </c>
      <c r="AM6329" s="19">
        <v>0</v>
      </c>
      <c r="AN6329" s="19">
        <v>1049120</v>
      </c>
      <c r="AP6329" s="14">
        <v>1049120</v>
      </c>
    </row>
    <row r="6330" spans="1:45" x14ac:dyDescent="0.2">
      <c r="A6330" s="122">
        <f t="shared" si="659"/>
        <v>5219</v>
      </c>
      <c r="B6330" s="13">
        <v>1</v>
      </c>
      <c r="C6330" s="17" t="s">
        <v>52</v>
      </c>
      <c r="D6330" s="17">
        <v>4760</v>
      </c>
      <c r="E6330" s="17">
        <v>68</v>
      </c>
      <c r="F6330" s="17">
        <v>2629</v>
      </c>
      <c r="G6330" s="13">
        <v>7</v>
      </c>
      <c r="H6330" s="17">
        <v>4</v>
      </c>
      <c r="I6330" s="17">
        <v>0</v>
      </c>
      <c r="J6330" s="17">
        <v>85</v>
      </c>
      <c r="K6330" s="10">
        <v>1685</v>
      </c>
      <c r="P6330" s="17">
        <v>1</v>
      </c>
      <c r="Q6330" s="19">
        <v>1685</v>
      </c>
      <c r="R6330" s="14">
        <v>160</v>
      </c>
      <c r="S6330" s="19">
        <v>269600</v>
      </c>
      <c r="AJ6330" s="19">
        <v>0</v>
      </c>
      <c r="AK6330" s="23">
        <v>0</v>
      </c>
      <c r="AM6330" s="19">
        <v>0</v>
      </c>
      <c r="AN6330" s="19">
        <v>269600</v>
      </c>
      <c r="AP6330" s="14">
        <v>269600</v>
      </c>
    </row>
    <row r="6331" spans="1:45" x14ac:dyDescent="0.2">
      <c r="A6331" s="122">
        <f t="shared" si="659"/>
        <v>5220</v>
      </c>
      <c r="B6331" s="13">
        <v>2</v>
      </c>
      <c r="C6331" s="17" t="s">
        <v>52</v>
      </c>
      <c r="D6331" s="17">
        <v>4789</v>
      </c>
      <c r="E6331" s="17">
        <v>96</v>
      </c>
      <c r="F6331" s="17">
        <v>2659</v>
      </c>
      <c r="G6331" s="13">
        <v>7</v>
      </c>
      <c r="H6331" s="17">
        <v>27</v>
      </c>
      <c r="I6331" s="17">
        <v>1</v>
      </c>
      <c r="J6331" s="17">
        <v>77</v>
      </c>
      <c r="K6331" s="10">
        <v>10977</v>
      </c>
      <c r="P6331" s="17">
        <v>1</v>
      </c>
      <c r="Q6331" s="19">
        <v>10977</v>
      </c>
      <c r="R6331" s="14">
        <v>200</v>
      </c>
      <c r="S6331" s="19">
        <v>2195400</v>
      </c>
      <c r="AJ6331" s="19">
        <v>0</v>
      </c>
      <c r="AK6331" s="23">
        <v>0</v>
      </c>
      <c r="AM6331" s="19">
        <v>0</v>
      </c>
      <c r="AN6331" s="19">
        <v>2195400</v>
      </c>
      <c r="AP6331" s="14">
        <v>2195400</v>
      </c>
    </row>
    <row r="6332" spans="1:45" x14ac:dyDescent="0.2">
      <c r="A6332" s="122">
        <f t="shared" si="659"/>
        <v>5221</v>
      </c>
      <c r="B6332" s="13">
        <v>3</v>
      </c>
      <c r="C6332" s="17" t="s">
        <v>52</v>
      </c>
      <c r="D6332" s="17">
        <v>4813</v>
      </c>
      <c r="E6332" s="17">
        <v>70</v>
      </c>
      <c r="F6332" s="17">
        <v>2685</v>
      </c>
      <c r="G6332" s="13">
        <v>7</v>
      </c>
      <c r="H6332" s="17">
        <v>2</v>
      </c>
      <c r="I6332" s="17">
        <v>2</v>
      </c>
      <c r="J6332" s="17">
        <v>26</v>
      </c>
      <c r="K6332" s="10">
        <v>1026</v>
      </c>
      <c r="P6332" s="17">
        <v>1</v>
      </c>
      <c r="Q6332" s="19">
        <v>1026</v>
      </c>
      <c r="R6332" s="14">
        <v>160</v>
      </c>
      <c r="S6332" s="19">
        <v>164160</v>
      </c>
      <c r="AJ6332" s="19">
        <v>0</v>
      </c>
      <c r="AK6332" s="23">
        <v>0</v>
      </c>
      <c r="AM6332" s="19">
        <v>0</v>
      </c>
      <c r="AN6332" s="19">
        <v>164160</v>
      </c>
      <c r="AP6332" s="14">
        <v>164160</v>
      </c>
    </row>
    <row r="6333" spans="1:45" x14ac:dyDescent="0.2">
      <c r="A6333" s="122">
        <f t="shared" si="659"/>
        <v>5222</v>
      </c>
      <c r="B6333" s="13">
        <v>4</v>
      </c>
      <c r="C6333" s="17" t="s">
        <v>52</v>
      </c>
      <c r="D6333" s="17">
        <v>5000</v>
      </c>
      <c r="E6333" s="17">
        <v>97</v>
      </c>
      <c r="F6333" s="17">
        <v>2660</v>
      </c>
      <c r="G6333" s="13">
        <v>7</v>
      </c>
      <c r="H6333" s="17">
        <v>5</v>
      </c>
      <c r="I6333" s="17">
        <v>3</v>
      </c>
      <c r="J6333" s="17">
        <v>51</v>
      </c>
      <c r="K6333" s="10">
        <v>2351</v>
      </c>
      <c r="P6333" s="17">
        <v>1</v>
      </c>
      <c r="Q6333" s="19">
        <v>2351</v>
      </c>
      <c r="R6333" s="14">
        <v>160</v>
      </c>
      <c r="S6333" s="19">
        <v>376160</v>
      </c>
      <c r="AJ6333" s="19">
        <v>0</v>
      </c>
      <c r="AK6333" s="23">
        <v>0</v>
      </c>
      <c r="AM6333" s="19">
        <v>0</v>
      </c>
      <c r="AN6333" s="19">
        <v>376160</v>
      </c>
      <c r="AP6333" s="14">
        <v>376160</v>
      </c>
    </row>
    <row r="6334" spans="1:45" x14ac:dyDescent="0.2">
      <c r="A6334" s="122">
        <f t="shared" si="659"/>
        <v>5223</v>
      </c>
      <c r="B6334" s="13">
        <v>1</v>
      </c>
      <c r="C6334" s="17" t="s">
        <v>52</v>
      </c>
      <c r="D6334" s="17">
        <v>4765</v>
      </c>
      <c r="E6334" s="17">
        <v>72</v>
      </c>
      <c r="F6334" s="17">
        <v>2634</v>
      </c>
      <c r="G6334" s="13">
        <v>7</v>
      </c>
      <c r="H6334" s="17">
        <v>38</v>
      </c>
      <c r="I6334" s="17">
        <v>2</v>
      </c>
      <c r="J6334" s="17">
        <v>26</v>
      </c>
      <c r="K6334" s="10">
        <v>15426</v>
      </c>
      <c r="P6334" s="17">
        <v>1</v>
      </c>
      <c r="Q6334" s="19">
        <v>15426</v>
      </c>
      <c r="R6334" s="14">
        <v>160</v>
      </c>
      <c r="S6334" s="19">
        <v>2468160</v>
      </c>
      <c r="AJ6334" s="19">
        <v>0</v>
      </c>
      <c r="AK6334" s="23">
        <v>0</v>
      </c>
      <c r="AM6334" s="19">
        <v>0</v>
      </c>
      <c r="AN6334" s="19">
        <v>2468160</v>
      </c>
      <c r="AP6334" s="14">
        <v>2468160</v>
      </c>
      <c r="AS6334" s="26">
        <v>155</v>
      </c>
    </row>
    <row r="6335" spans="1:45" x14ac:dyDescent="0.2">
      <c r="A6335" s="122">
        <f t="shared" si="659"/>
        <v>5224</v>
      </c>
      <c r="B6335" s="13">
        <v>2</v>
      </c>
      <c r="C6335" s="17" t="s">
        <v>52</v>
      </c>
      <c r="D6335" s="17">
        <v>4766</v>
      </c>
      <c r="E6335" s="17">
        <v>73</v>
      </c>
      <c r="F6335" s="17">
        <v>2635</v>
      </c>
      <c r="G6335" s="13">
        <v>7</v>
      </c>
      <c r="H6335" s="17">
        <v>18</v>
      </c>
      <c r="I6335" s="17">
        <v>3</v>
      </c>
      <c r="J6335" s="17">
        <v>23</v>
      </c>
      <c r="K6335" s="10">
        <v>7523</v>
      </c>
      <c r="P6335" s="17">
        <v>1</v>
      </c>
      <c r="Q6335" s="19">
        <v>7523</v>
      </c>
      <c r="R6335" s="14">
        <v>160</v>
      </c>
      <c r="S6335" s="19">
        <v>1203680</v>
      </c>
      <c r="AJ6335" s="19">
        <v>0</v>
      </c>
      <c r="AK6335" s="23">
        <v>0</v>
      </c>
      <c r="AM6335" s="19">
        <v>0</v>
      </c>
      <c r="AN6335" s="19">
        <v>1203680</v>
      </c>
      <c r="AP6335" s="14">
        <v>1203680</v>
      </c>
    </row>
    <row r="6336" spans="1:45" x14ac:dyDescent="0.2">
      <c r="A6336" s="122">
        <f t="shared" si="659"/>
        <v>5225</v>
      </c>
      <c r="B6336" s="13">
        <v>3</v>
      </c>
      <c r="C6336" s="17" t="s">
        <v>52</v>
      </c>
      <c r="D6336" s="17">
        <v>4779</v>
      </c>
      <c r="E6336" s="17">
        <v>90</v>
      </c>
      <c r="F6336" s="17">
        <v>2649</v>
      </c>
      <c r="G6336" s="13">
        <v>7</v>
      </c>
      <c r="H6336" s="17">
        <v>13</v>
      </c>
      <c r="I6336" s="17">
        <v>0</v>
      </c>
      <c r="J6336" s="17">
        <v>8</v>
      </c>
      <c r="K6336" s="10">
        <v>5208</v>
      </c>
      <c r="P6336" s="17">
        <v>1</v>
      </c>
      <c r="Q6336" s="19">
        <v>5208</v>
      </c>
      <c r="R6336" s="14">
        <v>160</v>
      </c>
      <c r="S6336" s="19">
        <v>833280</v>
      </c>
      <c r="AJ6336" s="19">
        <v>0</v>
      </c>
      <c r="AK6336" s="23">
        <v>0</v>
      </c>
      <c r="AM6336" s="19">
        <v>0</v>
      </c>
      <c r="AN6336" s="19">
        <v>833280</v>
      </c>
      <c r="AP6336" s="14">
        <v>833280</v>
      </c>
    </row>
    <row r="6337" spans="1:45" x14ac:dyDescent="0.2">
      <c r="B6337" s="13">
        <v>4</v>
      </c>
      <c r="C6337" s="17" t="s">
        <v>97</v>
      </c>
      <c r="D6337" s="17">
        <v>43</v>
      </c>
      <c r="G6337" s="13">
        <v>6</v>
      </c>
      <c r="H6337" s="17">
        <v>1</v>
      </c>
      <c r="I6337" s="17">
        <v>3</v>
      </c>
      <c r="J6337" s="17">
        <v>20</v>
      </c>
      <c r="K6337" s="10">
        <v>720</v>
      </c>
      <c r="P6337" s="17">
        <v>1</v>
      </c>
      <c r="Q6337" s="19">
        <v>720</v>
      </c>
      <c r="R6337" s="14" t="e">
        <v>#N/A</v>
      </c>
      <c r="S6337" s="19" t="e">
        <v>#N/A</v>
      </c>
      <c r="AJ6337" s="19">
        <v>0</v>
      </c>
      <c r="AK6337" s="23">
        <v>0</v>
      </c>
      <c r="AM6337" s="19">
        <v>0</v>
      </c>
      <c r="AN6337" s="19" t="e">
        <v>#N/A</v>
      </c>
      <c r="AP6337" s="14" t="e">
        <v>#N/A</v>
      </c>
      <c r="AQ6337" s="12">
        <v>1E-4</v>
      </c>
    </row>
    <row r="6338" spans="1:45" x14ac:dyDescent="0.2">
      <c r="A6338" s="2">
        <v>5226</v>
      </c>
      <c r="B6338" s="13">
        <v>1</v>
      </c>
      <c r="C6338" s="17" t="s">
        <v>52</v>
      </c>
      <c r="D6338" s="17">
        <v>4767</v>
      </c>
      <c r="E6338" s="17">
        <v>77</v>
      </c>
      <c r="F6338" s="17">
        <v>2636</v>
      </c>
      <c r="G6338" s="13">
        <v>7</v>
      </c>
      <c r="H6338" s="17">
        <v>6</v>
      </c>
      <c r="I6338" s="17">
        <v>1</v>
      </c>
      <c r="J6338" s="17">
        <v>10</v>
      </c>
      <c r="K6338" s="10">
        <v>2510</v>
      </c>
      <c r="P6338" s="17">
        <v>1</v>
      </c>
      <c r="Q6338" s="19">
        <v>2510</v>
      </c>
      <c r="R6338" s="14">
        <v>160</v>
      </c>
      <c r="S6338" s="19">
        <v>401600</v>
      </c>
      <c r="AJ6338" s="19">
        <v>0</v>
      </c>
      <c r="AK6338" s="23">
        <v>0</v>
      </c>
      <c r="AM6338" s="19">
        <v>0</v>
      </c>
      <c r="AN6338" s="19">
        <v>401600</v>
      </c>
      <c r="AP6338" s="14">
        <v>401600</v>
      </c>
      <c r="AS6338" s="26">
        <v>19</v>
      </c>
    </row>
    <row r="6339" spans="1:45" x14ac:dyDescent="0.2">
      <c r="A6339" s="2">
        <f>+A6338+1</f>
        <v>5227</v>
      </c>
      <c r="B6339" s="13">
        <v>1</v>
      </c>
      <c r="C6339" s="17" t="s">
        <v>52</v>
      </c>
      <c r="D6339" s="17">
        <v>5040</v>
      </c>
      <c r="E6339" s="17">
        <v>45</v>
      </c>
      <c r="F6339" s="17">
        <v>2822</v>
      </c>
      <c r="G6339" s="13">
        <v>7</v>
      </c>
      <c r="H6339" s="17">
        <v>6</v>
      </c>
      <c r="I6339" s="17">
        <v>2</v>
      </c>
      <c r="J6339" s="17">
        <v>94</v>
      </c>
      <c r="K6339" s="10">
        <v>2694</v>
      </c>
      <c r="P6339" s="17">
        <v>1</v>
      </c>
      <c r="Q6339" s="19">
        <v>2694</v>
      </c>
      <c r="R6339" s="14">
        <v>160</v>
      </c>
      <c r="S6339" s="19">
        <v>431040</v>
      </c>
      <c r="AJ6339" s="19">
        <v>0</v>
      </c>
      <c r="AK6339" s="23">
        <v>0</v>
      </c>
      <c r="AM6339" s="19">
        <v>0</v>
      </c>
      <c r="AN6339" s="19">
        <v>431040</v>
      </c>
      <c r="AP6339" s="14">
        <v>431040</v>
      </c>
      <c r="AS6339" s="26">
        <v>66</v>
      </c>
    </row>
    <row r="6340" spans="1:45" x14ac:dyDescent="0.2">
      <c r="A6340" s="122">
        <f t="shared" ref="A6340:A6343" si="660">+A6339+1</f>
        <v>5228</v>
      </c>
      <c r="B6340" s="13">
        <v>2</v>
      </c>
      <c r="C6340" s="17" t="s">
        <v>52</v>
      </c>
      <c r="D6340" s="17">
        <v>34146</v>
      </c>
      <c r="E6340" s="17">
        <v>132</v>
      </c>
      <c r="F6340" s="17">
        <v>6693</v>
      </c>
      <c r="G6340" s="13">
        <v>7</v>
      </c>
      <c r="H6340" s="17">
        <v>3</v>
      </c>
      <c r="I6340" s="17">
        <v>2</v>
      </c>
      <c r="J6340" s="17">
        <v>11</v>
      </c>
      <c r="K6340" s="10">
        <v>1411</v>
      </c>
      <c r="P6340" s="17">
        <v>1</v>
      </c>
      <c r="Q6340" s="19">
        <v>1411</v>
      </c>
      <c r="R6340" s="14">
        <v>160</v>
      </c>
      <c r="S6340" s="19">
        <v>225760</v>
      </c>
      <c r="AJ6340" s="19">
        <v>0</v>
      </c>
      <c r="AK6340" s="23">
        <v>0</v>
      </c>
      <c r="AM6340" s="19">
        <v>0</v>
      </c>
      <c r="AN6340" s="19">
        <v>225760</v>
      </c>
      <c r="AP6340" s="14">
        <v>225760</v>
      </c>
    </row>
    <row r="6341" spans="1:45" x14ac:dyDescent="0.2">
      <c r="A6341" s="122">
        <f t="shared" si="660"/>
        <v>5229</v>
      </c>
      <c r="B6341" s="13">
        <v>3</v>
      </c>
      <c r="C6341" s="17" t="s">
        <v>52</v>
      </c>
      <c r="D6341" s="17">
        <v>34147</v>
      </c>
      <c r="E6341" s="17">
        <v>133</v>
      </c>
      <c r="F6341" s="17">
        <v>6694</v>
      </c>
      <c r="G6341" s="13">
        <v>7</v>
      </c>
      <c r="H6341" s="17">
        <v>4</v>
      </c>
      <c r="I6341" s="17">
        <v>0</v>
      </c>
      <c r="J6341" s="17">
        <v>40</v>
      </c>
      <c r="K6341" s="10">
        <v>1640</v>
      </c>
      <c r="P6341" s="17">
        <v>1</v>
      </c>
      <c r="Q6341" s="19">
        <v>1640</v>
      </c>
      <c r="R6341" s="14">
        <v>160</v>
      </c>
      <c r="S6341" s="19">
        <v>262400</v>
      </c>
      <c r="AJ6341" s="19">
        <v>0</v>
      </c>
      <c r="AK6341" s="23">
        <v>0</v>
      </c>
      <c r="AM6341" s="19">
        <v>0</v>
      </c>
      <c r="AN6341" s="19">
        <v>262400</v>
      </c>
      <c r="AP6341" s="14">
        <v>262400</v>
      </c>
    </row>
    <row r="6342" spans="1:45" x14ac:dyDescent="0.2">
      <c r="A6342" s="122">
        <f t="shared" si="660"/>
        <v>5230</v>
      </c>
      <c r="B6342" s="13">
        <v>1</v>
      </c>
      <c r="C6342" s="17" t="s">
        <v>52</v>
      </c>
      <c r="D6342" s="17">
        <v>36737</v>
      </c>
      <c r="E6342" s="17">
        <v>134</v>
      </c>
      <c r="F6342" s="17">
        <v>7071</v>
      </c>
      <c r="G6342" s="13">
        <v>7</v>
      </c>
      <c r="H6342" s="17">
        <v>2</v>
      </c>
      <c r="I6342" s="17">
        <v>0</v>
      </c>
      <c r="J6342" s="17">
        <v>29</v>
      </c>
      <c r="K6342" s="10">
        <v>829</v>
      </c>
      <c r="P6342" s="17">
        <v>1</v>
      </c>
      <c r="Q6342" s="19">
        <v>829</v>
      </c>
      <c r="R6342" s="14">
        <v>250</v>
      </c>
      <c r="S6342" s="19">
        <v>207250</v>
      </c>
      <c r="AJ6342" s="19">
        <v>0</v>
      </c>
      <c r="AK6342" s="23">
        <v>0</v>
      </c>
      <c r="AM6342" s="19">
        <v>0</v>
      </c>
      <c r="AN6342" s="19">
        <v>207250</v>
      </c>
      <c r="AP6342" s="14">
        <v>207250</v>
      </c>
    </row>
    <row r="6343" spans="1:45" x14ac:dyDescent="0.2">
      <c r="A6343" s="122">
        <f t="shared" si="660"/>
        <v>5231</v>
      </c>
      <c r="B6343" s="13">
        <v>2</v>
      </c>
      <c r="C6343" s="17" t="s">
        <v>52</v>
      </c>
      <c r="D6343" s="17">
        <v>36970</v>
      </c>
      <c r="E6343" s="17">
        <v>138</v>
      </c>
      <c r="F6343" s="17">
        <v>7075</v>
      </c>
      <c r="G6343" s="13">
        <v>7</v>
      </c>
      <c r="H6343" s="17">
        <v>2</v>
      </c>
      <c r="I6343" s="17">
        <v>0</v>
      </c>
      <c r="J6343" s="17">
        <v>3</v>
      </c>
      <c r="K6343" s="10">
        <v>802</v>
      </c>
      <c r="P6343" s="17">
        <v>1</v>
      </c>
      <c r="Q6343" s="19">
        <v>803</v>
      </c>
      <c r="R6343" s="14">
        <v>160</v>
      </c>
      <c r="S6343" s="19">
        <v>128480</v>
      </c>
      <c r="AJ6343" s="19">
        <v>0</v>
      </c>
      <c r="AK6343" s="23">
        <v>0</v>
      </c>
      <c r="AM6343" s="19">
        <v>0</v>
      </c>
      <c r="AN6343" s="19">
        <v>128480</v>
      </c>
      <c r="AP6343" s="14">
        <v>128480</v>
      </c>
    </row>
    <row r="6344" spans="1:45" x14ac:dyDescent="0.2">
      <c r="B6344" s="13">
        <v>3</v>
      </c>
      <c r="C6344" s="17" t="s">
        <v>97</v>
      </c>
      <c r="D6344" s="17">
        <v>42</v>
      </c>
      <c r="G6344" s="13">
        <v>6</v>
      </c>
      <c r="H6344" s="17">
        <v>10</v>
      </c>
      <c r="I6344" s="17">
        <v>0</v>
      </c>
      <c r="J6344" s="17">
        <v>0</v>
      </c>
      <c r="K6344" s="10">
        <v>4000</v>
      </c>
      <c r="P6344" s="17">
        <v>1</v>
      </c>
      <c r="Q6344" s="19">
        <v>4000</v>
      </c>
      <c r="R6344" s="14" t="e">
        <v>#N/A</v>
      </c>
      <c r="S6344" s="19" t="e">
        <v>#N/A</v>
      </c>
      <c r="AJ6344" s="19">
        <v>0</v>
      </c>
      <c r="AK6344" s="23">
        <v>0</v>
      </c>
      <c r="AM6344" s="19">
        <v>0</v>
      </c>
      <c r="AN6344" s="19" t="e">
        <v>#N/A</v>
      </c>
      <c r="AP6344" s="14" t="e">
        <v>#N/A</v>
      </c>
      <c r="AQ6344" s="12">
        <v>1E-4</v>
      </c>
    </row>
    <row r="6345" spans="1:45" x14ac:dyDescent="0.2">
      <c r="A6345" s="2">
        <v>5232</v>
      </c>
      <c r="B6345" s="13">
        <v>1</v>
      </c>
      <c r="C6345" s="17" t="s">
        <v>52</v>
      </c>
      <c r="D6345" s="17">
        <v>36969</v>
      </c>
      <c r="E6345" s="17">
        <v>137</v>
      </c>
      <c r="F6345" s="17">
        <v>7074</v>
      </c>
      <c r="G6345" s="13">
        <v>7</v>
      </c>
      <c r="H6345" s="17">
        <v>1</v>
      </c>
      <c r="I6345" s="17">
        <v>3</v>
      </c>
      <c r="J6345" s="17">
        <v>93</v>
      </c>
      <c r="K6345" s="10">
        <v>793</v>
      </c>
      <c r="P6345" s="17">
        <v>1</v>
      </c>
      <c r="Q6345" s="19">
        <v>793</v>
      </c>
      <c r="R6345" s="14">
        <v>160</v>
      </c>
      <c r="S6345" s="19">
        <v>126880</v>
      </c>
      <c r="AJ6345" s="19">
        <v>0</v>
      </c>
      <c r="AK6345" s="23">
        <v>0</v>
      </c>
      <c r="AM6345" s="19">
        <v>0</v>
      </c>
      <c r="AN6345" s="19">
        <v>126880</v>
      </c>
      <c r="AP6345" s="14">
        <v>126880</v>
      </c>
    </row>
    <row r="6346" spans="1:45" ht="42" x14ac:dyDescent="0.2">
      <c r="A6346" s="2">
        <v>5233</v>
      </c>
      <c r="B6346" s="13">
        <v>1</v>
      </c>
      <c r="C6346" s="17" t="s">
        <v>52</v>
      </c>
      <c r="D6346" s="17">
        <v>36968</v>
      </c>
      <c r="E6346" s="17">
        <v>136</v>
      </c>
      <c r="F6346" s="17">
        <v>7073</v>
      </c>
      <c r="G6346" s="13">
        <v>7</v>
      </c>
      <c r="H6346" s="17">
        <v>1</v>
      </c>
      <c r="I6346" s="17">
        <v>2</v>
      </c>
      <c r="J6346" s="17">
        <v>66</v>
      </c>
      <c r="K6346" s="10">
        <v>666</v>
      </c>
      <c r="P6346" s="17">
        <v>1</v>
      </c>
      <c r="Q6346" s="19">
        <v>666</v>
      </c>
      <c r="R6346" s="14">
        <v>160</v>
      </c>
      <c r="S6346" s="19">
        <v>106560</v>
      </c>
      <c r="AJ6346" s="19">
        <v>0</v>
      </c>
      <c r="AK6346" s="23">
        <v>0</v>
      </c>
      <c r="AM6346" s="19">
        <v>0</v>
      </c>
      <c r="AN6346" s="19">
        <v>106560</v>
      </c>
      <c r="AP6346" s="14">
        <v>106560</v>
      </c>
      <c r="AS6346" s="26" t="s">
        <v>648</v>
      </c>
    </row>
    <row r="6347" spans="1:45" x14ac:dyDescent="0.2">
      <c r="P6347" s="17">
        <v>1</v>
      </c>
      <c r="Q6347" s="19">
        <v>0</v>
      </c>
      <c r="R6347" s="14" t="e">
        <v>#N/A</v>
      </c>
      <c r="S6347" s="19" t="e">
        <v>#N/A</v>
      </c>
      <c r="AJ6347" s="19">
        <v>0</v>
      </c>
      <c r="AK6347" s="23">
        <v>0</v>
      </c>
      <c r="AM6347" s="19">
        <v>0</v>
      </c>
      <c r="AN6347" s="19" t="e">
        <v>#N/A</v>
      </c>
      <c r="AP6347" s="14" t="e">
        <v>#N/A</v>
      </c>
    </row>
    <row r="6348" spans="1:45" ht="42" x14ac:dyDescent="0.2">
      <c r="A6348" s="2">
        <v>5234</v>
      </c>
      <c r="B6348" s="13">
        <v>1</v>
      </c>
      <c r="C6348" s="17" t="s">
        <v>52</v>
      </c>
      <c r="D6348" s="17">
        <v>5041</v>
      </c>
      <c r="E6348" s="17">
        <v>5</v>
      </c>
      <c r="F6348" s="17">
        <v>2823</v>
      </c>
      <c r="G6348" s="13">
        <v>7</v>
      </c>
      <c r="H6348" s="17">
        <v>4</v>
      </c>
      <c r="I6348" s="17">
        <v>3</v>
      </c>
      <c r="J6348" s="17">
        <v>65</v>
      </c>
      <c r="K6348" s="10">
        <v>1550.38</v>
      </c>
      <c r="L6348" s="17">
        <v>14.62</v>
      </c>
      <c r="P6348" s="17">
        <v>5</v>
      </c>
      <c r="Q6348" s="19">
        <v>1965</v>
      </c>
      <c r="R6348" s="14">
        <v>160</v>
      </c>
      <c r="S6348" s="19">
        <v>314400</v>
      </c>
      <c r="T6348" s="17">
        <v>1</v>
      </c>
      <c r="V6348" s="17" t="s">
        <v>183</v>
      </c>
      <c r="W6348" s="4">
        <v>58.5</v>
      </c>
      <c r="Y6348" s="4">
        <v>58.5</v>
      </c>
      <c r="AB6348" s="17">
        <v>29</v>
      </c>
      <c r="AJ6348" s="19">
        <v>0</v>
      </c>
      <c r="AK6348" s="23">
        <v>29</v>
      </c>
      <c r="AM6348" s="19">
        <v>0</v>
      </c>
      <c r="AN6348" s="19">
        <v>314400</v>
      </c>
      <c r="AP6348" s="14">
        <v>314400</v>
      </c>
      <c r="AS6348" s="26">
        <v>33</v>
      </c>
    </row>
    <row r="6349" spans="1:45" x14ac:dyDescent="0.2">
      <c r="A6349" s="2">
        <f>+A6348+1</f>
        <v>5235</v>
      </c>
      <c r="B6349" s="13">
        <v>1</v>
      </c>
      <c r="C6349" s="17" t="s">
        <v>65</v>
      </c>
      <c r="D6349" s="17">
        <v>3174</v>
      </c>
      <c r="E6349" s="17">
        <v>6</v>
      </c>
      <c r="H6349" s="17">
        <v>9</v>
      </c>
      <c r="I6349" s="17">
        <v>1</v>
      </c>
      <c r="J6349" s="17">
        <v>20</v>
      </c>
      <c r="K6349" s="10">
        <v>3720</v>
      </c>
      <c r="Q6349" s="19">
        <v>3720</v>
      </c>
      <c r="R6349" s="14">
        <v>250</v>
      </c>
      <c r="S6349" s="19">
        <v>930000</v>
      </c>
      <c r="AE6349" s="17" t="s">
        <v>95</v>
      </c>
      <c r="AJ6349" s="19">
        <v>0</v>
      </c>
      <c r="AK6349" s="23">
        <v>0</v>
      </c>
      <c r="AM6349" s="19">
        <v>0</v>
      </c>
      <c r="AN6349" s="19">
        <v>930000</v>
      </c>
      <c r="AP6349" s="14">
        <v>930000</v>
      </c>
      <c r="AQ6349" s="12">
        <v>1E-4</v>
      </c>
    </row>
    <row r="6350" spans="1:45" x14ac:dyDescent="0.2">
      <c r="A6350" s="122">
        <f>+A6349+1</f>
        <v>5236</v>
      </c>
      <c r="B6350" s="13">
        <v>1</v>
      </c>
      <c r="C6350" s="17" t="s">
        <v>52</v>
      </c>
      <c r="D6350" s="17">
        <v>21263</v>
      </c>
      <c r="E6350" s="17">
        <v>32</v>
      </c>
      <c r="F6350" s="17">
        <v>4735</v>
      </c>
      <c r="G6350" s="13">
        <v>6</v>
      </c>
      <c r="H6350" s="17">
        <v>0</v>
      </c>
      <c r="I6350" s="17">
        <v>3</v>
      </c>
      <c r="J6350" s="17">
        <v>87</v>
      </c>
      <c r="K6350" s="10">
        <v>387</v>
      </c>
      <c r="P6350" s="17">
        <v>1</v>
      </c>
      <c r="Q6350" s="19">
        <v>387</v>
      </c>
      <c r="R6350" s="14">
        <v>2250</v>
      </c>
      <c r="S6350" s="19">
        <v>870750</v>
      </c>
      <c r="AJ6350" s="19">
        <v>0</v>
      </c>
      <c r="AK6350" s="23">
        <v>0</v>
      </c>
      <c r="AM6350" s="19">
        <v>0</v>
      </c>
      <c r="AN6350" s="19">
        <v>870750</v>
      </c>
      <c r="AP6350" s="14">
        <v>870750</v>
      </c>
      <c r="AS6350" s="26">
        <v>28</v>
      </c>
    </row>
    <row r="6351" spans="1:45" x14ac:dyDescent="0.2">
      <c r="C6351" s="17" t="s">
        <v>52</v>
      </c>
      <c r="D6351" s="17">
        <v>35472</v>
      </c>
      <c r="E6351" s="17">
        <v>28</v>
      </c>
      <c r="F6351" s="17">
        <v>6936</v>
      </c>
      <c r="G6351" s="13">
        <v>7</v>
      </c>
      <c r="H6351" s="17">
        <v>6</v>
      </c>
      <c r="I6351" s="17">
        <v>3</v>
      </c>
      <c r="J6351" s="17">
        <v>50.1</v>
      </c>
      <c r="K6351" s="10" t="s">
        <v>649</v>
      </c>
      <c r="P6351" s="17">
        <v>1</v>
      </c>
      <c r="Q6351" s="19">
        <v>2750.1</v>
      </c>
      <c r="R6351" s="14" t="e">
        <v>#N/A</v>
      </c>
      <c r="AK6351" s="23">
        <v>0</v>
      </c>
      <c r="AP6351" s="14">
        <v>0</v>
      </c>
    </row>
    <row r="6352" spans="1:45" x14ac:dyDescent="0.2">
      <c r="A6352" s="2">
        <v>5237</v>
      </c>
      <c r="B6352" s="13">
        <v>2</v>
      </c>
      <c r="C6352" s="17" t="s">
        <v>69</v>
      </c>
      <c r="E6352" s="17">
        <v>1470</v>
      </c>
      <c r="F6352" s="17">
        <v>6</v>
      </c>
      <c r="G6352" s="13">
        <v>2</v>
      </c>
      <c r="H6352" s="17">
        <v>7</v>
      </c>
      <c r="I6352" s="17">
        <v>3</v>
      </c>
      <c r="J6352" s="17">
        <v>19</v>
      </c>
      <c r="K6352" s="10">
        <v>3119</v>
      </c>
      <c r="Q6352" s="19">
        <v>3119</v>
      </c>
      <c r="R6352" s="14">
        <v>160</v>
      </c>
      <c r="S6352" s="19">
        <v>499040</v>
      </c>
      <c r="AE6352" s="17" t="s">
        <v>297</v>
      </c>
      <c r="AJ6352" s="19">
        <v>0</v>
      </c>
      <c r="AK6352" s="23">
        <v>0</v>
      </c>
      <c r="AM6352" s="19">
        <v>0</v>
      </c>
      <c r="AN6352" s="19">
        <v>499040</v>
      </c>
      <c r="AP6352" s="14">
        <v>499040</v>
      </c>
      <c r="AQ6352" s="12">
        <v>1E-4</v>
      </c>
    </row>
    <row r="6353" spans="1:45" x14ac:dyDescent="0.2">
      <c r="A6353" s="2">
        <v>5238</v>
      </c>
      <c r="B6353" s="13">
        <v>3</v>
      </c>
      <c r="C6353" s="17" t="s">
        <v>69</v>
      </c>
      <c r="E6353" s="17">
        <v>1470</v>
      </c>
      <c r="F6353" s="17">
        <v>9</v>
      </c>
      <c r="G6353" s="13">
        <v>2</v>
      </c>
      <c r="H6353" s="17">
        <v>5</v>
      </c>
      <c r="I6353" s="17">
        <v>3</v>
      </c>
      <c r="J6353" s="17">
        <v>60</v>
      </c>
      <c r="K6353" s="10">
        <v>2360</v>
      </c>
      <c r="Q6353" s="19">
        <v>2360</v>
      </c>
      <c r="R6353" s="14">
        <v>200</v>
      </c>
      <c r="S6353" s="19">
        <v>472000</v>
      </c>
      <c r="AJ6353" s="19">
        <v>0</v>
      </c>
      <c r="AK6353" s="23">
        <v>0</v>
      </c>
      <c r="AM6353" s="19">
        <v>0</v>
      </c>
      <c r="AN6353" s="19">
        <v>472000</v>
      </c>
      <c r="AP6353" s="14">
        <v>472000</v>
      </c>
      <c r="AQ6353" s="12">
        <v>1E-4</v>
      </c>
    </row>
    <row r="6354" spans="1:45" x14ac:dyDescent="0.2">
      <c r="B6354" s="13">
        <v>1</v>
      </c>
      <c r="C6354" s="17" t="s">
        <v>52</v>
      </c>
      <c r="D6354" s="17">
        <v>35473</v>
      </c>
      <c r="E6354" s="17">
        <v>29</v>
      </c>
      <c r="F6354" s="17">
        <v>6937</v>
      </c>
      <c r="G6354" s="13">
        <v>7</v>
      </c>
      <c r="H6354" s="17">
        <v>9</v>
      </c>
      <c r="I6354" s="17">
        <v>2</v>
      </c>
      <c r="J6354" s="17">
        <v>41</v>
      </c>
      <c r="K6354" s="10" t="s">
        <v>650</v>
      </c>
      <c r="P6354" s="17">
        <v>1</v>
      </c>
      <c r="Q6354" s="19">
        <v>3841</v>
      </c>
      <c r="R6354" s="14" t="e">
        <v>#N/A</v>
      </c>
      <c r="AK6354" s="23">
        <v>0</v>
      </c>
      <c r="AP6354" s="14">
        <v>0</v>
      </c>
      <c r="AS6354" s="26">
        <v>29</v>
      </c>
    </row>
    <row r="6355" spans="1:45" x14ac:dyDescent="0.2">
      <c r="A6355" s="2">
        <v>5239</v>
      </c>
      <c r="B6355" s="13">
        <v>1</v>
      </c>
      <c r="C6355" s="17" t="s">
        <v>52</v>
      </c>
      <c r="D6355" s="17">
        <v>29481</v>
      </c>
      <c r="E6355" s="17">
        <v>119</v>
      </c>
      <c r="F6355" s="17">
        <v>5602</v>
      </c>
      <c r="G6355" s="13">
        <v>1</v>
      </c>
      <c r="H6355" s="17">
        <v>0</v>
      </c>
      <c r="I6355" s="17">
        <v>2</v>
      </c>
      <c r="J6355" s="17">
        <v>32</v>
      </c>
      <c r="K6355" s="10">
        <v>232</v>
      </c>
      <c r="P6355" s="17">
        <v>1</v>
      </c>
      <c r="Q6355" s="19">
        <v>232</v>
      </c>
      <c r="R6355" s="14">
        <v>200</v>
      </c>
      <c r="S6355" s="19">
        <v>46400</v>
      </c>
      <c r="AJ6355" s="19">
        <v>0</v>
      </c>
      <c r="AK6355" s="23">
        <v>0</v>
      </c>
      <c r="AM6355" s="19">
        <v>0</v>
      </c>
      <c r="AN6355" s="19">
        <v>46400</v>
      </c>
      <c r="AP6355" s="14">
        <v>46400</v>
      </c>
      <c r="AS6355" s="26">
        <v>87</v>
      </c>
    </row>
    <row r="6356" spans="1:45" x14ac:dyDescent="0.2">
      <c r="A6356" s="2">
        <f>+A6355+1</f>
        <v>5240</v>
      </c>
      <c r="B6356" s="13">
        <v>2</v>
      </c>
      <c r="C6356" s="17" t="s">
        <v>52</v>
      </c>
      <c r="D6356" s="17">
        <v>29482</v>
      </c>
      <c r="E6356" s="17">
        <v>118</v>
      </c>
      <c r="F6356" s="17">
        <v>5603</v>
      </c>
      <c r="G6356" s="13">
        <v>1</v>
      </c>
      <c r="H6356" s="17">
        <v>0</v>
      </c>
      <c r="I6356" s="17">
        <v>2</v>
      </c>
      <c r="J6356" s="17">
        <v>25</v>
      </c>
      <c r="K6356" s="10">
        <v>225</v>
      </c>
      <c r="P6356" s="17">
        <v>1</v>
      </c>
      <c r="Q6356" s="19">
        <v>225</v>
      </c>
      <c r="R6356" s="14">
        <v>200</v>
      </c>
      <c r="S6356" s="19">
        <v>45000</v>
      </c>
      <c r="AJ6356" s="19">
        <v>0</v>
      </c>
      <c r="AK6356" s="23">
        <v>0</v>
      </c>
      <c r="AM6356" s="19">
        <v>0</v>
      </c>
      <c r="AN6356" s="19">
        <v>45000</v>
      </c>
      <c r="AP6356" s="14">
        <v>45000</v>
      </c>
    </row>
    <row r="6357" spans="1:45" x14ac:dyDescent="0.2">
      <c r="A6357" s="122">
        <f t="shared" ref="A6357:A6363" si="661">+A6356+1</f>
        <v>5241</v>
      </c>
      <c r="B6357" s="13">
        <v>3</v>
      </c>
      <c r="C6357" s="17" t="s">
        <v>52</v>
      </c>
      <c r="D6357" s="17">
        <v>29483</v>
      </c>
      <c r="E6357" s="17">
        <v>117</v>
      </c>
      <c r="F6357" s="17">
        <v>5604</v>
      </c>
      <c r="G6357" s="13">
        <v>1</v>
      </c>
      <c r="H6357" s="17">
        <v>0</v>
      </c>
      <c r="I6357" s="17">
        <v>2</v>
      </c>
      <c r="J6357" s="17">
        <v>25</v>
      </c>
      <c r="K6357" s="10">
        <v>225</v>
      </c>
      <c r="P6357" s="17">
        <v>1</v>
      </c>
      <c r="Q6357" s="19">
        <v>225</v>
      </c>
      <c r="R6357" s="14">
        <v>200</v>
      </c>
      <c r="S6357" s="19">
        <v>45000</v>
      </c>
      <c r="AJ6357" s="19">
        <v>0</v>
      </c>
      <c r="AK6357" s="23">
        <v>0</v>
      </c>
      <c r="AM6357" s="19">
        <v>0</v>
      </c>
      <c r="AN6357" s="19">
        <v>45000</v>
      </c>
      <c r="AP6357" s="14">
        <v>45000</v>
      </c>
    </row>
    <row r="6358" spans="1:45" x14ac:dyDescent="0.2">
      <c r="A6358" s="122">
        <f t="shared" si="661"/>
        <v>5242</v>
      </c>
      <c r="B6358" s="13">
        <v>4</v>
      </c>
      <c r="C6358" s="17" t="s">
        <v>52</v>
      </c>
      <c r="D6358" s="17">
        <v>29484</v>
      </c>
      <c r="E6358" s="17">
        <v>116</v>
      </c>
      <c r="F6358" s="17">
        <v>5605</v>
      </c>
      <c r="G6358" s="13">
        <v>1</v>
      </c>
      <c r="H6358" s="17">
        <v>0</v>
      </c>
      <c r="I6358" s="17">
        <v>2</v>
      </c>
      <c r="J6358" s="17">
        <v>22</v>
      </c>
      <c r="K6358" s="10">
        <v>222</v>
      </c>
      <c r="P6358" s="17">
        <v>1</v>
      </c>
      <c r="Q6358" s="19">
        <v>222</v>
      </c>
      <c r="R6358" s="14">
        <v>200</v>
      </c>
      <c r="S6358" s="19">
        <v>44400</v>
      </c>
      <c r="AJ6358" s="19">
        <v>0</v>
      </c>
      <c r="AK6358" s="23">
        <v>0</v>
      </c>
      <c r="AM6358" s="19">
        <v>0</v>
      </c>
      <c r="AN6358" s="19">
        <v>44400</v>
      </c>
      <c r="AP6358" s="14">
        <v>44400</v>
      </c>
    </row>
    <row r="6359" spans="1:45" x14ac:dyDescent="0.2">
      <c r="A6359" s="122">
        <f t="shared" si="661"/>
        <v>5243</v>
      </c>
      <c r="B6359" s="13">
        <v>5</v>
      </c>
      <c r="C6359" s="17" t="s">
        <v>52</v>
      </c>
      <c r="D6359" s="17">
        <v>29485</v>
      </c>
      <c r="E6359" s="17">
        <v>115</v>
      </c>
      <c r="F6359" s="17">
        <v>5606</v>
      </c>
      <c r="G6359" s="13">
        <v>1</v>
      </c>
      <c r="H6359" s="17">
        <v>0</v>
      </c>
      <c r="I6359" s="17">
        <v>2</v>
      </c>
      <c r="J6359" s="17">
        <v>22</v>
      </c>
      <c r="K6359" s="10">
        <v>222</v>
      </c>
      <c r="P6359" s="17">
        <v>1</v>
      </c>
      <c r="Q6359" s="19">
        <v>222</v>
      </c>
      <c r="R6359" s="14">
        <v>200</v>
      </c>
      <c r="S6359" s="19">
        <v>44400</v>
      </c>
      <c r="AJ6359" s="19">
        <v>0</v>
      </c>
      <c r="AK6359" s="23">
        <v>0</v>
      </c>
      <c r="AM6359" s="19">
        <v>0</v>
      </c>
      <c r="AN6359" s="19">
        <v>44400</v>
      </c>
      <c r="AP6359" s="14">
        <v>44400</v>
      </c>
    </row>
    <row r="6360" spans="1:45" x14ac:dyDescent="0.2">
      <c r="A6360" s="122">
        <f t="shared" si="661"/>
        <v>5244</v>
      </c>
      <c r="B6360" s="13">
        <v>6</v>
      </c>
      <c r="C6360" s="17" t="s">
        <v>52</v>
      </c>
      <c r="D6360" s="17">
        <v>29486</v>
      </c>
      <c r="E6360" s="17">
        <v>114</v>
      </c>
      <c r="F6360" s="17">
        <v>5607</v>
      </c>
      <c r="G6360" s="13">
        <v>1</v>
      </c>
      <c r="H6360" s="17">
        <v>0</v>
      </c>
      <c r="I6360" s="17">
        <v>2</v>
      </c>
      <c r="J6360" s="17">
        <v>19</v>
      </c>
      <c r="K6360" s="10">
        <v>219</v>
      </c>
      <c r="P6360" s="17">
        <v>1</v>
      </c>
      <c r="Q6360" s="19">
        <v>219</v>
      </c>
      <c r="R6360" s="14">
        <v>200</v>
      </c>
      <c r="S6360" s="19">
        <v>43800</v>
      </c>
      <c r="AJ6360" s="19">
        <v>0</v>
      </c>
      <c r="AK6360" s="23">
        <v>0</v>
      </c>
      <c r="AM6360" s="19">
        <v>0</v>
      </c>
      <c r="AN6360" s="19">
        <v>43800</v>
      </c>
      <c r="AP6360" s="14">
        <v>43800</v>
      </c>
    </row>
    <row r="6361" spans="1:45" x14ac:dyDescent="0.2">
      <c r="A6361" s="122">
        <f t="shared" si="661"/>
        <v>5245</v>
      </c>
      <c r="B6361" s="13">
        <v>7</v>
      </c>
      <c r="C6361" s="17" t="s">
        <v>52</v>
      </c>
      <c r="D6361" s="17">
        <v>29487</v>
      </c>
      <c r="E6361" s="17">
        <v>113</v>
      </c>
      <c r="F6361" s="17">
        <v>5608</v>
      </c>
      <c r="G6361" s="13">
        <v>1</v>
      </c>
      <c r="H6361" s="17">
        <v>0</v>
      </c>
      <c r="I6361" s="17">
        <v>2</v>
      </c>
      <c r="J6361" s="17">
        <v>21</v>
      </c>
      <c r="K6361" s="10">
        <v>221</v>
      </c>
      <c r="P6361" s="17">
        <v>1</v>
      </c>
      <c r="Q6361" s="19">
        <v>221</v>
      </c>
      <c r="R6361" s="14">
        <v>200</v>
      </c>
      <c r="S6361" s="19">
        <v>44200</v>
      </c>
      <c r="AJ6361" s="19">
        <v>0</v>
      </c>
      <c r="AK6361" s="23">
        <v>0</v>
      </c>
      <c r="AM6361" s="19">
        <v>0</v>
      </c>
      <c r="AN6361" s="19">
        <v>44200</v>
      </c>
      <c r="AP6361" s="14">
        <v>44200</v>
      </c>
    </row>
    <row r="6362" spans="1:45" x14ac:dyDescent="0.2">
      <c r="A6362" s="122">
        <f t="shared" si="661"/>
        <v>5246</v>
      </c>
      <c r="B6362" s="13">
        <v>8</v>
      </c>
      <c r="C6362" s="17" t="s">
        <v>52</v>
      </c>
      <c r="D6362" s="17">
        <v>29488</v>
      </c>
      <c r="E6362" s="17">
        <v>112</v>
      </c>
      <c r="F6362" s="17">
        <v>5609</v>
      </c>
      <c r="G6362" s="13">
        <v>1</v>
      </c>
      <c r="H6362" s="17">
        <v>11</v>
      </c>
      <c r="I6362" s="17">
        <v>3</v>
      </c>
      <c r="J6362" s="17">
        <v>64</v>
      </c>
      <c r="K6362" s="10">
        <v>4764</v>
      </c>
      <c r="P6362" s="17">
        <v>1</v>
      </c>
      <c r="Q6362" s="19">
        <v>4764</v>
      </c>
      <c r="R6362" s="14">
        <v>200</v>
      </c>
      <c r="S6362" s="19">
        <v>952800</v>
      </c>
      <c r="AJ6362" s="19">
        <v>0</v>
      </c>
      <c r="AK6362" s="23">
        <v>0</v>
      </c>
      <c r="AM6362" s="19">
        <v>0</v>
      </c>
      <c r="AN6362" s="19">
        <v>952800</v>
      </c>
      <c r="AP6362" s="14">
        <v>952800</v>
      </c>
    </row>
    <row r="6363" spans="1:45" x14ac:dyDescent="0.2">
      <c r="A6363" s="122">
        <f t="shared" si="661"/>
        <v>5247</v>
      </c>
      <c r="B6363" s="13">
        <v>1</v>
      </c>
      <c r="C6363" s="17" t="s">
        <v>52</v>
      </c>
      <c r="D6363" s="17">
        <v>10436</v>
      </c>
      <c r="E6363" s="17">
        <v>10</v>
      </c>
      <c r="F6363" s="17">
        <v>3151</v>
      </c>
      <c r="G6363" s="13">
        <v>4</v>
      </c>
      <c r="H6363" s="17">
        <v>2</v>
      </c>
      <c r="I6363" s="17">
        <v>1</v>
      </c>
      <c r="J6363" s="17">
        <v>52.09</v>
      </c>
      <c r="K6363" s="10">
        <v>952.09</v>
      </c>
      <c r="P6363" s="17">
        <v>1</v>
      </c>
      <c r="Q6363" s="19">
        <v>952.09</v>
      </c>
      <c r="R6363" s="14">
        <v>1000</v>
      </c>
      <c r="S6363" s="19">
        <v>952090</v>
      </c>
      <c r="AJ6363" s="19">
        <v>0</v>
      </c>
      <c r="AK6363" s="23">
        <v>0</v>
      </c>
      <c r="AM6363" s="19">
        <v>0</v>
      </c>
      <c r="AN6363" s="19">
        <v>952090</v>
      </c>
      <c r="AP6363" s="14">
        <v>952090</v>
      </c>
      <c r="AS6363" s="26">
        <v>450</v>
      </c>
    </row>
    <row r="6364" spans="1:45" ht="63" x14ac:dyDescent="0.2">
      <c r="Q6364" s="19">
        <v>0</v>
      </c>
      <c r="R6364" s="14" t="e">
        <v>#N/A</v>
      </c>
      <c r="AR6364" s="19">
        <v>450</v>
      </c>
    </row>
    <row r="6365" spans="1:45" x14ac:dyDescent="0.2">
      <c r="A6365" s="2">
        <v>5248</v>
      </c>
      <c r="B6365" s="13">
        <v>1</v>
      </c>
      <c r="C6365" s="17" t="s">
        <v>52</v>
      </c>
      <c r="D6365" s="17">
        <v>10438</v>
      </c>
      <c r="E6365" s="17">
        <v>12</v>
      </c>
      <c r="F6365" s="17">
        <v>3153</v>
      </c>
      <c r="G6365" s="13">
        <v>4</v>
      </c>
      <c r="H6365" s="17">
        <v>0</v>
      </c>
      <c r="I6365" s="17">
        <v>0</v>
      </c>
      <c r="J6365" s="17">
        <v>70.599999999999994</v>
      </c>
      <c r="N6365" s="18">
        <v>70.06</v>
      </c>
      <c r="P6365" s="17">
        <v>4</v>
      </c>
      <c r="Q6365" s="19">
        <v>70.599999999999994</v>
      </c>
      <c r="R6365" s="14">
        <v>1000</v>
      </c>
      <c r="S6365" s="19">
        <v>70600</v>
      </c>
      <c r="AJ6365" s="19">
        <v>0</v>
      </c>
      <c r="AK6365" s="23">
        <v>0</v>
      </c>
      <c r="AM6365" s="19">
        <v>0</v>
      </c>
      <c r="AN6365" s="19">
        <v>70600</v>
      </c>
      <c r="AP6365" s="14">
        <v>70600</v>
      </c>
      <c r="AQ6365" s="12">
        <v>3.0000000000000001E-3</v>
      </c>
    </row>
    <row r="6366" spans="1:45" x14ac:dyDescent="0.2">
      <c r="A6366" s="2">
        <f>+A6365+1</f>
        <v>5249</v>
      </c>
      <c r="B6366" s="13">
        <v>1</v>
      </c>
      <c r="C6366" s="17" t="s">
        <v>65</v>
      </c>
      <c r="D6366" s="17">
        <v>1095</v>
      </c>
      <c r="E6366" s="17">
        <v>52</v>
      </c>
      <c r="H6366" s="17">
        <v>9</v>
      </c>
      <c r="I6366" s="17">
        <v>0</v>
      </c>
      <c r="J6366" s="17">
        <v>70</v>
      </c>
      <c r="K6366" s="10">
        <v>3670</v>
      </c>
      <c r="P6366" s="17">
        <v>1</v>
      </c>
      <c r="Q6366" s="19">
        <v>3670</v>
      </c>
      <c r="R6366" s="14">
        <v>160</v>
      </c>
      <c r="S6366" s="19">
        <v>587200</v>
      </c>
      <c r="AJ6366" s="19">
        <v>0</v>
      </c>
      <c r="AK6366" s="23">
        <v>0</v>
      </c>
      <c r="AM6366" s="19">
        <v>0</v>
      </c>
      <c r="AN6366" s="19">
        <v>587200</v>
      </c>
      <c r="AP6366" s="14">
        <v>587200</v>
      </c>
      <c r="AQ6366" s="12">
        <v>1E-4</v>
      </c>
    </row>
    <row r="6367" spans="1:45" x14ac:dyDescent="0.2">
      <c r="A6367" s="122">
        <f t="shared" ref="A6367:A6374" si="662">+A6366+1</f>
        <v>5250</v>
      </c>
      <c r="B6367" s="13">
        <v>1</v>
      </c>
      <c r="C6367" s="17" t="s">
        <v>52</v>
      </c>
      <c r="D6367" s="17">
        <v>2315</v>
      </c>
      <c r="E6367" s="17">
        <v>6</v>
      </c>
      <c r="F6367" s="17">
        <v>1149</v>
      </c>
      <c r="G6367" s="13">
        <v>4</v>
      </c>
      <c r="H6367" s="17">
        <v>1</v>
      </c>
      <c r="I6367" s="17">
        <v>0</v>
      </c>
      <c r="J6367" s="17">
        <v>35.049999999999997</v>
      </c>
      <c r="K6367" s="10">
        <v>435.05</v>
      </c>
      <c r="P6367" s="17">
        <v>1</v>
      </c>
      <c r="Q6367" s="19">
        <v>435.05</v>
      </c>
      <c r="R6367" s="14">
        <v>160</v>
      </c>
      <c r="S6367" s="19">
        <v>69608</v>
      </c>
      <c r="AJ6367" s="19">
        <v>0</v>
      </c>
      <c r="AK6367" s="23">
        <v>0</v>
      </c>
      <c r="AM6367" s="19">
        <v>0</v>
      </c>
      <c r="AN6367" s="19">
        <v>69608</v>
      </c>
      <c r="AP6367" s="14">
        <v>69608</v>
      </c>
    </row>
    <row r="6368" spans="1:45" ht="42" x14ac:dyDescent="0.2">
      <c r="A6368" s="122">
        <f t="shared" si="662"/>
        <v>5251</v>
      </c>
      <c r="B6368" s="13">
        <v>2</v>
      </c>
      <c r="C6368" s="17" t="s">
        <v>52</v>
      </c>
      <c r="D6368" s="17">
        <v>10435</v>
      </c>
      <c r="E6368" s="17">
        <v>9</v>
      </c>
      <c r="F6368" s="17">
        <v>3150</v>
      </c>
      <c r="G6368" s="13">
        <v>4</v>
      </c>
      <c r="H6368" s="17">
        <v>2</v>
      </c>
      <c r="I6368" s="17">
        <v>1</v>
      </c>
      <c r="J6368" s="17">
        <v>65.010000000000005</v>
      </c>
      <c r="K6368" s="10">
        <v>932.2</v>
      </c>
      <c r="L6368" s="17">
        <v>32.81</v>
      </c>
      <c r="P6368" s="17">
        <v>5</v>
      </c>
      <c r="Q6368" s="19">
        <v>965.01</v>
      </c>
      <c r="R6368" s="14">
        <v>1000</v>
      </c>
      <c r="S6368" s="19">
        <v>965010</v>
      </c>
      <c r="T6368" s="17">
        <v>1</v>
      </c>
      <c r="V6368" s="17" t="s">
        <v>183</v>
      </c>
      <c r="W6368" s="4">
        <v>131.25</v>
      </c>
      <c r="Y6368" s="4">
        <v>131.25</v>
      </c>
      <c r="AB6368" s="17">
        <v>20</v>
      </c>
      <c r="AJ6368" s="19">
        <v>0</v>
      </c>
      <c r="AK6368" s="23">
        <v>20</v>
      </c>
      <c r="AM6368" s="19">
        <v>0</v>
      </c>
      <c r="AN6368" s="19">
        <v>965010</v>
      </c>
      <c r="AP6368" s="14">
        <v>965010</v>
      </c>
    </row>
    <row r="6369" spans="1:45" x14ac:dyDescent="0.2">
      <c r="A6369" s="122">
        <f t="shared" si="662"/>
        <v>5252</v>
      </c>
      <c r="B6369" s="13">
        <v>3</v>
      </c>
      <c r="C6369" s="17" t="s">
        <v>52</v>
      </c>
      <c r="D6369" s="17">
        <v>10440</v>
      </c>
      <c r="E6369" s="17">
        <v>14</v>
      </c>
      <c r="F6369" s="17">
        <v>3155</v>
      </c>
      <c r="G6369" s="13">
        <v>4</v>
      </c>
      <c r="H6369" s="17">
        <v>2</v>
      </c>
      <c r="I6369" s="17">
        <v>1</v>
      </c>
      <c r="J6369" s="17">
        <v>24.02</v>
      </c>
      <c r="K6369" s="10">
        <v>924.02</v>
      </c>
      <c r="P6369" s="17">
        <v>1</v>
      </c>
      <c r="Q6369" s="19">
        <v>924.02</v>
      </c>
      <c r="R6369" s="14">
        <v>160</v>
      </c>
      <c r="S6369" s="19">
        <v>147843.20000000001</v>
      </c>
      <c r="AJ6369" s="19">
        <v>0</v>
      </c>
      <c r="AK6369" s="23">
        <v>0</v>
      </c>
      <c r="AM6369" s="19">
        <v>0</v>
      </c>
      <c r="AN6369" s="19">
        <v>147843.20000000001</v>
      </c>
      <c r="AP6369" s="14">
        <v>147843.20000000001</v>
      </c>
    </row>
    <row r="6370" spans="1:45" ht="42" x14ac:dyDescent="0.2">
      <c r="A6370" s="122">
        <f t="shared" si="662"/>
        <v>5253</v>
      </c>
      <c r="B6370" s="13">
        <v>1</v>
      </c>
      <c r="C6370" s="17" t="s">
        <v>52</v>
      </c>
      <c r="D6370" s="17">
        <v>10437</v>
      </c>
      <c r="E6370" s="17">
        <v>11</v>
      </c>
      <c r="F6370" s="17">
        <v>3152</v>
      </c>
      <c r="G6370" s="13">
        <v>4</v>
      </c>
      <c r="H6370" s="17">
        <v>1</v>
      </c>
      <c r="I6370" s="17">
        <v>1</v>
      </c>
      <c r="J6370" s="17">
        <v>41.04</v>
      </c>
      <c r="K6370" s="10">
        <v>502.79</v>
      </c>
      <c r="L6370" s="17">
        <v>38.25</v>
      </c>
      <c r="P6370" s="17">
        <v>5</v>
      </c>
      <c r="Q6370" s="19">
        <v>541.04</v>
      </c>
      <c r="R6370" s="14">
        <v>1000</v>
      </c>
      <c r="S6370" s="19">
        <v>541040</v>
      </c>
      <c r="T6370" s="17">
        <v>1</v>
      </c>
      <c r="V6370" s="17" t="s">
        <v>183</v>
      </c>
      <c r="W6370" s="4">
        <v>153</v>
      </c>
      <c r="Y6370" s="4">
        <v>153</v>
      </c>
      <c r="AB6370" s="17">
        <v>22</v>
      </c>
      <c r="AJ6370" s="19">
        <v>0</v>
      </c>
      <c r="AK6370" s="23">
        <v>22</v>
      </c>
      <c r="AM6370" s="19">
        <v>0</v>
      </c>
      <c r="AN6370" s="19">
        <v>541040</v>
      </c>
      <c r="AP6370" s="14">
        <v>541040</v>
      </c>
    </row>
    <row r="6371" spans="1:45" x14ac:dyDescent="0.2">
      <c r="A6371" s="122">
        <f t="shared" si="662"/>
        <v>5254</v>
      </c>
      <c r="B6371" s="13">
        <v>2</v>
      </c>
      <c r="C6371" s="17" t="s">
        <v>52</v>
      </c>
      <c r="D6371" s="17">
        <v>10441</v>
      </c>
      <c r="E6371" s="17">
        <v>15</v>
      </c>
      <c r="F6371" s="17">
        <v>3156</v>
      </c>
      <c r="G6371" s="13">
        <v>4</v>
      </c>
      <c r="H6371" s="17">
        <v>1</v>
      </c>
      <c r="I6371" s="17">
        <v>3</v>
      </c>
      <c r="J6371" s="17">
        <v>67.040000000000006</v>
      </c>
      <c r="K6371" s="10">
        <v>767.04</v>
      </c>
      <c r="P6371" s="17">
        <v>1</v>
      </c>
      <c r="Q6371" s="19">
        <v>767.04</v>
      </c>
      <c r="R6371" s="14">
        <v>160</v>
      </c>
      <c r="S6371" s="19">
        <v>122726.39999999999</v>
      </c>
      <c r="AJ6371" s="19">
        <v>0</v>
      </c>
      <c r="AK6371" s="23">
        <v>0</v>
      </c>
      <c r="AM6371" s="19">
        <v>0</v>
      </c>
      <c r="AN6371" s="19">
        <v>122726.39999999999</v>
      </c>
      <c r="AP6371" s="14">
        <v>122726.39999999999</v>
      </c>
    </row>
    <row r="6372" spans="1:45" x14ac:dyDescent="0.2">
      <c r="A6372" s="122">
        <f t="shared" si="662"/>
        <v>5255</v>
      </c>
      <c r="B6372" s="13">
        <v>1</v>
      </c>
      <c r="C6372" s="17" t="s">
        <v>52</v>
      </c>
      <c r="D6372" s="17">
        <v>31656</v>
      </c>
      <c r="E6372" s="17">
        <v>164</v>
      </c>
      <c r="F6372" s="17">
        <v>6238</v>
      </c>
      <c r="G6372" s="13">
        <v>2</v>
      </c>
      <c r="H6372" s="17">
        <v>0</v>
      </c>
      <c r="I6372" s="17">
        <v>0</v>
      </c>
      <c r="J6372" s="17">
        <v>50</v>
      </c>
      <c r="N6372" s="18">
        <v>50</v>
      </c>
      <c r="P6372" s="17">
        <v>4</v>
      </c>
      <c r="Q6372" s="19">
        <v>50</v>
      </c>
      <c r="R6372" s="14">
        <v>160</v>
      </c>
      <c r="S6372" s="19">
        <v>8000</v>
      </c>
      <c r="AJ6372" s="19">
        <v>0</v>
      </c>
      <c r="AK6372" s="23">
        <v>0</v>
      </c>
      <c r="AM6372" s="19">
        <v>0</v>
      </c>
      <c r="AN6372" s="19">
        <v>8000</v>
      </c>
      <c r="AP6372" s="14">
        <v>8000</v>
      </c>
      <c r="AQ6372" s="12">
        <v>3.0000000000000001E-3</v>
      </c>
    </row>
    <row r="6373" spans="1:45" x14ac:dyDescent="0.2">
      <c r="A6373" s="122">
        <f t="shared" si="662"/>
        <v>5256</v>
      </c>
      <c r="B6373" s="13">
        <v>1</v>
      </c>
      <c r="C6373" s="17" t="s">
        <v>65</v>
      </c>
      <c r="D6373" s="17">
        <v>1424</v>
      </c>
      <c r="E6373" s="17">
        <v>123</v>
      </c>
      <c r="H6373" s="17">
        <v>20</v>
      </c>
      <c r="I6373" s="17">
        <v>0</v>
      </c>
      <c r="J6373" s="17">
        <v>0</v>
      </c>
      <c r="K6373" s="10">
        <v>8000</v>
      </c>
      <c r="P6373" s="17">
        <v>1</v>
      </c>
      <c r="Q6373" s="19">
        <v>8000</v>
      </c>
      <c r="R6373" s="14">
        <v>200</v>
      </c>
      <c r="S6373" s="19">
        <v>1600000</v>
      </c>
      <c r="AJ6373" s="19">
        <v>0</v>
      </c>
      <c r="AK6373" s="23">
        <v>0</v>
      </c>
      <c r="AM6373" s="19">
        <v>0</v>
      </c>
      <c r="AN6373" s="19">
        <v>1600000</v>
      </c>
      <c r="AP6373" s="14">
        <v>1600000</v>
      </c>
      <c r="AQ6373" s="12">
        <v>1E-4</v>
      </c>
      <c r="AS6373" s="26">
        <v>225</v>
      </c>
    </row>
    <row r="6374" spans="1:45" x14ac:dyDescent="0.2">
      <c r="A6374" s="122">
        <f t="shared" si="662"/>
        <v>5257</v>
      </c>
      <c r="B6374" s="13">
        <v>2</v>
      </c>
      <c r="C6374" s="17" t="s">
        <v>65</v>
      </c>
      <c r="D6374" s="17">
        <v>1592</v>
      </c>
      <c r="E6374" s="17">
        <v>165</v>
      </c>
      <c r="H6374" s="17">
        <v>5</v>
      </c>
      <c r="I6374" s="17">
        <v>3</v>
      </c>
      <c r="J6374" s="17">
        <v>73</v>
      </c>
      <c r="K6374" s="10">
        <v>2373</v>
      </c>
      <c r="P6374" s="17">
        <v>1</v>
      </c>
      <c r="Q6374" s="19">
        <v>2373</v>
      </c>
      <c r="R6374" s="14">
        <v>160</v>
      </c>
      <c r="S6374" s="19">
        <v>379680</v>
      </c>
      <c r="AJ6374" s="19">
        <v>0</v>
      </c>
      <c r="AK6374" s="23">
        <v>0</v>
      </c>
      <c r="AM6374" s="19">
        <v>0</v>
      </c>
      <c r="AN6374" s="19">
        <v>379680</v>
      </c>
      <c r="AP6374" s="14">
        <v>379680</v>
      </c>
      <c r="AQ6374" s="12">
        <v>1E-4</v>
      </c>
    </row>
    <row r="6375" spans="1:45" x14ac:dyDescent="0.2">
      <c r="B6375" s="13">
        <v>3</v>
      </c>
      <c r="C6375" s="17" t="s">
        <v>65</v>
      </c>
      <c r="D6375" s="17">
        <v>3675</v>
      </c>
      <c r="E6375" s="17">
        <v>253</v>
      </c>
      <c r="H6375" s="17">
        <v>2</v>
      </c>
      <c r="I6375" s="17">
        <v>2</v>
      </c>
      <c r="J6375" s="17">
        <v>9</v>
      </c>
      <c r="K6375" s="10">
        <v>1009</v>
      </c>
      <c r="P6375" s="17">
        <v>1</v>
      </c>
      <c r="Q6375" s="19">
        <v>1009</v>
      </c>
      <c r="R6375" s="14" t="e">
        <v>#N/A</v>
      </c>
      <c r="S6375" s="19" t="e">
        <v>#N/A</v>
      </c>
      <c r="AE6375" s="17" t="s">
        <v>95</v>
      </c>
      <c r="AJ6375" s="19">
        <v>0</v>
      </c>
      <c r="AK6375" s="23">
        <v>0</v>
      </c>
      <c r="AM6375" s="19">
        <v>0</v>
      </c>
      <c r="AN6375" s="19" t="e">
        <v>#N/A</v>
      </c>
      <c r="AP6375" s="14" t="e">
        <v>#N/A</v>
      </c>
      <c r="AQ6375" s="12">
        <v>1E-4</v>
      </c>
    </row>
    <row r="6376" spans="1:45" x14ac:dyDescent="0.2">
      <c r="A6376" s="2">
        <v>5228</v>
      </c>
      <c r="B6376" s="13">
        <v>1</v>
      </c>
      <c r="C6376" s="17" t="s">
        <v>52</v>
      </c>
      <c r="D6376" s="17">
        <v>1612</v>
      </c>
      <c r="E6376" s="17">
        <v>13</v>
      </c>
      <c r="F6376" s="17">
        <v>823</v>
      </c>
      <c r="G6376" s="13">
        <v>4</v>
      </c>
      <c r="H6376" s="17">
        <v>0</v>
      </c>
      <c r="I6376" s="17">
        <v>2</v>
      </c>
      <c r="J6376" s="17">
        <v>75</v>
      </c>
      <c r="K6376" s="10" t="s">
        <v>651</v>
      </c>
      <c r="P6376" s="17">
        <v>1</v>
      </c>
      <c r="Q6376" s="19">
        <v>275</v>
      </c>
      <c r="R6376" s="14">
        <v>200</v>
      </c>
      <c r="S6376" s="19">
        <v>55000</v>
      </c>
      <c r="AJ6376" s="19">
        <v>0</v>
      </c>
      <c r="AK6376" s="23">
        <v>0</v>
      </c>
      <c r="AM6376" s="19">
        <v>0</v>
      </c>
      <c r="AN6376" s="19">
        <v>55000</v>
      </c>
      <c r="AP6376" s="14">
        <v>55000</v>
      </c>
    </row>
    <row r="6377" spans="1:45" x14ac:dyDescent="0.2">
      <c r="A6377" s="2">
        <f>+A6376+1</f>
        <v>5229</v>
      </c>
      <c r="B6377" s="13">
        <v>2</v>
      </c>
      <c r="C6377" s="17" t="s">
        <v>52</v>
      </c>
      <c r="D6377" s="17">
        <v>1922</v>
      </c>
      <c r="E6377" s="17">
        <v>18</v>
      </c>
      <c r="F6377" s="17">
        <v>818</v>
      </c>
      <c r="G6377" s="13">
        <v>4</v>
      </c>
      <c r="H6377" s="17">
        <v>1</v>
      </c>
      <c r="I6377" s="17">
        <v>0</v>
      </c>
      <c r="J6377" s="17">
        <v>30</v>
      </c>
      <c r="K6377" s="10">
        <v>430</v>
      </c>
      <c r="P6377" s="17">
        <v>1</v>
      </c>
      <c r="Q6377" s="19">
        <v>430</v>
      </c>
      <c r="R6377" s="14">
        <v>160</v>
      </c>
      <c r="S6377" s="19">
        <v>68800</v>
      </c>
      <c r="AJ6377" s="19">
        <v>0</v>
      </c>
      <c r="AK6377" s="23">
        <v>0</v>
      </c>
      <c r="AM6377" s="19">
        <v>0</v>
      </c>
      <c r="AN6377" s="19">
        <v>68800</v>
      </c>
      <c r="AP6377" s="14">
        <v>68800</v>
      </c>
    </row>
    <row r="6378" spans="1:45" x14ac:dyDescent="0.2">
      <c r="A6378" s="122">
        <f t="shared" ref="A6378:A6386" si="663">+A6377+1</f>
        <v>5230</v>
      </c>
      <c r="B6378" s="13">
        <v>3</v>
      </c>
      <c r="C6378" s="17" t="s">
        <v>52</v>
      </c>
      <c r="D6378" s="17">
        <v>1983</v>
      </c>
      <c r="E6378" s="17">
        <v>17</v>
      </c>
      <c r="F6378" s="17">
        <v>819</v>
      </c>
      <c r="G6378" s="13">
        <v>4</v>
      </c>
      <c r="H6378" s="17">
        <v>0</v>
      </c>
      <c r="I6378" s="17">
        <v>2</v>
      </c>
      <c r="J6378" s="17">
        <v>98</v>
      </c>
      <c r="K6378" s="10">
        <v>298</v>
      </c>
      <c r="P6378" s="17">
        <v>1</v>
      </c>
      <c r="Q6378" s="19">
        <v>298</v>
      </c>
      <c r="R6378" s="14">
        <v>1500</v>
      </c>
      <c r="S6378" s="19">
        <v>447000</v>
      </c>
      <c r="AJ6378" s="19">
        <v>0</v>
      </c>
      <c r="AK6378" s="23">
        <v>0</v>
      </c>
      <c r="AM6378" s="19">
        <v>0</v>
      </c>
      <c r="AN6378" s="19">
        <v>447000</v>
      </c>
      <c r="AP6378" s="14">
        <v>447000</v>
      </c>
    </row>
    <row r="6379" spans="1:45" ht="63" x14ac:dyDescent="0.2">
      <c r="A6379" s="122">
        <f t="shared" si="663"/>
        <v>5231</v>
      </c>
      <c r="B6379" s="13">
        <v>4</v>
      </c>
      <c r="C6379" s="17" t="s">
        <v>52</v>
      </c>
      <c r="D6379" s="17">
        <v>35311</v>
      </c>
      <c r="E6379" s="17">
        <v>98</v>
      </c>
      <c r="F6379" s="17">
        <v>6998</v>
      </c>
      <c r="G6379" s="13">
        <v>4</v>
      </c>
      <c r="H6379" s="17">
        <v>0</v>
      </c>
      <c r="I6379" s="17">
        <v>0</v>
      </c>
      <c r="J6379" s="17">
        <v>74</v>
      </c>
      <c r="L6379" s="17">
        <v>74</v>
      </c>
      <c r="P6379" s="17">
        <v>2</v>
      </c>
      <c r="Q6379" s="19">
        <v>74</v>
      </c>
      <c r="R6379" s="14">
        <v>250</v>
      </c>
      <c r="S6379" s="19">
        <v>18500</v>
      </c>
      <c r="T6379" s="17">
        <v>1</v>
      </c>
      <c r="U6379" s="17" t="s">
        <v>57</v>
      </c>
      <c r="V6379" s="17" t="s">
        <v>183</v>
      </c>
      <c r="AB6379" s="17">
        <v>21</v>
      </c>
      <c r="AJ6379" s="19">
        <v>0</v>
      </c>
      <c r="AK6379" s="23">
        <v>21</v>
      </c>
      <c r="AM6379" s="19">
        <v>0</v>
      </c>
      <c r="AN6379" s="19">
        <v>18500</v>
      </c>
      <c r="AP6379" s="14">
        <v>18500</v>
      </c>
    </row>
    <row r="6380" spans="1:45" x14ac:dyDescent="0.2">
      <c r="A6380" s="122">
        <f t="shared" si="663"/>
        <v>5232</v>
      </c>
      <c r="B6380" s="13">
        <v>1</v>
      </c>
      <c r="C6380" s="17" t="s">
        <v>65</v>
      </c>
      <c r="D6380" s="17">
        <v>3639</v>
      </c>
      <c r="E6380" s="17">
        <v>246</v>
      </c>
      <c r="H6380" s="17">
        <v>0</v>
      </c>
      <c r="I6380" s="17">
        <v>0</v>
      </c>
      <c r="J6380" s="17">
        <v>55</v>
      </c>
      <c r="N6380" s="18">
        <v>55</v>
      </c>
      <c r="P6380" s="17">
        <v>4</v>
      </c>
      <c r="Q6380" s="19">
        <v>55</v>
      </c>
      <c r="R6380" s="14">
        <v>200</v>
      </c>
      <c r="S6380" s="19">
        <v>11000</v>
      </c>
      <c r="AJ6380" s="19">
        <v>0</v>
      </c>
      <c r="AK6380" s="23">
        <v>0</v>
      </c>
      <c r="AM6380" s="19">
        <v>0</v>
      </c>
      <c r="AN6380" s="19">
        <v>11000</v>
      </c>
      <c r="AP6380" s="14">
        <v>11000</v>
      </c>
      <c r="AQ6380" s="12">
        <v>3.0000000000000001E-3</v>
      </c>
    </row>
    <row r="6381" spans="1:45" x14ac:dyDescent="0.2">
      <c r="A6381" s="122">
        <f t="shared" si="663"/>
        <v>5233</v>
      </c>
      <c r="B6381" s="13">
        <v>1</v>
      </c>
      <c r="C6381" s="17" t="s">
        <v>52</v>
      </c>
      <c r="D6381" s="17">
        <v>1984</v>
      </c>
      <c r="E6381" s="17">
        <v>16</v>
      </c>
      <c r="F6381" s="17">
        <v>820</v>
      </c>
      <c r="G6381" s="13">
        <v>4</v>
      </c>
      <c r="H6381" s="17">
        <v>0</v>
      </c>
      <c r="I6381" s="17">
        <v>0</v>
      </c>
      <c r="J6381" s="17">
        <v>44</v>
      </c>
      <c r="L6381" s="17">
        <v>44</v>
      </c>
      <c r="P6381" s="17">
        <v>2</v>
      </c>
      <c r="Q6381" s="19">
        <v>44</v>
      </c>
      <c r="R6381" s="14">
        <v>2000</v>
      </c>
      <c r="S6381" s="19">
        <v>88000</v>
      </c>
      <c r="AJ6381" s="19">
        <v>0</v>
      </c>
      <c r="AK6381" s="23">
        <v>0</v>
      </c>
      <c r="AM6381" s="19">
        <v>0</v>
      </c>
      <c r="AN6381" s="19">
        <v>88000</v>
      </c>
      <c r="AP6381" s="14">
        <v>88000</v>
      </c>
    </row>
    <row r="6382" spans="1:45" x14ac:dyDescent="0.2">
      <c r="A6382" s="122">
        <f t="shared" si="663"/>
        <v>5234</v>
      </c>
      <c r="B6382" s="13">
        <v>2</v>
      </c>
      <c r="C6382" s="17" t="s">
        <v>52</v>
      </c>
      <c r="D6382" s="17">
        <v>1996</v>
      </c>
      <c r="E6382" s="17">
        <v>48</v>
      </c>
      <c r="F6382" s="17">
        <v>855</v>
      </c>
      <c r="G6382" s="13">
        <v>4</v>
      </c>
      <c r="H6382" s="17">
        <v>0</v>
      </c>
      <c r="I6382" s="17">
        <v>0</v>
      </c>
      <c r="J6382" s="17">
        <v>98</v>
      </c>
      <c r="N6382" s="18">
        <v>98</v>
      </c>
      <c r="P6382" s="17">
        <v>4</v>
      </c>
      <c r="Q6382" s="19">
        <v>98</v>
      </c>
      <c r="R6382" s="14">
        <v>2000</v>
      </c>
      <c r="S6382" s="19">
        <v>196000</v>
      </c>
      <c r="AJ6382" s="19">
        <v>0</v>
      </c>
      <c r="AK6382" s="23">
        <v>0</v>
      </c>
      <c r="AM6382" s="19">
        <v>0</v>
      </c>
      <c r="AN6382" s="19">
        <v>196000</v>
      </c>
      <c r="AP6382" s="14">
        <v>196000</v>
      </c>
      <c r="AQ6382" s="12">
        <v>3.0000000000000001E-3</v>
      </c>
    </row>
    <row r="6383" spans="1:45" x14ac:dyDescent="0.2">
      <c r="A6383" s="122">
        <f t="shared" si="663"/>
        <v>5235</v>
      </c>
      <c r="B6383" s="13">
        <v>1</v>
      </c>
      <c r="C6383" s="17" t="s">
        <v>65</v>
      </c>
      <c r="D6383" s="17">
        <v>758</v>
      </c>
      <c r="E6383" s="17">
        <v>5</v>
      </c>
      <c r="H6383" s="17">
        <v>4</v>
      </c>
      <c r="I6383" s="17">
        <v>2</v>
      </c>
      <c r="J6383" s="17">
        <v>40</v>
      </c>
      <c r="K6383" s="10">
        <v>1840</v>
      </c>
      <c r="P6383" s="17">
        <v>1</v>
      </c>
      <c r="Q6383" s="19">
        <v>1840</v>
      </c>
      <c r="R6383" s="14">
        <v>500</v>
      </c>
      <c r="S6383" s="19">
        <v>920000</v>
      </c>
      <c r="AJ6383" s="19">
        <v>0</v>
      </c>
      <c r="AK6383" s="23">
        <v>0</v>
      </c>
      <c r="AM6383" s="19">
        <v>0</v>
      </c>
      <c r="AN6383" s="19">
        <v>920000</v>
      </c>
      <c r="AP6383" s="14">
        <v>920000</v>
      </c>
      <c r="AQ6383" s="12">
        <v>1E-4</v>
      </c>
    </row>
    <row r="6384" spans="1:45" x14ac:dyDescent="0.2">
      <c r="A6384" s="122">
        <f t="shared" si="663"/>
        <v>5236</v>
      </c>
      <c r="B6384" s="13">
        <v>1</v>
      </c>
      <c r="C6384" s="17" t="s">
        <v>52</v>
      </c>
      <c r="D6384" s="17">
        <v>1918</v>
      </c>
      <c r="E6384" s="17">
        <v>10</v>
      </c>
      <c r="F6384" s="17">
        <v>826</v>
      </c>
      <c r="G6384" s="13">
        <v>4</v>
      </c>
      <c r="H6384" s="17">
        <v>4</v>
      </c>
      <c r="I6384" s="17">
        <v>0</v>
      </c>
      <c r="J6384" s="17">
        <v>28</v>
      </c>
      <c r="K6384" s="10">
        <v>1628</v>
      </c>
      <c r="P6384" s="17">
        <v>1</v>
      </c>
      <c r="Q6384" s="19">
        <v>1628</v>
      </c>
      <c r="R6384" s="14">
        <v>200</v>
      </c>
      <c r="S6384" s="19">
        <v>325600</v>
      </c>
      <c r="AJ6384" s="19">
        <v>0</v>
      </c>
      <c r="AK6384" s="23">
        <v>0</v>
      </c>
      <c r="AM6384" s="19">
        <v>0</v>
      </c>
      <c r="AN6384" s="19">
        <v>325600</v>
      </c>
      <c r="AP6384" s="14">
        <v>325600</v>
      </c>
      <c r="AS6384" s="26">
        <v>300</v>
      </c>
    </row>
    <row r="6385" spans="1:45" x14ac:dyDescent="0.2">
      <c r="A6385" s="122">
        <f t="shared" si="663"/>
        <v>5237</v>
      </c>
      <c r="B6385" s="13">
        <v>2</v>
      </c>
      <c r="C6385" s="17" t="s">
        <v>52</v>
      </c>
      <c r="D6385" s="17">
        <v>31421</v>
      </c>
      <c r="E6385" s="17">
        <v>73</v>
      </c>
      <c r="F6385" s="17">
        <v>6204</v>
      </c>
      <c r="G6385" s="13">
        <v>4</v>
      </c>
      <c r="H6385" s="17">
        <v>0</v>
      </c>
      <c r="I6385" s="17">
        <v>0</v>
      </c>
      <c r="J6385" s="17">
        <v>68</v>
      </c>
      <c r="N6385" s="18">
        <v>68</v>
      </c>
      <c r="P6385" s="17">
        <v>2</v>
      </c>
      <c r="Q6385" s="19">
        <v>68</v>
      </c>
      <c r="R6385" s="14">
        <v>250</v>
      </c>
      <c r="S6385" s="19">
        <v>17000</v>
      </c>
      <c r="AJ6385" s="19">
        <v>0</v>
      </c>
      <c r="AK6385" s="23">
        <v>0</v>
      </c>
      <c r="AM6385" s="19">
        <v>0</v>
      </c>
      <c r="AN6385" s="19">
        <v>17000</v>
      </c>
      <c r="AP6385" s="14">
        <v>17000</v>
      </c>
      <c r="AQ6385" s="12">
        <v>3.0000000000000001E-3</v>
      </c>
    </row>
    <row r="6386" spans="1:45" x14ac:dyDescent="0.2">
      <c r="A6386" s="122">
        <f t="shared" si="663"/>
        <v>5238</v>
      </c>
      <c r="C6386" s="17" t="s">
        <v>652</v>
      </c>
      <c r="G6386" s="13">
        <v>4</v>
      </c>
      <c r="J6386" s="17">
        <v>91</v>
      </c>
      <c r="Q6386" s="19">
        <v>91</v>
      </c>
      <c r="R6386" s="14">
        <v>160</v>
      </c>
      <c r="S6386" s="19">
        <v>14560</v>
      </c>
      <c r="AE6386" s="17">
        <v>91</v>
      </c>
      <c r="AJ6386" s="19">
        <v>0</v>
      </c>
      <c r="AK6386" s="23">
        <v>0</v>
      </c>
      <c r="AM6386" s="19">
        <v>0</v>
      </c>
      <c r="AN6386" s="19">
        <v>14560</v>
      </c>
      <c r="AP6386" s="14">
        <v>14560</v>
      </c>
      <c r="AQ6386" s="12">
        <v>2.0000000000000001E-4</v>
      </c>
    </row>
    <row r="6387" spans="1:45" ht="63" x14ac:dyDescent="0.2">
      <c r="U6387" s="17" t="s">
        <v>57</v>
      </c>
      <c r="V6387" s="17" t="s">
        <v>56</v>
      </c>
      <c r="W6387" s="4" t="s">
        <v>653</v>
      </c>
      <c r="Y6387" s="4" t="s">
        <v>654</v>
      </c>
      <c r="AB6387" s="17" t="s">
        <v>638</v>
      </c>
      <c r="AE6387" s="17">
        <v>9.8901098901098897E-2</v>
      </c>
      <c r="AF6387" s="14">
        <v>2</v>
      </c>
      <c r="AG6387" s="54">
        <v>364</v>
      </c>
      <c r="AH6387" s="11">
        <v>0.9</v>
      </c>
      <c r="AI6387" s="14">
        <v>7250</v>
      </c>
      <c r="AJ6387" s="19">
        <v>2375100</v>
      </c>
      <c r="AK6387" s="23" t="s">
        <v>638</v>
      </c>
      <c r="AL6387" s="11">
        <v>0.76</v>
      </c>
      <c r="AM6387" s="19">
        <v>570024</v>
      </c>
      <c r="AN6387" s="19">
        <v>570024</v>
      </c>
      <c r="AP6387" s="14">
        <v>570024</v>
      </c>
    </row>
    <row r="6388" spans="1:45" x14ac:dyDescent="0.2">
      <c r="Z6388" s="17" t="s">
        <v>399</v>
      </c>
      <c r="AF6388" s="14">
        <v>3</v>
      </c>
      <c r="AG6388" s="54">
        <v>364</v>
      </c>
      <c r="AH6388" s="11">
        <v>0.1</v>
      </c>
      <c r="AI6388" s="14">
        <v>7250</v>
      </c>
      <c r="AJ6388" s="19">
        <v>263900</v>
      </c>
      <c r="AK6388" s="23">
        <v>0</v>
      </c>
      <c r="AL6388" s="11">
        <v>0.76</v>
      </c>
      <c r="AM6388" s="19">
        <v>63336</v>
      </c>
      <c r="AN6388" s="19">
        <v>64792</v>
      </c>
      <c r="AP6388" s="14">
        <v>64792</v>
      </c>
      <c r="AQ6388" s="12">
        <v>3.0000000000000001E-3</v>
      </c>
    </row>
    <row r="6389" spans="1:45" ht="63" x14ac:dyDescent="0.2">
      <c r="A6389" s="2">
        <v>5239</v>
      </c>
      <c r="B6389" s="13">
        <v>1</v>
      </c>
      <c r="C6389" s="17" t="s">
        <v>65</v>
      </c>
      <c r="D6389" s="17">
        <v>2784</v>
      </c>
      <c r="E6389" s="17">
        <v>178</v>
      </c>
      <c r="H6389" s="17">
        <v>1</v>
      </c>
      <c r="I6389" s="17">
        <v>3</v>
      </c>
      <c r="J6389" s="17">
        <v>23</v>
      </c>
      <c r="L6389" s="17" t="s">
        <v>655</v>
      </c>
      <c r="P6389" s="17">
        <v>2</v>
      </c>
      <c r="Q6389" s="19">
        <v>723</v>
      </c>
      <c r="R6389" s="14">
        <v>200</v>
      </c>
      <c r="S6389" s="19">
        <v>144600</v>
      </c>
      <c r="U6389" s="17" t="s">
        <v>57</v>
      </c>
      <c r="V6389" s="17" t="s">
        <v>183</v>
      </c>
      <c r="W6389" s="4" t="s">
        <v>280</v>
      </c>
      <c r="Y6389" s="4" t="s">
        <v>280</v>
      </c>
      <c r="AB6389" s="17" t="s">
        <v>78</v>
      </c>
      <c r="AJ6389" s="19">
        <v>0</v>
      </c>
      <c r="AK6389" s="23" t="s">
        <v>78</v>
      </c>
      <c r="AM6389" s="19">
        <v>0</v>
      </c>
      <c r="AN6389" s="19">
        <v>144600</v>
      </c>
      <c r="AP6389" s="14">
        <v>144600</v>
      </c>
      <c r="AQ6389" s="12">
        <v>1E-4</v>
      </c>
    </row>
    <row r="6390" spans="1:45" x14ac:dyDescent="0.2">
      <c r="B6390" s="13">
        <v>1</v>
      </c>
      <c r="C6390" s="17" t="s">
        <v>52</v>
      </c>
      <c r="D6390" s="17">
        <v>21878</v>
      </c>
      <c r="E6390" s="17">
        <v>99</v>
      </c>
      <c r="F6390" s="17">
        <v>4695</v>
      </c>
      <c r="H6390" s="17">
        <v>0</v>
      </c>
      <c r="I6390" s="17">
        <v>0</v>
      </c>
      <c r="J6390" s="17">
        <v>74</v>
      </c>
      <c r="N6390" s="18" t="s">
        <v>403</v>
      </c>
      <c r="P6390" s="17">
        <v>4</v>
      </c>
      <c r="Q6390" s="19">
        <v>74</v>
      </c>
      <c r="R6390" s="14" t="e">
        <v>#N/A</v>
      </c>
    </row>
    <row r="6391" spans="1:45" x14ac:dyDescent="0.2">
      <c r="A6391" s="2">
        <v>5240</v>
      </c>
      <c r="B6391" s="13">
        <v>2</v>
      </c>
      <c r="C6391" s="17" t="s">
        <v>52</v>
      </c>
      <c r="D6391" s="17">
        <v>25099</v>
      </c>
      <c r="E6391" s="17">
        <v>67</v>
      </c>
      <c r="F6391" s="17">
        <v>4936</v>
      </c>
      <c r="G6391" s="13">
        <v>4</v>
      </c>
      <c r="H6391" s="17">
        <v>0</v>
      </c>
      <c r="I6391" s="17">
        <v>0</v>
      </c>
      <c r="J6391" s="17">
        <v>25</v>
      </c>
      <c r="K6391" s="10">
        <v>25</v>
      </c>
      <c r="P6391" s="17">
        <v>1</v>
      </c>
      <c r="Q6391" s="19">
        <v>25</v>
      </c>
      <c r="R6391" s="14">
        <v>250</v>
      </c>
      <c r="S6391" s="19">
        <v>6250</v>
      </c>
      <c r="AJ6391" s="19">
        <v>0</v>
      </c>
      <c r="AK6391" s="23">
        <v>0</v>
      </c>
      <c r="AM6391" s="19">
        <v>0</v>
      </c>
      <c r="AN6391" s="19">
        <v>6250</v>
      </c>
      <c r="AP6391" s="14">
        <v>6250</v>
      </c>
      <c r="AS6391" s="26">
        <v>33</v>
      </c>
    </row>
    <row r="6392" spans="1:45" x14ac:dyDescent="0.2">
      <c r="A6392" s="2">
        <f>+A6391+1</f>
        <v>5241</v>
      </c>
      <c r="B6392" s="13">
        <v>3</v>
      </c>
      <c r="C6392" s="17" t="s">
        <v>65</v>
      </c>
      <c r="D6392" s="17">
        <v>1425</v>
      </c>
      <c r="E6392" s="17">
        <v>124</v>
      </c>
      <c r="H6392" s="17">
        <v>7</v>
      </c>
      <c r="I6392" s="17">
        <v>0</v>
      </c>
      <c r="J6392" s="17">
        <v>20</v>
      </c>
      <c r="K6392" s="10">
        <v>2820</v>
      </c>
      <c r="P6392" s="17">
        <v>1</v>
      </c>
      <c r="Q6392" s="19">
        <v>2820</v>
      </c>
      <c r="R6392" s="14">
        <v>200</v>
      </c>
      <c r="S6392" s="19">
        <v>564000</v>
      </c>
      <c r="W6392" s="4">
        <v>200</v>
      </c>
      <c r="AB6392" s="17" t="s">
        <v>272</v>
      </c>
      <c r="AJ6392" s="19">
        <v>0</v>
      </c>
      <c r="AK6392" s="23" t="s">
        <v>272</v>
      </c>
      <c r="AM6392" s="19">
        <v>0</v>
      </c>
      <c r="AN6392" s="19">
        <v>564000</v>
      </c>
      <c r="AP6392" s="14">
        <v>564000</v>
      </c>
      <c r="AQ6392" s="12">
        <v>1E-4</v>
      </c>
    </row>
    <row r="6393" spans="1:45" x14ac:dyDescent="0.2">
      <c r="A6393" s="122">
        <f t="shared" ref="A6393:A6402" si="664">+A6392+1</f>
        <v>5242</v>
      </c>
      <c r="B6393" s="13">
        <v>1</v>
      </c>
      <c r="C6393" s="17" t="s">
        <v>52</v>
      </c>
      <c r="D6393" s="17">
        <v>1919</v>
      </c>
      <c r="E6393" s="17">
        <v>9</v>
      </c>
      <c r="F6393" s="17">
        <v>842</v>
      </c>
      <c r="G6393" s="13">
        <v>4</v>
      </c>
      <c r="H6393" s="17">
        <v>3</v>
      </c>
      <c r="I6393" s="17">
        <v>0</v>
      </c>
      <c r="J6393" s="17">
        <v>37</v>
      </c>
      <c r="L6393" s="17">
        <v>1237</v>
      </c>
      <c r="P6393" s="17">
        <v>2</v>
      </c>
      <c r="Q6393" s="19">
        <v>1237</v>
      </c>
      <c r="R6393" s="14">
        <v>200</v>
      </c>
      <c r="S6393" s="19">
        <v>247400</v>
      </c>
      <c r="AJ6393" s="19">
        <v>0</v>
      </c>
      <c r="AK6393" s="23">
        <v>0</v>
      </c>
      <c r="AM6393" s="19">
        <v>0</v>
      </c>
      <c r="AN6393" s="19">
        <v>247400</v>
      </c>
      <c r="AP6393" s="14">
        <v>247400</v>
      </c>
    </row>
    <row r="6394" spans="1:45" ht="42" x14ac:dyDescent="0.2">
      <c r="A6394" s="122">
        <f t="shared" si="664"/>
        <v>5243</v>
      </c>
      <c r="B6394" s="13">
        <v>1</v>
      </c>
      <c r="C6394" s="17" t="s">
        <v>52</v>
      </c>
      <c r="D6394" s="17">
        <v>25842</v>
      </c>
      <c r="E6394" s="17">
        <v>62</v>
      </c>
      <c r="F6394" s="17">
        <v>4877</v>
      </c>
      <c r="G6394" s="13">
        <v>4</v>
      </c>
      <c r="H6394" s="17">
        <v>0</v>
      </c>
      <c r="I6394" s="17">
        <v>1</v>
      </c>
      <c r="J6394" s="17">
        <v>9</v>
      </c>
      <c r="L6394" s="17" t="s">
        <v>608</v>
      </c>
      <c r="P6394" s="17">
        <v>2</v>
      </c>
      <c r="Q6394" s="19">
        <v>109</v>
      </c>
      <c r="R6394" s="14">
        <v>250</v>
      </c>
      <c r="S6394" s="19">
        <v>27250</v>
      </c>
      <c r="T6394" s="17">
        <v>1</v>
      </c>
      <c r="V6394" s="17" t="s">
        <v>183</v>
      </c>
      <c r="W6394" s="4">
        <v>300</v>
      </c>
      <c r="Y6394" s="4">
        <v>300</v>
      </c>
      <c r="AB6394" s="17">
        <v>20</v>
      </c>
      <c r="AJ6394" s="19">
        <v>0</v>
      </c>
      <c r="AK6394" s="23">
        <v>20</v>
      </c>
      <c r="AM6394" s="19">
        <v>0</v>
      </c>
      <c r="AN6394" s="19">
        <v>27250</v>
      </c>
      <c r="AP6394" s="14">
        <v>27250</v>
      </c>
    </row>
    <row r="6395" spans="1:45" ht="42" x14ac:dyDescent="0.2">
      <c r="A6395" s="122">
        <f t="shared" si="664"/>
        <v>5244</v>
      </c>
      <c r="B6395" s="13">
        <v>1</v>
      </c>
      <c r="C6395" s="17" t="s">
        <v>52</v>
      </c>
      <c r="D6395" s="17">
        <v>25839</v>
      </c>
      <c r="E6395" s="17">
        <v>59</v>
      </c>
      <c r="F6395" s="17">
        <v>4874</v>
      </c>
      <c r="G6395" s="13">
        <v>4</v>
      </c>
      <c r="H6395" s="17">
        <v>0</v>
      </c>
      <c r="I6395" s="17">
        <v>0</v>
      </c>
      <c r="J6395" s="17">
        <v>56</v>
      </c>
      <c r="L6395" s="17" t="s">
        <v>407</v>
      </c>
      <c r="P6395" s="17">
        <v>2</v>
      </c>
      <c r="Q6395" s="19">
        <v>56</v>
      </c>
      <c r="R6395" s="14">
        <v>250</v>
      </c>
      <c r="S6395" s="19">
        <v>14000</v>
      </c>
      <c r="T6395" s="17">
        <v>1</v>
      </c>
      <c r="V6395" s="17" t="s">
        <v>183</v>
      </c>
      <c r="W6395" s="4">
        <v>96.25</v>
      </c>
      <c r="Y6395" s="4">
        <v>96.25</v>
      </c>
      <c r="AB6395" s="17">
        <v>20</v>
      </c>
      <c r="AJ6395" s="19">
        <v>0</v>
      </c>
      <c r="AK6395" s="23">
        <v>20</v>
      </c>
      <c r="AM6395" s="19">
        <v>0</v>
      </c>
      <c r="AN6395" s="19">
        <v>14000</v>
      </c>
      <c r="AP6395" s="14">
        <v>14000</v>
      </c>
    </row>
    <row r="6396" spans="1:45" x14ac:dyDescent="0.2">
      <c r="A6396" s="122">
        <f t="shared" si="664"/>
        <v>5245</v>
      </c>
      <c r="B6396" s="13">
        <v>1</v>
      </c>
      <c r="C6396" s="17" t="s">
        <v>52</v>
      </c>
      <c r="D6396" s="17">
        <v>25841</v>
      </c>
      <c r="E6396" s="17">
        <v>61</v>
      </c>
      <c r="F6396" s="17">
        <v>4876</v>
      </c>
      <c r="G6396" s="13">
        <v>4</v>
      </c>
      <c r="H6396" s="17">
        <v>0</v>
      </c>
      <c r="I6396" s="17">
        <v>0</v>
      </c>
      <c r="J6396" s="17">
        <v>81</v>
      </c>
      <c r="K6396" s="10">
        <v>81</v>
      </c>
      <c r="P6396" s="17">
        <v>1</v>
      </c>
      <c r="Q6396" s="19">
        <v>81</v>
      </c>
      <c r="R6396" s="14">
        <v>250</v>
      </c>
      <c r="S6396" s="19">
        <v>20250</v>
      </c>
      <c r="AJ6396" s="19">
        <v>0</v>
      </c>
      <c r="AK6396" s="23">
        <v>0</v>
      </c>
      <c r="AM6396" s="19">
        <v>0</v>
      </c>
      <c r="AN6396" s="19">
        <v>20250</v>
      </c>
      <c r="AP6396" s="14">
        <v>20250</v>
      </c>
    </row>
    <row r="6397" spans="1:45" ht="42" x14ac:dyDescent="0.2">
      <c r="A6397" s="122">
        <f t="shared" si="664"/>
        <v>5246</v>
      </c>
      <c r="B6397" s="13">
        <v>1</v>
      </c>
      <c r="C6397" s="17" t="s">
        <v>52</v>
      </c>
      <c r="D6397" s="17">
        <v>25840</v>
      </c>
      <c r="E6397" s="17">
        <v>60</v>
      </c>
      <c r="F6397" s="17">
        <v>4875</v>
      </c>
      <c r="G6397" s="13">
        <v>4</v>
      </c>
      <c r="H6397" s="17">
        <v>0</v>
      </c>
      <c r="I6397" s="17">
        <v>0</v>
      </c>
      <c r="J6397" s="17">
        <v>56</v>
      </c>
      <c r="L6397" s="17" t="s">
        <v>407</v>
      </c>
      <c r="P6397" s="17">
        <v>2</v>
      </c>
      <c r="Q6397" s="19">
        <v>56</v>
      </c>
      <c r="R6397" s="14">
        <v>250</v>
      </c>
      <c r="S6397" s="19">
        <v>14000</v>
      </c>
      <c r="T6397" s="17">
        <v>1</v>
      </c>
      <c r="V6397" s="17" t="s">
        <v>183</v>
      </c>
      <c r="W6397" s="4">
        <v>57.5</v>
      </c>
      <c r="Y6397" s="4">
        <v>57.5</v>
      </c>
      <c r="AB6397" s="17">
        <v>29</v>
      </c>
      <c r="AJ6397" s="19">
        <v>0</v>
      </c>
      <c r="AK6397" s="23">
        <v>29</v>
      </c>
      <c r="AM6397" s="19">
        <v>0</v>
      </c>
      <c r="AN6397" s="19">
        <v>14000</v>
      </c>
      <c r="AP6397" s="14">
        <v>14000</v>
      </c>
    </row>
    <row r="6398" spans="1:45" ht="42" x14ac:dyDescent="0.2">
      <c r="A6398" s="122">
        <f t="shared" si="664"/>
        <v>5247</v>
      </c>
      <c r="B6398" s="13">
        <v>1</v>
      </c>
      <c r="C6398" s="17" t="s">
        <v>52</v>
      </c>
      <c r="D6398" s="17">
        <v>25838</v>
      </c>
      <c r="E6398" s="17">
        <v>58</v>
      </c>
      <c r="F6398" s="17">
        <v>4873</v>
      </c>
      <c r="G6398" s="13">
        <v>4</v>
      </c>
      <c r="H6398" s="17">
        <v>0</v>
      </c>
      <c r="I6398" s="17">
        <v>0</v>
      </c>
      <c r="J6398" s="17">
        <v>51</v>
      </c>
      <c r="L6398" s="17" t="s">
        <v>622</v>
      </c>
      <c r="P6398" s="17">
        <v>2</v>
      </c>
      <c r="Q6398" s="19">
        <v>51</v>
      </c>
      <c r="R6398" s="14">
        <v>250</v>
      </c>
      <c r="S6398" s="19">
        <v>12750</v>
      </c>
      <c r="T6398" s="17">
        <v>1</v>
      </c>
      <c r="V6398" s="17" t="s">
        <v>183</v>
      </c>
      <c r="W6398" s="4">
        <v>47.5</v>
      </c>
      <c r="Y6398" s="4">
        <v>47.5</v>
      </c>
      <c r="AB6398" s="17">
        <v>18</v>
      </c>
      <c r="AJ6398" s="19">
        <v>0</v>
      </c>
      <c r="AK6398" s="23">
        <v>18</v>
      </c>
      <c r="AM6398" s="19">
        <v>0</v>
      </c>
      <c r="AN6398" s="19">
        <v>12750</v>
      </c>
      <c r="AP6398" s="14">
        <v>12750</v>
      </c>
    </row>
    <row r="6399" spans="1:45" ht="42" x14ac:dyDescent="0.2">
      <c r="A6399" s="122">
        <f t="shared" si="664"/>
        <v>5248</v>
      </c>
      <c r="B6399" s="13">
        <v>1</v>
      </c>
      <c r="C6399" s="17" t="s">
        <v>52</v>
      </c>
      <c r="D6399" s="17">
        <v>1989</v>
      </c>
      <c r="E6399" s="17">
        <v>41</v>
      </c>
      <c r="F6399" s="17">
        <v>833</v>
      </c>
      <c r="G6399" s="13">
        <v>4</v>
      </c>
      <c r="H6399" s="17">
        <v>0</v>
      </c>
      <c r="I6399" s="17">
        <v>0</v>
      </c>
      <c r="J6399" s="17">
        <v>62</v>
      </c>
      <c r="L6399" s="17" t="s">
        <v>612</v>
      </c>
      <c r="P6399" s="17">
        <v>2</v>
      </c>
      <c r="Q6399" s="19">
        <v>62</v>
      </c>
      <c r="R6399" s="14">
        <v>2000</v>
      </c>
      <c r="S6399" s="19">
        <v>124000</v>
      </c>
      <c r="T6399" s="17">
        <v>1</v>
      </c>
      <c r="V6399" s="17" t="s">
        <v>183</v>
      </c>
      <c r="W6399" s="4">
        <v>108</v>
      </c>
      <c r="Y6399" s="4">
        <v>108</v>
      </c>
      <c r="AB6399" s="17">
        <v>20</v>
      </c>
      <c r="AJ6399" s="19">
        <v>0</v>
      </c>
      <c r="AK6399" s="23">
        <v>20</v>
      </c>
      <c r="AM6399" s="19">
        <v>0</v>
      </c>
      <c r="AN6399" s="19">
        <v>124000</v>
      </c>
      <c r="AP6399" s="14">
        <v>124000</v>
      </c>
    </row>
    <row r="6400" spans="1:45" x14ac:dyDescent="0.2">
      <c r="A6400" s="122">
        <f t="shared" si="664"/>
        <v>5249</v>
      </c>
      <c r="B6400" s="13">
        <v>1</v>
      </c>
      <c r="C6400" s="17" t="s">
        <v>52</v>
      </c>
      <c r="D6400" s="17">
        <v>33567</v>
      </c>
      <c r="E6400" s="17">
        <v>83</v>
      </c>
      <c r="F6400" s="17">
        <v>6695</v>
      </c>
      <c r="G6400" s="13">
        <v>4</v>
      </c>
      <c r="H6400" s="17">
        <v>0</v>
      </c>
      <c r="I6400" s="17">
        <v>0</v>
      </c>
      <c r="J6400" s="17">
        <v>62</v>
      </c>
      <c r="N6400" s="18">
        <v>62</v>
      </c>
      <c r="P6400" s="17">
        <v>4</v>
      </c>
      <c r="Q6400" s="19">
        <v>62</v>
      </c>
      <c r="R6400" s="14">
        <v>2000</v>
      </c>
      <c r="S6400" s="19">
        <v>124000</v>
      </c>
      <c r="AJ6400" s="19">
        <v>0</v>
      </c>
      <c r="AK6400" s="23">
        <v>0</v>
      </c>
      <c r="AM6400" s="19">
        <v>0</v>
      </c>
      <c r="AN6400" s="19">
        <v>124000</v>
      </c>
      <c r="AP6400" s="14">
        <v>124000</v>
      </c>
      <c r="AQ6400" s="12">
        <v>3.0000000000000001E-3</v>
      </c>
      <c r="AS6400" s="26">
        <v>1</v>
      </c>
    </row>
    <row r="6401" spans="1:45" x14ac:dyDescent="0.2">
      <c r="A6401" s="122">
        <f t="shared" si="664"/>
        <v>5250</v>
      </c>
      <c r="B6401" s="13">
        <v>1</v>
      </c>
      <c r="C6401" s="17" t="s">
        <v>69</v>
      </c>
      <c r="E6401" s="17">
        <v>2329</v>
      </c>
      <c r="F6401" s="17">
        <v>1</v>
      </c>
      <c r="G6401" s="13">
        <v>1</v>
      </c>
      <c r="H6401" s="17">
        <v>4</v>
      </c>
      <c r="I6401" s="17">
        <v>2</v>
      </c>
      <c r="J6401" s="17">
        <v>33</v>
      </c>
      <c r="K6401" s="10">
        <v>1833</v>
      </c>
      <c r="P6401" s="17">
        <v>1</v>
      </c>
      <c r="Q6401" s="19">
        <v>1833</v>
      </c>
      <c r="R6401" s="14">
        <v>200</v>
      </c>
      <c r="S6401" s="19">
        <v>366600</v>
      </c>
      <c r="AJ6401" s="19">
        <v>0</v>
      </c>
      <c r="AK6401" s="23">
        <v>0</v>
      </c>
      <c r="AM6401" s="19">
        <v>0</v>
      </c>
      <c r="AN6401" s="19">
        <v>366600</v>
      </c>
      <c r="AP6401" s="14">
        <v>366600</v>
      </c>
      <c r="AQ6401" s="12">
        <v>1E-4</v>
      </c>
    </row>
    <row r="6402" spans="1:45" ht="63" x14ac:dyDescent="0.2">
      <c r="A6402" s="122">
        <f t="shared" si="664"/>
        <v>5251</v>
      </c>
      <c r="B6402" s="13">
        <v>1</v>
      </c>
      <c r="C6402" s="17" t="s">
        <v>65</v>
      </c>
      <c r="D6402" s="17">
        <v>1368</v>
      </c>
      <c r="E6402" s="17">
        <v>55</v>
      </c>
      <c r="H6402" s="17">
        <v>2</v>
      </c>
      <c r="I6402" s="17">
        <v>1</v>
      </c>
      <c r="J6402" s="17">
        <v>75</v>
      </c>
      <c r="K6402" s="10">
        <v>900.37</v>
      </c>
      <c r="L6402" s="17">
        <v>32</v>
      </c>
      <c r="P6402" s="17">
        <v>5</v>
      </c>
      <c r="Q6402" s="19">
        <v>975</v>
      </c>
      <c r="R6402" s="14">
        <v>160</v>
      </c>
      <c r="S6402" s="19">
        <v>156000</v>
      </c>
      <c r="T6402" s="17">
        <v>1</v>
      </c>
      <c r="U6402" s="17" t="s">
        <v>57</v>
      </c>
      <c r="V6402" s="17" t="s">
        <v>88</v>
      </c>
      <c r="W6402" s="4">
        <v>128</v>
      </c>
      <c r="Y6402" s="4">
        <v>128</v>
      </c>
      <c r="AB6402" s="17">
        <v>33</v>
      </c>
      <c r="AE6402" s="17">
        <v>74.63</v>
      </c>
      <c r="AJ6402" s="19">
        <v>0</v>
      </c>
      <c r="AK6402" s="23">
        <v>33</v>
      </c>
      <c r="AM6402" s="19">
        <v>0</v>
      </c>
      <c r="AN6402" s="19">
        <v>156000</v>
      </c>
      <c r="AP6402" s="14">
        <v>156000</v>
      </c>
    </row>
    <row r="6403" spans="1:45" x14ac:dyDescent="0.2">
      <c r="Q6403" s="19">
        <v>900.37</v>
      </c>
      <c r="R6403" s="14">
        <v>160</v>
      </c>
      <c r="S6403" s="19">
        <v>144059.20000000001</v>
      </c>
      <c r="AM6403" s="19">
        <v>0</v>
      </c>
      <c r="AN6403" s="19">
        <v>144059.20000000001</v>
      </c>
      <c r="AP6403" s="14">
        <v>144059.20000000001</v>
      </c>
      <c r="AQ6403" s="12">
        <v>1E-4</v>
      </c>
    </row>
    <row r="6404" spans="1:45" x14ac:dyDescent="0.2">
      <c r="Q6404" s="19">
        <v>74.63</v>
      </c>
      <c r="R6404" s="14">
        <v>160</v>
      </c>
      <c r="S6404" s="19">
        <v>11940.8</v>
      </c>
      <c r="AM6404" s="19">
        <v>0</v>
      </c>
      <c r="AN6404" s="19">
        <v>11940.8</v>
      </c>
      <c r="AP6404" s="14">
        <v>11940.8</v>
      </c>
      <c r="AQ6404" s="12">
        <v>2.0000000000000001E-4</v>
      </c>
    </row>
    <row r="6405" spans="1:45" ht="63" x14ac:dyDescent="0.2">
      <c r="L6405" s="17">
        <v>12</v>
      </c>
      <c r="T6405" s="17">
        <v>2</v>
      </c>
      <c r="U6405" s="17" t="s">
        <v>57</v>
      </c>
      <c r="V6405" s="17" t="s">
        <v>88</v>
      </c>
      <c r="W6405" s="4">
        <v>48</v>
      </c>
      <c r="Y6405" s="4">
        <v>48</v>
      </c>
      <c r="AB6405" s="17">
        <v>21</v>
      </c>
      <c r="AF6405" s="14">
        <v>2</v>
      </c>
      <c r="AG6405" s="54">
        <v>48</v>
      </c>
      <c r="AH6405" s="11">
        <v>1</v>
      </c>
      <c r="AI6405" s="14">
        <v>7250</v>
      </c>
      <c r="AJ6405" s="19">
        <v>348000</v>
      </c>
      <c r="AK6405" s="23">
        <v>21</v>
      </c>
      <c r="AM6405" s="19">
        <v>348000</v>
      </c>
      <c r="AN6405" s="19">
        <v>348000</v>
      </c>
      <c r="AP6405" s="14">
        <v>348000</v>
      </c>
    </row>
    <row r="6406" spans="1:45" ht="63" x14ac:dyDescent="0.2">
      <c r="L6406" s="17">
        <v>15.63</v>
      </c>
      <c r="T6406" s="17">
        <v>3</v>
      </c>
      <c r="U6406" s="17" t="s">
        <v>63</v>
      </c>
      <c r="V6406" s="17" t="s">
        <v>56</v>
      </c>
      <c r="W6406" s="4">
        <v>62.5</v>
      </c>
      <c r="Y6406" s="4">
        <v>62.5</v>
      </c>
      <c r="AB6406" s="17">
        <v>1</v>
      </c>
      <c r="AF6406" s="14">
        <v>2</v>
      </c>
      <c r="AG6406" s="54">
        <v>62.5</v>
      </c>
      <c r="AH6406" s="11">
        <v>1</v>
      </c>
      <c r="AI6406" s="14">
        <v>8100</v>
      </c>
      <c r="AJ6406" s="19">
        <v>506250</v>
      </c>
      <c r="AK6406" s="23">
        <v>1</v>
      </c>
      <c r="AM6406" s="19">
        <v>506250</v>
      </c>
      <c r="AN6406" s="19">
        <v>506250</v>
      </c>
      <c r="AP6406" s="14">
        <v>506250</v>
      </c>
    </row>
    <row r="6407" spans="1:45" ht="63" x14ac:dyDescent="0.2">
      <c r="L6407" s="17">
        <v>15</v>
      </c>
      <c r="T6407" s="17">
        <v>4</v>
      </c>
      <c r="U6407" s="17" t="s">
        <v>63</v>
      </c>
      <c r="V6407" s="17" t="s">
        <v>56</v>
      </c>
      <c r="W6407" s="4">
        <v>60</v>
      </c>
      <c r="Y6407" s="4">
        <v>60</v>
      </c>
      <c r="AB6407" s="17">
        <v>21</v>
      </c>
      <c r="AF6407" s="14">
        <v>2</v>
      </c>
      <c r="AG6407" s="54">
        <v>60</v>
      </c>
      <c r="AH6407" s="11">
        <v>1</v>
      </c>
      <c r="AI6407" s="14">
        <v>8100</v>
      </c>
      <c r="AJ6407" s="19">
        <v>486000</v>
      </c>
      <c r="AK6407" s="23">
        <v>21</v>
      </c>
      <c r="AM6407" s="19">
        <v>486000</v>
      </c>
      <c r="AN6407" s="19">
        <v>486000</v>
      </c>
      <c r="AP6407" s="14">
        <v>486000</v>
      </c>
    </row>
    <row r="6408" spans="1:45" x14ac:dyDescent="0.2">
      <c r="A6408" s="2">
        <v>5252</v>
      </c>
      <c r="B6408" s="13">
        <v>1</v>
      </c>
      <c r="C6408" s="17" t="s">
        <v>52</v>
      </c>
      <c r="D6408" s="17">
        <v>1618</v>
      </c>
      <c r="E6408" s="17">
        <v>9</v>
      </c>
      <c r="F6408" s="17">
        <v>857</v>
      </c>
      <c r="G6408" s="13">
        <v>4</v>
      </c>
      <c r="H6408" s="17">
        <v>0</v>
      </c>
      <c r="I6408" s="17">
        <v>2</v>
      </c>
      <c r="J6408" s="17">
        <v>16</v>
      </c>
      <c r="K6408" s="10">
        <v>216</v>
      </c>
      <c r="P6408" s="17">
        <v>1</v>
      </c>
      <c r="Q6408" s="19">
        <v>216</v>
      </c>
      <c r="R6408" s="14">
        <v>160</v>
      </c>
      <c r="S6408" s="19">
        <v>34560</v>
      </c>
      <c r="AJ6408" s="19">
        <v>0</v>
      </c>
      <c r="AK6408" s="23">
        <v>0</v>
      </c>
      <c r="AM6408" s="19">
        <v>0</v>
      </c>
      <c r="AN6408" s="19">
        <v>34560</v>
      </c>
      <c r="AP6408" s="14">
        <v>34560</v>
      </c>
    </row>
    <row r="6409" spans="1:45" x14ac:dyDescent="0.2">
      <c r="A6409" s="2">
        <f>+A6408+1</f>
        <v>5253</v>
      </c>
      <c r="B6409" s="13">
        <v>2</v>
      </c>
      <c r="C6409" s="17" t="s">
        <v>65</v>
      </c>
      <c r="D6409" s="17">
        <v>1418</v>
      </c>
      <c r="E6409" s="17">
        <v>110</v>
      </c>
      <c r="H6409" s="17">
        <v>10</v>
      </c>
      <c r="I6409" s="17">
        <v>2</v>
      </c>
      <c r="J6409" s="17">
        <v>42</v>
      </c>
      <c r="K6409" s="10">
        <v>4242</v>
      </c>
      <c r="P6409" s="17">
        <v>1</v>
      </c>
      <c r="Q6409" s="19">
        <v>4242</v>
      </c>
      <c r="R6409" s="14">
        <v>250</v>
      </c>
      <c r="S6409" s="19">
        <v>1060500</v>
      </c>
      <c r="AJ6409" s="19">
        <v>0</v>
      </c>
      <c r="AK6409" s="23">
        <v>0</v>
      </c>
      <c r="AM6409" s="19">
        <v>0</v>
      </c>
      <c r="AN6409" s="19">
        <v>1060500</v>
      </c>
      <c r="AP6409" s="14">
        <v>1060500</v>
      </c>
      <c r="AQ6409" s="12">
        <v>1E-4</v>
      </c>
    </row>
    <row r="6410" spans="1:45" x14ac:dyDescent="0.2">
      <c r="A6410" s="122">
        <f t="shared" ref="A6410:A6415" si="665">+A6409+1</f>
        <v>5254</v>
      </c>
      <c r="B6410" s="13">
        <v>1</v>
      </c>
      <c r="C6410" s="17" t="s">
        <v>52</v>
      </c>
      <c r="D6410" s="17">
        <v>1786</v>
      </c>
      <c r="E6410" s="17">
        <v>12</v>
      </c>
      <c r="F6410" s="17">
        <v>1156</v>
      </c>
      <c r="G6410" s="13">
        <v>4</v>
      </c>
      <c r="H6410" s="17">
        <v>0</v>
      </c>
      <c r="I6410" s="17">
        <v>1</v>
      </c>
      <c r="J6410" s="17">
        <v>66</v>
      </c>
      <c r="K6410" s="10">
        <v>166</v>
      </c>
      <c r="P6410" s="17">
        <v>1</v>
      </c>
      <c r="Q6410" s="19">
        <v>166</v>
      </c>
      <c r="R6410" s="14">
        <v>200</v>
      </c>
      <c r="S6410" s="19">
        <v>33200</v>
      </c>
      <c r="AE6410" s="17">
        <v>356.4</v>
      </c>
      <c r="AJ6410" s="19">
        <v>0</v>
      </c>
      <c r="AK6410" s="23">
        <v>0</v>
      </c>
      <c r="AM6410" s="19">
        <v>0</v>
      </c>
      <c r="AN6410" s="19">
        <v>33200</v>
      </c>
      <c r="AP6410" s="14">
        <v>33200</v>
      </c>
      <c r="AS6410" s="26">
        <v>1200</v>
      </c>
    </row>
    <row r="6411" spans="1:45" ht="63" x14ac:dyDescent="0.2">
      <c r="A6411" s="122">
        <f t="shared" si="665"/>
        <v>5255</v>
      </c>
      <c r="B6411" s="13">
        <v>2</v>
      </c>
      <c r="C6411" s="17" t="s">
        <v>52</v>
      </c>
      <c r="D6411" s="17">
        <v>20995</v>
      </c>
      <c r="E6411" s="17">
        <v>32</v>
      </c>
      <c r="F6411" s="17">
        <v>4667</v>
      </c>
      <c r="G6411" s="13">
        <v>4</v>
      </c>
      <c r="H6411" s="17">
        <v>0</v>
      </c>
      <c r="I6411" s="17">
        <v>0</v>
      </c>
      <c r="J6411" s="17">
        <v>93</v>
      </c>
      <c r="K6411" s="10">
        <v>55</v>
      </c>
      <c r="L6411" s="17">
        <v>38</v>
      </c>
      <c r="P6411" s="17">
        <v>5</v>
      </c>
      <c r="Q6411" s="19">
        <v>93</v>
      </c>
      <c r="R6411" s="14">
        <v>2000</v>
      </c>
      <c r="S6411" s="19">
        <v>186000</v>
      </c>
      <c r="T6411" s="17">
        <v>1</v>
      </c>
      <c r="V6411" s="17" t="s">
        <v>183</v>
      </c>
      <c r="W6411" s="4">
        <v>152</v>
      </c>
      <c r="Y6411" s="4">
        <v>152</v>
      </c>
      <c r="AB6411" s="17">
        <v>16</v>
      </c>
      <c r="AE6411" s="17">
        <v>0.19191919191919193</v>
      </c>
      <c r="AJ6411" s="19">
        <v>0</v>
      </c>
      <c r="AK6411" s="23">
        <v>16</v>
      </c>
      <c r="AM6411" s="19">
        <v>0</v>
      </c>
      <c r="AN6411" s="19">
        <v>186000</v>
      </c>
      <c r="AP6411" s="14">
        <v>186000</v>
      </c>
      <c r="AR6411" s="19">
        <v>1200</v>
      </c>
    </row>
    <row r="6412" spans="1:45" x14ac:dyDescent="0.2">
      <c r="A6412" s="122">
        <f t="shared" si="665"/>
        <v>5256</v>
      </c>
      <c r="B6412" s="13">
        <v>3</v>
      </c>
      <c r="C6412" s="17" t="s">
        <v>65</v>
      </c>
      <c r="D6412" s="17">
        <v>1522</v>
      </c>
      <c r="E6412" s="17">
        <v>26</v>
      </c>
      <c r="H6412" s="17">
        <v>3</v>
      </c>
      <c r="I6412" s="17">
        <v>3</v>
      </c>
      <c r="J6412" s="17">
        <v>0</v>
      </c>
      <c r="K6412" s="10">
        <v>1500</v>
      </c>
      <c r="P6412" s="17">
        <v>1</v>
      </c>
      <c r="Q6412" s="19">
        <v>1500</v>
      </c>
      <c r="R6412" s="14">
        <v>160</v>
      </c>
      <c r="S6412" s="19">
        <v>240000</v>
      </c>
      <c r="AE6412" s="17">
        <v>288</v>
      </c>
      <c r="AJ6412" s="19">
        <v>0</v>
      </c>
      <c r="AK6412" s="23">
        <v>0</v>
      </c>
      <c r="AM6412" s="19">
        <v>0</v>
      </c>
      <c r="AN6412" s="19">
        <v>240000</v>
      </c>
      <c r="AP6412" s="14">
        <v>240000</v>
      </c>
      <c r="AQ6412" s="12">
        <v>1E-4</v>
      </c>
    </row>
    <row r="6413" spans="1:45" x14ac:dyDescent="0.2">
      <c r="A6413" s="122">
        <f t="shared" si="665"/>
        <v>5257</v>
      </c>
      <c r="B6413" s="13">
        <v>4</v>
      </c>
      <c r="C6413" s="17" t="s">
        <v>65</v>
      </c>
      <c r="D6413" s="17">
        <v>3684</v>
      </c>
      <c r="E6413" s="17">
        <v>255</v>
      </c>
      <c r="H6413" s="17">
        <v>5</v>
      </c>
      <c r="I6413" s="17">
        <v>2</v>
      </c>
      <c r="J6413" s="17">
        <v>17</v>
      </c>
      <c r="K6413" s="10">
        <v>2217</v>
      </c>
      <c r="P6413" s="17">
        <v>1</v>
      </c>
      <c r="Q6413" s="19">
        <v>2217</v>
      </c>
      <c r="R6413" s="14">
        <v>160</v>
      </c>
      <c r="S6413" s="19">
        <v>354720</v>
      </c>
      <c r="AE6413" s="17">
        <v>89.1</v>
      </c>
      <c r="AJ6413" s="19">
        <v>0</v>
      </c>
      <c r="AK6413" s="23">
        <v>0</v>
      </c>
      <c r="AM6413" s="19">
        <v>0</v>
      </c>
      <c r="AN6413" s="19">
        <v>354720</v>
      </c>
      <c r="AP6413" s="14">
        <v>354720</v>
      </c>
      <c r="AQ6413" s="12">
        <v>1E-4</v>
      </c>
    </row>
    <row r="6414" spans="1:45" x14ac:dyDescent="0.2">
      <c r="A6414" s="122">
        <f t="shared" si="665"/>
        <v>5258</v>
      </c>
      <c r="B6414" s="13">
        <v>5</v>
      </c>
      <c r="C6414" s="17" t="s">
        <v>65</v>
      </c>
      <c r="D6414" s="17">
        <v>3685</v>
      </c>
      <c r="E6414" s="17">
        <v>256</v>
      </c>
      <c r="H6414" s="17">
        <v>2</v>
      </c>
      <c r="I6414" s="17">
        <v>1</v>
      </c>
      <c r="J6414" s="17">
        <v>83</v>
      </c>
      <c r="K6414" s="10">
        <v>983</v>
      </c>
      <c r="P6414" s="17">
        <v>5</v>
      </c>
      <c r="Q6414" s="19">
        <v>983</v>
      </c>
      <c r="R6414" s="14">
        <v>160</v>
      </c>
      <c r="S6414" s="19">
        <v>157280</v>
      </c>
      <c r="AE6414" s="17">
        <v>356.4</v>
      </c>
      <c r="AJ6414" s="19">
        <v>0</v>
      </c>
      <c r="AK6414" s="23">
        <v>0</v>
      </c>
      <c r="AM6414" s="19">
        <v>0</v>
      </c>
      <c r="AN6414" s="19">
        <v>157280</v>
      </c>
      <c r="AP6414" s="14">
        <v>157280</v>
      </c>
      <c r="AQ6414" s="12">
        <v>1E-4</v>
      </c>
    </row>
    <row r="6415" spans="1:45" x14ac:dyDescent="0.2">
      <c r="A6415" s="122">
        <f t="shared" si="665"/>
        <v>5259</v>
      </c>
      <c r="C6415" s="17" t="s">
        <v>115</v>
      </c>
      <c r="G6415" s="13">
        <v>4</v>
      </c>
      <c r="J6415" s="17">
        <v>89.1</v>
      </c>
      <c r="Q6415" s="19">
        <v>89.1</v>
      </c>
      <c r="R6415" s="14">
        <v>1000</v>
      </c>
      <c r="S6415" s="19">
        <v>89100</v>
      </c>
      <c r="AE6415" s="17">
        <v>180</v>
      </c>
    </row>
    <row r="6416" spans="1:45" ht="63" x14ac:dyDescent="0.2">
      <c r="U6416" s="17" t="s">
        <v>57</v>
      </c>
      <c r="V6416" s="17" t="s">
        <v>56</v>
      </c>
      <c r="W6416" s="4" t="s">
        <v>656</v>
      </c>
      <c r="Y6416" s="4" t="s">
        <v>657</v>
      </c>
      <c r="AB6416" s="17" t="s">
        <v>393</v>
      </c>
      <c r="AE6416" s="17">
        <v>108</v>
      </c>
      <c r="AF6416" s="14">
        <v>2</v>
      </c>
      <c r="AG6416" s="54">
        <v>356.4</v>
      </c>
      <c r="AH6416" s="11">
        <v>0.81</v>
      </c>
      <c r="AI6416" s="14">
        <v>7250</v>
      </c>
      <c r="AJ6416" s="19">
        <v>2092959.0000000002</v>
      </c>
      <c r="AK6416" s="23">
        <v>17</v>
      </c>
      <c r="AL6416" s="11">
        <v>0.24</v>
      </c>
      <c r="AM6416" s="19">
        <v>1590648.8400000003</v>
      </c>
      <c r="AN6416" s="19">
        <v>1662819.8400000003</v>
      </c>
      <c r="AP6416" s="14">
        <v>1662819.8400000003</v>
      </c>
      <c r="AQ6416" s="12">
        <v>2.0000000000000001E-4</v>
      </c>
    </row>
    <row r="6417" spans="1:45" x14ac:dyDescent="0.2">
      <c r="Z6417" s="17" t="s">
        <v>658</v>
      </c>
      <c r="AE6417" s="17">
        <v>68.399999999999991</v>
      </c>
      <c r="AF6417" s="14">
        <v>3</v>
      </c>
      <c r="AG6417" s="54">
        <v>356.4</v>
      </c>
      <c r="AH6417" s="11">
        <v>0.19</v>
      </c>
      <c r="AI6417" s="14">
        <v>7250</v>
      </c>
      <c r="AJ6417" s="19">
        <v>490940.99999999994</v>
      </c>
      <c r="AK6417" s="23">
        <v>17</v>
      </c>
      <c r="AL6417" s="11">
        <v>0.24</v>
      </c>
      <c r="AM6417" s="19">
        <v>373115.16</v>
      </c>
      <c r="AN6417" s="19">
        <v>390044.15999999997</v>
      </c>
      <c r="AP6417" s="14">
        <v>390044.15999999997</v>
      </c>
      <c r="AQ6417" s="12">
        <v>3.0000000000000001E-3</v>
      </c>
    </row>
    <row r="6418" spans="1:45" x14ac:dyDescent="0.2">
      <c r="A6418" s="2">
        <v>5260</v>
      </c>
      <c r="B6418" s="13">
        <v>1</v>
      </c>
      <c r="C6418" s="17" t="s">
        <v>52</v>
      </c>
      <c r="D6418" s="17">
        <v>1616</v>
      </c>
      <c r="E6418" s="17">
        <v>4</v>
      </c>
      <c r="F6418" s="17">
        <v>849</v>
      </c>
      <c r="G6418" s="13">
        <v>4</v>
      </c>
      <c r="H6418" s="17">
        <v>3</v>
      </c>
      <c r="I6418" s="17">
        <v>3</v>
      </c>
      <c r="J6418" s="17">
        <v>53</v>
      </c>
      <c r="K6418" s="10" t="s">
        <v>659</v>
      </c>
      <c r="P6418" s="17">
        <v>1</v>
      </c>
      <c r="Q6418" s="19">
        <v>1553</v>
      </c>
      <c r="R6418" s="14">
        <v>200</v>
      </c>
      <c r="S6418" s="19">
        <v>310600</v>
      </c>
      <c r="AJ6418" s="19">
        <v>0</v>
      </c>
      <c r="AK6418" s="23">
        <v>0</v>
      </c>
      <c r="AM6418" s="19">
        <v>0</v>
      </c>
      <c r="AN6418" s="19">
        <v>310600</v>
      </c>
      <c r="AP6418" s="14">
        <v>310600</v>
      </c>
    </row>
    <row r="6419" spans="1:45" x14ac:dyDescent="0.2">
      <c r="A6419" s="2">
        <f>+A6418+1</f>
        <v>5261</v>
      </c>
      <c r="B6419" s="13">
        <v>2</v>
      </c>
      <c r="C6419" s="17" t="s">
        <v>52</v>
      </c>
      <c r="D6419" s="17">
        <v>20990</v>
      </c>
      <c r="E6419" s="17">
        <v>27</v>
      </c>
      <c r="F6419" s="17">
        <v>4662</v>
      </c>
      <c r="G6419" s="13">
        <v>4</v>
      </c>
      <c r="H6419" s="17">
        <v>0</v>
      </c>
      <c r="I6419" s="17">
        <v>1</v>
      </c>
      <c r="J6419" s="17">
        <v>25</v>
      </c>
      <c r="K6419" s="10" t="s">
        <v>241</v>
      </c>
      <c r="P6419" s="17">
        <v>1</v>
      </c>
      <c r="Q6419" s="19">
        <v>125</v>
      </c>
      <c r="R6419" s="14">
        <v>2000</v>
      </c>
      <c r="S6419" s="19">
        <v>250000</v>
      </c>
      <c r="AJ6419" s="19">
        <v>0</v>
      </c>
      <c r="AK6419" s="23">
        <v>0</v>
      </c>
      <c r="AM6419" s="19">
        <v>0</v>
      </c>
      <c r="AN6419" s="19">
        <v>250000</v>
      </c>
      <c r="AP6419" s="14">
        <v>250000</v>
      </c>
    </row>
    <row r="6420" spans="1:45" x14ac:dyDescent="0.2">
      <c r="A6420" s="122">
        <f t="shared" ref="A6420:A6426" si="666">+A6419+1</f>
        <v>5262</v>
      </c>
      <c r="B6420" s="13">
        <v>3</v>
      </c>
      <c r="C6420" s="17" t="s">
        <v>65</v>
      </c>
      <c r="D6420" s="17">
        <v>3686</v>
      </c>
      <c r="E6420" s="17">
        <v>257</v>
      </c>
      <c r="H6420" s="17">
        <v>4</v>
      </c>
      <c r="I6420" s="17">
        <v>1</v>
      </c>
      <c r="J6420" s="17">
        <v>45</v>
      </c>
      <c r="K6420" s="10">
        <v>1745</v>
      </c>
      <c r="P6420" s="17">
        <v>1</v>
      </c>
      <c r="Q6420" s="19">
        <v>1745</v>
      </c>
      <c r="R6420" s="14">
        <v>160</v>
      </c>
      <c r="S6420" s="19">
        <v>279200</v>
      </c>
      <c r="AJ6420" s="19">
        <v>0</v>
      </c>
      <c r="AK6420" s="23">
        <v>0</v>
      </c>
      <c r="AM6420" s="19">
        <v>0</v>
      </c>
      <c r="AN6420" s="19">
        <v>279200</v>
      </c>
      <c r="AP6420" s="14">
        <v>279200</v>
      </c>
      <c r="AQ6420" s="12">
        <v>1E-4</v>
      </c>
    </row>
    <row r="6421" spans="1:45" x14ac:dyDescent="0.2">
      <c r="A6421" s="122">
        <f t="shared" si="666"/>
        <v>5263</v>
      </c>
      <c r="B6421" s="13">
        <v>4</v>
      </c>
      <c r="C6421" s="17" t="s">
        <v>65</v>
      </c>
      <c r="D6421" s="17">
        <v>3687</v>
      </c>
      <c r="E6421" s="17">
        <v>110</v>
      </c>
      <c r="H6421" s="17">
        <v>12</v>
      </c>
      <c r="I6421" s="17">
        <v>1</v>
      </c>
      <c r="J6421" s="17">
        <v>72</v>
      </c>
      <c r="K6421" s="10">
        <v>4972</v>
      </c>
      <c r="P6421" s="17">
        <v>1</v>
      </c>
      <c r="Q6421" s="19">
        <v>4972</v>
      </c>
      <c r="R6421" s="14">
        <v>160</v>
      </c>
      <c r="S6421" s="19">
        <v>795520</v>
      </c>
      <c r="AJ6421" s="19">
        <v>0</v>
      </c>
      <c r="AK6421" s="23">
        <v>0</v>
      </c>
      <c r="AM6421" s="19">
        <v>0</v>
      </c>
      <c r="AN6421" s="19">
        <v>795520</v>
      </c>
      <c r="AP6421" s="14">
        <v>795520</v>
      </c>
      <c r="AQ6421" s="12">
        <v>1E-4</v>
      </c>
    </row>
    <row r="6422" spans="1:45" ht="42" x14ac:dyDescent="0.2">
      <c r="A6422" s="122">
        <f t="shared" si="666"/>
        <v>5264</v>
      </c>
      <c r="B6422" s="13">
        <v>1</v>
      </c>
      <c r="C6422" s="17" t="s">
        <v>52</v>
      </c>
      <c r="D6422" s="17">
        <v>1997</v>
      </c>
      <c r="E6422" s="17">
        <v>7</v>
      </c>
      <c r="F6422" s="17">
        <v>858</v>
      </c>
      <c r="G6422" s="13">
        <v>4</v>
      </c>
      <c r="H6422" s="17">
        <v>0</v>
      </c>
      <c r="I6422" s="17">
        <v>0</v>
      </c>
      <c r="J6422" s="17">
        <v>48</v>
      </c>
      <c r="L6422" s="17" t="s">
        <v>226</v>
      </c>
      <c r="P6422" s="17">
        <v>2</v>
      </c>
      <c r="Q6422" s="19">
        <v>48</v>
      </c>
      <c r="R6422" s="14">
        <v>2000</v>
      </c>
      <c r="S6422" s="19">
        <v>96000</v>
      </c>
      <c r="T6422" s="17">
        <v>1</v>
      </c>
      <c r="V6422" s="17" t="s">
        <v>183</v>
      </c>
      <c r="W6422" s="4">
        <v>94.5</v>
      </c>
      <c r="Y6422" s="4">
        <v>94.5</v>
      </c>
      <c r="AB6422" s="17">
        <v>17</v>
      </c>
      <c r="AJ6422" s="19">
        <v>0</v>
      </c>
      <c r="AK6422" s="23">
        <v>17</v>
      </c>
      <c r="AM6422" s="19">
        <v>0</v>
      </c>
      <c r="AN6422" s="19">
        <v>96000</v>
      </c>
      <c r="AP6422" s="14">
        <v>96000</v>
      </c>
    </row>
    <row r="6423" spans="1:45" ht="42" x14ac:dyDescent="0.2">
      <c r="A6423" s="122">
        <f t="shared" si="666"/>
        <v>5265</v>
      </c>
      <c r="B6423" s="13">
        <v>1</v>
      </c>
      <c r="C6423" s="17" t="s">
        <v>52</v>
      </c>
      <c r="D6423" s="17">
        <v>20996</v>
      </c>
      <c r="E6423" s="17">
        <v>33</v>
      </c>
      <c r="F6423" s="17">
        <v>4668</v>
      </c>
      <c r="G6423" s="13">
        <v>4</v>
      </c>
      <c r="H6423" s="17">
        <v>0</v>
      </c>
      <c r="I6423" s="17">
        <v>0</v>
      </c>
      <c r="J6423" s="17">
        <v>79</v>
      </c>
      <c r="K6423" s="10">
        <v>57</v>
      </c>
      <c r="L6423" s="17">
        <v>22</v>
      </c>
      <c r="P6423" s="17">
        <v>5</v>
      </c>
      <c r="Q6423" s="19">
        <v>79</v>
      </c>
      <c r="R6423" s="14">
        <v>2000</v>
      </c>
      <c r="S6423" s="19">
        <v>158000</v>
      </c>
      <c r="T6423" s="17">
        <v>1</v>
      </c>
      <c r="V6423" s="17" t="s">
        <v>183</v>
      </c>
      <c r="W6423" s="4">
        <v>88</v>
      </c>
      <c r="Y6423" s="4">
        <v>88</v>
      </c>
      <c r="AB6423" s="17">
        <v>21</v>
      </c>
      <c r="AJ6423" s="19">
        <v>0</v>
      </c>
      <c r="AK6423" s="23">
        <v>21</v>
      </c>
      <c r="AM6423" s="19">
        <v>0</v>
      </c>
      <c r="AN6423" s="19">
        <v>158000</v>
      </c>
      <c r="AP6423" s="14">
        <v>158000</v>
      </c>
    </row>
    <row r="6424" spans="1:45" x14ac:dyDescent="0.2">
      <c r="A6424" s="122">
        <f t="shared" si="666"/>
        <v>5266</v>
      </c>
      <c r="B6424" s="13">
        <v>1</v>
      </c>
      <c r="C6424" s="17" t="s">
        <v>52</v>
      </c>
      <c r="D6424" s="17">
        <v>34362</v>
      </c>
      <c r="E6424" s="17">
        <v>42</v>
      </c>
      <c r="F6424" s="17">
        <v>6862</v>
      </c>
      <c r="G6424" s="13">
        <v>4</v>
      </c>
      <c r="H6424" s="17">
        <v>2</v>
      </c>
      <c r="I6424" s="17">
        <v>3</v>
      </c>
      <c r="J6424" s="17">
        <v>53</v>
      </c>
      <c r="K6424" s="10">
        <v>1153</v>
      </c>
      <c r="P6424" s="17">
        <v>1</v>
      </c>
      <c r="Q6424" s="19">
        <v>1153</v>
      </c>
      <c r="R6424" s="14">
        <v>160</v>
      </c>
      <c r="S6424" s="19">
        <v>184480</v>
      </c>
      <c r="AJ6424" s="19">
        <v>0</v>
      </c>
      <c r="AK6424" s="23">
        <v>0</v>
      </c>
      <c r="AM6424" s="19">
        <v>0</v>
      </c>
      <c r="AN6424" s="19">
        <v>184480</v>
      </c>
      <c r="AP6424" s="14">
        <v>184480</v>
      </c>
      <c r="AS6424" s="26">
        <v>810</v>
      </c>
    </row>
    <row r="6425" spans="1:45" ht="63" x14ac:dyDescent="0.2">
      <c r="A6425" s="122">
        <f t="shared" si="666"/>
        <v>5267</v>
      </c>
      <c r="B6425" s="13">
        <v>2</v>
      </c>
      <c r="C6425" s="17" t="s">
        <v>52</v>
      </c>
      <c r="D6425" s="17">
        <v>20991</v>
      </c>
      <c r="E6425" s="17">
        <v>28</v>
      </c>
      <c r="F6425" s="17">
        <v>4663</v>
      </c>
      <c r="G6425" s="13">
        <v>4</v>
      </c>
      <c r="H6425" s="17">
        <v>0</v>
      </c>
      <c r="I6425" s="17">
        <v>0</v>
      </c>
      <c r="J6425" s="17">
        <v>93</v>
      </c>
      <c r="K6425" s="10">
        <v>66</v>
      </c>
      <c r="L6425" s="17">
        <v>27</v>
      </c>
      <c r="P6425" s="17">
        <v>5</v>
      </c>
      <c r="Q6425" s="19">
        <v>93</v>
      </c>
      <c r="R6425" s="14">
        <v>2000</v>
      </c>
      <c r="S6425" s="19">
        <v>186000</v>
      </c>
      <c r="T6425" s="17">
        <v>1</v>
      </c>
      <c r="V6425" s="17" t="s">
        <v>183</v>
      </c>
      <c r="W6425" s="4">
        <v>108</v>
      </c>
      <c r="Y6425" s="4">
        <v>108</v>
      </c>
      <c r="AB6425" s="17">
        <v>4</v>
      </c>
      <c r="AJ6425" s="19">
        <v>0</v>
      </c>
      <c r="AK6425" s="23">
        <v>4</v>
      </c>
      <c r="AM6425" s="19">
        <v>0</v>
      </c>
      <c r="AN6425" s="19">
        <v>186000</v>
      </c>
      <c r="AP6425" s="14">
        <v>186000</v>
      </c>
      <c r="AR6425" s="19">
        <v>810</v>
      </c>
    </row>
    <row r="6426" spans="1:45" ht="42" x14ac:dyDescent="0.2">
      <c r="A6426" s="122">
        <f t="shared" si="666"/>
        <v>5268</v>
      </c>
      <c r="B6426" s="13">
        <v>1</v>
      </c>
      <c r="C6426" s="17" t="s">
        <v>52</v>
      </c>
      <c r="D6426" s="17">
        <v>2317</v>
      </c>
      <c r="E6426" s="17">
        <v>19</v>
      </c>
      <c r="F6426" s="17">
        <v>1158</v>
      </c>
      <c r="G6426" s="13">
        <v>4</v>
      </c>
      <c r="H6426" s="17">
        <v>1</v>
      </c>
      <c r="I6426" s="17">
        <v>2</v>
      </c>
      <c r="J6426" s="17">
        <v>97</v>
      </c>
      <c r="K6426" s="10">
        <v>623.25</v>
      </c>
      <c r="L6426" s="17">
        <v>73.75</v>
      </c>
      <c r="P6426" s="17">
        <v>5</v>
      </c>
      <c r="Q6426" s="19">
        <v>697</v>
      </c>
      <c r="R6426" s="14">
        <v>1500</v>
      </c>
      <c r="S6426" s="19">
        <v>1045500</v>
      </c>
      <c r="T6426" s="17">
        <v>1</v>
      </c>
      <c r="V6426" s="17" t="s">
        <v>183</v>
      </c>
      <c r="W6426" s="4">
        <v>48</v>
      </c>
      <c r="Y6426" s="4">
        <v>48</v>
      </c>
      <c r="AB6426" s="17">
        <v>19</v>
      </c>
      <c r="AJ6426" s="19">
        <v>0</v>
      </c>
      <c r="AK6426" s="23">
        <v>19</v>
      </c>
      <c r="AM6426" s="19">
        <v>0</v>
      </c>
      <c r="AN6426" s="19">
        <v>1045500</v>
      </c>
      <c r="AP6426" s="14">
        <v>1045500</v>
      </c>
    </row>
    <row r="6427" spans="1:45" ht="42" x14ac:dyDescent="0.2">
      <c r="Q6427" s="19">
        <v>0</v>
      </c>
      <c r="R6427" s="14" t="e">
        <v>#N/A</v>
      </c>
      <c r="S6427" s="19" t="e">
        <v>#N/A</v>
      </c>
      <c r="T6427" s="17">
        <v>2</v>
      </c>
      <c r="V6427" s="17" t="s">
        <v>183</v>
      </c>
      <c r="W6427" s="4">
        <v>247</v>
      </c>
      <c r="Y6427" s="4">
        <v>247</v>
      </c>
      <c r="AB6427" s="17">
        <v>30</v>
      </c>
      <c r="AJ6427" s="19">
        <v>0</v>
      </c>
      <c r="AK6427" s="23">
        <v>30</v>
      </c>
      <c r="AM6427" s="19">
        <v>0</v>
      </c>
      <c r="AN6427" s="19" t="e">
        <v>#N/A</v>
      </c>
      <c r="AP6427" s="14" t="e">
        <v>#N/A</v>
      </c>
    </row>
    <row r="6428" spans="1:45" x14ac:dyDescent="0.2">
      <c r="C6428" s="17" t="s">
        <v>52</v>
      </c>
      <c r="D6428" s="17">
        <v>37151</v>
      </c>
      <c r="E6428" s="17">
        <v>34</v>
      </c>
      <c r="F6428" s="17">
        <v>7429</v>
      </c>
      <c r="H6428" s="17">
        <v>4</v>
      </c>
      <c r="I6428" s="17">
        <v>1</v>
      </c>
      <c r="J6428" s="17">
        <v>56.9</v>
      </c>
      <c r="K6428" s="10" t="s">
        <v>660</v>
      </c>
      <c r="P6428" s="17">
        <v>1</v>
      </c>
      <c r="Q6428" s="19">
        <v>1756.9</v>
      </c>
      <c r="R6428" s="14" t="e">
        <v>#N/A</v>
      </c>
    </row>
    <row r="6429" spans="1:45" x14ac:dyDescent="0.2">
      <c r="A6429" s="2">
        <v>5269</v>
      </c>
      <c r="B6429" s="13">
        <v>2</v>
      </c>
      <c r="C6429" s="17" t="s">
        <v>65</v>
      </c>
      <c r="D6429" s="17">
        <v>1513</v>
      </c>
      <c r="E6429" s="17">
        <v>5</v>
      </c>
      <c r="H6429" s="17">
        <v>7</v>
      </c>
      <c r="I6429" s="17">
        <v>2</v>
      </c>
      <c r="J6429" s="17">
        <v>0</v>
      </c>
      <c r="K6429" s="10">
        <v>3000</v>
      </c>
      <c r="Q6429" s="19">
        <v>3000</v>
      </c>
      <c r="R6429" s="14">
        <v>160</v>
      </c>
      <c r="S6429" s="19">
        <v>480000</v>
      </c>
      <c r="AE6429" s="17" t="s">
        <v>220</v>
      </c>
      <c r="AJ6429" s="19">
        <v>0</v>
      </c>
      <c r="AK6429" s="23">
        <v>0</v>
      </c>
      <c r="AM6429" s="19">
        <v>0</v>
      </c>
      <c r="AN6429" s="19">
        <v>480000</v>
      </c>
      <c r="AP6429" s="14">
        <v>480000</v>
      </c>
      <c r="AQ6429" s="12">
        <v>1E-4</v>
      </c>
    </row>
    <row r="6430" spans="1:45" x14ac:dyDescent="0.2">
      <c r="A6430" s="2">
        <f>+A6429+1</f>
        <v>5270</v>
      </c>
      <c r="B6430" s="13">
        <v>3</v>
      </c>
      <c r="C6430" s="17" t="s">
        <v>65</v>
      </c>
      <c r="D6430" s="17">
        <v>1529</v>
      </c>
      <c r="E6430" s="17">
        <v>38</v>
      </c>
      <c r="H6430" s="17">
        <v>3</v>
      </c>
      <c r="I6430" s="17">
        <v>2</v>
      </c>
      <c r="J6430" s="17">
        <v>40</v>
      </c>
      <c r="K6430" s="10">
        <v>1440</v>
      </c>
      <c r="Q6430" s="19">
        <v>1440</v>
      </c>
      <c r="R6430" s="14">
        <v>160</v>
      </c>
      <c r="S6430" s="19">
        <v>230400</v>
      </c>
      <c r="AJ6430" s="19">
        <v>0</v>
      </c>
      <c r="AK6430" s="23">
        <v>0</v>
      </c>
      <c r="AM6430" s="19">
        <v>0</v>
      </c>
      <c r="AN6430" s="19">
        <v>230400</v>
      </c>
      <c r="AP6430" s="14">
        <v>230400</v>
      </c>
      <c r="AQ6430" s="12">
        <v>1E-4</v>
      </c>
    </row>
    <row r="6431" spans="1:45" ht="42" x14ac:dyDescent="0.2">
      <c r="A6431" s="122">
        <f t="shared" ref="A6431:A6448" si="667">+A6430+1</f>
        <v>5271</v>
      </c>
      <c r="B6431" s="13">
        <v>1</v>
      </c>
      <c r="C6431" s="17" t="s">
        <v>52</v>
      </c>
      <c r="D6431" s="17">
        <v>797</v>
      </c>
      <c r="E6431" s="17">
        <v>534</v>
      </c>
      <c r="F6431" s="17">
        <v>115</v>
      </c>
      <c r="G6431" s="13">
        <v>2</v>
      </c>
      <c r="H6431" s="17">
        <v>0</v>
      </c>
      <c r="I6431" s="17">
        <v>0</v>
      </c>
      <c r="J6431" s="17">
        <v>75.05</v>
      </c>
      <c r="K6431" s="10">
        <v>51.43</v>
      </c>
      <c r="L6431" s="17">
        <v>23.62</v>
      </c>
      <c r="P6431" s="17">
        <v>5</v>
      </c>
      <c r="Q6431" s="19">
        <v>75.05</v>
      </c>
      <c r="R6431" s="14">
        <v>250</v>
      </c>
      <c r="S6431" s="19">
        <v>18762.5</v>
      </c>
      <c r="T6431" s="17">
        <v>1</v>
      </c>
      <c r="V6431" s="17" t="s">
        <v>183</v>
      </c>
      <c r="W6431" s="4">
        <v>94.5</v>
      </c>
      <c r="Y6431" s="4">
        <v>94.5</v>
      </c>
      <c r="AB6431" s="17">
        <v>10</v>
      </c>
      <c r="AJ6431" s="19">
        <v>0</v>
      </c>
      <c r="AK6431" s="23">
        <v>10</v>
      </c>
      <c r="AM6431" s="19">
        <v>0</v>
      </c>
      <c r="AN6431" s="19">
        <v>18762.5</v>
      </c>
      <c r="AP6431" s="14">
        <v>18762.5</v>
      </c>
    </row>
    <row r="6432" spans="1:45" x14ac:dyDescent="0.2">
      <c r="A6432" s="122">
        <f t="shared" si="667"/>
        <v>5272</v>
      </c>
      <c r="B6432" s="13">
        <v>2</v>
      </c>
      <c r="C6432" s="17" t="s">
        <v>52</v>
      </c>
      <c r="D6432" s="17">
        <v>2043</v>
      </c>
      <c r="E6432" s="17">
        <v>14</v>
      </c>
      <c r="F6432" s="17">
        <v>1141</v>
      </c>
      <c r="G6432" s="13">
        <v>4</v>
      </c>
      <c r="H6432" s="17">
        <v>0</v>
      </c>
      <c r="I6432" s="17">
        <v>1</v>
      </c>
      <c r="J6432" s="17">
        <v>20</v>
      </c>
      <c r="K6432" s="10">
        <v>120</v>
      </c>
      <c r="P6432" s="17">
        <v>1</v>
      </c>
      <c r="Q6432" s="19">
        <v>120</v>
      </c>
      <c r="R6432" s="14">
        <v>2000</v>
      </c>
      <c r="S6432" s="19">
        <v>240000</v>
      </c>
      <c r="AJ6432" s="19">
        <v>0</v>
      </c>
      <c r="AK6432" s="23">
        <v>0</v>
      </c>
      <c r="AM6432" s="19">
        <v>0</v>
      </c>
      <c r="AN6432" s="19">
        <v>240000</v>
      </c>
      <c r="AP6432" s="14">
        <v>240000</v>
      </c>
    </row>
    <row r="6433" spans="1:45" s="19" customFormat="1" x14ac:dyDescent="0.2">
      <c r="A6433" s="122">
        <f t="shared" si="667"/>
        <v>5273</v>
      </c>
      <c r="B6433" s="13">
        <v>1</v>
      </c>
      <c r="C6433" s="17" t="s">
        <v>65</v>
      </c>
      <c r="D6433" s="17">
        <v>3096</v>
      </c>
      <c r="E6433" s="17">
        <v>62</v>
      </c>
      <c r="F6433" s="17"/>
      <c r="G6433" s="13"/>
      <c r="H6433" s="17">
        <v>0</v>
      </c>
      <c r="I6433" s="17">
        <v>1</v>
      </c>
      <c r="J6433" s="17">
        <v>65</v>
      </c>
      <c r="K6433" s="10">
        <v>165</v>
      </c>
      <c r="L6433" s="17"/>
      <c r="M6433" s="15"/>
      <c r="N6433" s="18"/>
      <c r="O6433" s="14"/>
      <c r="P6433" s="17">
        <v>1</v>
      </c>
      <c r="Q6433" s="19">
        <v>165</v>
      </c>
      <c r="R6433" s="14">
        <v>2000</v>
      </c>
      <c r="S6433" s="19">
        <v>330000</v>
      </c>
      <c r="T6433" s="17"/>
      <c r="U6433" s="17"/>
      <c r="V6433" s="17"/>
      <c r="W6433" s="4"/>
      <c r="X6433" s="17"/>
      <c r="Y6433" s="4"/>
      <c r="Z6433" s="17"/>
      <c r="AA6433" s="17"/>
      <c r="AB6433" s="17"/>
      <c r="AC6433" s="14"/>
      <c r="AD6433" s="14"/>
      <c r="AE6433" s="17"/>
      <c r="AF6433" s="14"/>
      <c r="AG6433" s="54"/>
      <c r="AH6433" s="11"/>
      <c r="AI6433" s="14"/>
      <c r="AJ6433" s="19">
        <v>0</v>
      </c>
      <c r="AK6433" s="23">
        <v>0</v>
      </c>
      <c r="AL6433" s="11"/>
      <c r="AM6433" s="19">
        <v>0</v>
      </c>
      <c r="AN6433" s="19">
        <v>330000</v>
      </c>
      <c r="AO6433" s="14"/>
      <c r="AP6433" s="14">
        <v>330000</v>
      </c>
      <c r="AQ6433" s="12">
        <v>1E-4</v>
      </c>
      <c r="AS6433" s="26"/>
    </row>
    <row r="6434" spans="1:45" s="19" customFormat="1" x14ac:dyDescent="0.2">
      <c r="A6434" s="122">
        <f t="shared" si="667"/>
        <v>5274</v>
      </c>
      <c r="B6434" s="13">
        <v>1</v>
      </c>
      <c r="C6434" s="17" t="s">
        <v>52</v>
      </c>
      <c r="D6434" s="17">
        <v>2108</v>
      </c>
      <c r="E6434" s="17">
        <v>16</v>
      </c>
      <c r="F6434" s="17">
        <v>1668</v>
      </c>
      <c r="G6434" s="13">
        <v>4</v>
      </c>
      <c r="H6434" s="17">
        <v>0</v>
      </c>
      <c r="I6434" s="17">
        <v>0</v>
      </c>
      <c r="J6434" s="17">
        <v>74</v>
      </c>
      <c r="K6434" s="10">
        <v>74</v>
      </c>
      <c r="L6434" s="17"/>
      <c r="M6434" s="15"/>
      <c r="N6434" s="18"/>
      <c r="O6434" s="14"/>
      <c r="P6434" s="17">
        <v>1</v>
      </c>
      <c r="Q6434" s="19">
        <v>74</v>
      </c>
      <c r="R6434" s="14">
        <v>2000</v>
      </c>
      <c r="S6434" s="19">
        <v>148000</v>
      </c>
      <c r="T6434" s="17"/>
      <c r="U6434" s="17"/>
      <c r="V6434" s="17"/>
      <c r="W6434" s="4"/>
      <c r="X6434" s="17"/>
      <c r="Y6434" s="4"/>
      <c r="Z6434" s="17"/>
      <c r="AA6434" s="17"/>
      <c r="AB6434" s="17"/>
      <c r="AC6434" s="14"/>
      <c r="AD6434" s="14"/>
      <c r="AE6434" s="17"/>
      <c r="AF6434" s="14"/>
      <c r="AG6434" s="54"/>
      <c r="AH6434" s="11"/>
      <c r="AI6434" s="14"/>
      <c r="AJ6434" s="19">
        <v>0</v>
      </c>
      <c r="AK6434" s="23">
        <v>0</v>
      </c>
      <c r="AL6434" s="11"/>
      <c r="AM6434" s="19">
        <v>0</v>
      </c>
      <c r="AN6434" s="19">
        <v>148000</v>
      </c>
      <c r="AO6434" s="14"/>
      <c r="AP6434" s="14">
        <v>148000</v>
      </c>
      <c r="AQ6434" s="12"/>
      <c r="AS6434" s="26"/>
    </row>
    <row r="6435" spans="1:45" s="19" customFormat="1" x14ac:dyDescent="0.2">
      <c r="A6435" s="122">
        <f t="shared" si="667"/>
        <v>5275</v>
      </c>
      <c r="B6435" s="13">
        <v>2</v>
      </c>
      <c r="C6435" s="17" t="s">
        <v>52</v>
      </c>
      <c r="D6435" s="17">
        <v>2109</v>
      </c>
      <c r="E6435" s="17">
        <v>17</v>
      </c>
      <c r="F6435" s="17">
        <v>1669</v>
      </c>
      <c r="G6435" s="13">
        <v>4</v>
      </c>
      <c r="H6435" s="17">
        <v>0</v>
      </c>
      <c r="I6435" s="17">
        <v>1</v>
      </c>
      <c r="J6435" s="17">
        <v>32</v>
      </c>
      <c r="K6435" s="10">
        <v>132</v>
      </c>
      <c r="L6435" s="17"/>
      <c r="M6435" s="15"/>
      <c r="N6435" s="18"/>
      <c r="O6435" s="14"/>
      <c r="P6435" s="17">
        <v>1</v>
      </c>
      <c r="Q6435" s="19">
        <v>132</v>
      </c>
      <c r="R6435" s="14">
        <v>2000</v>
      </c>
      <c r="S6435" s="19">
        <v>264000</v>
      </c>
      <c r="T6435" s="17"/>
      <c r="U6435" s="17"/>
      <c r="V6435" s="17"/>
      <c r="W6435" s="4"/>
      <c r="X6435" s="17"/>
      <c r="Y6435" s="4"/>
      <c r="Z6435" s="17"/>
      <c r="AA6435" s="17"/>
      <c r="AB6435" s="17"/>
      <c r="AC6435" s="14"/>
      <c r="AD6435" s="14"/>
      <c r="AE6435" s="17"/>
      <c r="AF6435" s="14"/>
      <c r="AG6435" s="54"/>
      <c r="AH6435" s="11"/>
      <c r="AI6435" s="14"/>
      <c r="AJ6435" s="19">
        <v>0</v>
      </c>
      <c r="AK6435" s="23">
        <v>0</v>
      </c>
      <c r="AL6435" s="11"/>
      <c r="AM6435" s="19">
        <v>0</v>
      </c>
      <c r="AN6435" s="19">
        <v>264000</v>
      </c>
      <c r="AO6435" s="14"/>
      <c r="AP6435" s="14">
        <v>264000</v>
      </c>
      <c r="AQ6435" s="12"/>
      <c r="AS6435" s="26"/>
    </row>
    <row r="6436" spans="1:45" s="19" customFormat="1" x14ac:dyDescent="0.2">
      <c r="A6436" s="122">
        <f t="shared" si="667"/>
        <v>5276</v>
      </c>
      <c r="B6436" s="13">
        <v>3</v>
      </c>
      <c r="C6436" s="17" t="s">
        <v>69</v>
      </c>
      <c r="D6436" s="17"/>
      <c r="E6436" s="17">
        <v>1675</v>
      </c>
      <c r="F6436" s="17">
        <v>6</v>
      </c>
      <c r="G6436" s="13">
        <v>2</v>
      </c>
      <c r="H6436" s="17">
        <v>7</v>
      </c>
      <c r="I6436" s="17">
        <v>2</v>
      </c>
      <c r="J6436" s="17">
        <v>22</v>
      </c>
      <c r="K6436" s="10">
        <v>3022</v>
      </c>
      <c r="L6436" s="17"/>
      <c r="M6436" s="15"/>
      <c r="N6436" s="18"/>
      <c r="O6436" s="14"/>
      <c r="P6436" s="17">
        <v>1</v>
      </c>
      <c r="Q6436" s="19">
        <v>3022</v>
      </c>
      <c r="R6436" s="14">
        <v>160</v>
      </c>
      <c r="S6436" s="19">
        <v>483520</v>
      </c>
      <c r="T6436" s="17"/>
      <c r="U6436" s="17"/>
      <c r="V6436" s="17"/>
      <c r="W6436" s="4"/>
      <c r="X6436" s="17"/>
      <c r="Y6436" s="4"/>
      <c r="Z6436" s="17"/>
      <c r="AA6436" s="17"/>
      <c r="AB6436" s="17"/>
      <c r="AC6436" s="14"/>
      <c r="AD6436" s="14"/>
      <c r="AE6436" s="17"/>
      <c r="AF6436" s="14"/>
      <c r="AG6436" s="54"/>
      <c r="AH6436" s="11"/>
      <c r="AI6436" s="14"/>
      <c r="AJ6436" s="19">
        <v>0</v>
      </c>
      <c r="AK6436" s="23">
        <v>0</v>
      </c>
      <c r="AL6436" s="11"/>
      <c r="AM6436" s="19">
        <v>0</v>
      </c>
      <c r="AN6436" s="19">
        <v>483520</v>
      </c>
      <c r="AO6436" s="14"/>
      <c r="AP6436" s="14">
        <v>483520</v>
      </c>
      <c r="AQ6436" s="12">
        <v>1E-4</v>
      </c>
      <c r="AS6436" s="26"/>
    </row>
    <row r="6437" spans="1:45" s="19" customFormat="1" x14ac:dyDescent="0.2">
      <c r="A6437" s="122">
        <f t="shared" si="667"/>
        <v>5277</v>
      </c>
      <c r="B6437" s="13">
        <v>4</v>
      </c>
      <c r="C6437" s="17" t="s">
        <v>65</v>
      </c>
      <c r="D6437" s="17">
        <v>1514</v>
      </c>
      <c r="E6437" s="17">
        <v>7</v>
      </c>
      <c r="F6437" s="17"/>
      <c r="G6437" s="13"/>
      <c r="H6437" s="17">
        <v>4</v>
      </c>
      <c r="I6437" s="17">
        <v>2</v>
      </c>
      <c r="J6437" s="17">
        <v>40</v>
      </c>
      <c r="K6437" s="10">
        <v>1840</v>
      </c>
      <c r="L6437" s="17"/>
      <c r="M6437" s="15"/>
      <c r="N6437" s="18"/>
      <c r="O6437" s="14"/>
      <c r="P6437" s="17">
        <v>1</v>
      </c>
      <c r="Q6437" s="19">
        <v>1840</v>
      </c>
      <c r="R6437" s="14">
        <v>160</v>
      </c>
      <c r="S6437" s="19">
        <v>294400</v>
      </c>
      <c r="T6437" s="17"/>
      <c r="U6437" s="17"/>
      <c r="V6437" s="17"/>
      <c r="W6437" s="4"/>
      <c r="X6437" s="17"/>
      <c r="Y6437" s="4"/>
      <c r="Z6437" s="17"/>
      <c r="AA6437" s="17"/>
      <c r="AB6437" s="17"/>
      <c r="AC6437" s="14"/>
      <c r="AD6437" s="14"/>
      <c r="AE6437" s="17"/>
      <c r="AF6437" s="14"/>
      <c r="AG6437" s="54"/>
      <c r="AH6437" s="11"/>
      <c r="AI6437" s="14"/>
      <c r="AJ6437" s="19">
        <v>0</v>
      </c>
      <c r="AK6437" s="23">
        <v>0</v>
      </c>
      <c r="AL6437" s="11"/>
      <c r="AM6437" s="19">
        <v>0</v>
      </c>
      <c r="AN6437" s="19">
        <v>294400</v>
      </c>
      <c r="AO6437" s="14"/>
      <c r="AP6437" s="14">
        <v>294400</v>
      </c>
      <c r="AQ6437" s="12">
        <v>1E-4</v>
      </c>
      <c r="AS6437" s="26"/>
    </row>
    <row r="6438" spans="1:45" s="19" customFormat="1" ht="42" x14ac:dyDescent="0.2">
      <c r="A6438" s="122">
        <f t="shared" si="667"/>
        <v>5278</v>
      </c>
      <c r="B6438" s="13">
        <v>1</v>
      </c>
      <c r="C6438" s="17" t="s">
        <v>52</v>
      </c>
      <c r="D6438" s="17">
        <v>2002</v>
      </c>
      <c r="E6438" s="17">
        <v>12</v>
      </c>
      <c r="F6438" s="17">
        <v>1036</v>
      </c>
      <c r="G6438" s="13">
        <v>4</v>
      </c>
      <c r="H6438" s="17">
        <v>6</v>
      </c>
      <c r="I6438" s="17">
        <v>0</v>
      </c>
      <c r="J6438" s="17">
        <v>28.03</v>
      </c>
      <c r="K6438" s="10">
        <v>2413.0300000000002</v>
      </c>
      <c r="L6438" s="17">
        <v>15</v>
      </c>
      <c r="M6438" s="15"/>
      <c r="N6438" s="18"/>
      <c r="O6438" s="14"/>
      <c r="P6438" s="17">
        <v>5</v>
      </c>
      <c r="Q6438" s="19">
        <v>2428.0300000000002</v>
      </c>
      <c r="R6438" s="14">
        <v>500</v>
      </c>
      <c r="S6438" s="19">
        <v>1214015</v>
      </c>
      <c r="T6438" s="17">
        <v>1</v>
      </c>
      <c r="U6438" s="17"/>
      <c r="V6438" s="17" t="s">
        <v>183</v>
      </c>
      <c r="W6438" s="4">
        <v>60</v>
      </c>
      <c r="X6438" s="17"/>
      <c r="Y6438" s="4">
        <v>60</v>
      </c>
      <c r="Z6438" s="17"/>
      <c r="AA6438" s="17"/>
      <c r="AB6438" s="17">
        <v>27</v>
      </c>
      <c r="AC6438" s="14"/>
      <c r="AD6438" s="14"/>
      <c r="AE6438" s="17"/>
      <c r="AF6438" s="14"/>
      <c r="AG6438" s="54"/>
      <c r="AH6438" s="11"/>
      <c r="AI6438" s="14"/>
      <c r="AJ6438" s="19">
        <v>0</v>
      </c>
      <c r="AK6438" s="23">
        <v>27</v>
      </c>
      <c r="AL6438" s="11"/>
      <c r="AM6438" s="19">
        <v>0</v>
      </c>
      <c r="AN6438" s="19">
        <v>1214015</v>
      </c>
      <c r="AO6438" s="14"/>
      <c r="AP6438" s="14">
        <v>1214015</v>
      </c>
      <c r="AQ6438" s="12"/>
      <c r="AS6438" s="26"/>
    </row>
    <row r="6439" spans="1:45" s="19" customFormat="1" ht="42" x14ac:dyDescent="0.2">
      <c r="A6439" s="122">
        <f t="shared" si="667"/>
        <v>5279</v>
      </c>
      <c r="B6439" s="13">
        <v>1</v>
      </c>
      <c r="C6439" s="17" t="s">
        <v>52</v>
      </c>
      <c r="D6439" s="17">
        <v>2318</v>
      </c>
      <c r="E6439" s="17">
        <v>20</v>
      </c>
      <c r="F6439" s="17">
        <v>1159</v>
      </c>
      <c r="G6439" s="13">
        <v>4</v>
      </c>
      <c r="H6439" s="17">
        <v>4</v>
      </c>
      <c r="I6439" s="17">
        <v>1</v>
      </c>
      <c r="J6439" s="17">
        <v>90</v>
      </c>
      <c r="K6439" s="10">
        <v>1790</v>
      </c>
      <c r="L6439" s="17"/>
      <c r="M6439" s="15"/>
      <c r="N6439" s="18"/>
      <c r="O6439" s="14"/>
      <c r="P6439" s="17">
        <v>1</v>
      </c>
      <c r="Q6439" s="19">
        <v>1790</v>
      </c>
      <c r="R6439" s="14">
        <v>500</v>
      </c>
      <c r="S6439" s="19">
        <v>895000</v>
      </c>
      <c r="T6439" s="17">
        <v>1</v>
      </c>
      <c r="U6439" s="17"/>
      <c r="V6439" s="17" t="s">
        <v>183</v>
      </c>
      <c r="W6439" s="4">
        <v>201.5</v>
      </c>
      <c r="X6439" s="17"/>
      <c r="Y6439" s="4">
        <v>201.5</v>
      </c>
      <c r="Z6439" s="17"/>
      <c r="AA6439" s="17"/>
      <c r="AB6439" s="17">
        <v>30</v>
      </c>
      <c r="AC6439" s="14"/>
      <c r="AD6439" s="14"/>
      <c r="AE6439" s="17"/>
      <c r="AF6439" s="14"/>
      <c r="AG6439" s="54"/>
      <c r="AH6439" s="11"/>
      <c r="AI6439" s="14"/>
      <c r="AJ6439" s="19">
        <v>0</v>
      </c>
      <c r="AK6439" s="23">
        <v>30</v>
      </c>
      <c r="AL6439" s="11"/>
      <c r="AM6439" s="19">
        <v>0</v>
      </c>
      <c r="AN6439" s="19">
        <v>895000</v>
      </c>
      <c r="AO6439" s="14"/>
      <c r="AP6439" s="14">
        <v>895000</v>
      </c>
      <c r="AQ6439" s="12"/>
      <c r="AS6439" s="26"/>
    </row>
    <row r="6440" spans="1:45" s="19" customFormat="1" x14ac:dyDescent="0.2">
      <c r="A6440" s="122">
        <f t="shared" si="667"/>
        <v>5280</v>
      </c>
      <c r="B6440" s="13">
        <v>2</v>
      </c>
      <c r="C6440" s="17" t="s">
        <v>65</v>
      </c>
      <c r="D6440" s="17">
        <v>1387</v>
      </c>
      <c r="E6440" s="17">
        <v>75</v>
      </c>
      <c r="F6440" s="17"/>
      <c r="G6440" s="13"/>
      <c r="H6440" s="17">
        <v>3</v>
      </c>
      <c r="I6440" s="17">
        <v>3</v>
      </c>
      <c r="J6440" s="17">
        <v>0</v>
      </c>
      <c r="K6440" s="10">
        <v>1500</v>
      </c>
      <c r="L6440" s="17"/>
      <c r="M6440" s="15"/>
      <c r="N6440" s="18"/>
      <c r="O6440" s="14"/>
      <c r="P6440" s="17">
        <v>1</v>
      </c>
      <c r="Q6440" s="19">
        <v>1500</v>
      </c>
      <c r="R6440" s="14">
        <v>160</v>
      </c>
      <c r="S6440" s="19">
        <v>240000</v>
      </c>
      <c r="T6440" s="17"/>
      <c r="U6440" s="17"/>
      <c r="V6440" s="17"/>
      <c r="W6440" s="4"/>
      <c r="X6440" s="17"/>
      <c r="Y6440" s="4"/>
      <c r="Z6440" s="17"/>
      <c r="AA6440" s="17"/>
      <c r="AB6440" s="17"/>
      <c r="AC6440" s="14"/>
      <c r="AD6440" s="14"/>
      <c r="AE6440" s="17"/>
      <c r="AF6440" s="14"/>
      <c r="AG6440" s="54"/>
      <c r="AH6440" s="11"/>
      <c r="AI6440" s="14"/>
      <c r="AJ6440" s="19">
        <v>0</v>
      </c>
      <c r="AK6440" s="23">
        <v>0</v>
      </c>
      <c r="AL6440" s="11"/>
      <c r="AM6440" s="19">
        <v>0</v>
      </c>
      <c r="AN6440" s="19">
        <v>240000</v>
      </c>
      <c r="AO6440" s="14"/>
      <c r="AP6440" s="14">
        <v>240000</v>
      </c>
      <c r="AQ6440" s="12">
        <v>1E-4</v>
      </c>
      <c r="AS6440" s="26"/>
    </row>
    <row r="6441" spans="1:45" s="19" customFormat="1" ht="42" x14ac:dyDescent="0.2">
      <c r="A6441" s="122">
        <f t="shared" si="667"/>
        <v>5281</v>
      </c>
      <c r="B6441" s="13">
        <v>1</v>
      </c>
      <c r="C6441" s="17" t="s">
        <v>52</v>
      </c>
      <c r="D6441" s="17">
        <v>2044</v>
      </c>
      <c r="E6441" s="17">
        <v>15</v>
      </c>
      <c r="F6441" s="17">
        <v>1142</v>
      </c>
      <c r="G6441" s="13">
        <v>4</v>
      </c>
      <c r="H6441" s="17">
        <v>0</v>
      </c>
      <c r="I6441" s="17">
        <v>3</v>
      </c>
      <c r="J6441" s="17">
        <v>50</v>
      </c>
      <c r="K6441" s="10">
        <v>308.56</v>
      </c>
      <c r="L6441" s="17">
        <v>41.44</v>
      </c>
      <c r="M6441" s="15"/>
      <c r="N6441" s="18"/>
      <c r="O6441" s="14"/>
      <c r="P6441" s="17">
        <v>5</v>
      </c>
      <c r="Q6441" s="19">
        <v>350</v>
      </c>
      <c r="R6441" s="14">
        <v>2000</v>
      </c>
      <c r="S6441" s="19">
        <v>700000</v>
      </c>
      <c r="T6441" s="17">
        <v>1</v>
      </c>
      <c r="U6441" s="17"/>
      <c r="V6441" s="17" t="s">
        <v>183</v>
      </c>
      <c r="W6441" s="4">
        <v>165.75</v>
      </c>
      <c r="X6441" s="17"/>
      <c r="Y6441" s="4">
        <v>165.75</v>
      </c>
      <c r="Z6441" s="17"/>
      <c r="AA6441" s="17"/>
      <c r="AB6441" s="17">
        <v>25</v>
      </c>
      <c r="AC6441" s="14"/>
      <c r="AD6441" s="14"/>
      <c r="AE6441" s="17"/>
      <c r="AF6441" s="14"/>
      <c r="AG6441" s="54"/>
      <c r="AH6441" s="11"/>
      <c r="AI6441" s="14"/>
      <c r="AJ6441" s="19">
        <v>0</v>
      </c>
      <c r="AK6441" s="23">
        <v>25</v>
      </c>
      <c r="AL6441" s="11"/>
      <c r="AM6441" s="19">
        <v>0</v>
      </c>
      <c r="AN6441" s="19">
        <v>700000</v>
      </c>
      <c r="AO6441" s="14"/>
      <c r="AP6441" s="14">
        <v>700000</v>
      </c>
      <c r="AQ6441" s="12"/>
      <c r="AS6441" s="26"/>
    </row>
    <row r="6442" spans="1:45" s="19" customFormat="1" x14ac:dyDescent="0.2">
      <c r="A6442" s="122">
        <f t="shared" si="667"/>
        <v>5282</v>
      </c>
      <c r="B6442" s="13">
        <v>2</v>
      </c>
      <c r="C6442" s="17" t="s">
        <v>52</v>
      </c>
      <c r="D6442" s="17">
        <v>2456</v>
      </c>
      <c r="E6442" s="17">
        <v>23</v>
      </c>
      <c r="F6442" s="17">
        <v>1138</v>
      </c>
      <c r="G6442" s="13">
        <v>4</v>
      </c>
      <c r="H6442" s="17">
        <v>5</v>
      </c>
      <c r="I6442" s="17">
        <v>3</v>
      </c>
      <c r="J6442" s="17">
        <v>35</v>
      </c>
      <c r="K6442" s="10">
        <v>2335</v>
      </c>
      <c r="L6442" s="17"/>
      <c r="M6442" s="15"/>
      <c r="N6442" s="18"/>
      <c r="O6442" s="14"/>
      <c r="P6442" s="17">
        <v>1</v>
      </c>
      <c r="Q6442" s="19">
        <v>2335</v>
      </c>
      <c r="R6442" s="14">
        <v>160</v>
      </c>
      <c r="S6442" s="19">
        <v>373600</v>
      </c>
      <c r="T6442" s="17"/>
      <c r="U6442" s="17"/>
      <c r="V6442" s="17"/>
      <c r="W6442" s="4"/>
      <c r="X6442" s="17"/>
      <c r="Y6442" s="4"/>
      <c r="Z6442" s="17"/>
      <c r="AA6442" s="17"/>
      <c r="AB6442" s="17"/>
      <c r="AC6442" s="14"/>
      <c r="AD6442" s="14"/>
      <c r="AE6442" s="17"/>
      <c r="AF6442" s="14"/>
      <c r="AG6442" s="54"/>
      <c r="AH6442" s="11"/>
      <c r="AI6442" s="14"/>
      <c r="AJ6442" s="19">
        <v>0</v>
      </c>
      <c r="AK6442" s="23">
        <v>0</v>
      </c>
      <c r="AL6442" s="11"/>
      <c r="AM6442" s="19">
        <v>0</v>
      </c>
      <c r="AN6442" s="19">
        <v>373600</v>
      </c>
      <c r="AO6442" s="14"/>
      <c r="AP6442" s="14">
        <v>373600</v>
      </c>
      <c r="AQ6442" s="12"/>
      <c r="AS6442" s="26"/>
    </row>
    <row r="6443" spans="1:45" s="19" customFormat="1" x14ac:dyDescent="0.2">
      <c r="A6443" s="122">
        <f t="shared" si="667"/>
        <v>5283</v>
      </c>
      <c r="B6443" s="13">
        <v>3</v>
      </c>
      <c r="C6443" s="17" t="s">
        <v>52</v>
      </c>
      <c r="D6443" s="17">
        <v>2457</v>
      </c>
      <c r="E6443" s="17">
        <v>22</v>
      </c>
      <c r="F6443" s="17">
        <v>1139</v>
      </c>
      <c r="G6443" s="13">
        <v>4</v>
      </c>
      <c r="H6443" s="17">
        <v>3</v>
      </c>
      <c r="I6443" s="17">
        <v>1</v>
      </c>
      <c r="J6443" s="17">
        <v>24</v>
      </c>
      <c r="K6443" s="10">
        <v>1324</v>
      </c>
      <c r="L6443" s="17"/>
      <c r="M6443" s="15"/>
      <c r="N6443" s="18"/>
      <c r="O6443" s="14"/>
      <c r="P6443" s="17">
        <v>1</v>
      </c>
      <c r="Q6443" s="19">
        <v>1324</v>
      </c>
      <c r="R6443" s="14">
        <v>160</v>
      </c>
      <c r="S6443" s="19">
        <v>211840</v>
      </c>
      <c r="T6443" s="17"/>
      <c r="U6443" s="17"/>
      <c r="V6443" s="17"/>
      <c r="W6443" s="4"/>
      <c r="X6443" s="17"/>
      <c r="Y6443" s="4"/>
      <c r="Z6443" s="17"/>
      <c r="AA6443" s="17"/>
      <c r="AB6443" s="17"/>
      <c r="AC6443" s="14"/>
      <c r="AD6443" s="14"/>
      <c r="AE6443" s="17"/>
      <c r="AF6443" s="14"/>
      <c r="AG6443" s="54"/>
      <c r="AH6443" s="11"/>
      <c r="AI6443" s="14"/>
      <c r="AJ6443" s="19">
        <v>0</v>
      </c>
      <c r="AK6443" s="23">
        <v>0</v>
      </c>
      <c r="AL6443" s="11"/>
      <c r="AM6443" s="19">
        <v>0</v>
      </c>
      <c r="AN6443" s="19">
        <v>211840</v>
      </c>
      <c r="AO6443" s="14"/>
      <c r="AP6443" s="14">
        <v>211840</v>
      </c>
      <c r="AQ6443" s="12"/>
      <c r="AS6443" s="26"/>
    </row>
    <row r="6444" spans="1:45" s="19" customFormat="1" x14ac:dyDescent="0.2">
      <c r="A6444" s="122">
        <f t="shared" si="667"/>
        <v>5284</v>
      </c>
      <c r="B6444" s="13">
        <v>4</v>
      </c>
      <c r="C6444" s="17" t="s">
        <v>65</v>
      </c>
      <c r="D6444" s="17">
        <v>1072</v>
      </c>
      <c r="E6444" s="17">
        <v>6</v>
      </c>
      <c r="F6444" s="17"/>
      <c r="G6444" s="13"/>
      <c r="H6444" s="17">
        <v>3</v>
      </c>
      <c r="I6444" s="17">
        <v>1</v>
      </c>
      <c r="J6444" s="17">
        <v>60</v>
      </c>
      <c r="K6444" s="10">
        <v>1360</v>
      </c>
      <c r="L6444" s="17"/>
      <c r="M6444" s="15"/>
      <c r="N6444" s="18"/>
      <c r="O6444" s="14"/>
      <c r="P6444" s="17">
        <v>1</v>
      </c>
      <c r="Q6444" s="19">
        <v>1360</v>
      </c>
      <c r="R6444" s="14">
        <v>160</v>
      </c>
      <c r="S6444" s="19">
        <v>217600</v>
      </c>
      <c r="T6444" s="17"/>
      <c r="U6444" s="17"/>
      <c r="V6444" s="17"/>
      <c r="W6444" s="4"/>
      <c r="X6444" s="17"/>
      <c r="Y6444" s="4"/>
      <c r="Z6444" s="17"/>
      <c r="AA6444" s="17"/>
      <c r="AB6444" s="17"/>
      <c r="AC6444" s="14"/>
      <c r="AD6444" s="14"/>
      <c r="AE6444" s="17"/>
      <c r="AF6444" s="14"/>
      <c r="AG6444" s="54"/>
      <c r="AH6444" s="11"/>
      <c r="AI6444" s="14"/>
      <c r="AJ6444" s="19">
        <v>0</v>
      </c>
      <c r="AK6444" s="23">
        <v>0</v>
      </c>
      <c r="AL6444" s="11"/>
      <c r="AM6444" s="19">
        <v>0</v>
      </c>
      <c r="AN6444" s="19">
        <v>217600</v>
      </c>
      <c r="AO6444" s="14"/>
      <c r="AP6444" s="14">
        <v>217600</v>
      </c>
      <c r="AQ6444" s="12">
        <v>1E-4</v>
      </c>
      <c r="AS6444" s="26"/>
    </row>
    <row r="6445" spans="1:45" s="19" customFormat="1" x14ac:dyDescent="0.2">
      <c r="A6445" s="122">
        <f t="shared" si="667"/>
        <v>5285</v>
      </c>
      <c r="B6445" s="13">
        <v>1</v>
      </c>
      <c r="C6445" s="17" t="s">
        <v>52</v>
      </c>
      <c r="D6445" s="17">
        <v>3365</v>
      </c>
      <c r="E6445" s="17">
        <v>23</v>
      </c>
      <c r="F6445" s="17">
        <v>2151</v>
      </c>
      <c r="G6445" s="13">
        <v>2</v>
      </c>
      <c r="H6445" s="17">
        <v>0</v>
      </c>
      <c r="I6445" s="17">
        <v>1</v>
      </c>
      <c r="J6445" s="17">
        <v>3</v>
      </c>
      <c r="K6445" s="10">
        <v>103</v>
      </c>
      <c r="L6445" s="17"/>
      <c r="M6445" s="15"/>
      <c r="N6445" s="18"/>
      <c r="O6445" s="14"/>
      <c r="P6445" s="17">
        <v>1</v>
      </c>
      <c r="Q6445" s="19">
        <v>103</v>
      </c>
      <c r="R6445" s="14">
        <v>250</v>
      </c>
      <c r="S6445" s="19">
        <v>25750</v>
      </c>
      <c r="T6445" s="17"/>
      <c r="U6445" s="17"/>
      <c r="V6445" s="17"/>
      <c r="W6445" s="4"/>
      <c r="X6445" s="17"/>
      <c r="Y6445" s="4"/>
      <c r="Z6445" s="17"/>
      <c r="AA6445" s="17"/>
      <c r="AB6445" s="17"/>
      <c r="AC6445" s="14"/>
      <c r="AD6445" s="14"/>
      <c r="AE6445" s="17"/>
      <c r="AF6445" s="14"/>
      <c r="AG6445" s="54"/>
      <c r="AH6445" s="11"/>
      <c r="AI6445" s="14"/>
      <c r="AJ6445" s="19">
        <v>0</v>
      </c>
      <c r="AK6445" s="23">
        <v>0</v>
      </c>
      <c r="AL6445" s="11"/>
      <c r="AM6445" s="19">
        <v>0</v>
      </c>
      <c r="AN6445" s="19">
        <v>25750</v>
      </c>
      <c r="AO6445" s="14"/>
      <c r="AP6445" s="14">
        <v>25750</v>
      </c>
      <c r="AQ6445" s="12"/>
      <c r="AS6445" s="26"/>
    </row>
    <row r="6446" spans="1:45" s="19" customFormat="1" x14ac:dyDescent="0.2">
      <c r="A6446" s="122">
        <f t="shared" si="667"/>
        <v>5286</v>
      </c>
      <c r="B6446" s="13">
        <v>1</v>
      </c>
      <c r="C6446" s="17" t="s">
        <v>52</v>
      </c>
      <c r="D6446" s="17">
        <v>1992</v>
      </c>
      <c r="E6446" s="17">
        <v>6</v>
      </c>
      <c r="F6446" s="17">
        <v>837</v>
      </c>
      <c r="G6446" s="13">
        <v>4</v>
      </c>
      <c r="H6446" s="17">
        <v>1</v>
      </c>
      <c r="I6446" s="17">
        <v>2</v>
      </c>
      <c r="J6446" s="17">
        <v>86</v>
      </c>
      <c r="K6446" s="10">
        <v>686</v>
      </c>
      <c r="L6446" s="17"/>
      <c r="M6446" s="15"/>
      <c r="N6446" s="18"/>
      <c r="O6446" s="14"/>
      <c r="P6446" s="17">
        <v>1</v>
      </c>
      <c r="Q6446" s="19">
        <v>686</v>
      </c>
      <c r="R6446" s="14">
        <v>160</v>
      </c>
      <c r="S6446" s="19">
        <v>109760</v>
      </c>
      <c r="T6446" s="17"/>
      <c r="U6446" s="17"/>
      <c r="V6446" s="17"/>
      <c r="W6446" s="4"/>
      <c r="X6446" s="17"/>
      <c r="Y6446" s="4"/>
      <c r="Z6446" s="17"/>
      <c r="AA6446" s="17"/>
      <c r="AB6446" s="17"/>
      <c r="AC6446" s="14"/>
      <c r="AD6446" s="14"/>
      <c r="AE6446" s="17"/>
      <c r="AF6446" s="14"/>
      <c r="AG6446" s="54"/>
      <c r="AH6446" s="11"/>
      <c r="AI6446" s="14"/>
      <c r="AJ6446" s="19">
        <v>0</v>
      </c>
      <c r="AK6446" s="23">
        <v>0</v>
      </c>
      <c r="AL6446" s="11"/>
      <c r="AM6446" s="19">
        <v>0</v>
      </c>
      <c r="AN6446" s="19">
        <v>109760</v>
      </c>
      <c r="AO6446" s="14"/>
      <c r="AP6446" s="14">
        <v>109760</v>
      </c>
      <c r="AQ6446" s="12"/>
      <c r="AS6446" s="26"/>
    </row>
    <row r="6447" spans="1:45" s="19" customFormat="1" ht="42" x14ac:dyDescent="0.2">
      <c r="A6447" s="122">
        <f t="shared" si="667"/>
        <v>5287</v>
      </c>
      <c r="B6447" s="13">
        <v>2</v>
      </c>
      <c r="C6447" s="17" t="s">
        <v>52</v>
      </c>
      <c r="D6447" s="17">
        <v>25836</v>
      </c>
      <c r="E6447" s="17">
        <v>56</v>
      </c>
      <c r="F6447" s="17">
        <v>4871</v>
      </c>
      <c r="G6447" s="13">
        <v>4</v>
      </c>
      <c r="H6447" s="17">
        <v>0</v>
      </c>
      <c r="I6447" s="17">
        <v>1</v>
      </c>
      <c r="J6447" s="17">
        <v>98</v>
      </c>
      <c r="K6447" s="10">
        <v>166.13</v>
      </c>
      <c r="L6447" s="17">
        <v>31.87</v>
      </c>
      <c r="M6447" s="15"/>
      <c r="N6447" s="18"/>
      <c r="O6447" s="14"/>
      <c r="P6447" s="17">
        <v>5</v>
      </c>
      <c r="Q6447" s="19">
        <v>198</v>
      </c>
      <c r="R6447" s="14">
        <v>2000</v>
      </c>
      <c r="S6447" s="19">
        <v>396000</v>
      </c>
      <c r="T6447" s="17">
        <v>1</v>
      </c>
      <c r="U6447" s="17"/>
      <c r="V6447" s="17" t="s">
        <v>183</v>
      </c>
      <c r="W6447" s="4">
        <v>127.5</v>
      </c>
      <c r="X6447" s="17"/>
      <c r="Y6447" s="4">
        <v>127.5</v>
      </c>
      <c r="Z6447" s="17"/>
      <c r="AA6447" s="17"/>
      <c r="AB6447" s="17">
        <v>21</v>
      </c>
      <c r="AC6447" s="14"/>
      <c r="AD6447" s="14"/>
      <c r="AE6447" s="17"/>
      <c r="AF6447" s="14"/>
      <c r="AG6447" s="54"/>
      <c r="AH6447" s="11"/>
      <c r="AI6447" s="14"/>
      <c r="AJ6447" s="19">
        <v>0</v>
      </c>
      <c r="AK6447" s="23">
        <v>21</v>
      </c>
      <c r="AL6447" s="11"/>
      <c r="AM6447" s="19">
        <v>0</v>
      </c>
      <c r="AN6447" s="19">
        <v>396000</v>
      </c>
      <c r="AO6447" s="14"/>
      <c r="AP6447" s="14">
        <v>396000</v>
      </c>
      <c r="AQ6447" s="12"/>
      <c r="AS6447" s="26"/>
    </row>
    <row r="6448" spans="1:45" s="19" customFormat="1" x14ac:dyDescent="0.2">
      <c r="A6448" s="122">
        <f t="shared" si="667"/>
        <v>5288</v>
      </c>
      <c r="B6448" s="13">
        <v>1</v>
      </c>
      <c r="C6448" s="17" t="s">
        <v>52</v>
      </c>
      <c r="D6448" s="17">
        <v>1987</v>
      </c>
      <c r="E6448" s="17">
        <v>37</v>
      </c>
      <c r="F6448" s="17">
        <v>831</v>
      </c>
      <c r="G6448" s="13">
        <v>4</v>
      </c>
      <c r="H6448" s="17">
        <v>1</v>
      </c>
      <c r="I6448" s="17">
        <v>2</v>
      </c>
      <c r="J6448" s="17">
        <v>96</v>
      </c>
      <c r="K6448" s="10">
        <v>696</v>
      </c>
      <c r="L6448" s="17"/>
      <c r="M6448" s="15"/>
      <c r="N6448" s="18"/>
      <c r="O6448" s="14"/>
      <c r="P6448" s="17">
        <v>1</v>
      </c>
      <c r="Q6448" s="19">
        <v>696</v>
      </c>
      <c r="R6448" s="14">
        <v>1000</v>
      </c>
      <c r="S6448" s="19">
        <v>696000</v>
      </c>
      <c r="T6448" s="17"/>
      <c r="U6448" s="17"/>
      <c r="V6448" s="17"/>
      <c r="W6448" s="4"/>
      <c r="X6448" s="17"/>
      <c r="Y6448" s="4"/>
      <c r="Z6448" s="17"/>
      <c r="AA6448" s="17"/>
      <c r="AB6448" s="17"/>
      <c r="AC6448" s="14"/>
      <c r="AD6448" s="14"/>
      <c r="AE6448" s="17"/>
      <c r="AF6448" s="14"/>
      <c r="AG6448" s="54"/>
      <c r="AH6448" s="11"/>
      <c r="AI6448" s="14"/>
      <c r="AJ6448" s="19">
        <v>0</v>
      </c>
      <c r="AK6448" s="23">
        <v>0</v>
      </c>
      <c r="AL6448" s="11"/>
      <c r="AM6448" s="19">
        <v>0</v>
      </c>
      <c r="AN6448" s="19">
        <v>696000</v>
      </c>
      <c r="AO6448" s="14"/>
      <c r="AP6448" s="14">
        <v>696000</v>
      </c>
      <c r="AQ6448" s="12"/>
      <c r="AS6448" s="26"/>
    </row>
    <row r="6449" spans="1:45" s="19" customFormat="1" x14ac:dyDescent="0.2">
      <c r="A6449" s="2"/>
      <c r="B6449" s="13">
        <v>2</v>
      </c>
      <c r="C6449" s="17" t="s">
        <v>65</v>
      </c>
      <c r="D6449" s="17">
        <v>3052</v>
      </c>
      <c r="E6449" s="17">
        <v>212</v>
      </c>
      <c r="F6449" s="17"/>
      <c r="G6449" s="13"/>
      <c r="H6449" s="17">
        <v>1</v>
      </c>
      <c r="I6449" s="17">
        <v>0</v>
      </c>
      <c r="J6449" s="17">
        <v>29</v>
      </c>
      <c r="K6449" s="10">
        <v>429</v>
      </c>
      <c r="L6449" s="17"/>
      <c r="M6449" s="15"/>
      <c r="N6449" s="18"/>
      <c r="O6449" s="14"/>
      <c r="P6449" s="17"/>
      <c r="Q6449" s="19">
        <v>429</v>
      </c>
      <c r="R6449" s="14" t="e">
        <v>#N/A</v>
      </c>
      <c r="S6449" s="19" t="e">
        <v>#N/A</v>
      </c>
      <c r="T6449" s="17"/>
      <c r="U6449" s="17"/>
      <c r="V6449" s="17"/>
      <c r="W6449" s="4"/>
      <c r="X6449" s="17"/>
      <c r="Y6449" s="4"/>
      <c r="Z6449" s="17"/>
      <c r="AA6449" s="17"/>
      <c r="AB6449" s="17"/>
      <c r="AC6449" s="14"/>
      <c r="AD6449" s="14"/>
      <c r="AE6449" s="17" t="s">
        <v>94</v>
      </c>
      <c r="AF6449" s="14"/>
      <c r="AG6449" s="54"/>
      <c r="AH6449" s="11"/>
      <c r="AI6449" s="14"/>
      <c r="AJ6449" s="19">
        <v>0</v>
      </c>
      <c r="AK6449" s="23">
        <v>0</v>
      </c>
      <c r="AL6449" s="11"/>
      <c r="AM6449" s="19">
        <v>0</v>
      </c>
      <c r="AN6449" s="19" t="e">
        <v>#N/A</v>
      </c>
      <c r="AO6449" s="14"/>
      <c r="AP6449" s="14" t="e">
        <v>#N/A</v>
      </c>
      <c r="AQ6449" s="12">
        <v>1E-4</v>
      </c>
      <c r="AS6449" s="26"/>
    </row>
    <row r="6450" spans="1:45" s="19" customFormat="1" x14ac:dyDescent="0.2">
      <c r="A6450" s="2">
        <v>5289</v>
      </c>
      <c r="B6450" s="13">
        <v>3</v>
      </c>
      <c r="C6450" s="17" t="s">
        <v>65</v>
      </c>
      <c r="D6450" s="17">
        <v>3851</v>
      </c>
      <c r="E6450" s="17">
        <v>63</v>
      </c>
      <c r="F6450" s="17"/>
      <c r="G6450" s="13"/>
      <c r="H6450" s="17">
        <v>0</v>
      </c>
      <c r="I6450" s="17">
        <v>2</v>
      </c>
      <c r="J6450" s="17">
        <v>91</v>
      </c>
      <c r="K6450" s="10">
        <v>291</v>
      </c>
      <c r="L6450" s="17"/>
      <c r="M6450" s="15"/>
      <c r="N6450" s="18"/>
      <c r="O6450" s="14"/>
      <c r="P6450" s="17"/>
      <c r="Q6450" s="19">
        <v>291</v>
      </c>
      <c r="R6450" s="14">
        <v>160</v>
      </c>
      <c r="S6450" s="19">
        <v>46560</v>
      </c>
      <c r="T6450" s="17"/>
      <c r="U6450" s="17"/>
      <c r="V6450" s="17"/>
      <c r="W6450" s="4"/>
      <c r="X6450" s="17"/>
      <c r="Y6450" s="4"/>
      <c r="Z6450" s="17"/>
      <c r="AA6450" s="17"/>
      <c r="AB6450" s="17"/>
      <c r="AC6450" s="14"/>
      <c r="AD6450" s="14"/>
      <c r="AE6450" s="17"/>
      <c r="AF6450" s="14"/>
      <c r="AG6450" s="54"/>
      <c r="AH6450" s="11"/>
      <c r="AI6450" s="14"/>
      <c r="AJ6450" s="19">
        <v>0</v>
      </c>
      <c r="AK6450" s="23">
        <v>0</v>
      </c>
      <c r="AL6450" s="11"/>
      <c r="AM6450" s="19">
        <v>0</v>
      </c>
      <c r="AN6450" s="19">
        <v>46560</v>
      </c>
      <c r="AO6450" s="14"/>
      <c r="AP6450" s="14">
        <v>46560</v>
      </c>
      <c r="AQ6450" s="12">
        <v>1E-4</v>
      </c>
      <c r="AS6450" s="26"/>
    </row>
    <row r="6451" spans="1:45" s="19" customFormat="1" x14ac:dyDescent="0.2">
      <c r="A6451" s="2">
        <f>+A6450+1</f>
        <v>5290</v>
      </c>
      <c r="B6451" s="13">
        <v>1</v>
      </c>
      <c r="C6451" s="17" t="s">
        <v>65</v>
      </c>
      <c r="D6451" s="17">
        <v>1521</v>
      </c>
      <c r="E6451" s="17">
        <v>23</v>
      </c>
      <c r="F6451" s="17"/>
      <c r="G6451" s="13"/>
      <c r="H6451" s="17">
        <v>2</v>
      </c>
      <c r="I6451" s="17">
        <v>1</v>
      </c>
      <c r="J6451" s="17">
        <v>97</v>
      </c>
      <c r="K6451" s="10">
        <v>997</v>
      </c>
      <c r="L6451" s="17"/>
      <c r="M6451" s="15"/>
      <c r="N6451" s="18"/>
      <c r="O6451" s="14"/>
      <c r="P6451" s="17">
        <v>1</v>
      </c>
      <c r="Q6451" s="19">
        <v>997</v>
      </c>
      <c r="R6451" s="14">
        <v>500</v>
      </c>
      <c r="S6451" s="19">
        <v>498500</v>
      </c>
      <c r="T6451" s="17"/>
      <c r="U6451" s="17"/>
      <c r="V6451" s="17"/>
      <c r="W6451" s="4"/>
      <c r="X6451" s="17"/>
      <c r="Y6451" s="4"/>
      <c r="Z6451" s="17"/>
      <c r="AA6451" s="17"/>
      <c r="AB6451" s="17"/>
      <c r="AC6451" s="14"/>
      <c r="AD6451" s="14"/>
      <c r="AE6451" s="17"/>
      <c r="AF6451" s="14"/>
      <c r="AG6451" s="54"/>
      <c r="AH6451" s="11"/>
      <c r="AI6451" s="14"/>
      <c r="AJ6451" s="19">
        <v>0</v>
      </c>
      <c r="AK6451" s="23">
        <v>0</v>
      </c>
      <c r="AL6451" s="11"/>
      <c r="AM6451" s="19">
        <v>0</v>
      </c>
      <c r="AN6451" s="19">
        <v>498500</v>
      </c>
      <c r="AO6451" s="14"/>
      <c r="AP6451" s="14">
        <v>498500</v>
      </c>
      <c r="AQ6451" s="12">
        <v>1E-4</v>
      </c>
      <c r="AS6451" s="26"/>
    </row>
    <row r="6452" spans="1:45" s="19" customFormat="1" x14ac:dyDescent="0.2">
      <c r="A6452" s="2"/>
      <c r="B6452" s="13">
        <v>2</v>
      </c>
      <c r="C6452" s="17" t="s">
        <v>65</v>
      </c>
      <c r="D6452" s="17">
        <v>3049</v>
      </c>
      <c r="E6452" s="17">
        <v>209</v>
      </c>
      <c r="F6452" s="17"/>
      <c r="G6452" s="13"/>
      <c r="H6452" s="17">
        <v>3</v>
      </c>
      <c r="I6452" s="17">
        <v>0</v>
      </c>
      <c r="J6452" s="17">
        <v>66</v>
      </c>
      <c r="K6452" s="10">
        <v>1266</v>
      </c>
      <c r="L6452" s="17"/>
      <c r="M6452" s="15"/>
      <c r="N6452" s="18"/>
      <c r="O6452" s="14"/>
      <c r="P6452" s="17">
        <v>1</v>
      </c>
      <c r="Q6452" s="19">
        <v>1266</v>
      </c>
      <c r="R6452" s="14" t="e">
        <v>#N/A</v>
      </c>
      <c r="S6452" s="19" t="e">
        <v>#N/A</v>
      </c>
      <c r="T6452" s="17"/>
      <c r="U6452" s="17"/>
      <c r="V6452" s="17"/>
      <c r="W6452" s="4"/>
      <c r="X6452" s="17"/>
      <c r="Y6452" s="4"/>
      <c r="Z6452" s="17"/>
      <c r="AA6452" s="17"/>
      <c r="AB6452" s="17"/>
      <c r="AC6452" s="14"/>
      <c r="AD6452" s="14"/>
      <c r="AE6452" s="17" t="s">
        <v>95</v>
      </c>
      <c r="AF6452" s="14"/>
      <c r="AG6452" s="54"/>
      <c r="AH6452" s="11"/>
      <c r="AI6452" s="14"/>
      <c r="AJ6452" s="19">
        <v>0</v>
      </c>
      <c r="AK6452" s="23">
        <v>0</v>
      </c>
      <c r="AL6452" s="11"/>
      <c r="AM6452" s="19">
        <v>0</v>
      </c>
      <c r="AN6452" s="19" t="e">
        <v>#N/A</v>
      </c>
      <c r="AO6452" s="14"/>
      <c r="AP6452" s="14" t="e">
        <v>#N/A</v>
      </c>
      <c r="AQ6452" s="12">
        <v>1E-4</v>
      </c>
      <c r="AS6452" s="26"/>
    </row>
    <row r="6453" spans="1:45" s="19" customFormat="1" ht="42" x14ac:dyDescent="0.2">
      <c r="A6453" s="2">
        <v>5291</v>
      </c>
      <c r="B6453" s="13">
        <v>1</v>
      </c>
      <c r="C6453" s="17" t="s">
        <v>52</v>
      </c>
      <c r="D6453" s="17">
        <v>2301</v>
      </c>
      <c r="E6453" s="17">
        <v>31</v>
      </c>
      <c r="F6453" s="17">
        <v>808</v>
      </c>
      <c r="G6453" s="13">
        <v>4</v>
      </c>
      <c r="H6453" s="17">
        <v>1</v>
      </c>
      <c r="I6453" s="17">
        <v>0</v>
      </c>
      <c r="J6453" s="17">
        <v>24</v>
      </c>
      <c r="K6453" s="10">
        <v>401.25</v>
      </c>
      <c r="L6453" s="17">
        <v>22.75</v>
      </c>
      <c r="M6453" s="15"/>
      <c r="N6453" s="18"/>
      <c r="O6453" s="14"/>
      <c r="P6453" s="17">
        <v>5</v>
      </c>
      <c r="Q6453" s="19">
        <v>424</v>
      </c>
      <c r="R6453" s="14">
        <v>500</v>
      </c>
      <c r="S6453" s="19">
        <v>212000</v>
      </c>
      <c r="T6453" s="17">
        <v>1</v>
      </c>
      <c r="U6453" s="17"/>
      <c r="V6453" s="17" t="s">
        <v>183</v>
      </c>
      <c r="W6453" s="4">
        <v>91</v>
      </c>
      <c r="X6453" s="17"/>
      <c r="Y6453" s="4">
        <v>91</v>
      </c>
      <c r="Z6453" s="17"/>
      <c r="AA6453" s="17"/>
      <c r="AB6453" s="17">
        <v>7</v>
      </c>
      <c r="AC6453" s="14"/>
      <c r="AD6453" s="14"/>
      <c r="AE6453" s="17"/>
      <c r="AF6453" s="14"/>
      <c r="AG6453" s="54"/>
      <c r="AH6453" s="11"/>
      <c r="AI6453" s="14"/>
      <c r="AJ6453" s="19">
        <v>0</v>
      </c>
      <c r="AK6453" s="23">
        <v>7</v>
      </c>
      <c r="AL6453" s="11"/>
      <c r="AM6453" s="19">
        <v>0</v>
      </c>
      <c r="AN6453" s="19">
        <v>212000</v>
      </c>
      <c r="AO6453" s="14"/>
      <c r="AP6453" s="14">
        <v>212000</v>
      </c>
      <c r="AQ6453" s="12"/>
      <c r="AS6453" s="26"/>
    </row>
    <row r="6454" spans="1:45" s="19" customFormat="1" x14ac:dyDescent="0.2">
      <c r="A6454" s="2">
        <f>+A6453+1</f>
        <v>5292</v>
      </c>
      <c r="B6454" s="13">
        <v>1</v>
      </c>
      <c r="C6454" s="17" t="s">
        <v>52</v>
      </c>
      <c r="D6454" s="17">
        <v>1975</v>
      </c>
      <c r="E6454" s="17">
        <v>43</v>
      </c>
      <c r="F6454" s="17">
        <v>809</v>
      </c>
      <c r="G6454" s="13">
        <v>4</v>
      </c>
      <c r="H6454" s="17">
        <v>3</v>
      </c>
      <c r="I6454" s="17">
        <v>0</v>
      </c>
      <c r="J6454" s="17">
        <v>63</v>
      </c>
      <c r="K6454" s="10">
        <v>1263</v>
      </c>
      <c r="L6454" s="17"/>
      <c r="M6454" s="15"/>
      <c r="N6454" s="18"/>
      <c r="O6454" s="14"/>
      <c r="P6454" s="17">
        <v>1</v>
      </c>
      <c r="Q6454" s="19">
        <v>1263</v>
      </c>
      <c r="R6454" s="14">
        <v>1000</v>
      </c>
      <c r="S6454" s="19">
        <v>1263000</v>
      </c>
      <c r="T6454" s="17"/>
      <c r="U6454" s="17"/>
      <c r="V6454" s="17"/>
      <c r="W6454" s="4"/>
      <c r="X6454" s="17"/>
      <c r="Y6454" s="4"/>
      <c r="Z6454" s="17"/>
      <c r="AA6454" s="17"/>
      <c r="AB6454" s="17"/>
      <c r="AC6454" s="14"/>
      <c r="AD6454" s="14"/>
      <c r="AE6454" s="17"/>
      <c r="AF6454" s="14"/>
      <c r="AG6454" s="54"/>
      <c r="AH6454" s="11"/>
      <c r="AI6454" s="14"/>
      <c r="AJ6454" s="19">
        <v>0</v>
      </c>
      <c r="AK6454" s="23">
        <v>0</v>
      </c>
      <c r="AL6454" s="11"/>
      <c r="AM6454" s="19">
        <v>0</v>
      </c>
      <c r="AN6454" s="19">
        <v>1263000</v>
      </c>
      <c r="AO6454" s="14"/>
      <c r="AP6454" s="14">
        <v>1263000</v>
      </c>
      <c r="AQ6454" s="12"/>
      <c r="AS6454" s="26"/>
    </row>
    <row r="6455" spans="1:45" s="19" customFormat="1" x14ac:dyDescent="0.2">
      <c r="A6455" s="122">
        <f t="shared" ref="A6455:A6464" si="668">+A6454+1</f>
        <v>5293</v>
      </c>
      <c r="B6455" s="13">
        <v>2</v>
      </c>
      <c r="C6455" s="17" t="s">
        <v>52</v>
      </c>
      <c r="D6455" s="17">
        <v>29777</v>
      </c>
      <c r="E6455" s="17">
        <v>68</v>
      </c>
      <c r="F6455" s="17">
        <v>5316</v>
      </c>
      <c r="G6455" s="13">
        <v>4</v>
      </c>
      <c r="H6455" s="17">
        <v>1</v>
      </c>
      <c r="I6455" s="17">
        <v>3</v>
      </c>
      <c r="J6455" s="17">
        <v>90</v>
      </c>
      <c r="K6455" s="10">
        <v>790</v>
      </c>
      <c r="L6455" s="17"/>
      <c r="M6455" s="15"/>
      <c r="N6455" s="18"/>
      <c r="O6455" s="14"/>
      <c r="P6455" s="17">
        <v>1</v>
      </c>
      <c r="Q6455" s="19">
        <v>790</v>
      </c>
      <c r="R6455" s="14">
        <v>1000</v>
      </c>
      <c r="S6455" s="19">
        <v>790000</v>
      </c>
      <c r="T6455" s="17"/>
      <c r="U6455" s="17"/>
      <c r="V6455" s="17"/>
      <c r="W6455" s="4"/>
      <c r="X6455" s="17"/>
      <c r="Y6455" s="4"/>
      <c r="Z6455" s="17"/>
      <c r="AA6455" s="17"/>
      <c r="AB6455" s="17"/>
      <c r="AC6455" s="14"/>
      <c r="AD6455" s="14"/>
      <c r="AE6455" s="17"/>
      <c r="AF6455" s="14"/>
      <c r="AG6455" s="54"/>
      <c r="AH6455" s="11"/>
      <c r="AI6455" s="14"/>
      <c r="AJ6455" s="19">
        <v>0</v>
      </c>
      <c r="AK6455" s="23">
        <v>0</v>
      </c>
      <c r="AL6455" s="11"/>
      <c r="AM6455" s="19">
        <v>0</v>
      </c>
      <c r="AN6455" s="19">
        <v>790000</v>
      </c>
      <c r="AO6455" s="14"/>
      <c r="AP6455" s="14">
        <v>790000</v>
      </c>
      <c r="AQ6455" s="12"/>
      <c r="AS6455" s="26"/>
    </row>
    <row r="6456" spans="1:45" s="19" customFormat="1" x14ac:dyDescent="0.2">
      <c r="A6456" s="122">
        <f t="shared" si="668"/>
        <v>5294</v>
      </c>
      <c r="B6456" s="13">
        <v>3</v>
      </c>
      <c r="C6456" s="17" t="s">
        <v>52</v>
      </c>
      <c r="D6456" s="17">
        <v>36876</v>
      </c>
      <c r="E6456" s="17">
        <v>121</v>
      </c>
      <c r="F6456" s="17">
        <v>7657</v>
      </c>
      <c r="G6456" s="13">
        <v>4</v>
      </c>
      <c r="H6456" s="17">
        <v>2</v>
      </c>
      <c r="I6456" s="17">
        <v>3</v>
      </c>
      <c r="J6456" s="17">
        <v>63</v>
      </c>
      <c r="K6456" s="10">
        <v>1163</v>
      </c>
      <c r="L6456" s="17"/>
      <c r="M6456" s="15"/>
      <c r="N6456" s="18"/>
      <c r="O6456" s="14"/>
      <c r="P6456" s="17">
        <v>1</v>
      </c>
      <c r="Q6456" s="19">
        <v>1163</v>
      </c>
      <c r="R6456" s="14">
        <v>1000</v>
      </c>
      <c r="S6456" s="19">
        <v>1163000</v>
      </c>
      <c r="T6456" s="17"/>
      <c r="U6456" s="17"/>
      <c r="V6456" s="17"/>
      <c r="W6456" s="4"/>
      <c r="X6456" s="17"/>
      <c r="Y6456" s="4"/>
      <c r="Z6456" s="17"/>
      <c r="AA6456" s="17"/>
      <c r="AB6456" s="17"/>
      <c r="AC6456" s="14"/>
      <c r="AD6456" s="14"/>
      <c r="AE6456" s="17"/>
      <c r="AF6456" s="14"/>
      <c r="AG6456" s="54"/>
      <c r="AH6456" s="11"/>
      <c r="AI6456" s="14"/>
      <c r="AJ6456" s="19">
        <v>0</v>
      </c>
      <c r="AK6456" s="23">
        <v>0</v>
      </c>
      <c r="AL6456" s="11"/>
      <c r="AM6456" s="19">
        <v>0</v>
      </c>
      <c r="AN6456" s="19">
        <v>1163000</v>
      </c>
      <c r="AO6456" s="14"/>
      <c r="AP6456" s="14">
        <v>1163000</v>
      </c>
      <c r="AQ6456" s="12"/>
      <c r="AS6456" s="26"/>
    </row>
    <row r="6457" spans="1:45" s="19" customFormat="1" x14ac:dyDescent="0.2">
      <c r="A6457" s="122">
        <f t="shared" si="668"/>
        <v>5295</v>
      </c>
      <c r="B6457" s="13">
        <v>1</v>
      </c>
      <c r="C6457" s="17" t="s">
        <v>52</v>
      </c>
      <c r="D6457" s="17">
        <v>29778</v>
      </c>
      <c r="E6457" s="17">
        <v>69</v>
      </c>
      <c r="F6457" s="17">
        <v>5317</v>
      </c>
      <c r="G6457" s="13">
        <v>4</v>
      </c>
      <c r="H6457" s="17">
        <v>2</v>
      </c>
      <c r="I6457" s="17">
        <v>0</v>
      </c>
      <c r="J6457" s="17">
        <v>63</v>
      </c>
      <c r="K6457" s="10">
        <v>863</v>
      </c>
      <c r="L6457" s="17"/>
      <c r="M6457" s="15"/>
      <c r="N6457" s="18"/>
      <c r="O6457" s="14"/>
      <c r="P6457" s="17">
        <v>1</v>
      </c>
      <c r="Q6457" s="19">
        <v>863</v>
      </c>
      <c r="R6457" s="14">
        <v>1000</v>
      </c>
      <c r="S6457" s="19">
        <v>863000</v>
      </c>
      <c r="T6457" s="17"/>
      <c r="U6457" s="17"/>
      <c r="V6457" s="17"/>
      <c r="W6457" s="4"/>
      <c r="X6457" s="17"/>
      <c r="Y6457" s="4"/>
      <c r="Z6457" s="17"/>
      <c r="AA6457" s="17"/>
      <c r="AB6457" s="17"/>
      <c r="AC6457" s="14"/>
      <c r="AD6457" s="14"/>
      <c r="AE6457" s="17"/>
      <c r="AF6457" s="14"/>
      <c r="AG6457" s="54"/>
      <c r="AH6457" s="11"/>
      <c r="AI6457" s="14"/>
      <c r="AJ6457" s="19">
        <v>0</v>
      </c>
      <c r="AK6457" s="23">
        <v>0</v>
      </c>
      <c r="AL6457" s="11"/>
      <c r="AM6457" s="19">
        <v>0</v>
      </c>
      <c r="AN6457" s="19">
        <v>863000</v>
      </c>
      <c r="AO6457" s="14"/>
      <c r="AP6457" s="14">
        <v>863000</v>
      </c>
      <c r="AQ6457" s="12"/>
      <c r="AS6457" s="26"/>
    </row>
    <row r="6458" spans="1:45" s="19" customFormat="1" x14ac:dyDescent="0.2">
      <c r="A6458" s="122">
        <f t="shared" si="668"/>
        <v>5296</v>
      </c>
      <c r="B6458" s="13">
        <v>1</v>
      </c>
      <c r="C6458" s="17" t="s">
        <v>52</v>
      </c>
      <c r="D6458" s="17">
        <v>29779</v>
      </c>
      <c r="E6458" s="17">
        <v>70</v>
      </c>
      <c r="F6458" s="17">
        <v>5318</v>
      </c>
      <c r="G6458" s="13">
        <v>4</v>
      </c>
      <c r="H6458" s="17">
        <v>2</v>
      </c>
      <c r="I6458" s="17">
        <v>1</v>
      </c>
      <c r="J6458" s="17">
        <v>36</v>
      </c>
      <c r="K6458" s="10">
        <v>936</v>
      </c>
      <c r="L6458" s="17"/>
      <c r="M6458" s="15"/>
      <c r="N6458" s="18"/>
      <c r="O6458" s="14"/>
      <c r="P6458" s="17">
        <v>1</v>
      </c>
      <c r="Q6458" s="19">
        <v>936</v>
      </c>
      <c r="R6458" s="14">
        <v>1000</v>
      </c>
      <c r="S6458" s="19">
        <v>936000</v>
      </c>
      <c r="T6458" s="17"/>
      <c r="U6458" s="17"/>
      <c r="V6458" s="17"/>
      <c r="W6458" s="4"/>
      <c r="X6458" s="17"/>
      <c r="Y6458" s="4"/>
      <c r="Z6458" s="17"/>
      <c r="AA6458" s="17"/>
      <c r="AB6458" s="17"/>
      <c r="AC6458" s="14"/>
      <c r="AD6458" s="14"/>
      <c r="AE6458" s="17"/>
      <c r="AF6458" s="14"/>
      <c r="AG6458" s="54"/>
      <c r="AH6458" s="11"/>
      <c r="AI6458" s="14"/>
      <c r="AJ6458" s="19">
        <v>0</v>
      </c>
      <c r="AK6458" s="23">
        <v>0</v>
      </c>
      <c r="AL6458" s="11"/>
      <c r="AM6458" s="19">
        <v>0</v>
      </c>
      <c r="AN6458" s="19">
        <v>936000</v>
      </c>
      <c r="AO6458" s="14"/>
      <c r="AP6458" s="14">
        <v>936000</v>
      </c>
      <c r="AQ6458" s="12"/>
      <c r="AS6458" s="26"/>
    </row>
    <row r="6459" spans="1:45" s="19" customFormat="1" x14ac:dyDescent="0.2">
      <c r="A6459" s="122">
        <f t="shared" si="668"/>
        <v>5297</v>
      </c>
      <c r="B6459" s="13">
        <v>2</v>
      </c>
      <c r="C6459" s="17" t="s">
        <v>52</v>
      </c>
      <c r="D6459" s="17">
        <v>31424</v>
      </c>
      <c r="E6459" s="17">
        <v>18</v>
      </c>
      <c r="F6459" s="17">
        <v>6207</v>
      </c>
      <c r="G6459" s="13">
        <v>4</v>
      </c>
      <c r="H6459" s="17">
        <v>0</v>
      </c>
      <c r="I6459" s="17">
        <v>0</v>
      </c>
      <c r="J6459" s="17">
        <v>96</v>
      </c>
      <c r="K6459" s="10">
        <v>96</v>
      </c>
      <c r="L6459" s="17"/>
      <c r="M6459" s="15"/>
      <c r="N6459" s="18"/>
      <c r="O6459" s="14"/>
      <c r="P6459" s="17">
        <v>1</v>
      </c>
      <c r="Q6459" s="19">
        <v>96</v>
      </c>
      <c r="R6459" s="14">
        <v>250</v>
      </c>
      <c r="S6459" s="19">
        <v>24000</v>
      </c>
      <c r="T6459" s="17"/>
      <c r="U6459" s="17"/>
      <c r="V6459" s="17"/>
      <c r="W6459" s="4"/>
      <c r="X6459" s="17"/>
      <c r="Y6459" s="4"/>
      <c r="Z6459" s="17"/>
      <c r="AA6459" s="17"/>
      <c r="AB6459" s="17"/>
      <c r="AC6459" s="14"/>
      <c r="AD6459" s="14"/>
      <c r="AE6459" s="17"/>
      <c r="AF6459" s="14"/>
      <c r="AG6459" s="54"/>
      <c r="AH6459" s="11"/>
      <c r="AI6459" s="14"/>
      <c r="AJ6459" s="19">
        <v>0</v>
      </c>
      <c r="AK6459" s="23">
        <v>0</v>
      </c>
      <c r="AL6459" s="11"/>
      <c r="AM6459" s="19">
        <v>0</v>
      </c>
      <c r="AN6459" s="19">
        <v>24000</v>
      </c>
      <c r="AO6459" s="14"/>
      <c r="AP6459" s="14">
        <v>24000</v>
      </c>
      <c r="AQ6459" s="12"/>
      <c r="AS6459" s="26"/>
    </row>
    <row r="6460" spans="1:45" s="19" customFormat="1" x14ac:dyDescent="0.2">
      <c r="A6460" s="122">
        <f t="shared" si="668"/>
        <v>5298</v>
      </c>
      <c r="B6460" s="13">
        <v>3</v>
      </c>
      <c r="C6460" s="17" t="s">
        <v>52</v>
      </c>
      <c r="D6460" s="17">
        <v>37835</v>
      </c>
      <c r="E6460" s="17">
        <v>123</v>
      </c>
      <c r="F6460" s="17">
        <v>7659</v>
      </c>
      <c r="G6460" s="13">
        <v>4</v>
      </c>
      <c r="H6460" s="17">
        <v>0</v>
      </c>
      <c r="I6460" s="17">
        <v>0</v>
      </c>
      <c r="J6460" s="17">
        <v>66</v>
      </c>
      <c r="K6460" s="10">
        <v>66</v>
      </c>
      <c r="L6460" s="17"/>
      <c r="M6460" s="15"/>
      <c r="N6460" s="18"/>
      <c r="O6460" s="14"/>
      <c r="P6460" s="17">
        <v>1</v>
      </c>
      <c r="Q6460" s="19">
        <v>66</v>
      </c>
      <c r="R6460" s="14">
        <v>2000</v>
      </c>
      <c r="S6460" s="19">
        <v>132000</v>
      </c>
      <c r="T6460" s="17"/>
      <c r="U6460" s="17"/>
      <c r="V6460" s="17"/>
      <c r="W6460" s="4"/>
      <c r="X6460" s="17"/>
      <c r="Y6460" s="4"/>
      <c r="Z6460" s="17"/>
      <c r="AA6460" s="17"/>
      <c r="AB6460" s="17"/>
      <c r="AC6460" s="14"/>
      <c r="AD6460" s="14"/>
      <c r="AE6460" s="17"/>
      <c r="AF6460" s="14"/>
      <c r="AG6460" s="54"/>
      <c r="AH6460" s="11"/>
      <c r="AI6460" s="14"/>
      <c r="AJ6460" s="19">
        <v>0</v>
      </c>
      <c r="AK6460" s="23">
        <v>0</v>
      </c>
      <c r="AL6460" s="11"/>
      <c r="AM6460" s="19">
        <v>0</v>
      </c>
      <c r="AN6460" s="19">
        <v>132000</v>
      </c>
      <c r="AO6460" s="14"/>
      <c r="AP6460" s="14">
        <v>132000</v>
      </c>
      <c r="AQ6460" s="12"/>
      <c r="AS6460" s="26"/>
    </row>
    <row r="6461" spans="1:45" s="19" customFormat="1" ht="63" x14ac:dyDescent="0.2">
      <c r="A6461" s="122">
        <f t="shared" si="668"/>
        <v>5299</v>
      </c>
      <c r="B6461" s="13">
        <v>1</v>
      </c>
      <c r="C6461" s="17" t="s">
        <v>65</v>
      </c>
      <c r="D6461" s="17">
        <v>2913</v>
      </c>
      <c r="E6461" s="17">
        <v>32</v>
      </c>
      <c r="F6461" s="17"/>
      <c r="G6461" s="13"/>
      <c r="H6461" s="17">
        <v>0</v>
      </c>
      <c r="I6461" s="17">
        <v>0</v>
      </c>
      <c r="J6461" s="17">
        <v>35</v>
      </c>
      <c r="K6461" s="10"/>
      <c r="L6461" s="17" t="s">
        <v>615</v>
      </c>
      <c r="M6461" s="15"/>
      <c r="N6461" s="18"/>
      <c r="O6461" s="14"/>
      <c r="P6461" s="17">
        <v>2</v>
      </c>
      <c r="Q6461" s="19">
        <v>35</v>
      </c>
      <c r="R6461" s="14">
        <v>2000</v>
      </c>
      <c r="S6461" s="19">
        <v>70000</v>
      </c>
      <c r="T6461" s="17"/>
      <c r="U6461" s="17" t="s">
        <v>57</v>
      </c>
      <c r="V6461" s="17" t="s">
        <v>56</v>
      </c>
      <c r="W6461" s="4">
        <v>60</v>
      </c>
      <c r="X6461" s="17"/>
      <c r="Y6461" s="4" t="s">
        <v>274</v>
      </c>
      <c r="Z6461" s="17"/>
      <c r="AA6461" s="17"/>
      <c r="AB6461" s="17" t="s">
        <v>595</v>
      </c>
      <c r="AC6461" s="14"/>
      <c r="AD6461" s="14"/>
      <c r="AE6461" s="17"/>
      <c r="AF6461" s="14">
        <v>2</v>
      </c>
      <c r="AG6461" s="54">
        <v>60</v>
      </c>
      <c r="AH6461" s="11">
        <v>1</v>
      </c>
      <c r="AI6461" s="14">
        <v>7250</v>
      </c>
      <c r="AJ6461" s="19">
        <v>435000</v>
      </c>
      <c r="AK6461" s="23" t="s">
        <v>595</v>
      </c>
      <c r="AL6461" s="11"/>
      <c r="AM6461" s="19">
        <v>435000</v>
      </c>
      <c r="AN6461" s="19">
        <v>505000</v>
      </c>
      <c r="AO6461" s="14"/>
      <c r="AP6461" s="14">
        <v>505000</v>
      </c>
      <c r="AQ6461" s="12">
        <v>2.0000000000000001E-4</v>
      </c>
      <c r="AS6461" s="26"/>
    </row>
    <row r="6462" spans="1:45" s="19" customFormat="1" x14ac:dyDescent="0.2">
      <c r="A6462" s="122">
        <f t="shared" si="668"/>
        <v>5300</v>
      </c>
      <c r="B6462" s="13">
        <v>1</v>
      </c>
      <c r="C6462" s="17" t="s">
        <v>52</v>
      </c>
      <c r="D6462" s="17">
        <v>2319</v>
      </c>
      <c r="E6462" s="17">
        <v>48</v>
      </c>
      <c r="F6462" s="17">
        <v>1524</v>
      </c>
      <c r="G6462" s="13"/>
      <c r="H6462" s="17">
        <v>0</v>
      </c>
      <c r="I6462" s="17">
        <v>0</v>
      </c>
      <c r="J6462" s="17">
        <v>42</v>
      </c>
      <c r="K6462" s="10">
        <v>42</v>
      </c>
      <c r="L6462" s="17"/>
      <c r="M6462" s="15"/>
      <c r="N6462" s="18"/>
      <c r="O6462" s="14"/>
      <c r="P6462" s="17">
        <v>1</v>
      </c>
      <c r="Q6462" s="19">
        <v>42</v>
      </c>
      <c r="R6462" s="14">
        <v>2000</v>
      </c>
      <c r="S6462" s="19">
        <v>84000</v>
      </c>
      <c r="T6462" s="17"/>
      <c r="U6462" s="17"/>
      <c r="V6462" s="17"/>
      <c r="W6462" s="4"/>
      <c r="X6462" s="17"/>
      <c r="Y6462" s="4"/>
      <c r="Z6462" s="17"/>
      <c r="AA6462" s="17"/>
      <c r="AB6462" s="17"/>
      <c r="AC6462" s="14"/>
      <c r="AD6462" s="14"/>
      <c r="AE6462" s="17"/>
      <c r="AF6462" s="14"/>
      <c r="AG6462" s="54"/>
      <c r="AH6462" s="11"/>
      <c r="AI6462" s="14"/>
      <c r="AJ6462" s="19">
        <v>0</v>
      </c>
      <c r="AK6462" s="23">
        <v>0</v>
      </c>
      <c r="AL6462" s="11"/>
      <c r="AM6462" s="19">
        <v>0</v>
      </c>
      <c r="AN6462" s="19">
        <v>84000</v>
      </c>
      <c r="AO6462" s="14"/>
      <c r="AP6462" s="14">
        <v>84000</v>
      </c>
      <c r="AQ6462" s="12"/>
      <c r="AS6462" s="26"/>
    </row>
    <row r="6463" spans="1:45" s="19" customFormat="1" x14ac:dyDescent="0.2">
      <c r="A6463" s="122">
        <f t="shared" si="668"/>
        <v>5301</v>
      </c>
      <c r="B6463" s="13">
        <v>2</v>
      </c>
      <c r="C6463" s="17" t="s">
        <v>52</v>
      </c>
      <c r="D6463" s="17">
        <v>2334</v>
      </c>
      <c r="E6463" s="17">
        <v>51</v>
      </c>
      <c r="F6463" s="17">
        <v>1525</v>
      </c>
      <c r="G6463" s="13"/>
      <c r="H6463" s="17">
        <v>0</v>
      </c>
      <c r="I6463" s="17">
        <v>0</v>
      </c>
      <c r="J6463" s="17">
        <v>55</v>
      </c>
      <c r="K6463" s="10">
        <v>55</v>
      </c>
      <c r="L6463" s="17"/>
      <c r="M6463" s="15"/>
      <c r="N6463" s="18"/>
      <c r="O6463" s="14"/>
      <c r="P6463" s="17">
        <v>1</v>
      </c>
      <c r="Q6463" s="19">
        <v>55</v>
      </c>
      <c r="R6463" s="14">
        <v>2000</v>
      </c>
      <c r="S6463" s="19">
        <v>110000</v>
      </c>
      <c r="T6463" s="17"/>
      <c r="U6463" s="17"/>
      <c r="V6463" s="17"/>
      <c r="W6463" s="4"/>
      <c r="X6463" s="17"/>
      <c r="Y6463" s="4"/>
      <c r="Z6463" s="17"/>
      <c r="AA6463" s="17"/>
      <c r="AB6463" s="17"/>
      <c r="AC6463" s="14"/>
      <c r="AD6463" s="14"/>
      <c r="AE6463" s="17"/>
      <c r="AF6463" s="14"/>
      <c r="AG6463" s="54"/>
      <c r="AH6463" s="11"/>
      <c r="AI6463" s="14"/>
      <c r="AJ6463" s="19">
        <v>0</v>
      </c>
      <c r="AK6463" s="23">
        <v>0</v>
      </c>
      <c r="AL6463" s="11"/>
      <c r="AM6463" s="19">
        <v>0</v>
      </c>
      <c r="AN6463" s="19">
        <v>110000</v>
      </c>
      <c r="AO6463" s="14"/>
      <c r="AP6463" s="14">
        <v>110000</v>
      </c>
      <c r="AQ6463" s="12"/>
      <c r="AS6463" s="26"/>
    </row>
    <row r="6464" spans="1:45" s="19" customFormat="1" x14ac:dyDescent="0.2">
      <c r="A6464" s="122">
        <f t="shared" si="668"/>
        <v>5302</v>
      </c>
      <c r="B6464" s="13">
        <v>3</v>
      </c>
      <c r="C6464" s="17" t="s">
        <v>52</v>
      </c>
      <c r="D6464" s="17">
        <v>10464</v>
      </c>
      <c r="E6464" s="17">
        <v>133</v>
      </c>
      <c r="F6464" s="17">
        <v>3160</v>
      </c>
      <c r="G6464" s="13"/>
      <c r="H6464" s="17">
        <v>0</v>
      </c>
      <c r="I6464" s="17">
        <v>0</v>
      </c>
      <c r="J6464" s="17">
        <v>24.07</v>
      </c>
      <c r="K6464" s="10">
        <v>24.07</v>
      </c>
      <c r="L6464" s="17"/>
      <c r="M6464" s="15"/>
      <c r="N6464" s="18"/>
      <c r="O6464" s="14"/>
      <c r="P6464" s="17">
        <v>1</v>
      </c>
      <c r="Q6464" s="19">
        <v>24.07</v>
      </c>
      <c r="R6464" s="14">
        <v>2000</v>
      </c>
      <c r="S6464" s="19">
        <v>48140</v>
      </c>
      <c r="T6464" s="17"/>
      <c r="U6464" s="17"/>
      <c r="V6464" s="17"/>
      <c r="W6464" s="4"/>
      <c r="X6464" s="17"/>
      <c r="Y6464" s="4"/>
      <c r="Z6464" s="17"/>
      <c r="AA6464" s="17"/>
      <c r="AB6464" s="17"/>
      <c r="AC6464" s="14"/>
      <c r="AD6464" s="14"/>
      <c r="AE6464" s="17"/>
      <c r="AF6464" s="14"/>
      <c r="AG6464" s="54"/>
      <c r="AH6464" s="11"/>
      <c r="AI6464" s="14"/>
      <c r="AJ6464" s="19">
        <v>0</v>
      </c>
      <c r="AK6464" s="23">
        <v>0</v>
      </c>
      <c r="AL6464" s="11"/>
      <c r="AM6464" s="19">
        <v>0</v>
      </c>
      <c r="AN6464" s="19">
        <v>48140</v>
      </c>
      <c r="AO6464" s="14"/>
      <c r="AP6464" s="14">
        <v>48140</v>
      </c>
      <c r="AQ6464" s="12"/>
      <c r="AS6464" s="26"/>
    </row>
    <row r="6465" spans="1:45" ht="63" x14ac:dyDescent="0.2">
      <c r="B6465" s="13">
        <v>1</v>
      </c>
      <c r="C6465" s="17" t="s">
        <v>65</v>
      </c>
      <c r="D6465" s="17">
        <v>3073</v>
      </c>
      <c r="E6465" s="17">
        <v>213</v>
      </c>
      <c r="H6465" s="17">
        <v>0</v>
      </c>
      <c r="I6465" s="17">
        <v>1</v>
      </c>
      <c r="J6465" s="17">
        <v>42</v>
      </c>
      <c r="L6465" s="17">
        <v>95.62</v>
      </c>
      <c r="P6465" s="17">
        <v>2</v>
      </c>
      <c r="Q6465" s="19">
        <v>142</v>
      </c>
      <c r="R6465" s="14" t="e">
        <v>#N/A</v>
      </c>
      <c r="S6465" s="19" t="e">
        <v>#N/A</v>
      </c>
      <c r="T6465" s="17">
        <v>1</v>
      </c>
      <c r="U6465" s="17" t="s">
        <v>63</v>
      </c>
      <c r="V6465" s="17" t="s">
        <v>56</v>
      </c>
      <c r="W6465" s="4">
        <v>24</v>
      </c>
      <c r="Y6465" s="4">
        <v>24</v>
      </c>
      <c r="AB6465" s="17">
        <v>17</v>
      </c>
      <c r="AJ6465" s="19">
        <v>0</v>
      </c>
      <c r="AK6465" s="23">
        <v>17</v>
      </c>
      <c r="AM6465" s="19">
        <v>0</v>
      </c>
      <c r="AN6465" s="19" t="e">
        <v>#N/A</v>
      </c>
      <c r="AP6465" s="14" t="e">
        <v>#N/A</v>
      </c>
      <c r="AQ6465" s="12">
        <v>1E-4</v>
      </c>
    </row>
    <row r="6466" spans="1:45" ht="63" x14ac:dyDescent="0.2">
      <c r="L6466" s="17">
        <v>33.25</v>
      </c>
      <c r="P6466" s="17">
        <v>2</v>
      </c>
      <c r="Q6466" s="19">
        <v>0</v>
      </c>
      <c r="R6466" s="14" t="e">
        <v>#N/A</v>
      </c>
      <c r="S6466" s="19" t="e">
        <v>#N/A</v>
      </c>
      <c r="T6466" s="17">
        <v>2</v>
      </c>
      <c r="U6466" s="17" t="s">
        <v>63</v>
      </c>
      <c r="V6466" s="17" t="s">
        <v>56</v>
      </c>
      <c r="W6466" s="4">
        <v>133</v>
      </c>
      <c r="Y6466" s="4">
        <v>133</v>
      </c>
      <c r="AB6466" s="17">
        <v>28</v>
      </c>
      <c r="AJ6466" s="19">
        <v>0</v>
      </c>
      <c r="AK6466" s="23">
        <v>28</v>
      </c>
      <c r="AM6466" s="19">
        <v>0</v>
      </c>
      <c r="AN6466" s="19" t="e">
        <v>#N/A</v>
      </c>
      <c r="AP6466" s="14" t="e">
        <v>#N/A</v>
      </c>
    </row>
    <row r="6467" spans="1:45" ht="63" x14ac:dyDescent="0.2">
      <c r="L6467" s="17">
        <v>13.13</v>
      </c>
      <c r="P6467" s="17">
        <v>2</v>
      </c>
      <c r="Q6467" s="19">
        <v>0</v>
      </c>
      <c r="R6467" s="14" t="e">
        <v>#N/A</v>
      </c>
      <c r="S6467" s="19" t="e">
        <v>#N/A</v>
      </c>
      <c r="T6467" s="17">
        <v>3</v>
      </c>
      <c r="U6467" s="17" t="s">
        <v>63</v>
      </c>
      <c r="V6467" s="17" t="s">
        <v>56</v>
      </c>
      <c r="W6467" s="4">
        <v>52.5</v>
      </c>
      <c r="Y6467" s="4">
        <v>52.5</v>
      </c>
      <c r="AB6467" s="17">
        <v>21</v>
      </c>
      <c r="AJ6467" s="19">
        <v>0</v>
      </c>
      <c r="AK6467" s="23">
        <v>21</v>
      </c>
      <c r="AM6467" s="19">
        <v>0</v>
      </c>
      <c r="AN6467" s="19" t="e">
        <v>#N/A</v>
      </c>
      <c r="AP6467" s="14" t="e">
        <v>#N/A</v>
      </c>
    </row>
    <row r="6468" spans="1:45" x14ac:dyDescent="0.2">
      <c r="A6468" s="2">
        <v>5303</v>
      </c>
      <c r="B6468" s="13">
        <v>1</v>
      </c>
      <c r="C6468" s="17" t="s">
        <v>52</v>
      </c>
      <c r="D6468" s="17">
        <v>10465</v>
      </c>
      <c r="E6468" s="17">
        <v>134</v>
      </c>
      <c r="F6468" s="17">
        <v>3161</v>
      </c>
      <c r="H6468" s="17">
        <v>0</v>
      </c>
      <c r="I6468" s="17">
        <v>0</v>
      </c>
      <c r="J6468" s="17">
        <v>31.06</v>
      </c>
      <c r="K6468" s="10">
        <v>31.06</v>
      </c>
      <c r="P6468" s="17">
        <v>1</v>
      </c>
      <c r="Q6468" s="19">
        <v>31.06</v>
      </c>
      <c r="R6468" s="14">
        <v>2000</v>
      </c>
      <c r="S6468" s="19">
        <v>62120</v>
      </c>
      <c r="AJ6468" s="19">
        <v>0</v>
      </c>
      <c r="AK6468" s="23">
        <v>0</v>
      </c>
      <c r="AM6468" s="19">
        <v>0</v>
      </c>
      <c r="AN6468" s="19">
        <v>62120</v>
      </c>
      <c r="AP6468" s="14">
        <v>62120</v>
      </c>
    </row>
    <row r="6469" spans="1:45" ht="42" x14ac:dyDescent="0.2">
      <c r="A6469" s="2">
        <f>+A6468+1</f>
        <v>5304</v>
      </c>
      <c r="B6469" s="13">
        <v>1</v>
      </c>
      <c r="C6469" s="17" t="s">
        <v>52</v>
      </c>
      <c r="D6469" s="17">
        <v>1617</v>
      </c>
      <c r="E6469" s="17">
        <v>1</v>
      </c>
      <c r="F6469" s="17">
        <v>850</v>
      </c>
      <c r="G6469" s="13">
        <v>4</v>
      </c>
      <c r="H6469" s="17">
        <v>2</v>
      </c>
      <c r="I6469" s="17">
        <v>3</v>
      </c>
      <c r="J6469" s="17">
        <v>76</v>
      </c>
      <c r="K6469" s="10">
        <v>1147.1300000000001</v>
      </c>
      <c r="L6469" s="17">
        <v>28.87</v>
      </c>
      <c r="P6469" s="17">
        <v>5</v>
      </c>
      <c r="Q6469" s="19">
        <v>1176</v>
      </c>
      <c r="R6469" s="14">
        <v>200</v>
      </c>
      <c r="S6469" s="19">
        <v>235200</v>
      </c>
      <c r="T6469" s="17">
        <v>1</v>
      </c>
      <c r="V6469" s="17" t="s">
        <v>183</v>
      </c>
      <c r="W6469" s="4">
        <v>115.5</v>
      </c>
      <c r="Y6469" s="4">
        <v>115.5</v>
      </c>
      <c r="AB6469" s="17">
        <v>47</v>
      </c>
      <c r="AJ6469" s="19">
        <v>0</v>
      </c>
      <c r="AK6469" s="23">
        <v>47</v>
      </c>
      <c r="AM6469" s="19">
        <v>0</v>
      </c>
      <c r="AN6469" s="19">
        <v>235200</v>
      </c>
      <c r="AP6469" s="14">
        <v>235200</v>
      </c>
      <c r="AS6469" s="26">
        <v>255</v>
      </c>
    </row>
    <row r="6470" spans="1:45" x14ac:dyDescent="0.2">
      <c r="A6470" s="122">
        <f t="shared" ref="A6470:A6473" si="669">+A6469+1</f>
        <v>5305</v>
      </c>
      <c r="B6470" s="13">
        <v>2</v>
      </c>
      <c r="C6470" s="17" t="s">
        <v>52</v>
      </c>
      <c r="D6470" s="17">
        <v>1994</v>
      </c>
      <c r="E6470" s="17">
        <v>6</v>
      </c>
      <c r="F6470" s="17">
        <v>853</v>
      </c>
      <c r="G6470" s="13">
        <v>4</v>
      </c>
      <c r="H6470" s="17">
        <v>9</v>
      </c>
      <c r="I6470" s="17">
        <v>0</v>
      </c>
      <c r="J6470" s="17">
        <v>37</v>
      </c>
      <c r="K6470" s="10">
        <v>3637</v>
      </c>
      <c r="P6470" s="17">
        <v>1</v>
      </c>
      <c r="Q6470" s="19">
        <v>3637</v>
      </c>
      <c r="R6470" s="14">
        <v>500</v>
      </c>
      <c r="S6470" s="19">
        <v>1818500</v>
      </c>
      <c r="AJ6470" s="19">
        <v>0</v>
      </c>
      <c r="AK6470" s="23">
        <v>0</v>
      </c>
      <c r="AM6470" s="19">
        <v>0</v>
      </c>
      <c r="AN6470" s="19">
        <v>1818500</v>
      </c>
      <c r="AP6470" s="14">
        <v>1818500</v>
      </c>
    </row>
    <row r="6471" spans="1:45" x14ac:dyDescent="0.2">
      <c r="A6471" s="122">
        <f t="shared" si="669"/>
        <v>5306</v>
      </c>
      <c r="B6471" s="13">
        <v>3</v>
      </c>
      <c r="C6471" s="17" t="s">
        <v>52</v>
      </c>
      <c r="D6471" s="17">
        <v>2107</v>
      </c>
      <c r="E6471" s="17">
        <v>1</v>
      </c>
      <c r="F6471" s="17">
        <v>1667</v>
      </c>
      <c r="G6471" s="13">
        <v>4</v>
      </c>
      <c r="H6471" s="17">
        <v>15</v>
      </c>
      <c r="I6471" s="17">
        <v>2</v>
      </c>
      <c r="J6471" s="17">
        <v>19</v>
      </c>
      <c r="K6471" s="10">
        <v>6219</v>
      </c>
      <c r="P6471" s="17">
        <v>1</v>
      </c>
      <c r="Q6471" s="19">
        <v>6219</v>
      </c>
      <c r="R6471" s="14">
        <v>200</v>
      </c>
      <c r="S6471" s="19">
        <v>1243800</v>
      </c>
      <c r="AJ6471" s="19">
        <v>0</v>
      </c>
      <c r="AK6471" s="23">
        <v>0</v>
      </c>
      <c r="AM6471" s="19">
        <v>0</v>
      </c>
      <c r="AN6471" s="19">
        <v>1243800</v>
      </c>
      <c r="AP6471" s="14">
        <v>1243800</v>
      </c>
    </row>
    <row r="6472" spans="1:45" x14ac:dyDescent="0.2">
      <c r="A6472" s="122">
        <f t="shared" si="669"/>
        <v>5307</v>
      </c>
      <c r="B6472" s="13">
        <v>4</v>
      </c>
      <c r="C6472" s="17" t="s">
        <v>52</v>
      </c>
      <c r="D6472" s="17">
        <v>2447</v>
      </c>
      <c r="E6472" s="17">
        <v>1</v>
      </c>
      <c r="F6472" s="17">
        <v>844</v>
      </c>
      <c r="G6472" s="13">
        <v>4</v>
      </c>
      <c r="H6472" s="17">
        <v>4</v>
      </c>
      <c r="I6472" s="17">
        <v>0</v>
      </c>
      <c r="J6472" s="17">
        <v>49</v>
      </c>
      <c r="K6472" s="10" t="s">
        <v>661</v>
      </c>
      <c r="P6472" s="17">
        <v>1</v>
      </c>
      <c r="Q6472" s="19">
        <v>1649</v>
      </c>
      <c r="R6472" s="14">
        <v>200</v>
      </c>
      <c r="S6472" s="19">
        <v>329800</v>
      </c>
      <c r="AJ6472" s="19">
        <v>0</v>
      </c>
      <c r="AK6472" s="23">
        <v>0</v>
      </c>
      <c r="AM6472" s="19">
        <v>0</v>
      </c>
      <c r="AN6472" s="19">
        <v>329800</v>
      </c>
      <c r="AP6472" s="14">
        <v>329800</v>
      </c>
    </row>
    <row r="6473" spans="1:45" x14ac:dyDescent="0.2">
      <c r="A6473" s="122">
        <f t="shared" si="669"/>
        <v>5308</v>
      </c>
      <c r="B6473" s="13">
        <v>5</v>
      </c>
      <c r="C6473" s="17" t="s">
        <v>52</v>
      </c>
      <c r="D6473" s="17">
        <v>2448</v>
      </c>
      <c r="E6473" s="17">
        <v>2</v>
      </c>
      <c r="F6473" s="17">
        <v>845</v>
      </c>
      <c r="G6473" s="13">
        <v>4</v>
      </c>
      <c r="H6473" s="17">
        <v>10</v>
      </c>
      <c r="I6473" s="17">
        <v>1</v>
      </c>
      <c r="J6473" s="17">
        <v>14</v>
      </c>
      <c r="K6473" s="10">
        <v>4149</v>
      </c>
      <c r="P6473" s="17">
        <v>1</v>
      </c>
      <c r="Q6473" s="19">
        <v>4114</v>
      </c>
      <c r="R6473" s="14">
        <v>200</v>
      </c>
      <c r="S6473" s="19">
        <v>822800</v>
      </c>
      <c r="AJ6473" s="19">
        <v>0</v>
      </c>
      <c r="AK6473" s="23">
        <v>0</v>
      </c>
      <c r="AM6473" s="19">
        <v>0</v>
      </c>
      <c r="AN6473" s="19">
        <v>822800</v>
      </c>
      <c r="AP6473" s="14">
        <v>822800</v>
      </c>
    </row>
    <row r="6474" spans="1:45" x14ac:dyDescent="0.2">
      <c r="R6474" s="14" t="e">
        <v>#N/A</v>
      </c>
    </row>
    <row r="6475" spans="1:45" x14ac:dyDescent="0.2">
      <c r="A6475" s="2">
        <v>5309</v>
      </c>
      <c r="B6475" s="13">
        <v>7</v>
      </c>
      <c r="C6475" s="17" t="s">
        <v>52</v>
      </c>
      <c r="D6475" s="17">
        <v>12637</v>
      </c>
      <c r="E6475" s="17">
        <v>52</v>
      </c>
      <c r="F6475" s="17">
        <v>3276</v>
      </c>
      <c r="G6475" s="13">
        <v>4</v>
      </c>
      <c r="H6475" s="17">
        <v>2</v>
      </c>
      <c r="I6475" s="17">
        <v>2</v>
      </c>
      <c r="J6475" s="17">
        <v>65</v>
      </c>
      <c r="K6475" s="10">
        <v>1065</v>
      </c>
      <c r="P6475" s="17">
        <v>1</v>
      </c>
      <c r="Q6475" s="19">
        <v>1065</v>
      </c>
      <c r="R6475" s="14">
        <v>500</v>
      </c>
      <c r="S6475" s="19">
        <v>532500</v>
      </c>
      <c r="AJ6475" s="19">
        <v>0</v>
      </c>
      <c r="AK6475" s="23">
        <v>0</v>
      </c>
      <c r="AM6475" s="19">
        <v>0</v>
      </c>
      <c r="AN6475" s="19">
        <v>532500</v>
      </c>
      <c r="AP6475" s="14">
        <v>532500</v>
      </c>
    </row>
    <row r="6476" spans="1:45" x14ac:dyDescent="0.2">
      <c r="A6476" s="2">
        <f>+A6475+1</f>
        <v>5310</v>
      </c>
      <c r="B6476" s="13">
        <v>8</v>
      </c>
      <c r="C6476" s="17" t="s">
        <v>52</v>
      </c>
      <c r="D6476" s="17">
        <v>12637</v>
      </c>
      <c r="E6476" s="17">
        <v>52</v>
      </c>
      <c r="F6476" s="17">
        <v>3276</v>
      </c>
      <c r="G6476" s="13">
        <v>4</v>
      </c>
      <c r="H6476" s="17">
        <v>2</v>
      </c>
      <c r="I6476" s="17">
        <v>2</v>
      </c>
      <c r="J6476" s="17">
        <v>65</v>
      </c>
      <c r="K6476" s="10">
        <v>1065</v>
      </c>
      <c r="P6476" s="17">
        <v>1</v>
      </c>
      <c r="Q6476" s="19">
        <v>1065</v>
      </c>
      <c r="R6476" s="14">
        <v>500</v>
      </c>
      <c r="S6476" s="19">
        <v>532500</v>
      </c>
      <c r="AJ6476" s="19">
        <v>0</v>
      </c>
      <c r="AK6476" s="23">
        <v>0</v>
      </c>
      <c r="AM6476" s="19">
        <v>0</v>
      </c>
      <c r="AN6476" s="19">
        <v>532500</v>
      </c>
      <c r="AP6476" s="14">
        <v>532500</v>
      </c>
    </row>
    <row r="6477" spans="1:45" ht="42" x14ac:dyDescent="0.2">
      <c r="A6477" s="122">
        <f t="shared" ref="A6477:A6481" si="670">+A6476+1</f>
        <v>5311</v>
      </c>
      <c r="B6477" s="13">
        <v>9</v>
      </c>
      <c r="C6477" s="17" t="s">
        <v>52</v>
      </c>
      <c r="D6477" s="17">
        <v>12638</v>
      </c>
      <c r="E6477" s="17">
        <v>53</v>
      </c>
      <c r="F6477" s="17">
        <v>3277</v>
      </c>
      <c r="G6477" s="13">
        <v>4</v>
      </c>
      <c r="H6477" s="17">
        <v>2</v>
      </c>
      <c r="I6477" s="17">
        <v>2</v>
      </c>
      <c r="J6477" s="17">
        <v>65</v>
      </c>
      <c r="K6477" s="10">
        <v>1015.13</v>
      </c>
      <c r="L6477" s="17">
        <v>49.87</v>
      </c>
      <c r="P6477" s="17">
        <v>5</v>
      </c>
      <c r="Q6477" s="19">
        <v>1065</v>
      </c>
      <c r="R6477" s="14">
        <v>500</v>
      </c>
      <c r="S6477" s="19">
        <v>532500</v>
      </c>
      <c r="T6477" s="17">
        <v>1</v>
      </c>
      <c r="V6477" s="17" t="s">
        <v>183</v>
      </c>
      <c r="W6477" s="4">
        <v>199.5</v>
      </c>
      <c r="Y6477" s="4">
        <v>199.5</v>
      </c>
      <c r="AB6477" s="17">
        <v>25</v>
      </c>
      <c r="AJ6477" s="19">
        <v>0</v>
      </c>
      <c r="AK6477" s="23">
        <v>25</v>
      </c>
      <c r="AM6477" s="19">
        <v>0</v>
      </c>
      <c r="AN6477" s="19">
        <v>532500</v>
      </c>
      <c r="AP6477" s="14">
        <v>532500</v>
      </c>
    </row>
    <row r="6478" spans="1:45" ht="42" x14ac:dyDescent="0.2">
      <c r="A6478" s="122">
        <f t="shared" si="670"/>
        <v>5312</v>
      </c>
      <c r="B6478" s="13">
        <v>10</v>
      </c>
      <c r="C6478" s="17" t="s">
        <v>52</v>
      </c>
      <c r="D6478" s="17">
        <v>12638</v>
      </c>
      <c r="E6478" s="17">
        <v>53</v>
      </c>
      <c r="F6478" s="17">
        <v>3277</v>
      </c>
      <c r="G6478" s="13">
        <v>4</v>
      </c>
      <c r="H6478" s="17">
        <v>2</v>
      </c>
      <c r="I6478" s="17">
        <v>2</v>
      </c>
      <c r="J6478" s="17">
        <v>65</v>
      </c>
      <c r="K6478" s="10">
        <v>1015.13</v>
      </c>
      <c r="L6478" s="17">
        <v>49.87</v>
      </c>
      <c r="P6478" s="17">
        <v>5</v>
      </c>
      <c r="Q6478" s="19">
        <v>1065</v>
      </c>
      <c r="R6478" s="14">
        <v>500</v>
      </c>
      <c r="S6478" s="19">
        <v>532500</v>
      </c>
      <c r="T6478" s="17">
        <v>1</v>
      </c>
      <c r="V6478" s="17" t="s">
        <v>183</v>
      </c>
      <c r="W6478" s="4">
        <v>199.5</v>
      </c>
      <c r="Y6478" s="4">
        <v>199.5</v>
      </c>
      <c r="AB6478" s="17">
        <v>25</v>
      </c>
      <c r="AJ6478" s="19">
        <v>0</v>
      </c>
      <c r="AK6478" s="23">
        <v>25</v>
      </c>
      <c r="AM6478" s="19">
        <v>0</v>
      </c>
      <c r="AN6478" s="19">
        <v>532500</v>
      </c>
      <c r="AP6478" s="14">
        <v>532500</v>
      </c>
    </row>
    <row r="6479" spans="1:45" x14ac:dyDescent="0.2">
      <c r="A6479" s="122">
        <f t="shared" si="670"/>
        <v>5313</v>
      </c>
      <c r="B6479" s="13">
        <v>1</v>
      </c>
      <c r="C6479" s="17" t="s">
        <v>65</v>
      </c>
      <c r="D6479" s="17">
        <v>2388</v>
      </c>
      <c r="E6479" s="17">
        <v>26</v>
      </c>
      <c r="H6479" s="17">
        <v>11</v>
      </c>
      <c r="I6479" s="17">
        <v>0</v>
      </c>
      <c r="J6479" s="17">
        <v>38</v>
      </c>
      <c r="K6479" s="10">
        <v>4438</v>
      </c>
      <c r="P6479" s="17">
        <v>1</v>
      </c>
      <c r="Q6479" s="19">
        <v>4438</v>
      </c>
      <c r="R6479" s="14">
        <v>160</v>
      </c>
      <c r="S6479" s="19">
        <v>710080</v>
      </c>
      <c r="AJ6479" s="19">
        <v>0</v>
      </c>
      <c r="AK6479" s="23">
        <v>0</v>
      </c>
      <c r="AM6479" s="19">
        <v>0</v>
      </c>
      <c r="AN6479" s="19">
        <v>710080</v>
      </c>
      <c r="AP6479" s="14">
        <v>710080</v>
      </c>
      <c r="AQ6479" s="12">
        <v>1E-4</v>
      </c>
      <c r="AS6479" s="26">
        <v>33</v>
      </c>
    </row>
    <row r="6480" spans="1:45" x14ac:dyDescent="0.2">
      <c r="A6480" s="122">
        <f t="shared" si="670"/>
        <v>5314</v>
      </c>
      <c r="B6480" s="13">
        <v>1</v>
      </c>
      <c r="C6480" s="17" t="s">
        <v>52</v>
      </c>
      <c r="D6480" s="17">
        <v>1973</v>
      </c>
      <c r="E6480" s="17">
        <v>26</v>
      </c>
      <c r="F6480" s="17">
        <v>804</v>
      </c>
      <c r="G6480" s="13">
        <v>4</v>
      </c>
      <c r="H6480" s="17">
        <v>0</v>
      </c>
      <c r="I6480" s="17">
        <v>0</v>
      </c>
      <c r="J6480" s="17">
        <v>50</v>
      </c>
      <c r="K6480" s="10">
        <v>50</v>
      </c>
      <c r="P6480" s="17">
        <v>1</v>
      </c>
      <c r="Q6480" s="19">
        <v>50</v>
      </c>
      <c r="R6480" s="14">
        <v>2000</v>
      </c>
      <c r="S6480" s="19">
        <v>100000</v>
      </c>
      <c r="AJ6480" s="19">
        <v>0</v>
      </c>
      <c r="AK6480" s="23">
        <v>0</v>
      </c>
      <c r="AM6480" s="19">
        <v>0</v>
      </c>
      <c r="AN6480" s="19">
        <v>100000</v>
      </c>
      <c r="AP6480" s="14">
        <v>100000</v>
      </c>
    </row>
    <row r="6481" spans="1:45" ht="231" x14ac:dyDescent="0.2">
      <c r="A6481" s="122">
        <f t="shared" si="670"/>
        <v>5315</v>
      </c>
      <c r="B6481" s="13">
        <v>1</v>
      </c>
      <c r="C6481" s="17" t="s">
        <v>52</v>
      </c>
      <c r="D6481" s="17">
        <v>2124</v>
      </c>
      <c r="E6481" s="17">
        <v>30</v>
      </c>
      <c r="F6481" s="17">
        <v>807</v>
      </c>
      <c r="G6481" s="13">
        <v>4</v>
      </c>
      <c r="H6481" s="17">
        <v>0</v>
      </c>
      <c r="I6481" s="17">
        <v>0</v>
      </c>
      <c r="J6481" s="17">
        <v>51</v>
      </c>
      <c r="O6481" s="14" t="s">
        <v>622</v>
      </c>
      <c r="P6481" s="17">
        <v>5</v>
      </c>
      <c r="Q6481" s="19">
        <v>51</v>
      </c>
      <c r="R6481" s="14">
        <v>2000</v>
      </c>
      <c r="S6481" s="19">
        <v>102000</v>
      </c>
      <c r="T6481" s="17">
        <v>1</v>
      </c>
      <c r="V6481" s="17" t="s">
        <v>183</v>
      </c>
      <c r="W6481" s="4">
        <v>160</v>
      </c>
      <c r="Y6481" s="4" t="s">
        <v>609</v>
      </c>
      <c r="Z6481" s="17" t="s">
        <v>226</v>
      </c>
      <c r="AB6481" s="17">
        <v>30</v>
      </c>
      <c r="AC6481" s="14" t="s">
        <v>486</v>
      </c>
      <c r="AF6481" s="14">
        <v>2</v>
      </c>
      <c r="AG6481" s="54">
        <v>160</v>
      </c>
      <c r="AH6481" s="11">
        <v>0.7</v>
      </c>
      <c r="AI6481" s="14">
        <v>7250</v>
      </c>
      <c r="AJ6481" s="19">
        <v>812000</v>
      </c>
      <c r="AK6481" s="23">
        <v>30</v>
      </c>
      <c r="AL6481" s="11">
        <v>0.5</v>
      </c>
      <c r="AM6481" s="19">
        <v>406000</v>
      </c>
      <c r="AN6481" s="19">
        <v>508000</v>
      </c>
      <c r="AP6481" s="14">
        <v>508000</v>
      </c>
      <c r="AR6481" s="19">
        <v>900</v>
      </c>
      <c r="AS6481" s="26">
        <v>900</v>
      </c>
    </row>
    <row r="6482" spans="1:45" x14ac:dyDescent="0.2">
      <c r="R6482" s="14" t="e">
        <v>#N/A</v>
      </c>
      <c r="T6482" s="17" t="s">
        <v>288</v>
      </c>
      <c r="AF6482" s="14">
        <v>3</v>
      </c>
      <c r="AG6482" s="54">
        <v>160</v>
      </c>
      <c r="AH6482" s="11">
        <v>0.3</v>
      </c>
      <c r="AI6482" s="14">
        <v>7250</v>
      </c>
      <c r="AJ6482" s="19">
        <v>348000</v>
      </c>
      <c r="AK6482" s="23">
        <v>30</v>
      </c>
      <c r="AL6482" s="11">
        <v>0.5</v>
      </c>
      <c r="AM6482" s="19">
        <v>174000</v>
      </c>
      <c r="AN6482" s="19">
        <v>204600</v>
      </c>
      <c r="AP6482" s="14">
        <v>204600</v>
      </c>
      <c r="AQ6482" s="12">
        <v>3.0000000000000001E-3</v>
      </c>
    </row>
    <row r="6483" spans="1:45" x14ac:dyDescent="0.2">
      <c r="A6483" s="2">
        <v>5316</v>
      </c>
      <c r="B6483" s="13">
        <v>1</v>
      </c>
      <c r="C6483" s="17" t="s">
        <v>65</v>
      </c>
      <c r="D6483" s="17">
        <v>2924</v>
      </c>
      <c r="E6483" s="17">
        <v>196</v>
      </c>
      <c r="H6483" s="17">
        <v>0</v>
      </c>
      <c r="I6483" s="17">
        <v>0</v>
      </c>
      <c r="J6483" s="17">
        <v>46</v>
      </c>
      <c r="N6483" s="18">
        <v>46</v>
      </c>
      <c r="P6483" s="17">
        <v>4</v>
      </c>
      <c r="Q6483" s="19">
        <v>46</v>
      </c>
      <c r="R6483" s="14">
        <v>3000</v>
      </c>
      <c r="S6483" s="19">
        <v>138000</v>
      </c>
      <c r="AJ6483" s="19">
        <v>0</v>
      </c>
      <c r="AK6483" s="23">
        <v>0</v>
      </c>
      <c r="AM6483" s="19">
        <v>0</v>
      </c>
      <c r="AN6483" s="19">
        <v>138000</v>
      </c>
      <c r="AP6483" s="14">
        <v>138000</v>
      </c>
      <c r="AQ6483" s="12">
        <v>3.0000000000000001E-3</v>
      </c>
    </row>
    <row r="6484" spans="1:45" x14ac:dyDescent="0.2">
      <c r="A6484" s="2">
        <f>+A6483+1</f>
        <v>5317</v>
      </c>
      <c r="B6484" s="13">
        <v>1</v>
      </c>
      <c r="C6484" s="17" t="s">
        <v>52</v>
      </c>
      <c r="D6484" s="17">
        <v>2221</v>
      </c>
      <c r="E6484" s="17">
        <v>24</v>
      </c>
      <c r="F6484" s="17">
        <v>1835</v>
      </c>
      <c r="G6484" s="13">
        <v>4</v>
      </c>
      <c r="H6484" s="17">
        <v>9</v>
      </c>
      <c r="I6484" s="17">
        <v>0</v>
      </c>
      <c r="J6484" s="17">
        <v>21</v>
      </c>
      <c r="K6484" s="10">
        <v>3621</v>
      </c>
      <c r="P6484" s="17">
        <v>1</v>
      </c>
      <c r="Q6484" s="19">
        <v>3621</v>
      </c>
      <c r="R6484" s="14">
        <v>500</v>
      </c>
      <c r="S6484" s="19">
        <v>1810500</v>
      </c>
      <c r="AJ6484" s="19">
        <v>0</v>
      </c>
      <c r="AK6484" s="23">
        <v>0</v>
      </c>
      <c r="AM6484" s="19">
        <v>0</v>
      </c>
      <c r="AN6484" s="19">
        <v>1810500</v>
      </c>
      <c r="AP6484" s="14">
        <v>1810500</v>
      </c>
      <c r="AS6484" s="26">
        <v>70</v>
      </c>
    </row>
    <row r="6485" spans="1:45" x14ac:dyDescent="0.2">
      <c r="A6485" s="122">
        <f t="shared" ref="A6485:A6491" si="671">+A6484+1</f>
        <v>5318</v>
      </c>
      <c r="B6485" s="13">
        <v>2</v>
      </c>
      <c r="C6485" s="17" t="s">
        <v>65</v>
      </c>
      <c r="D6485" s="17">
        <v>1787</v>
      </c>
      <c r="E6485" s="17">
        <v>130</v>
      </c>
      <c r="H6485" s="17">
        <v>6</v>
      </c>
      <c r="I6485" s="17">
        <v>0</v>
      </c>
      <c r="J6485" s="17">
        <v>46</v>
      </c>
      <c r="K6485" s="10">
        <v>2446</v>
      </c>
      <c r="P6485" s="17">
        <v>1</v>
      </c>
      <c r="Q6485" s="19">
        <v>2446</v>
      </c>
      <c r="R6485" s="14">
        <v>200</v>
      </c>
      <c r="S6485" s="19">
        <v>489200</v>
      </c>
      <c r="AJ6485" s="19">
        <v>0</v>
      </c>
      <c r="AK6485" s="23">
        <v>0</v>
      </c>
      <c r="AM6485" s="19">
        <v>0</v>
      </c>
      <c r="AN6485" s="19">
        <v>489200</v>
      </c>
      <c r="AP6485" s="14">
        <v>489200</v>
      </c>
      <c r="AQ6485" s="12">
        <v>1E-4</v>
      </c>
    </row>
    <row r="6486" spans="1:45" x14ac:dyDescent="0.2">
      <c r="A6486" s="122">
        <f t="shared" si="671"/>
        <v>5319</v>
      </c>
      <c r="B6486" s="13">
        <v>1</v>
      </c>
      <c r="C6486" s="17" t="s">
        <v>52</v>
      </c>
      <c r="D6486" s="17">
        <v>417</v>
      </c>
      <c r="E6486" s="17">
        <v>501</v>
      </c>
      <c r="F6486" s="17">
        <v>7</v>
      </c>
      <c r="G6486" s="13">
        <v>2</v>
      </c>
      <c r="H6486" s="17">
        <v>10</v>
      </c>
      <c r="I6486" s="17">
        <v>3</v>
      </c>
      <c r="J6486" s="17">
        <v>58.06</v>
      </c>
      <c r="K6486" s="10">
        <v>4358.0600000000004</v>
      </c>
      <c r="P6486" s="17">
        <v>1</v>
      </c>
      <c r="Q6486" s="19">
        <v>4358.0600000000004</v>
      </c>
      <c r="R6486" s="14">
        <v>160</v>
      </c>
      <c r="S6486" s="19">
        <v>697289.60000000009</v>
      </c>
      <c r="AJ6486" s="19">
        <v>0</v>
      </c>
      <c r="AK6486" s="23">
        <v>0</v>
      </c>
      <c r="AM6486" s="19">
        <v>0</v>
      </c>
      <c r="AN6486" s="19">
        <v>697289.60000000009</v>
      </c>
      <c r="AP6486" s="14">
        <v>697289.60000000009</v>
      </c>
      <c r="AS6486" s="26">
        <v>148</v>
      </c>
    </row>
    <row r="6487" spans="1:45" x14ac:dyDescent="0.2">
      <c r="A6487" s="122">
        <f t="shared" si="671"/>
        <v>5320</v>
      </c>
      <c r="B6487" s="13">
        <v>2</v>
      </c>
      <c r="C6487" s="17" t="s">
        <v>52</v>
      </c>
      <c r="D6487" s="17">
        <v>2360</v>
      </c>
      <c r="E6487" s="17">
        <v>10</v>
      </c>
      <c r="F6487" s="17">
        <v>1678</v>
      </c>
      <c r="G6487" s="13">
        <v>3</v>
      </c>
      <c r="H6487" s="17">
        <v>6</v>
      </c>
      <c r="I6487" s="17">
        <v>3</v>
      </c>
      <c r="J6487" s="17">
        <v>8</v>
      </c>
      <c r="K6487" s="10">
        <v>2708</v>
      </c>
      <c r="P6487" s="17">
        <v>1</v>
      </c>
      <c r="Q6487" s="19">
        <v>2708</v>
      </c>
      <c r="R6487" s="14">
        <v>500</v>
      </c>
      <c r="S6487" s="19">
        <v>1354000</v>
      </c>
      <c r="AJ6487" s="19">
        <v>0</v>
      </c>
      <c r="AK6487" s="23">
        <v>0</v>
      </c>
      <c r="AM6487" s="19">
        <v>0</v>
      </c>
      <c r="AN6487" s="19">
        <v>1354000</v>
      </c>
      <c r="AP6487" s="14">
        <v>1354000</v>
      </c>
    </row>
    <row r="6488" spans="1:45" x14ac:dyDescent="0.2">
      <c r="A6488" s="122">
        <f t="shared" si="671"/>
        <v>5321</v>
      </c>
      <c r="B6488" s="13">
        <v>3</v>
      </c>
      <c r="C6488" s="17" t="s">
        <v>65</v>
      </c>
      <c r="D6488" s="17">
        <v>1790</v>
      </c>
      <c r="E6488" s="17">
        <v>149</v>
      </c>
      <c r="H6488" s="17">
        <v>26</v>
      </c>
      <c r="I6488" s="17">
        <v>2</v>
      </c>
      <c r="J6488" s="17">
        <v>80</v>
      </c>
      <c r="K6488" s="10">
        <v>10680</v>
      </c>
      <c r="P6488" s="17">
        <v>1</v>
      </c>
      <c r="Q6488" s="19">
        <v>10680</v>
      </c>
      <c r="R6488" s="14">
        <v>160</v>
      </c>
      <c r="S6488" s="19">
        <v>1708800</v>
      </c>
      <c r="AJ6488" s="19">
        <v>0</v>
      </c>
      <c r="AK6488" s="23">
        <v>0</v>
      </c>
      <c r="AM6488" s="19">
        <v>0</v>
      </c>
      <c r="AN6488" s="19">
        <v>1708800</v>
      </c>
      <c r="AP6488" s="14">
        <v>1708800</v>
      </c>
      <c r="AQ6488" s="12">
        <v>1E-4</v>
      </c>
    </row>
    <row r="6489" spans="1:45" x14ac:dyDescent="0.2">
      <c r="A6489" s="122">
        <f t="shared" si="671"/>
        <v>5322</v>
      </c>
      <c r="B6489" s="13">
        <v>1</v>
      </c>
      <c r="C6489" s="17" t="s">
        <v>52</v>
      </c>
      <c r="D6489" s="17">
        <v>2337</v>
      </c>
      <c r="E6489" s="17">
        <v>11</v>
      </c>
      <c r="F6489" s="17">
        <v>1665</v>
      </c>
      <c r="G6489" s="13">
        <v>3</v>
      </c>
      <c r="H6489" s="17">
        <v>10</v>
      </c>
      <c r="I6489" s="17">
        <v>1</v>
      </c>
      <c r="J6489" s="17">
        <v>62</v>
      </c>
      <c r="K6489" s="10">
        <v>4162</v>
      </c>
      <c r="P6489" s="17">
        <v>1</v>
      </c>
      <c r="Q6489" s="19">
        <v>4162</v>
      </c>
      <c r="R6489" s="14">
        <v>500</v>
      </c>
      <c r="S6489" s="19">
        <v>2081000</v>
      </c>
      <c r="AJ6489" s="19">
        <v>0</v>
      </c>
      <c r="AK6489" s="23">
        <v>0</v>
      </c>
      <c r="AM6489" s="19">
        <v>0</v>
      </c>
      <c r="AN6489" s="19">
        <v>2081000</v>
      </c>
      <c r="AP6489" s="14">
        <v>2081000</v>
      </c>
      <c r="AS6489" s="26">
        <v>76</v>
      </c>
    </row>
    <row r="6490" spans="1:45" x14ac:dyDescent="0.2">
      <c r="A6490" s="122">
        <f t="shared" si="671"/>
        <v>5323</v>
      </c>
      <c r="B6490" s="13">
        <v>2</v>
      </c>
      <c r="C6490" s="17" t="s">
        <v>65</v>
      </c>
      <c r="D6490" s="17">
        <v>1792</v>
      </c>
      <c r="E6490" s="17">
        <v>159</v>
      </c>
      <c r="H6490" s="17">
        <v>6</v>
      </c>
      <c r="I6490" s="17">
        <v>1</v>
      </c>
      <c r="J6490" s="17">
        <v>86</v>
      </c>
      <c r="K6490" s="10">
        <v>2586</v>
      </c>
      <c r="P6490" s="17">
        <v>1</v>
      </c>
      <c r="Q6490" s="19">
        <v>2586</v>
      </c>
      <c r="R6490" s="14">
        <v>160</v>
      </c>
      <c r="S6490" s="19">
        <v>413760</v>
      </c>
      <c r="AJ6490" s="19">
        <v>0</v>
      </c>
      <c r="AK6490" s="23">
        <v>0</v>
      </c>
      <c r="AM6490" s="19">
        <v>0</v>
      </c>
      <c r="AN6490" s="19">
        <v>413760</v>
      </c>
      <c r="AP6490" s="14">
        <v>413760</v>
      </c>
      <c r="AQ6490" s="12">
        <v>1E-4</v>
      </c>
    </row>
    <row r="6491" spans="1:45" ht="42" x14ac:dyDescent="0.2">
      <c r="A6491" s="122">
        <f t="shared" si="671"/>
        <v>5324</v>
      </c>
      <c r="B6491" s="13">
        <v>1</v>
      </c>
      <c r="C6491" s="17" t="s">
        <v>52</v>
      </c>
      <c r="D6491" s="17">
        <v>2126</v>
      </c>
      <c r="E6491" s="17">
        <v>5</v>
      </c>
      <c r="F6491" s="17">
        <v>828</v>
      </c>
      <c r="G6491" s="13">
        <v>4</v>
      </c>
      <c r="H6491" s="17">
        <v>0</v>
      </c>
      <c r="I6491" s="17">
        <v>1</v>
      </c>
      <c r="J6491" s="17">
        <v>82</v>
      </c>
      <c r="K6491" s="10">
        <v>133.5</v>
      </c>
      <c r="L6491" s="17">
        <v>48.5</v>
      </c>
      <c r="P6491" s="17">
        <v>2</v>
      </c>
      <c r="Q6491" s="19">
        <v>182</v>
      </c>
      <c r="R6491" s="14">
        <v>250</v>
      </c>
      <c r="S6491" s="19">
        <v>45500</v>
      </c>
      <c r="T6491" s="17">
        <v>1</v>
      </c>
      <c r="V6491" s="17" t="s">
        <v>183</v>
      </c>
      <c r="W6491" s="4">
        <v>44</v>
      </c>
      <c r="Y6491" s="4">
        <v>44</v>
      </c>
      <c r="AB6491" s="17">
        <v>20</v>
      </c>
      <c r="AF6491" s="14">
        <v>2</v>
      </c>
      <c r="AG6491" s="54">
        <v>44</v>
      </c>
      <c r="AH6491" s="11">
        <v>1</v>
      </c>
      <c r="AI6491" s="14">
        <v>7250</v>
      </c>
      <c r="AJ6491" s="19">
        <v>319000</v>
      </c>
      <c r="AK6491" s="23">
        <v>20</v>
      </c>
      <c r="AM6491" s="19">
        <v>319000</v>
      </c>
      <c r="AN6491" s="19">
        <v>364500</v>
      </c>
      <c r="AP6491" s="14">
        <v>364500</v>
      </c>
      <c r="AS6491" s="26">
        <v>42</v>
      </c>
    </row>
    <row r="6492" spans="1:45" ht="42" x14ac:dyDescent="0.2">
      <c r="T6492" s="17">
        <v>2</v>
      </c>
      <c r="V6492" s="17" t="s">
        <v>183</v>
      </c>
      <c r="W6492" s="4">
        <v>75</v>
      </c>
      <c r="Y6492" s="4">
        <v>75</v>
      </c>
      <c r="AB6492" s="17">
        <v>11</v>
      </c>
      <c r="AF6492" s="14">
        <v>2</v>
      </c>
      <c r="AG6492" s="54">
        <v>75</v>
      </c>
      <c r="AH6492" s="11">
        <v>1</v>
      </c>
      <c r="AI6492" s="14">
        <v>7250</v>
      </c>
      <c r="AJ6492" s="19">
        <v>543750</v>
      </c>
      <c r="AK6492" s="23">
        <v>11</v>
      </c>
      <c r="AM6492" s="19">
        <v>543750</v>
      </c>
      <c r="AN6492" s="19">
        <v>543750</v>
      </c>
      <c r="AP6492" s="14">
        <v>543750</v>
      </c>
    </row>
    <row r="6493" spans="1:45" ht="42" x14ac:dyDescent="0.2">
      <c r="T6493" s="17">
        <v>3</v>
      </c>
      <c r="V6493" s="17" t="s">
        <v>183</v>
      </c>
      <c r="W6493" s="4">
        <v>75</v>
      </c>
      <c r="Y6493" s="4">
        <v>75</v>
      </c>
      <c r="AB6493" s="17">
        <v>11</v>
      </c>
      <c r="AF6493" s="14">
        <v>2</v>
      </c>
      <c r="AG6493" s="54">
        <v>75</v>
      </c>
      <c r="AH6493" s="11">
        <v>1</v>
      </c>
      <c r="AI6493" s="14">
        <v>7250</v>
      </c>
      <c r="AJ6493" s="19">
        <v>543750</v>
      </c>
      <c r="AK6493" s="23">
        <v>11</v>
      </c>
      <c r="AM6493" s="19">
        <v>543750</v>
      </c>
      <c r="AN6493" s="19">
        <v>543750</v>
      </c>
      <c r="AP6493" s="14">
        <v>543750</v>
      </c>
    </row>
    <row r="6494" spans="1:45" x14ac:dyDescent="0.2">
      <c r="A6494" s="2">
        <v>5325</v>
      </c>
      <c r="B6494" s="13">
        <v>2</v>
      </c>
      <c r="C6494" s="17" t="s">
        <v>65</v>
      </c>
      <c r="D6494" s="17">
        <v>1574</v>
      </c>
      <c r="E6494" s="17">
        <v>152</v>
      </c>
      <c r="H6494" s="17">
        <v>13</v>
      </c>
      <c r="I6494" s="17">
        <v>3</v>
      </c>
      <c r="J6494" s="17">
        <v>40</v>
      </c>
      <c r="K6494" s="10">
        <v>5540</v>
      </c>
      <c r="P6494" s="17">
        <v>1</v>
      </c>
      <c r="Q6494" s="19">
        <v>5540</v>
      </c>
      <c r="R6494" s="14">
        <v>160</v>
      </c>
      <c r="S6494" s="19">
        <v>886400</v>
      </c>
      <c r="AJ6494" s="19">
        <v>0</v>
      </c>
      <c r="AK6494" s="23">
        <v>0</v>
      </c>
      <c r="AM6494" s="19">
        <v>0</v>
      </c>
      <c r="AN6494" s="19">
        <v>886400</v>
      </c>
      <c r="AP6494" s="14">
        <v>886400</v>
      </c>
      <c r="AQ6494" s="12">
        <v>1E-4</v>
      </c>
    </row>
    <row r="6495" spans="1:45" ht="42" x14ac:dyDescent="0.2">
      <c r="A6495" s="2">
        <f>+A6494+1</f>
        <v>5326</v>
      </c>
      <c r="B6495" s="13">
        <v>1</v>
      </c>
      <c r="C6495" s="17" t="s">
        <v>52</v>
      </c>
      <c r="D6495" s="17">
        <v>2402</v>
      </c>
      <c r="E6495" s="17">
        <v>4</v>
      </c>
      <c r="F6495" s="17">
        <v>1029</v>
      </c>
      <c r="G6495" s="13">
        <v>4</v>
      </c>
      <c r="H6495" s="17">
        <v>1</v>
      </c>
      <c r="I6495" s="17">
        <v>0</v>
      </c>
      <c r="J6495" s="17">
        <v>0</v>
      </c>
      <c r="K6495" s="10">
        <v>319.75</v>
      </c>
      <c r="L6495" s="17">
        <v>80.25</v>
      </c>
      <c r="P6495" s="17">
        <v>5</v>
      </c>
      <c r="Q6495" s="19">
        <v>400</v>
      </c>
      <c r="R6495" s="14">
        <v>200</v>
      </c>
      <c r="S6495" s="19">
        <v>80000</v>
      </c>
      <c r="T6495" s="17">
        <v>1</v>
      </c>
      <c r="V6495" s="17" t="s">
        <v>530</v>
      </c>
      <c r="W6495" s="4">
        <v>136</v>
      </c>
      <c r="Y6495" s="4">
        <v>136</v>
      </c>
      <c r="AB6495" s="17">
        <v>22</v>
      </c>
      <c r="AJ6495" s="19">
        <v>0</v>
      </c>
      <c r="AK6495" s="23">
        <v>22</v>
      </c>
      <c r="AM6495" s="19">
        <v>0</v>
      </c>
      <c r="AN6495" s="19">
        <v>80000</v>
      </c>
      <c r="AP6495" s="14">
        <v>80000</v>
      </c>
    </row>
    <row r="6496" spans="1:45" x14ac:dyDescent="0.2">
      <c r="Q6496" s="19">
        <v>0</v>
      </c>
      <c r="R6496" s="14" t="e">
        <v>#N/A</v>
      </c>
      <c r="S6496" s="19" t="e">
        <v>#N/A</v>
      </c>
      <c r="T6496" s="17">
        <v>2</v>
      </c>
      <c r="V6496" s="17" t="s">
        <v>662</v>
      </c>
      <c r="W6496" s="4">
        <v>45</v>
      </c>
      <c r="Y6496" s="4">
        <v>45</v>
      </c>
      <c r="AB6496" s="17">
        <v>13</v>
      </c>
      <c r="AJ6496" s="19">
        <v>0</v>
      </c>
      <c r="AK6496" s="23">
        <v>13</v>
      </c>
      <c r="AM6496" s="19">
        <v>0</v>
      </c>
      <c r="AN6496" s="19" t="e">
        <v>#N/A</v>
      </c>
      <c r="AP6496" s="14" t="e">
        <v>#N/A</v>
      </c>
    </row>
    <row r="6497" spans="1:45" s="19" customFormat="1" x14ac:dyDescent="0.2">
      <c r="A6497" s="2"/>
      <c r="B6497" s="13"/>
      <c r="C6497" s="17"/>
      <c r="D6497" s="17"/>
      <c r="E6497" s="17"/>
      <c r="F6497" s="17"/>
      <c r="G6497" s="13"/>
      <c r="H6497" s="17"/>
      <c r="I6497" s="17"/>
      <c r="J6497" s="17"/>
      <c r="K6497" s="10"/>
      <c r="L6497" s="17"/>
      <c r="M6497" s="15"/>
      <c r="N6497" s="18"/>
      <c r="O6497" s="14"/>
      <c r="P6497" s="17"/>
      <c r="Q6497" s="19">
        <v>0</v>
      </c>
      <c r="R6497" s="14" t="e">
        <v>#N/A</v>
      </c>
      <c r="S6497" s="19" t="e">
        <v>#N/A</v>
      </c>
      <c r="T6497" s="17">
        <v>3</v>
      </c>
      <c r="U6497" s="17"/>
      <c r="V6497" s="17" t="s">
        <v>662</v>
      </c>
      <c r="W6497" s="4">
        <v>95</v>
      </c>
      <c r="X6497" s="17"/>
      <c r="Y6497" s="4">
        <v>95</v>
      </c>
      <c r="Z6497" s="17"/>
      <c r="AA6497" s="17"/>
      <c r="AB6497" s="17">
        <v>19</v>
      </c>
      <c r="AC6497" s="14"/>
      <c r="AD6497" s="14"/>
      <c r="AE6497" s="17"/>
      <c r="AF6497" s="14"/>
      <c r="AG6497" s="54"/>
      <c r="AH6497" s="11"/>
      <c r="AI6497" s="14"/>
      <c r="AJ6497" s="19">
        <v>0</v>
      </c>
      <c r="AK6497" s="23">
        <v>19</v>
      </c>
      <c r="AL6497" s="11"/>
      <c r="AM6497" s="19">
        <v>0</v>
      </c>
      <c r="AN6497" s="19" t="e">
        <v>#N/A</v>
      </c>
      <c r="AO6497" s="14"/>
      <c r="AP6497" s="14" t="e">
        <v>#N/A</v>
      </c>
      <c r="AQ6497" s="12"/>
      <c r="AS6497" s="26"/>
    </row>
    <row r="6498" spans="1:45" s="19" customFormat="1" x14ac:dyDescent="0.2">
      <c r="A6498" s="2"/>
      <c r="B6498" s="13"/>
      <c r="C6498" s="17"/>
      <c r="D6498" s="17"/>
      <c r="E6498" s="17"/>
      <c r="F6498" s="17"/>
      <c r="G6498" s="13"/>
      <c r="H6498" s="17"/>
      <c r="I6498" s="17"/>
      <c r="J6498" s="17"/>
      <c r="K6498" s="10"/>
      <c r="L6498" s="17"/>
      <c r="M6498" s="15"/>
      <c r="N6498" s="18"/>
      <c r="O6498" s="14"/>
      <c r="P6498" s="17"/>
      <c r="Q6498" s="19">
        <v>0</v>
      </c>
      <c r="R6498" s="14" t="e">
        <v>#N/A</v>
      </c>
      <c r="S6498" s="19" t="e">
        <v>#N/A</v>
      </c>
      <c r="T6498" s="17">
        <v>4</v>
      </c>
      <c r="U6498" s="17"/>
      <c r="V6498" s="17" t="s">
        <v>662</v>
      </c>
      <c r="W6498" s="4">
        <v>45</v>
      </c>
      <c r="X6498" s="17"/>
      <c r="Y6498" s="4">
        <v>45</v>
      </c>
      <c r="Z6498" s="17"/>
      <c r="AA6498" s="17"/>
      <c r="AB6498" s="17">
        <v>20</v>
      </c>
      <c r="AC6498" s="14"/>
      <c r="AD6498" s="14"/>
      <c r="AE6498" s="17"/>
      <c r="AF6498" s="14"/>
      <c r="AG6498" s="54"/>
      <c r="AH6498" s="11"/>
      <c r="AI6498" s="14"/>
      <c r="AJ6498" s="19">
        <v>0</v>
      </c>
      <c r="AK6498" s="23">
        <v>20</v>
      </c>
      <c r="AL6498" s="11"/>
      <c r="AM6498" s="19">
        <v>0</v>
      </c>
      <c r="AN6498" s="19" t="e">
        <v>#N/A</v>
      </c>
      <c r="AO6498" s="14"/>
      <c r="AP6498" s="14" t="e">
        <v>#N/A</v>
      </c>
      <c r="AQ6498" s="12"/>
      <c r="AS6498" s="26"/>
    </row>
    <row r="6499" spans="1:45" s="19" customFormat="1" ht="63" x14ac:dyDescent="0.2">
      <c r="A6499" s="2">
        <v>5327</v>
      </c>
      <c r="B6499" s="13">
        <v>1</v>
      </c>
      <c r="C6499" s="17" t="s">
        <v>65</v>
      </c>
      <c r="D6499" s="17">
        <v>2914</v>
      </c>
      <c r="E6499" s="17">
        <v>33</v>
      </c>
      <c r="F6499" s="17"/>
      <c r="G6499" s="13"/>
      <c r="H6499" s="17">
        <v>0</v>
      </c>
      <c r="I6499" s="17">
        <v>0</v>
      </c>
      <c r="J6499" s="17">
        <v>34</v>
      </c>
      <c r="K6499" s="10"/>
      <c r="L6499" s="17" t="s">
        <v>663</v>
      </c>
      <c r="M6499" s="15"/>
      <c r="N6499" s="18"/>
      <c r="O6499" s="14"/>
      <c r="P6499" s="17">
        <v>2</v>
      </c>
      <c r="Q6499" s="19">
        <v>34</v>
      </c>
      <c r="R6499" s="14">
        <v>160</v>
      </c>
      <c r="S6499" s="19">
        <v>5440</v>
      </c>
      <c r="T6499" s="17"/>
      <c r="U6499" s="17" t="s">
        <v>57</v>
      </c>
      <c r="V6499" s="17" t="s">
        <v>56</v>
      </c>
      <c r="W6499" s="4" t="s">
        <v>589</v>
      </c>
      <c r="X6499" s="17"/>
      <c r="Y6499" s="4" t="s">
        <v>589</v>
      </c>
      <c r="Z6499" s="17"/>
      <c r="AA6499" s="17"/>
      <c r="AB6499" s="17" t="s">
        <v>336</v>
      </c>
      <c r="AC6499" s="14"/>
      <c r="AD6499" s="14"/>
      <c r="AE6499" s="17"/>
      <c r="AF6499" s="14"/>
      <c r="AG6499" s="54"/>
      <c r="AH6499" s="11"/>
      <c r="AI6499" s="14"/>
      <c r="AJ6499" s="19">
        <v>0</v>
      </c>
      <c r="AK6499" s="23" t="s">
        <v>336</v>
      </c>
      <c r="AL6499" s="11"/>
      <c r="AM6499" s="19">
        <v>0</v>
      </c>
      <c r="AN6499" s="19">
        <v>5440</v>
      </c>
      <c r="AO6499" s="14"/>
      <c r="AP6499" s="14">
        <v>5440</v>
      </c>
      <c r="AQ6499" s="12">
        <v>2.0000000000000001E-4</v>
      </c>
      <c r="AS6499" s="26"/>
    </row>
    <row r="6500" spans="1:45" s="19" customFormat="1" x14ac:dyDescent="0.2">
      <c r="A6500" s="2">
        <v>5328</v>
      </c>
      <c r="B6500" s="13">
        <v>1</v>
      </c>
      <c r="C6500" s="17" t="s">
        <v>52</v>
      </c>
      <c r="D6500" s="17">
        <v>1917</v>
      </c>
      <c r="E6500" s="17">
        <v>11</v>
      </c>
      <c r="F6500" s="17">
        <v>825</v>
      </c>
      <c r="G6500" s="13">
        <v>4</v>
      </c>
      <c r="H6500" s="17">
        <v>0</v>
      </c>
      <c r="I6500" s="17">
        <v>0</v>
      </c>
      <c r="J6500" s="17">
        <v>99</v>
      </c>
      <c r="K6500" s="10"/>
      <c r="L6500" s="17"/>
      <c r="M6500" s="15"/>
      <c r="N6500" s="18">
        <v>99</v>
      </c>
      <c r="O6500" s="14"/>
      <c r="P6500" s="17">
        <v>4</v>
      </c>
      <c r="Q6500" s="19">
        <v>99</v>
      </c>
      <c r="R6500" s="14">
        <v>250</v>
      </c>
      <c r="S6500" s="19">
        <v>24750</v>
      </c>
      <c r="T6500" s="17"/>
      <c r="U6500" s="17"/>
      <c r="V6500" s="17"/>
      <c r="W6500" s="4"/>
      <c r="X6500" s="17"/>
      <c r="Y6500" s="4"/>
      <c r="Z6500" s="17"/>
      <c r="AA6500" s="17"/>
      <c r="AB6500" s="17"/>
      <c r="AC6500" s="14"/>
      <c r="AD6500" s="14"/>
      <c r="AE6500" s="17"/>
      <c r="AF6500" s="14"/>
      <c r="AG6500" s="54"/>
      <c r="AH6500" s="11"/>
      <c r="AI6500" s="14"/>
      <c r="AJ6500" s="19">
        <v>0</v>
      </c>
      <c r="AK6500" s="23">
        <v>0</v>
      </c>
      <c r="AL6500" s="11"/>
      <c r="AM6500" s="19">
        <v>0</v>
      </c>
      <c r="AN6500" s="19">
        <v>24750</v>
      </c>
      <c r="AO6500" s="14"/>
      <c r="AP6500" s="14">
        <v>24750</v>
      </c>
      <c r="AQ6500" s="12">
        <v>3.0000000000000001E-3</v>
      </c>
      <c r="AS6500" s="26"/>
    </row>
    <row r="6501" spans="1:45" s="19" customFormat="1" x14ac:dyDescent="0.2">
      <c r="A6501" s="2">
        <f>+A6500+1</f>
        <v>5329</v>
      </c>
      <c r="B6501" s="13">
        <v>2</v>
      </c>
      <c r="C6501" s="17" t="s">
        <v>52</v>
      </c>
      <c r="D6501" s="17">
        <v>1921</v>
      </c>
      <c r="E6501" s="17">
        <v>12</v>
      </c>
      <c r="F6501" s="17">
        <v>824</v>
      </c>
      <c r="G6501" s="13">
        <v>4</v>
      </c>
      <c r="H6501" s="17">
        <v>0</v>
      </c>
      <c r="I6501" s="17">
        <v>0</v>
      </c>
      <c r="J6501" s="17">
        <v>86</v>
      </c>
      <c r="K6501" s="10"/>
      <c r="L6501" s="17"/>
      <c r="M6501" s="15"/>
      <c r="N6501" s="18">
        <v>86</v>
      </c>
      <c r="O6501" s="14"/>
      <c r="P6501" s="17">
        <v>4</v>
      </c>
      <c r="Q6501" s="19">
        <v>86</v>
      </c>
      <c r="R6501" s="14">
        <v>250</v>
      </c>
      <c r="S6501" s="19">
        <v>21500</v>
      </c>
      <c r="T6501" s="17"/>
      <c r="U6501" s="17"/>
      <c r="V6501" s="17"/>
      <c r="W6501" s="4"/>
      <c r="X6501" s="17"/>
      <c r="Y6501" s="4"/>
      <c r="Z6501" s="17"/>
      <c r="AA6501" s="17"/>
      <c r="AB6501" s="17"/>
      <c r="AC6501" s="14"/>
      <c r="AD6501" s="14"/>
      <c r="AE6501" s="17"/>
      <c r="AF6501" s="14"/>
      <c r="AG6501" s="54"/>
      <c r="AH6501" s="11"/>
      <c r="AI6501" s="14"/>
      <c r="AJ6501" s="19">
        <v>0</v>
      </c>
      <c r="AK6501" s="23">
        <v>0</v>
      </c>
      <c r="AL6501" s="11"/>
      <c r="AM6501" s="19">
        <v>0</v>
      </c>
      <c r="AN6501" s="19">
        <v>21500</v>
      </c>
      <c r="AO6501" s="14"/>
      <c r="AP6501" s="14">
        <v>21500</v>
      </c>
      <c r="AQ6501" s="12">
        <v>3.0000000000000001E-3</v>
      </c>
      <c r="AS6501" s="26"/>
    </row>
    <row r="6502" spans="1:45" s="19" customFormat="1" x14ac:dyDescent="0.2">
      <c r="A6502" s="122">
        <f t="shared" ref="A6502:A6523" si="672">+A6501+1</f>
        <v>5330</v>
      </c>
      <c r="B6502" s="13">
        <v>3</v>
      </c>
      <c r="C6502" s="17" t="s">
        <v>52</v>
      </c>
      <c r="D6502" s="17">
        <v>34357</v>
      </c>
      <c r="E6502" s="17">
        <v>37</v>
      </c>
      <c r="F6502" s="17">
        <v>6857</v>
      </c>
      <c r="G6502" s="13">
        <v>4</v>
      </c>
      <c r="H6502" s="17">
        <v>3</v>
      </c>
      <c r="I6502" s="17">
        <v>0</v>
      </c>
      <c r="J6502" s="17">
        <v>82</v>
      </c>
      <c r="K6502" s="10">
        <v>1282</v>
      </c>
      <c r="L6502" s="17"/>
      <c r="M6502" s="15"/>
      <c r="N6502" s="18"/>
      <c r="O6502" s="14"/>
      <c r="P6502" s="17">
        <v>1</v>
      </c>
      <c r="Q6502" s="19">
        <v>1282</v>
      </c>
      <c r="R6502" s="14">
        <v>200</v>
      </c>
      <c r="S6502" s="19">
        <v>256400</v>
      </c>
      <c r="T6502" s="17"/>
      <c r="U6502" s="17"/>
      <c r="V6502" s="17"/>
      <c r="W6502" s="4"/>
      <c r="X6502" s="17"/>
      <c r="Y6502" s="4"/>
      <c r="Z6502" s="17"/>
      <c r="AA6502" s="17"/>
      <c r="AB6502" s="17"/>
      <c r="AC6502" s="14"/>
      <c r="AD6502" s="14"/>
      <c r="AE6502" s="17"/>
      <c r="AF6502" s="14"/>
      <c r="AG6502" s="54"/>
      <c r="AH6502" s="11"/>
      <c r="AI6502" s="14"/>
      <c r="AJ6502" s="19">
        <v>0</v>
      </c>
      <c r="AK6502" s="23">
        <v>0</v>
      </c>
      <c r="AL6502" s="11"/>
      <c r="AM6502" s="19">
        <v>0</v>
      </c>
      <c r="AN6502" s="19">
        <v>256400</v>
      </c>
      <c r="AO6502" s="14"/>
      <c r="AP6502" s="14">
        <v>256400</v>
      </c>
      <c r="AQ6502" s="12"/>
      <c r="AS6502" s="26"/>
    </row>
    <row r="6503" spans="1:45" s="19" customFormat="1" ht="42" x14ac:dyDescent="0.2">
      <c r="A6503" s="122">
        <f t="shared" si="672"/>
        <v>5331</v>
      </c>
      <c r="B6503" s="13">
        <v>1</v>
      </c>
      <c r="C6503" s="17" t="s">
        <v>52</v>
      </c>
      <c r="D6503" s="17">
        <v>19760</v>
      </c>
      <c r="E6503" s="17">
        <v>17</v>
      </c>
      <c r="F6503" s="17">
        <v>4384</v>
      </c>
      <c r="G6503" s="13">
        <v>4</v>
      </c>
      <c r="H6503" s="17">
        <v>0</v>
      </c>
      <c r="I6503" s="17">
        <v>0</v>
      </c>
      <c r="J6503" s="17">
        <v>71</v>
      </c>
      <c r="K6503" s="10"/>
      <c r="L6503" s="17">
        <v>71</v>
      </c>
      <c r="M6503" s="15"/>
      <c r="N6503" s="18"/>
      <c r="O6503" s="14"/>
      <c r="P6503" s="17">
        <v>2</v>
      </c>
      <c r="Q6503" s="19">
        <v>71</v>
      </c>
      <c r="R6503" s="14">
        <v>160</v>
      </c>
      <c r="S6503" s="19">
        <v>11360</v>
      </c>
      <c r="T6503" s="17">
        <v>1</v>
      </c>
      <c r="U6503" s="17"/>
      <c r="V6503" s="17" t="s">
        <v>183</v>
      </c>
      <c r="W6503" s="4"/>
      <c r="X6503" s="17"/>
      <c r="Y6503" s="4"/>
      <c r="Z6503" s="17"/>
      <c r="AA6503" s="17"/>
      <c r="AB6503" s="17">
        <v>7</v>
      </c>
      <c r="AC6503" s="14"/>
      <c r="AD6503" s="14"/>
      <c r="AE6503" s="17"/>
      <c r="AF6503" s="14"/>
      <c r="AG6503" s="54"/>
      <c r="AH6503" s="11"/>
      <c r="AI6503" s="14"/>
      <c r="AJ6503" s="19">
        <v>0</v>
      </c>
      <c r="AK6503" s="23">
        <v>7</v>
      </c>
      <c r="AL6503" s="11"/>
      <c r="AM6503" s="19">
        <v>0</v>
      </c>
      <c r="AN6503" s="19">
        <v>11360</v>
      </c>
      <c r="AO6503" s="14"/>
      <c r="AP6503" s="14">
        <v>11360</v>
      </c>
      <c r="AQ6503" s="12"/>
      <c r="AS6503" s="26"/>
    </row>
    <row r="6504" spans="1:45" s="19" customFormat="1" x14ac:dyDescent="0.2">
      <c r="A6504" s="122">
        <f t="shared" si="672"/>
        <v>5332</v>
      </c>
      <c r="B6504" s="13">
        <v>1</v>
      </c>
      <c r="C6504" s="17" t="s">
        <v>52</v>
      </c>
      <c r="D6504" s="17">
        <v>2299</v>
      </c>
      <c r="E6504" s="17">
        <v>4</v>
      </c>
      <c r="F6504" s="17">
        <v>801</v>
      </c>
      <c r="G6504" s="13">
        <v>4</v>
      </c>
      <c r="H6504" s="17">
        <v>0</v>
      </c>
      <c r="I6504" s="17">
        <v>0</v>
      </c>
      <c r="J6504" s="17">
        <v>75</v>
      </c>
      <c r="K6504" s="10">
        <v>75</v>
      </c>
      <c r="L6504" s="17"/>
      <c r="M6504" s="15"/>
      <c r="N6504" s="18"/>
      <c r="O6504" s="14"/>
      <c r="P6504" s="17"/>
      <c r="Q6504" s="19">
        <v>75</v>
      </c>
      <c r="R6504" s="14">
        <v>2000</v>
      </c>
      <c r="S6504" s="19">
        <v>150000</v>
      </c>
      <c r="T6504" s="17"/>
      <c r="U6504" s="17"/>
      <c r="V6504" s="17"/>
      <c r="W6504" s="4"/>
      <c r="X6504" s="17"/>
      <c r="Y6504" s="4"/>
      <c r="Z6504" s="17"/>
      <c r="AA6504" s="17"/>
      <c r="AB6504" s="17"/>
      <c r="AC6504" s="14"/>
      <c r="AD6504" s="14"/>
      <c r="AE6504" s="17"/>
      <c r="AF6504" s="14"/>
      <c r="AG6504" s="54"/>
      <c r="AH6504" s="11"/>
      <c r="AI6504" s="14"/>
      <c r="AJ6504" s="19">
        <v>0</v>
      </c>
      <c r="AK6504" s="23">
        <v>0</v>
      </c>
      <c r="AL6504" s="11"/>
      <c r="AM6504" s="19">
        <v>0</v>
      </c>
      <c r="AN6504" s="19">
        <v>150000</v>
      </c>
      <c r="AO6504" s="14"/>
      <c r="AP6504" s="14">
        <v>150000</v>
      </c>
      <c r="AQ6504" s="12"/>
      <c r="AS6504" s="26"/>
    </row>
    <row r="6505" spans="1:45" s="19" customFormat="1" x14ac:dyDescent="0.2">
      <c r="A6505" s="122">
        <f t="shared" si="672"/>
        <v>5333</v>
      </c>
      <c r="B6505" s="13">
        <v>1</v>
      </c>
      <c r="C6505" s="17" t="s">
        <v>52</v>
      </c>
      <c r="D6505" s="17">
        <v>31425</v>
      </c>
      <c r="E6505" s="17">
        <v>19</v>
      </c>
      <c r="F6505" s="17">
        <v>6208</v>
      </c>
      <c r="G6505" s="13">
        <v>4</v>
      </c>
      <c r="H6505" s="17">
        <v>0</v>
      </c>
      <c r="I6505" s="17">
        <v>1</v>
      </c>
      <c r="J6505" s="17">
        <v>51</v>
      </c>
      <c r="K6505" s="10">
        <v>151</v>
      </c>
      <c r="L6505" s="17"/>
      <c r="M6505" s="15"/>
      <c r="N6505" s="18"/>
      <c r="O6505" s="14"/>
      <c r="P6505" s="17">
        <v>1</v>
      </c>
      <c r="Q6505" s="19">
        <v>151</v>
      </c>
      <c r="R6505" s="14">
        <v>250</v>
      </c>
      <c r="S6505" s="19">
        <v>37750</v>
      </c>
      <c r="T6505" s="17"/>
      <c r="U6505" s="17"/>
      <c r="V6505" s="17"/>
      <c r="W6505" s="4"/>
      <c r="X6505" s="17"/>
      <c r="Y6505" s="4"/>
      <c r="Z6505" s="17"/>
      <c r="AA6505" s="17"/>
      <c r="AB6505" s="17"/>
      <c r="AC6505" s="14"/>
      <c r="AD6505" s="14"/>
      <c r="AE6505" s="17"/>
      <c r="AF6505" s="14"/>
      <c r="AG6505" s="54"/>
      <c r="AH6505" s="11"/>
      <c r="AI6505" s="14"/>
      <c r="AJ6505" s="19">
        <v>0</v>
      </c>
      <c r="AK6505" s="23">
        <v>0</v>
      </c>
      <c r="AL6505" s="11"/>
      <c r="AM6505" s="19">
        <v>0</v>
      </c>
      <c r="AN6505" s="19">
        <v>37750</v>
      </c>
      <c r="AO6505" s="14"/>
      <c r="AP6505" s="14">
        <v>37750</v>
      </c>
      <c r="AQ6505" s="12"/>
      <c r="AS6505" s="26"/>
    </row>
    <row r="6506" spans="1:45" s="19" customFormat="1" x14ac:dyDescent="0.2">
      <c r="A6506" s="122">
        <f t="shared" si="672"/>
        <v>5334</v>
      </c>
      <c r="B6506" s="13">
        <v>2</v>
      </c>
      <c r="C6506" s="17" t="s">
        <v>52</v>
      </c>
      <c r="D6506" s="17">
        <v>35765</v>
      </c>
      <c r="E6506" s="17">
        <v>101</v>
      </c>
      <c r="F6506" s="17">
        <v>7051</v>
      </c>
      <c r="G6506" s="13">
        <v>4</v>
      </c>
      <c r="H6506" s="17">
        <v>0</v>
      </c>
      <c r="I6506" s="17">
        <v>0</v>
      </c>
      <c r="J6506" s="17">
        <v>31</v>
      </c>
      <c r="K6506" s="10">
        <v>31</v>
      </c>
      <c r="L6506" s="17"/>
      <c r="M6506" s="15"/>
      <c r="N6506" s="18"/>
      <c r="O6506" s="14"/>
      <c r="P6506" s="17">
        <v>1</v>
      </c>
      <c r="Q6506" s="19">
        <v>31</v>
      </c>
      <c r="R6506" s="14">
        <v>2000</v>
      </c>
      <c r="S6506" s="19">
        <v>62000</v>
      </c>
      <c r="T6506" s="17"/>
      <c r="U6506" s="17"/>
      <c r="V6506" s="17"/>
      <c r="W6506" s="4"/>
      <c r="X6506" s="17"/>
      <c r="Y6506" s="4"/>
      <c r="Z6506" s="17"/>
      <c r="AA6506" s="17"/>
      <c r="AB6506" s="17"/>
      <c r="AC6506" s="14"/>
      <c r="AD6506" s="14"/>
      <c r="AE6506" s="17"/>
      <c r="AF6506" s="14"/>
      <c r="AG6506" s="54"/>
      <c r="AH6506" s="11"/>
      <c r="AI6506" s="14"/>
      <c r="AJ6506" s="19">
        <v>0</v>
      </c>
      <c r="AK6506" s="23">
        <v>0</v>
      </c>
      <c r="AL6506" s="11"/>
      <c r="AM6506" s="19">
        <v>0</v>
      </c>
      <c r="AN6506" s="19">
        <v>62000</v>
      </c>
      <c r="AO6506" s="14"/>
      <c r="AP6506" s="14">
        <v>62000</v>
      </c>
      <c r="AQ6506" s="12"/>
      <c r="AS6506" s="26"/>
    </row>
    <row r="6507" spans="1:45" s="19" customFormat="1" x14ac:dyDescent="0.2">
      <c r="A6507" s="122">
        <f t="shared" si="672"/>
        <v>5335</v>
      </c>
      <c r="B6507" s="13">
        <v>3</v>
      </c>
      <c r="C6507" s="17" t="s">
        <v>52</v>
      </c>
      <c r="D6507" s="17">
        <v>2007</v>
      </c>
      <c r="E6507" s="17">
        <v>33</v>
      </c>
      <c r="F6507" s="17">
        <v>1041</v>
      </c>
      <c r="G6507" s="13"/>
      <c r="H6507" s="17">
        <v>0</v>
      </c>
      <c r="I6507" s="17">
        <v>0</v>
      </c>
      <c r="J6507" s="17">
        <v>25</v>
      </c>
      <c r="K6507" s="10"/>
      <c r="L6507" s="17"/>
      <c r="M6507" s="15"/>
      <c r="N6507" s="18">
        <v>25</v>
      </c>
      <c r="O6507" s="14"/>
      <c r="P6507" s="17">
        <v>4</v>
      </c>
      <c r="Q6507" s="19">
        <v>25</v>
      </c>
      <c r="R6507" s="14">
        <v>2000</v>
      </c>
      <c r="S6507" s="19">
        <v>50000</v>
      </c>
      <c r="T6507" s="17"/>
      <c r="U6507" s="17"/>
      <c r="V6507" s="17"/>
      <c r="W6507" s="4"/>
      <c r="X6507" s="17"/>
      <c r="Y6507" s="4"/>
      <c r="Z6507" s="17"/>
      <c r="AA6507" s="17"/>
      <c r="AB6507" s="17"/>
      <c r="AC6507" s="14"/>
      <c r="AD6507" s="14"/>
      <c r="AE6507" s="17"/>
      <c r="AF6507" s="14"/>
      <c r="AG6507" s="54"/>
      <c r="AH6507" s="11"/>
      <c r="AI6507" s="14"/>
      <c r="AJ6507" s="19">
        <v>0</v>
      </c>
      <c r="AK6507" s="23">
        <v>0</v>
      </c>
      <c r="AL6507" s="11"/>
      <c r="AM6507" s="19">
        <v>0</v>
      </c>
      <c r="AN6507" s="19">
        <v>50000</v>
      </c>
      <c r="AO6507" s="14"/>
      <c r="AP6507" s="14">
        <v>50000</v>
      </c>
      <c r="AQ6507" s="12">
        <v>3.0000000000000001E-3</v>
      </c>
      <c r="AS6507" s="26"/>
    </row>
    <row r="6508" spans="1:45" s="19" customFormat="1" ht="42" x14ac:dyDescent="0.2">
      <c r="A6508" s="122">
        <f t="shared" si="672"/>
        <v>5336</v>
      </c>
      <c r="B6508" s="13">
        <v>1</v>
      </c>
      <c r="C6508" s="17" t="s">
        <v>52</v>
      </c>
      <c r="D6508" s="17">
        <v>2266</v>
      </c>
      <c r="E6508" s="17">
        <v>92</v>
      </c>
      <c r="F6508" s="17">
        <v>1804</v>
      </c>
      <c r="G6508" s="13"/>
      <c r="H6508" s="17">
        <v>0</v>
      </c>
      <c r="I6508" s="17">
        <v>3</v>
      </c>
      <c r="J6508" s="17">
        <v>29</v>
      </c>
      <c r="K6508" s="10">
        <v>287</v>
      </c>
      <c r="L6508" s="17">
        <v>42</v>
      </c>
      <c r="M6508" s="15"/>
      <c r="N6508" s="18"/>
      <c r="O6508" s="14"/>
      <c r="P6508" s="17">
        <v>5</v>
      </c>
      <c r="Q6508" s="19">
        <v>329</v>
      </c>
      <c r="R6508" s="14">
        <v>1500</v>
      </c>
      <c r="S6508" s="19">
        <v>493500</v>
      </c>
      <c r="T6508" s="17">
        <v>1</v>
      </c>
      <c r="U6508" s="17"/>
      <c r="V6508" s="17" t="s">
        <v>183</v>
      </c>
      <c r="W6508" s="4">
        <v>168</v>
      </c>
      <c r="X6508" s="17"/>
      <c r="Y6508" s="4">
        <v>168</v>
      </c>
      <c r="Z6508" s="17"/>
      <c r="AA6508" s="17"/>
      <c r="AB6508" s="17">
        <v>40</v>
      </c>
      <c r="AC6508" s="14"/>
      <c r="AD6508" s="14"/>
      <c r="AE6508" s="17"/>
      <c r="AF6508" s="14"/>
      <c r="AG6508" s="54"/>
      <c r="AH6508" s="11"/>
      <c r="AI6508" s="14"/>
      <c r="AJ6508" s="19">
        <v>0</v>
      </c>
      <c r="AK6508" s="23">
        <v>40</v>
      </c>
      <c r="AL6508" s="11"/>
      <c r="AM6508" s="19">
        <v>0</v>
      </c>
      <c r="AN6508" s="19">
        <v>493500</v>
      </c>
      <c r="AO6508" s="14"/>
      <c r="AP6508" s="14">
        <v>493500</v>
      </c>
      <c r="AQ6508" s="12"/>
      <c r="AS6508" s="26"/>
    </row>
    <row r="6509" spans="1:45" s="19" customFormat="1" x14ac:dyDescent="0.2">
      <c r="A6509" s="122">
        <f t="shared" si="672"/>
        <v>5337</v>
      </c>
      <c r="B6509" s="13">
        <v>1</v>
      </c>
      <c r="C6509" s="17" t="s">
        <v>52</v>
      </c>
      <c r="D6509" s="17">
        <v>2300</v>
      </c>
      <c r="E6509" s="17">
        <v>5</v>
      </c>
      <c r="F6509" s="17">
        <v>802</v>
      </c>
      <c r="G6509" s="13">
        <v>4</v>
      </c>
      <c r="H6509" s="17">
        <v>11</v>
      </c>
      <c r="I6509" s="17">
        <v>0</v>
      </c>
      <c r="J6509" s="17">
        <v>75</v>
      </c>
      <c r="K6509" s="10">
        <v>4475</v>
      </c>
      <c r="L6509" s="17"/>
      <c r="M6509" s="15"/>
      <c r="N6509" s="18"/>
      <c r="O6509" s="14"/>
      <c r="P6509" s="17">
        <v>1</v>
      </c>
      <c r="Q6509" s="19">
        <v>4475</v>
      </c>
      <c r="R6509" s="14">
        <v>1000</v>
      </c>
      <c r="S6509" s="19">
        <v>4475000</v>
      </c>
      <c r="T6509" s="17">
        <v>1</v>
      </c>
      <c r="U6509" s="17"/>
      <c r="V6509" s="17"/>
      <c r="W6509" s="4"/>
      <c r="X6509" s="17"/>
      <c r="Y6509" s="4"/>
      <c r="Z6509" s="17"/>
      <c r="AA6509" s="17"/>
      <c r="AB6509" s="17"/>
      <c r="AC6509" s="14"/>
      <c r="AD6509" s="14"/>
      <c r="AE6509" s="17"/>
      <c r="AF6509" s="14"/>
      <c r="AG6509" s="54"/>
      <c r="AH6509" s="11"/>
      <c r="AI6509" s="14"/>
      <c r="AJ6509" s="19">
        <v>0</v>
      </c>
      <c r="AK6509" s="23">
        <v>0</v>
      </c>
      <c r="AL6509" s="11"/>
      <c r="AM6509" s="19">
        <v>0</v>
      </c>
      <c r="AN6509" s="19">
        <v>4475000</v>
      </c>
      <c r="AO6509" s="14"/>
      <c r="AP6509" s="14">
        <v>4475000</v>
      </c>
      <c r="AQ6509" s="12"/>
      <c r="AS6509" s="26"/>
    </row>
    <row r="6510" spans="1:45" s="19" customFormat="1" x14ac:dyDescent="0.2">
      <c r="A6510" s="122">
        <f t="shared" si="672"/>
        <v>5338</v>
      </c>
      <c r="B6510" s="13">
        <v>2</v>
      </c>
      <c r="C6510" s="17" t="s">
        <v>65</v>
      </c>
      <c r="D6510" s="17">
        <v>1581</v>
      </c>
      <c r="E6510" s="17">
        <v>152</v>
      </c>
      <c r="F6510" s="17"/>
      <c r="G6510" s="13"/>
      <c r="H6510" s="17">
        <v>2</v>
      </c>
      <c r="I6510" s="17">
        <v>2</v>
      </c>
      <c r="J6510" s="17">
        <v>33</v>
      </c>
      <c r="K6510" s="10">
        <v>1033</v>
      </c>
      <c r="L6510" s="17"/>
      <c r="M6510" s="15"/>
      <c r="N6510" s="18"/>
      <c r="O6510" s="14"/>
      <c r="P6510" s="17">
        <v>1</v>
      </c>
      <c r="Q6510" s="19">
        <v>1033</v>
      </c>
      <c r="R6510" s="14">
        <v>160</v>
      </c>
      <c r="S6510" s="19">
        <v>165280</v>
      </c>
      <c r="T6510" s="17"/>
      <c r="U6510" s="17"/>
      <c r="V6510" s="17"/>
      <c r="W6510" s="4"/>
      <c r="X6510" s="17"/>
      <c r="Y6510" s="4"/>
      <c r="Z6510" s="17"/>
      <c r="AA6510" s="17"/>
      <c r="AB6510" s="17"/>
      <c r="AC6510" s="14"/>
      <c r="AD6510" s="14"/>
      <c r="AE6510" s="17"/>
      <c r="AF6510" s="14"/>
      <c r="AG6510" s="54"/>
      <c r="AH6510" s="11"/>
      <c r="AI6510" s="14"/>
      <c r="AJ6510" s="19">
        <v>0</v>
      </c>
      <c r="AK6510" s="23">
        <v>0</v>
      </c>
      <c r="AL6510" s="11"/>
      <c r="AM6510" s="19">
        <v>0</v>
      </c>
      <c r="AN6510" s="19">
        <v>165280</v>
      </c>
      <c r="AO6510" s="14"/>
      <c r="AP6510" s="14">
        <v>165280</v>
      </c>
      <c r="AQ6510" s="12">
        <v>1E-4</v>
      </c>
      <c r="AS6510" s="26"/>
    </row>
    <row r="6511" spans="1:45" s="19" customFormat="1" x14ac:dyDescent="0.2">
      <c r="A6511" s="122">
        <f t="shared" si="672"/>
        <v>5339</v>
      </c>
      <c r="B6511" s="13">
        <v>4</v>
      </c>
      <c r="C6511" s="17" t="s">
        <v>65</v>
      </c>
      <c r="D6511" s="17">
        <v>1579</v>
      </c>
      <c r="E6511" s="17">
        <v>147</v>
      </c>
      <c r="F6511" s="17"/>
      <c r="G6511" s="13"/>
      <c r="H6511" s="17">
        <v>3</v>
      </c>
      <c r="I6511" s="17">
        <v>0</v>
      </c>
      <c r="J6511" s="17">
        <v>56</v>
      </c>
      <c r="K6511" s="10">
        <v>1256</v>
      </c>
      <c r="L6511" s="17"/>
      <c r="M6511" s="15"/>
      <c r="N6511" s="18"/>
      <c r="O6511" s="14"/>
      <c r="P6511" s="17">
        <v>1</v>
      </c>
      <c r="Q6511" s="19">
        <v>1256</v>
      </c>
      <c r="R6511" s="14">
        <v>160</v>
      </c>
      <c r="S6511" s="19">
        <v>200960</v>
      </c>
      <c r="T6511" s="17"/>
      <c r="U6511" s="17"/>
      <c r="V6511" s="17"/>
      <c r="W6511" s="4"/>
      <c r="X6511" s="17"/>
      <c r="Y6511" s="4"/>
      <c r="Z6511" s="17"/>
      <c r="AA6511" s="17"/>
      <c r="AB6511" s="17"/>
      <c r="AC6511" s="14"/>
      <c r="AD6511" s="14"/>
      <c r="AE6511" s="17"/>
      <c r="AF6511" s="14"/>
      <c r="AG6511" s="54"/>
      <c r="AH6511" s="11"/>
      <c r="AI6511" s="14"/>
      <c r="AJ6511" s="19">
        <v>0</v>
      </c>
      <c r="AK6511" s="23">
        <v>0</v>
      </c>
      <c r="AL6511" s="11"/>
      <c r="AM6511" s="19">
        <v>0</v>
      </c>
      <c r="AN6511" s="19">
        <v>200960</v>
      </c>
      <c r="AO6511" s="14"/>
      <c r="AP6511" s="14">
        <v>200960</v>
      </c>
      <c r="AQ6511" s="12">
        <v>1E-4</v>
      </c>
      <c r="AS6511" s="26"/>
    </row>
    <row r="6512" spans="1:45" s="19" customFormat="1" x14ac:dyDescent="0.2">
      <c r="A6512" s="122">
        <f t="shared" si="672"/>
        <v>5340</v>
      </c>
      <c r="B6512" s="13">
        <v>1</v>
      </c>
      <c r="C6512" s="17" t="s">
        <v>52</v>
      </c>
      <c r="D6512" s="17">
        <v>2298</v>
      </c>
      <c r="E6512" s="17">
        <v>3</v>
      </c>
      <c r="F6512" s="17">
        <v>800</v>
      </c>
      <c r="G6512" s="13">
        <v>4</v>
      </c>
      <c r="H6512" s="17">
        <v>0</v>
      </c>
      <c r="I6512" s="17">
        <v>0</v>
      </c>
      <c r="J6512" s="17">
        <v>74</v>
      </c>
      <c r="K6512" s="10">
        <v>74</v>
      </c>
      <c r="L6512" s="17"/>
      <c r="M6512" s="15"/>
      <c r="N6512" s="18"/>
      <c r="O6512" s="14"/>
      <c r="P6512" s="17">
        <v>1</v>
      </c>
      <c r="Q6512" s="19">
        <v>74</v>
      </c>
      <c r="R6512" s="14">
        <v>2000</v>
      </c>
      <c r="S6512" s="19">
        <v>148000</v>
      </c>
      <c r="T6512" s="17"/>
      <c r="U6512" s="17"/>
      <c r="V6512" s="17"/>
      <c r="W6512" s="4"/>
      <c r="X6512" s="17"/>
      <c r="Y6512" s="4"/>
      <c r="Z6512" s="17"/>
      <c r="AA6512" s="17"/>
      <c r="AB6512" s="17"/>
      <c r="AC6512" s="14"/>
      <c r="AD6512" s="14"/>
      <c r="AE6512" s="17"/>
      <c r="AF6512" s="14"/>
      <c r="AG6512" s="54"/>
      <c r="AH6512" s="11"/>
      <c r="AI6512" s="14"/>
      <c r="AJ6512" s="19">
        <v>0</v>
      </c>
      <c r="AK6512" s="23">
        <v>0</v>
      </c>
      <c r="AL6512" s="11"/>
      <c r="AM6512" s="19">
        <v>0</v>
      </c>
      <c r="AN6512" s="19">
        <v>148000</v>
      </c>
      <c r="AO6512" s="14"/>
      <c r="AP6512" s="14">
        <v>148000</v>
      </c>
      <c r="AQ6512" s="12"/>
      <c r="AS6512" s="26"/>
    </row>
    <row r="6513" spans="1:45" x14ac:dyDescent="0.2">
      <c r="A6513" s="122">
        <f t="shared" si="672"/>
        <v>5341</v>
      </c>
      <c r="B6513" s="13">
        <v>2</v>
      </c>
      <c r="C6513" s="17" t="s">
        <v>52</v>
      </c>
      <c r="D6513" s="17">
        <v>18692</v>
      </c>
      <c r="E6513" s="17">
        <v>208</v>
      </c>
      <c r="F6513" s="17">
        <v>4203</v>
      </c>
      <c r="H6513" s="17">
        <v>0</v>
      </c>
      <c r="I6513" s="17">
        <v>0</v>
      </c>
      <c r="J6513" s="17">
        <v>50</v>
      </c>
      <c r="N6513" s="18">
        <v>50</v>
      </c>
      <c r="P6513" s="17">
        <v>4</v>
      </c>
      <c r="Q6513" s="19">
        <v>50</v>
      </c>
      <c r="R6513" s="14">
        <v>250</v>
      </c>
      <c r="S6513" s="19">
        <v>12500</v>
      </c>
      <c r="AJ6513" s="19">
        <v>0</v>
      </c>
      <c r="AK6513" s="23">
        <v>0</v>
      </c>
      <c r="AM6513" s="19">
        <v>0</v>
      </c>
      <c r="AN6513" s="19">
        <v>12500</v>
      </c>
      <c r="AP6513" s="14">
        <v>12500</v>
      </c>
      <c r="AQ6513" s="12">
        <v>3.0000000000000001E-3</v>
      </c>
    </row>
    <row r="6514" spans="1:45" ht="63" x14ac:dyDescent="0.2">
      <c r="A6514" s="122">
        <f t="shared" si="672"/>
        <v>5342</v>
      </c>
      <c r="B6514" s="13">
        <v>1</v>
      </c>
      <c r="C6514" s="17" t="s">
        <v>52</v>
      </c>
      <c r="D6514" s="17">
        <v>36045</v>
      </c>
      <c r="E6514" s="17">
        <v>107</v>
      </c>
      <c r="F6514" s="17">
        <v>3668</v>
      </c>
      <c r="G6514" s="13">
        <v>3</v>
      </c>
      <c r="H6514" s="17">
        <v>0</v>
      </c>
      <c r="I6514" s="17">
        <v>1</v>
      </c>
      <c r="J6514" s="17">
        <v>4</v>
      </c>
      <c r="L6514" s="17">
        <v>104</v>
      </c>
      <c r="P6514" s="17">
        <v>2</v>
      </c>
      <c r="Q6514" s="19">
        <v>104</v>
      </c>
      <c r="R6514" s="14">
        <v>2000</v>
      </c>
      <c r="S6514" s="19">
        <v>208000</v>
      </c>
      <c r="U6514" s="17" t="s">
        <v>57</v>
      </c>
      <c r="V6514" s="17" t="s">
        <v>56</v>
      </c>
      <c r="W6514" s="4">
        <v>40</v>
      </c>
      <c r="AB6514" s="17">
        <v>3</v>
      </c>
      <c r="AE6514" s="17" t="s">
        <v>665</v>
      </c>
      <c r="AF6514" s="14">
        <v>2</v>
      </c>
      <c r="AG6514" s="54">
        <v>40</v>
      </c>
      <c r="AH6514" s="11">
        <v>1</v>
      </c>
      <c r="AI6514" s="14">
        <v>7250</v>
      </c>
      <c r="AJ6514" s="19">
        <v>290000</v>
      </c>
      <c r="AK6514" s="23">
        <v>3</v>
      </c>
      <c r="AL6514" s="11">
        <v>0.03</v>
      </c>
      <c r="AM6514" s="19">
        <v>281300</v>
      </c>
      <c r="AN6514" s="19">
        <v>489300</v>
      </c>
      <c r="AP6514" s="14">
        <v>489300</v>
      </c>
      <c r="AQ6514" s="12">
        <v>2.0000000000000001E-4</v>
      </c>
    </row>
    <row r="6515" spans="1:45" x14ac:dyDescent="0.2">
      <c r="A6515" s="122">
        <f t="shared" si="672"/>
        <v>5343</v>
      </c>
      <c r="B6515" s="13">
        <v>1</v>
      </c>
      <c r="C6515" s="17" t="s">
        <v>65</v>
      </c>
      <c r="D6515" s="17">
        <v>1578</v>
      </c>
      <c r="E6515" s="17">
        <v>146</v>
      </c>
      <c r="H6515" s="17">
        <v>1</v>
      </c>
      <c r="I6515" s="17">
        <v>3</v>
      </c>
      <c r="J6515" s="17">
        <v>86</v>
      </c>
      <c r="K6515" s="10">
        <v>786</v>
      </c>
      <c r="P6515" s="17">
        <v>1</v>
      </c>
      <c r="Q6515" s="19">
        <v>786</v>
      </c>
      <c r="R6515" s="14">
        <v>160</v>
      </c>
      <c r="S6515" s="19">
        <v>125760</v>
      </c>
      <c r="AJ6515" s="19">
        <v>0</v>
      </c>
      <c r="AK6515" s="23">
        <v>0</v>
      </c>
      <c r="AM6515" s="19">
        <v>0</v>
      </c>
      <c r="AN6515" s="19">
        <v>125760</v>
      </c>
      <c r="AP6515" s="14">
        <v>125760</v>
      </c>
      <c r="AQ6515" s="12">
        <v>1E-4</v>
      </c>
    </row>
    <row r="6516" spans="1:45" x14ac:dyDescent="0.2">
      <c r="A6516" s="122">
        <f t="shared" si="672"/>
        <v>5344</v>
      </c>
      <c r="B6516" s="13">
        <v>1</v>
      </c>
      <c r="C6516" s="17" t="s">
        <v>52</v>
      </c>
      <c r="D6516" s="17">
        <v>17927</v>
      </c>
      <c r="E6516" s="17">
        <v>29</v>
      </c>
      <c r="F6516" s="17">
        <v>3878</v>
      </c>
      <c r="G6516" s="13">
        <v>4</v>
      </c>
      <c r="H6516" s="17">
        <v>1</v>
      </c>
      <c r="I6516" s="17">
        <v>2</v>
      </c>
      <c r="J6516" s="17">
        <v>29</v>
      </c>
      <c r="K6516" s="10">
        <v>629</v>
      </c>
      <c r="P6516" s="17">
        <v>1</v>
      </c>
      <c r="Q6516" s="19">
        <v>629</v>
      </c>
      <c r="R6516" s="14">
        <v>160</v>
      </c>
      <c r="S6516" s="19">
        <v>100640</v>
      </c>
      <c r="AJ6516" s="19">
        <v>0</v>
      </c>
      <c r="AK6516" s="23">
        <v>0</v>
      </c>
      <c r="AM6516" s="19">
        <v>0</v>
      </c>
      <c r="AN6516" s="19">
        <v>100640</v>
      </c>
      <c r="AP6516" s="14">
        <v>100640</v>
      </c>
      <c r="AS6516" s="26">
        <v>69.2</v>
      </c>
    </row>
    <row r="6517" spans="1:45" x14ac:dyDescent="0.2">
      <c r="A6517" s="122">
        <f t="shared" si="672"/>
        <v>5345</v>
      </c>
      <c r="B6517" s="13">
        <v>2</v>
      </c>
      <c r="C6517" s="17" t="s">
        <v>65</v>
      </c>
      <c r="D6517" s="17">
        <v>1983</v>
      </c>
      <c r="E6517" s="17">
        <v>115</v>
      </c>
      <c r="H6517" s="17">
        <v>4</v>
      </c>
      <c r="I6517" s="17">
        <v>1</v>
      </c>
      <c r="J6517" s="17">
        <v>30</v>
      </c>
      <c r="K6517" s="10">
        <v>1730</v>
      </c>
      <c r="P6517" s="17">
        <v>1</v>
      </c>
      <c r="Q6517" s="19">
        <v>1730</v>
      </c>
      <c r="R6517" s="14">
        <v>160</v>
      </c>
      <c r="S6517" s="19">
        <v>276800</v>
      </c>
      <c r="AJ6517" s="19">
        <v>0</v>
      </c>
      <c r="AK6517" s="23">
        <v>0</v>
      </c>
      <c r="AM6517" s="19">
        <v>0</v>
      </c>
      <c r="AN6517" s="19">
        <v>276800</v>
      </c>
      <c r="AP6517" s="14">
        <v>276800</v>
      </c>
      <c r="AQ6517" s="12">
        <v>1E-4</v>
      </c>
    </row>
    <row r="6518" spans="1:45" x14ac:dyDescent="0.2">
      <c r="A6518" s="122">
        <f t="shared" si="672"/>
        <v>5346</v>
      </c>
      <c r="B6518" s="13">
        <v>3</v>
      </c>
      <c r="C6518" s="17" t="s">
        <v>65</v>
      </c>
      <c r="D6518" s="17">
        <v>1984</v>
      </c>
      <c r="E6518" s="17">
        <v>123</v>
      </c>
      <c r="H6518" s="17">
        <v>3</v>
      </c>
      <c r="I6518" s="17">
        <v>1</v>
      </c>
      <c r="J6518" s="17">
        <v>23</v>
      </c>
      <c r="K6518" s="10">
        <v>1323</v>
      </c>
      <c r="P6518" s="17">
        <v>1</v>
      </c>
      <c r="Q6518" s="19">
        <v>1323</v>
      </c>
      <c r="R6518" s="14">
        <v>160</v>
      </c>
      <c r="S6518" s="19">
        <v>211680</v>
      </c>
      <c r="AJ6518" s="19">
        <v>0</v>
      </c>
      <c r="AK6518" s="23">
        <v>0</v>
      </c>
      <c r="AM6518" s="19">
        <v>0</v>
      </c>
      <c r="AN6518" s="19">
        <v>211680</v>
      </c>
      <c r="AP6518" s="14">
        <v>211680</v>
      </c>
      <c r="AQ6518" s="12">
        <v>1E-4</v>
      </c>
    </row>
    <row r="6519" spans="1:45" x14ac:dyDescent="0.2">
      <c r="A6519" s="122">
        <f t="shared" si="672"/>
        <v>5347</v>
      </c>
      <c r="B6519" s="13">
        <v>4</v>
      </c>
      <c r="C6519" s="17" t="s">
        <v>65</v>
      </c>
      <c r="D6519" s="17">
        <v>2386</v>
      </c>
      <c r="E6519" s="17">
        <v>24</v>
      </c>
      <c r="H6519" s="17">
        <v>3</v>
      </c>
      <c r="I6519" s="17">
        <v>0</v>
      </c>
      <c r="J6519" s="17">
        <v>72</v>
      </c>
      <c r="K6519" s="10">
        <v>5473</v>
      </c>
      <c r="P6519" s="17">
        <v>1</v>
      </c>
      <c r="Q6519" s="19">
        <v>1272</v>
      </c>
      <c r="R6519" s="14">
        <v>160</v>
      </c>
      <c r="S6519" s="19">
        <v>203520</v>
      </c>
      <c r="AE6519" s="17" t="s">
        <v>664</v>
      </c>
      <c r="AJ6519" s="19">
        <v>0</v>
      </c>
      <c r="AK6519" s="23">
        <v>0</v>
      </c>
      <c r="AM6519" s="19">
        <v>0</v>
      </c>
      <c r="AN6519" s="19">
        <v>203520</v>
      </c>
      <c r="AP6519" s="14">
        <v>203520</v>
      </c>
      <c r="AQ6519" s="12">
        <v>1E-4</v>
      </c>
    </row>
    <row r="6520" spans="1:45" x14ac:dyDescent="0.2">
      <c r="A6520" s="122">
        <f t="shared" si="672"/>
        <v>5348</v>
      </c>
      <c r="B6520" s="13">
        <v>1</v>
      </c>
      <c r="C6520" s="17" t="s">
        <v>52</v>
      </c>
      <c r="D6520" s="17">
        <v>32925</v>
      </c>
      <c r="E6520" s="17">
        <v>81</v>
      </c>
      <c r="F6520" s="17">
        <v>6471</v>
      </c>
      <c r="G6520" s="13">
        <v>4</v>
      </c>
      <c r="H6520" s="17">
        <v>0</v>
      </c>
      <c r="I6520" s="17">
        <v>0</v>
      </c>
      <c r="J6520" s="17">
        <v>30</v>
      </c>
      <c r="N6520" s="18">
        <v>30</v>
      </c>
      <c r="P6520" s="17">
        <v>4</v>
      </c>
      <c r="Q6520" s="19">
        <v>30</v>
      </c>
      <c r="R6520" s="14">
        <v>2000</v>
      </c>
      <c r="S6520" s="19">
        <v>60000</v>
      </c>
      <c r="AJ6520" s="19">
        <v>0</v>
      </c>
      <c r="AK6520" s="23">
        <v>0</v>
      </c>
      <c r="AM6520" s="19">
        <v>0</v>
      </c>
      <c r="AN6520" s="19">
        <v>60000</v>
      </c>
      <c r="AP6520" s="14">
        <v>60000</v>
      </c>
      <c r="AQ6520" s="12">
        <v>3.0000000000000001E-3</v>
      </c>
    </row>
    <row r="6521" spans="1:45" x14ac:dyDescent="0.2">
      <c r="A6521" s="122">
        <f t="shared" si="672"/>
        <v>5349</v>
      </c>
      <c r="B6521" s="13">
        <v>2</v>
      </c>
      <c r="C6521" s="17" t="s">
        <v>52</v>
      </c>
      <c r="D6521" s="17">
        <v>32926</v>
      </c>
      <c r="E6521" s="17">
        <v>82</v>
      </c>
      <c r="F6521" s="17">
        <v>6472</v>
      </c>
      <c r="G6521" s="13">
        <v>4</v>
      </c>
      <c r="H6521" s="17">
        <v>0</v>
      </c>
      <c r="I6521" s="17">
        <v>1</v>
      </c>
      <c r="J6521" s="17">
        <v>55</v>
      </c>
      <c r="K6521" s="10" t="s">
        <v>666</v>
      </c>
      <c r="P6521" s="17">
        <v>1</v>
      </c>
      <c r="Q6521" s="19">
        <v>155</v>
      </c>
      <c r="R6521" s="14">
        <v>2000</v>
      </c>
      <c r="S6521" s="19">
        <v>310000</v>
      </c>
      <c r="AJ6521" s="19">
        <v>0</v>
      </c>
      <c r="AK6521" s="23">
        <v>0</v>
      </c>
      <c r="AM6521" s="19">
        <v>0</v>
      </c>
      <c r="AN6521" s="19">
        <v>310000</v>
      </c>
      <c r="AP6521" s="14">
        <v>310000</v>
      </c>
    </row>
    <row r="6522" spans="1:45" x14ac:dyDescent="0.2">
      <c r="A6522" s="122">
        <f t="shared" si="672"/>
        <v>5350</v>
      </c>
      <c r="B6522" s="13">
        <v>3</v>
      </c>
      <c r="C6522" s="17" t="s">
        <v>52</v>
      </c>
      <c r="D6522" s="17">
        <v>35766</v>
      </c>
      <c r="E6522" s="17">
        <v>102</v>
      </c>
      <c r="F6522" s="17">
        <v>7052</v>
      </c>
      <c r="G6522" s="13">
        <v>4</v>
      </c>
      <c r="H6522" s="17">
        <v>0</v>
      </c>
      <c r="I6522" s="17">
        <v>0</v>
      </c>
      <c r="J6522" s="17">
        <v>31</v>
      </c>
      <c r="K6522" s="10">
        <v>31</v>
      </c>
      <c r="P6522" s="17">
        <v>1</v>
      </c>
      <c r="Q6522" s="19">
        <v>31</v>
      </c>
      <c r="R6522" s="14">
        <v>2000</v>
      </c>
      <c r="S6522" s="19">
        <v>62000</v>
      </c>
      <c r="AJ6522" s="19">
        <v>0</v>
      </c>
      <c r="AK6522" s="23">
        <v>0</v>
      </c>
      <c r="AM6522" s="19">
        <v>0</v>
      </c>
      <c r="AN6522" s="19">
        <v>62000</v>
      </c>
      <c r="AP6522" s="14">
        <v>62000</v>
      </c>
    </row>
    <row r="6523" spans="1:45" x14ac:dyDescent="0.2">
      <c r="A6523" s="122">
        <f t="shared" si="672"/>
        <v>5351</v>
      </c>
      <c r="B6523" s="13">
        <v>4</v>
      </c>
      <c r="C6523" s="17" t="s">
        <v>65</v>
      </c>
      <c r="D6523" s="17">
        <v>1580</v>
      </c>
      <c r="E6523" s="17">
        <v>151</v>
      </c>
      <c r="H6523" s="17">
        <v>3</v>
      </c>
      <c r="I6523" s="17">
        <v>2</v>
      </c>
      <c r="J6523" s="17">
        <v>30</v>
      </c>
      <c r="K6523" s="10">
        <v>1430</v>
      </c>
      <c r="P6523" s="17">
        <v>1</v>
      </c>
      <c r="Q6523" s="19">
        <v>1430</v>
      </c>
      <c r="R6523" s="14">
        <v>160</v>
      </c>
      <c r="S6523" s="19">
        <v>228800</v>
      </c>
      <c r="AJ6523" s="19">
        <v>0</v>
      </c>
      <c r="AK6523" s="23">
        <v>0</v>
      </c>
      <c r="AM6523" s="19">
        <v>0</v>
      </c>
      <c r="AN6523" s="19">
        <v>228800</v>
      </c>
      <c r="AP6523" s="14">
        <v>228800</v>
      </c>
      <c r="AQ6523" s="12">
        <v>1E-4</v>
      </c>
    </row>
    <row r="6524" spans="1:45" ht="63" x14ac:dyDescent="0.2">
      <c r="B6524" s="13">
        <v>5</v>
      </c>
      <c r="C6524" s="17" t="s">
        <v>65</v>
      </c>
      <c r="D6524" s="17">
        <v>2873</v>
      </c>
      <c r="E6524" s="17">
        <v>186</v>
      </c>
      <c r="H6524" s="17">
        <v>1</v>
      </c>
      <c r="I6524" s="17">
        <v>0</v>
      </c>
      <c r="J6524" s="17">
        <v>58</v>
      </c>
      <c r="K6524" s="10">
        <v>458</v>
      </c>
      <c r="P6524" s="17">
        <v>1</v>
      </c>
      <c r="Q6524" s="19">
        <v>458</v>
      </c>
      <c r="S6524" s="19">
        <v>0</v>
      </c>
      <c r="AJ6524" s="19">
        <v>0</v>
      </c>
      <c r="AK6524" s="23">
        <v>0</v>
      </c>
      <c r="AM6524" s="19">
        <v>0</v>
      </c>
      <c r="AN6524" s="19">
        <v>0</v>
      </c>
      <c r="AP6524" s="14">
        <v>0</v>
      </c>
      <c r="AQ6524" s="12">
        <v>1E-4</v>
      </c>
      <c r="AR6524" s="19">
        <v>202.88</v>
      </c>
    </row>
    <row r="6525" spans="1:45" ht="63" x14ac:dyDescent="0.2">
      <c r="A6525" s="2">
        <v>5352</v>
      </c>
      <c r="B6525" s="13">
        <v>1</v>
      </c>
      <c r="C6525" s="17" t="s">
        <v>52</v>
      </c>
      <c r="D6525" s="17">
        <v>2398</v>
      </c>
      <c r="E6525" s="17">
        <v>62</v>
      </c>
      <c r="F6525" s="17">
        <v>1737</v>
      </c>
      <c r="G6525" s="13">
        <v>4</v>
      </c>
      <c r="H6525" s="17">
        <v>0</v>
      </c>
      <c r="I6525" s="17">
        <v>0</v>
      </c>
      <c r="J6525" s="17">
        <v>52</v>
      </c>
      <c r="L6525" s="17" t="s">
        <v>404</v>
      </c>
      <c r="P6525" s="17">
        <v>2</v>
      </c>
      <c r="Q6525" s="19">
        <v>52</v>
      </c>
      <c r="R6525" s="14">
        <v>250</v>
      </c>
      <c r="S6525" s="19">
        <v>13000</v>
      </c>
      <c r="T6525" s="17">
        <v>1</v>
      </c>
      <c r="U6525" s="17" t="s">
        <v>57</v>
      </c>
      <c r="V6525" s="17" t="s">
        <v>56</v>
      </c>
      <c r="W6525" s="4">
        <v>120</v>
      </c>
      <c r="Y6525" s="4" t="s">
        <v>396</v>
      </c>
      <c r="AB6525" s="17">
        <v>27</v>
      </c>
      <c r="AE6525" s="17">
        <v>0.125</v>
      </c>
      <c r="AF6525" s="14">
        <v>2</v>
      </c>
      <c r="AG6525" s="54">
        <v>120</v>
      </c>
      <c r="AH6525" s="11">
        <v>1</v>
      </c>
      <c r="AI6525" s="14">
        <v>7250</v>
      </c>
      <c r="AJ6525" s="19">
        <v>870000</v>
      </c>
      <c r="AK6525" s="23">
        <v>27</v>
      </c>
      <c r="AL6525" s="11">
        <v>0.44</v>
      </c>
      <c r="AM6525" s="19">
        <v>487200</v>
      </c>
      <c r="AN6525" s="19">
        <v>500200</v>
      </c>
      <c r="AP6525" s="14">
        <v>500200</v>
      </c>
      <c r="AS6525" s="26">
        <v>47</v>
      </c>
    </row>
    <row r="6526" spans="1:45" x14ac:dyDescent="0.2">
      <c r="Z6526" s="17" t="s">
        <v>272</v>
      </c>
      <c r="AF6526" s="14">
        <v>3</v>
      </c>
      <c r="AG6526" s="54">
        <v>120</v>
      </c>
      <c r="AH6526" s="11">
        <v>0.13</v>
      </c>
      <c r="AI6526" s="14">
        <v>7250</v>
      </c>
      <c r="AJ6526" s="19">
        <v>113100.00000000001</v>
      </c>
      <c r="AK6526" s="23">
        <v>27</v>
      </c>
      <c r="AL6526" s="11">
        <v>0.44</v>
      </c>
      <c r="AM6526" s="19">
        <v>63336.000000000007</v>
      </c>
      <c r="AN6526" s="19">
        <v>63336.000000000007</v>
      </c>
      <c r="AP6526" s="14">
        <v>63336.000000000007</v>
      </c>
      <c r="AQ6526" s="12">
        <v>3.0000000000000001E-3</v>
      </c>
    </row>
    <row r="6527" spans="1:45" x14ac:dyDescent="0.2">
      <c r="A6527" s="2">
        <v>5353</v>
      </c>
      <c r="B6527" s="13">
        <v>2</v>
      </c>
      <c r="C6527" s="17" t="s">
        <v>65</v>
      </c>
      <c r="D6527" s="17">
        <v>1575</v>
      </c>
      <c r="E6527" s="17">
        <v>143</v>
      </c>
      <c r="H6527" s="17">
        <v>3</v>
      </c>
      <c r="I6527" s="17">
        <v>1</v>
      </c>
      <c r="J6527" s="17">
        <v>80</v>
      </c>
      <c r="K6527" s="10">
        <v>1380</v>
      </c>
      <c r="P6527" s="17">
        <v>1</v>
      </c>
      <c r="Q6527" s="19">
        <v>1380</v>
      </c>
      <c r="R6527" s="14">
        <v>160</v>
      </c>
      <c r="S6527" s="19">
        <v>220800</v>
      </c>
      <c r="AJ6527" s="19">
        <v>0</v>
      </c>
      <c r="AK6527" s="23">
        <v>0</v>
      </c>
      <c r="AM6527" s="19">
        <v>0</v>
      </c>
      <c r="AN6527" s="19">
        <v>220800</v>
      </c>
      <c r="AP6527" s="14">
        <v>220800</v>
      </c>
      <c r="AQ6527" s="12">
        <v>1E-4</v>
      </c>
    </row>
    <row r="6528" spans="1:45" x14ac:dyDescent="0.2">
      <c r="A6528" s="2">
        <f>+A6527+1</f>
        <v>5354</v>
      </c>
      <c r="B6528" s="13">
        <v>3</v>
      </c>
      <c r="C6528" s="17" t="s">
        <v>65</v>
      </c>
      <c r="D6528" s="17">
        <v>1652</v>
      </c>
      <c r="E6528" s="17">
        <v>2</v>
      </c>
      <c r="H6528" s="17">
        <v>0</v>
      </c>
      <c r="I6528" s="17">
        <v>3</v>
      </c>
      <c r="J6528" s="17">
        <v>61</v>
      </c>
      <c r="N6528" s="18">
        <v>361</v>
      </c>
      <c r="P6528" s="17">
        <v>4</v>
      </c>
      <c r="Q6528" s="19">
        <v>361</v>
      </c>
      <c r="R6528" s="14">
        <v>160</v>
      </c>
      <c r="S6528" s="19">
        <v>57760</v>
      </c>
      <c r="AJ6528" s="19">
        <v>0</v>
      </c>
      <c r="AK6528" s="23">
        <v>0</v>
      </c>
      <c r="AM6528" s="19">
        <v>0</v>
      </c>
      <c r="AN6528" s="19">
        <v>57760</v>
      </c>
      <c r="AP6528" s="14">
        <v>57760</v>
      </c>
      <c r="AQ6528" s="12">
        <v>3.0000000000000001E-3</v>
      </c>
    </row>
    <row r="6529" spans="1:45" x14ac:dyDescent="0.2">
      <c r="A6529" s="122">
        <f>+A6528+1</f>
        <v>5355</v>
      </c>
      <c r="B6529" s="13">
        <v>4</v>
      </c>
      <c r="C6529" s="17" t="s">
        <v>65</v>
      </c>
      <c r="D6529" s="17">
        <v>1770</v>
      </c>
      <c r="E6529" s="17">
        <v>7</v>
      </c>
      <c r="H6529" s="17">
        <v>6</v>
      </c>
      <c r="I6529" s="17">
        <v>0</v>
      </c>
      <c r="J6529" s="17">
        <v>90</v>
      </c>
      <c r="K6529" s="10">
        <v>2414.94</v>
      </c>
      <c r="L6529" s="17">
        <v>51.06</v>
      </c>
      <c r="P6529" s="17">
        <v>5</v>
      </c>
      <c r="Q6529" s="19">
        <v>2490</v>
      </c>
      <c r="R6529" s="14">
        <v>500</v>
      </c>
      <c r="S6529" s="19">
        <v>1245000</v>
      </c>
    </row>
    <row r="6530" spans="1:45" x14ac:dyDescent="0.2">
      <c r="Q6530" s="19">
        <v>2415</v>
      </c>
      <c r="R6530" s="14">
        <v>500</v>
      </c>
      <c r="S6530" s="19">
        <v>1207500</v>
      </c>
      <c r="AJ6530" s="19">
        <v>0</v>
      </c>
      <c r="AK6530" s="23">
        <v>0</v>
      </c>
      <c r="AM6530" s="19">
        <v>0</v>
      </c>
      <c r="AN6530" s="19">
        <v>1207500</v>
      </c>
      <c r="AP6530" s="14">
        <v>1207500</v>
      </c>
      <c r="AQ6530" s="12">
        <v>1E-4</v>
      </c>
    </row>
    <row r="6531" spans="1:45" x14ac:dyDescent="0.2">
      <c r="Q6531" s="19">
        <v>75</v>
      </c>
      <c r="R6531" s="14">
        <v>500</v>
      </c>
      <c r="S6531" s="19">
        <v>37500</v>
      </c>
      <c r="AJ6531" s="19">
        <v>0</v>
      </c>
      <c r="AK6531" s="23">
        <v>0</v>
      </c>
      <c r="AM6531" s="19">
        <v>0</v>
      </c>
      <c r="AN6531" s="19">
        <v>37500</v>
      </c>
      <c r="AP6531" s="14">
        <v>37500</v>
      </c>
      <c r="AQ6531" s="12">
        <v>2.0000000000000001E-4</v>
      </c>
    </row>
    <row r="6532" spans="1:45" ht="63" x14ac:dyDescent="0.2">
      <c r="T6532" s="17">
        <v>1</v>
      </c>
      <c r="U6532" s="17" t="s">
        <v>57</v>
      </c>
      <c r="V6532" s="17" t="s">
        <v>56</v>
      </c>
      <c r="W6532" s="4">
        <v>204.25</v>
      </c>
      <c r="Y6532" s="4">
        <v>204.25</v>
      </c>
      <c r="AB6532" s="17">
        <v>17</v>
      </c>
      <c r="AF6532" s="14">
        <v>2</v>
      </c>
      <c r="AG6532" s="54">
        <v>204.25</v>
      </c>
      <c r="AH6532" s="11">
        <v>1</v>
      </c>
      <c r="AI6532" s="14">
        <v>7250</v>
      </c>
      <c r="AJ6532" s="19">
        <v>1480812.5</v>
      </c>
      <c r="AK6532" s="23">
        <v>17</v>
      </c>
      <c r="AM6532" s="19">
        <v>1480812.5</v>
      </c>
      <c r="AN6532" s="19">
        <v>1480812.5</v>
      </c>
      <c r="AP6532" s="14">
        <v>1480812.5</v>
      </c>
    </row>
    <row r="6533" spans="1:45" ht="63" x14ac:dyDescent="0.2">
      <c r="T6533" s="17">
        <v>2</v>
      </c>
      <c r="U6533" s="17" t="s">
        <v>57</v>
      </c>
      <c r="V6533" s="17" t="s">
        <v>56</v>
      </c>
      <c r="W6533" s="4">
        <v>96</v>
      </c>
      <c r="Y6533" s="4">
        <v>96</v>
      </c>
      <c r="AB6533" s="17">
        <v>11</v>
      </c>
      <c r="AF6533" s="14">
        <v>2</v>
      </c>
      <c r="AG6533" s="54">
        <v>96</v>
      </c>
      <c r="AH6533" s="11">
        <v>1</v>
      </c>
      <c r="AI6533" s="14">
        <v>7250</v>
      </c>
      <c r="AJ6533" s="19">
        <v>696000</v>
      </c>
      <c r="AK6533" s="23">
        <v>11</v>
      </c>
      <c r="AM6533" s="19">
        <v>696000</v>
      </c>
      <c r="AN6533" s="19">
        <v>696000</v>
      </c>
      <c r="AP6533" s="14">
        <v>696000</v>
      </c>
    </row>
    <row r="6534" spans="1:45" x14ac:dyDescent="0.2">
      <c r="A6534" s="2">
        <v>5356</v>
      </c>
      <c r="B6534" s="13">
        <v>5</v>
      </c>
      <c r="C6534" s="17" t="s">
        <v>65</v>
      </c>
      <c r="D6534" s="17">
        <v>3831</v>
      </c>
      <c r="E6534" s="17">
        <v>217</v>
      </c>
      <c r="H6534" s="17">
        <v>6</v>
      </c>
      <c r="I6534" s="17">
        <v>2</v>
      </c>
      <c r="J6534" s="17">
        <v>82</v>
      </c>
      <c r="K6534" s="10">
        <v>2682</v>
      </c>
      <c r="P6534" s="17">
        <v>1</v>
      </c>
      <c r="Q6534" s="19">
        <v>2682</v>
      </c>
      <c r="R6534" s="14">
        <v>200</v>
      </c>
      <c r="S6534" s="19">
        <v>536400</v>
      </c>
      <c r="AE6534" s="17" t="s">
        <v>94</v>
      </c>
      <c r="AJ6534" s="19">
        <v>0</v>
      </c>
      <c r="AK6534" s="23">
        <v>0</v>
      </c>
      <c r="AM6534" s="19">
        <v>0</v>
      </c>
      <c r="AN6534" s="19">
        <v>536400</v>
      </c>
      <c r="AP6534" s="14">
        <v>536400</v>
      </c>
      <c r="AQ6534" s="12">
        <v>1E-4</v>
      </c>
    </row>
    <row r="6535" spans="1:45" x14ac:dyDescent="0.2">
      <c r="A6535" s="2">
        <v>5357</v>
      </c>
      <c r="B6535" s="13">
        <v>1</v>
      </c>
      <c r="C6535" s="17" t="s">
        <v>65</v>
      </c>
      <c r="D6535" s="17">
        <v>1669</v>
      </c>
      <c r="E6535" s="17">
        <v>9</v>
      </c>
      <c r="H6535" s="17">
        <v>4</v>
      </c>
      <c r="I6535" s="17">
        <v>3</v>
      </c>
      <c r="J6535" s="17">
        <v>43</v>
      </c>
      <c r="K6535" s="10">
        <v>1891.06</v>
      </c>
      <c r="P6535" s="17">
        <v>1</v>
      </c>
      <c r="Q6535" s="19">
        <v>1943</v>
      </c>
      <c r="R6535" s="14">
        <v>1000</v>
      </c>
      <c r="S6535" s="19">
        <v>1943000</v>
      </c>
      <c r="AS6535" s="26">
        <v>283</v>
      </c>
    </row>
    <row r="6536" spans="1:45" x14ac:dyDescent="0.2">
      <c r="Q6536" s="19">
        <v>1890</v>
      </c>
      <c r="R6536" s="14">
        <v>1000</v>
      </c>
      <c r="S6536" s="19">
        <v>1890000</v>
      </c>
      <c r="AJ6536" s="19">
        <v>0</v>
      </c>
      <c r="AK6536" s="23">
        <v>0</v>
      </c>
      <c r="AM6536" s="19">
        <v>0</v>
      </c>
      <c r="AN6536" s="19">
        <v>1890000</v>
      </c>
      <c r="AP6536" s="14">
        <v>1890000</v>
      </c>
      <c r="AQ6536" s="12">
        <v>1E-4</v>
      </c>
    </row>
    <row r="6537" spans="1:45" x14ac:dyDescent="0.2">
      <c r="Q6537" s="19">
        <v>52</v>
      </c>
      <c r="R6537" s="14">
        <v>1000</v>
      </c>
      <c r="S6537" s="19">
        <v>52000</v>
      </c>
      <c r="AJ6537" s="19">
        <v>0</v>
      </c>
      <c r="AK6537" s="23">
        <v>0</v>
      </c>
      <c r="AM6537" s="19">
        <v>0</v>
      </c>
      <c r="AN6537" s="19">
        <v>52000</v>
      </c>
      <c r="AP6537" s="14">
        <v>52000</v>
      </c>
      <c r="AQ6537" s="12">
        <v>2.0000000000000001E-4</v>
      </c>
    </row>
    <row r="6538" spans="1:45" ht="63" x14ac:dyDescent="0.2">
      <c r="L6538" s="17" t="s">
        <v>667</v>
      </c>
      <c r="T6538" s="17">
        <v>1</v>
      </c>
      <c r="U6538" s="17" t="s">
        <v>57</v>
      </c>
      <c r="V6538" s="17" t="s">
        <v>56</v>
      </c>
      <c r="W6538" s="4">
        <v>137.75</v>
      </c>
      <c r="Y6538" s="4">
        <v>137.75</v>
      </c>
      <c r="AB6538" s="17">
        <v>31</v>
      </c>
      <c r="AF6538" s="14">
        <v>2</v>
      </c>
      <c r="AG6538" s="54">
        <v>137.75</v>
      </c>
      <c r="AH6538" s="11">
        <v>1</v>
      </c>
      <c r="AI6538" s="14">
        <v>7250</v>
      </c>
      <c r="AJ6538" s="19">
        <v>998687.5</v>
      </c>
      <c r="AK6538" s="23">
        <v>31</v>
      </c>
      <c r="AM6538" s="19">
        <v>998687.5</v>
      </c>
      <c r="AN6538" s="19">
        <v>998687.5</v>
      </c>
      <c r="AP6538" s="14">
        <v>998687.5</v>
      </c>
    </row>
    <row r="6539" spans="1:45" ht="63" x14ac:dyDescent="0.2">
      <c r="L6539" s="17">
        <v>17.5</v>
      </c>
      <c r="T6539" s="17">
        <v>2</v>
      </c>
      <c r="U6539" s="17" t="s">
        <v>57</v>
      </c>
      <c r="V6539" s="17" t="s">
        <v>56</v>
      </c>
      <c r="W6539" s="4">
        <v>70</v>
      </c>
      <c r="Y6539" s="4">
        <v>70</v>
      </c>
      <c r="AB6539" s="17">
        <v>9</v>
      </c>
      <c r="AF6539" s="14">
        <v>2</v>
      </c>
      <c r="AG6539" s="54">
        <v>70</v>
      </c>
      <c r="AH6539" s="11">
        <v>1</v>
      </c>
      <c r="AI6539" s="14">
        <v>7250</v>
      </c>
      <c r="AJ6539" s="19">
        <v>507500</v>
      </c>
      <c r="AK6539" s="23">
        <v>9</v>
      </c>
      <c r="AM6539" s="19">
        <v>507500</v>
      </c>
      <c r="AN6539" s="19">
        <v>507500</v>
      </c>
      <c r="AP6539" s="14">
        <v>507500</v>
      </c>
    </row>
    <row r="6540" spans="1:45" x14ac:dyDescent="0.2">
      <c r="B6540" s="13">
        <v>1</v>
      </c>
      <c r="C6540" s="17" t="s">
        <v>65</v>
      </c>
      <c r="D6540" s="17">
        <v>3148</v>
      </c>
      <c r="E6540" s="17">
        <v>64</v>
      </c>
      <c r="H6540" s="17">
        <v>0</v>
      </c>
      <c r="I6540" s="17">
        <v>3</v>
      </c>
      <c r="J6540" s="17">
        <v>4</v>
      </c>
      <c r="K6540" s="10">
        <v>304</v>
      </c>
      <c r="Q6540" s="19">
        <v>304</v>
      </c>
      <c r="R6540" s="14" t="e">
        <v>#N/A</v>
      </c>
      <c r="S6540" s="19" t="e">
        <v>#N/A</v>
      </c>
      <c r="AE6540" s="17" t="s">
        <v>95</v>
      </c>
      <c r="AJ6540" s="19">
        <v>0</v>
      </c>
      <c r="AK6540" s="23">
        <v>0</v>
      </c>
      <c r="AM6540" s="19">
        <v>0</v>
      </c>
      <c r="AN6540" s="19" t="e">
        <v>#N/A</v>
      </c>
      <c r="AP6540" s="14" t="e">
        <v>#N/A</v>
      </c>
      <c r="AQ6540" s="12">
        <v>1E-4</v>
      </c>
    </row>
    <row r="6541" spans="1:45" x14ac:dyDescent="0.2">
      <c r="B6541" s="13">
        <v>1</v>
      </c>
      <c r="C6541" s="17" t="s">
        <v>69</v>
      </c>
      <c r="E6541" s="17">
        <v>2330</v>
      </c>
      <c r="F6541" s="17">
        <v>2</v>
      </c>
      <c r="G6541" s="13">
        <v>2</v>
      </c>
      <c r="H6541" s="17">
        <v>11</v>
      </c>
      <c r="I6541" s="17">
        <v>1</v>
      </c>
      <c r="J6541" s="17">
        <v>69</v>
      </c>
      <c r="K6541" s="10">
        <v>4569</v>
      </c>
      <c r="Q6541" s="19">
        <v>4569</v>
      </c>
      <c r="R6541" s="14" t="e">
        <v>#N/A</v>
      </c>
      <c r="S6541" s="19" t="e">
        <v>#N/A</v>
      </c>
      <c r="AJ6541" s="19">
        <v>0</v>
      </c>
      <c r="AK6541" s="23">
        <v>0</v>
      </c>
      <c r="AM6541" s="19">
        <v>0</v>
      </c>
      <c r="AN6541" s="19" t="e">
        <v>#N/A</v>
      </c>
      <c r="AP6541" s="14" t="e">
        <v>#N/A</v>
      </c>
      <c r="AQ6541" s="12">
        <v>1E-4</v>
      </c>
    </row>
    <row r="6542" spans="1:45" ht="42" x14ac:dyDescent="0.2">
      <c r="A6542" s="2">
        <v>5358</v>
      </c>
      <c r="B6542" s="13">
        <v>1</v>
      </c>
      <c r="C6542" s="17" t="s">
        <v>52</v>
      </c>
      <c r="D6542" s="17">
        <v>2021</v>
      </c>
      <c r="E6542" s="17">
        <v>100</v>
      </c>
      <c r="F6542" s="17">
        <v>1087</v>
      </c>
      <c r="H6542" s="17">
        <v>0</v>
      </c>
      <c r="I6542" s="17">
        <v>2</v>
      </c>
      <c r="J6542" s="17">
        <v>50</v>
      </c>
      <c r="K6542" s="10">
        <v>178</v>
      </c>
      <c r="L6542" s="17">
        <v>72</v>
      </c>
      <c r="P6542" s="17">
        <v>5</v>
      </c>
      <c r="Q6542" s="19">
        <v>250</v>
      </c>
      <c r="R6542" s="14">
        <v>1500</v>
      </c>
      <c r="S6542" s="19">
        <v>375000</v>
      </c>
      <c r="T6542" s="17">
        <v>1</v>
      </c>
      <c r="V6542" s="17" t="s">
        <v>183</v>
      </c>
      <c r="W6542" s="4">
        <v>144</v>
      </c>
      <c r="Y6542" s="4">
        <v>144</v>
      </c>
      <c r="AB6542" s="17">
        <v>33</v>
      </c>
      <c r="AJ6542" s="19">
        <v>0</v>
      </c>
      <c r="AK6542" s="23">
        <v>33</v>
      </c>
      <c r="AM6542" s="19">
        <v>0</v>
      </c>
      <c r="AN6542" s="19">
        <v>375000</v>
      </c>
      <c r="AP6542" s="14">
        <v>375000</v>
      </c>
    </row>
    <row r="6543" spans="1:45" ht="42" x14ac:dyDescent="0.2">
      <c r="Q6543" s="19">
        <v>0</v>
      </c>
      <c r="R6543" s="14" t="e">
        <v>#N/A</v>
      </c>
      <c r="S6543" s="19" t="e">
        <v>#N/A</v>
      </c>
      <c r="T6543" s="17">
        <v>2</v>
      </c>
      <c r="V6543" s="17" t="s">
        <v>183</v>
      </c>
      <c r="W6543" s="4">
        <v>144</v>
      </c>
      <c r="Y6543" s="4">
        <v>144</v>
      </c>
      <c r="AB6543" s="17">
        <v>10</v>
      </c>
      <c r="AJ6543" s="19">
        <v>0</v>
      </c>
      <c r="AK6543" s="23">
        <v>10</v>
      </c>
      <c r="AM6543" s="19">
        <v>0</v>
      </c>
      <c r="AN6543" s="19" t="e">
        <v>#N/A</v>
      </c>
      <c r="AP6543" s="14" t="e">
        <v>#N/A</v>
      </c>
    </row>
    <row r="6544" spans="1:45" x14ac:dyDescent="0.2">
      <c r="A6544" s="2">
        <v>5359</v>
      </c>
      <c r="B6544" s="13">
        <v>1</v>
      </c>
      <c r="C6544" s="17" t="s">
        <v>52</v>
      </c>
      <c r="D6544" s="17">
        <v>1002</v>
      </c>
      <c r="E6544" s="17">
        <v>4</v>
      </c>
      <c r="F6544" s="17">
        <v>251</v>
      </c>
      <c r="G6544" s="13">
        <v>1</v>
      </c>
      <c r="H6544" s="17">
        <v>3</v>
      </c>
      <c r="I6544" s="17">
        <v>2</v>
      </c>
      <c r="J6544" s="17">
        <v>30</v>
      </c>
      <c r="K6544" s="10">
        <v>1430</v>
      </c>
      <c r="P6544" s="17">
        <v>1</v>
      </c>
      <c r="Q6544" s="19">
        <v>1430</v>
      </c>
      <c r="R6544" s="14">
        <v>160</v>
      </c>
      <c r="S6544" s="19">
        <v>228800</v>
      </c>
      <c r="AJ6544" s="19">
        <v>0</v>
      </c>
      <c r="AK6544" s="23">
        <v>0</v>
      </c>
      <c r="AM6544" s="19">
        <v>0</v>
      </c>
      <c r="AN6544" s="19">
        <v>228800</v>
      </c>
      <c r="AP6544" s="14">
        <v>228800</v>
      </c>
      <c r="AS6544" s="26">
        <v>39</v>
      </c>
    </row>
    <row r="6545" spans="1:45" x14ac:dyDescent="0.2">
      <c r="A6545" s="2">
        <f>+A6544+1</f>
        <v>5360</v>
      </c>
      <c r="B6545" s="13">
        <v>2</v>
      </c>
      <c r="C6545" s="17" t="s">
        <v>52</v>
      </c>
      <c r="D6545" s="17">
        <v>1005</v>
      </c>
      <c r="E6545" s="17">
        <v>1</v>
      </c>
      <c r="F6545" s="17">
        <v>330</v>
      </c>
      <c r="G6545" s="13">
        <v>1</v>
      </c>
      <c r="H6545" s="17">
        <v>5</v>
      </c>
      <c r="I6545" s="17">
        <v>1</v>
      </c>
      <c r="J6545" s="17">
        <v>62</v>
      </c>
      <c r="K6545" s="10">
        <v>2162</v>
      </c>
      <c r="P6545" s="17">
        <v>1</v>
      </c>
      <c r="Q6545" s="19">
        <v>2162</v>
      </c>
      <c r="R6545" s="14">
        <v>160</v>
      </c>
      <c r="S6545" s="19">
        <v>345920</v>
      </c>
      <c r="AJ6545" s="19">
        <v>0</v>
      </c>
      <c r="AK6545" s="23">
        <v>0</v>
      </c>
      <c r="AM6545" s="19">
        <v>0</v>
      </c>
      <c r="AN6545" s="19">
        <v>345920</v>
      </c>
      <c r="AP6545" s="14">
        <v>345920</v>
      </c>
    </row>
    <row r="6546" spans="1:45" x14ac:dyDescent="0.2">
      <c r="A6546" s="122">
        <f t="shared" ref="A6546:A6548" si="673">+A6545+1</f>
        <v>5361</v>
      </c>
      <c r="B6546" s="13">
        <v>3</v>
      </c>
      <c r="C6546" s="17" t="s">
        <v>65</v>
      </c>
      <c r="D6546" s="17">
        <v>1433</v>
      </c>
      <c r="E6546" s="17">
        <v>8</v>
      </c>
      <c r="H6546" s="17">
        <v>4</v>
      </c>
      <c r="I6546" s="17">
        <v>0</v>
      </c>
      <c r="J6546" s="17">
        <v>43</v>
      </c>
      <c r="K6546" s="10">
        <v>1643</v>
      </c>
      <c r="P6546" s="17">
        <v>1</v>
      </c>
      <c r="Q6546" s="19">
        <v>1643</v>
      </c>
      <c r="R6546" s="14">
        <v>160</v>
      </c>
      <c r="S6546" s="19">
        <v>262880</v>
      </c>
      <c r="AJ6546" s="19">
        <v>0</v>
      </c>
      <c r="AK6546" s="23">
        <v>0</v>
      </c>
      <c r="AM6546" s="19">
        <v>0</v>
      </c>
      <c r="AN6546" s="19">
        <v>262880</v>
      </c>
      <c r="AP6546" s="14">
        <v>262880</v>
      </c>
      <c r="AQ6546" s="12">
        <v>1E-4</v>
      </c>
    </row>
    <row r="6547" spans="1:45" x14ac:dyDescent="0.2">
      <c r="A6547" s="122">
        <f t="shared" si="673"/>
        <v>5362</v>
      </c>
      <c r="B6547" s="13">
        <v>1</v>
      </c>
      <c r="C6547" s="17" t="s">
        <v>52</v>
      </c>
      <c r="D6547" s="17">
        <v>834</v>
      </c>
      <c r="E6547" s="17">
        <v>2</v>
      </c>
      <c r="F6547" s="17">
        <v>412</v>
      </c>
      <c r="G6547" s="13">
        <v>1</v>
      </c>
      <c r="H6547" s="17">
        <v>8</v>
      </c>
      <c r="I6547" s="17">
        <v>1</v>
      </c>
      <c r="J6547" s="17">
        <v>34</v>
      </c>
      <c r="K6547" s="10">
        <v>3334</v>
      </c>
      <c r="P6547" s="17">
        <v>1</v>
      </c>
      <c r="Q6547" s="19">
        <v>3334</v>
      </c>
      <c r="R6547" s="14">
        <v>160</v>
      </c>
      <c r="S6547" s="19">
        <v>533440</v>
      </c>
      <c r="AJ6547" s="19">
        <v>0</v>
      </c>
      <c r="AK6547" s="23">
        <v>0</v>
      </c>
      <c r="AM6547" s="19">
        <v>0</v>
      </c>
      <c r="AN6547" s="19">
        <v>533440</v>
      </c>
      <c r="AP6547" s="14">
        <v>533440</v>
      </c>
      <c r="AS6547" s="26">
        <v>25</v>
      </c>
    </row>
    <row r="6548" spans="1:45" ht="231" x14ac:dyDescent="0.2">
      <c r="A6548" s="122">
        <f t="shared" si="673"/>
        <v>5363</v>
      </c>
      <c r="B6548" s="13">
        <v>1</v>
      </c>
      <c r="C6548" s="17" t="s">
        <v>52</v>
      </c>
      <c r="D6548" s="17">
        <v>30176</v>
      </c>
      <c r="E6548" s="17">
        <v>176</v>
      </c>
      <c r="F6548" s="17">
        <v>5529</v>
      </c>
      <c r="G6548" s="13">
        <v>2</v>
      </c>
      <c r="H6548" s="17">
        <v>0</v>
      </c>
      <c r="I6548" s="17">
        <v>1</v>
      </c>
      <c r="J6548" s="17">
        <v>85</v>
      </c>
      <c r="L6548" s="17" t="s">
        <v>668</v>
      </c>
      <c r="P6548" s="17">
        <v>5</v>
      </c>
      <c r="Q6548" s="19">
        <v>185</v>
      </c>
      <c r="R6548" s="14">
        <v>250</v>
      </c>
      <c r="S6548" s="19">
        <v>46250</v>
      </c>
      <c r="T6548" s="17">
        <v>1</v>
      </c>
      <c r="V6548" s="17" t="s">
        <v>183</v>
      </c>
      <c r="W6548" s="4">
        <v>220</v>
      </c>
      <c r="Y6548" s="4" t="s">
        <v>669</v>
      </c>
      <c r="Z6548" s="17" t="s">
        <v>534</v>
      </c>
      <c r="AB6548" s="17">
        <v>11</v>
      </c>
      <c r="AC6548" s="14" t="s">
        <v>486</v>
      </c>
      <c r="AF6548" s="14">
        <v>2</v>
      </c>
      <c r="AG6548" s="54">
        <v>220</v>
      </c>
      <c r="AH6548" s="11">
        <v>0.86363636363636365</v>
      </c>
      <c r="AI6548" s="14">
        <v>7250</v>
      </c>
      <c r="AJ6548" s="19">
        <v>1377500</v>
      </c>
      <c r="AK6548" s="23">
        <v>11</v>
      </c>
      <c r="AL6548" s="11">
        <v>0.12</v>
      </c>
      <c r="AM6548" s="19">
        <v>1212200</v>
      </c>
      <c r="AN6548" s="19">
        <v>1258450</v>
      </c>
      <c r="AP6548" s="14">
        <v>1258450</v>
      </c>
    </row>
    <row r="6549" spans="1:45" x14ac:dyDescent="0.2">
      <c r="AF6549" s="14">
        <v>3</v>
      </c>
      <c r="AG6549" s="54">
        <v>220</v>
      </c>
      <c r="AH6549" s="11">
        <v>0.13636363636363635</v>
      </c>
      <c r="AI6549" s="14">
        <v>7250</v>
      </c>
      <c r="AJ6549" s="19">
        <v>217499.99999999997</v>
      </c>
      <c r="AK6549" s="23">
        <v>11</v>
      </c>
      <c r="AL6549" s="11">
        <v>0.12</v>
      </c>
      <c r="AM6549" s="19">
        <v>191399.99999999997</v>
      </c>
      <c r="AN6549" s="19">
        <v>196949.99999999997</v>
      </c>
      <c r="AP6549" s="14">
        <v>196949.99999999997</v>
      </c>
      <c r="AQ6549" s="12">
        <v>3.0000000000000001E-3</v>
      </c>
    </row>
    <row r="6550" spans="1:45" ht="42" x14ac:dyDescent="0.2">
      <c r="A6550" s="2">
        <v>5364</v>
      </c>
      <c r="B6550" s="13">
        <v>1</v>
      </c>
      <c r="C6550" s="17" t="s">
        <v>52</v>
      </c>
      <c r="D6550" s="17">
        <v>18446</v>
      </c>
      <c r="E6550" s="17">
        <v>162</v>
      </c>
      <c r="F6550" s="17">
        <v>3639</v>
      </c>
      <c r="G6550" s="13">
        <v>1</v>
      </c>
      <c r="H6550" s="17">
        <v>0</v>
      </c>
      <c r="I6550" s="17">
        <v>2</v>
      </c>
      <c r="J6550" s="17">
        <v>90</v>
      </c>
      <c r="K6550" s="10">
        <v>266</v>
      </c>
      <c r="L6550" s="17">
        <v>24</v>
      </c>
      <c r="P6550" s="17">
        <v>5</v>
      </c>
      <c r="Q6550" s="19">
        <v>290</v>
      </c>
      <c r="R6550" s="14">
        <v>200</v>
      </c>
      <c r="S6550" s="19">
        <v>58000</v>
      </c>
      <c r="T6550" s="17">
        <v>1</v>
      </c>
      <c r="V6550" s="17" t="s">
        <v>183</v>
      </c>
      <c r="W6550" s="4">
        <v>96</v>
      </c>
      <c r="Y6550" s="4">
        <v>96</v>
      </c>
      <c r="AB6550" s="17">
        <v>10</v>
      </c>
      <c r="AJ6550" s="19">
        <v>0</v>
      </c>
      <c r="AK6550" s="23">
        <v>10</v>
      </c>
      <c r="AM6550" s="19">
        <v>0</v>
      </c>
      <c r="AN6550" s="19">
        <v>58000</v>
      </c>
      <c r="AP6550" s="14">
        <v>58000</v>
      </c>
    </row>
    <row r="6551" spans="1:45" x14ac:dyDescent="0.2">
      <c r="A6551" s="2">
        <f>+A6550+1</f>
        <v>5365</v>
      </c>
      <c r="B6551" s="13">
        <v>1</v>
      </c>
      <c r="C6551" s="17" t="s">
        <v>52</v>
      </c>
      <c r="D6551" s="17">
        <v>23809</v>
      </c>
      <c r="E6551" s="17">
        <v>87</v>
      </c>
      <c r="F6551" s="17">
        <v>4865</v>
      </c>
      <c r="G6551" s="13">
        <v>4</v>
      </c>
      <c r="H6551" s="17">
        <v>0</v>
      </c>
      <c r="I6551" s="17">
        <v>0</v>
      </c>
      <c r="J6551" s="17">
        <v>46</v>
      </c>
      <c r="K6551" s="10">
        <v>46</v>
      </c>
      <c r="P6551" s="17">
        <v>1</v>
      </c>
      <c r="Q6551" s="19">
        <v>46</v>
      </c>
      <c r="R6551" s="14">
        <v>250</v>
      </c>
      <c r="S6551" s="19">
        <v>11500</v>
      </c>
      <c r="AJ6551" s="19">
        <v>0</v>
      </c>
      <c r="AK6551" s="23">
        <v>0</v>
      </c>
      <c r="AM6551" s="19">
        <v>0</v>
      </c>
      <c r="AN6551" s="19">
        <v>11500</v>
      </c>
      <c r="AP6551" s="14">
        <v>11500</v>
      </c>
    </row>
    <row r="6552" spans="1:45" x14ac:dyDescent="0.2">
      <c r="A6552" s="122">
        <f t="shared" ref="A6552:A6561" si="674">+A6551+1</f>
        <v>5366</v>
      </c>
      <c r="B6552" s="13">
        <v>1</v>
      </c>
      <c r="C6552" s="17" t="s">
        <v>52</v>
      </c>
      <c r="D6552" s="17">
        <v>20302</v>
      </c>
      <c r="E6552" s="17">
        <v>55</v>
      </c>
      <c r="F6552" s="17">
        <v>4554</v>
      </c>
      <c r="G6552" s="13">
        <v>4</v>
      </c>
      <c r="H6552" s="17">
        <v>0</v>
      </c>
      <c r="I6552" s="17">
        <v>0</v>
      </c>
      <c r="J6552" s="17">
        <v>32</v>
      </c>
      <c r="L6552" s="17">
        <v>32</v>
      </c>
      <c r="P6552" s="17">
        <v>2</v>
      </c>
      <c r="Q6552" s="19">
        <v>32</v>
      </c>
      <c r="R6552" s="14">
        <v>2000</v>
      </c>
      <c r="S6552" s="19">
        <v>64000</v>
      </c>
      <c r="AJ6552" s="19">
        <v>0</v>
      </c>
      <c r="AK6552" s="23">
        <v>0</v>
      </c>
      <c r="AM6552" s="19">
        <v>0</v>
      </c>
      <c r="AN6552" s="19">
        <v>64000</v>
      </c>
      <c r="AP6552" s="14">
        <v>64000</v>
      </c>
    </row>
    <row r="6553" spans="1:45" x14ac:dyDescent="0.2">
      <c r="A6553" s="122">
        <f t="shared" si="674"/>
        <v>5367</v>
      </c>
      <c r="B6553" s="13">
        <v>2</v>
      </c>
      <c r="C6553" s="17" t="s">
        <v>52</v>
      </c>
      <c r="D6553" s="17">
        <v>20302</v>
      </c>
      <c r="E6553" s="17">
        <v>55</v>
      </c>
      <c r="F6553" s="17">
        <v>4554</v>
      </c>
      <c r="G6553" s="13">
        <v>4</v>
      </c>
      <c r="H6553" s="17">
        <v>0</v>
      </c>
      <c r="I6553" s="17">
        <v>0</v>
      </c>
      <c r="J6553" s="17">
        <v>32</v>
      </c>
      <c r="L6553" s="17">
        <v>32</v>
      </c>
      <c r="P6553" s="17">
        <v>2</v>
      </c>
      <c r="Q6553" s="19">
        <v>32</v>
      </c>
      <c r="R6553" s="14">
        <v>2000</v>
      </c>
      <c r="S6553" s="19">
        <v>64000</v>
      </c>
      <c r="AJ6553" s="19">
        <v>0</v>
      </c>
      <c r="AK6553" s="23">
        <v>0</v>
      </c>
      <c r="AM6553" s="19">
        <v>0</v>
      </c>
      <c r="AN6553" s="19">
        <v>64000</v>
      </c>
      <c r="AP6553" s="14">
        <v>64000</v>
      </c>
    </row>
    <row r="6554" spans="1:45" x14ac:dyDescent="0.2">
      <c r="A6554" s="122">
        <f t="shared" si="674"/>
        <v>5368</v>
      </c>
      <c r="B6554" s="13">
        <v>1</v>
      </c>
      <c r="C6554" s="17" t="s">
        <v>52</v>
      </c>
      <c r="D6554" s="17">
        <v>1110</v>
      </c>
      <c r="E6554" s="17">
        <v>13</v>
      </c>
      <c r="F6554" s="17">
        <v>1028</v>
      </c>
      <c r="G6554" s="13">
        <v>1</v>
      </c>
      <c r="H6554" s="17">
        <v>6</v>
      </c>
      <c r="I6554" s="17">
        <v>3</v>
      </c>
      <c r="J6554" s="17">
        <v>10</v>
      </c>
      <c r="K6554" s="10">
        <v>2710</v>
      </c>
      <c r="P6554" s="17">
        <v>1</v>
      </c>
      <c r="Q6554" s="19">
        <v>2710</v>
      </c>
      <c r="R6554" s="14">
        <v>200</v>
      </c>
      <c r="S6554" s="19">
        <v>542000</v>
      </c>
      <c r="AJ6554" s="19">
        <v>0</v>
      </c>
      <c r="AK6554" s="23">
        <v>0</v>
      </c>
      <c r="AM6554" s="19">
        <v>0</v>
      </c>
      <c r="AN6554" s="19">
        <v>542000</v>
      </c>
      <c r="AP6554" s="14">
        <v>542000</v>
      </c>
      <c r="AS6554" s="26">
        <v>37</v>
      </c>
    </row>
    <row r="6555" spans="1:45" x14ac:dyDescent="0.2">
      <c r="A6555" s="122">
        <f t="shared" si="674"/>
        <v>5369</v>
      </c>
      <c r="B6555" s="13">
        <v>1</v>
      </c>
      <c r="C6555" s="17" t="s">
        <v>52</v>
      </c>
      <c r="D6555" s="17">
        <v>4639</v>
      </c>
      <c r="E6555" s="17">
        <v>60</v>
      </c>
      <c r="F6555" s="17">
        <v>2462</v>
      </c>
      <c r="G6555" s="13">
        <v>1</v>
      </c>
      <c r="H6555" s="17">
        <v>1</v>
      </c>
      <c r="I6555" s="17">
        <v>1</v>
      </c>
      <c r="J6555" s="17">
        <v>59</v>
      </c>
      <c r="K6555" s="10">
        <v>559</v>
      </c>
      <c r="P6555" s="17">
        <v>1</v>
      </c>
      <c r="Q6555" s="19">
        <v>559</v>
      </c>
      <c r="R6555" s="14">
        <v>250</v>
      </c>
      <c r="S6555" s="19">
        <v>139750</v>
      </c>
      <c r="AJ6555" s="19">
        <v>0</v>
      </c>
      <c r="AK6555" s="23">
        <v>0</v>
      </c>
      <c r="AM6555" s="19">
        <v>0</v>
      </c>
      <c r="AN6555" s="19">
        <v>139750</v>
      </c>
      <c r="AP6555" s="14">
        <v>139750</v>
      </c>
    </row>
    <row r="6556" spans="1:45" x14ac:dyDescent="0.2">
      <c r="A6556" s="122">
        <f t="shared" si="674"/>
        <v>5370</v>
      </c>
      <c r="B6556" s="13">
        <v>1</v>
      </c>
      <c r="C6556" s="17" t="s">
        <v>52</v>
      </c>
      <c r="D6556" s="17">
        <v>1675</v>
      </c>
      <c r="E6556" s="17">
        <v>46</v>
      </c>
      <c r="F6556" s="17">
        <v>1373</v>
      </c>
      <c r="G6556" s="13">
        <v>2</v>
      </c>
      <c r="H6556" s="17">
        <v>0</v>
      </c>
      <c r="I6556" s="17">
        <v>1</v>
      </c>
      <c r="J6556" s="17">
        <v>12</v>
      </c>
      <c r="L6556" s="17">
        <v>112</v>
      </c>
      <c r="P6556" s="17">
        <v>2</v>
      </c>
      <c r="Q6556" s="19">
        <v>112</v>
      </c>
      <c r="R6556" s="14">
        <v>160</v>
      </c>
      <c r="S6556" s="19">
        <v>17920</v>
      </c>
      <c r="AJ6556" s="19">
        <v>0</v>
      </c>
      <c r="AK6556" s="23">
        <v>0</v>
      </c>
      <c r="AM6556" s="19">
        <v>0</v>
      </c>
      <c r="AN6556" s="19">
        <v>17920</v>
      </c>
      <c r="AP6556" s="14">
        <v>17920</v>
      </c>
      <c r="AS6556" s="26">
        <v>18</v>
      </c>
    </row>
    <row r="6557" spans="1:45" x14ac:dyDescent="0.2">
      <c r="A6557" s="122">
        <f t="shared" si="674"/>
        <v>5371</v>
      </c>
      <c r="B6557" s="13">
        <v>2</v>
      </c>
      <c r="C6557" s="17" t="s">
        <v>52</v>
      </c>
      <c r="D6557" s="17">
        <v>1676</v>
      </c>
      <c r="E6557" s="17">
        <v>47</v>
      </c>
      <c r="F6557" s="17">
        <v>1374</v>
      </c>
      <c r="G6557" s="13">
        <v>2</v>
      </c>
      <c r="H6557" s="17">
        <v>0</v>
      </c>
      <c r="I6557" s="17">
        <v>0</v>
      </c>
      <c r="J6557" s="17">
        <v>90</v>
      </c>
      <c r="K6557" s="10" t="s">
        <v>156</v>
      </c>
      <c r="P6557" s="17">
        <v>1</v>
      </c>
      <c r="Q6557" s="19">
        <v>90</v>
      </c>
      <c r="R6557" s="14">
        <v>160</v>
      </c>
      <c r="S6557" s="19">
        <v>14400</v>
      </c>
      <c r="AJ6557" s="19">
        <v>0</v>
      </c>
      <c r="AK6557" s="23">
        <v>0</v>
      </c>
      <c r="AM6557" s="19">
        <v>0</v>
      </c>
      <c r="AN6557" s="19">
        <v>14400</v>
      </c>
      <c r="AP6557" s="14">
        <v>14400</v>
      </c>
      <c r="AQ6557" s="12">
        <v>3.0000000000000001E-3</v>
      </c>
    </row>
    <row r="6558" spans="1:45" ht="42" x14ac:dyDescent="0.2">
      <c r="A6558" s="122">
        <f t="shared" si="674"/>
        <v>5372</v>
      </c>
      <c r="B6558" s="13">
        <v>3</v>
      </c>
      <c r="C6558" s="17" t="s">
        <v>52</v>
      </c>
      <c r="D6558" s="17">
        <v>1677</v>
      </c>
      <c r="E6558" s="17">
        <v>48</v>
      </c>
      <c r="F6558" s="17">
        <v>1375</v>
      </c>
      <c r="G6558" s="13">
        <v>2</v>
      </c>
      <c r="H6558" s="17">
        <v>0</v>
      </c>
      <c r="I6558" s="17">
        <v>0</v>
      </c>
      <c r="J6558" s="17">
        <v>94</v>
      </c>
      <c r="K6558" s="10">
        <v>87</v>
      </c>
      <c r="L6558" s="17">
        <v>7</v>
      </c>
      <c r="P6558" s="17">
        <v>5</v>
      </c>
      <c r="Q6558" s="19">
        <v>94</v>
      </c>
      <c r="R6558" s="14">
        <v>160</v>
      </c>
      <c r="S6558" s="19">
        <v>15040</v>
      </c>
      <c r="T6558" s="17">
        <v>1</v>
      </c>
      <c r="V6558" s="17" t="s">
        <v>502</v>
      </c>
      <c r="W6558" s="4">
        <v>28</v>
      </c>
      <c r="Y6558" s="4">
        <v>28</v>
      </c>
      <c r="AB6558" s="17">
        <v>20</v>
      </c>
      <c r="AE6558" s="17" t="s">
        <v>81</v>
      </c>
      <c r="AJ6558" s="19">
        <v>0</v>
      </c>
      <c r="AK6558" s="23">
        <v>20</v>
      </c>
      <c r="AM6558" s="19">
        <v>0</v>
      </c>
      <c r="AN6558" s="19">
        <v>15040</v>
      </c>
      <c r="AP6558" s="14">
        <v>15040</v>
      </c>
      <c r="AQ6558" s="12">
        <v>2.0000000000000001E-4</v>
      </c>
    </row>
    <row r="6559" spans="1:45" x14ac:dyDescent="0.2">
      <c r="A6559" s="122">
        <f t="shared" si="674"/>
        <v>5373</v>
      </c>
      <c r="B6559" s="13">
        <v>4</v>
      </c>
      <c r="C6559" s="17" t="s">
        <v>52</v>
      </c>
      <c r="D6559" s="17">
        <v>1709</v>
      </c>
      <c r="E6559" s="17">
        <v>38</v>
      </c>
      <c r="F6559" s="17">
        <v>1366</v>
      </c>
      <c r="G6559" s="13">
        <v>2</v>
      </c>
      <c r="H6559" s="17">
        <v>0</v>
      </c>
      <c r="I6559" s="17">
        <v>1</v>
      </c>
      <c r="J6559" s="17">
        <v>9</v>
      </c>
      <c r="N6559" s="18">
        <v>109</v>
      </c>
      <c r="P6559" s="17">
        <v>4</v>
      </c>
      <c r="Q6559" s="19">
        <v>109</v>
      </c>
      <c r="R6559" s="14">
        <v>4500</v>
      </c>
      <c r="S6559" s="19">
        <v>490500</v>
      </c>
      <c r="AJ6559" s="19">
        <v>0</v>
      </c>
      <c r="AK6559" s="23">
        <v>0</v>
      </c>
      <c r="AM6559" s="19">
        <v>0</v>
      </c>
      <c r="AN6559" s="19">
        <v>490500</v>
      </c>
      <c r="AP6559" s="14">
        <v>490500</v>
      </c>
      <c r="AQ6559" s="12">
        <v>3.0000000000000001E-3</v>
      </c>
    </row>
    <row r="6560" spans="1:45" x14ac:dyDescent="0.2">
      <c r="A6560" s="122">
        <f t="shared" si="674"/>
        <v>5374</v>
      </c>
      <c r="B6560" s="13">
        <v>5</v>
      </c>
      <c r="C6560" s="17" t="s">
        <v>52</v>
      </c>
      <c r="D6560" s="17">
        <v>21116</v>
      </c>
      <c r="E6560" s="17">
        <v>136</v>
      </c>
      <c r="F6560" s="17">
        <v>4684</v>
      </c>
      <c r="G6560" s="13">
        <v>2</v>
      </c>
      <c r="H6560" s="17">
        <v>0</v>
      </c>
      <c r="I6560" s="17">
        <v>2</v>
      </c>
      <c r="J6560" s="17">
        <v>84</v>
      </c>
      <c r="K6560" s="10">
        <v>284</v>
      </c>
      <c r="P6560" s="17">
        <v>1</v>
      </c>
      <c r="Q6560" s="19">
        <v>284</v>
      </c>
      <c r="R6560" s="14">
        <v>160</v>
      </c>
      <c r="S6560" s="19">
        <v>45440</v>
      </c>
      <c r="AJ6560" s="19">
        <v>0</v>
      </c>
      <c r="AK6560" s="23">
        <v>0</v>
      </c>
      <c r="AM6560" s="19">
        <v>0</v>
      </c>
      <c r="AN6560" s="19">
        <v>45440</v>
      </c>
      <c r="AP6560" s="14">
        <v>45440</v>
      </c>
    </row>
    <row r="6561" spans="1:45" ht="63" x14ac:dyDescent="0.2">
      <c r="A6561" s="122">
        <f t="shared" si="674"/>
        <v>5375</v>
      </c>
      <c r="B6561" s="13">
        <v>1</v>
      </c>
      <c r="C6561" s="17" t="s">
        <v>52</v>
      </c>
      <c r="D6561" s="17">
        <v>14152</v>
      </c>
      <c r="E6561" s="17">
        <v>502</v>
      </c>
      <c r="F6561" s="17">
        <v>3341</v>
      </c>
      <c r="G6561" s="13">
        <v>2</v>
      </c>
      <c r="H6561" s="17">
        <v>0</v>
      </c>
      <c r="I6561" s="17">
        <v>0</v>
      </c>
      <c r="J6561" s="17">
        <v>54.05</v>
      </c>
      <c r="M6561" s="15" t="s">
        <v>670</v>
      </c>
      <c r="P6561" s="17">
        <v>3</v>
      </c>
      <c r="Q6561" s="19">
        <v>54.05</v>
      </c>
      <c r="R6561" s="14">
        <v>4500</v>
      </c>
      <c r="S6561" s="19">
        <v>243225</v>
      </c>
      <c r="U6561" s="17" t="s">
        <v>57</v>
      </c>
      <c r="V6561" s="17" t="s">
        <v>56</v>
      </c>
      <c r="AB6561" s="17">
        <v>26</v>
      </c>
      <c r="AE6561" s="17" t="s">
        <v>671</v>
      </c>
      <c r="AF6561" s="14">
        <v>2</v>
      </c>
      <c r="AG6561" s="54">
        <v>125</v>
      </c>
      <c r="AH6561" s="11">
        <v>0.8</v>
      </c>
      <c r="AI6561" s="14">
        <v>8100</v>
      </c>
      <c r="AJ6561" s="19">
        <v>810000</v>
      </c>
      <c r="AK6561" s="23">
        <v>26</v>
      </c>
      <c r="AL6561" s="11">
        <v>0.42</v>
      </c>
      <c r="AM6561" s="19">
        <v>469800</v>
      </c>
      <c r="AN6561" s="19">
        <v>713025</v>
      </c>
      <c r="AP6561" s="14">
        <v>713025</v>
      </c>
      <c r="AS6561" s="26">
        <v>32</v>
      </c>
    </row>
    <row r="6562" spans="1:45" x14ac:dyDescent="0.2">
      <c r="AF6562" s="14">
        <v>3</v>
      </c>
      <c r="AG6562" s="54">
        <v>125</v>
      </c>
      <c r="AH6562" s="11">
        <v>0.2</v>
      </c>
      <c r="AI6562" s="14">
        <v>8100</v>
      </c>
      <c r="AJ6562" s="19">
        <v>202500</v>
      </c>
      <c r="AK6562" s="23">
        <v>26</v>
      </c>
      <c r="AL6562" s="11">
        <v>0.42</v>
      </c>
      <c r="AM6562" s="19">
        <v>117450</v>
      </c>
      <c r="AN6562" s="19">
        <v>166095</v>
      </c>
      <c r="AP6562" s="14">
        <v>166095</v>
      </c>
      <c r="AQ6562" s="12">
        <v>3.0000000000000001E-3</v>
      </c>
    </row>
    <row r="6563" spans="1:45" x14ac:dyDescent="0.2">
      <c r="B6563" s="13">
        <v>2</v>
      </c>
      <c r="C6563" s="17" t="s">
        <v>52</v>
      </c>
      <c r="D6563" s="17">
        <v>16481</v>
      </c>
      <c r="E6563" s="17">
        <v>46</v>
      </c>
      <c r="F6563" s="17">
        <v>3584</v>
      </c>
      <c r="H6563" s="17">
        <v>10</v>
      </c>
      <c r="I6563" s="17">
        <v>2</v>
      </c>
      <c r="J6563" s="17">
        <v>11</v>
      </c>
      <c r="K6563" s="10" t="s">
        <v>672</v>
      </c>
      <c r="P6563" s="17">
        <v>1</v>
      </c>
      <c r="Q6563" s="19">
        <v>4211</v>
      </c>
      <c r="R6563" s="14" t="e">
        <v>#N/A</v>
      </c>
    </row>
    <row r="6564" spans="1:45" x14ac:dyDescent="0.2">
      <c r="A6564" s="2">
        <v>5376</v>
      </c>
      <c r="B6564" s="13">
        <v>1</v>
      </c>
      <c r="C6564" s="17" t="s">
        <v>65</v>
      </c>
      <c r="D6564" s="17">
        <v>2705</v>
      </c>
      <c r="E6564" s="17">
        <v>175</v>
      </c>
      <c r="H6564" s="17">
        <v>10</v>
      </c>
      <c r="I6564" s="17">
        <v>0</v>
      </c>
      <c r="J6564" s="17">
        <v>89</v>
      </c>
      <c r="K6564" s="10">
        <v>4089</v>
      </c>
      <c r="P6564" s="17">
        <v>1</v>
      </c>
      <c r="Q6564" s="19">
        <v>4089</v>
      </c>
      <c r="R6564" s="14">
        <v>160</v>
      </c>
      <c r="S6564" s="19">
        <v>654240</v>
      </c>
      <c r="AE6564" s="17" t="s">
        <v>225</v>
      </c>
      <c r="AJ6564" s="19">
        <v>0</v>
      </c>
      <c r="AK6564" s="23">
        <v>0</v>
      </c>
      <c r="AM6564" s="19">
        <v>0</v>
      </c>
      <c r="AN6564" s="19">
        <v>654240</v>
      </c>
      <c r="AP6564" s="14">
        <v>654240</v>
      </c>
      <c r="AQ6564" s="12">
        <v>1E-4</v>
      </c>
    </row>
    <row r="6565" spans="1:45" x14ac:dyDescent="0.2">
      <c r="B6565" s="13">
        <v>1</v>
      </c>
      <c r="C6565" s="17" t="s">
        <v>65</v>
      </c>
      <c r="D6565" s="17">
        <v>3504</v>
      </c>
      <c r="E6565" s="17">
        <v>69</v>
      </c>
      <c r="H6565" s="17">
        <v>0</v>
      </c>
      <c r="I6565" s="17">
        <v>2</v>
      </c>
      <c r="J6565" s="17">
        <v>57</v>
      </c>
      <c r="K6565" s="10">
        <v>257</v>
      </c>
      <c r="P6565" s="17">
        <v>1</v>
      </c>
      <c r="Q6565" s="19">
        <v>257</v>
      </c>
      <c r="R6565" s="14" t="e">
        <v>#N/A</v>
      </c>
      <c r="S6565" s="19" t="e">
        <v>#N/A</v>
      </c>
      <c r="AE6565" s="17" t="s">
        <v>95</v>
      </c>
      <c r="AJ6565" s="19">
        <v>0</v>
      </c>
      <c r="AK6565" s="23">
        <v>0</v>
      </c>
      <c r="AM6565" s="19">
        <v>0</v>
      </c>
      <c r="AN6565" s="19" t="e">
        <v>#N/A</v>
      </c>
      <c r="AP6565" s="14" t="e">
        <v>#N/A</v>
      </c>
      <c r="AQ6565" s="12">
        <v>1E-4</v>
      </c>
      <c r="AS6565" s="26">
        <v>7</v>
      </c>
    </row>
    <row r="6566" spans="1:45" x14ac:dyDescent="0.2">
      <c r="A6566" s="2">
        <v>5377</v>
      </c>
      <c r="B6566" s="13">
        <v>1</v>
      </c>
      <c r="C6566" s="17" t="s">
        <v>52</v>
      </c>
      <c r="D6566" s="17">
        <v>4771</v>
      </c>
      <c r="E6566" s="17">
        <v>81</v>
      </c>
      <c r="F6566" s="17">
        <v>2640</v>
      </c>
      <c r="G6566" s="13">
        <v>7</v>
      </c>
      <c r="H6566" s="17">
        <v>8</v>
      </c>
      <c r="I6566" s="17">
        <v>3</v>
      </c>
      <c r="J6566" s="17">
        <v>86</v>
      </c>
      <c r="K6566" s="10">
        <v>3586</v>
      </c>
      <c r="P6566" s="17">
        <v>1</v>
      </c>
      <c r="Q6566" s="19">
        <v>3586</v>
      </c>
      <c r="R6566" s="14">
        <v>160</v>
      </c>
      <c r="S6566" s="19">
        <v>573760</v>
      </c>
      <c r="AJ6566" s="19">
        <v>0</v>
      </c>
      <c r="AK6566" s="23">
        <v>0</v>
      </c>
      <c r="AM6566" s="19">
        <v>0</v>
      </c>
      <c r="AN6566" s="19">
        <v>573760</v>
      </c>
      <c r="AP6566" s="14">
        <v>573760</v>
      </c>
      <c r="AS6566" s="26">
        <v>27</v>
      </c>
    </row>
    <row r="6567" spans="1:45" x14ac:dyDescent="0.2">
      <c r="A6567" s="2">
        <f>+A6566+1</f>
        <v>5378</v>
      </c>
      <c r="B6567" s="13">
        <v>1</v>
      </c>
      <c r="C6567" s="17" t="s">
        <v>52</v>
      </c>
      <c r="D6567" s="17">
        <v>1610</v>
      </c>
      <c r="E6567" s="17">
        <v>3</v>
      </c>
      <c r="F6567" s="17">
        <v>562</v>
      </c>
      <c r="G6567" s="13">
        <v>2</v>
      </c>
      <c r="H6567" s="17">
        <v>11</v>
      </c>
      <c r="I6567" s="17">
        <v>0</v>
      </c>
      <c r="J6567" s="17">
        <v>97</v>
      </c>
      <c r="K6567" s="10">
        <v>4497</v>
      </c>
      <c r="P6567" s="17">
        <v>1</v>
      </c>
      <c r="Q6567" s="19">
        <v>4497</v>
      </c>
      <c r="R6567" s="14">
        <v>160</v>
      </c>
      <c r="S6567" s="19">
        <v>719520</v>
      </c>
      <c r="AJ6567" s="19">
        <v>0</v>
      </c>
      <c r="AK6567" s="23">
        <v>0</v>
      </c>
      <c r="AM6567" s="19">
        <v>0</v>
      </c>
      <c r="AN6567" s="19">
        <v>719520</v>
      </c>
      <c r="AP6567" s="14">
        <v>719520</v>
      </c>
      <c r="AS6567" s="26">
        <v>34</v>
      </c>
    </row>
    <row r="6568" spans="1:45" x14ac:dyDescent="0.2">
      <c r="A6568" s="122">
        <f t="shared" ref="A6568:A6575" si="675">+A6567+1</f>
        <v>5379</v>
      </c>
      <c r="B6568" s="13">
        <v>1</v>
      </c>
      <c r="C6568" s="17" t="s">
        <v>52</v>
      </c>
      <c r="D6568" s="17">
        <v>30099</v>
      </c>
      <c r="E6568" s="17">
        <v>53</v>
      </c>
      <c r="F6568" s="17">
        <v>5778</v>
      </c>
      <c r="G6568" s="13">
        <v>2</v>
      </c>
      <c r="H6568" s="17">
        <v>0</v>
      </c>
      <c r="I6568" s="17">
        <v>0</v>
      </c>
      <c r="J6568" s="17">
        <v>45</v>
      </c>
      <c r="K6568" s="10">
        <v>45</v>
      </c>
      <c r="P6568" s="17">
        <v>1</v>
      </c>
      <c r="Q6568" s="19">
        <v>45</v>
      </c>
      <c r="R6568" s="14">
        <v>160</v>
      </c>
      <c r="S6568" s="19">
        <v>7200</v>
      </c>
      <c r="AJ6568" s="19">
        <v>0</v>
      </c>
      <c r="AK6568" s="23">
        <v>0</v>
      </c>
      <c r="AM6568" s="19">
        <v>0</v>
      </c>
      <c r="AN6568" s="19">
        <v>7200</v>
      </c>
      <c r="AP6568" s="14">
        <v>7200</v>
      </c>
    </row>
    <row r="6569" spans="1:45" x14ac:dyDescent="0.2">
      <c r="A6569" s="122">
        <f t="shared" si="675"/>
        <v>5380</v>
      </c>
      <c r="B6569" s="13">
        <v>1</v>
      </c>
      <c r="C6569" s="17" t="s">
        <v>52</v>
      </c>
      <c r="D6569" s="17">
        <v>1280</v>
      </c>
      <c r="E6569" s="17">
        <v>3</v>
      </c>
      <c r="F6569" s="17">
        <v>753</v>
      </c>
      <c r="G6569" s="13">
        <v>6</v>
      </c>
      <c r="H6569" s="17">
        <v>10</v>
      </c>
      <c r="I6569" s="17">
        <v>1</v>
      </c>
      <c r="J6569" s="17">
        <v>31</v>
      </c>
      <c r="K6569" s="10">
        <v>4131</v>
      </c>
      <c r="P6569" s="17">
        <v>1</v>
      </c>
      <c r="Q6569" s="19">
        <v>4131</v>
      </c>
      <c r="R6569" s="14">
        <v>1100</v>
      </c>
      <c r="S6569" s="19">
        <v>4544100</v>
      </c>
      <c r="AJ6569" s="19">
        <v>0</v>
      </c>
      <c r="AK6569" s="23">
        <v>0</v>
      </c>
      <c r="AM6569" s="19">
        <v>0</v>
      </c>
      <c r="AN6569" s="19">
        <v>4544100</v>
      </c>
      <c r="AP6569" s="14">
        <v>4544100</v>
      </c>
      <c r="AS6569" s="26">
        <v>133</v>
      </c>
    </row>
    <row r="6570" spans="1:45" ht="42" x14ac:dyDescent="0.2">
      <c r="A6570" s="122">
        <f t="shared" si="675"/>
        <v>5381</v>
      </c>
      <c r="B6570" s="13">
        <v>2</v>
      </c>
      <c r="C6570" s="17" t="s">
        <v>52</v>
      </c>
      <c r="D6570" s="17">
        <v>1681</v>
      </c>
      <c r="E6570" s="17">
        <v>11</v>
      </c>
      <c r="F6570" s="17">
        <v>1401</v>
      </c>
      <c r="H6570" s="17">
        <v>8</v>
      </c>
      <c r="I6570" s="17">
        <v>3</v>
      </c>
      <c r="J6570" s="17">
        <v>0</v>
      </c>
      <c r="K6570" s="10">
        <v>3480.5</v>
      </c>
      <c r="L6570" s="17">
        <v>19.5</v>
      </c>
      <c r="P6570" s="17">
        <v>5</v>
      </c>
      <c r="Q6570" s="19">
        <v>3500</v>
      </c>
      <c r="R6570" s="14">
        <v>1100</v>
      </c>
      <c r="S6570" s="19">
        <v>3850000</v>
      </c>
      <c r="T6570" s="17">
        <v>1</v>
      </c>
      <c r="V6570" s="17" t="s">
        <v>183</v>
      </c>
      <c r="W6570" s="4">
        <v>78</v>
      </c>
      <c r="Y6570" s="4">
        <v>78</v>
      </c>
      <c r="AB6570" s="17">
        <v>20</v>
      </c>
      <c r="AJ6570" s="19">
        <v>0</v>
      </c>
      <c r="AK6570" s="23">
        <v>20</v>
      </c>
      <c r="AM6570" s="19">
        <v>0</v>
      </c>
      <c r="AN6570" s="19">
        <v>3850000</v>
      </c>
      <c r="AP6570" s="14">
        <v>3850000</v>
      </c>
    </row>
    <row r="6571" spans="1:45" x14ac:dyDescent="0.2">
      <c r="A6571" s="122">
        <f t="shared" si="675"/>
        <v>5382</v>
      </c>
      <c r="B6571" s="13">
        <v>1</v>
      </c>
      <c r="C6571" s="17" t="s">
        <v>52</v>
      </c>
      <c r="D6571" s="17">
        <v>1348</v>
      </c>
      <c r="E6571" s="17">
        <v>113</v>
      </c>
      <c r="F6571" s="17">
        <v>637</v>
      </c>
      <c r="G6571" s="13">
        <v>1</v>
      </c>
      <c r="H6571" s="17">
        <v>0</v>
      </c>
      <c r="I6571" s="17">
        <v>1</v>
      </c>
      <c r="J6571" s="17">
        <v>50</v>
      </c>
      <c r="K6571" s="10" t="s">
        <v>279</v>
      </c>
      <c r="P6571" s="17">
        <v>1</v>
      </c>
      <c r="Q6571" s="19">
        <v>150</v>
      </c>
      <c r="R6571" s="14">
        <v>2250</v>
      </c>
      <c r="S6571" s="19">
        <v>337500</v>
      </c>
      <c r="AJ6571" s="19">
        <v>0</v>
      </c>
      <c r="AK6571" s="23">
        <v>0</v>
      </c>
      <c r="AM6571" s="19">
        <v>0</v>
      </c>
      <c r="AN6571" s="19">
        <v>337500</v>
      </c>
      <c r="AP6571" s="14">
        <v>337500</v>
      </c>
      <c r="AS6571" s="26">
        <v>3</v>
      </c>
    </row>
    <row r="6572" spans="1:45" x14ac:dyDescent="0.2">
      <c r="A6572" s="122">
        <f t="shared" si="675"/>
        <v>5383</v>
      </c>
      <c r="B6572" s="13">
        <v>1</v>
      </c>
      <c r="C6572" s="17" t="s">
        <v>52</v>
      </c>
      <c r="D6572" s="17">
        <v>29221</v>
      </c>
      <c r="E6572" s="17">
        <v>246</v>
      </c>
      <c r="F6572" s="17">
        <v>5416</v>
      </c>
      <c r="G6572" s="13">
        <v>1</v>
      </c>
      <c r="H6572" s="17">
        <v>1</v>
      </c>
      <c r="I6572" s="17">
        <v>0</v>
      </c>
      <c r="J6572" s="17">
        <v>9</v>
      </c>
      <c r="K6572" s="10">
        <v>409</v>
      </c>
      <c r="P6572" s="17">
        <v>1</v>
      </c>
      <c r="Q6572" s="19">
        <v>409</v>
      </c>
      <c r="R6572" s="14">
        <v>1500</v>
      </c>
      <c r="S6572" s="19">
        <v>613500</v>
      </c>
      <c r="AJ6572" s="19">
        <v>0</v>
      </c>
      <c r="AK6572" s="23">
        <v>0</v>
      </c>
      <c r="AM6572" s="19">
        <v>0</v>
      </c>
      <c r="AN6572" s="19">
        <v>613500</v>
      </c>
      <c r="AP6572" s="14">
        <v>613500</v>
      </c>
    </row>
    <row r="6573" spans="1:45" x14ac:dyDescent="0.2">
      <c r="A6573" s="122">
        <f t="shared" si="675"/>
        <v>5384</v>
      </c>
      <c r="B6573" s="13">
        <v>1</v>
      </c>
      <c r="C6573" s="17" t="s">
        <v>52</v>
      </c>
      <c r="D6573" s="17">
        <v>2203</v>
      </c>
      <c r="E6573" s="17">
        <v>6</v>
      </c>
      <c r="F6573" s="17">
        <v>1651</v>
      </c>
      <c r="G6573" s="13">
        <v>3</v>
      </c>
      <c r="H6573" s="17">
        <v>0</v>
      </c>
      <c r="I6573" s="17">
        <v>0</v>
      </c>
      <c r="J6573" s="17">
        <v>61</v>
      </c>
      <c r="K6573" s="10">
        <v>61</v>
      </c>
      <c r="P6573" s="17">
        <v>1</v>
      </c>
      <c r="Q6573" s="19">
        <v>61</v>
      </c>
      <c r="R6573" s="14">
        <v>250</v>
      </c>
      <c r="S6573" s="19">
        <v>15250</v>
      </c>
      <c r="AJ6573" s="19">
        <v>0</v>
      </c>
      <c r="AK6573" s="23">
        <v>0</v>
      </c>
      <c r="AM6573" s="19">
        <v>0</v>
      </c>
      <c r="AN6573" s="19">
        <v>15250</v>
      </c>
      <c r="AP6573" s="14">
        <v>15250</v>
      </c>
    </row>
    <row r="6574" spans="1:45" x14ac:dyDescent="0.2">
      <c r="A6574" s="122">
        <f t="shared" si="675"/>
        <v>5385</v>
      </c>
      <c r="B6574" s="13">
        <v>1</v>
      </c>
      <c r="C6574" s="17" t="s">
        <v>52</v>
      </c>
      <c r="D6574" s="17">
        <v>12634</v>
      </c>
      <c r="E6574" s="17">
        <v>49</v>
      </c>
      <c r="F6574" s="17">
        <v>3270</v>
      </c>
      <c r="G6574" s="13">
        <v>4</v>
      </c>
      <c r="H6574" s="17">
        <v>0</v>
      </c>
      <c r="I6574" s="17">
        <v>2</v>
      </c>
      <c r="J6574" s="17">
        <v>20</v>
      </c>
      <c r="K6574" s="10">
        <v>220</v>
      </c>
      <c r="P6574" s="17">
        <v>1</v>
      </c>
      <c r="Q6574" s="19">
        <v>220</v>
      </c>
      <c r="R6574" s="14">
        <v>160</v>
      </c>
      <c r="S6574" s="19">
        <v>35200</v>
      </c>
      <c r="AJ6574" s="19">
        <v>0</v>
      </c>
      <c r="AK6574" s="23">
        <v>0</v>
      </c>
      <c r="AM6574" s="19">
        <v>0</v>
      </c>
      <c r="AN6574" s="19">
        <v>35200</v>
      </c>
      <c r="AP6574" s="14">
        <v>35200</v>
      </c>
    </row>
    <row r="6575" spans="1:45" x14ac:dyDescent="0.2">
      <c r="A6575" s="122">
        <f t="shared" si="675"/>
        <v>5386</v>
      </c>
      <c r="B6575" s="13">
        <v>1</v>
      </c>
      <c r="C6575" s="17" t="s">
        <v>52</v>
      </c>
      <c r="D6575" s="17">
        <v>35869</v>
      </c>
      <c r="E6575" s="17">
        <v>332</v>
      </c>
      <c r="F6575" s="17">
        <v>7078</v>
      </c>
      <c r="G6575" s="13">
        <v>1</v>
      </c>
      <c r="H6575" s="17">
        <v>9</v>
      </c>
      <c r="I6575" s="17">
        <v>2</v>
      </c>
      <c r="J6575" s="17">
        <v>54.01</v>
      </c>
      <c r="K6575" s="10">
        <v>3854</v>
      </c>
      <c r="P6575" s="17">
        <v>5</v>
      </c>
      <c r="Q6575" s="19">
        <v>3854.01</v>
      </c>
      <c r="R6575" s="14">
        <v>160</v>
      </c>
      <c r="S6575" s="19">
        <v>616641.60000000009</v>
      </c>
      <c r="AE6575" s="17">
        <v>81987.274800000014</v>
      </c>
      <c r="AJ6575" s="19">
        <v>0</v>
      </c>
      <c r="AK6575" s="23">
        <v>0</v>
      </c>
      <c r="AM6575" s="19">
        <v>0</v>
      </c>
      <c r="AN6575" s="19">
        <v>616641.60000000009</v>
      </c>
      <c r="AP6575" s="14">
        <v>616641.60000000009</v>
      </c>
      <c r="AQ6575" s="12">
        <v>3.0000000000000001E-3</v>
      </c>
    </row>
    <row r="6576" spans="1:45" ht="42" x14ac:dyDescent="0.2">
      <c r="T6576" s="17" t="s">
        <v>122</v>
      </c>
      <c r="U6576" s="17" t="s">
        <v>293</v>
      </c>
      <c r="V6576" s="17" t="s">
        <v>56</v>
      </c>
      <c r="W6576" s="4">
        <v>396</v>
      </c>
      <c r="Z6576" s="17">
        <v>396</v>
      </c>
      <c r="AB6576" s="17" t="s">
        <v>592</v>
      </c>
      <c r="AD6576" s="14" t="s">
        <v>673</v>
      </c>
      <c r="AE6576" s="17">
        <v>396</v>
      </c>
      <c r="AF6576" s="14">
        <v>3</v>
      </c>
      <c r="AG6576" s="54">
        <v>396</v>
      </c>
      <c r="AH6576" s="11">
        <v>1</v>
      </c>
      <c r="AI6576" s="14">
        <v>7650</v>
      </c>
      <c r="AJ6576" s="19">
        <v>3029400</v>
      </c>
      <c r="AK6576" s="23" t="s">
        <v>592</v>
      </c>
      <c r="AL6576" s="11">
        <v>0.05</v>
      </c>
      <c r="AM6576" s="19">
        <v>2877930</v>
      </c>
      <c r="AP6576" s="14">
        <v>2877930</v>
      </c>
      <c r="AQ6576" s="12">
        <v>3.0000000000000001E-3</v>
      </c>
    </row>
    <row r="6577" spans="1:45" ht="42" x14ac:dyDescent="0.2">
      <c r="T6577" s="17" t="s">
        <v>288</v>
      </c>
      <c r="U6577" s="17" t="s">
        <v>293</v>
      </c>
      <c r="V6577" s="17" t="s">
        <v>56</v>
      </c>
      <c r="W6577" s="4">
        <v>416</v>
      </c>
      <c r="Z6577" s="17">
        <v>416</v>
      </c>
      <c r="AB6577" s="17" t="s">
        <v>437</v>
      </c>
      <c r="AE6577" s="17">
        <v>416</v>
      </c>
      <c r="AF6577" s="14">
        <v>3</v>
      </c>
      <c r="AG6577" s="54">
        <v>416</v>
      </c>
      <c r="AH6577" s="11">
        <v>1</v>
      </c>
      <c r="AI6577" s="14">
        <v>7650</v>
      </c>
      <c r="AJ6577" s="19">
        <v>3182400</v>
      </c>
      <c r="AK6577" s="23">
        <v>16</v>
      </c>
      <c r="AL6577" s="11">
        <v>0.22</v>
      </c>
      <c r="AM6577" s="19">
        <v>2482272</v>
      </c>
      <c r="AP6577" s="14">
        <v>2482272</v>
      </c>
      <c r="AQ6577" s="12">
        <v>3.0000000000000001E-3</v>
      </c>
    </row>
    <row r="6578" spans="1:45" ht="42" x14ac:dyDescent="0.2">
      <c r="T6578" s="17" t="s">
        <v>515</v>
      </c>
      <c r="U6578" s="17" t="s">
        <v>293</v>
      </c>
      <c r="V6578" s="17" t="s">
        <v>56</v>
      </c>
      <c r="W6578" s="4">
        <v>448</v>
      </c>
      <c r="Z6578" s="17">
        <v>448</v>
      </c>
      <c r="AB6578" s="17" t="s">
        <v>437</v>
      </c>
      <c r="AE6578" s="17">
        <v>448</v>
      </c>
      <c r="AF6578" s="14">
        <v>3</v>
      </c>
      <c r="AG6578" s="54">
        <v>448</v>
      </c>
      <c r="AH6578" s="11">
        <v>1</v>
      </c>
      <c r="AI6578" s="14">
        <v>7650</v>
      </c>
      <c r="AJ6578" s="19">
        <v>3427200</v>
      </c>
      <c r="AK6578" s="23">
        <v>16</v>
      </c>
      <c r="AL6578" s="11">
        <v>0.22</v>
      </c>
      <c r="AM6578" s="19">
        <v>2673216</v>
      </c>
      <c r="AP6578" s="14">
        <v>2673216</v>
      </c>
      <c r="AQ6578" s="12">
        <v>3.0000000000000001E-3</v>
      </c>
    </row>
    <row r="6579" spans="1:45" ht="42" x14ac:dyDescent="0.2">
      <c r="T6579" s="17" t="s">
        <v>121</v>
      </c>
      <c r="U6579" s="17" t="s">
        <v>293</v>
      </c>
      <c r="V6579" s="17" t="s">
        <v>56</v>
      </c>
      <c r="W6579" s="4">
        <v>1680</v>
      </c>
      <c r="Z6579" s="17">
        <v>1680</v>
      </c>
      <c r="AB6579" s="17" t="s">
        <v>592</v>
      </c>
      <c r="AD6579" s="14" t="s">
        <v>674</v>
      </c>
      <c r="AE6579" s="17">
        <v>1680</v>
      </c>
      <c r="AF6579" s="14">
        <v>3</v>
      </c>
      <c r="AG6579" s="54">
        <v>1680</v>
      </c>
      <c r="AH6579" s="11">
        <v>1</v>
      </c>
      <c r="AI6579" s="14">
        <v>7650</v>
      </c>
      <c r="AJ6579" s="19">
        <v>12852000</v>
      </c>
      <c r="AK6579" s="23" t="s">
        <v>592</v>
      </c>
      <c r="AL6579" s="11">
        <v>0.05</v>
      </c>
      <c r="AM6579" s="19">
        <v>12209400</v>
      </c>
      <c r="AP6579" s="14">
        <v>12209400</v>
      </c>
      <c r="AQ6579" s="12">
        <v>3.0000000000000001E-3</v>
      </c>
    </row>
    <row r="6580" spans="1:45" ht="42" x14ac:dyDescent="0.2">
      <c r="T6580" s="17" t="s">
        <v>592</v>
      </c>
      <c r="U6580" s="17" t="s">
        <v>293</v>
      </c>
      <c r="V6580" s="17" t="s">
        <v>56</v>
      </c>
      <c r="W6580" s="4">
        <v>168</v>
      </c>
      <c r="Z6580" s="17">
        <v>168</v>
      </c>
      <c r="AB6580" s="17" t="s">
        <v>437</v>
      </c>
      <c r="AE6580" s="17">
        <v>168</v>
      </c>
      <c r="AF6580" s="14">
        <v>3</v>
      </c>
      <c r="AG6580" s="54">
        <v>168</v>
      </c>
      <c r="AH6580" s="11">
        <v>1</v>
      </c>
      <c r="AI6580" s="14">
        <v>7650</v>
      </c>
      <c r="AJ6580" s="19">
        <v>1285200</v>
      </c>
      <c r="AK6580" s="23">
        <v>16</v>
      </c>
      <c r="AL6580" s="11">
        <v>0.22</v>
      </c>
      <c r="AM6580" s="19">
        <v>1002456</v>
      </c>
      <c r="AP6580" s="14">
        <v>1002456</v>
      </c>
      <c r="AQ6580" s="12">
        <v>3.0000000000000001E-3</v>
      </c>
    </row>
    <row r="6581" spans="1:45" ht="42" x14ac:dyDescent="0.2">
      <c r="T6581" s="17" t="s">
        <v>549</v>
      </c>
      <c r="U6581" s="17" t="s">
        <v>293</v>
      </c>
      <c r="V6581" s="17" t="s">
        <v>56</v>
      </c>
      <c r="W6581" s="4">
        <v>448</v>
      </c>
      <c r="Z6581" s="17">
        <v>448</v>
      </c>
      <c r="AB6581" s="17" t="s">
        <v>437</v>
      </c>
      <c r="AE6581" s="17">
        <v>448</v>
      </c>
      <c r="AF6581" s="14">
        <v>3</v>
      </c>
      <c r="AG6581" s="54">
        <v>448</v>
      </c>
      <c r="AH6581" s="11">
        <v>1</v>
      </c>
      <c r="AI6581" s="14">
        <v>7650</v>
      </c>
      <c r="AJ6581" s="19">
        <v>3427200</v>
      </c>
      <c r="AK6581" s="23">
        <v>16</v>
      </c>
      <c r="AL6581" s="11">
        <v>0.22</v>
      </c>
      <c r="AM6581" s="19">
        <v>2673216</v>
      </c>
      <c r="AP6581" s="14">
        <v>2673216</v>
      </c>
      <c r="AQ6581" s="12">
        <v>3.0000000000000001E-3</v>
      </c>
    </row>
    <row r="6582" spans="1:45" ht="42" x14ac:dyDescent="0.2">
      <c r="T6582" s="17" t="s">
        <v>78</v>
      </c>
      <c r="U6582" s="17" t="s">
        <v>293</v>
      </c>
      <c r="V6582" s="17" t="s">
        <v>56</v>
      </c>
      <c r="W6582" s="4">
        <v>448</v>
      </c>
      <c r="Z6582" s="17">
        <v>448</v>
      </c>
      <c r="AB6582" s="17" t="s">
        <v>437</v>
      </c>
      <c r="AE6582" s="17">
        <v>448</v>
      </c>
      <c r="AF6582" s="14">
        <v>3</v>
      </c>
      <c r="AG6582" s="54">
        <v>448</v>
      </c>
      <c r="AH6582" s="11">
        <v>1</v>
      </c>
      <c r="AI6582" s="14">
        <v>7650</v>
      </c>
      <c r="AJ6582" s="19">
        <v>3427200</v>
      </c>
      <c r="AK6582" s="23">
        <v>16</v>
      </c>
      <c r="AL6582" s="11">
        <v>0.22</v>
      </c>
      <c r="AM6582" s="19">
        <v>2673216</v>
      </c>
      <c r="AP6582" s="14">
        <v>2673216</v>
      </c>
      <c r="AQ6582" s="12">
        <v>3.0000000000000001E-3</v>
      </c>
    </row>
    <row r="6583" spans="1:45" ht="42" x14ac:dyDescent="0.2">
      <c r="T6583" s="17" t="s">
        <v>675</v>
      </c>
      <c r="U6583" s="17" t="s">
        <v>60</v>
      </c>
      <c r="V6583" s="17" t="s">
        <v>56</v>
      </c>
      <c r="W6583" s="4">
        <v>24</v>
      </c>
      <c r="Z6583" s="17">
        <v>24</v>
      </c>
      <c r="AB6583" s="17" t="s">
        <v>437</v>
      </c>
      <c r="AF6583" s="14">
        <v>3</v>
      </c>
      <c r="AG6583" s="54">
        <v>24</v>
      </c>
      <c r="AH6583" s="11">
        <v>1</v>
      </c>
      <c r="AI6583" s="14">
        <v>6450</v>
      </c>
      <c r="AJ6583" s="19">
        <v>154800</v>
      </c>
      <c r="AK6583" s="23">
        <v>16</v>
      </c>
      <c r="AL6583" s="11">
        <v>0.22</v>
      </c>
      <c r="AM6583" s="19">
        <v>120744</v>
      </c>
      <c r="AP6583" s="14">
        <v>120744</v>
      </c>
      <c r="AQ6583" s="12">
        <v>3.0000000000000001E-3</v>
      </c>
    </row>
    <row r="6584" spans="1:45" x14ac:dyDescent="0.2">
      <c r="A6584" s="2">
        <v>5387</v>
      </c>
      <c r="B6584" s="13">
        <v>2</v>
      </c>
      <c r="C6584" s="17" t="s">
        <v>52</v>
      </c>
      <c r="D6584" s="17">
        <v>1946</v>
      </c>
      <c r="E6584" s="17">
        <v>73</v>
      </c>
      <c r="F6584" s="17">
        <v>1342</v>
      </c>
      <c r="G6584" s="13">
        <v>2</v>
      </c>
      <c r="H6584" s="17">
        <v>3</v>
      </c>
      <c r="I6584" s="17">
        <v>3</v>
      </c>
      <c r="J6584" s="17">
        <v>84</v>
      </c>
      <c r="K6584" s="10">
        <v>1584</v>
      </c>
      <c r="P6584" s="17">
        <v>1</v>
      </c>
      <c r="Q6584" s="19">
        <v>1584</v>
      </c>
      <c r="R6584" s="14">
        <v>750</v>
      </c>
      <c r="S6584" s="19">
        <v>1188000</v>
      </c>
      <c r="AJ6584" s="19">
        <v>0</v>
      </c>
      <c r="AK6584" s="23">
        <v>0</v>
      </c>
      <c r="AM6584" s="19">
        <v>0</v>
      </c>
      <c r="AN6584" s="19">
        <v>1188000</v>
      </c>
      <c r="AP6584" s="14">
        <v>1188000</v>
      </c>
    </row>
    <row r="6585" spans="1:45" x14ac:dyDescent="0.2">
      <c r="A6585" s="2">
        <v>5388</v>
      </c>
      <c r="B6585" s="13">
        <v>3</v>
      </c>
      <c r="C6585" s="17" t="s">
        <v>52</v>
      </c>
      <c r="D6585" s="17">
        <v>31068</v>
      </c>
      <c r="E6585" s="17">
        <v>128</v>
      </c>
      <c r="F6585" s="17">
        <v>6018</v>
      </c>
      <c r="G6585" s="13">
        <v>2</v>
      </c>
      <c r="H6585" s="17">
        <v>0</v>
      </c>
      <c r="I6585" s="17">
        <v>1</v>
      </c>
      <c r="J6585" s="17">
        <v>79.069999999999993</v>
      </c>
      <c r="K6585" s="10">
        <v>179.07</v>
      </c>
      <c r="P6585" s="17">
        <v>1</v>
      </c>
      <c r="Q6585" s="19">
        <v>179.07</v>
      </c>
      <c r="R6585" s="14">
        <v>250</v>
      </c>
      <c r="S6585" s="19">
        <v>44767.5</v>
      </c>
      <c r="AJ6585" s="19">
        <v>0</v>
      </c>
      <c r="AK6585" s="23">
        <v>0</v>
      </c>
      <c r="AM6585" s="19">
        <v>0</v>
      </c>
      <c r="AN6585" s="19">
        <v>44767.5</v>
      </c>
      <c r="AP6585" s="14">
        <v>44767.5</v>
      </c>
    </row>
    <row r="6586" spans="1:45" ht="84" x14ac:dyDescent="0.2">
      <c r="A6586" s="2">
        <v>5389</v>
      </c>
      <c r="B6586" s="13">
        <v>4</v>
      </c>
      <c r="C6586" s="17" t="s">
        <v>52</v>
      </c>
      <c r="D6586" s="17">
        <v>31069</v>
      </c>
      <c r="E6586" s="17">
        <v>129</v>
      </c>
      <c r="F6586" s="17">
        <v>6019</v>
      </c>
      <c r="G6586" s="13">
        <v>2</v>
      </c>
      <c r="H6586" s="17">
        <v>0</v>
      </c>
      <c r="I6586" s="17">
        <v>0</v>
      </c>
      <c r="J6586" s="17">
        <v>84.03</v>
      </c>
      <c r="K6586" s="10">
        <v>84.03</v>
      </c>
      <c r="P6586" s="17">
        <v>1</v>
      </c>
      <c r="Q6586" s="19">
        <v>84.03</v>
      </c>
      <c r="R6586" s="14">
        <v>250</v>
      </c>
      <c r="S6586" s="19">
        <v>21007.5</v>
      </c>
      <c r="AJ6586" s="19">
        <v>0</v>
      </c>
      <c r="AK6586" s="23">
        <v>0</v>
      </c>
      <c r="AM6586" s="19">
        <v>0</v>
      </c>
      <c r="AN6586" s="19">
        <v>21007.5</v>
      </c>
      <c r="AP6586" s="14">
        <v>21007.5</v>
      </c>
      <c r="AR6586" s="19">
        <v>80137.350000000006</v>
      </c>
      <c r="AS6586" s="26">
        <v>81987.274799999999</v>
      </c>
    </row>
    <row r="6587" spans="1:45" x14ac:dyDescent="0.2">
      <c r="B6587" s="13">
        <v>1</v>
      </c>
      <c r="C6587" s="17" t="s">
        <v>65</v>
      </c>
      <c r="D6587" s="17">
        <v>196</v>
      </c>
      <c r="E6587" s="17">
        <v>90</v>
      </c>
      <c r="H6587" s="17">
        <v>3</v>
      </c>
      <c r="I6587" s="17">
        <v>1</v>
      </c>
      <c r="J6587" s="17">
        <v>14</v>
      </c>
      <c r="K6587" s="10">
        <v>1314</v>
      </c>
      <c r="Q6587" s="19">
        <v>1314</v>
      </c>
      <c r="R6587" s="14" t="e">
        <v>#N/A</v>
      </c>
      <c r="S6587" s="19" t="e">
        <v>#N/A</v>
      </c>
      <c r="AE6587" s="17" t="s">
        <v>94</v>
      </c>
      <c r="AJ6587" s="19">
        <v>0</v>
      </c>
      <c r="AK6587" s="23">
        <v>0</v>
      </c>
      <c r="AM6587" s="19">
        <v>0</v>
      </c>
      <c r="AN6587" s="19" t="e">
        <v>#N/A</v>
      </c>
      <c r="AP6587" s="14" t="e">
        <v>#N/A</v>
      </c>
      <c r="AQ6587" s="12">
        <v>1E-4</v>
      </c>
    </row>
    <row r="6588" spans="1:45" x14ac:dyDescent="0.2">
      <c r="A6588" s="2">
        <v>5390</v>
      </c>
      <c r="B6588" s="13">
        <v>1</v>
      </c>
      <c r="C6588" s="17" t="s">
        <v>69</v>
      </c>
      <c r="E6588" s="17">
        <v>161</v>
      </c>
      <c r="F6588" s="17">
        <v>4</v>
      </c>
      <c r="G6588" s="13">
        <v>2</v>
      </c>
      <c r="H6588" s="17">
        <v>5</v>
      </c>
      <c r="I6588" s="17">
        <v>2</v>
      </c>
      <c r="J6588" s="17">
        <v>64</v>
      </c>
      <c r="K6588" s="10">
        <v>2264</v>
      </c>
      <c r="P6588" s="17">
        <v>1</v>
      </c>
      <c r="Q6588" s="19">
        <v>2264</v>
      </c>
      <c r="R6588" s="14">
        <v>200</v>
      </c>
      <c r="S6588" s="19">
        <v>452800</v>
      </c>
      <c r="AJ6588" s="19">
        <v>0</v>
      </c>
      <c r="AK6588" s="23">
        <v>0</v>
      </c>
      <c r="AM6588" s="19">
        <v>0</v>
      </c>
      <c r="AN6588" s="19">
        <v>452800</v>
      </c>
      <c r="AP6588" s="14">
        <v>452800</v>
      </c>
      <c r="AQ6588" s="12">
        <v>1E-4</v>
      </c>
    </row>
    <row r="6589" spans="1:45" x14ac:dyDescent="0.2">
      <c r="A6589" s="2">
        <f>+A6588+1</f>
        <v>5391</v>
      </c>
      <c r="B6589" s="13">
        <v>1</v>
      </c>
      <c r="C6589" s="17" t="s">
        <v>52</v>
      </c>
      <c r="D6589" s="17">
        <v>18425</v>
      </c>
      <c r="E6589" s="17">
        <v>22</v>
      </c>
      <c r="F6589" s="17">
        <v>4313</v>
      </c>
      <c r="G6589" s="13">
        <v>5</v>
      </c>
      <c r="H6589" s="17">
        <v>0</v>
      </c>
      <c r="I6589" s="17">
        <v>2</v>
      </c>
      <c r="J6589" s="17">
        <v>34</v>
      </c>
      <c r="K6589" s="10">
        <v>234</v>
      </c>
      <c r="P6589" s="17">
        <v>1</v>
      </c>
      <c r="Q6589" s="19">
        <v>234</v>
      </c>
      <c r="R6589" s="14">
        <v>250</v>
      </c>
      <c r="S6589" s="19">
        <v>58500</v>
      </c>
      <c r="AJ6589" s="19">
        <v>0</v>
      </c>
      <c r="AK6589" s="23">
        <v>0</v>
      </c>
      <c r="AM6589" s="19">
        <v>0</v>
      </c>
      <c r="AN6589" s="19">
        <v>58500</v>
      </c>
      <c r="AP6589" s="14">
        <v>58500</v>
      </c>
    </row>
    <row r="6590" spans="1:45" x14ac:dyDescent="0.2">
      <c r="A6590" s="122">
        <f t="shared" ref="A6590:A6613" si="676">+A6589+1</f>
        <v>5392</v>
      </c>
      <c r="B6590" s="13">
        <v>1</v>
      </c>
      <c r="C6590" s="17" t="s">
        <v>52</v>
      </c>
      <c r="D6590" s="17">
        <v>19837</v>
      </c>
      <c r="E6590" s="17">
        <v>106</v>
      </c>
      <c r="F6590" s="17">
        <v>3693</v>
      </c>
      <c r="G6590" s="13">
        <v>2</v>
      </c>
      <c r="H6590" s="17">
        <v>0</v>
      </c>
      <c r="I6590" s="17">
        <v>1</v>
      </c>
      <c r="J6590" s="17">
        <v>55</v>
      </c>
      <c r="L6590" s="17" t="s">
        <v>666</v>
      </c>
      <c r="P6590" s="17">
        <v>2</v>
      </c>
      <c r="Q6590" s="19">
        <v>155</v>
      </c>
      <c r="R6590" s="14">
        <v>250</v>
      </c>
      <c r="S6590" s="19">
        <v>38750</v>
      </c>
      <c r="AJ6590" s="19">
        <v>0</v>
      </c>
      <c r="AK6590" s="23">
        <v>0</v>
      </c>
      <c r="AM6590" s="19">
        <v>0</v>
      </c>
      <c r="AN6590" s="19">
        <v>38750</v>
      </c>
      <c r="AP6590" s="14">
        <v>38750</v>
      </c>
    </row>
    <row r="6591" spans="1:45" x14ac:dyDescent="0.2">
      <c r="A6591" s="122">
        <f t="shared" si="676"/>
        <v>5393</v>
      </c>
      <c r="B6591" s="13">
        <v>2</v>
      </c>
      <c r="C6591" s="17" t="s">
        <v>52</v>
      </c>
      <c r="D6591" s="17">
        <v>19838</v>
      </c>
      <c r="E6591" s="17">
        <v>107</v>
      </c>
      <c r="F6591" s="17">
        <v>3694</v>
      </c>
      <c r="G6591" s="13">
        <v>2</v>
      </c>
      <c r="H6591" s="17">
        <v>0</v>
      </c>
      <c r="I6591" s="17">
        <v>0</v>
      </c>
      <c r="J6591" s="17">
        <v>78</v>
      </c>
      <c r="K6591" s="10">
        <v>78</v>
      </c>
      <c r="P6591" s="17">
        <v>1</v>
      </c>
      <c r="Q6591" s="19">
        <v>78</v>
      </c>
      <c r="R6591" s="14">
        <v>250</v>
      </c>
      <c r="S6591" s="19">
        <v>19500</v>
      </c>
      <c r="AJ6591" s="19">
        <v>0</v>
      </c>
      <c r="AK6591" s="23">
        <v>0</v>
      </c>
      <c r="AM6591" s="19">
        <v>0</v>
      </c>
      <c r="AN6591" s="19">
        <v>19500</v>
      </c>
      <c r="AP6591" s="14">
        <v>19500</v>
      </c>
    </row>
    <row r="6592" spans="1:45" x14ac:dyDescent="0.2">
      <c r="A6592" s="122">
        <f t="shared" si="676"/>
        <v>5394</v>
      </c>
      <c r="B6592" s="13">
        <v>3</v>
      </c>
      <c r="C6592" s="17" t="s">
        <v>65</v>
      </c>
      <c r="D6592" s="17">
        <v>1208</v>
      </c>
      <c r="E6592" s="17">
        <v>63</v>
      </c>
      <c r="H6592" s="17">
        <v>1</v>
      </c>
      <c r="I6592" s="17">
        <v>3</v>
      </c>
      <c r="J6592" s="17">
        <v>51</v>
      </c>
      <c r="N6592" s="18">
        <v>751</v>
      </c>
      <c r="P6592" s="17">
        <v>4</v>
      </c>
      <c r="Q6592" s="19">
        <v>751</v>
      </c>
      <c r="R6592" s="14">
        <v>3350</v>
      </c>
      <c r="S6592" s="19">
        <v>2515850</v>
      </c>
      <c r="AJ6592" s="19">
        <v>0</v>
      </c>
      <c r="AK6592" s="23">
        <v>0</v>
      </c>
      <c r="AM6592" s="19">
        <v>0</v>
      </c>
      <c r="AN6592" s="19">
        <v>2515850</v>
      </c>
      <c r="AP6592" s="14">
        <v>2515850</v>
      </c>
      <c r="AQ6592" s="12">
        <v>3.0000000000000001E-3</v>
      </c>
    </row>
    <row r="6593" spans="1:45" x14ac:dyDescent="0.2">
      <c r="A6593" s="122">
        <f t="shared" si="676"/>
        <v>5395</v>
      </c>
      <c r="B6593" s="13">
        <v>1</v>
      </c>
      <c r="C6593" s="17" t="s">
        <v>69</v>
      </c>
      <c r="E6593" s="17">
        <v>164</v>
      </c>
      <c r="F6593" s="17">
        <v>4</v>
      </c>
      <c r="G6593" s="13">
        <v>2</v>
      </c>
      <c r="H6593" s="17">
        <v>5</v>
      </c>
      <c r="I6593" s="17">
        <v>0</v>
      </c>
      <c r="J6593" s="17">
        <v>18</v>
      </c>
      <c r="K6593" s="10">
        <v>2018</v>
      </c>
      <c r="P6593" s="17">
        <v>1</v>
      </c>
      <c r="Q6593" s="19">
        <v>2018</v>
      </c>
      <c r="R6593" s="14">
        <v>160</v>
      </c>
      <c r="S6593" s="19">
        <v>322880</v>
      </c>
      <c r="AJ6593" s="19">
        <v>0</v>
      </c>
      <c r="AK6593" s="23">
        <v>0</v>
      </c>
      <c r="AM6593" s="19">
        <v>0</v>
      </c>
      <c r="AN6593" s="19">
        <v>322880</v>
      </c>
      <c r="AP6593" s="14">
        <v>322880</v>
      </c>
      <c r="AQ6593" s="12">
        <v>1E-4</v>
      </c>
    </row>
    <row r="6594" spans="1:45" ht="42" x14ac:dyDescent="0.2">
      <c r="A6594" s="122">
        <f t="shared" si="676"/>
        <v>5396</v>
      </c>
      <c r="B6594" s="13">
        <v>1</v>
      </c>
      <c r="C6594" s="17" t="s">
        <v>52</v>
      </c>
      <c r="D6594" s="17">
        <v>3368</v>
      </c>
      <c r="E6594" s="17">
        <v>17</v>
      </c>
      <c r="F6594" s="17">
        <v>2154</v>
      </c>
      <c r="G6594" s="13">
        <v>2</v>
      </c>
      <c r="H6594" s="17">
        <v>0</v>
      </c>
      <c r="I6594" s="17">
        <v>3</v>
      </c>
      <c r="J6594" s="17">
        <v>41</v>
      </c>
      <c r="K6594" s="10">
        <v>325.25</v>
      </c>
      <c r="L6594" s="17">
        <v>15.75</v>
      </c>
      <c r="P6594" s="17">
        <v>5</v>
      </c>
      <c r="Q6594" s="19">
        <v>341</v>
      </c>
      <c r="R6594" s="14">
        <v>250</v>
      </c>
      <c r="S6594" s="19">
        <v>85250</v>
      </c>
      <c r="V6594" s="17" t="s">
        <v>183</v>
      </c>
      <c r="W6594" s="4">
        <v>63</v>
      </c>
      <c r="Y6594" s="4">
        <v>63</v>
      </c>
      <c r="AB6594" s="17">
        <v>20</v>
      </c>
      <c r="AJ6594" s="19">
        <v>0</v>
      </c>
      <c r="AK6594" s="23">
        <v>20</v>
      </c>
      <c r="AM6594" s="19">
        <v>0</v>
      </c>
      <c r="AN6594" s="19">
        <v>85250</v>
      </c>
      <c r="AP6594" s="14">
        <v>85250</v>
      </c>
    </row>
    <row r="6595" spans="1:45" x14ac:dyDescent="0.2">
      <c r="A6595" s="122">
        <f t="shared" si="676"/>
        <v>5397</v>
      </c>
      <c r="B6595" s="13">
        <v>2</v>
      </c>
      <c r="C6595" s="17" t="s">
        <v>52</v>
      </c>
      <c r="D6595" s="17">
        <v>3860</v>
      </c>
      <c r="E6595" s="17">
        <v>32</v>
      </c>
      <c r="F6595" s="17">
        <v>2414</v>
      </c>
      <c r="G6595" s="13">
        <v>2</v>
      </c>
      <c r="H6595" s="17">
        <v>5</v>
      </c>
      <c r="I6595" s="17">
        <v>1</v>
      </c>
      <c r="J6595" s="17">
        <v>60</v>
      </c>
      <c r="K6595" s="10">
        <v>2160</v>
      </c>
      <c r="P6595" s="17">
        <v>1</v>
      </c>
      <c r="Q6595" s="19">
        <v>2160</v>
      </c>
      <c r="R6595" s="14">
        <v>200</v>
      </c>
      <c r="S6595" s="19">
        <v>432000</v>
      </c>
      <c r="AJ6595" s="19">
        <v>0</v>
      </c>
      <c r="AK6595" s="23">
        <v>0</v>
      </c>
      <c r="AM6595" s="19">
        <v>0</v>
      </c>
      <c r="AN6595" s="19">
        <v>432000</v>
      </c>
      <c r="AP6595" s="14">
        <v>432000</v>
      </c>
    </row>
    <row r="6596" spans="1:45" x14ac:dyDescent="0.2">
      <c r="A6596" s="122">
        <f t="shared" si="676"/>
        <v>5398</v>
      </c>
      <c r="B6596" s="13">
        <v>1</v>
      </c>
      <c r="C6596" s="17" t="s">
        <v>52</v>
      </c>
      <c r="D6596" s="17">
        <v>5927</v>
      </c>
      <c r="E6596" s="17">
        <v>67</v>
      </c>
      <c r="F6596" s="17">
        <v>3060</v>
      </c>
      <c r="G6596" s="13">
        <v>5</v>
      </c>
      <c r="H6596" s="17">
        <v>7</v>
      </c>
      <c r="I6596" s="17">
        <v>3</v>
      </c>
      <c r="J6596" s="17">
        <v>60</v>
      </c>
      <c r="K6596" s="10">
        <v>3160</v>
      </c>
      <c r="P6596" s="17">
        <v>1</v>
      </c>
      <c r="Q6596" s="19">
        <v>3160</v>
      </c>
      <c r="R6596" s="14">
        <v>375</v>
      </c>
      <c r="S6596" s="19">
        <v>1185000</v>
      </c>
      <c r="AJ6596" s="19">
        <v>0</v>
      </c>
      <c r="AK6596" s="23">
        <v>0</v>
      </c>
      <c r="AM6596" s="19">
        <v>0</v>
      </c>
      <c r="AN6596" s="19">
        <v>1185000</v>
      </c>
      <c r="AP6596" s="14">
        <v>1185000</v>
      </c>
    </row>
    <row r="6597" spans="1:45" x14ac:dyDescent="0.2">
      <c r="A6597" s="122">
        <f t="shared" si="676"/>
        <v>5399</v>
      </c>
      <c r="B6597" s="13">
        <v>2</v>
      </c>
      <c r="C6597" s="17" t="s">
        <v>52</v>
      </c>
      <c r="D6597" s="17">
        <v>5967</v>
      </c>
      <c r="E6597" s="17">
        <v>73</v>
      </c>
      <c r="F6597" s="17">
        <v>3067</v>
      </c>
      <c r="G6597" s="13">
        <v>5</v>
      </c>
      <c r="H6597" s="17">
        <v>4</v>
      </c>
      <c r="I6597" s="17">
        <v>2</v>
      </c>
      <c r="J6597" s="17">
        <v>48</v>
      </c>
      <c r="K6597" s="10">
        <v>1848</v>
      </c>
      <c r="P6597" s="17">
        <v>1</v>
      </c>
      <c r="Q6597" s="19">
        <v>1848</v>
      </c>
      <c r="R6597" s="14">
        <v>160</v>
      </c>
      <c r="S6597" s="19">
        <v>295680</v>
      </c>
      <c r="AJ6597" s="19">
        <v>0</v>
      </c>
      <c r="AK6597" s="23">
        <v>0</v>
      </c>
      <c r="AM6597" s="19">
        <v>0</v>
      </c>
      <c r="AN6597" s="19">
        <v>295680</v>
      </c>
      <c r="AP6597" s="14">
        <v>295680</v>
      </c>
    </row>
    <row r="6598" spans="1:45" x14ac:dyDescent="0.2">
      <c r="A6598" s="122">
        <f t="shared" si="676"/>
        <v>5400</v>
      </c>
      <c r="B6598" s="13">
        <v>1</v>
      </c>
      <c r="C6598" s="17" t="s">
        <v>52</v>
      </c>
      <c r="D6598" s="17">
        <v>4654</v>
      </c>
      <c r="E6598" s="17">
        <v>32</v>
      </c>
      <c r="F6598" s="17">
        <v>2480</v>
      </c>
      <c r="G6598" s="13">
        <v>1</v>
      </c>
      <c r="H6598" s="17">
        <v>10</v>
      </c>
      <c r="I6598" s="17">
        <v>3</v>
      </c>
      <c r="J6598" s="17">
        <v>4</v>
      </c>
      <c r="K6598" s="10">
        <v>4304</v>
      </c>
      <c r="P6598" s="17">
        <v>1</v>
      </c>
      <c r="Q6598" s="19">
        <v>4304</v>
      </c>
      <c r="R6598" s="14">
        <v>200</v>
      </c>
      <c r="S6598" s="19">
        <v>860800</v>
      </c>
      <c r="AJ6598" s="19">
        <v>0</v>
      </c>
      <c r="AK6598" s="23">
        <v>0</v>
      </c>
      <c r="AM6598" s="19">
        <v>0</v>
      </c>
      <c r="AN6598" s="19">
        <v>860800</v>
      </c>
      <c r="AP6598" s="14">
        <v>860800</v>
      </c>
      <c r="AS6598" s="26">
        <v>59</v>
      </c>
    </row>
    <row r="6599" spans="1:45" x14ac:dyDescent="0.2">
      <c r="A6599" s="122">
        <f t="shared" si="676"/>
        <v>5401</v>
      </c>
      <c r="B6599" s="13">
        <v>1</v>
      </c>
      <c r="C6599" s="17" t="s">
        <v>65</v>
      </c>
      <c r="D6599" s="17">
        <v>3844</v>
      </c>
      <c r="E6599" s="17">
        <v>211</v>
      </c>
      <c r="H6599" s="17">
        <v>0</v>
      </c>
      <c r="I6599" s="17">
        <v>1</v>
      </c>
      <c r="J6599" s="17">
        <v>30</v>
      </c>
      <c r="K6599" s="10">
        <v>130</v>
      </c>
      <c r="P6599" s="17">
        <v>1</v>
      </c>
      <c r="Q6599" s="19">
        <v>130</v>
      </c>
      <c r="R6599" s="14">
        <v>160</v>
      </c>
      <c r="S6599" s="19">
        <v>20800</v>
      </c>
      <c r="AJ6599" s="19">
        <v>0</v>
      </c>
      <c r="AK6599" s="23">
        <v>0</v>
      </c>
      <c r="AM6599" s="19">
        <v>0</v>
      </c>
      <c r="AN6599" s="19">
        <v>20800</v>
      </c>
      <c r="AP6599" s="14">
        <v>20800</v>
      </c>
      <c r="AQ6599" s="12">
        <v>1E-4</v>
      </c>
    </row>
    <row r="6600" spans="1:45" x14ac:dyDescent="0.2">
      <c r="A6600" s="122">
        <f t="shared" si="676"/>
        <v>5402</v>
      </c>
      <c r="B6600" s="13">
        <v>1</v>
      </c>
      <c r="C6600" s="17" t="s">
        <v>52</v>
      </c>
      <c r="D6600" s="17">
        <v>3197</v>
      </c>
      <c r="E6600" s="17">
        <v>35</v>
      </c>
      <c r="F6600" s="17">
        <v>2129</v>
      </c>
      <c r="G6600" s="13">
        <v>2</v>
      </c>
      <c r="H6600" s="17">
        <v>3</v>
      </c>
      <c r="I6600" s="17">
        <v>0</v>
      </c>
      <c r="J6600" s="17">
        <v>31</v>
      </c>
      <c r="K6600" s="10">
        <v>1231</v>
      </c>
      <c r="P6600" s="17">
        <v>1</v>
      </c>
      <c r="Q6600" s="19">
        <v>1231</v>
      </c>
      <c r="R6600" s="14">
        <v>200</v>
      </c>
      <c r="S6600" s="19">
        <v>246200</v>
      </c>
      <c r="AJ6600" s="19">
        <v>0</v>
      </c>
      <c r="AK6600" s="23">
        <v>0</v>
      </c>
      <c r="AM6600" s="19">
        <v>0</v>
      </c>
      <c r="AN6600" s="19">
        <v>246200</v>
      </c>
      <c r="AP6600" s="14">
        <v>246200</v>
      </c>
      <c r="AS6600" s="26">
        <v>17</v>
      </c>
    </row>
    <row r="6601" spans="1:45" x14ac:dyDescent="0.2">
      <c r="A6601" s="122">
        <f t="shared" si="676"/>
        <v>5403</v>
      </c>
      <c r="B6601" s="13">
        <v>1</v>
      </c>
      <c r="C6601" s="17" t="s">
        <v>52</v>
      </c>
      <c r="D6601" s="17">
        <v>3370</v>
      </c>
      <c r="E6601" s="17">
        <v>16</v>
      </c>
      <c r="F6601" s="17">
        <v>2156</v>
      </c>
      <c r="G6601" s="13">
        <v>2</v>
      </c>
      <c r="H6601" s="17">
        <v>3</v>
      </c>
      <c r="I6601" s="17">
        <v>1</v>
      </c>
      <c r="J6601" s="17">
        <v>97</v>
      </c>
      <c r="K6601" s="10">
        <v>1397</v>
      </c>
      <c r="P6601" s="17">
        <v>1</v>
      </c>
      <c r="Q6601" s="19">
        <v>1397</v>
      </c>
      <c r="R6601" s="14">
        <v>200</v>
      </c>
      <c r="S6601" s="19">
        <v>279400</v>
      </c>
      <c r="AJ6601" s="19">
        <v>0</v>
      </c>
      <c r="AK6601" s="23">
        <v>0</v>
      </c>
      <c r="AM6601" s="19">
        <v>0</v>
      </c>
      <c r="AN6601" s="19">
        <v>279400</v>
      </c>
      <c r="AP6601" s="14">
        <v>279400</v>
      </c>
    </row>
    <row r="6602" spans="1:45" x14ac:dyDescent="0.2">
      <c r="A6602" s="122">
        <f t="shared" si="676"/>
        <v>5404</v>
      </c>
      <c r="B6602" s="13">
        <v>2</v>
      </c>
      <c r="C6602" s="17" t="s">
        <v>52</v>
      </c>
      <c r="D6602" s="17">
        <v>30926</v>
      </c>
      <c r="E6602" s="17">
        <v>185</v>
      </c>
      <c r="F6602" s="17">
        <v>5878</v>
      </c>
      <c r="G6602" s="13">
        <v>2</v>
      </c>
      <c r="H6602" s="17">
        <v>3</v>
      </c>
      <c r="I6602" s="17">
        <v>1</v>
      </c>
      <c r="J6602" s="17">
        <v>61.03</v>
      </c>
      <c r="K6602" s="10">
        <v>1361.03</v>
      </c>
      <c r="P6602" s="17">
        <v>1</v>
      </c>
      <c r="Q6602" s="19">
        <v>1361.03</v>
      </c>
      <c r="R6602" s="14">
        <v>160</v>
      </c>
      <c r="S6602" s="19">
        <v>217764.8</v>
      </c>
      <c r="AJ6602" s="19">
        <v>0</v>
      </c>
      <c r="AK6602" s="23">
        <v>0</v>
      </c>
      <c r="AM6602" s="19">
        <v>0</v>
      </c>
      <c r="AN6602" s="19">
        <v>217764.8</v>
      </c>
      <c r="AP6602" s="14">
        <v>217764.8</v>
      </c>
    </row>
    <row r="6603" spans="1:45" x14ac:dyDescent="0.2">
      <c r="A6603" s="122">
        <f t="shared" si="676"/>
        <v>5405</v>
      </c>
      <c r="B6603" s="13">
        <v>3</v>
      </c>
      <c r="C6603" s="17" t="s">
        <v>52</v>
      </c>
      <c r="D6603" s="17">
        <v>24538</v>
      </c>
      <c r="E6603" s="17">
        <v>273</v>
      </c>
      <c r="F6603" s="17">
        <v>4918</v>
      </c>
      <c r="H6603" s="17">
        <v>0</v>
      </c>
      <c r="I6603" s="17">
        <v>0</v>
      </c>
      <c r="J6603" s="17">
        <v>51</v>
      </c>
      <c r="N6603" s="18">
        <v>51</v>
      </c>
      <c r="P6603" s="17">
        <v>4</v>
      </c>
      <c r="Q6603" s="19">
        <v>51</v>
      </c>
      <c r="R6603" s="14">
        <v>2000</v>
      </c>
      <c r="S6603" s="19">
        <v>102000</v>
      </c>
      <c r="AJ6603" s="19">
        <v>0</v>
      </c>
      <c r="AK6603" s="23">
        <v>0</v>
      </c>
      <c r="AM6603" s="19">
        <v>0</v>
      </c>
      <c r="AN6603" s="19">
        <v>102000</v>
      </c>
      <c r="AP6603" s="14">
        <v>102000</v>
      </c>
      <c r="AQ6603" s="12">
        <v>3.0000000000000001E-3</v>
      </c>
    </row>
    <row r="6604" spans="1:45" x14ac:dyDescent="0.2">
      <c r="A6604" s="122">
        <f t="shared" si="676"/>
        <v>5406</v>
      </c>
      <c r="B6604" s="13">
        <v>4</v>
      </c>
      <c r="C6604" s="17" t="s">
        <v>52</v>
      </c>
      <c r="D6604" s="17">
        <v>24539</v>
      </c>
      <c r="E6604" s="17">
        <v>168</v>
      </c>
      <c r="F6604" s="17">
        <v>4919</v>
      </c>
      <c r="H6604" s="17">
        <v>0</v>
      </c>
      <c r="I6604" s="17">
        <v>0</v>
      </c>
      <c r="J6604" s="17">
        <v>47</v>
      </c>
      <c r="N6604" s="18">
        <v>47</v>
      </c>
      <c r="P6604" s="17">
        <v>4</v>
      </c>
      <c r="Q6604" s="19">
        <v>47</v>
      </c>
      <c r="R6604" s="14">
        <v>2000</v>
      </c>
      <c r="S6604" s="19">
        <v>94000</v>
      </c>
      <c r="AJ6604" s="19">
        <v>0</v>
      </c>
      <c r="AK6604" s="23">
        <v>0</v>
      </c>
      <c r="AM6604" s="19">
        <v>0</v>
      </c>
      <c r="AN6604" s="19">
        <v>94000</v>
      </c>
      <c r="AP6604" s="14">
        <v>94000</v>
      </c>
      <c r="AQ6604" s="12">
        <v>3.0000000000000001E-3</v>
      </c>
    </row>
    <row r="6605" spans="1:45" x14ac:dyDescent="0.2">
      <c r="A6605" s="122">
        <f t="shared" si="676"/>
        <v>5407</v>
      </c>
      <c r="B6605" s="13">
        <v>1</v>
      </c>
      <c r="C6605" s="17" t="s">
        <v>52</v>
      </c>
      <c r="D6605" s="17">
        <v>30335</v>
      </c>
      <c r="E6605" s="17">
        <v>61</v>
      </c>
      <c r="F6605" s="17">
        <v>5007</v>
      </c>
      <c r="G6605" s="13">
        <v>7</v>
      </c>
      <c r="H6605" s="17">
        <v>0</v>
      </c>
      <c r="I6605" s="17">
        <v>1</v>
      </c>
      <c r="J6605" s="17">
        <v>49</v>
      </c>
      <c r="N6605" s="18">
        <v>149</v>
      </c>
      <c r="P6605" s="17">
        <v>4</v>
      </c>
      <c r="Q6605" s="19">
        <v>149</v>
      </c>
      <c r="R6605" s="14">
        <v>250</v>
      </c>
      <c r="S6605" s="19">
        <v>37250</v>
      </c>
      <c r="AJ6605" s="19">
        <v>0</v>
      </c>
      <c r="AK6605" s="23">
        <v>0</v>
      </c>
      <c r="AM6605" s="19">
        <v>0</v>
      </c>
      <c r="AN6605" s="19">
        <v>37250</v>
      </c>
      <c r="AP6605" s="14">
        <v>37250</v>
      </c>
      <c r="AQ6605" s="12">
        <v>3.0000000000000001E-3</v>
      </c>
    </row>
    <row r="6606" spans="1:45" x14ac:dyDescent="0.2">
      <c r="A6606" s="122">
        <f t="shared" si="676"/>
        <v>5408</v>
      </c>
      <c r="B6606" s="13">
        <v>1</v>
      </c>
      <c r="C6606" s="17" t="s">
        <v>52</v>
      </c>
      <c r="D6606" s="17">
        <v>4828</v>
      </c>
      <c r="E6606" s="17">
        <v>28</v>
      </c>
      <c r="F6606" s="17">
        <v>2718</v>
      </c>
      <c r="G6606" s="13">
        <v>7</v>
      </c>
      <c r="H6606" s="17">
        <v>5</v>
      </c>
      <c r="I6606" s="17">
        <v>3</v>
      </c>
      <c r="J6606" s="17">
        <v>90</v>
      </c>
      <c r="K6606" s="10">
        <v>2390</v>
      </c>
      <c r="P6606" s="17">
        <v>1</v>
      </c>
      <c r="Q6606" s="19">
        <v>2390</v>
      </c>
      <c r="R6606" s="14">
        <v>160</v>
      </c>
      <c r="S6606" s="19">
        <v>382400</v>
      </c>
      <c r="AJ6606" s="19">
        <v>0</v>
      </c>
      <c r="AK6606" s="23">
        <v>0</v>
      </c>
      <c r="AM6606" s="19">
        <v>0</v>
      </c>
      <c r="AN6606" s="19">
        <v>382400</v>
      </c>
      <c r="AP6606" s="14">
        <v>382400</v>
      </c>
    </row>
    <row r="6607" spans="1:45" ht="252" x14ac:dyDescent="0.2">
      <c r="A6607" s="122">
        <f t="shared" si="676"/>
        <v>5409</v>
      </c>
      <c r="B6607" s="13">
        <v>1</v>
      </c>
      <c r="C6607" s="17" t="s">
        <v>52</v>
      </c>
      <c r="D6607" s="17">
        <v>30112</v>
      </c>
      <c r="E6607" s="17">
        <v>167</v>
      </c>
      <c r="F6607" s="17">
        <v>5786</v>
      </c>
      <c r="G6607" s="13">
        <v>2</v>
      </c>
      <c r="H6607" s="17">
        <v>0</v>
      </c>
      <c r="I6607" s="17">
        <v>3</v>
      </c>
      <c r="J6607" s="17">
        <v>39</v>
      </c>
      <c r="M6607" s="15" t="s">
        <v>676</v>
      </c>
      <c r="P6607" s="17">
        <v>3</v>
      </c>
      <c r="Q6607" s="19">
        <v>339</v>
      </c>
      <c r="R6607" s="14">
        <v>2250</v>
      </c>
      <c r="S6607" s="19">
        <v>762750</v>
      </c>
      <c r="T6607" s="17">
        <v>1</v>
      </c>
      <c r="U6607" s="17" t="s">
        <v>155</v>
      </c>
      <c r="V6607" s="17" t="s">
        <v>56</v>
      </c>
      <c r="W6607" s="4">
        <v>340</v>
      </c>
      <c r="Z6607" s="17">
        <v>340</v>
      </c>
      <c r="AB6607" s="17" t="s">
        <v>573</v>
      </c>
      <c r="AC6607" s="14" t="s">
        <v>677</v>
      </c>
      <c r="AF6607" s="14">
        <v>3</v>
      </c>
      <c r="AG6607" s="54">
        <v>340</v>
      </c>
      <c r="AH6607" s="11">
        <v>1</v>
      </c>
      <c r="AI6607" s="14">
        <v>5800</v>
      </c>
      <c r="AJ6607" s="19">
        <v>1972000</v>
      </c>
      <c r="AK6607" s="23" t="s">
        <v>573</v>
      </c>
      <c r="AL6607" s="11">
        <v>0.34</v>
      </c>
      <c r="AM6607" s="19">
        <v>1301520</v>
      </c>
      <c r="AN6607" s="19">
        <v>2064270</v>
      </c>
      <c r="AP6607" s="14">
        <v>2064270</v>
      </c>
      <c r="AQ6607" s="12">
        <v>3.0000000000000001E-3</v>
      </c>
      <c r="AR6607" s="19">
        <v>7500</v>
      </c>
      <c r="AS6607" s="26">
        <v>7500</v>
      </c>
    </row>
    <row r="6608" spans="1:45" ht="42" x14ac:dyDescent="0.2">
      <c r="A6608" s="122">
        <f t="shared" si="676"/>
        <v>5410</v>
      </c>
      <c r="B6608" s="13">
        <v>1</v>
      </c>
      <c r="C6608" s="17" t="s">
        <v>52</v>
      </c>
      <c r="D6608" s="17">
        <v>772</v>
      </c>
      <c r="E6608" s="17">
        <v>516</v>
      </c>
      <c r="F6608" s="17">
        <v>106</v>
      </c>
      <c r="G6608" s="13">
        <v>2</v>
      </c>
      <c r="H6608" s="17">
        <v>0</v>
      </c>
      <c r="I6608" s="17">
        <v>0</v>
      </c>
      <c r="J6608" s="17">
        <v>25.07</v>
      </c>
      <c r="L6608" s="17" t="s">
        <v>336</v>
      </c>
      <c r="P6608" s="17">
        <v>2</v>
      </c>
      <c r="Q6608" s="19">
        <v>25.07</v>
      </c>
      <c r="R6608" s="14">
        <v>4500</v>
      </c>
      <c r="S6608" s="19">
        <v>112815</v>
      </c>
      <c r="T6608" s="17">
        <v>1</v>
      </c>
      <c r="V6608" s="17" t="s">
        <v>530</v>
      </c>
      <c r="W6608" s="4">
        <v>72</v>
      </c>
      <c r="Y6608" s="4">
        <v>72</v>
      </c>
      <c r="AB6608" s="17">
        <v>29</v>
      </c>
      <c r="AJ6608" s="19">
        <v>0</v>
      </c>
      <c r="AK6608" s="23">
        <v>29</v>
      </c>
      <c r="AM6608" s="19">
        <v>0</v>
      </c>
      <c r="AN6608" s="19">
        <v>112815</v>
      </c>
      <c r="AP6608" s="14">
        <v>112815</v>
      </c>
    </row>
    <row r="6609" spans="1:45" x14ac:dyDescent="0.2">
      <c r="A6609" s="122">
        <f t="shared" si="676"/>
        <v>5411</v>
      </c>
      <c r="B6609" s="13">
        <v>2</v>
      </c>
      <c r="C6609" s="17" t="s">
        <v>52</v>
      </c>
      <c r="D6609" s="17">
        <v>4043</v>
      </c>
      <c r="E6609" s="17">
        <v>60</v>
      </c>
      <c r="F6609" s="17">
        <v>2312</v>
      </c>
      <c r="G6609" s="13">
        <v>2</v>
      </c>
      <c r="H6609" s="17">
        <v>0</v>
      </c>
      <c r="I6609" s="17">
        <v>1</v>
      </c>
      <c r="J6609" s="17">
        <v>80</v>
      </c>
      <c r="K6609" s="10" t="s">
        <v>430</v>
      </c>
      <c r="P6609" s="17">
        <v>1</v>
      </c>
      <c r="Q6609" s="19">
        <v>180</v>
      </c>
      <c r="R6609" s="14">
        <v>1200</v>
      </c>
      <c r="S6609" s="19">
        <v>216000</v>
      </c>
      <c r="AJ6609" s="19">
        <v>0</v>
      </c>
      <c r="AK6609" s="23">
        <v>0</v>
      </c>
      <c r="AM6609" s="19">
        <v>0</v>
      </c>
      <c r="AN6609" s="19">
        <v>216000</v>
      </c>
      <c r="AP6609" s="14">
        <v>216000</v>
      </c>
    </row>
    <row r="6610" spans="1:45" x14ac:dyDescent="0.2">
      <c r="A6610" s="122">
        <f t="shared" si="676"/>
        <v>5412</v>
      </c>
      <c r="B6610" s="13">
        <v>3</v>
      </c>
      <c r="C6610" s="17" t="s">
        <v>52</v>
      </c>
      <c r="D6610" s="17">
        <v>28234</v>
      </c>
      <c r="E6610" s="17">
        <v>106</v>
      </c>
      <c r="F6610" s="17">
        <v>5322</v>
      </c>
      <c r="G6610" s="13">
        <v>2</v>
      </c>
      <c r="H6610" s="17">
        <v>1</v>
      </c>
      <c r="I6610" s="17">
        <v>3</v>
      </c>
      <c r="J6610" s="17">
        <v>34</v>
      </c>
      <c r="K6610" s="10">
        <v>734</v>
      </c>
      <c r="P6610" s="17">
        <v>1</v>
      </c>
      <c r="Q6610" s="19">
        <v>734</v>
      </c>
      <c r="R6610" s="14">
        <v>250</v>
      </c>
      <c r="S6610" s="19">
        <v>183500</v>
      </c>
      <c r="AJ6610" s="19">
        <v>0</v>
      </c>
      <c r="AK6610" s="23">
        <v>0</v>
      </c>
      <c r="AM6610" s="19">
        <v>0</v>
      </c>
      <c r="AN6610" s="19">
        <v>183500</v>
      </c>
      <c r="AP6610" s="14">
        <v>183500</v>
      </c>
    </row>
    <row r="6611" spans="1:45" x14ac:dyDescent="0.2">
      <c r="A6611" s="122">
        <f t="shared" si="676"/>
        <v>5413</v>
      </c>
      <c r="B6611" s="13">
        <v>1</v>
      </c>
      <c r="C6611" s="17" t="s">
        <v>52</v>
      </c>
      <c r="D6611" s="17">
        <v>5906</v>
      </c>
      <c r="E6611" s="17">
        <v>11</v>
      </c>
      <c r="F6611" s="17">
        <v>2980</v>
      </c>
      <c r="G6611" s="13">
        <v>5</v>
      </c>
      <c r="H6611" s="17">
        <v>2</v>
      </c>
      <c r="I6611" s="17">
        <v>0</v>
      </c>
      <c r="J6611" s="17">
        <v>67</v>
      </c>
      <c r="K6611" s="10">
        <v>867</v>
      </c>
      <c r="P6611" s="17">
        <v>1</v>
      </c>
      <c r="Q6611" s="19">
        <v>867</v>
      </c>
      <c r="R6611" s="14">
        <v>200</v>
      </c>
      <c r="S6611" s="19">
        <v>173400</v>
      </c>
      <c r="AJ6611" s="19">
        <v>0</v>
      </c>
      <c r="AK6611" s="23">
        <v>0</v>
      </c>
      <c r="AM6611" s="19">
        <v>0</v>
      </c>
      <c r="AN6611" s="19">
        <v>173400</v>
      </c>
      <c r="AP6611" s="14">
        <v>173400</v>
      </c>
      <c r="AS6611" s="26">
        <v>52</v>
      </c>
    </row>
    <row r="6612" spans="1:45" x14ac:dyDescent="0.2">
      <c r="A6612" s="122">
        <f t="shared" si="676"/>
        <v>5414</v>
      </c>
      <c r="B6612" s="13">
        <v>2</v>
      </c>
      <c r="C6612" s="17" t="s">
        <v>52</v>
      </c>
      <c r="D6612" s="17">
        <v>36683</v>
      </c>
      <c r="E6612" s="17">
        <v>19</v>
      </c>
      <c r="F6612" s="17">
        <v>7231</v>
      </c>
      <c r="G6612" s="13">
        <v>5</v>
      </c>
      <c r="H6612" s="17">
        <v>8</v>
      </c>
      <c r="J6612" s="17">
        <v>46</v>
      </c>
      <c r="K6612" s="10" t="s">
        <v>678</v>
      </c>
      <c r="P6612" s="17">
        <v>1</v>
      </c>
      <c r="Q6612" s="19">
        <v>3246</v>
      </c>
      <c r="R6612" s="14" t="e">
        <v>#N/A</v>
      </c>
      <c r="AK6612" s="23">
        <v>0</v>
      </c>
      <c r="AP6612" s="14">
        <v>0</v>
      </c>
    </row>
    <row r="6613" spans="1:45" x14ac:dyDescent="0.2">
      <c r="A6613" s="122">
        <f t="shared" si="676"/>
        <v>5415</v>
      </c>
      <c r="B6613" s="13">
        <v>3</v>
      </c>
      <c r="C6613" s="17" t="s">
        <v>52</v>
      </c>
      <c r="D6613" s="17">
        <v>18418</v>
      </c>
      <c r="E6613" s="17">
        <v>106</v>
      </c>
      <c r="F6613" s="17">
        <v>4306</v>
      </c>
      <c r="G6613" s="13">
        <v>5</v>
      </c>
      <c r="H6613" s="17">
        <v>1</v>
      </c>
      <c r="I6613" s="17">
        <v>3</v>
      </c>
      <c r="J6613" s="17">
        <v>14</v>
      </c>
      <c r="K6613" s="10">
        <v>714</v>
      </c>
      <c r="P6613" s="17">
        <v>1</v>
      </c>
      <c r="Q6613" s="19">
        <v>714</v>
      </c>
      <c r="R6613" s="14">
        <v>200</v>
      </c>
      <c r="S6613" s="19">
        <v>142800</v>
      </c>
      <c r="AJ6613" s="19">
        <v>0</v>
      </c>
      <c r="AK6613" s="23">
        <v>0</v>
      </c>
      <c r="AM6613" s="19">
        <v>0</v>
      </c>
      <c r="AN6613" s="19">
        <v>142800</v>
      </c>
      <c r="AP6613" s="14">
        <v>142800</v>
      </c>
    </row>
    <row r="6614" spans="1:45" ht="42" x14ac:dyDescent="0.2">
      <c r="B6614" s="13">
        <v>4</v>
      </c>
      <c r="C6614" s="17" t="s">
        <v>52</v>
      </c>
      <c r="D6614" s="17">
        <v>36684</v>
      </c>
      <c r="E6614" s="17">
        <v>21</v>
      </c>
      <c r="F6614" s="17">
        <v>7232</v>
      </c>
      <c r="G6614" s="13">
        <v>5</v>
      </c>
      <c r="H6614" s="17">
        <v>2</v>
      </c>
      <c r="I6614" s="17">
        <v>0</v>
      </c>
      <c r="J6614" s="17">
        <v>69</v>
      </c>
      <c r="K6614" s="10" t="s">
        <v>679</v>
      </c>
      <c r="P6614" s="17">
        <v>1</v>
      </c>
      <c r="Q6614" s="19">
        <v>869</v>
      </c>
      <c r="R6614" s="14" t="e">
        <v>#N/A</v>
      </c>
      <c r="S6614" s="19" t="e">
        <v>#N/A</v>
      </c>
      <c r="AD6614" s="14" t="s">
        <v>157</v>
      </c>
      <c r="AJ6614" s="19">
        <v>0</v>
      </c>
      <c r="AK6614" s="23">
        <v>0</v>
      </c>
      <c r="AM6614" s="19">
        <v>0</v>
      </c>
      <c r="AN6614" s="19" t="e">
        <v>#N/A</v>
      </c>
      <c r="AP6614" s="14" t="e">
        <v>#N/A</v>
      </c>
    </row>
    <row r="6615" spans="1:45" x14ac:dyDescent="0.2">
      <c r="A6615" s="2">
        <v>5416</v>
      </c>
      <c r="B6615" s="13">
        <v>1</v>
      </c>
      <c r="C6615" s="17" t="s">
        <v>52</v>
      </c>
      <c r="D6615" s="17">
        <v>22295</v>
      </c>
      <c r="E6615" s="17">
        <v>199</v>
      </c>
      <c r="F6615" s="17">
        <v>4783</v>
      </c>
      <c r="G6615" s="13">
        <v>1</v>
      </c>
      <c r="H6615" s="17">
        <v>0</v>
      </c>
      <c r="I6615" s="17">
        <v>1</v>
      </c>
      <c r="J6615" s="17">
        <v>82</v>
      </c>
      <c r="K6615" s="10">
        <v>182</v>
      </c>
      <c r="P6615" s="17">
        <v>1</v>
      </c>
      <c r="Q6615" s="19">
        <v>182</v>
      </c>
      <c r="R6615" s="14">
        <v>200</v>
      </c>
      <c r="S6615" s="19">
        <v>36400</v>
      </c>
      <c r="AJ6615" s="19">
        <v>0</v>
      </c>
      <c r="AK6615" s="23">
        <v>0</v>
      </c>
      <c r="AM6615" s="19">
        <v>0</v>
      </c>
      <c r="AN6615" s="19">
        <v>36400</v>
      </c>
      <c r="AP6615" s="14">
        <v>36400</v>
      </c>
    </row>
    <row r="6616" spans="1:45" ht="42" x14ac:dyDescent="0.2">
      <c r="A6616" s="2">
        <f>+A6615+1</f>
        <v>5417</v>
      </c>
      <c r="B6616" s="13">
        <v>1</v>
      </c>
      <c r="C6616" s="17" t="s">
        <v>52</v>
      </c>
      <c r="D6616" s="17">
        <v>23457</v>
      </c>
      <c r="E6616" s="17">
        <v>208</v>
      </c>
      <c r="F6616" s="17">
        <v>4843</v>
      </c>
      <c r="G6616" s="13">
        <v>1</v>
      </c>
      <c r="H6616" s="17">
        <v>0</v>
      </c>
      <c r="I6616" s="17">
        <v>0</v>
      </c>
      <c r="J6616" s="17">
        <v>95</v>
      </c>
      <c r="K6616" s="10">
        <v>84.38</v>
      </c>
      <c r="L6616" s="17">
        <v>10.62</v>
      </c>
      <c r="P6616" s="17">
        <v>5</v>
      </c>
      <c r="Q6616" s="19">
        <v>95</v>
      </c>
      <c r="R6616" s="14">
        <v>200</v>
      </c>
      <c r="S6616" s="19">
        <v>19000</v>
      </c>
      <c r="T6616" s="17">
        <v>1</v>
      </c>
      <c r="V6616" s="17" t="s">
        <v>183</v>
      </c>
      <c r="W6616" s="4">
        <v>42.5</v>
      </c>
      <c r="Y6616" s="4">
        <v>42.5</v>
      </c>
      <c r="AB6616" s="17">
        <v>16</v>
      </c>
      <c r="AJ6616" s="19">
        <v>0</v>
      </c>
      <c r="AK6616" s="23">
        <v>16</v>
      </c>
      <c r="AM6616" s="19">
        <v>0</v>
      </c>
      <c r="AN6616" s="19">
        <v>19000</v>
      </c>
      <c r="AP6616" s="14">
        <v>19000</v>
      </c>
    </row>
    <row r="6617" spans="1:45" x14ac:dyDescent="0.2">
      <c r="A6617" s="122">
        <f t="shared" ref="A6617:A6618" si="677">+A6616+1</f>
        <v>5418</v>
      </c>
      <c r="B6617" s="13">
        <v>1</v>
      </c>
      <c r="C6617" s="17" t="s">
        <v>52</v>
      </c>
      <c r="D6617" s="17">
        <v>5925</v>
      </c>
      <c r="E6617" s="17">
        <v>65</v>
      </c>
      <c r="F6617" s="17">
        <v>3058</v>
      </c>
      <c r="G6617" s="13">
        <v>5</v>
      </c>
      <c r="H6617" s="17">
        <v>0</v>
      </c>
      <c r="I6617" s="17">
        <v>1</v>
      </c>
      <c r="J6617" s="17">
        <v>40</v>
      </c>
      <c r="N6617" s="18">
        <v>140</v>
      </c>
      <c r="P6617" s="17">
        <v>2</v>
      </c>
      <c r="Q6617" s="19">
        <v>140</v>
      </c>
      <c r="R6617" s="14">
        <v>1100</v>
      </c>
      <c r="S6617" s="19">
        <v>154000</v>
      </c>
      <c r="AJ6617" s="19">
        <v>0</v>
      </c>
      <c r="AK6617" s="23">
        <v>0</v>
      </c>
      <c r="AM6617" s="19">
        <v>0</v>
      </c>
      <c r="AN6617" s="19">
        <v>154000</v>
      </c>
      <c r="AP6617" s="14">
        <v>154000</v>
      </c>
      <c r="AQ6617" s="12">
        <v>0</v>
      </c>
    </row>
    <row r="6618" spans="1:45" ht="42" x14ac:dyDescent="0.2">
      <c r="A6618" s="122">
        <f t="shared" si="677"/>
        <v>5419</v>
      </c>
      <c r="B6618" s="13">
        <v>1</v>
      </c>
      <c r="C6618" s="17" t="s">
        <v>52</v>
      </c>
      <c r="D6618" s="17">
        <v>8345</v>
      </c>
      <c r="E6618" s="17">
        <v>2</v>
      </c>
      <c r="F6618" s="17">
        <v>3135</v>
      </c>
      <c r="G6618" s="13">
        <v>4</v>
      </c>
      <c r="H6618" s="17">
        <v>0</v>
      </c>
      <c r="I6618" s="17">
        <v>0</v>
      </c>
      <c r="J6618" s="17">
        <v>89.01</v>
      </c>
      <c r="K6618" s="10">
        <v>51.38</v>
      </c>
      <c r="L6618" s="17">
        <v>37.619999999999997</v>
      </c>
      <c r="P6618" s="17">
        <v>5</v>
      </c>
      <c r="Q6618" s="19">
        <v>89.01</v>
      </c>
      <c r="R6618" s="14">
        <v>2000</v>
      </c>
      <c r="S6618" s="19">
        <v>178020</v>
      </c>
      <c r="T6618" s="17">
        <v>1</v>
      </c>
      <c r="V6618" s="17" t="s">
        <v>183</v>
      </c>
      <c r="W6618" s="4">
        <v>40</v>
      </c>
      <c r="Y6618" s="4">
        <v>40</v>
      </c>
      <c r="AB6618" s="17">
        <v>17</v>
      </c>
      <c r="AJ6618" s="19">
        <v>0</v>
      </c>
      <c r="AK6618" s="23">
        <v>17</v>
      </c>
      <c r="AM6618" s="19">
        <v>0</v>
      </c>
      <c r="AN6618" s="19">
        <v>178020</v>
      </c>
      <c r="AP6618" s="14">
        <v>178020</v>
      </c>
    </row>
    <row r="6619" spans="1:45" ht="42" x14ac:dyDescent="0.2">
      <c r="Q6619" s="19">
        <v>0</v>
      </c>
      <c r="R6619" s="14" t="e">
        <v>#N/A</v>
      </c>
      <c r="S6619" s="19" t="e">
        <v>#N/A</v>
      </c>
      <c r="T6619" s="17">
        <v>2</v>
      </c>
      <c r="V6619" s="17" t="s">
        <v>183</v>
      </c>
      <c r="W6619" s="4">
        <v>110.5</v>
      </c>
      <c r="Y6619" s="4">
        <v>110.5</v>
      </c>
      <c r="AB6619" s="17">
        <v>24</v>
      </c>
      <c r="AJ6619" s="19">
        <v>0</v>
      </c>
      <c r="AK6619" s="23">
        <v>24</v>
      </c>
      <c r="AM6619" s="19">
        <v>0</v>
      </c>
      <c r="AN6619" s="19" t="e">
        <v>#N/A</v>
      </c>
      <c r="AP6619" s="14" t="e">
        <v>#N/A</v>
      </c>
    </row>
    <row r="6620" spans="1:45" x14ac:dyDescent="0.2">
      <c r="Q6620" s="19">
        <v>0</v>
      </c>
      <c r="R6620" s="14" t="e">
        <v>#N/A</v>
      </c>
      <c r="S6620" s="19" t="e">
        <v>#N/A</v>
      </c>
      <c r="AJ6620" s="19">
        <v>0</v>
      </c>
      <c r="AK6620" s="23">
        <v>0</v>
      </c>
      <c r="AM6620" s="19">
        <v>0</v>
      </c>
      <c r="AN6620" s="19" t="e">
        <v>#N/A</v>
      </c>
      <c r="AP6620" s="14" t="e">
        <v>#N/A</v>
      </c>
    </row>
    <row r="6621" spans="1:45" x14ac:dyDescent="0.2">
      <c r="Q6621" s="19">
        <v>0</v>
      </c>
      <c r="R6621" s="14" t="e">
        <v>#N/A</v>
      </c>
      <c r="S6621" s="19" t="e">
        <v>#N/A</v>
      </c>
      <c r="AJ6621" s="19">
        <v>0</v>
      </c>
      <c r="AK6621" s="23">
        <v>0</v>
      </c>
      <c r="AM6621" s="19">
        <v>0</v>
      </c>
      <c r="AN6621" s="19" t="e">
        <v>#N/A</v>
      </c>
      <c r="AP6621" s="14" t="e">
        <v>#N/A</v>
      </c>
    </row>
    <row r="6622" spans="1:45" x14ac:dyDescent="0.2">
      <c r="A6622" s="2">
        <v>5420</v>
      </c>
      <c r="B6622" s="13">
        <v>1</v>
      </c>
      <c r="C6622" s="17" t="s">
        <v>52</v>
      </c>
      <c r="D6622" s="17">
        <v>1174</v>
      </c>
      <c r="E6622" s="17">
        <v>18</v>
      </c>
      <c r="F6622" s="17">
        <v>1013</v>
      </c>
      <c r="G6622" s="13">
        <v>1</v>
      </c>
      <c r="H6622" s="17">
        <v>4</v>
      </c>
      <c r="I6622" s="17">
        <v>0</v>
      </c>
      <c r="J6622" s="17">
        <v>87</v>
      </c>
      <c r="K6622" s="10">
        <v>1687</v>
      </c>
      <c r="P6622" s="17">
        <v>1</v>
      </c>
      <c r="Q6622" s="19">
        <v>1687</v>
      </c>
      <c r="R6622" s="14">
        <v>200</v>
      </c>
      <c r="S6622" s="19">
        <v>337400</v>
      </c>
      <c r="AJ6622" s="19">
        <v>0</v>
      </c>
      <c r="AK6622" s="23">
        <v>0</v>
      </c>
      <c r="AM6622" s="19">
        <v>0</v>
      </c>
      <c r="AN6622" s="19">
        <v>337400</v>
      </c>
      <c r="AP6622" s="14">
        <v>337400</v>
      </c>
    </row>
    <row r="6623" spans="1:45" x14ac:dyDescent="0.2">
      <c r="A6623" s="2">
        <f>+A6622+1</f>
        <v>5421</v>
      </c>
      <c r="B6623" s="13">
        <v>2</v>
      </c>
      <c r="C6623" s="17" t="s">
        <v>52</v>
      </c>
      <c r="D6623" s="17">
        <v>31547</v>
      </c>
      <c r="E6623" s="17">
        <v>92</v>
      </c>
      <c r="F6623" s="17">
        <v>5488</v>
      </c>
      <c r="G6623" s="13">
        <v>1</v>
      </c>
      <c r="H6623" s="17">
        <v>10</v>
      </c>
      <c r="I6623" s="17">
        <v>0</v>
      </c>
      <c r="J6623" s="17">
        <v>73</v>
      </c>
      <c r="K6623" s="10">
        <v>4073</v>
      </c>
      <c r="P6623" s="17">
        <v>1</v>
      </c>
      <c r="Q6623" s="19">
        <v>4073</v>
      </c>
      <c r="R6623" s="14">
        <v>160</v>
      </c>
      <c r="S6623" s="19">
        <v>651680</v>
      </c>
      <c r="AJ6623" s="19">
        <v>0</v>
      </c>
      <c r="AK6623" s="23">
        <v>0</v>
      </c>
      <c r="AM6623" s="19">
        <v>0</v>
      </c>
      <c r="AN6623" s="19">
        <v>651680</v>
      </c>
      <c r="AP6623" s="14">
        <v>651680</v>
      </c>
    </row>
    <row r="6624" spans="1:45" x14ac:dyDescent="0.2">
      <c r="A6624" s="122">
        <f t="shared" ref="A6624:A6633" si="678">+A6623+1</f>
        <v>5422</v>
      </c>
      <c r="B6624" s="13">
        <v>3</v>
      </c>
      <c r="C6624" s="17" t="s">
        <v>52</v>
      </c>
      <c r="D6624" s="17">
        <v>31548</v>
      </c>
      <c r="E6624" s="17">
        <v>93</v>
      </c>
      <c r="F6624" s="17">
        <v>5489</v>
      </c>
      <c r="G6624" s="13">
        <v>1</v>
      </c>
      <c r="H6624" s="17">
        <v>2</v>
      </c>
      <c r="I6624" s="17">
        <v>2</v>
      </c>
      <c r="J6624" s="17">
        <v>27</v>
      </c>
      <c r="K6624" s="10">
        <v>1027</v>
      </c>
      <c r="P6624" s="17">
        <v>1</v>
      </c>
      <c r="Q6624" s="19">
        <v>1027</v>
      </c>
      <c r="R6624" s="14">
        <v>160</v>
      </c>
      <c r="S6624" s="19">
        <v>164320</v>
      </c>
      <c r="AJ6624" s="19">
        <v>0</v>
      </c>
      <c r="AK6624" s="23">
        <v>0</v>
      </c>
      <c r="AM6624" s="19">
        <v>0</v>
      </c>
      <c r="AN6624" s="19">
        <v>164320</v>
      </c>
      <c r="AP6624" s="14">
        <v>164320</v>
      </c>
    </row>
    <row r="6625" spans="1:45" x14ac:dyDescent="0.2">
      <c r="A6625" s="122">
        <f t="shared" si="678"/>
        <v>5423</v>
      </c>
      <c r="B6625" s="13">
        <v>4</v>
      </c>
      <c r="C6625" s="17" t="s">
        <v>52</v>
      </c>
      <c r="D6625" s="17">
        <v>31549</v>
      </c>
      <c r="E6625" s="17">
        <v>94</v>
      </c>
      <c r="F6625" s="17">
        <v>5490</v>
      </c>
      <c r="G6625" s="13">
        <v>1</v>
      </c>
      <c r="H6625" s="17">
        <v>2</v>
      </c>
      <c r="I6625" s="17">
        <v>2</v>
      </c>
      <c r="J6625" s="17">
        <v>88</v>
      </c>
      <c r="K6625" s="10">
        <v>1088</v>
      </c>
      <c r="P6625" s="17">
        <v>1</v>
      </c>
      <c r="Q6625" s="19">
        <v>1088</v>
      </c>
      <c r="R6625" s="14">
        <v>160</v>
      </c>
      <c r="S6625" s="19">
        <v>174080</v>
      </c>
      <c r="AJ6625" s="19">
        <v>0</v>
      </c>
      <c r="AK6625" s="23">
        <v>0</v>
      </c>
      <c r="AM6625" s="19">
        <v>0</v>
      </c>
      <c r="AN6625" s="19">
        <v>174080</v>
      </c>
      <c r="AP6625" s="14">
        <v>174080</v>
      </c>
    </row>
    <row r="6626" spans="1:45" x14ac:dyDescent="0.2">
      <c r="A6626" s="122">
        <f t="shared" si="678"/>
        <v>5424</v>
      </c>
      <c r="B6626" s="13">
        <v>5</v>
      </c>
      <c r="C6626" s="17" t="s">
        <v>52</v>
      </c>
      <c r="D6626" s="17">
        <v>31550</v>
      </c>
      <c r="E6626" s="17">
        <v>95</v>
      </c>
      <c r="F6626" s="17">
        <v>5491</v>
      </c>
      <c r="G6626" s="13">
        <v>1</v>
      </c>
      <c r="H6626" s="17">
        <v>2</v>
      </c>
      <c r="I6626" s="17">
        <v>2</v>
      </c>
      <c r="J6626" s="17">
        <v>65</v>
      </c>
      <c r="K6626" s="10">
        <v>1065</v>
      </c>
      <c r="P6626" s="17">
        <v>1</v>
      </c>
      <c r="Q6626" s="19">
        <v>1065</v>
      </c>
      <c r="R6626" s="14">
        <v>160</v>
      </c>
      <c r="S6626" s="19">
        <v>170400</v>
      </c>
      <c r="AJ6626" s="19">
        <v>0</v>
      </c>
      <c r="AK6626" s="23">
        <v>0</v>
      </c>
      <c r="AM6626" s="19">
        <v>0</v>
      </c>
      <c r="AN6626" s="19">
        <v>170400</v>
      </c>
      <c r="AP6626" s="14">
        <v>170400</v>
      </c>
    </row>
    <row r="6627" spans="1:45" x14ac:dyDescent="0.2">
      <c r="A6627" s="122">
        <f t="shared" si="678"/>
        <v>5425</v>
      </c>
      <c r="B6627" s="13">
        <v>6</v>
      </c>
      <c r="C6627" s="17" t="s">
        <v>52</v>
      </c>
      <c r="D6627" s="17">
        <v>31947</v>
      </c>
      <c r="E6627" s="17">
        <v>249</v>
      </c>
      <c r="F6627" s="17">
        <v>6167</v>
      </c>
      <c r="G6627" s="13">
        <v>2</v>
      </c>
      <c r="H6627" s="17">
        <v>4</v>
      </c>
      <c r="I6627" s="17">
        <v>3</v>
      </c>
      <c r="J6627" s="17">
        <v>98.05</v>
      </c>
      <c r="K6627" s="10">
        <v>1998.05</v>
      </c>
      <c r="P6627" s="17">
        <v>1</v>
      </c>
      <c r="Q6627" s="19">
        <v>1998.05</v>
      </c>
      <c r="R6627" s="14">
        <v>200</v>
      </c>
      <c r="S6627" s="19">
        <v>399610</v>
      </c>
      <c r="AJ6627" s="19">
        <v>0</v>
      </c>
      <c r="AK6627" s="23">
        <v>0</v>
      </c>
      <c r="AM6627" s="19">
        <v>0</v>
      </c>
      <c r="AN6627" s="19">
        <v>399610</v>
      </c>
      <c r="AP6627" s="14">
        <v>399610</v>
      </c>
    </row>
    <row r="6628" spans="1:45" x14ac:dyDescent="0.2">
      <c r="A6628" s="122">
        <f t="shared" si="678"/>
        <v>5426</v>
      </c>
      <c r="B6628" s="13">
        <v>7</v>
      </c>
      <c r="C6628" s="17" t="s">
        <v>52</v>
      </c>
      <c r="D6628" s="17">
        <v>31948</v>
      </c>
      <c r="E6628" s="17">
        <v>250</v>
      </c>
      <c r="F6628" s="17">
        <v>6168</v>
      </c>
      <c r="G6628" s="13">
        <v>2</v>
      </c>
      <c r="H6628" s="17">
        <v>1</v>
      </c>
      <c r="I6628" s="17">
        <v>1</v>
      </c>
      <c r="J6628" s="17">
        <v>76.05</v>
      </c>
      <c r="K6628" s="10">
        <v>576.04999999999995</v>
      </c>
      <c r="P6628" s="17">
        <v>1</v>
      </c>
      <c r="Q6628" s="19">
        <v>576.04999999999995</v>
      </c>
      <c r="R6628" s="14">
        <v>160</v>
      </c>
      <c r="S6628" s="19">
        <v>92168</v>
      </c>
      <c r="AJ6628" s="19">
        <v>0</v>
      </c>
      <c r="AK6628" s="23">
        <v>0</v>
      </c>
      <c r="AM6628" s="19">
        <v>0</v>
      </c>
      <c r="AN6628" s="19">
        <v>92168</v>
      </c>
      <c r="AP6628" s="14">
        <v>92168</v>
      </c>
    </row>
    <row r="6629" spans="1:45" x14ac:dyDescent="0.2">
      <c r="A6629" s="122">
        <f t="shared" si="678"/>
        <v>5427</v>
      </c>
      <c r="B6629" s="13">
        <v>8</v>
      </c>
      <c r="C6629" s="17" t="s">
        <v>52</v>
      </c>
      <c r="D6629" s="17">
        <v>31949</v>
      </c>
      <c r="E6629" s="17">
        <v>251</v>
      </c>
      <c r="F6629" s="17">
        <v>6169</v>
      </c>
      <c r="G6629" s="13">
        <v>2</v>
      </c>
      <c r="H6629" s="17">
        <v>3</v>
      </c>
      <c r="I6629" s="17">
        <v>0</v>
      </c>
      <c r="J6629" s="17">
        <v>59.08</v>
      </c>
      <c r="K6629" s="10">
        <v>1259.08</v>
      </c>
      <c r="P6629" s="17">
        <v>1</v>
      </c>
      <c r="Q6629" s="19">
        <v>1259.08</v>
      </c>
      <c r="R6629" s="14">
        <v>160</v>
      </c>
      <c r="S6629" s="19">
        <v>201452.79999999999</v>
      </c>
      <c r="AJ6629" s="19">
        <v>0</v>
      </c>
      <c r="AK6629" s="23">
        <v>0</v>
      </c>
      <c r="AM6629" s="19">
        <v>0</v>
      </c>
      <c r="AN6629" s="19">
        <v>201452.79999999999</v>
      </c>
      <c r="AP6629" s="14">
        <v>201452.79999999999</v>
      </c>
    </row>
    <row r="6630" spans="1:45" x14ac:dyDescent="0.2">
      <c r="A6630" s="122">
        <f t="shared" si="678"/>
        <v>5428</v>
      </c>
      <c r="B6630" s="13">
        <v>9</v>
      </c>
      <c r="C6630" s="17" t="s">
        <v>52</v>
      </c>
      <c r="D6630" s="17">
        <v>31950</v>
      </c>
      <c r="E6630" s="17">
        <v>136</v>
      </c>
      <c r="F6630" s="17">
        <v>6170</v>
      </c>
      <c r="G6630" s="13">
        <v>2</v>
      </c>
      <c r="H6630" s="17">
        <v>2</v>
      </c>
      <c r="I6630" s="17">
        <v>2</v>
      </c>
      <c r="J6630" s="17">
        <v>85.04</v>
      </c>
      <c r="K6630" s="10">
        <v>1085.04</v>
      </c>
      <c r="P6630" s="17">
        <v>1</v>
      </c>
      <c r="Q6630" s="19">
        <v>1085.04</v>
      </c>
      <c r="R6630" s="14">
        <v>160</v>
      </c>
      <c r="S6630" s="19">
        <v>173606.39999999999</v>
      </c>
      <c r="AJ6630" s="19">
        <v>0</v>
      </c>
      <c r="AK6630" s="23">
        <v>0</v>
      </c>
      <c r="AM6630" s="19">
        <v>0</v>
      </c>
      <c r="AN6630" s="19">
        <v>173606.39999999999</v>
      </c>
      <c r="AP6630" s="14">
        <v>173606.39999999999</v>
      </c>
    </row>
    <row r="6631" spans="1:45" x14ac:dyDescent="0.2">
      <c r="A6631" s="122">
        <f t="shared" si="678"/>
        <v>5429</v>
      </c>
      <c r="B6631" s="13">
        <v>10</v>
      </c>
      <c r="C6631" s="17" t="s">
        <v>65</v>
      </c>
      <c r="D6631" s="17">
        <v>799</v>
      </c>
      <c r="E6631" s="17">
        <v>245</v>
      </c>
      <c r="H6631" s="17">
        <v>3</v>
      </c>
      <c r="I6631" s="17">
        <v>2</v>
      </c>
      <c r="J6631" s="17">
        <v>0</v>
      </c>
      <c r="K6631" s="10">
        <v>1400</v>
      </c>
      <c r="P6631" s="17">
        <v>1</v>
      </c>
      <c r="Q6631" s="19">
        <v>1400</v>
      </c>
      <c r="R6631" s="14">
        <v>2000</v>
      </c>
      <c r="S6631" s="19">
        <v>2800000</v>
      </c>
      <c r="AE6631" s="17" t="s">
        <v>94</v>
      </c>
      <c r="AJ6631" s="19">
        <v>0</v>
      </c>
      <c r="AK6631" s="23">
        <v>0</v>
      </c>
      <c r="AM6631" s="19">
        <v>0</v>
      </c>
      <c r="AN6631" s="19">
        <v>2800000</v>
      </c>
      <c r="AP6631" s="14">
        <v>2800000</v>
      </c>
      <c r="AQ6631" s="12">
        <v>1E-4</v>
      </c>
    </row>
    <row r="6632" spans="1:45" x14ac:dyDescent="0.2">
      <c r="A6632" s="122">
        <f t="shared" si="678"/>
        <v>5430</v>
      </c>
      <c r="B6632" s="13">
        <v>11</v>
      </c>
      <c r="C6632" s="17" t="s">
        <v>65</v>
      </c>
      <c r="D6632" s="17">
        <v>956</v>
      </c>
      <c r="E6632" s="17">
        <v>244</v>
      </c>
      <c r="H6632" s="17">
        <v>12</v>
      </c>
      <c r="I6632" s="17">
        <v>0</v>
      </c>
      <c r="J6632" s="17">
        <v>66</v>
      </c>
      <c r="K6632" s="10">
        <v>4866</v>
      </c>
      <c r="P6632" s="17">
        <v>1</v>
      </c>
      <c r="Q6632" s="19">
        <v>4866</v>
      </c>
      <c r="R6632" s="14">
        <v>200</v>
      </c>
      <c r="S6632" s="19">
        <v>973200</v>
      </c>
      <c r="AE6632" s="17" t="s">
        <v>94</v>
      </c>
      <c r="AJ6632" s="19">
        <v>0</v>
      </c>
      <c r="AK6632" s="23">
        <v>0</v>
      </c>
      <c r="AM6632" s="19">
        <v>0</v>
      </c>
      <c r="AN6632" s="19">
        <v>973200</v>
      </c>
      <c r="AP6632" s="14">
        <v>973200</v>
      </c>
      <c r="AQ6632" s="12">
        <v>1E-4</v>
      </c>
    </row>
    <row r="6633" spans="1:45" ht="42" x14ac:dyDescent="0.2">
      <c r="A6633" s="122">
        <f t="shared" si="678"/>
        <v>5431</v>
      </c>
      <c r="B6633" s="13">
        <v>1</v>
      </c>
      <c r="C6633" s="17" t="s">
        <v>52</v>
      </c>
      <c r="D6633" s="17">
        <v>1384</v>
      </c>
      <c r="E6633" s="17">
        <v>85</v>
      </c>
      <c r="F6633" s="17">
        <v>954</v>
      </c>
      <c r="G6633" s="13">
        <v>1</v>
      </c>
      <c r="H6633" s="17">
        <v>2</v>
      </c>
      <c r="I6633" s="17">
        <v>1</v>
      </c>
      <c r="J6633" s="17">
        <v>26</v>
      </c>
      <c r="K6633" s="10">
        <v>926</v>
      </c>
      <c r="P6633" s="17">
        <v>1</v>
      </c>
      <c r="Q6633" s="19">
        <v>926</v>
      </c>
      <c r="R6633" s="14">
        <v>160</v>
      </c>
      <c r="S6633" s="19">
        <v>148160</v>
      </c>
      <c r="AJ6633" s="19">
        <v>0</v>
      </c>
      <c r="AK6633" s="23">
        <v>0</v>
      </c>
      <c r="AM6633" s="19">
        <v>0</v>
      </c>
      <c r="AN6633" s="19">
        <v>148160</v>
      </c>
      <c r="AP6633" s="14">
        <v>148160</v>
      </c>
      <c r="AS6633" s="26" t="s">
        <v>259</v>
      </c>
    </row>
    <row r="6634" spans="1:45" x14ac:dyDescent="0.2">
      <c r="C6634" s="17" t="s">
        <v>52</v>
      </c>
      <c r="D6634" s="17">
        <v>16063</v>
      </c>
      <c r="E6634" s="17">
        <v>89</v>
      </c>
      <c r="F6634" s="17">
        <v>3541</v>
      </c>
      <c r="H6634" s="17">
        <v>6</v>
      </c>
      <c r="I6634" s="17">
        <v>0</v>
      </c>
      <c r="J6634" s="17">
        <v>44</v>
      </c>
      <c r="K6634" s="10" t="s">
        <v>680</v>
      </c>
      <c r="P6634" s="17">
        <v>1</v>
      </c>
      <c r="Q6634" s="19">
        <v>2444</v>
      </c>
      <c r="R6634" s="14" t="e">
        <v>#N/A</v>
      </c>
    </row>
    <row r="6635" spans="1:45" x14ac:dyDescent="0.2">
      <c r="A6635" s="2">
        <v>5432</v>
      </c>
      <c r="B6635" s="13">
        <v>2</v>
      </c>
      <c r="C6635" s="17" t="s">
        <v>52</v>
      </c>
      <c r="D6635" s="17">
        <v>35211</v>
      </c>
      <c r="E6635" s="17">
        <v>364</v>
      </c>
      <c r="F6635" s="17">
        <v>7001</v>
      </c>
      <c r="G6635" s="13">
        <v>1</v>
      </c>
      <c r="H6635" s="17">
        <v>0</v>
      </c>
      <c r="I6635" s="17">
        <v>1</v>
      </c>
      <c r="J6635" s="17">
        <v>5</v>
      </c>
      <c r="K6635" s="10">
        <v>105</v>
      </c>
      <c r="P6635" s="17">
        <v>1</v>
      </c>
      <c r="Q6635" s="19">
        <v>105</v>
      </c>
      <c r="R6635" s="14">
        <v>160</v>
      </c>
      <c r="S6635" s="19">
        <v>16800</v>
      </c>
      <c r="AJ6635" s="19">
        <v>0</v>
      </c>
      <c r="AK6635" s="23">
        <v>0</v>
      </c>
      <c r="AM6635" s="19">
        <v>0</v>
      </c>
      <c r="AN6635" s="19">
        <v>16800</v>
      </c>
      <c r="AP6635" s="14">
        <v>16800</v>
      </c>
    </row>
    <row r="6636" spans="1:45" x14ac:dyDescent="0.2">
      <c r="A6636" s="2">
        <f>+A6635+1</f>
        <v>5433</v>
      </c>
      <c r="B6636" s="13">
        <v>3</v>
      </c>
      <c r="C6636" s="17" t="s">
        <v>52</v>
      </c>
      <c r="D6636" s="17">
        <v>35212</v>
      </c>
      <c r="E6636" s="17">
        <v>365</v>
      </c>
      <c r="F6636" s="17">
        <v>7002</v>
      </c>
      <c r="G6636" s="13">
        <v>1</v>
      </c>
      <c r="H6636" s="17">
        <v>0</v>
      </c>
      <c r="I6636" s="17">
        <v>0</v>
      </c>
      <c r="J6636" s="17">
        <v>72</v>
      </c>
      <c r="K6636" s="10">
        <v>72</v>
      </c>
      <c r="P6636" s="17">
        <v>1</v>
      </c>
      <c r="Q6636" s="19">
        <v>72</v>
      </c>
      <c r="R6636" s="14">
        <v>160</v>
      </c>
      <c r="S6636" s="19">
        <v>11520</v>
      </c>
      <c r="AJ6636" s="19">
        <v>0</v>
      </c>
      <c r="AK6636" s="23">
        <v>0</v>
      </c>
      <c r="AM6636" s="19">
        <v>0</v>
      </c>
      <c r="AN6636" s="19">
        <v>11520</v>
      </c>
      <c r="AP6636" s="14">
        <v>11520</v>
      </c>
    </row>
    <row r="6637" spans="1:45" x14ac:dyDescent="0.2">
      <c r="A6637" s="122">
        <f t="shared" ref="A6637:A6652" si="679">+A6636+1</f>
        <v>5434</v>
      </c>
      <c r="B6637" s="13">
        <v>4</v>
      </c>
      <c r="C6637" s="17" t="s">
        <v>65</v>
      </c>
      <c r="D6637" s="17">
        <v>2622</v>
      </c>
      <c r="E6637" s="17">
        <v>161</v>
      </c>
      <c r="H6637" s="17">
        <v>5</v>
      </c>
      <c r="I6637" s="17">
        <v>2</v>
      </c>
      <c r="J6637" s="17">
        <v>22</v>
      </c>
      <c r="K6637" s="10">
        <v>2222</v>
      </c>
      <c r="P6637" s="17">
        <v>1</v>
      </c>
      <c r="Q6637" s="19">
        <v>2222</v>
      </c>
      <c r="R6637" s="14">
        <v>160</v>
      </c>
      <c r="S6637" s="19">
        <v>355520</v>
      </c>
      <c r="AE6637" s="17" t="s">
        <v>611</v>
      </c>
      <c r="AJ6637" s="19">
        <v>0</v>
      </c>
      <c r="AK6637" s="23">
        <v>0</v>
      </c>
      <c r="AM6637" s="19">
        <v>0</v>
      </c>
      <c r="AN6637" s="19">
        <v>355520</v>
      </c>
      <c r="AP6637" s="14">
        <v>355520</v>
      </c>
      <c r="AQ6637" s="12">
        <v>1E-4</v>
      </c>
    </row>
    <row r="6638" spans="1:45" x14ac:dyDescent="0.2">
      <c r="A6638" s="122">
        <f t="shared" si="679"/>
        <v>5435</v>
      </c>
      <c r="B6638" s="13">
        <v>1</v>
      </c>
      <c r="C6638" s="17" t="s">
        <v>52</v>
      </c>
      <c r="D6638" s="17">
        <v>969</v>
      </c>
      <c r="E6638" s="17">
        <v>27</v>
      </c>
      <c r="F6638" s="17">
        <v>233</v>
      </c>
      <c r="G6638" s="13">
        <v>1</v>
      </c>
      <c r="H6638" s="17">
        <v>5</v>
      </c>
      <c r="I6638" s="17">
        <v>0</v>
      </c>
      <c r="J6638" s="17">
        <v>55</v>
      </c>
      <c r="K6638" s="10">
        <v>2055</v>
      </c>
      <c r="P6638" s="17">
        <v>1</v>
      </c>
      <c r="Q6638" s="19">
        <v>2055</v>
      </c>
      <c r="R6638" s="14">
        <v>200</v>
      </c>
      <c r="S6638" s="19">
        <v>411000</v>
      </c>
      <c r="AJ6638" s="19">
        <v>0</v>
      </c>
      <c r="AK6638" s="23">
        <v>0</v>
      </c>
      <c r="AM6638" s="19">
        <v>0</v>
      </c>
      <c r="AN6638" s="19">
        <v>411000</v>
      </c>
      <c r="AP6638" s="14">
        <v>411000</v>
      </c>
    </row>
    <row r="6639" spans="1:45" x14ac:dyDescent="0.2">
      <c r="A6639" s="122">
        <f t="shared" si="679"/>
        <v>5436</v>
      </c>
      <c r="B6639" s="13">
        <v>2</v>
      </c>
      <c r="C6639" s="17" t="s">
        <v>52</v>
      </c>
      <c r="D6639" s="17">
        <v>31389</v>
      </c>
      <c r="E6639" s="17">
        <v>181</v>
      </c>
      <c r="F6639" s="17">
        <v>6214</v>
      </c>
      <c r="G6639" s="13">
        <v>2</v>
      </c>
      <c r="H6639" s="17">
        <v>0</v>
      </c>
      <c r="I6639" s="17">
        <v>0</v>
      </c>
      <c r="J6639" s="17">
        <v>87</v>
      </c>
      <c r="K6639" s="10">
        <v>87</v>
      </c>
      <c r="P6639" s="17">
        <v>1</v>
      </c>
      <c r="Q6639" s="19">
        <v>87</v>
      </c>
      <c r="R6639" s="14">
        <v>250</v>
      </c>
      <c r="S6639" s="19">
        <v>21750</v>
      </c>
      <c r="AJ6639" s="19">
        <v>0</v>
      </c>
      <c r="AK6639" s="23">
        <v>0</v>
      </c>
      <c r="AM6639" s="19">
        <v>0</v>
      </c>
      <c r="AN6639" s="19">
        <v>21750</v>
      </c>
      <c r="AP6639" s="14">
        <v>21750</v>
      </c>
    </row>
    <row r="6640" spans="1:45" x14ac:dyDescent="0.2">
      <c r="A6640" s="122">
        <f t="shared" si="679"/>
        <v>5437</v>
      </c>
      <c r="B6640" s="13">
        <v>1</v>
      </c>
      <c r="C6640" s="17" t="s">
        <v>52</v>
      </c>
      <c r="D6640" s="17">
        <v>4618</v>
      </c>
      <c r="E6640" s="17">
        <v>81</v>
      </c>
      <c r="F6640" s="17">
        <v>2438</v>
      </c>
      <c r="G6640" s="13">
        <v>1</v>
      </c>
      <c r="H6640" s="17">
        <v>2</v>
      </c>
      <c r="I6640" s="17">
        <v>3</v>
      </c>
      <c r="J6640" s="17">
        <v>98</v>
      </c>
      <c r="K6640" s="10">
        <v>1198</v>
      </c>
      <c r="P6640" s="17">
        <v>1</v>
      </c>
      <c r="Q6640" s="19">
        <v>1198</v>
      </c>
      <c r="R6640" s="14">
        <v>160</v>
      </c>
      <c r="S6640" s="19">
        <v>191680</v>
      </c>
      <c r="AJ6640" s="19">
        <v>0</v>
      </c>
      <c r="AK6640" s="23">
        <v>0</v>
      </c>
      <c r="AM6640" s="19">
        <v>0</v>
      </c>
      <c r="AN6640" s="19">
        <v>191680</v>
      </c>
      <c r="AP6640" s="14">
        <v>191680</v>
      </c>
    </row>
    <row r="6641" spans="1:45" x14ac:dyDescent="0.2">
      <c r="A6641" s="122">
        <f t="shared" si="679"/>
        <v>5438</v>
      </c>
      <c r="B6641" s="13">
        <v>2</v>
      </c>
      <c r="C6641" s="17" t="s">
        <v>52</v>
      </c>
      <c r="D6641" s="17">
        <v>4621</v>
      </c>
      <c r="E6641" s="17">
        <v>84</v>
      </c>
      <c r="F6641" s="17">
        <v>2441</v>
      </c>
      <c r="G6641" s="13">
        <v>1</v>
      </c>
      <c r="H6641" s="17">
        <v>4</v>
      </c>
      <c r="I6641" s="17">
        <v>3</v>
      </c>
      <c r="J6641" s="17">
        <v>3</v>
      </c>
      <c r="K6641" s="10">
        <v>1903</v>
      </c>
      <c r="P6641" s="17">
        <v>1</v>
      </c>
      <c r="Q6641" s="19">
        <v>1903</v>
      </c>
      <c r="R6641" s="14">
        <v>160</v>
      </c>
      <c r="S6641" s="19">
        <v>304480</v>
      </c>
      <c r="AJ6641" s="19">
        <v>0</v>
      </c>
      <c r="AK6641" s="23">
        <v>0</v>
      </c>
      <c r="AM6641" s="19">
        <v>0</v>
      </c>
      <c r="AN6641" s="19">
        <v>304480</v>
      </c>
      <c r="AP6641" s="14">
        <v>304480</v>
      </c>
    </row>
    <row r="6642" spans="1:45" x14ac:dyDescent="0.2">
      <c r="A6642" s="122">
        <f t="shared" si="679"/>
        <v>5439</v>
      </c>
      <c r="B6642" s="13">
        <v>1</v>
      </c>
      <c r="C6642" s="17" t="s">
        <v>69</v>
      </c>
      <c r="E6642" s="17">
        <v>1518</v>
      </c>
      <c r="F6642" s="17">
        <v>1</v>
      </c>
      <c r="G6642" s="13">
        <v>2</v>
      </c>
      <c r="H6642" s="17">
        <v>4</v>
      </c>
      <c r="I6642" s="17">
        <v>1</v>
      </c>
      <c r="J6642" s="17">
        <v>14</v>
      </c>
      <c r="K6642" s="10">
        <v>1714</v>
      </c>
      <c r="P6642" s="17">
        <v>1</v>
      </c>
      <c r="Q6642" s="19">
        <v>1714</v>
      </c>
      <c r="R6642" s="14">
        <v>200</v>
      </c>
      <c r="S6642" s="19">
        <v>342800</v>
      </c>
      <c r="AJ6642" s="19">
        <v>0</v>
      </c>
      <c r="AK6642" s="23">
        <v>0</v>
      </c>
      <c r="AM6642" s="19">
        <v>0</v>
      </c>
      <c r="AN6642" s="19">
        <v>342800</v>
      </c>
      <c r="AP6642" s="14">
        <v>342800</v>
      </c>
      <c r="AQ6642" s="12">
        <v>1E-4</v>
      </c>
    </row>
    <row r="6643" spans="1:45" x14ac:dyDescent="0.2">
      <c r="A6643" s="122">
        <f t="shared" si="679"/>
        <v>5440</v>
      </c>
      <c r="B6643" s="13">
        <v>2</v>
      </c>
      <c r="C6643" s="17" t="s">
        <v>69</v>
      </c>
      <c r="E6643" s="17">
        <v>1518</v>
      </c>
      <c r="F6643" s="17">
        <v>12</v>
      </c>
      <c r="G6643" s="13">
        <v>2</v>
      </c>
      <c r="H6643" s="17">
        <v>11</v>
      </c>
      <c r="I6643" s="17">
        <v>1</v>
      </c>
      <c r="J6643" s="17">
        <v>73</v>
      </c>
      <c r="K6643" s="10">
        <v>4573</v>
      </c>
      <c r="P6643" s="17">
        <v>1</v>
      </c>
      <c r="Q6643" s="19">
        <v>4573</v>
      </c>
      <c r="R6643" s="14">
        <v>160</v>
      </c>
      <c r="S6643" s="19">
        <v>731680</v>
      </c>
      <c r="AJ6643" s="19">
        <v>0</v>
      </c>
      <c r="AK6643" s="23">
        <v>0</v>
      </c>
      <c r="AM6643" s="19">
        <v>0</v>
      </c>
      <c r="AN6643" s="19">
        <v>731680</v>
      </c>
      <c r="AP6643" s="14">
        <v>731680</v>
      </c>
      <c r="AQ6643" s="12">
        <v>1E-4</v>
      </c>
    </row>
    <row r="6644" spans="1:45" x14ac:dyDescent="0.2">
      <c r="A6644" s="122">
        <f t="shared" si="679"/>
        <v>5441</v>
      </c>
      <c r="B6644" s="13">
        <v>1</v>
      </c>
      <c r="C6644" s="17" t="s">
        <v>52</v>
      </c>
      <c r="D6644" s="17">
        <v>29804</v>
      </c>
      <c r="E6644" s="17">
        <v>112</v>
      </c>
      <c r="F6644" s="17">
        <v>5510</v>
      </c>
      <c r="G6644" s="13">
        <v>3</v>
      </c>
      <c r="H6644" s="17">
        <v>4</v>
      </c>
      <c r="I6644" s="17">
        <v>2</v>
      </c>
      <c r="J6644" s="17">
        <v>82.05</v>
      </c>
      <c r="K6644" s="10">
        <v>1882.05</v>
      </c>
      <c r="P6644" s="17">
        <v>1</v>
      </c>
      <c r="Q6644" s="19">
        <v>1882.05</v>
      </c>
      <c r="R6644" s="14">
        <v>160</v>
      </c>
      <c r="S6644" s="19">
        <v>301128</v>
      </c>
      <c r="AJ6644" s="19">
        <v>0</v>
      </c>
      <c r="AK6644" s="23">
        <v>0</v>
      </c>
      <c r="AM6644" s="19">
        <v>0</v>
      </c>
      <c r="AN6644" s="19">
        <v>301128</v>
      </c>
      <c r="AP6644" s="14">
        <v>301128</v>
      </c>
    </row>
    <row r="6645" spans="1:45" x14ac:dyDescent="0.2">
      <c r="A6645" s="122">
        <f t="shared" si="679"/>
        <v>5442</v>
      </c>
      <c r="B6645" s="13">
        <v>1</v>
      </c>
      <c r="C6645" s="17" t="s">
        <v>52</v>
      </c>
      <c r="D6645" s="17">
        <v>2042</v>
      </c>
      <c r="E6645" s="17">
        <v>49</v>
      </c>
      <c r="F6645" s="17">
        <v>1133</v>
      </c>
      <c r="H6645" s="17">
        <v>4</v>
      </c>
      <c r="I6645" s="17">
        <v>2</v>
      </c>
      <c r="J6645" s="17">
        <v>22</v>
      </c>
      <c r="K6645" s="10">
        <v>1822</v>
      </c>
      <c r="P6645" s="17">
        <v>1</v>
      </c>
      <c r="Q6645" s="19">
        <v>1822</v>
      </c>
      <c r="R6645" s="14">
        <v>1500</v>
      </c>
      <c r="S6645" s="19">
        <v>2733000</v>
      </c>
      <c r="AJ6645" s="19">
        <v>0</v>
      </c>
      <c r="AK6645" s="23">
        <v>0</v>
      </c>
      <c r="AM6645" s="19">
        <v>0</v>
      </c>
      <c r="AN6645" s="19">
        <v>2733000</v>
      </c>
      <c r="AP6645" s="14">
        <v>2733000</v>
      </c>
      <c r="AS6645" s="26">
        <v>28</v>
      </c>
    </row>
    <row r="6646" spans="1:45" x14ac:dyDescent="0.2">
      <c r="A6646" s="122">
        <f t="shared" si="679"/>
        <v>5443</v>
      </c>
      <c r="B6646" s="13">
        <v>2</v>
      </c>
      <c r="C6646" s="17" t="s">
        <v>52</v>
      </c>
      <c r="D6646" s="17">
        <v>2083</v>
      </c>
      <c r="E6646" s="17">
        <v>48</v>
      </c>
      <c r="F6646" s="17">
        <v>1542</v>
      </c>
      <c r="H6646" s="17">
        <v>0</v>
      </c>
      <c r="I6646" s="17">
        <v>1</v>
      </c>
      <c r="J6646" s="17">
        <v>95</v>
      </c>
      <c r="K6646" s="10">
        <v>195</v>
      </c>
      <c r="P6646" s="17">
        <v>1</v>
      </c>
      <c r="Q6646" s="19">
        <v>195</v>
      </c>
      <c r="R6646" s="14">
        <v>2000</v>
      </c>
      <c r="S6646" s="19">
        <v>390000</v>
      </c>
      <c r="AJ6646" s="19">
        <v>0</v>
      </c>
      <c r="AK6646" s="23">
        <v>0</v>
      </c>
      <c r="AM6646" s="19">
        <v>0</v>
      </c>
      <c r="AN6646" s="19">
        <v>390000</v>
      </c>
      <c r="AP6646" s="14">
        <v>390000</v>
      </c>
    </row>
    <row r="6647" spans="1:45" x14ac:dyDescent="0.2">
      <c r="A6647" s="122">
        <f t="shared" si="679"/>
        <v>5444</v>
      </c>
      <c r="B6647" s="13">
        <v>1</v>
      </c>
      <c r="C6647" s="17" t="s">
        <v>65</v>
      </c>
      <c r="D6647" s="17">
        <v>2272</v>
      </c>
      <c r="E6647" s="17">
        <v>50</v>
      </c>
      <c r="H6647" s="17">
        <v>13</v>
      </c>
      <c r="I6647" s="17">
        <v>3</v>
      </c>
      <c r="J6647" s="17">
        <v>10</v>
      </c>
      <c r="K6647" s="10">
        <v>5510</v>
      </c>
      <c r="P6647" s="17">
        <v>1</v>
      </c>
      <c r="Q6647" s="19">
        <v>5510</v>
      </c>
      <c r="R6647" s="14">
        <v>750</v>
      </c>
      <c r="S6647" s="19">
        <v>4132500</v>
      </c>
      <c r="AJ6647" s="19">
        <v>0</v>
      </c>
      <c r="AK6647" s="23">
        <v>0</v>
      </c>
      <c r="AM6647" s="19">
        <v>0</v>
      </c>
      <c r="AN6647" s="19">
        <v>4132500</v>
      </c>
      <c r="AP6647" s="14">
        <v>4132500</v>
      </c>
      <c r="AQ6647" s="12">
        <v>1E-4</v>
      </c>
    </row>
    <row r="6648" spans="1:45" x14ac:dyDescent="0.2">
      <c r="A6648" s="122">
        <f t="shared" si="679"/>
        <v>5445</v>
      </c>
      <c r="B6648" s="13">
        <v>2</v>
      </c>
      <c r="C6648" s="17" t="s">
        <v>65</v>
      </c>
      <c r="D6648" s="17">
        <v>2710</v>
      </c>
      <c r="E6648" s="17">
        <v>67</v>
      </c>
      <c r="H6648" s="17">
        <v>3</v>
      </c>
      <c r="I6648" s="17">
        <v>0</v>
      </c>
      <c r="J6648" s="17">
        <v>13</v>
      </c>
      <c r="K6648" s="10">
        <v>1213</v>
      </c>
      <c r="P6648" s="17">
        <v>1</v>
      </c>
      <c r="Q6648" s="19">
        <v>1213</v>
      </c>
      <c r="R6648" s="14">
        <v>160</v>
      </c>
      <c r="S6648" s="19">
        <v>194080</v>
      </c>
      <c r="AJ6648" s="19">
        <v>0</v>
      </c>
      <c r="AK6648" s="23">
        <v>0</v>
      </c>
      <c r="AM6648" s="19">
        <v>0</v>
      </c>
      <c r="AN6648" s="19">
        <v>194080</v>
      </c>
      <c r="AP6648" s="14">
        <v>194080</v>
      </c>
      <c r="AQ6648" s="12">
        <v>1E-4</v>
      </c>
    </row>
    <row r="6649" spans="1:45" x14ac:dyDescent="0.2">
      <c r="A6649" s="122">
        <f t="shared" si="679"/>
        <v>5446</v>
      </c>
      <c r="B6649" s="13">
        <v>1</v>
      </c>
      <c r="C6649" s="17" t="s">
        <v>65</v>
      </c>
      <c r="D6649" s="17">
        <v>3852</v>
      </c>
      <c r="E6649" s="17">
        <v>63</v>
      </c>
      <c r="H6649" s="17">
        <v>0</v>
      </c>
      <c r="I6649" s="17">
        <v>1</v>
      </c>
      <c r="J6649" s="17">
        <v>36</v>
      </c>
      <c r="K6649" s="10">
        <v>136</v>
      </c>
      <c r="P6649" s="17">
        <v>1</v>
      </c>
      <c r="Q6649" s="19">
        <v>136</v>
      </c>
      <c r="R6649" s="14">
        <v>160</v>
      </c>
      <c r="S6649" s="19">
        <v>21760</v>
      </c>
      <c r="AJ6649" s="19">
        <v>0</v>
      </c>
      <c r="AK6649" s="23">
        <v>0</v>
      </c>
      <c r="AM6649" s="19">
        <v>0</v>
      </c>
      <c r="AN6649" s="19">
        <v>21760</v>
      </c>
      <c r="AP6649" s="14">
        <v>21760</v>
      </c>
      <c r="AQ6649" s="12">
        <v>1E-4</v>
      </c>
    </row>
    <row r="6650" spans="1:45" x14ac:dyDescent="0.2">
      <c r="A6650" s="122">
        <f t="shared" si="679"/>
        <v>5447</v>
      </c>
      <c r="B6650" s="13">
        <v>1</v>
      </c>
      <c r="C6650" s="17" t="s">
        <v>52</v>
      </c>
      <c r="D6650" s="17">
        <v>3399</v>
      </c>
      <c r="E6650" s="17">
        <v>38</v>
      </c>
      <c r="F6650" s="17">
        <v>2186</v>
      </c>
      <c r="G6650" s="13">
        <v>2</v>
      </c>
      <c r="H6650" s="17">
        <v>0</v>
      </c>
      <c r="I6650" s="17">
        <v>1</v>
      </c>
      <c r="J6650" s="17">
        <v>82</v>
      </c>
      <c r="K6650" s="10">
        <v>182</v>
      </c>
      <c r="P6650" s="17">
        <v>1</v>
      </c>
      <c r="Q6650" s="19">
        <v>182</v>
      </c>
      <c r="R6650" s="14">
        <v>160</v>
      </c>
      <c r="S6650" s="19">
        <v>29120</v>
      </c>
      <c r="AJ6650" s="19">
        <v>0</v>
      </c>
      <c r="AK6650" s="23">
        <v>0</v>
      </c>
      <c r="AM6650" s="19">
        <v>0</v>
      </c>
      <c r="AN6650" s="19">
        <v>29120</v>
      </c>
      <c r="AP6650" s="14">
        <v>29120</v>
      </c>
    </row>
    <row r="6651" spans="1:45" x14ac:dyDescent="0.2">
      <c r="A6651" s="122">
        <f t="shared" si="679"/>
        <v>5448</v>
      </c>
      <c r="B6651" s="13">
        <v>2</v>
      </c>
      <c r="C6651" s="17" t="s">
        <v>52</v>
      </c>
      <c r="D6651" s="17">
        <v>36271</v>
      </c>
      <c r="E6651" s="17">
        <v>151</v>
      </c>
      <c r="F6651" s="17">
        <v>3648</v>
      </c>
      <c r="G6651" s="13">
        <v>2</v>
      </c>
      <c r="H6651" s="17">
        <v>0</v>
      </c>
      <c r="I6651" s="17">
        <v>1</v>
      </c>
      <c r="J6651" s="17">
        <v>8.02</v>
      </c>
      <c r="K6651" s="10">
        <v>108</v>
      </c>
      <c r="P6651" s="17">
        <v>1</v>
      </c>
      <c r="Q6651" s="19">
        <v>108.02</v>
      </c>
      <c r="R6651" s="14">
        <v>250</v>
      </c>
      <c r="S6651" s="19">
        <v>27005</v>
      </c>
      <c r="AJ6651" s="19">
        <v>0</v>
      </c>
      <c r="AK6651" s="23">
        <v>0</v>
      </c>
      <c r="AM6651" s="19">
        <v>0</v>
      </c>
      <c r="AN6651" s="19">
        <v>27005</v>
      </c>
      <c r="AP6651" s="14">
        <v>27005</v>
      </c>
    </row>
    <row r="6652" spans="1:45" ht="42" x14ac:dyDescent="0.2">
      <c r="A6652" s="122">
        <f t="shared" si="679"/>
        <v>5449</v>
      </c>
      <c r="B6652" s="13">
        <v>1</v>
      </c>
      <c r="C6652" s="17" t="s">
        <v>52</v>
      </c>
      <c r="D6652" s="17">
        <v>3617</v>
      </c>
      <c r="E6652" s="17">
        <v>101</v>
      </c>
      <c r="F6652" s="17">
        <v>2248</v>
      </c>
      <c r="G6652" s="13">
        <v>2</v>
      </c>
      <c r="H6652" s="17">
        <v>0</v>
      </c>
      <c r="I6652" s="17">
        <v>2</v>
      </c>
      <c r="J6652" s="17">
        <v>19</v>
      </c>
      <c r="K6652" s="10">
        <v>186</v>
      </c>
      <c r="L6652" s="17">
        <v>33</v>
      </c>
      <c r="P6652" s="17">
        <v>5</v>
      </c>
      <c r="Q6652" s="19">
        <v>219</v>
      </c>
      <c r="R6652" s="14">
        <v>250</v>
      </c>
      <c r="S6652" s="19">
        <v>54750</v>
      </c>
      <c r="T6652" s="17">
        <v>1</v>
      </c>
      <c r="V6652" s="17" t="s">
        <v>183</v>
      </c>
      <c r="W6652" s="4">
        <v>90</v>
      </c>
      <c r="Y6652" s="4">
        <v>90</v>
      </c>
      <c r="AB6652" s="17">
        <v>31</v>
      </c>
      <c r="AJ6652" s="19">
        <v>0</v>
      </c>
      <c r="AK6652" s="23">
        <v>31</v>
      </c>
      <c r="AM6652" s="19">
        <v>0</v>
      </c>
      <c r="AN6652" s="19">
        <v>54750</v>
      </c>
      <c r="AP6652" s="14">
        <v>54750</v>
      </c>
    </row>
    <row r="6653" spans="1:45" ht="63" x14ac:dyDescent="0.2">
      <c r="Q6653" s="19">
        <v>0</v>
      </c>
      <c r="R6653" s="14" t="e">
        <v>#N/A</v>
      </c>
      <c r="S6653" s="19" t="e">
        <v>#N/A</v>
      </c>
      <c r="T6653" s="17">
        <v>2</v>
      </c>
      <c r="V6653" s="17" t="s">
        <v>496</v>
      </c>
      <c r="W6653" s="4">
        <v>42</v>
      </c>
      <c r="Y6653" s="4">
        <v>42</v>
      </c>
      <c r="AB6653" s="17">
        <v>5</v>
      </c>
      <c r="AJ6653" s="19">
        <v>0</v>
      </c>
      <c r="AK6653" s="23">
        <v>5</v>
      </c>
      <c r="AM6653" s="19">
        <v>0</v>
      </c>
      <c r="AN6653" s="19" t="e">
        <v>#N/A</v>
      </c>
      <c r="AP6653" s="14" t="e">
        <v>#N/A</v>
      </c>
    </row>
    <row r="6654" spans="1:45" x14ac:dyDescent="0.2">
      <c r="A6654" s="2">
        <v>5450</v>
      </c>
      <c r="B6654" s="13">
        <v>2</v>
      </c>
      <c r="C6654" s="17" t="s">
        <v>52</v>
      </c>
      <c r="D6654" s="17">
        <v>2997</v>
      </c>
      <c r="E6654" s="17">
        <v>3</v>
      </c>
      <c r="F6654" s="17">
        <v>2065</v>
      </c>
      <c r="G6654" s="13">
        <v>2</v>
      </c>
      <c r="H6654" s="17">
        <v>0</v>
      </c>
      <c r="I6654" s="17">
        <v>1</v>
      </c>
      <c r="J6654" s="17">
        <v>0</v>
      </c>
      <c r="K6654" s="10">
        <v>100</v>
      </c>
      <c r="P6654" s="17">
        <v>1</v>
      </c>
      <c r="Q6654" s="19">
        <v>100</v>
      </c>
      <c r="R6654" s="14">
        <v>250</v>
      </c>
      <c r="S6654" s="19">
        <v>25000</v>
      </c>
      <c r="AE6654" s="17" t="s">
        <v>681</v>
      </c>
      <c r="AG6654" s="54">
        <v>0</v>
      </c>
      <c r="AJ6654" s="19">
        <v>0</v>
      </c>
      <c r="AM6654" s="19">
        <v>0</v>
      </c>
      <c r="AN6654" s="19">
        <v>25000</v>
      </c>
      <c r="AP6654" s="14">
        <v>25000</v>
      </c>
    </row>
    <row r="6655" spans="1:45" x14ac:dyDescent="0.2">
      <c r="A6655" s="2">
        <f>+A6654+1</f>
        <v>5451</v>
      </c>
      <c r="B6655" s="13">
        <v>1</v>
      </c>
      <c r="C6655" s="17" t="s">
        <v>52</v>
      </c>
      <c r="D6655" s="17">
        <v>33578</v>
      </c>
      <c r="E6655" s="17">
        <v>339</v>
      </c>
      <c r="F6655" s="17">
        <v>6719</v>
      </c>
      <c r="G6655" s="13">
        <v>1</v>
      </c>
      <c r="H6655" s="17">
        <v>1</v>
      </c>
      <c r="I6655" s="17">
        <v>2</v>
      </c>
      <c r="J6655" s="17">
        <v>60</v>
      </c>
      <c r="K6655" s="10">
        <v>660</v>
      </c>
      <c r="P6655" s="17">
        <v>1</v>
      </c>
      <c r="Q6655" s="19">
        <v>660</v>
      </c>
      <c r="R6655" s="14">
        <v>160</v>
      </c>
      <c r="S6655" s="19">
        <v>105600</v>
      </c>
      <c r="AJ6655" s="19">
        <v>0</v>
      </c>
      <c r="AK6655" s="23">
        <v>0</v>
      </c>
      <c r="AM6655" s="19">
        <v>0</v>
      </c>
      <c r="AN6655" s="19">
        <v>105600</v>
      </c>
      <c r="AP6655" s="14">
        <v>105600</v>
      </c>
    </row>
    <row r="6656" spans="1:45" x14ac:dyDescent="0.2">
      <c r="A6656" s="122">
        <f t="shared" ref="A6656:A6660" si="680">+A6655+1</f>
        <v>5452</v>
      </c>
      <c r="B6656" s="13">
        <v>1</v>
      </c>
      <c r="C6656" s="17" t="s">
        <v>52</v>
      </c>
      <c r="D6656" s="17">
        <v>1780</v>
      </c>
      <c r="E6656" s="17">
        <v>70</v>
      </c>
      <c r="F6656" s="17">
        <v>1134</v>
      </c>
      <c r="G6656" s="13">
        <v>3</v>
      </c>
      <c r="H6656" s="17">
        <v>0</v>
      </c>
      <c r="I6656" s="17">
        <v>0</v>
      </c>
      <c r="J6656" s="17">
        <v>69</v>
      </c>
      <c r="K6656" s="10">
        <v>69</v>
      </c>
      <c r="P6656" s="17">
        <v>1</v>
      </c>
      <c r="Q6656" s="19">
        <v>69</v>
      </c>
      <c r="R6656" s="14">
        <v>160</v>
      </c>
      <c r="S6656" s="19">
        <v>11040</v>
      </c>
      <c r="AJ6656" s="19">
        <v>0</v>
      </c>
      <c r="AK6656" s="23">
        <v>0</v>
      </c>
      <c r="AM6656" s="19">
        <v>0</v>
      </c>
      <c r="AN6656" s="19">
        <v>11040</v>
      </c>
      <c r="AP6656" s="14">
        <v>11040</v>
      </c>
    </row>
    <row r="6657" spans="1:45" x14ac:dyDescent="0.2">
      <c r="A6657" s="122">
        <f t="shared" si="680"/>
        <v>5453</v>
      </c>
      <c r="B6657" s="13">
        <v>2</v>
      </c>
      <c r="C6657" s="17" t="s">
        <v>52</v>
      </c>
      <c r="D6657" s="17">
        <v>2085</v>
      </c>
      <c r="E6657" s="17">
        <v>68</v>
      </c>
      <c r="F6657" s="17">
        <v>1544</v>
      </c>
      <c r="G6657" s="13">
        <v>3</v>
      </c>
      <c r="H6657" s="17">
        <v>0</v>
      </c>
      <c r="I6657" s="17">
        <v>0</v>
      </c>
      <c r="J6657" s="17">
        <v>98</v>
      </c>
      <c r="K6657" s="10">
        <v>98</v>
      </c>
      <c r="P6657" s="17">
        <v>1</v>
      </c>
      <c r="Q6657" s="19">
        <v>98</v>
      </c>
      <c r="R6657" s="14">
        <v>2000</v>
      </c>
      <c r="S6657" s="19">
        <v>196000</v>
      </c>
      <c r="AJ6657" s="19">
        <v>0</v>
      </c>
      <c r="AK6657" s="23">
        <v>0</v>
      </c>
      <c r="AM6657" s="19">
        <v>0</v>
      </c>
      <c r="AN6657" s="19">
        <v>196000</v>
      </c>
      <c r="AP6657" s="14">
        <v>196000</v>
      </c>
    </row>
    <row r="6658" spans="1:45" x14ac:dyDescent="0.2">
      <c r="A6658" s="122">
        <f t="shared" si="680"/>
        <v>5454</v>
      </c>
      <c r="B6658" s="13">
        <v>2</v>
      </c>
      <c r="C6658" s="17" t="s">
        <v>52</v>
      </c>
      <c r="D6658" s="17">
        <v>2086</v>
      </c>
      <c r="E6658" s="17">
        <v>69</v>
      </c>
      <c r="F6658" s="17">
        <v>1545</v>
      </c>
      <c r="G6658" s="13">
        <v>3</v>
      </c>
      <c r="H6658" s="17">
        <v>0</v>
      </c>
      <c r="I6658" s="17">
        <v>0</v>
      </c>
      <c r="J6658" s="17">
        <v>42</v>
      </c>
      <c r="K6658" s="10">
        <v>42</v>
      </c>
      <c r="P6658" s="17">
        <v>1</v>
      </c>
      <c r="Q6658" s="19">
        <v>42</v>
      </c>
      <c r="R6658" s="14">
        <v>2000</v>
      </c>
      <c r="S6658" s="19">
        <v>84000</v>
      </c>
      <c r="AJ6658" s="19">
        <v>0</v>
      </c>
      <c r="AK6658" s="23">
        <v>0</v>
      </c>
      <c r="AM6658" s="19">
        <v>0</v>
      </c>
      <c r="AN6658" s="19">
        <v>84000</v>
      </c>
      <c r="AP6658" s="14">
        <v>84000</v>
      </c>
    </row>
    <row r="6659" spans="1:45" x14ac:dyDescent="0.2">
      <c r="A6659" s="122">
        <f t="shared" si="680"/>
        <v>5455</v>
      </c>
      <c r="B6659" s="13">
        <v>4</v>
      </c>
      <c r="C6659" s="17" t="s">
        <v>52</v>
      </c>
      <c r="D6659" s="17">
        <v>1521</v>
      </c>
      <c r="E6659" s="17">
        <v>25</v>
      </c>
      <c r="F6659" s="17">
        <v>1121</v>
      </c>
      <c r="H6659" s="17">
        <v>0</v>
      </c>
      <c r="I6659" s="17">
        <v>3</v>
      </c>
      <c r="J6659" s="17">
        <v>47</v>
      </c>
      <c r="K6659" s="10">
        <v>347</v>
      </c>
      <c r="P6659" s="17">
        <v>1</v>
      </c>
      <c r="Q6659" s="19">
        <v>347</v>
      </c>
      <c r="R6659" s="14">
        <v>160</v>
      </c>
      <c r="S6659" s="19">
        <v>55520</v>
      </c>
      <c r="AJ6659" s="19">
        <v>0</v>
      </c>
      <c r="AK6659" s="23">
        <v>0</v>
      </c>
      <c r="AM6659" s="19">
        <v>0</v>
      </c>
      <c r="AN6659" s="19">
        <v>55520</v>
      </c>
      <c r="AP6659" s="14">
        <v>55520</v>
      </c>
    </row>
    <row r="6660" spans="1:45" x14ac:dyDescent="0.2">
      <c r="A6660" s="122">
        <f t="shared" si="680"/>
        <v>5456</v>
      </c>
      <c r="B6660" s="13">
        <v>5</v>
      </c>
      <c r="C6660" s="17" t="s">
        <v>52</v>
      </c>
      <c r="D6660" s="17">
        <v>1776</v>
      </c>
      <c r="E6660" s="17">
        <v>32</v>
      </c>
      <c r="F6660" s="17">
        <v>1126</v>
      </c>
      <c r="H6660" s="17">
        <v>1</v>
      </c>
      <c r="I6660" s="17">
        <v>0</v>
      </c>
      <c r="J6660" s="17">
        <v>33</v>
      </c>
      <c r="K6660" s="10">
        <v>433</v>
      </c>
      <c r="P6660" s="17">
        <v>1</v>
      </c>
      <c r="Q6660" s="19">
        <v>433</v>
      </c>
      <c r="R6660" s="14">
        <v>160</v>
      </c>
      <c r="S6660" s="19">
        <v>69280</v>
      </c>
      <c r="AJ6660" s="19">
        <v>0</v>
      </c>
      <c r="AK6660" s="23">
        <v>0</v>
      </c>
      <c r="AM6660" s="19">
        <v>0</v>
      </c>
      <c r="AN6660" s="19">
        <v>69280</v>
      </c>
      <c r="AP6660" s="14">
        <v>69280</v>
      </c>
    </row>
    <row r="6661" spans="1:45" x14ac:dyDescent="0.2">
      <c r="R6661" s="14" t="e">
        <v>#N/A</v>
      </c>
    </row>
    <row r="6662" spans="1:45" x14ac:dyDescent="0.2">
      <c r="B6662" s="13">
        <v>1</v>
      </c>
      <c r="C6662" s="17" t="s">
        <v>97</v>
      </c>
      <c r="D6662" s="17">
        <v>386</v>
      </c>
      <c r="G6662" s="13">
        <v>2</v>
      </c>
      <c r="H6662" s="17">
        <v>7</v>
      </c>
      <c r="I6662" s="17">
        <v>3</v>
      </c>
      <c r="J6662" s="17">
        <v>20</v>
      </c>
      <c r="K6662" s="10">
        <v>3120</v>
      </c>
      <c r="P6662" s="17">
        <v>1</v>
      </c>
      <c r="Q6662" s="19">
        <v>3120</v>
      </c>
      <c r="R6662" s="14" t="e">
        <v>#N/A</v>
      </c>
      <c r="S6662" s="19" t="e">
        <v>#N/A</v>
      </c>
      <c r="AJ6662" s="19">
        <v>0</v>
      </c>
      <c r="AK6662" s="23">
        <v>0</v>
      </c>
      <c r="AM6662" s="19">
        <v>0</v>
      </c>
      <c r="AN6662" s="19" t="e">
        <v>#N/A</v>
      </c>
      <c r="AP6662" s="14" t="e">
        <v>#N/A</v>
      </c>
      <c r="AQ6662" s="12">
        <v>1E-4</v>
      </c>
    </row>
    <row r="6663" spans="1:45" ht="42" x14ac:dyDescent="0.2">
      <c r="A6663" s="2">
        <v>5457</v>
      </c>
      <c r="B6663" s="13">
        <v>1</v>
      </c>
      <c r="C6663" s="17" t="s">
        <v>52</v>
      </c>
      <c r="D6663" s="17">
        <v>5129</v>
      </c>
      <c r="E6663" s="17">
        <v>3</v>
      </c>
      <c r="F6663" s="17">
        <v>2877</v>
      </c>
      <c r="G6663" s="13">
        <v>7</v>
      </c>
      <c r="H6663" s="17">
        <v>38</v>
      </c>
      <c r="I6663" s="17">
        <v>3</v>
      </c>
      <c r="J6663" s="17">
        <v>41</v>
      </c>
      <c r="K6663" s="10">
        <v>15541</v>
      </c>
      <c r="P6663" s="17">
        <v>1</v>
      </c>
      <c r="Q6663" s="19">
        <v>15541</v>
      </c>
      <c r="R6663" s="14">
        <v>1100</v>
      </c>
      <c r="S6663" s="19">
        <v>17095100</v>
      </c>
      <c r="AJ6663" s="19">
        <v>0</v>
      </c>
      <c r="AK6663" s="23">
        <v>0</v>
      </c>
      <c r="AM6663" s="19">
        <v>0</v>
      </c>
      <c r="AN6663" s="19">
        <v>17095100</v>
      </c>
      <c r="AP6663" s="14">
        <v>17095100</v>
      </c>
    </row>
    <row r="6664" spans="1:45" x14ac:dyDescent="0.2">
      <c r="A6664" s="2">
        <f>+A6663+1</f>
        <v>5458</v>
      </c>
      <c r="B6664" s="13">
        <v>1</v>
      </c>
      <c r="C6664" s="17" t="s">
        <v>52</v>
      </c>
      <c r="D6664" s="17">
        <v>3765</v>
      </c>
      <c r="E6664" s="17">
        <v>31</v>
      </c>
      <c r="F6664" s="17">
        <v>2289</v>
      </c>
      <c r="G6664" s="13">
        <v>2</v>
      </c>
      <c r="H6664" s="17">
        <v>7</v>
      </c>
      <c r="I6664" s="17">
        <v>3</v>
      </c>
      <c r="J6664" s="17">
        <v>86</v>
      </c>
      <c r="K6664" s="10">
        <v>3186</v>
      </c>
      <c r="P6664" s="17">
        <v>1</v>
      </c>
      <c r="Q6664" s="19">
        <v>3186</v>
      </c>
      <c r="R6664" s="14">
        <v>200</v>
      </c>
      <c r="S6664" s="19">
        <v>637200</v>
      </c>
      <c r="AJ6664" s="19">
        <v>0</v>
      </c>
      <c r="AK6664" s="23">
        <v>0</v>
      </c>
      <c r="AM6664" s="19">
        <v>0</v>
      </c>
      <c r="AN6664" s="19">
        <v>637200</v>
      </c>
      <c r="AP6664" s="14">
        <v>637200</v>
      </c>
      <c r="AS6664" s="26">
        <v>45</v>
      </c>
    </row>
    <row r="6665" spans="1:45" x14ac:dyDescent="0.2">
      <c r="A6665" s="122">
        <f t="shared" ref="A6665:A6667" si="681">+A6664+1</f>
        <v>5459</v>
      </c>
      <c r="B6665" s="13">
        <v>2</v>
      </c>
      <c r="C6665" s="17" t="s">
        <v>52</v>
      </c>
      <c r="D6665" s="17">
        <v>29716</v>
      </c>
      <c r="E6665" s="17">
        <v>185</v>
      </c>
      <c r="F6665" s="17">
        <v>5516</v>
      </c>
      <c r="G6665" s="13">
        <v>2</v>
      </c>
      <c r="H6665" s="17">
        <v>0</v>
      </c>
      <c r="I6665" s="17">
        <v>0</v>
      </c>
      <c r="J6665" s="17">
        <v>25</v>
      </c>
      <c r="N6665" s="18">
        <v>25</v>
      </c>
      <c r="P6665" s="17">
        <v>4</v>
      </c>
      <c r="Q6665" s="19">
        <v>25</v>
      </c>
      <c r="R6665" s="14">
        <v>160</v>
      </c>
      <c r="S6665" s="19">
        <v>4000</v>
      </c>
      <c r="AJ6665" s="19">
        <v>0</v>
      </c>
      <c r="AK6665" s="23">
        <v>0</v>
      </c>
      <c r="AM6665" s="19">
        <v>0</v>
      </c>
      <c r="AN6665" s="19">
        <v>4000</v>
      </c>
      <c r="AP6665" s="14">
        <v>4000</v>
      </c>
      <c r="AQ6665" s="12">
        <v>3.0000000000000001E-3</v>
      </c>
    </row>
    <row r="6666" spans="1:45" x14ac:dyDescent="0.2">
      <c r="A6666" s="122">
        <f t="shared" si="681"/>
        <v>5460</v>
      </c>
      <c r="B6666" s="13">
        <v>3</v>
      </c>
      <c r="C6666" s="17" t="s">
        <v>52</v>
      </c>
      <c r="D6666" s="17">
        <v>29902</v>
      </c>
      <c r="E6666" s="17">
        <v>194</v>
      </c>
      <c r="F6666" s="17">
        <v>5742</v>
      </c>
      <c r="G6666" s="13">
        <v>2</v>
      </c>
      <c r="H6666" s="17">
        <v>0</v>
      </c>
      <c r="I6666" s="17">
        <v>0</v>
      </c>
      <c r="J6666" s="17">
        <v>25</v>
      </c>
      <c r="N6666" s="18">
        <v>25</v>
      </c>
      <c r="P6666" s="17">
        <v>4</v>
      </c>
      <c r="Q6666" s="19">
        <v>25</v>
      </c>
      <c r="R6666" s="14">
        <v>1500</v>
      </c>
      <c r="S6666" s="19">
        <v>37500</v>
      </c>
      <c r="AJ6666" s="19">
        <v>0</v>
      </c>
      <c r="AK6666" s="23">
        <v>0</v>
      </c>
      <c r="AM6666" s="19">
        <v>0</v>
      </c>
      <c r="AN6666" s="19">
        <v>37500</v>
      </c>
      <c r="AP6666" s="14">
        <v>37500</v>
      </c>
      <c r="AQ6666" s="12">
        <v>3.0000000000000001E-3</v>
      </c>
    </row>
    <row r="6667" spans="1:45" x14ac:dyDescent="0.2">
      <c r="A6667" s="122">
        <f t="shared" si="681"/>
        <v>5461</v>
      </c>
      <c r="B6667" s="13">
        <v>4</v>
      </c>
      <c r="C6667" s="17" t="s">
        <v>52</v>
      </c>
      <c r="D6667" s="17">
        <v>31220</v>
      </c>
      <c r="E6667" s="17">
        <v>78</v>
      </c>
      <c r="F6667" s="17">
        <v>6197</v>
      </c>
      <c r="G6667" s="13">
        <v>7</v>
      </c>
      <c r="H6667" s="17">
        <v>0</v>
      </c>
      <c r="I6667" s="17">
        <v>0</v>
      </c>
      <c r="J6667" s="17">
        <v>37</v>
      </c>
      <c r="N6667" s="18" t="s">
        <v>682</v>
      </c>
      <c r="P6667" s="17">
        <v>4</v>
      </c>
      <c r="Q6667" s="19">
        <v>37</v>
      </c>
      <c r="R6667" s="14">
        <v>4500</v>
      </c>
      <c r="S6667" s="19">
        <v>166500</v>
      </c>
      <c r="AJ6667" s="19">
        <v>0</v>
      </c>
      <c r="AK6667" s="23">
        <v>0</v>
      </c>
      <c r="AM6667" s="19">
        <v>0</v>
      </c>
      <c r="AN6667" s="19">
        <v>166500</v>
      </c>
      <c r="AP6667" s="14">
        <v>166500</v>
      </c>
      <c r="AQ6667" s="12">
        <v>3.0000000000000001E-3</v>
      </c>
    </row>
    <row r="6668" spans="1:45" x14ac:dyDescent="0.2">
      <c r="R6668" s="14" t="e">
        <v>#N/A</v>
      </c>
    </row>
    <row r="6669" spans="1:45" x14ac:dyDescent="0.2">
      <c r="A6669" s="2">
        <v>5462</v>
      </c>
      <c r="B6669" s="13">
        <v>1</v>
      </c>
      <c r="C6669" s="17" t="s">
        <v>52</v>
      </c>
      <c r="D6669" s="17">
        <v>33999</v>
      </c>
      <c r="E6669" s="17">
        <v>10</v>
      </c>
      <c r="F6669" s="17">
        <v>6754</v>
      </c>
      <c r="G6669" s="13">
        <v>7</v>
      </c>
      <c r="H6669" s="17">
        <v>0</v>
      </c>
      <c r="I6669" s="17">
        <v>3</v>
      </c>
      <c r="J6669" s="17">
        <v>52</v>
      </c>
      <c r="K6669" s="10">
        <v>352</v>
      </c>
      <c r="P6669" s="17">
        <v>1</v>
      </c>
      <c r="Q6669" s="19">
        <v>352</v>
      </c>
      <c r="R6669" s="14">
        <v>3000</v>
      </c>
      <c r="S6669" s="19">
        <v>1056000</v>
      </c>
      <c r="AJ6669" s="19">
        <v>0</v>
      </c>
      <c r="AK6669" s="23">
        <v>0</v>
      </c>
      <c r="AM6669" s="19">
        <v>0</v>
      </c>
      <c r="AN6669" s="19">
        <v>1056000</v>
      </c>
      <c r="AP6669" s="14">
        <v>1056000</v>
      </c>
    </row>
    <row r="6670" spans="1:45" x14ac:dyDescent="0.2">
      <c r="A6670" s="2">
        <f>+A6669+1</f>
        <v>5463</v>
      </c>
      <c r="B6670" s="13">
        <v>2</v>
      </c>
      <c r="C6670" s="17" t="s">
        <v>52</v>
      </c>
      <c r="D6670" s="17">
        <v>34000</v>
      </c>
      <c r="E6670" s="17">
        <v>11</v>
      </c>
      <c r="F6670" s="17">
        <v>6755</v>
      </c>
      <c r="G6670" s="13">
        <v>7</v>
      </c>
      <c r="H6670" s="17">
        <v>0</v>
      </c>
      <c r="I6670" s="17">
        <v>2</v>
      </c>
      <c r="J6670" s="17">
        <v>54</v>
      </c>
      <c r="K6670" s="10">
        <v>254</v>
      </c>
      <c r="P6670" s="17">
        <v>1</v>
      </c>
      <c r="Q6670" s="19">
        <v>254</v>
      </c>
      <c r="R6670" s="14">
        <v>3000</v>
      </c>
      <c r="S6670" s="19">
        <v>762000</v>
      </c>
      <c r="AJ6670" s="19">
        <v>0</v>
      </c>
      <c r="AK6670" s="23">
        <v>0</v>
      </c>
      <c r="AM6670" s="19">
        <v>0</v>
      </c>
      <c r="AN6670" s="19">
        <v>762000</v>
      </c>
      <c r="AP6670" s="14">
        <v>762000</v>
      </c>
    </row>
    <row r="6671" spans="1:45" x14ac:dyDescent="0.2">
      <c r="A6671" s="122">
        <f t="shared" ref="A6671:A6699" si="682">+A6670+1</f>
        <v>5464</v>
      </c>
      <c r="B6671" s="13">
        <v>1</v>
      </c>
      <c r="C6671" s="17" t="s">
        <v>52</v>
      </c>
      <c r="D6671" s="17">
        <v>1685</v>
      </c>
      <c r="E6671" s="17">
        <v>16</v>
      </c>
      <c r="F6671" s="17">
        <v>1406</v>
      </c>
      <c r="H6671" s="17">
        <v>3</v>
      </c>
      <c r="I6671" s="17">
        <v>3</v>
      </c>
      <c r="J6671" s="17">
        <v>93</v>
      </c>
      <c r="K6671" s="10">
        <v>1593</v>
      </c>
      <c r="P6671" s="17">
        <v>1</v>
      </c>
      <c r="Q6671" s="19">
        <v>1593</v>
      </c>
      <c r="R6671" s="14">
        <v>1100</v>
      </c>
      <c r="S6671" s="19">
        <v>1752300</v>
      </c>
      <c r="AJ6671" s="19">
        <v>0</v>
      </c>
      <c r="AK6671" s="23">
        <v>0</v>
      </c>
      <c r="AM6671" s="19">
        <v>0</v>
      </c>
      <c r="AN6671" s="19">
        <v>1752300</v>
      </c>
      <c r="AP6671" s="14">
        <v>1752300</v>
      </c>
      <c r="AS6671" s="26">
        <v>19</v>
      </c>
    </row>
    <row r="6672" spans="1:45" x14ac:dyDescent="0.2">
      <c r="A6672" s="122">
        <f t="shared" si="682"/>
        <v>5465</v>
      </c>
      <c r="B6672" s="13">
        <v>1</v>
      </c>
      <c r="C6672" s="17" t="s">
        <v>65</v>
      </c>
      <c r="D6672" s="17">
        <v>2796</v>
      </c>
      <c r="E6672" s="17">
        <v>376</v>
      </c>
      <c r="H6672" s="17">
        <v>0</v>
      </c>
      <c r="I6672" s="17">
        <v>0</v>
      </c>
      <c r="J6672" s="17">
        <v>90</v>
      </c>
      <c r="K6672" s="10">
        <v>90</v>
      </c>
      <c r="P6672" s="17">
        <v>4</v>
      </c>
      <c r="Q6672" s="19">
        <v>90</v>
      </c>
      <c r="R6672" s="14">
        <v>4500</v>
      </c>
      <c r="S6672" s="19">
        <v>405000</v>
      </c>
      <c r="AE6672" s="17" t="s">
        <v>95</v>
      </c>
      <c r="AJ6672" s="19">
        <v>0</v>
      </c>
      <c r="AK6672" s="23">
        <v>0</v>
      </c>
      <c r="AM6672" s="19">
        <v>0</v>
      </c>
      <c r="AN6672" s="19">
        <v>405000</v>
      </c>
      <c r="AP6672" s="14">
        <v>405000</v>
      </c>
      <c r="AQ6672" s="12">
        <v>3.0000000000000001E-3</v>
      </c>
    </row>
    <row r="6673" spans="1:45" x14ac:dyDescent="0.2">
      <c r="A6673" s="122">
        <f t="shared" si="682"/>
        <v>5466</v>
      </c>
      <c r="B6673" s="13">
        <v>1</v>
      </c>
      <c r="C6673" s="17" t="s">
        <v>65</v>
      </c>
      <c r="D6673" s="17">
        <v>1744</v>
      </c>
      <c r="E6673" s="17">
        <v>70</v>
      </c>
      <c r="H6673" s="17">
        <v>4</v>
      </c>
      <c r="I6673" s="17">
        <v>2</v>
      </c>
      <c r="J6673" s="17">
        <v>46</v>
      </c>
      <c r="K6673" s="10">
        <v>1846</v>
      </c>
      <c r="P6673" s="17">
        <v>1</v>
      </c>
      <c r="Q6673" s="19">
        <v>1846</v>
      </c>
      <c r="R6673" s="14">
        <v>160</v>
      </c>
      <c r="S6673" s="19">
        <v>295360</v>
      </c>
      <c r="AJ6673" s="19">
        <v>0</v>
      </c>
      <c r="AK6673" s="23">
        <v>0</v>
      </c>
      <c r="AM6673" s="19">
        <v>0</v>
      </c>
      <c r="AN6673" s="19">
        <v>295360</v>
      </c>
      <c r="AP6673" s="14">
        <v>295360</v>
      </c>
      <c r="AQ6673" s="12">
        <v>1E-4</v>
      </c>
    </row>
    <row r="6674" spans="1:45" x14ac:dyDescent="0.2">
      <c r="A6674" s="122">
        <f t="shared" si="682"/>
        <v>5467</v>
      </c>
      <c r="B6674" s="13">
        <v>2</v>
      </c>
      <c r="C6674" s="17" t="s">
        <v>65</v>
      </c>
      <c r="D6674" s="17">
        <v>1745</v>
      </c>
      <c r="E6674" s="17">
        <v>71</v>
      </c>
      <c r="H6674" s="17">
        <v>8</v>
      </c>
      <c r="I6674" s="17">
        <v>2</v>
      </c>
      <c r="J6674" s="17">
        <v>63</v>
      </c>
      <c r="K6674" s="10">
        <v>3463</v>
      </c>
      <c r="P6674" s="17">
        <v>1</v>
      </c>
      <c r="Q6674" s="19">
        <v>3463</v>
      </c>
      <c r="R6674" s="14">
        <v>200</v>
      </c>
      <c r="S6674" s="19">
        <v>692600</v>
      </c>
      <c r="AJ6674" s="19">
        <v>0</v>
      </c>
      <c r="AK6674" s="23">
        <v>0</v>
      </c>
      <c r="AM6674" s="19">
        <v>0</v>
      </c>
      <c r="AN6674" s="19">
        <v>692600</v>
      </c>
      <c r="AP6674" s="14">
        <v>692600</v>
      </c>
      <c r="AQ6674" s="12">
        <v>1E-4</v>
      </c>
    </row>
    <row r="6675" spans="1:45" x14ac:dyDescent="0.2">
      <c r="A6675" s="122">
        <f t="shared" si="682"/>
        <v>5468</v>
      </c>
      <c r="B6675" s="13">
        <v>3</v>
      </c>
      <c r="C6675" s="17" t="s">
        <v>65</v>
      </c>
      <c r="D6675" s="17">
        <v>1832</v>
      </c>
      <c r="E6675" s="17">
        <v>87</v>
      </c>
      <c r="H6675" s="17">
        <v>5</v>
      </c>
      <c r="I6675" s="17">
        <v>1</v>
      </c>
      <c r="J6675" s="17">
        <v>96</v>
      </c>
      <c r="K6675" s="10">
        <v>2196</v>
      </c>
      <c r="P6675" s="17">
        <v>1</v>
      </c>
      <c r="Q6675" s="19">
        <v>2196</v>
      </c>
      <c r="R6675" s="14">
        <v>200</v>
      </c>
      <c r="S6675" s="19">
        <v>439200</v>
      </c>
      <c r="AJ6675" s="19">
        <v>0</v>
      </c>
      <c r="AK6675" s="23">
        <v>0</v>
      </c>
      <c r="AM6675" s="19">
        <v>0</v>
      </c>
      <c r="AN6675" s="19">
        <v>439200</v>
      </c>
      <c r="AP6675" s="14">
        <v>439200</v>
      </c>
      <c r="AQ6675" s="12">
        <v>1E-4</v>
      </c>
    </row>
    <row r="6676" spans="1:45" ht="42" x14ac:dyDescent="0.2">
      <c r="A6676" s="122">
        <f t="shared" si="682"/>
        <v>5469</v>
      </c>
      <c r="B6676" s="13">
        <v>1</v>
      </c>
      <c r="C6676" s="17" t="s">
        <v>52</v>
      </c>
      <c r="D6676" s="17">
        <v>819</v>
      </c>
      <c r="E6676" s="17">
        <v>39</v>
      </c>
      <c r="F6676" s="17">
        <v>299</v>
      </c>
      <c r="G6676" s="13">
        <v>6</v>
      </c>
      <c r="H6676" s="17">
        <v>0</v>
      </c>
      <c r="I6676" s="17">
        <v>1</v>
      </c>
      <c r="J6676" s="17">
        <v>35</v>
      </c>
      <c r="K6676" s="10">
        <v>108</v>
      </c>
      <c r="L6676" s="17">
        <v>27</v>
      </c>
      <c r="P6676" s="17">
        <v>5</v>
      </c>
      <c r="Q6676" s="19">
        <v>135</v>
      </c>
      <c r="R6676" s="14">
        <v>1100</v>
      </c>
      <c r="S6676" s="19">
        <v>148500</v>
      </c>
      <c r="T6676" s="17">
        <v>1</v>
      </c>
      <c r="V6676" s="17" t="s">
        <v>183</v>
      </c>
      <c r="W6676" s="4">
        <v>108</v>
      </c>
      <c r="Y6676" s="4">
        <v>108</v>
      </c>
      <c r="AB6676" s="17">
        <v>21</v>
      </c>
      <c r="AJ6676" s="19">
        <v>0</v>
      </c>
      <c r="AK6676" s="23">
        <v>21</v>
      </c>
      <c r="AM6676" s="19">
        <v>0</v>
      </c>
      <c r="AN6676" s="19">
        <v>148500</v>
      </c>
      <c r="AP6676" s="14">
        <v>148500</v>
      </c>
    </row>
    <row r="6677" spans="1:45" x14ac:dyDescent="0.2">
      <c r="A6677" s="122">
        <f t="shared" si="682"/>
        <v>5470</v>
      </c>
      <c r="B6677" s="13">
        <v>1</v>
      </c>
      <c r="C6677" s="17" t="s">
        <v>52</v>
      </c>
      <c r="D6677" s="17">
        <v>29721</v>
      </c>
      <c r="E6677" s="17">
        <v>190</v>
      </c>
      <c r="F6677" s="17">
        <v>5521</v>
      </c>
      <c r="G6677" s="13">
        <v>2</v>
      </c>
      <c r="H6677" s="17">
        <v>0</v>
      </c>
      <c r="I6677" s="17">
        <v>0</v>
      </c>
      <c r="J6677" s="17">
        <v>25</v>
      </c>
      <c r="N6677" s="18" t="s">
        <v>336</v>
      </c>
      <c r="P6677" s="17">
        <v>4</v>
      </c>
      <c r="Q6677" s="19">
        <v>25</v>
      </c>
      <c r="R6677" s="14">
        <v>160</v>
      </c>
      <c r="S6677" s="19">
        <v>4000</v>
      </c>
      <c r="AJ6677" s="19">
        <v>0</v>
      </c>
      <c r="AK6677" s="23">
        <v>0</v>
      </c>
      <c r="AM6677" s="19">
        <v>0</v>
      </c>
      <c r="AN6677" s="19">
        <v>4000</v>
      </c>
      <c r="AP6677" s="14">
        <v>4000</v>
      </c>
      <c r="AQ6677" s="12">
        <v>3.0000000000000001E-3</v>
      </c>
    </row>
    <row r="6678" spans="1:45" x14ac:dyDescent="0.2">
      <c r="A6678" s="122">
        <f t="shared" si="682"/>
        <v>5471</v>
      </c>
      <c r="B6678" s="13">
        <v>1</v>
      </c>
      <c r="C6678" s="17" t="s">
        <v>65</v>
      </c>
      <c r="D6678" s="17">
        <v>1830</v>
      </c>
      <c r="E6678" s="17">
        <v>84</v>
      </c>
      <c r="H6678" s="17">
        <v>3</v>
      </c>
      <c r="I6678" s="17">
        <v>1</v>
      </c>
      <c r="J6678" s="17">
        <v>40</v>
      </c>
      <c r="K6678" s="10">
        <v>1340</v>
      </c>
      <c r="P6678" s="17">
        <v>1</v>
      </c>
      <c r="Q6678" s="19">
        <v>1340</v>
      </c>
      <c r="R6678" s="14">
        <v>200</v>
      </c>
      <c r="S6678" s="19">
        <v>268000</v>
      </c>
      <c r="AJ6678" s="19">
        <v>0</v>
      </c>
      <c r="AK6678" s="23">
        <v>0</v>
      </c>
      <c r="AM6678" s="19">
        <v>0</v>
      </c>
      <c r="AN6678" s="19">
        <v>268000</v>
      </c>
      <c r="AP6678" s="14">
        <v>268000</v>
      </c>
      <c r="AQ6678" s="12">
        <v>1E-4</v>
      </c>
    </row>
    <row r="6679" spans="1:45" ht="105" x14ac:dyDescent="0.2">
      <c r="A6679" s="122">
        <f t="shared" si="682"/>
        <v>5472</v>
      </c>
      <c r="B6679" s="13">
        <v>1</v>
      </c>
      <c r="C6679" s="17" t="s">
        <v>52</v>
      </c>
      <c r="D6679" s="17">
        <v>31208</v>
      </c>
      <c r="E6679" s="17">
        <v>66</v>
      </c>
      <c r="F6679" s="17">
        <v>6185</v>
      </c>
      <c r="G6679" s="13">
        <v>7</v>
      </c>
      <c r="H6679" s="17">
        <v>0</v>
      </c>
      <c r="I6679" s="17">
        <v>0</v>
      </c>
      <c r="J6679" s="17">
        <v>75</v>
      </c>
      <c r="N6679" s="18">
        <v>75</v>
      </c>
      <c r="P6679" s="17">
        <v>1</v>
      </c>
      <c r="Q6679" s="19">
        <v>75</v>
      </c>
      <c r="R6679" s="14">
        <v>1000</v>
      </c>
      <c r="S6679" s="19">
        <v>75000</v>
      </c>
      <c r="AJ6679" s="19">
        <v>0</v>
      </c>
      <c r="AK6679" s="23">
        <v>0</v>
      </c>
      <c r="AM6679" s="19">
        <v>0</v>
      </c>
      <c r="AN6679" s="19">
        <v>75000</v>
      </c>
      <c r="AP6679" s="14">
        <v>75000</v>
      </c>
      <c r="AR6679" s="19" t="s">
        <v>683</v>
      </c>
    </row>
    <row r="6680" spans="1:45" ht="105" x14ac:dyDescent="0.2">
      <c r="A6680" s="122">
        <f t="shared" si="682"/>
        <v>5473</v>
      </c>
      <c r="B6680" s="13">
        <v>2</v>
      </c>
      <c r="C6680" s="17" t="s">
        <v>52</v>
      </c>
      <c r="D6680" s="17">
        <v>31209</v>
      </c>
      <c r="E6680" s="17">
        <v>67</v>
      </c>
      <c r="F6680" s="17">
        <v>6186</v>
      </c>
      <c r="G6680" s="13">
        <v>7</v>
      </c>
      <c r="H6680" s="17">
        <v>0</v>
      </c>
      <c r="I6680" s="17">
        <v>0</v>
      </c>
      <c r="J6680" s="17">
        <v>75</v>
      </c>
      <c r="N6680" s="18">
        <v>75</v>
      </c>
      <c r="P6680" s="17">
        <v>1</v>
      </c>
      <c r="Q6680" s="19">
        <v>75</v>
      </c>
      <c r="R6680" s="14">
        <v>1000</v>
      </c>
      <c r="S6680" s="19">
        <v>75000</v>
      </c>
      <c r="AJ6680" s="19">
        <v>0</v>
      </c>
      <c r="AK6680" s="23">
        <v>0</v>
      </c>
      <c r="AM6680" s="19">
        <v>0</v>
      </c>
      <c r="AN6680" s="19">
        <v>75000</v>
      </c>
      <c r="AP6680" s="14">
        <v>75000</v>
      </c>
      <c r="AR6680" s="19" t="s">
        <v>683</v>
      </c>
    </row>
    <row r="6681" spans="1:45" x14ac:dyDescent="0.2">
      <c r="A6681" s="122">
        <f t="shared" si="682"/>
        <v>5474</v>
      </c>
      <c r="B6681" s="13">
        <v>1</v>
      </c>
      <c r="C6681" s="17" t="s">
        <v>65</v>
      </c>
      <c r="D6681" s="17">
        <v>2387</v>
      </c>
      <c r="E6681" s="17">
        <v>25</v>
      </c>
      <c r="H6681" s="17">
        <v>12</v>
      </c>
      <c r="I6681" s="17">
        <v>0</v>
      </c>
      <c r="J6681" s="17">
        <v>50</v>
      </c>
      <c r="K6681" s="10">
        <v>4850</v>
      </c>
      <c r="P6681" s="17">
        <v>1</v>
      </c>
      <c r="Q6681" s="19">
        <v>4850</v>
      </c>
      <c r="R6681" s="14">
        <v>160</v>
      </c>
      <c r="S6681" s="19">
        <v>776000</v>
      </c>
      <c r="AJ6681" s="19">
        <v>0</v>
      </c>
      <c r="AK6681" s="23">
        <v>0</v>
      </c>
      <c r="AM6681" s="19">
        <v>0</v>
      </c>
      <c r="AN6681" s="19">
        <v>776000</v>
      </c>
      <c r="AP6681" s="14">
        <v>776000</v>
      </c>
      <c r="AQ6681" s="12">
        <v>1E-4</v>
      </c>
    </row>
    <row r="6682" spans="1:45" x14ac:dyDescent="0.2">
      <c r="A6682" s="122">
        <f t="shared" si="682"/>
        <v>5475</v>
      </c>
      <c r="B6682" s="13">
        <v>1</v>
      </c>
      <c r="C6682" s="17" t="s">
        <v>52</v>
      </c>
      <c r="D6682" s="17">
        <v>22957</v>
      </c>
      <c r="E6682" s="17">
        <v>172</v>
      </c>
      <c r="F6682" s="17">
        <v>4794</v>
      </c>
      <c r="G6682" s="13">
        <v>2</v>
      </c>
      <c r="H6682" s="17">
        <v>1</v>
      </c>
      <c r="I6682" s="17">
        <v>3</v>
      </c>
      <c r="J6682" s="17">
        <v>88</v>
      </c>
      <c r="N6682" s="18">
        <v>788</v>
      </c>
      <c r="P6682" s="17">
        <v>4</v>
      </c>
      <c r="Q6682" s="19">
        <v>788</v>
      </c>
      <c r="R6682" s="14">
        <v>3350</v>
      </c>
      <c r="S6682" s="19">
        <v>2639800</v>
      </c>
      <c r="AJ6682" s="19">
        <v>0</v>
      </c>
      <c r="AK6682" s="23">
        <v>0</v>
      </c>
      <c r="AM6682" s="19">
        <v>0</v>
      </c>
      <c r="AN6682" s="19">
        <v>2639800</v>
      </c>
      <c r="AP6682" s="14">
        <v>2639800</v>
      </c>
      <c r="AQ6682" s="12">
        <v>3.0000000000000001E-3</v>
      </c>
      <c r="AS6682" s="26">
        <v>81</v>
      </c>
    </row>
    <row r="6683" spans="1:45" ht="42" x14ac:dyDescent="0.2">
      <c r="A6683" s="122">
        <f t="shared" si="682"/>
        <v>5476</v>
      </c>
      <c r="B6683" s="13">
        <v>2</v>
      </c>
      <c r="C6683" s="17" t="s">
        <v>52</v>
      </c>
      <c r="D6683" s="17">
        <v>2288</v>
      </c>
      <c r="E6683" s="17">
        <v>94</v>
      </c>
      <c r="F6683" s="17">
        <v>1779</v>
      </c>
      <c r="G6683" s="13">
        <v>3</v>
      </c>
      <c r="H6683" s="17">
        <v>0</v>
      </c>
      <c r="I6683" s="17">
        <v>0</v>
      </c>
      <c r="J6683" s="17">
        <v>63</v>
      </c>
      <c r="L6683" s="17" t="s">
        <v>491</v>
      </c>
      <c r="P6683" s="17">
        <v>2</v>
      </c>
      <c r="Q6683" s="19">
        <v>63</v>
      </c>
      <c r="R6683" s="14">
        <v>2000</v>
      </c>
      <c r="S6683" s="19">
        <v>126000</v>
      </c>
      <c r="T6683" s="17">
        <v>1</v>
      </c>
      <c r="V6683" s="17" t="s">
        <v>183</v>
      </c>
      <c r="W6683" s="4">
        <v>120</v>
      </c>
      <c r="Y6683" s="4">
        <v>120</v>
      </c>
      <c r="AB6683" s="17">
        <v>29</v>
      </c>
      <c r="AJ6683" s="19">
        <v>0</v>
      </c>
      <c r="AK6683" s="23">
        <v>29</v>
      </c>
      <c r="AM6683" s="19">
        <v>0</v>
      </c>
      <c r="AN6683" s="19">
        <v>126000</v>
      </c>
      <c r="AP6683" s="14">
        <v>126000</v>
      </c>
    </row>
    <row r="6684" spans="1:45" x14ac:dyDescent="0.2">
      <c r="A6684" s="122">
        <f t="shared" si="682"/>
        <v>5477</v>
      </c>
      <c r="B6684" s="13">
        <v>3</v>
      </c>
      <c r="C6684" s="17" t="s">
        <v>52</v>
      </c>
      <c r="D6684" s="17">
        <v>1231</v>
      </c>
      <c r="E6684" s="17">
        <v>26</v>
      </c>
      <c r="F6684" s="17">
        <v>255</v>
      </c>
      <c r="G6684" s="13">
        <v>6</v>
      </c>
      <c r="H6684" s="17">
        <v>9</v>
      </c>
      <c r="I6684" s="17">
        <v>2</v>
      </c>
      <c r="J6684" s="17">
        <v>53</v>
      </c>
      <c r="K6684" s="10">
        <v>3853</v>
      </c>
      <c r="P6684" s="17">
        <v>1</v>
      </c>
      <c r="Q6684" s="19">
        <v>3853</v>
      </c>
      <c r="R6684" s="14">
        <v>750</v>
      </c>
      <c r="S6684" s="19">
        <v>2889750</v>
      </c>
      <c r="AJ6684" s="19">
        <v>0</v>
      </c>
      <c r="AK6684" s="23">
        <v>0</v>
      </c>
      <c r="AM6684" s="19">
        <v>0</v>
      </c>
      <c r="AN6684" s="19">
        <v>2889750</v>
      </c>
      <c r="AP6684" s="14">
        <v>2889750</v>
      </c>
    </row>
    <row r="6685" spans="1:45" x14ac:dyDescent="0.2">
      <c r="A6685" s="122">
        <f t="shared" si="682"/>
        <v>5478</v>
      </c>
      <c r="B6685" s="13">
        <v>1</v>
      </c>
      <c r="C6685" s="17" t="s">
        <v>52</v>
      </c>
      <c r="D6685" s="17">
        <v>1124</v>
      </c>
      <c r="E6685" s="17">
        <v>47</v>
      </c>
      <c r="F6685" s="17">
        <v>704</v>
      </c>
      <c r="G6685" s="13">
        <v>1</v>
      </c>
      <c r="H6685" s="17">
        <v>0</v>
      </c>
      <c r="I6685" s="17">
        <v>0</v>
      </c>
      <c r="J6685" s="17">
        <v>88</v>
      </c>
      <c r="N6685" s="18">
        <v>88</v>
      </c>
      <c r="P6685" s="17">
        <v>4</v>
      </c>
      <c r="Q6685" s="19">
        <v>88</v>
      </c>
      <c r="R6685" s="14">
        <v>250</v>
      </c>
      <c r="S6685" s="19">
        <v>22000</v>
      </c>
      <c r="AJ6685" s="19">
        <v>0</v>
      </c>
      <c r="AK6685" s="23">
        <v>0</v>
      </c>
      <c r="AM6685" s="19">
        <v>0</v>
      </c>
      <c r="AN6685" s="19">
        <v>22000</v>
      </c>
      <c r="AP6685" s="14">
        <v>22000</v>
      </c>
      <c r="AQ6685" s="12">
        <v>3.0000000000000001E-3</v>
      </c>
      <c r="AS6685" s="26">
        <v>1</v>
      </c>
    </row>
    <row r="6686" spans="1:45" x14ac:dyDescent="0.2">
      <c r="A6686" s="122">
        <f t="shared" si="682"/>
        <v>5479</v>
      </c>
      <c r="B6686" s="13">
        <v>1</v>
      </c>
      <c r="C6686" s="17" t="s">
        <v>52</v>
      </c>
      <c r="D6686" s="17">
        <v>25684</v>
      </c>
      <c r="E6686" s="17">
        <v>543</v>
      </c>
      <c r="F6686" s="17">
        <v>5040</v>
      </c>
      <c r="G6686" s="13">
        <v>2</v>
      </c>
      <c r="H6686" s="17">
        <v>0</v>
      </c>
      <c r="I6686" s="17">
        <v>0</v>
      </c>
      <c r="J6686" s="17">
        <v>83.02</v>
      </c>
      <c r="N6686" s="18">
        <v>83.02</v>
      </c>
      <c r="P6686" s="17">
        <v>4</v>
      </c>
      <c r="Q6686" s="19">
        <v>83.02</v>
      </c>
      <c r="R6686" s="14">
        <v>250</v>
      </c>
      <c r="S6686" s="19">
        <v>20755</v>
      </c>
      <c r="AJ6686" s="19">
        <v>0</v>
      </c>
      <c r="AK6686" s="23">
        <v>0</v>
      </c>
      <c r="AM6686" s="19">
        <v>0</v>
      </c>
      <c r="AN6686" s="19">
        <v>20755</v>
      </c>
      <c r="AP6686" s="14">
        <v>20755</v>
      </c>
      <c r="AQ6686" s="12">
        <v>3.0000000000000001E-3</v>
      </c>
      <c r="AS6686" s="26">
        <v>20</v>
      </c>
    </row>
    <row r="6687" spans="1:45" x14ac:dyDescent="0.2">
      <c r="A6687" s="122">
        <f t="shared" si="682"/>
        <v>5480</v>
      </c>
      <c r="B6687" s="13">
        <v>2</v>
      </c>
      <c r="C6687" s="17" t="s">
        <v>52</v>
      </c>
      <c r="D6687" s="17">
        <v>28801</v>
      </c>
      <c r="E6687" s="17">
        <v>148</v>
      </c>
      <c r="F6687" s="17">
        <v>5454</v>
      </c>
      <c r="G6687" s="13">
        <v>2</v>
      </c>
      <c r="H6687" s="17">
        <v>0</v>
      </c>
      <c r="I6687" s="17">
        <v>0</v>
      </c>
      <c r="J6687" s="17">
        <v>62</v>
      </c>
      <c r="K6687" s="10">
        <v>62</v>
      </c>
      <c r="P6687" s="17">
        <v>1</v>
      </c>
      <c r="Q6687" s="19">
        <v>62</v>
      </c>
      <c r="R6687" s="14">
        <v>250</v>
      </c>
      <c r="S6687" s="19">
        <v>15500</v>
      </c>
      <c r="AJ6687" s="19">
        <v>0</v>
      </c>
      <c r="AK6687" s="23">
        <v>0</v>
      </c>
      <c r="AM6687" s="19">
        <v>0</v>
      </c>
      <c r="AN6687" s="19">
        <v>15500</v>
      </c>
      <c r="AP6687" s="14">
        <v>15500</v>
      </c>
    </row>
    <row r="6688" spans="1:45" x14ac:dyDescent="0.2">
      <c r="A6688" s="122">
        <f t="shared" si="682"/>
        <v>5481</v>
      </c>
      <c r="B6688" s="13">
        <v>3</v>
      </c>
      <c r="C6688" s="17" t="s">
        <v>52</v>
      </c>
      <c r="D6688" s="17">
        <v>28802</v>
      </c>
      <c r="E6688" s="17">
        <v>108</v>
      </c>
      <c r="F6688" s="17">
        <v>5455</v>
      </c>
      <c r="G6688" s="13">
        <v>2</v>
      </c>
      <c r="H6688" s="17">
        <v>0</v>
      </c>
      <c r="I6688" s="17">
        <v>0</v>
      </c>
      <c r="J6688" s="17">
        <v>62</v>
      </c>
      <c r="K6688" s="10" t="s">
        <v>612</v>
      </c>
      <c r="P6688" s="17">
        <v>1</v>
      </c>
      <c r="Q6688" s="19">
        <v>62</v>
      </c>
      <c r="R6688" s="14">
        <v>250</v>
      </c>
      <c r="S6688" s="19">
        <v>15500</v>
      </c>
      <c r="AJ6688" s="19">
        <v>0</v>
      </c>
      <c r="AK6688" s="23">
        <v>0</v>
      </c>
      <c r="AM6688" s="19">
        <v>0</v>
      </c>
      <c r="AN6688" s="19">
        <v>15500</v>
      </c>
      <c r="AP6688" s="14">
        <v>15500</v>
      </c>
    </row>
    <row r="6689" spans="1:45" ht="42" x14ac:dyDescent="0.2">
      <c r="A6689" s="122">
        <f t="shared" si="682"/>
        <v>5482</v>
      </c>
      <c r="B6689" s="13">
        <v>4</v>
      </c>
      <c r="C6689" s="17" t="s">
        <v>52</v>
      </c>
      <c r="D6689" s="17">
        <v>18005</v>
      </c>
      <c r="E6689" s="17">
        <v>10</v>
      </c>
      <c r="F6689" s="17">
        <v>3954</v>
      </c>
      <c r="G6689" s="13">
        <v>4</v>
      </c>
      <c r="H6689" s="17">
        <v>4</v>
      </c>
      <c r="I6689" s="17">
        <v>1</v>
      </c>
      <c r="J6689" s="17">
        <v>22</v>
      </c>
      <c r="K6689" s="10">
        <v>1701</v>
      </c>
      <c r="L6689" s="17">
        <v>21</v>
      </c>
      <c r="P6689" s="17">
        <v>1</v>
      </c>
      <c r="Q6689" s="19">
        <v>1722</v>
      </c>
      <c r="R6689" s="14">
        <v>160</v>
      </c>
      <c r="S6689" s="19">
        <v>275520</v>
      </c>
      <c r="T6689" s="17">
        <v>1</v>
      </c>
      <c r="V6689" s="17" t="s">
        <v>183</v>
      </c>
      <c r="W6689" s="4">
        <v>84</v>
      </c>
      <c r="Y6689" s="4">
        <v>84</v>
      </c>
      <c r="AB6689" s="17">
        <v>41</v>
      </c>
      <c r="AJ6689" s="19">
        <v>0</v>
      </c>
      <c r="AK6689" s="23">
        <v>41</v>
      </c>
      <c r="AM6689" s="19">
        <v>0</v>
      </c>
      <c r="AN6689" s="19">
        <v>275520</v>
      </c>
      <c r="AP6689" s="14">
        <v>275520</v>
      </c>
    </row>
    <row r="6690" spans="1:45" x14ac:dyDescent="0.2">
      <c r="A6690" s="122">
        <f t="shared" si="682"/>
        <v>5483</v>
      </c>
      <c r="B6690" s="13">
        <v>5</v>
      </c>
      <c r="C6690" s="17" t="s">
        <v>52</v>
      </c>
      <c r="D6690" s="17">
        <v>23422</v>
      </c>
      <c r="E6690" s="17">
        <v>154</v>
      </c>
      <c r="F6690" s="17">
        <v>4727</v>
      </c>
      <c r="H6690" s="17">
        <v>0</v>
      </c>
      <c r="I6690" s="17">
        <v>0</v>
      </c>
      <c r="J6690" s="17">
        <v>42.08</v>
      </c>
      <c r="K6690" s="10">
        <v>42.08</v>
      </c>
      <c r="P6690" s="17">
        <v>4</v>
      </c>
      <c r="Q6690" s="19">
        <v>42.08</v>
      </c>
      <c r="R6690" s="14">
        <v>2000</v>
      </c>
      <c r="S6690" s="19">
        <v>84160</v>
      </c>
      <c r="AJ6690" s="19">
        <v>0</v>
      </c>
      <c r="AK6690" s="23">
        <v>0</v>
      </c>
      <c r="AM6690" s="19">
        <v>0</v>
      </c>
      <c r="AN6690" s="19">
        <v>84160</v>
      </c>
      <c r="AP6690" s="14">
        <v>84160</v>
      </c>
      <c r="AQ6690" s="12">
        <v>3.0000000000000001E-3</v>
      </c>
    </row>
    <row r="6691" spans="1:45" ht="42" x14ac:dyDescent="0.2">
      <c r="A6691" s="122">
        <f t="shared" si="682"/>
        <v>5484</v>
      </c>
      <c r="B6691" s="13">
        <v>1</v>
      </c>
      <c r="C6691" s="17" t="s">
        <v>52</v>
      </c>
      <c r="D6691" s="17">
        <v>20365</v>
      </c>
      <c r="E6691" s="17">
        <v>72</v>
      </c>
      <c r="F6691" s="17">
        <v>4600</v>
      </c>
      <c r="G6691" s="13">
        <v>1</v>
      </c>
      <c r="H6691" s="17">
        <v>0</v>
      </c>
      <c r="I6691" s="17">
        <v>0</v>
      </c>
      <c r="J6691" s="17">
        <v>73</v>
      </c>
      <c r="N6691" s="18">
        <v>73</v>
      </c>
      <c r="P6691" s="17">
        <v>4</v>
      </c>
      <c r="Q6691" s="19">
        <v>73</v>
      </c>
      <c r="R6691" s="14">
        <v>3000</v>
      </c>
      <c r="S6691" s="19">
        <v>219000</v>
      </c>
      <c r="AJ6691" s="19">
        <v>0</v>
      </c>
      <c r="AK6691" s="23">
        <v>0</v>
      </c>
      <c r="AM6691" s="19">
        <v>0</v>
      </c>
      <c r="AN6691" s="19">
        <v>219000</v>
      </c>
      <c r="AP6691" s="14">
        <v>219000</v>
      </c>
      <c r="AQ6691" s="12">
        <v>3.0000000000000001E-3</v>
      </c>
      <c r="AS6691" s="26" t="s">
        <v>648</v>
      </c>
    </row>
    <row r="6692" spans="1:45" ht="42" x14ac:dyDescent="0.2">
      <c r="A6692" s="122">
        <f t="shared" si="682"/>
        <v>5485</v>
      </c>
      <c r="B6692" s="13">
        <v>2</v>
      </c>
      <c r="C6692" s="17" t="s">
        <v>52</v>
      </c>
      <c r="D6692" s="17">
        <v>11725</v>
      </c>
      <c r="E6692" s="17">
        <v>54</v>
      </c>
      <c r="F6692" s="17">
        <v>3197</v>
      </c>
      <c r="G6692" s="13">
        <v>6</v>
      </c>
      <c r="H6692" s="17">
        <v>0</v>
      </c>
      <c r="I6692" s="17">
        <v>1</v>
      </c>
      <c r="J6692" s="17">
        <v>0.02</v>
      </c>
      <c r="K6692" s="10">
        <v>72.02</v>
      </c>
      <c r="L6692" s="17">
        <v>28</v>
      </c>
      <c r="P6692" s="17">
        <v>5</v>
      </c>
      <c r="Q6692" s="19">
        <v>100.02</v>
      </c>
      <c r="R6692" s="14">
        <v>1500</v>
      </c>
      <c r="S6692" s="19">
        <v>150030</v>
      </c>
      <c r="T6692" s="17">
        <v>1</v>
      </c>
      <c r="V6692" s="17" t="s">
        <v>183</v>
      </c>
      <c r="W6692" s="4">
        <v>112</v>
      </c>
      <c r="Y6692" s="4">
        <v>112</v>
      </c>
      <c r="AB6692" s="17">
        <v>31</v>
      </c>
      <c r="AJ6692" s="19">
        <v>0</v>
      </c>
      <c r="AK6692" s="23">
        <v>31</v>
      </c>
      <c r="AM6692" s="19">
        <v>0</v>
      </c>
      <c r="AN6692" s="19">
        <v>150030</v>
      </c>
      <c r="AP6692" s="14">
        <v>150030</v>
      </c>
    </row>
    <row r="6693" spans="1:45" x14ac:dyDescent="0.2">
      <c r="A6693" s="122">
        <f t="shared" si="682"/>
        <v>5486</v>
      </c>
      <c r="B6693" s="13">
        <v>1</v>
      </c>
      <c r="C6693" s="17" t="s">
        <v>52</v>
      </c>
      <c r="D6693" s="17">
        <v>30439</v>
      </c>
      <c r="E6693" s="17">
        <v>43</v>
      </c>
      <c r="F6693" s="17">
        <v>5845</v>
      </c>
      <c r="G6693" s="13">
        <v>7</v>
      </c>
      <c r="H6693" s="17">
        <v>0</v>
      </c>
      <c r="I6693" s="17">
        <v>0</v>
      </c>
      <c r="J6693" s="17">
        <v>75</v>
      </c>
      <c r="N6693" s="18">
        <v>75</v>
      </c>
      <c r="P6693" s="17">
        <v>4</v>
      </c>
      <c r="Q6693" s="19">
        <v>75</v>
      </c>
      <c r="R6693" s="14">
        <v>1000</v>
      </c>
      <c r="S6693" s="19">
        <v>75000</v>
      </c>
      <c r="AE6693" s="17" t="s">
        <v>684</v>
      </c>
      <c r="AJ6693" s="19">
        <v>0</v>
      </c>
      <c r="AK6693" s="23">
        <v>0</v>
      </c>
      <c r="AM6693" s="19">
        <v>0</v>
      </c>
      <c r="AN6693" s="19">
        <v>75000</v>
      </c>
      <c r="AP6693" s="14">
        <v>75000</v>
      </c>
      <c r="AQ6693" s="12">
        <v>3.0000000000000001E-3</v>
      </c>
    </row>
    <row r="6694" spans="1:45" x14ac:dyDescent="0.2">
      <c r="A6694" s="122">
        <f t="shared" si="682"/>
        <v>5487</v>
      </c>
      <c r="B6694" s="13">
        <v>1</v>
      </c>
      <c r="C6694" s="17" t="s">
        <v>52</v>
      </c>
      <c r="D6694" s="17">
        <v>35164</v>
      </c>
      <c r="E6694" s="17">
        <v>506</v>
      </c>
      <c r="F6694" s="17">
        <v>6843</v>
      </c>
      <c r="G6694" s="13">
        <v>2</v>
      </c>
      <c r="H6694" s="17">
        <v>2</v>
      </c>
      <c r="I6694" s="17">
        <v>3</v>
      </c>
      <c r="J6694" s="17">
        <v>50.09</v>
      </c>
      <c r="K6694" s="10">
        <v>1150.0899999999999</v>
      </c>
      <c r="P6694" s="17">
        <v>1</v>
      </c>
      <c r="Q6694" s="19">
        <v>1150.0899999999999</v>
      </c>
      <c r="R6694" s="14">
        <v>2000</v>
      </c>
      <c r="S6694" s="19">
        <v>2300180</v>
      </c>
      <c r="AJ6694" s="19">
        <v>0</v>
      </c>
      <c r="AK6694" s="23">
        <v>0</v>
      </c>
      <c r="AM6694" s="19">
        <v>0</v>
      </c>
      <c r="AN6694" s="19">
        <v>2300180</v>
      </c>
      <c r="AP6694" s="14">
        <v>2300180</v>
      </c>
    </row>
    <row r="6695" spans="1:45" x14ac:dyDescent="0.2">
      <c r="A6695" s="122">
        <f t="shared" si="682"/>
        <v>5488</v>
      </c>
      <c r="B6695" s="13">
        <v>1</v>
      </c>
      <c r="C6695" s="17" t="s">
        <v>52</v>
      </c>
      <c r="D6695" s="17">
        <v>1993</v>
      </c>
      <c r="E6695" s="17">
        <v>5</v>
      </c>
      <c r="F6695" s="17">
        <v>852</v>
      </c>
      <c r="G6695" s="13">
        <v>4</v>
      </c>
      <c r="H6695" s="17">
        <v>7</v>
      </c>
      <c r="I6695" s="17">
        <v>3</v>
      </c>
      <c r="J6695" s="17">
        <v>22</v>
      </c>
      <c r="K6695" s="10">
        <v>3122</v>
      </c>
      <c r="P6695" s="17">
        <v>1</v>
      </c>
      <c r="Q6695" s="19">
        <v>3122</v>
      </c>
      <c r="R6695" s="14">
        <v>500</v>
      </c>
      <c r="S6695" s="19">
        <v>1561000</v>
      </c>
      <c r="AJ6695" s="19">
        <v>0</v>
      </c>
      <c r="AK6695" s="23">
        <v>0</v>
      </c>
      <c r="AM6695" s="19">
        <v>0</v>
      </c>
      <c r="AN6695" s="19">
        <v>1561000</v>
      </c>
      <c r="AP6695" s="14">
        <v>1561000</v>
      </c>
    </row>
    <row r="6696" spans="1:45" x14ac:dyDescent="0.2">
      <c r="A6696" s="122">
        <f t="shared" si="682"/>
        <v>5489</v>
      </c>
      <c r="B6696" s="13">
        <v>1</v>
      </c>
      <c r="C6696" s="17" t="s">
        <v>69</v>
      </c>
      <c r="E6696" s="17">
        <v>1518</v>
      </c>
      <c r="F6696" s="17">
        <v>7</v>
      </c>
      <c r="G6696" s="13">
        <v>2</v>
      </c>
      <c r="H6696" s="17">
        <v>9</v>
      </c>
      <c r="I6696" s="17">
        <v>1</v>
      </c>
      <c r="J6696" s="17">
        <v>70</v>
      </c>
      <c r="K6696" s="10">
        <v>3770</v>
      </c>
      <c r="P6696" s="17" t="s">
        <v>122</v>
      </c>
      <c r="Q6696" s="19">
        <v>3770</v>
      </c>
      <c r="R6696" s="14">
        <v>200</v>
      </c>
      <c r="S6696" s="19">
        <v>754000</v>
      </c>
      <c r="AJ6696" s="19">
        <v>0</v>
      </c>
      <c r="AK6696" s="23">
        <v>0</v>
      </c>
      <c r="AM6696" s="19">
        <v>0</v>
      </c>
      <c r="AN6696" s="19">
        <v>754000</v>
      </c>
      <c r="AP6696" s="14">
        <v>754000</v>
      </c>
      <c r="AQ6696" s="12">
        <v>1E-4</v>
      </c>
      <c r="AS6696" s="26">
        <v>132.22</v>
      </c>
    </row>
    <row r="6697" spans="1:45" x14ac:dyDescent="0.2">
      <c r="A6697" s="122">
        <f t="shared" si="682"/>
        <v>5490</v>
      </c>
      <c r="B6697" s="13">
        <v>1</v>
      </c>
      <c r="C6697" s="17" t="s">
        <v>69</v>
      </c>
      <c r="E6697" s="17">
        <v>152</v>
      </c>
      <c r="F6697" s="17">
        <v>2</v>
      </c>
      <c r="G6697" s="13">
        <v>2</v>
      </c>
      <c r="H6697" s="17">
        <v>7</v>
      </c>
      <c r="I6697" s="17">
        <v>0</v>
      </c>
      <c r="J6697" s="17">
        <v>41</v>
      </c>
      <c r="K6697" s="10">
        <v>2841</v>
      </c>
      <c r="P6697" s="17">
        <v>1</v>
      </c>
      <c r="Q6697" s="19">
        <v>2841</v>
      </c>
      <c r="R6697" s="14">
        <v>200</v>
      </c>
      <c r="S6697" s="19">
        <v>568200</v>
      </c>
      <c r="AJ6697" s="19">
        <v>0</v>
      </c>
      <c r="AK6697" s="23">
        <v>0</v>
      </c>
      <c r="AM6697" s="19">
        <v>0</v>
      </c>
      <c r="AN6697" s="19">
        <v>568200</v>
      </c>
      <c r="AP6697" s="14">
        <v>568200</v>
      </c>
      <c r="AQ6697" s="12">
        <v>1E-4</v>
      </c>
    </row>
    <row r="6698" spans="1:45" x14ac:dyDescent="0.2">
      <c r="A6698" s="122">
        <f t="shared" si="682"/>
        <v>5491</v>
      </c>
      <c r="B6698" s="13">
        <v>1</v>
      </c>
      <c r="C6698" s="17" t="s">
        <v>52</v>
      </c>
      <c r="D6698" s="17">
        <v>14103</v>
      </c>
      <c r="E6698" s="17">
        <v>288</v>
      </c>
      <c r="F6698" s="17">
        <v>3331</v>
      </c>
      <c r="G6698" s="13">
        <v>2</v>
      </c>
      <c r="H6698" s="17">
        <v>0</v>
      </c>
      <c r="I6698" s="17">
        <v>0</v>
      </c>
      <c r="J6698" s="17">
        <v>40</v>
      </c>
      <c r="N6698" s="18">
        <v>40</v>
      </c>
      <c r="P6698" s="17">
        <v>4</v>
      </c>
      <c r="Q6698" s="19">
        <v>40</v>
      </c>
      <c r="R6698" s="14">
        <v>160</v>
      </c>
      <c r="S6698" s="19">
        <v>6400</v>
      </c>
      <c r="AJ6698" s="19">
        <v>0</v>
      </c>
      <c r="AK6698" s="23">
        <v>0</v>
      </c>
      <c r="AM6698" s="19">
        <v>0</v>
      </c>
      <c r="AN6698" s="19">
        <v>6400</v>
      </c>
      <c r="AP6698" s="14">
        <v>6400</v>
      </c>
      <c r="AQ6698" s="12">
        <v>3.0000000000000001E-3</v>
      </c>
    </row>
    <row r="6699" spans="1:45" ht="315" x14ac:dyDescent="0.2">
      <c r="A6699" s="122">
        <f t="shared" si="682"/>
        <v>5492</v>
      </c>
      <c r="B6699" s="13">
        <v>1</v>
      </c>
      <c r="C6699" s="17" t="s">
        <v>52</v>
      </c>
      <c r="D6699" s="17">
        <v>1789</v>
      </c>
      <c r="E6699" s="17">
        <v>91</v>
      </c>
      <c r="F6699" s="17">
        <v>1173</v>
      </c>
      <c r="G6699" s="13">
        <v>2</v>
      </c>
      <c r="H6699" s="17">
        <v>0</v>
      </c>
      <c r="I6699" s="17">
        <v>0</v>
      </c>
      <c r="J6699" s="17">
        <v>25</v>
      </c>
      <c r="L6699" s="17" t="s">
        <v>336</v>
      </c>
      <c r="P6699" s="17">
        <v>2</v>
      </c>
      <c r="Q6699" s="19">
        <v>25</v>
      </c>
      <c r="R6699" s="14">
        <v>4500</v>
      </c>
      <c r="S6699" s="19">
        <v>112500</v>
      </c>
      <c r="T6699" s="17">
        <v>1</v>
      </c>
      <c r="U6699" s="17" t="s">
        <v>63</v>
      </c>
      <c r="V6699" s="17" t="s">
        <v>56</v>
      </c>
      <c r="W6699" s="4">
        <v>180</v>
      </c>
      <c r="AB6699" s="17" t="s">
        <v>574</v>
      </c>
      <c r="AC6699" s="14" t="s">
        <v>154</v>
      </c>
      <c r="AF6699" s="14">
        <v>2</v>
      </c>
      <c r="AG6699" s="54">
        <v>180</v>
      </c>
      <c r="AH6699" s="11">
        <v>0.82</v>
      </c>
      <c r="AI6699" s="14">
        <v>8100</v>
      </c>
      <c r="AJ6699" s="19">
        <v>1195560</v>
      </c>
      <c r="AK6699" s="23" t="s">
        <v>574</v>
      </c>
      <c r="AL6699" s="11">
        <v>0.54</v>
      </c>
      <c r="AM6699" s="19">
        <v>549957.6</v>
      </c>
      <c r="AN6699" s="19">
        <v>662457.59999999998</v>
      </c>
      <c r="AP6699" s="14">
        <v>662457.59999999998</v>
      </c>
      <c r="AS6699" s="26">
        <v>17325</v>
      </c>
    </row>
    <row r="6700" spans="1:45" ht="252" x14ac:dyDescent="0.2">
      <c r="R6700" s="14" t="e">
        <v>#N/A</v>
      </c>
      <c r="Z6700" s="17" t="s">
        <v>280</v>
      </c>
      <c r="AC6700" s="14" t="s">
        <v>685</v>
      </c>
      <c r="AF6700" s="14">
        <v>3</v>
      </c>
      <c r="AG6700" s="54">
        <v>180</v>
      </c>
      <c r="AH6700" s="11">
        <v>0.18</v>
      </c>
      <c r="AI6700" s="14">
        <v>8100</v>
      </c>
      <c r="AJ6700" s="19">
        <v>262440</v>
      </c>
      <c r="AK6700" s="23">
        <v>32</v>
      </c>
      <c r="AL6700" s="11">
        <v>0.54</v>
      </c>
      <c r="AM6700" s="19">
        <v>120722.4</v>
      </c>
      <c r="AN6700" s="19">
        <v>140972.4</v>
      </c>
      <c r="AP6700" s="14">
        <v>140972.4</v>
      </c>
      <c r="AQ6700" s="12">
        <v>3.0000000000000001E-3</v>
      </c>
    </row>
    <row r="6701" spans="1:45" ht="315" x14ac:dyDescent="0.2">
      <c r="A6701" s="2">
        <v>5900</v>
      </c>
      <c r="B6701" s="13">
        <v>2</v>
      </c>
      <c r="C6701" s="17" t="s">
        <v>52</v>
      </c>
      <c r="D6701" s="17">
        <v>1916</v>
      </c>
      <c r="E6701" s="17">
        <v>90</v>
      </c>
      <c r="F6701" s="17">
        <v>502</v>
      </c>
      <c r="G6701" s="13">
        <v>2</v>
      </c>
      <c r="H6701" s="17">
        <v>0</v>
      </c>
      <c r="I6701" s="17">
        <v>0</v>
      </c>
      <c r="J6701" s="17">
        <v>26</v>
      </c>
      <c r="L6701" s="17" t="s">
        <v>686</v>
      </c>
      <c r="P6701" s="17">
        <v>2</v>
      </c>
      <c r="Q6701" s="19">
        <v>26</v>
      </c>
      <c r="R6701" s="14">
        <v>4500</v>
      </c>
      <c r="S6701" s="19">
        <v>117000</v>
      </c>
      <c r="T6701" s="17">
        <v>1</v>
      </c>
      <c r="U6701" s="17" t="s">
        <v>63</v>
      </c>
      <c r="V6701" s="17" t="s">
        <v>56</v>
      </c>
      <c r="W6701" s="4">
        <v>180</v>
      </c>
      <c r="AB6701" s="17" t="s">
        <v>574</v>
      </c>
      <c r="AC6701" s="14" t="s">
        <v>154</v>
      </c>
      <c r="AF6701" s="14">
        <v>2</v>
      </c>
      <c r="AG6701" s="54">
        <v>180</v>
      </c>
      <c r="AH6701" s="11">
        <v>0.82</v>
      </c>
      <c r="AI6701" s="14">
        <v>8100</v>
      </c>
      <c r="AJ6701" s="19">
        <v>1195560</v>
      </c>
      <c r="AK6701" s="23" t="s">
        <v>574</v>
      </c>
      <c r="AL6701" s="11">
        <v>0.54</v>
      </c>
      <c r="AM6701" s="19">
        <v>549957.6</v>
      </c>
      <c r="AN6701" s="19">
        <v>666957.6</v>
      </c>
      <c r="AP6701" s="14">
        <v>666957.6</v>
      </c>
      <c r="AR6701" s="19">
        <v>17325</v>
      </c>
    </row>
    <row r="6702" spans="1:45" ht="252" x14ac:dyDescent="0.2">
      <c r="Z6702" s="17" t="s">
        <v>280</v>
      </c>
      <c r="AC6702" s="14" t="s">
        <v>685</v>
      </c>
      <c r="AF6702" s="14">
        <v>3</v>
      </c>
      <c r="AG6702" s="54">
        <v>180</v>
      </c>
      <c r="AH6702" s="11">
        <v>0.18</v>
      </c>
      <c r="AI6702" s="14">
        <v>8100</v>
      </c>
      <c r="AJ6702" s="19">
        <v>262440</v>
      </c>
      <c r="AK6702" s="23">
        <v>32</v>
      </c>
      <c r="AL6702" s="11">
        <v>0.54</v>
      </c>
      <c r="AM6702" s="19">
        <v>120722.4</v>
      </c>
      <c r="AN6702" s="19">
        <v>141782.39999999999</v>
      </c>
      <c r="AP6702" s="14">
        <v>141782.39999999999</v>
      </c>
      <c r="AQ6702" s="12">
        <v>3.0000000000000001E-3</v>
      </c>
    </row>
    <row r="6703" spans="1:45" x14ac:dyDescent="0.2">
      <c r="A6703" s="2">
        <v>5493</v>
      </c>
      <c r="B6703" s="13">
        <v>3</v>
      </c>
      <c r="C6703" s="17" t="s">
        <v>65</v>
      </c>
      <c r="D6703" s="17">
        <v>1099</v>
      </c>
      <c r="E6703" s="17">
        <v>8</v>
      </c>
      <c r="H6703" s="17">
        <v>16</v>
      </c>
      <c r="I6703" s="17">
        <v>2</v>
      </c>
      <c r="J6703" s="17">
        <v>0</v>
      </c>
      <c r="K6703" s="10">
        <v>6600</v>
      </c>
      <c r="P6703" s="17">
        <v>1</v>
      </c>
      <c r="Q6703" s="19">
        <v>6600</v>
      </c>
      <c r="R6703" s="14">
        <v>250</v>
      </c>
      <c r="S6703" s="19">
        <v>1650000</v>
      </c>
      <c r="AJ6703" s="19">
        <v>0</v>
      </c>
      <c r="AK6703" s="23">
        <v>0</v>
      </c>
      <c r="AM6703" s="19">
        <v>0</v>
      </c>
      <c r="AN6703" s="19">
        <v>1650000</v>
      </c>
      <c r="AP6703" s="14">
        <v>1650000</v>
      </c>
      <c r="AQ6703" s="12">
        <v>1E-4</v>
      </c>
    </row>
    <row r="6704" spans="1:45" x14ac:dyDescent="0.2">
      <c r="A6704" s="2">
        <f>+A6703+1</f>
        <v>5494</v>
      </c>
      <c r="B6704" s="13">
        <v>4</v>
      </c>
      <c r="C6704" s="17" t="s">
        <v>65</v>
      </c>
      <c r="D6704" s="17">
        <v>1107</v>
      </c>
      <c r="E6704" s="17">
        <v>16</v>
      </c>
      <c r="H6704" s="17">
        <v>16</v>
      </c>
      <c r="I6704" s="17">
        <v>3</v>
      </c>
      <c r="J6704" s="17">
        <v>0</v>
      </c>
      <c r="K6704" s="10">
        <v>6700</v>
      </c>
      <c r="P6704" s="17">
        <v>1</v>
      </c>
      <c r="Q6704" s="19">
        <v>6700</v>
      </c>
      <c r="R6704" s="14">
        <v>250</v>
      </c>
      <c r="S6704" s="19">
        <v>1675000</v>
      </c>
      <c r="AJ6704" s="19">
        <v>0</v>
      </c>
      <c r="AK6704" s="23">
        <v>0</v>
      </c>
      <c r="AM6704" s="19">
        <v>0</v>
      </c>
      <c r="AN6704" s="19">
        <v>1675000</v>
      </c>
      <c r="AP6704" s="14">
        <v>1675000</v>
      </c>
      <c r="AQ6704" s="12">
        <v>1E-4</v>
      </c>
    </row>
    <row r="6705" spans="1:45" x14ac:dyDescent="0.2">
      <c r="A6705" s="122">
        <f t="shared" ref="A6705:A6708" si="683">+A6704+1</f>
        <v>5495</v>
      </c>
      <c r="B6705" s="13">
        <v>5</v>
      </c>
      <c r="C6705" s="17" t="s">
        <v>65</v>
      </c>
      <c r="D6705" s="17">
        <v>3078</v>
      </c>
      <c r="E6705" s="17">
        <v>60</v>
      </c>
      <c r="H6705" s="17">
        <v>0</v>
      </c>
      <c r="I6705" s="17">
        <v>1</v>
      </c>
      <c r="J6705" s="17">
        <v>95</v>
      </c>
      <c r="K6705" s="10">
        <v>195</v>
      </c>
      <c r="P6705" s="17">
        <v>1</v>
      </c>
      <c r="Q6705" s="19">
        <v>195</v>
      </c>
      <c r="R6705" s="14">
        <v>1000</v>
      </c>
      <c r="S6705" s="19">
        <v>195000</v>
      </c>
      <c r="AJ6705" s="19">
        <v>0</v>
      </c>
      <c r="AK6705" s="23">
        <v>0</v>
      </c>
      <c r="AM6705" s="19">
        <v>0</v>
      </c>
      <c r="AN6705" s="19">
        <v>195000</v>
      </c>
      <c r="AP6705" s="14">
        <v>195000</v>
      </c>
      <c r="AQ6705" s="12">
        <v>1E-4</v>
      </c>
    </row>
    <row r="6706" spans="1:45" x14ac:dyDescent="0.2">
      <c r="A6706" s="122">
        <f t="shared" si="683"/>
        <v>5496</v>
      </c>
      <c r="B6706" s="13">
        <v>1</v>
      </c>
      <c r="C6706" s="17" t="s">
        <v>69</v>
      </c>
      <c r="E6706" s="17">
        <v>1469</v>
      </c>
      <c r="F6706" s="17">
        <v>16</v>
      </c>
      <c r="G6706" s="13">
        <v>2</v>
      </c>
      <c r="H6706" s="17">
        <v>12</v>
      </c>
      <c r="I6706" s="17">
        <v>2</v>
      </c>
      <c r="J6706" s="17">
        <v>50</v>
      </c>
      <c r="K6706" s="10">
        <v>5050</v>
      </c>
      <c r="P6706" s="17">
        <v>1</v>
      </c>
      <c r="Q6706" s="19">
        <v>5050</v>
      </c>
      <c r="R6706" s="14">
        <v>160</v>
      </c>
      <c r="S6706" s="19">
        <v>808000</v>
      </c>
      <c r="AJ6706" s="19">
        <v>0</v>
      </c>
      <c r="AK6706" s="23">
        <v>0</v>
      </c>
      <c r="AM6706" s="19">
        <v>0</v>
      </c>
      <c r="AN6706" s="19">
        <v>808000</v>
      </c>
      <c r="AP6706" s="14">
        <v>808000</v>
      </c>
      <c r="AQ6706" s="12">
        <v>1E-4</v>
      </c>
    </row>
    <row r="6707" spans="1:45" x14ac:dyDescent="0.2">
      <c r="A6707" s="122">
        <f t="shared" si="683"/>
        <v>5497</v>
      </c>
      <c r="B6707" s="13">
        <v>1</v>
      </c>
      <c r="C6707" s="17" t="s">
        <v>52</v>
      </c>
      <c r="D6707" s="17">
        <v>3764</v>
      </c>
      <c r="E6707" s="17">
        <v>2</v>
      </c>
      <c r="F6707" s="17">
        <v>2288</v>
      </c>
      <c r="G6707" s="13">
        <v>2</v>
      </c>
      <c r="H6707" s="17">
        <v>18</v>
      </c>
      <c r="I6707" s="17">
        <v>2</v>
      </c>
      <c r="J6707" s="17">
        <v>51</v>
      </c>
      <c r="K6707" s="10">
        <v>7451</v>
      </c>
      <c r="P6707" s="17">
        <v>1</v>
      </c>
      <c r="Q6707" s="19">
        <v>7451</v>
      </c>
      <c r="R6707" s="14">
        <v>200</v>
      </c>
      <c r="S6707" s="19">
        <v>1490200</v>
      </c>
      <c r="AJ6707" s="19">
        <v>0</v>
      </c>
      <c r="AK6707" s="23">
        <v>0</v>
      </c>
      <c r="AM6707" s="19">
        <v>0</v>
      </c>
      <c r="AN6707" s="19">
        <v>1490200</v>
      </c>
      <c r="AP6707" s="14">
        <v>1490200</v>
      </c>
      <c r="AS6707" s="26">
        <v>97</v>
      </c>
    </row>
    <row r="6708" spans="1:45" x14ac:dyDescent="0.2">
      <c r="A6708" s="122">
        <f t="shared" si="683"/>
        <v>5498</v>
      </c>
      <c r="B6708" s="13">
        <v>1</v>
      </c>
      <c r="C6708" s="17" t="s">
        <v>52</v>
      </c>
      <c r="D6708" s="17">
        <v>2422</v>
      </c>
      <c r="E6708" s="17">
        <v>68</v>
      </c>
      <c r="F6708" s="17">
        <v>423</v>
      </c>
      <c r="G6708" s="13">
        <v>2</v>
      </c>
      <c r="H6708" s="17">
        <v>0</v>
      </c>
      <c r="I6708" s="17">
        <v>2</v>
      </c>
      <c r="J6708" s="17">
        <v>19</v>
      </c>
      <c r="L6708" s="17" t="s">
        <v>687</v>
      </c>
      <c r="P6708" s="17">
        <v>2</v>
      </c>
      <c r="Q6708" s="19">
        <v>219</v>
      </c>
      <c r="R6708" s="14">
        <v>4500</v>
      </c>
      <c r="S6708" s="19">
        <v>985500</v>
      </c>
      <c r="AS6708" s="26">
        <v>195</v>
      </c>
    </row>
    <row r="6709" spans="1:45" ht="42" x14ac:dyDescent="0.2">
      <c r="L6709" s="17" t="s">
        <v>688</v>
      </c>
      <c r="P6709" s="17">
        <v>2</v>
      </c>
      <c r="Q6709" s="19">
        <v>146</v>
      </c>
      <c r="R6709" s="14">
        <v>4500</v>
      </c>
      <c r="S6709" s="19">
        <v>657000</v>
      </c>
      <c r="T6709" s="17" t="s">
        <v>122</v>
      </c>
      <c r="V6709" s="17" t="s">
        <v>183</v>
      </c>
      <c r="W6709" s="4">
        <v>135</v>
      </c>
      <c r="Y6709" s="4" t="s">
        <v>689</v>
      </c>
      <c r="AB6709" s="17" t="s">
        <v>360</v>
      </c>
      <c r="AF6709" s="14">
        <v>2</v>
      </c>
      <c r="AG6709" s="54">
        <v>135</v>
      </c>
      <c r="AH6709" s="11">
        <v>0.82</v>
      </c>
      <c r="AI6709" s="14">
        <v>8100</v>
      </c>
      <c r="AJ6709" s="19">
        <v>896669.99999999988</v>
      </c>
      <c r="AK6709" s="23">
        <v>10</v>
      </c>
      <c r="AL6709" s="11">
        <v>0.1</v>
      </c>
      <c r="AM6709" s="19">
        <v>807002.99999999988</v>
      </c>
      <c r="AN6709" s="19">
        <v>1464003</v>
      </c>
      <c r="AP6709" s="14">
        <v>1464003</v>
      </c>
    </row>
    <row r="6710" spans="1:45" x14ac:dyDescent="0.2">
      <c r="R6710" s="14">
        <v>4500</v>
      </c>
      <c r="Z6710" s="17" t="s">
        <v>559</v>
      </c>
      <c r="AB6710" s="17" t="s">
        <v>360</v>
      </c>
      <c r="AF6710" s="14">
        <v>3</v>
      </c>
      <c r="AG6710" s="54">
        <v>135</v>
      </c>
      <c r="AH6710" s="11">
        <v>0.18</v>
      </c>
      <c r="AI6710" s="14">
        <v>8100</v>
      </c>
      <c r="AJ6710" s="19">
        <v>196830</v>
      </c>
      <c r="AK6710" s="23">
        <v>10</v>
      </c>
      <c r="AL6710" s="11">
        <v>0.1</v>
      </c>
      <c r="AM6710" s="19">
        <v>177147</v>
      </c>
      <c r="AN6710" s="19">
        <v>295407</v>
      </c>
      <c r="AP6710" s="14">
        <v>295407</v>
      </c>
      <c r="AQ6710" s="12">
        <v>3.0000000000000001E-3</v>
      </c>
    </row>
    <row r="6711" spans="1:45" ht="409.5" x14ac:dyDescent="0.2">
      <c r="L6711" s="17" t="s">
        <v>690</v>
      </c>
      <c r="P6711" s="17">
        <v>5</v>
      </c>
      <c r="Q6711" s="19">
        <v>73</v>
      </c>
      <c r="R6711" s="14">
        <v>4500</v>
      </c>
      <c r="S6711" s="19">
        <v>328500</v>
      </c>
      <c r="T6711" s="17">
        <v>2</v>
      </c>
      <c r="V6711" s="17" t="s">
        <v>183</v>
      </c>
      <c r="W6711" s="4">
        <v>67.5</v>
      </c>
      <c r="Y6711" s="4" t="s">
        <v>589</v>
      </c>
      <c r="Z6711" s="17" t="s">
        <v>691</v>
      </c>
      <c r="AB6711" s="17" t="s">
        <v>360</v>
      </c>
      <c r="AC6711" s="14" t="s">
        <v>692</v>
      </c>
      <c r="AF6711" s="14">
        <v>2</v>
      </c>
      <c r="AG6711" s="54">
        <v>67.5</v>
      </c>
      <c r="AH6711" s="11">
        <v>0.66669999999999996</v>
      </c>
      <c r="AI6711" s="14">
        <v>8100</v>
      </c>
      <c r="AJ6711" s="19">
        <v>364518.22499999998</v>
      </c>
      <c r="AK6711" s="23">
        <v>10</v>
      </c>
      <c r="AL6711" s="11">
        <v>0.1</v>
      </c>
      <c r="AM6711" s="19">
        <v>328066.40249999997</v>
      </c>
      <c r="AN6711" s="19">
        <v>656566.40249999997</v>
      </c>
      <c r="AP6711" s="14">
        <v>656566.40249999997</v>
      </c>
    </row>
    <row r="6712" spans="1:45" ht="63" x14ac:dyDescent="0.2">
      <c r="R6712" s="14">
        <v>4500</v>
      </c>
      <c r="U6712" s="17" t="s">
        <v>63</v>
      </c>
      <c r="V6712" s="17" t="s">
        <v>56</v>
      </c>
      <c r="AB6712" s="17" t="s">
        <v>360</v>
      </c>
      <c r="AE6712" s="17" t="s">
        <v>693</v>
      </c>
      <c r="AF6712" s="14">
        <v>3</v>
      </c>
      <c r="AG6712" s="54">
        <v>67.5</v>
      </c>
      <c r="AH6712" s="11">
        <v>0.33329999999999999</v>
      </c>
      <c r="AI6712" s="14">
        <v>8100</v>
      </c>
      <c r="AJ6712" s="19">
        <v>182231.77499999999</v>
      </c>
      <c r="AK6712" s="23">
        <v>10</v>
      </c>
      <c r="AL6712" s="11">
        <v>0.1</v>
      </c>
      <c r="AM6712" s="19">
        <v>164008.5975</v>
      </c>
      <c r="AN6712" s="19">
        <v>164008.5975</v>
      </c>
      <c r="AP6712" s="14">
        <v>164008.5975</v>
      </c>
      <c r="AQ6712" s="12">
        <v>3.0000000000000001E-3</v>
      </c>
    </row>
    <row r="6713" spans="1:45" x14ac:dyDescent="0.2">
      <c r="A6713" s="2">
        <v>5499</v>
      </c>
      <c r="B6713" s="13">
        <v>2</v>
      </c>
      <c r="C6713" s="17" t="s">
        <v>52</v>
      </c>
      <c r="D6713" s="17">
        <v>5972</v>
      </c>
      <c r="E6713" s="17">
        <v>61</v>
      </c>
      <c r="F6713" s="17">
        <v>3072</v>
      </c>
      <c r="G6713" s="13">
        <v>5</v>
      </c>
      <c r="H6713" s="17">
        <v>4</v>
      </c>
      <c r="I6713" s="17">
        <v>3</v>
      </c>
      <c r="J6713" s="17">
        <v>9</v>
      </c>
      <c r="K6713" s="10">
        <v>1509</v>
      </c>
      <c r="P6713" s="17">
        <v>1</v>
      </c>
      <c r="Q6713" s="19">
        <v>1909</v>
      </c>
      <c r="R6713" s="14">
        <v>160</v>
      </c>
      <c r="S6713" s="19">
        <v>305440</v>
      </c>
      <c r="AJ6713" s="19">
        <v>0</v>
      </c>
      <c r="AK6713" s="23">
        <v>0</v>
      </c>
      <c r="AM6713" s="19">
        <v>0</v>
      </c>
      <c r="AN6713" s="19">
        <v>305440</v>
      </c>
      <c r="AP6713" s="14">
        <v>305440</v>
      </c>
    </row>
    <row r="6714" spans="1:45" x14ac:dyDescent="0.2">
      <c r="A6714" s="2">
        <f>+A6713+1</f>
        <v>5500</v>
      </c>
      <c r="B6714" s="13">
        <v>3</v>
      </c>
      <c r="C6714" s="17" t="s">
        <v>52</v>
      </c>
      <c r="D6714" s="17">
        <v>32484</v>
      </c>
      <c r="E6714" s="17">
        <v>58</v>
      </c>
      <c r="F6714" s="17">
        <v>6833</v>
      </c>
      <c r="G6714" s="13">
        <v>5</v>
      </c>
      <c r="H6714" s="17">
        <v>14</v>
      </c>
      <c r="I6714" s="17">
        <v>1</v>
      </c>
      <c r="J6714" s="17">
        <v>19</v>
      </c>
      <c r="K6714" s="10">
        <v>5719</v>
      </c>
      <c r="P6714" s="17">
        <v>1</v>
      </c>
      <c r="Q6714" s="19">
        <v>5719</v>
      </c>
      <c r="R6714" s="14">
        <v>375</v>
      </c>
      <c r="S6714" s="19">
        <v>2144625</v>
      </c>
      <c r="AJ6714" s="19">
        <v>0</v>
      </c>
      <c r="AK6714" s="23">
        <v>0</v>
      </c>
      <c r="AM6714" s="19">
        <v>0</v>
      </c>
      <c r="AN6714" s="19">
        <v>2144625</v>
      </c>
      <c r="AP6714" s="14">
        <v>2144625</v>
      </c>
    </row>
    <row r="6715" spans="1:45" x14ac:dyDescent="0.2">
      <c r="A6715" s="122">
        <f t="shared" ref="A6715:A6728" si="684">+A6714+1</f>
        <v>5501</v>
      </c>
      <c r="B6715" s="13">
        <v>4</v>
      </c>
      <c r="C6715" s="17" t="s">
        <v>52</v>
      </c>
      <c r="D6715" s="17">
        <v>32486</v>
      </c>
      <c r="E6715" s="17">
        <v>16</v>
      </c>
      <c r="F6715" s="17">
        <v>2940</v>
      </c>
      <c r="G6715" s="13">
        <v>5</v>
      </c>
      <c r="H6715" s="17">
        <v>8</v>
      </c>
      <c r="I6715" s="17">
        <v>2</v>
      </c>
      <c r="J6715" s="17">
        <v>20</v>
      </c>
      <c r="K6715" s="10">
        <v>3420</v>
      </c>
      <c r="P6715" s="17">
        <v>1</v>
      </c>
      <c r="Q6715" s="19">
        <v>3420</v>
      </c>
      <c r="R6715" s="14">
        <v>375</v>
      </c>
      <c r="S6715" s="19">
        <v>1282500</v>
      </c>
      <c r="AJ6715" s="19">
        <v>0</v>
      </c>
      <c r="AK6715" s="23">
        <v>0</v>
      </c>
      <c r="AM6715" s="19">
        <v>0</v>
      </c>
      <c r="AN6715" s="19">
        <v>1282500</v>
      </c>
      <c r="AP6715" s="14">
        <v>1282500</v>
      </c>
    </row>
    <row r="6716" spans="1:45" x14ac:dyDescent="0.2">
      <c r="A6716" s="122">
        <f t="shared" si="684"/>
        <v>5502</v>
      </c>
      <c r="B6716" s="13">
        <v>5</v>
      </c>
      <c r="C6716" s="17" t="s">
        <v>52</v>
      </c>
      <c r="D6716" s="17">
        <v>32488</v>
      </c>
      <c r="E6716" s="17">
        <v>15</v>
      </c>
      <c r="F6716" s="17">
        <v>2935</v>
      </c>
      <c r="G6716" s="13">
        <v>5</v>
      </c>
      <c r="H6716" s="17">
        <v>5</v>
      </c>
      <c r="I6716" s="17">
        <v>3</v>
      </c>
      <c r="J6716" s="17">
        <v>71</v>
      </c>
      <c r="K6716" s="10">
        <v>2371</v>
      </c>
      <c r="P6716" s="17">
        <v>1</v>
      </c>
      <c r="Q6716" s="19">
        <v>2371</v>
      </c>
      <c r="R6716" s="14">
        <v>375</v>
      </c>
      <c r="S6716" s="19">
        <v>889125</v>
      </c>
      <c r="AJ6716" s="19">
        <v>0</v>
      </c>
      <c r="AK6716" s="23">
        <v>0</v>
      </c>
      <c r="AM6716" s="19">
        <v>0</v>
      </c>
      <c r="AN6716" s="19">
        <v>889125</v>
      </c>
      <c r="AP6716" s="14">
        <v>889125</v>
      </c>
    </row>
    <row r="6717" spans="1:45" x14ac:dyDescent="0.2">
      <c r="A6717" s="122">
        <f t="shared" si="684"/>
        <v>5503</v>
      </c>
      <c r="B6717" s="13">
        <v>6</v>
      </c>
      <c r="C6717" s="17" t="s">
        <v>52</v>
      </c>
      <c r="D6717" s="17">
        <v>32497</v>
      </c>
      <c r="E6717" s="17">
        <v>17</v>
      </c>
      <c r="F6717" s="17">
        <v>2939</v>
      </c>
      <c r="G6717" s="13">
        <v>5</v>
      </c>
      <c r="H6717" s="17">
        <v>6</v>
      </c>
      <c r="I6717" s="17">
        <v>3</v>
      </c>
      <c r="J6717" s="17">
        <v>12</v>
      </c>
      <c r="K6717" s="10">
        <v>2712</v>
      </c>
      <c r="P6717" s="17">
        <v>1</v>
      </c>
      <c r="Q6717" s="19">
        <v>2712</v>
      </c>
      <c r="R6717" s="14">
        <v>375</v>
      </c>
      <c r="S6717" s="19">
        <v>1017000</v>
      </c>
      <c r="AJ6717" s="19">
        <v>0</v>
      </c>
      <c r="AK6717" s="23">
        <v>0</v>
      </c>
      <c r="AM6717" s="19">
        <v>0</v>
      </c>
      <c r="AN6717" s="19">
        <v>1017000</v>
      </c>
      <c r="AP6717" s="14">
        <v>1017000</v>
      </c>
    </row>
    <row r="6718" spans="1:45" x14ac:dyDescent="0.2">
      <c r="A6718" s="122">
        <f t="shared" si="684"/>
        <v>5504</v>
      </c>
      <c r="B6718" s="13">
        <v>7</v>
      </c>
      <c r="C6718" s="17" t="s">
        <v>52</v>
      </c>
      <c r="D6718" s="17">
        <v>36700</v>
      </c>
      <c r="E6718" s="17">
        <v>163</v>
      </c>
      <c r="F6718" s="17">
        <v>7244</v>
      </c>
      <c r="G6718" s="13">
        <v>5</v>
      </c>
      <c r="H6718" s="17">
        <v>3</v>
      </c>
      <c r="I6718" s="17">
        <v>3</v>
      </c>
      <c r="J6718" s="17">
        <v>40.08</v>
      </c>
      <c r="K6718" s="10">
        <v>1540.08</v>
      </c>
      <c r="P6718" s="17">
        <v>1</v>
      </c>
      <c r="Q6718" s="19">
        <v>1540.08</v>
      </c>
      <c r="R6718" s="14">
        <v>375</v>
      </c>
      <c r="S6718" s="19">
        <v>577530</v>
      </c>
      <c r="AJ6718" s="19">
        <v>0</v>
      </c>
      <c r="AK6718" s="23">
        <v>0</v>
      </c>
      <c r="AM6718" s="19">
        <v>0</v>
      </c>
      <c r="AN6718" s="19">
        <v>577530</v>
      </c>
      <c r="AP6718" s="14">
        <v>577530</v>
      </c>
    </row>
    <row r="6719" spans="1:45" ht="42" x14ac:dyDescent="0.2">
      <c r="A6719" s="122">
        <f t="shared" si="684"/>
        <v>5505</v>
      </c>
      <c r="B6719" s="13">
        <v>8</v>
      </c>
      <c r="C6719" s="17" t="s">
        <v>52</v>
      </c>
      <c r="D6719" s="17">
        <v>1759</v>
      </c>
      <c r="E6719" s="17">
        <v>23</v>
      </c>
      <c r="F6719" s="17">
        <v>767</v>
      </c>
      <c r="G6719" s="13">
        <v>6</v>
      </c>
      <c r="H6719" s="17">
        <v>3</v>
      </c>
      <c r="I6719" s="17">
        <v>0</v>
      </c>
      <c r="J6719" s="17">
        <v>37</v>
      </c>
      <c r="K6719" s="10">
        <v>1210.75</v>
      </c>
      <c r="L6719" s="17">
        <v>26.25</v>
      </c>
      <c r="P6719" s="17">
        <v>5</v>
      </c>
      <c r="Q6719" s="19">
        <v>1237</v>
      </c>
      <c r="R6719" s="14">
        <v>1500</v>
      </c>
      <c r="S6719" s="19">
        <v>1855500</v>
      </c>
      <c r="T6719" s="17">
        <v>1</v>
      </c>
      <c r="V6719" s="17" t="s">
        <v>183</v>
      </c>
      <c r="W6719" s="4">
        <v>105</v>
      </c>
      <c r="Y6719" s="4">
        <v>105</v>
      </c>
      <c r="AB6719" s="17">
        <v>18</v>
      </c>
      <c r="AJ6719" s="19">
        <v>0</v>
      </c>
      <c r="AK6719" s="23">
        <v>18</v>
      </c>
      <c r="AM6719" s="19">
        <v>0</v>
      </c>
      <c r="AN6719" s="19">
        <v>1855500</v>
      </c>
      <c r="AP6719" s="14">
        <v>1855500</v>
      </c>
    </row>
    <row r="6720" spans="1:45" x14ac:dyDescent="0.2">
      <c r="A6720" s="122">
        <f t="shared" si="684"/>
        <v>5506</v>
      </c>
      <c r="B6720" s="13">
        <v>9</v>
      </c>
      <c r="C6720" s="17" t="s">
        <v>52</v>
      </c>
      <c r="D6720" s="17">
        <v>4882</v>
      </c>
      <c r="E6720" s="17">
        <v>28</v>
      </c>
      <c r="F6720" s="17">
        <v>2697</v>
      </c>
      <c r="G6720" s="13">
        <v>7</v>
      </c>
      <c r="H6720" s="17">
        <v>1</v>
      </c>
      <c r="I6720" s="17">
        <v>1</v>
      </c>
      <c r="J6720" s="17">
        <v>58</v>
      </c>
      <c r="K6720" s="10">
        <v>558</v>
      </c>
      <c r="P6720" s="17">
        <v>1</v>
      </c>
      <c r="Q6720" s="19">
        <v>558</v>
      </c>
      <c r="R6720" s="14">
        <v>750</v>
      </c>
      <c r="S6720" s="19">
        <v>418500</v>
      </c>
      <c r="AJ6720" s="19">
        <v>0</v>
      </c>
      <c r="AK6720" s="23">
        <v>0</v>
      </c>
      <c r="AM6720" s="19">
        <v>0</v>
      </c>
      <c r="AN6720" s="19">
        <v>418500</v>
      </c>
      <c r="AP6720" s="14">
        <v>418500</v>
      </c>
    </row>
    <row r="6721" spans="1:45" x14ac:dyDescent="0.2">
      <c r="A6721" s="122">
        <f t="shared" si="684"/>
        <v>5507</v>
      </c>
      <c r="B6721" s="13">
        <v>10</v>
      </c>
      <c r="C6721" s="17" t="s">
        <v>52</v>
      </c>
      <c r="D6721" s="17">
        <v>4883</v>
      </c>
      <c r="E6721" s="17">
        <v>27</v>
      </c>
      <c r="F6721" s="17">
        <v>2698</v>
      </c>
      <c r="G6721" s="13">
        <v>7</v>
      </c>
      <c r="H6721" s="17">
        <v>1</v>
      </c>
      <c r="I6721" s="17">
        <v>0</v>
      </c>
      <c r="J6721" s="17">
        <v>88</v>
      </c>
      <c r="K6721" s="10">
        <v>488</v>
      </c>
      <c r="P6721" s="17">
        <v>1</v>
      </c>
      <c r="Q6721" s="19">
        <v>488</v>
      </c>
      <c r="R6721" s="14">
        <v>750</v>
      </c>
      <c r="S6721" s="19">
        <v>366000</v>
      </c>
      <c r="AJ6721" s="19">
        <v>0</v>
      </c>
      <c r="AK6721" s="23">
        <v>0</v>
      </c>
      <c r="AM6721" s="19">
        <v>0</v>
      </c>
      <c r="AN6721" s="19">
        <v>366000</v>
      </c>
      <c r="AP6721" s="14">
        <v>366000</v>
      </c>
    </row>
    <row r="6722" spans="1:45" ht="42" x14ac:dyDescent="0.2">
      <c r="A6722" s="122">
        <f t="shared" si="684"/>
        <v>5508</v>
      </c>
      <c r="B6722" s="13">
        <v>1</v>
      </c>
      <c r="C6722" s="17" t="s">
        <v>52</v>
      </c>
      <c r="D6722" s="17">
        <v>5115</v>
      </c>
      <c r="E6722" s="17">
        <v>82</v>
      </c>
      <c r="F6722" s="17">
        <v>2885</v>
      </c>
      <c r="G6722" s="13">
        <v>7</v>
      </c>
      <c r="H6722" s="17">
        <v>2</v>
      </c>
      <c r="I6722" s="17">
        <v>0</v>
      </c>
      <c r="J6722" s="17">
        <v>30</v>
      </c>
      <c r="K6722" s="10">
        <v>803.88</v>
      </c>
      <c r="L6722" s="17">
        <v>26.12</v>
      </c>
      <c r="P6722" s="17">
        <v>5</v>
      </c>
      <c r="Q6722" s="19">
        <v>830</v>
      </c>
      <c r="R6722" s="14">
        <v>880</v>
      </c>
      <c r="S6722" s="19">
        <v>730400</v>
      </c>
      <c r="T6722" s="17">
        <v>1</v>
      </c>
      <c r="V6722" s="17" t="s">
        <v>183</v>
      </c>
      <c r="W6722" s="4">
        <v>104.5</v>
      </c>
      <c r="Y6722" s="4">
        <v>104.5</v>
      </c>
      <c r="AB6722" s="17">
        <v>15</v>
      </c>
      <c r="AJ6722" s="19">
        <v>0</v>
      </c>
      <c r="AK6722" s="23">
        <v>15</v>
      </c>
      <c r="AM6722" s="19">
        <v>0</v>
      </c>
      <c r="AN6722" s="19">
        <v>730400</v>
      </c>
      <c r="AP6722" s="14">
        <v>730400</v>
      </c>
    </row>
    <row r="6723" spans="1:45" ht="42" x14ac:dyDescent="0.2">
      <c r="A6723" s="122">
        <f t="shared" si="684"/>
        <v>5509</v>
      </c>
      <c r="B6723" s="13">
        <v>1</v>
      </c>
      <c r="C6723" s="17" t="s">
        <v>52</v>
      </c>
      <c r="D6723" s="17">
        <v>4852</v>
      </c>
      <c r="E6723" s="17">
        <v>1</v>
      </c>
      <c r="F6723" s="17">
        <v>2537</v>
      </c>
      <c r="G6723" s="13">
        <v>7</v>
      </c>
      <c r="H6723" s="17">
        <v>0</v>
      </c>
      <c r="I6723" s="17">
        <v>2</v>
      </c>
      <c r="J6723" s="17">
        <v>28</v>
      </c>
      <c r="K6723" s="10">
        <v>218.38</v>
      </c>
      <c r="L6723" s="17">
        <v>9.6199999999999992</v>
      </c>
      <c r="P6723" s="17">
        <v>5</v>
      </c>
      <c r="Q6723" s="19">
        <v>228</v>
      </c>
      <c r="R6723" s="14">
        <v>260</v>
      </c>
      <c r="S6723" s="19">
        <v>59280</v>
      </c>
      <c r="T6723" s="17">
        <v>1</v>
      </c>
      <c r="V6723" s="17" t="s">
        <v>183</v>
      </c>
      <c r="W6723" s="4">
        <v>38.5</v>
      </c>
      <c r="Y6723" s="4">
        <v>38.5</v>
      </c>
      <c r="AB6723" s="17">
        <v>21</v>
      </c>
      <c r="AJ6723" s="19">
        <v>0</v>
      </c>
      <c r="AK6723" s="23">
        <v>21</v>
      </c>
      <c r="AM6723" s="19">
        <v>0</v>
      </c>
      <c r="AN6723" s="19">
        <v>59280</v>
      </c>
      <c r="AP6723" s="14">
        <v>59280</v>
      </c>
    </row>
    <row r="6724" spans="1:45" x14ac:dyDescent="0.2">
      <c r="A6724" s="122">
        <f t="shared" si="684"/>
        <v>5510</v>
      </c>
      <c r="B6724" s="13">
        <v>2</v>
      </c>
      <c r="C6724" s="17" t="s">
        <v>52</v>
      </c>
      <c r="D6724" s="17">
        <v>4852</v>
      </c>
      <c r="E6724" s="17">
        <v>1</v>
      </c>
      <c r="F6724" s="17">
        <v>2537</v>
      </c>
      <c r="G6724" s="13">
        <v>7</v>
      </c>
      <c r="H6724" s="17">
        <v>0</v>
      </c>
      <c r="I6724" s="17">
        <v>2</v>
      </c>
      <c r="J6724" s="17">
        <v>28</v>
      </c>
      <c r="K6724" s="10">
        <v>218.38</v>
      </c>
      <c r="L6724" s="17">
        <v>9.6199999999999992</v>
      </c>
      <c r="P6724" s="17">
        <v>5</v>
      </c>
      <c r="Q6724" s="19">
        <v>228</v>
      </c>
      <c r="R6724" s="14">
        <v>260</v>
      </c>
      <c r="S6724" s="19">
        <v>59280</v>
      </c>
      <c r="AJ6724" s="19">
        <v>0</v>
      </c>
      <c r="AK6724" s="23">
        <v>0</v>
      </c>
      <c r="AM6724" s="19">
        <v>0</v>
      </c>
      <c r="AN6724" s="19">
        <v>59280</v>
      </c>
      <c r="AP6724" s="14">
        <v>59280</v>
      </c>
    </row>
    <row r="6725" spans="1:45" ht="105" x14ac:dyDescent="0.2">
      <c r="A6725" s="122">
        <f t="shared" si="684"/>
        <v>5511</v>
      </c>
      <c r="B6725" s="13">
        <v>1</v>
      </c>
      <c r="C6725" s="17" t="s">
        <v>52</v>
      </c>
      <c r="D6725" s="17">
        <v>4854</v>
      </c>
      <c r="E6725" s="17">
        <v>24</v>
      </c>
      <c r="F6725" s="17">
        <v>2539</v>
      </c>
      <c r="G6725" s="13">
        <v>7</v>
      </c>
      <c r="H6725" s="17">
        <v>1</v>
      </c>
      <c r="I6725" s="17">
        <v>0</v>
      </c>
      <c r="J6725" s="17">
        <v>32</v>
      </c>
      <c r="K6725" s="10">
        <v>357</v>
      </c>
      <c r="L6725" s="17">
        <v>75</v>
      </c>
      <c r="P6725" s="17">
        <v>5</v>
      </c>
      <c r="Q6725" s="19">
        <v>432</v>
      </c>
      <c r="R6725" s="14">
        <v>750</v>
      </c>
      <c r="S6725" s="19">
        <v>324000</v>
      </c>
      <c r="T6725" s="17">
        <v>1</v>
      </c>
      <c r="V6725" s="17" t="s">
        <v>183</v>
      </c>
      <c r="W6725" s="4">
        <v>300</v>
      </c>
      <c r="Y6725" s="4">
        <v>300</v>
      </c>
      <c r="AC6725" s="14" t="s">
        <v>346</v>
      </c>
      <c r="AJ6725" s="19">
        <v>0</v>
      </c>
      <c r="AK6725" s="23">
        <v>0</v>
      </c>
      <c r="AM6725" s="19">
        <v>0</v>
      </c>
      <c r="AN6725" s="19">
        <v>324000</v>
      </c>
      <c r="AP6725" s="14">
        <v>324000</v>
      </c>
    </row>
    <row r="6726" spans="1:45" x14ac:dyDescent="0.2">
      <c r="A6726" s="122">
        <f t="shared" si="684"/>
        <v>5512</v>
      </c>
      <c r="B6726" s="13">
        <v>2</v>
      </c>
      <c r="C6726" s="17" t="s">
        <v>52</v>
      </c>
      <c r="D6726" s="17">
        <v>4854</v>
      </c>
      <c r="E6726" s="17">
        <v>24</v>
      </c>
      <c r="F6726" s="17">
        <v>2539</v>
      </c>
      <c r="G6726" s="13">
        <v>7</v>
      </c>
      <c r="H6726" s="17">
        <v>1</v>
      </c>
      <c r="I6726" s="17">
        <v>0</v>
      </c>
      <c r="J6726" s="17">
        <v>32</v>
      </c>
      <c r="K6726" s="10">
        <v>357</v>
      </c>
      <c r="L6726" s="17">
        <v>75</v>
      </c>
      <c r="P6726" s="17">
        <v>5</v>
      </c>
      <c r="Q6726" s="19">
        <v>432</v>
      </c>
      <c r="R6726" s="14">
        <v>750</v>
      </c>
      <c r="S6726" s="19">
        <v>324000</v>
      </c>
      <c r="AJ6726" s="19">
        <v>0</v>
      </c>
      <c r="AK6726" s="23">
        <v>0</v>
      </c>
      <c r="AM6726" s="19">
        <v>0</v>
      </c>
      <c r="AN6726" s="19">
        <v>324000</v>
      </c>
      <c r="AP6726" s="14">
        <v>324000</v>
      </c>
    </row>
    <row r="6727" spans="1:45" x14ac:dyDescent="0.2">
      <c r="A6727" s="122">
        <f t="shared" si="684"/>
        <v>5513</v>
      </c>
      <c r="B6727" s="13">
        <v>1</v>
      </c>
      <c r="C6727" s="17" t="s">
        <v>52</v>
      </c>
      <c r="D6727" s="17">
        <v>37578</v>
      </c>
      <c r="E6727" s="17">
        <v>191</v>
      </c>
      <c r="F6727" s="17">
        <v>7623</v>
      </c>
      <c r="G6727" s="13">
        <v>3</v>
      </c>
      <c r="H6727" s="17">
        <v>0</v>
      </c>
      <c r="I6727" s="17">
        <v>0</v>
      </c>
      <c r="J6727" s="17">
        <v>61.07</v>
      </c>
      <c r="N6727" s="18">
        <v>61.07</v>
      </c>
      <c r="P6727" s="17">
        <v>4</v>
      </c>
      <c r="Q6727" s="19">
        <v>61.07</v>
      </c>
      <c r="R6727" s="14">
        <v>250</v>
      </c>
      <c r="S6727" s="19">
        <v>15267.5</v>
      </c>
      <c r="AJ6727" s="19">
        <v>0</v>
      </c>
      <c r="AK6727" s="23">
        <v>0</v>
      </c>
      <c r="AM6727" s="19">
        <v>0</v>
      </c>
      <c r="AN6727" s="19">
        <v>15267.5</v>
      </c>
      <c r="AP6727" s="14">
        <v>15267.5</v>
      </c>
      <c r="AQ6727" s="12">
        <v>3.0000000000000001E-3</v>
      </c>
      <c r="AS6727" s="26">
        <v>2</v>
      </c>
    </row>
    <row r="6728" spans="1:45" x14ac:dyDescent="0.2">
      <c r="A6728" s="122">
        <f t="shared" si="684"/>
        <v>5514</v>
      </c>
      <c r="B6728" s="13">
        <v>1</v>
      </c>
      <c r="C6728" s="17" t="s">
        <v>52</v>
      </c>
      <c r="D6728" s="17">
        <v>842</v>
      </c>
      <c r="E6728" s="17">
        <v>58</v>
      </c>
      <c r="F6728" s="17">
        <v>132</v>
      </c>
      <c r="G6728" s="13">
        <v>1</v>
      </c>
      <c r="H6728" s="17">
        <v>0</v>
      </c>
      <c r="I6728" s="17">
        <v>1</v>
      </c>
      <c r="J6728" s="17">
        <v>37</v>
      </c>
      <c r="L6728" s="17" t="s">
        <v>694</v>
      </c>
      <c r="P6728" s="17">
        <v>2</v>
      </c>
      <c r="Q6728" s="19">
        <v>137</v>
      </c>
      <c r="R6728" s="14">
        <v>3000</v>
      </c>
      <c r="S6728" s="19">
        <v>411000</v>
      </c>
      <c r="AJ6728" s="19">
        <v>0</v>
      </c>
      <c r="AK6728" s="23">
        <v>0</v>
      </c>
      <c r="AM6728" s="19">
        <v>0</v>
      </c>
      <c r="AN6728" s="19">
        <v>411000</v>
      </c>
      <c r="AP6728" s="14">
        <v>411000</v>
      </c>
      <c r="AS6728" s="26">
        <v>2160</v>
      </c>
    </row>
    <row r="6729" spans="1:45" ht="63" x14ac:dyDescent="0.2">
      <c r="Q6729" s="19">
        <v>68.5</v>
      </c>
      <c r="R6729" s="14">
        <v>3000</v>
      </c>
      <c r="S6729" s="19">
        <v>205500</v>
      </c>
      <c r="T6729" s="17">
        <v>1</v>
      </c>
      <c r="U6729" s="17" t="s">
        <v>87</v>
      </c>
      <c r="V6729" s="17" t="s">
        <v>88</v>
      </c>
      <c r="W6729" s="4">
        <v>180</v>
      </c>
      <c r="Y6729" s="4">
        <v>180</v>
      </c>
      <c r="AB6729" s="17">
        <v>50</v>
      </c>
      <c r="AF6729" s="14">
        <v>2</v>
      </c>
      <c r="AG6729" s="54">
        <v>180</v>
      </c>
      <c r="AH6729" s="11">
        <v>1</v>
      </c>
      <c r="AI6729" s="14">
        <v>7200</v>
      </c>
      <c r="AJ6729" s="19">
        <v>1296000</v>
      </c>
      <c r="AK6729" s="23">
        <v>50</v>
      </c>
      <c r="AL6729" s="11">
        <v>0.93</v>
      </c>
      <c r="AM6729" s="19">
        <v>90720</v>
      </c>
      <c r="AN6729" s="19">
        <v>296220</v>
      </c>
      <c r="AO6729" s="14">
        <v>50</v>
      </c>
      <c r="AR6729" s="19">
        <v>2160</v>
      </c>
    </row>
    <row r="6730" spans="1:45" ht="231" x14ac:dyDescent="0.2">
      <c r="Q6730" s="19">
        <v>68.5</v>
      </c>
      <c r="R6730" s="14">
        <v>3000</v>
      </c>
      <c r="S6730" s="19">
        <v>205500</v>
      </c>
      <c r="T6730" s="17">
        <v>2</v>
      </c>
      <c r="U6730" s="17" t="s">
        <v>63</v>
      </c>
      <c r="V6730" s="17" t="s">
        <v>56</v>
      </c>
      <c r="W6730" s="4">
        <v>400</v>
      </c>
      <c r="Y6730" s="4" t="s">
        <v>695</v>
      </c>
      <c r="Z6730" s="17" t="s">
        <v>696</v>
      </c>
      <c r="AB6730" s="17" t="s">
        <v>549</v>
      </c>
      <c r="AC6730" s="14" t="s">
        <v>486</v>
      </c>
      <c r="AD6730" s="14" t="s">
        <v>697</v>
      </c>
      <c r="AF6730" s="14">
        <v>2</v>
      </c>
      <c r="AG6730" s="54">
        <v>800</v>
      </c>
      <c r="AH6730" s="11">
        <v>0.83625000000000005</v>
      </c>
      <c r="AI6730" s="14">
        <v>8100</v>
      </c>
      <c r="AJ6730" s="19">
        <v>5418900</v>
      </c>
      <c r="AK6730" s="23" t="s">
        <v>549</v>
      </c>
      <c r="AL6730" s="11">
        <v>0.06</v>
      </c>
      <c r="AM6730" s="19">
        <v>5093766</v>
      </c>
      <c r="AN6730" s="19">
        <v>5299266</v>
      </c>
      <c r="AO6730" s="14">
        <v>50</v>
      </c>
    </row>
    <row r="6731" spans="1:45" x14ac:dyDescent="0.2">
      <c r="AF6731" s="14">
        <v>3</v>
      </c>
      <c r="AG6731" s="54">
        <v>800</v>
      </c>
      <c r="AH6731" s="11">
        <v>8.1875000000000003E-2</v>
      </c>
      <c r="AI6731" s="14">
        <v>8100</v>
      </c>
      <c r="AJ6731" s="19">
        <v>530550</v>
      </c>
      <c r="AK6731" s="23">
        <v>6</v>
      </c>
      <c r="AL6731" s="11">
        <v>0.06</v>
      </c>
      <c r="AM6731" s="19">
        <v>498717</v>
      </c>
      <c r="AN6731" s="19">
        <v>515542.3125</v>
      </c>
      <c r="AP6731" s="14">
        <v>515542.3125</v>
      </c>
      <c r="AQ6731" s="12">
        <v>3.0000000000000001E-3</v>
      </c>
    </row>
    <row r="6732" spans="1:45" x14ac:dyDescent="0.2">
      <c r="A6732" s="2">
        <v>5515</v>
      </c>
      <c r="B6732" s="13">
        <v>1</v>
      </c>
      <c r="C6732" s="17" t="s">
        <v>52</v>
      </c>
      <c r="D6732" s="17">
        <v>30547</v>
      </c>
      <c r="E6732" s="17">
        <v>64</v>
      </c>
      <c r="F6732" s="17">
        <v>5874</v>
      </c>
      <c r="G6732" s="13">
        <v>7</v>
      </c>
      <c r="H6732" s="17">
        <v>0</v>
      </c>
      <c r="I6732" s="17">
        <v>0</v>
      </c>
      <c r="J6732" s="17">
        <v>75</v>
      </c>
      <c r="N6732" s="18">
        <v>75</v>
      </c>
      <c r="P6732" s="17">
        <v>4</v>
      </c>
      <c r="Q6732" s="19">
        <v>75</v>
      </c>
      <c r="R6732" s="14">
        <v>1000</v>
      </c>
      <c r="S6732" s="19">
        <v>75000</v>
      </c>
      <c r="AJ6732" s="19">
        <v>0</v>
      </c>
      <c r="AK6732" s="23">
        <v>0</v>
      </c>
      <c r="AM6732" s="19">
        <v>0</v>
      </c>
      <c r="AN6732" s="19">
        <v>75000</v>
      </c>
      <c r="AP6732" s="14">
        <v>75000</v>
      </c>
      <c r="AQ6732" s="12">
        <v>3.0000000000000001E-3</v>
      </c>
    </row>
    <row r="6733" spans="1:45" x14ac:dyDescent="0.2">
      <c r="A6733" s="2">
        <f>+A6732+1</f>
        <v>5516</v>
      </c>
      <c r="B6733" s="13">
        <v>2</v>
      </c>
      <c r="C6733" s="17" t="s">
        <v>52</v>
      </c>
      <c r="D6733" s="17">
        <v>30548</v>
      </c>
      <c r="E6733" s="17">
        <v>65</v>
      </c>
      <c r="F6733" s="17">
        <v>5875</v>
      </c>
      <c r="G6733" s="13">
        <v>7</v>
      </c>
      <c r="H6733" s="17">
        <v>0</v>
      </c>
      <c r="I6733" s="17">
        <v>0</v>
      </c>
      <c r="J6733" s="17">
        <v>75</v>
      </c>
      <c r="N6733" s="18">
        <v>75</v>
      </c>
      <c r="P6733" s="17">
        <v>4</v>
      </c>
      <c r="Q6733" s="19">
        <v>75</v>
      </c>
      <c r="R6733" s="14">
        <v>1000</v>
      </c>
      <c r="S6733" s="19">
        <v>75000</v>
      </c>
      <c r="AJ6733" s="19">
        <v>0</v>
      </c>
      <c r="AK6733" s="23">
        <v>0</v>
      </c>
      <c r="AM6733" s="19">
        <v>0</v>
      </c>
      <c r="AN6733" s="19">
        <v>75000</v>
      </c>
      <c r="AP6733" s="14">
        <v>75000</v>
      </c>
      <c r="AQ6733" s="12">
        <v>3.0000000000000001E-3</v>
      </c>
    </row>
    <row r="6734" spans="1:45" ht="210" x14ac:dyDescent="0.2">
      <c r="A6734" s="122">
        <f t="shared" ref="A6734:A6742" si="685">+A6733+1</f>
        <v>5517</v>
      </c>
      <c r="B6734" s="13">
        <v>1</v>
      </c>
      <c r="C6734" s="17" t="s">
        <v>52</v>
      </c>
      <c r="D6734" s="17">
        <v>1626</v>
      </c>
      <c r="E6734" s="17">
        <v>42</v>
      </c>
      <c r="F6734" s="17">
        <v>1369</v>
      </c>
      <c r="G6734" s="13">
        <v>2</v>
      </c>
      <c r="H6734" s="17">
        <v>0</v>
      </c>
      <c r="I6734" s="17">
        <v>0</v>
      </c>
      <c r="J6734" s="17">
        <v>60</v>
      </c>
      <c r="M6734" s="15">
        <v>80</v>
      </c>
      <c r="P6734" s="17">
        <v>3</v>
      </c>
      <c r="Q6734" s="19">
        <v>60</v>
      </c>
      <c r="R6734" s="14">
        <v>200</v>
      </c>
      <c r="S6734" s="19">
        <v>12000</v>
      </c>
      <c r="T6734" s="17">
        <v>1</v>
      </c>
      <c r="V6734" s="17" t="s">
        <v>183</v>
      </c>
      <c r="W6734" s="4">
        <v>320</v>
      </c>
      <c r="Z6734" s="17">
        <v>320</v>
      </c>
      <c r="AB6734" s="17">
        <v>18</v>
      </c>
      <c r="AC6734" s="14" t="s">
        <v>563</v>
      </c>
      <c r="AJ6734" s="19">
        <v>0</v>
      </c>
      <c r="AK6734" s="23">
        <v>18</v>
      </c>
      <c r="AM6734" s="19">
        <v>0</v>
      </c>
      <c r="AN6734" s="19">
        <v>12000</v>
      </c>
      <c r="AP6734" s="14">
        <v>12000</v>
      </c>
    </row>
    <row r="6735" spans="1:45" x14ac:dyDescent="0.2">
      <c r="A6735" s="122">
        <f t="shared" si="685"/>
        <v>5518</v>
      </c>
      <c r="B6735" s="13">
        <v>2</v>
      </c>
      <c r="C6735" s="17" t="s">
        <v>52</v>
      </c>
      <c r="D6735" s="17">
        <v>16656</v>
      </c>
      <c r="E6735" s="17">
        <v>147</v>
      </c>
      <c r="F6735" s="17">
        <v>3619</v>
      </c>
      <c r="H6735" s="17">
        <v>1</v>
      </c>
      <c r="I6735" s="17">
        <v>1</v>
      </c>
      <c r="J6735" s="17">
        <v>98</v>
      </c>
      <c r="K6735" s="10">
        <v>598</v>
      </c>
      <c r="P6735" s="17">
        <v>1</v>
      </c>
      <c r="Q6735" s="19">
        <v>598</v>
      </c>
      <c r="R6735" s="14">
        <v>500</v>
      </c>
      <c r="S6735" s="19">
        <v>299000</v>
      </c>
      <c r="AJ6735" s="19">
        <v>0</v>
      </c>
      <c r="AK6735" s="23">
        <v>0</v>
      </c>
      <c r="AM6735" s="19">
        <v>0</v>
      </c>
      <c r="AN6735" s="19">
        <v>299000</v>
      </c>
      <c r="AP6735" s="14">
        <v>299000</v>
      </c>
    </row>
    <row r="6736" spans="1:45" ht="42" x14ac:dyDescent="0.2">
      <c r="A6736" s="122">
        <f t="shared" si="685"/>
        <v>5519</v>
      </c>
      <c r="B6736" s="13">
        <v>3</v>
      </c>
      <c r="C6736" s="17" t="s">
        <v>52</v>
      </c>
      <c r="D6736" s="17">
        <v>16657</v>
      </c>
      <c r="E6736" s="17">
        <v>146</v>
      </c>
      <c r="F6736" s="17">
        <v>3620</v>
      </c>
      <c r="H6736" s="17">
        <v>1</v>
      </c>
      <c r="I6736" s="17">
        <v>1</v>
      </c>
      <c r="J6736" s="17">
        <v>72</v>
      </c>
      <c r="K6736" s="10">
        <v>560</v>
      </c>
      <c r="L6736" s="17">
        <v>12</v>
      </c>
      <c r="P6736" s="17">
        <v>5</v>
      </c>
      <c r="Q6736" s="19">
        <v>572</v>
      </c>
      <c r="R6736" s="14">
        <v>500</v>
      </c>
      <c r="S6736" s="19">
        <v>286000</v>
      </c>
      <c r="T6736" s="17">
        <v>1</v>
      </c>
      <c r="V6736" s="17" t="s">
        <v>183</v>
      </c>
      <c r="W6736" s="4">
        <v>48</v>
      </c>
      <c r="Y6736" s="4">
        <v>48</v>
      </c>
      <c r="AB6736" s="17">
        <v>16</v>
      </c>
      <c r="AJ6736" s="19">
        <v>0</v>
      </c>
      <c r="AK6736" s="23">
        <v>16</v>
      </c>
      <c r="AM6736" s="19">
        <v>0</v>
      </c>
      <c r="AN6736" s="19">
        <v>286000</v>
      </c>
      <c r="AP6736" s="14">
        <v>286000</v>
      </c>
    </row>
    <row r="6737" spans="1:45" x14ac:dyDescent="0.2">
      <c r="A6737" s="122">
        <f t="shared" si="685"/>
        <v>5520</v>
      </c>
      <c r="B6737" s="13">
        <v>4</v>
      </c>
      <c r="C6737" s="17" t="s">
        <v>65</v>
      </c>
      <c r="D6737" s="17">
        <v>671</v>
      </c>
      <c r="E6737" s="17">
        <v>197</v>
      </c>
      <c r="H6737" s="17">
        <v>5</v>
      </c>
      <c r="I6737" s="17">
        <v>3</v>
      </c>
      <c r="J6737" s="17">
        <v>70</v>
      </c>
      <c r="K6737" s="10">
        <v>2370</v>
      </c>
      <c r="P6737" s="17">
        <v>1</v>
      </c>
      <c r="Q6737" s="19">
        <v>2370</v>
      </c>
      <c r="R6737" s="14">
        <v>250</v>
      </c>
      <c r="S6737" s="19">
        <v>592500</v>
      </c>
      <c r="AJ6737" s="19">
        <v>0</v>
      </c>
      <c r="AK6737" s="23">
        <v>0</v>
      </c>
      <c r="AM6737" s="19">
        <v>0</v>
      </c>
      <c r="AN6737" s="19">
        <v>592500</v>
      </c>
      <c r="AP6737" s="14">
        <v>592500</v>
      </c>
      <c r="AQ6737" s="12">
        <v>1E-4</v>
      </c>
    </row>
    <row r="6738" spans="1:45" x14ac:dyDescent="0.2">
      <c r="A6738" s="122">
        <f t="shared" si="685"/>
        <v>5521</v>
      </c>
      <c r="B6738" s="13">
        <v>5</v>
      </c>
      <c r="C6738" s="17" t="s">
        <v>65</v>
      </c>
      <c r="D6738" s="17">
        <v>1258</v>
      </c>
      <c r="E6738" s="17">
        <v>116</v>
      </c>
      <c r="H6738" s="17">
        <v>2</v>
      </c>
      <c r="I6738" s="17">
        <v>1</v>
      </c>
      <c r="J6738" s="17">
        <v>13</v>
      </c>
      <c r="K6738" s="10">
        <v>913</v>
      </c>
      <c r="P6738" s="17">
        <v>1</v>
      </c>
      <c r="Q6738" s="19">
        <v>913</v>
      </c>
      <c r="R6738" s="14">
        <v>750</v>
      </c>
      <c r="S6738" s="19">
        <v>684750</v>
      </c>
      <c r="AJ6738" s="19">
        <v>0</v>
      </c>
      <c r="AK6738" s="23">
        <v>0</v>
      </c>
      <c r="AM6738" s="19">
        <v>0</v>
      </c>
      <c r="AN6738" s="19">
        <v>684750</v>
      </c>
      <c r="AP6738" s="14">
        <v>684750</v>
      </c>
      <c r="AQ6738" s="12">
        <v>1E-4</v>
      </c>
    </row>
    <row r="6739" spans="1:45" x14ac:dyDescent="0.2">
      <c r="A6739" s="122">
        <f t="shared" si="685"/>
        <v>5522</v>
      </c>
      <c r="B6739" s="13">
        <v>6</v>
      </c>
      <c r="C6739" s="17" t="s">
        <v>65</v>
      </c>
      <c r="D6739" s="17">
        <v>1283</v>
      </c>
      <c r="E6739" s="17">
        <v>141</v>
      </c>
      <c r="H6739" s="17">
        <v>9</v>
      </c>
      <c r="I6739" s="17">
        <v>2</v>
      </c>
      <c r="J6739" s="17">
        <v>0</v>
      </c>
      <c r="K6739" s="10">
        <v>3800</v>
      </c>
      <c r="P6739" s="17">
        <v>1</v>
      </c>
      <c r="Q6739" s="19">
        <v>3800</v>
      </c>
      <c r="R6739" s="14">
        <v>200</v>
      </c>
      <c r="S6739" s="19">
        <v>760000</v>
      </c>
      <c r="AJ6739" s="19">
        <v>0</v>
      </c>
      <c r="AK6739" s="23">
        <v>0</v>
      </c>
      <c r="AM6739" s="19">
        <v>0</v>
      </c>
      <c r="AN6739" s="19">
        <v>760000</v>
      </c>
      <c r="AP6739" s="14">
        <v>760000</v>
      </c>
      <c r="AQ6739" s="12">
        <v>1E-4</v>
      </c>
    </row>
    <row r="6740" spans="1:45" x14ac:dyDescent="0.2">
      <c r="A6740" s="122">
        <f t="shared" si="685"/>
        <v>5523</v>
      </c>
      <c r="B6740" s="13">
        <v>7</v>
      </c>
      <c r="C6740" s="17" t="s">
        <v>65</v>
      </c>
      <c r="D6740" s="17">
        <v>1284</v>
      </c>
      <c r="E6740" s="17">
        <v>146</v>
      </c>
      <c r="H6740" s="17">
        <v>17</v>
      </c>
      <c r="I6740" s="17">
        <v>3</v>
      </c>
      <c r="J6740" s="17">
        <v>86</v>
      </c>
      <c r="K6740" s="10">
        <v>7186</v>
      </c>
      <c r="P6740" s="17">
        <v>1</v>
      </c>
      <c r="Q6740" s="19">
        <v>7186</v>
      </c>
      <c r="R6740" s="14">
        <v>160</v>
      </c>
      <c r="S6740" s="19">
        <v>1149760</v>
      </c>
      <c r="AJ6740" s="19">
        <v>0</v>
      </c>
      <c r="AK6740" s="23">
        <v>0</v>
      </c>
      <c r="AM6740" s="19">
        <v>0</v>
      </c>
      <c r="AN6740" s="19">
        <v>1149760</v>
      </c>
      <c r="AP6740" s="14">
        <v>1149760</v>
      </c>
      <c r="AQ6740" s="12">
        <v>1E-4</v>
      </c>
    </row>
    <row r="6741" spans="1:45" x14ac:dyDescent="0.2">
      <c r="A6741" s="122">
        <f t="shared" si="685"/>
        <v>5524</v>
      </c>
      <c r="B6741" s="13">
        <v>8</v>
      </c>
      <c r="C6741" s="17" t="s">
        <v>65</v>
      </c>
      <c r="D6741" s="17">
        <v>2486</v>
      </c>
      <c r="E6741" s="17">
        <v>281</v>
      </c>
      <c r="H6741" s="17">
        <v>0</v>
      </c>
      <c r="I6741" s="17">
        <v>0</v>
      </c>
      <c r="J6741" s="17">
        <v>40</v>
      </c>
      <c r="K6741" s="10">
        <v>40</v>
      </c>
      <c r="P6741" s="17">
        <v>1</v>
      </c>
      <c r="Q6741" s="19">
        <v>40</v>
      </c>
      <c r="R6741" s="14">
        <v>160</v>
      </c>
      <c r="S6741" s="19">
        <v>6400</v>
      </c>
      <c r="AJ6741" s="19">
        <v>0</v>
      </c>
      <c r="AK6741" s="23">
        <v>0</v>
      </c>
      <c r="AM6741" s="19">
        <v>0</v>
      </c>
      <c r="AN6741" s="19">
        <v>6400</v>
      </c>
      <c r="AP6741" s="14">
        <v>6400</v>
      </c>
      <c r="AQ6741" s="12">
        <v>1E-4</v>
      </c>
    </row>
    <row r="6742" spans="1:45" x14ac:dyDescent="0.2">
      <c r="A6742" s="122">
        <f t="shared" si="685"/>
        <v>5525</v>
      </c>
      <c r="B6742" s="13">
        <v>9</v>
      </c>
      <c r="C6742" s="17" t="s">
        <v>65</v>
      </c>
      <c r="D6742" s="17">
        <v>2751</v>
      </c>
      <c r="E6742" s="17">
        <v>54</v>
      </c>
      <c r="H6742" s="17">
        <v>4</v>
      </c>
      <c r="I6742" s="17">
        <v>0</v>
      </c>
      <c r="J6742" s="17">
        <v>85</v>
      </c>
      <c r="K6742" s="10">
        <v>1685</v>
      </c>
      <c r="P6742" s="17">
        <v>1</v>
      </c>
      <c r="Q6742" s="19">
        <v>1685</v>
      </c>
      <c r="R6742" s="14">
        <v>500</v>
      </c>
      <c r="S6742" s="19">
        <v>842500</v>
      </c>
      <c r="AJ6742" s="19">
        <v>0</v>
      </c>
      <c r="AK6742" s="23">
        <v>0</v>
      </c>
      <c r="AM6742" s="19">
        <v>0</v>
      </c>
      <c r="AN6742" s="19">
        <v>842500</v>
      </c>
      <c r="AP6742" s="14">
        <v>842500</v>
      </c>
      <c r="AQ6742" s="12">
        <v>1E-4</v>
      </c>
    </row>
    <row r="6743" spans="1:45" x14ac:dyDescent="0.2">
      <c r="B6743" s="13">
        <v>6</v>
      </c>
      <c r="C6743" s="17" t="s">
        <v>65</v>
      </c>
      <c r="D6743" s="17">
        <v>1259</v>
      </c>
      <c r="E6743" s="17">
        <v>117</v>
      </c>
      <c r="H6743" s="17">
        <v>1</v>
      </c>
      <c r="I6743" s="17">
        <v>0</v>
      </c>
      <c r="J6743" s="17">
        <v>65</v>
      </c>
      <c r="K6743" s="10">
        <v>465</v>
      </c>
      <c r="P6743" s="17">
        <v>1</v>
      </c>
      <c r="Q6743" s="19">
        <v>465</v>
      </c>
      <c r="R6743" s="14" t="e">
        <v>#N/A</v>
      </c>
      <c r="S6743" s="19" t="e">
        <v>#N/A</v>
      </c>
      <c r="AJ6743" s="19">
        <v>0</v>
      </c>
      <c r="AK6743" s="23">
        <v>0</v>
      </c>
      <c r="AM6743" s="19">
        <v>0</v>
      </c>
      <c r="AN6743" s="19" t="e">
        <v>#N/A</v>
      </c>
      <c r="AP6743" s="14" t="e">
        <v>#N/A</v>
      </c>
      <c r="AQ6743" s="12">
        <v>1E-4</v>
      </c>
    </row>
    <row r="6744" spans="1:45" x14ac:dyDescent="0.2">
      <c r="A6744" s="2">
        <v>5526</v>
      </c>
      <c r="B6744" s="13">
        <v>1</v>
      </c>
      <c r="C6744" s="17" t="s">
        <v>52</v>
      </c>
      <c r="D6744" s="17">
        <v>23859</v>
      </c>
      <c r="E6744" s="17">
        <v>147</v>
      </c>
      <c r="F6744" s="17">
        <v>4816</v>
      </c>
      <c r="G6744" s="13">
        <v>3</v>
      </c>
      <c r="H6744" s="17">
        <v>0</v>
      </c>
      <c r="I6744" s="17">
        <v>1</v>
      </c>
      <c r="J6744" s="17">
        <v>48</v>
      </c>
      <c r="K6744" s="10">
        <v>148</v>
      </c>
      <c r="P6744" s="17">
        <v>1</v>
      </c>
      <c r="Q6744" s="19">
        <v>148</v>
      </c>
      <c r="R6744" s="14">
        <v>200</v>
      </c>
      <c r="S6744" s="19">
        <v>29600</v>
      </c>
      <c r="AJ6744" s="19">
        <v>0</v>
      </c>
      <c r="AK6744" s="23">
        <v>0</v>
      </c>
      <c r="AM6744" s="19">
        <v>0</v>
      </c>
      <c r="AN6744" s="19">
        <v>29600</v>
      </c>
      <c r="AP6744" s="14">
        <v>29600</v>
      </c>
    </row>
    <row r="6745" spans="1:45" x14ac:dyDescent="0.2">
      <c r="A6745" s="2">
        <f>+A6744+1</f>
        <v>5527</v>
      </c>
      <c r="B6745" s="13">
        <v>1</v>
      </c>
      <c r="C6745" s="17" t="s">
        <v>52</v>
      </c>
      <c r="D6745" s="17">
        <v>10432</v>
      </c>
      <c r="E6745" s="17">
        <v>21</v>
      </c>
      <c r="F6745" s="17">
        <v>3104</v>
      </c>
      <c r="G6745" s="13">
        <v>6</v>
      </c>
      <c r="H6745" s="17">
        <v>0</v>
      </c>
      <c r="I6745" s="17">
        <v>0</v>
      </c>
      <c r="J6745" s="17">
        <v>37.049999999999997</v>
      </c>
      <c r="K6745" s="10">
        <v>37.049999999999997</v>
      </c>
      <c r="P6745" s="17">
        <v>1</v>
      </c>
      <c r="Q6745" s="19">
        <v>37.049999999999997</v>
      </c>
      <c r="R6745" s="14">
        <v>250</v>
      </c>
      <c r="S6745" s="19">
        <v>9262.5</v>
      </c>
      <c r="AJ6745" s="19">
        <v>0</v>
      </c>
      <c r="AK6745" s="23">
        <v>0</v>
      </c>
      <c r="AM6745" s="19">
        <v>0</v>
      </c>
      <c r="AN6745" s="19">
        <v>9262.5</v>
      </c>
      <c r="AP6745" s="14">
        <v>9262.5</v>
      </c>
    </row>
    <row r="6746" spans="1:45" x14ac:dyDescent="0.2">
      <c r="A6746" s="122">
        <f t="shared" ref="A6746:A6757" si="686">+A6745+1</f>
        <v>5528</v>
      </c>
      <c r="B6746" s="13">
        <v>2</v>
      </c>
      <c r="C6746" s="17" t="s">
        <v>65</v>
      </c>
      <c r="D6746" s="17">
        <v>2525</v>
      </c>
      <c r="E6746" s="17">
        <v>180</v>
      </c>
      <c r="H6746" s="17">
        <v>20</v>
      </c>
      <c r="I6746" s="17">
        <v>0</v>
      </c>
      <c r="J6746" s="17">
        <v>0</v>
      </c>
      <c r="K6746" s="10">
        <v>8000</v>
      </c>
      <c r="P6746" s="17">
        <v>1</v>
      </c>
      <c r="Q6746" s="19">
        <v>8000</v>
      </c>
      <c r="R6746" s="14">
        <v>160</v>
      </c>
      <c r="S6746" s="19">
        <v>1280000</v>
      </c>
      <c r="AG6746" s="54">
        <v>0</v>
      </c>
      <c r="AJ6746" s="19">
        <v>0</v>
      </c>
      <c r="AM6746" s="19">
        <v>0</v>
      </c>
      <c r="AN6746" s="19">
        <v>1280000</v>
      </c>
      <c r="AP6746" s="14">
        <v>1280000</v>
      </c>
      <c r="AQ6746" s="12">
        <v>1E-4</v>
      </c>
    </row>
    <row r="6747" spans="1:45" x14ac:dyDescent="0.2">
      <c r="A6747" s="122">
        <f t="shared" si="686"/>
        <v>5529</v>
      </c>
      <c r="B6747" s="13">
        <v>1</v>
      </c>
      <c r="C6747" s="17" t="s">
        <v>52</v>
      </c>
      <c r="D6747" s="17">
        <v>28815</v>
      </c>
      <c r="E6747" s="17">
        <v>131</v>
      </c>
      <c r="F6747" s="17">
        <v>5336</v>
      </c>
      <c r="G6747" s="13">
        <v>2</v>
      </c>
      <c r="H6747" s="17">
        <v>0</v>
      </c>
      <c r="I6747" s="17">
        <v>0</v>
      </c>
      <c r="J6747" s="17">
        <v>80</v>
      </c>
      <c r="K6747" s="10">
        <v>80</v>
      </c>
      <c r="P6747" s="17">
        <v>1</v>
      </c>
      <c r="Q6747" s="19">
        <v>80</v>
      </c>
      <c r="R6747" s="14">
        <v>2250</v>
      </c>
      <c r="S6747" s="19">
        <v>180000</v>
      </c>
      <c r="AJ6747" s="19">
        <v>0</v>
      </c>
      <c r="AK6747" s="23">
        <v>0</v>
      </c>
      <c r="AM6747" s="19">
        <v>0</v>
      </c>
      <c r="AN6747" s="19">
        <v>180000</v>
      </c>
      <c r="AP6747" s="14">
        <v>180000</v>
      </c>
    </row>
    <row r="6748" spans="1:45" x14ac:dyDescent="0.2">
      <c r="A6748" s="122">
        <f t="shared" si="686"/>
        <v>5530</v>
      </c>
      <c r="B6748" s="13">
        <v>1</v>
      </c>
      <c r="C6748" s="17" t="s">
        <v>52</v>
      </c>
      <c r="D6748" s="17">
        <v>1613</v>
      </c>
      <c r="E6748" s="17">
        <v>7</v>
      </c>
      <c r="F6748" s="17">
        <v>827</v>
      </c>
      <c r="G6748" s="13">
        <v>4</v>
      </c>
      <c r="H6748" s="17">
        <v>3</v>
      </c>
      <c r="I6748" s="17">
        <v>1</v>
      </c>
      <c r="J6748" s="17">
        <v>63</v>
      </c>
      <c r="K6748" s="10">
        <v>1363</v>
      </c>
      <c r="P6748" s="17">
        <v>1</v>
      </c>
      <c r="Q6748" s="19">
        <v>1363</v>
      </c>
      <c r="R6748" s="14">
        <v>200</v>
      </c>
      <c r="S6748" s="19">
        <v>272600</v>
      </c>
      <c r="AJ6748" s="19">
        <v>0</v>
      </c>
      <c r="AK6748" s="23">
        <v>0</v>
      </c>
      <c r="AM6748" s="19">
        <v>0</v>
      </c>
      <c r="AN6748" s="19">
        <v>272600</v>
      </c>
      <c r="AP6748" s="14">
        <v>272600</v>
      </c>
      <c r="AS6748" s="26">
        <v>19</v>
      </c>
    </row>
    <row r="6749" spans="1:45" ht="42" x14ac:dyDescent="0.2">
      <c r="A6749" s="122">
        <f t="shared" si="686"/>
        <v>5531</v>
      </c>
      <c r="B6749" s="13">
        <v>1</v>
      </c>
      <c r="C6749" s="17" t="s">
        <v>52</v>
      </c>
      <c r="D6749" s="17">
        <v>1698</v>
      </c>
      <c r="E6749" s="17">
        <v>8</v>
      </c>
      <c r="F6749" s="17">
        <v>869</v>
      </c>
      <c r="G6749" s="13">
        <v>2</v>
      </c>
      <c r="H6749" s="17">
        <v>0</v>
      </c>
      <c r="I6749" s="17">
        <v>3</v>
      </c>
      <c r="J6749" s="17">
        <v>13</v>
      </c>
      <c r="L6749" s="17">
        <v>22.5</v>
      </c>
      <c r="P6749" s="17">
        <v>2</v>
      </c>
      <c r="Q6749" s="19">
        <v>313</v>
      </c>
      <c r="R6749" s="14">
        <v>1500</v>
      </c>
      <c r="S6749" s="19">
        <v>469500</v>
      </c>
      <c r="T6749" s="17">
        <v>1</v>
      </c>
      <c r="V6749" s="17" t="s">
        <v>183</v>
      </c>
      <c r="W6749" s="4">
        <v>90</v>
      </c>
      <c r="Y6749" s="4">
        <v>90</v>
      </c>
      <c r="AB6749" s="17">
        <v>15</v>
      </c>
      <c r="AJ6749" s="19">
        <v>0</v>
      </c>
      <c r="AK6749" s="23">
        <v>15</v>
      </c>
      <c r="AM6749" s="19">
        <v>0</v>
      </c>
      <c r="AN6749" s="19">
        <v>469500</v>
      </c>
      <c r="AP6749" s="14">
        <v>469500</v>
      </c>
    </row>
    <row r="6750" spans="1:45" x14ac:dyDescent="0.2">
      <c r="A6750" s="122">
        <f t="shared" si="686"/>
        <v>5532</v>
      </c>
      <c r="B6750" s="13">
        <v>1</v>
      </c>
      <c r="C6750" s="17" t="s">
        <v>52</v>
      </c>
      <c r="D6750" s="17">
        <v>2478</v>
      </c>
      <c r="E6750" s="17">
        <v>27</v>
      </c>
      <c r="F6750" s="17">
        <v>1482</v>
      </c>
      <c r="G6750" s="13">
        <v>2</v>
      </c>
      <c r="H6750" s="17">
        <v>1</v>
      </c>
      <c r="I6750" s="17">
        <v>1</v>
      </c>
      <c r="J6750" s="17">
        <v>78.069999999999993</v>
      </c>
      <c r="K6750" s="10">
        <v>578.07000000000005</v>
      </c>
      <c r="P6750" s="17">
        <v>1</v>
      </c>
      <c r="Q6750" s="19">
        <v>578.06999999999994</v>
      </c>
      <c r="R6750" s="14">
        <v>1100</v>
      </c>
      <c r="S6750" s="19">
        <v>635876.99999999988</v>
      </c>
      <c r="AJ6750" s="19">
        <v>0</v>
      </c>
      <c r="AK6750" s="23">
        <v>0</v>
      </c>
      <c r="AM6750" s="19">
        <v>0</v>
      </c>
      <c r="AN6750" s="19">
        <v>635876.99999999988</v>
      </c>
      <c r="AP6750" s="14">
        <v>635876.99999999988</v>
      </c>
    </row>
    <row r="6751" spans="1:45" ht="63" x14ac:dyDescent="0.2">
      <c r="A6751" s="122">
        <f t="shared" si="686"/>
        <v>5533</v>
      </c>
      <c r="B6751" s="13">
        <v>2</v>
      </c>
      <c r="C6751" s="17" t="s">
        <v>52</v>
      </c>
      <c r="D6751" s="17">
        <v>34303</v>
      </c>
      <c r="E6751" s="17">
        <v>264</v>
      </c>
      <c r="F6751" s="17">
        <v>6852</v>
      </c>
      <c r="G6751" s="13">
        <v>2</v>
      </c>
      <c r="H6751" s="17">
        <v>0</v>
      </c>
      <c r="I6751" s="17">
        <v>0</v>
      </c>
      <c r="J6751" s="17">
        <v>32</v>
      </c>
      <c r="L6751" s="17" t="s">
        <v>574</v>
      </c>
      <c r="P6751" s="17">
        <v>2</v>
      </c>
      <c r="Q6751" s="19">
        <v>32</v>
      </c>
      <c r="R6751" s="14">
        <v>4500</v>
      </c>
      <c r="S6751" s="19">
        <v>144000</v>
      </c>
      <c r="U6751" s="17" t="s">
        <v>63</v>
      </c>
      <c r="V6751" s="17" t="s">
        <v>56</v>
      </c>
      <c r="W6751" s="4">
        <v>160</v>
      </c>
      <c r="Y6751" s="4">
        <v>160</v>
      </c>
      <c r="AB6751" s="17">
        <v>6</v>
      </c>
      <c r="AF6751" s="14">
        <v>2</v>
      </c>
      <c r="AG6751" s="54">
        <v>160</v>
      </c>
      <c r="AH6751" s="11">
        <v>1</v>
      </c>
      <c r="AI6751" s="14">
        <v>8100</v>
      </c>
      <c r="AJ6751" s="19">
        <v>1296000</v>
      </c>
      <c r="AK6751" s="23">
        <v>6</v>
      </c>
      <c r="AL6751" s="11">
        <v>0.06</v>
      </c>
      <c r="AM6751" s="19">
        <v>1218240</v>
      </c>
      <c r="AN6751" s="19">
        <v>1362240</v>
      </c>
      <c r="AP6751" s="14">
        <v>1362240</v>
      </c>
      <c r="AQ6751" s="12">
        <v>2.0000000000000001E-4</v>
      </c>
      <c r="AR6751" s="19">
        <v>0.02</v>
      </c>
    </row>
    <row r="6752" spans="1:45" ht="63" x14ac:dyDescent="0.2">
      <c r="A6752" s="122">
        <f t="shared" si="686"/>
        <v>5534</v>
      </c>
      <c r="B6752" s="13">
        <v>3</v>
      </c>
      <c r="C6752" s="17" t="s">
        <v>52</v>
      </c>
      <c r="D6752" s="17">
        <v>34304</v>
      </c>
      <c r="E6752" s="17">
        <v>265</v>
      </c>
      <c r="F6752" s="17">
        <v>6853</v>
      </c>
      <c r="G6752" s="13">
        <v>2</v>
      </c>
      <c r="H6752" s="17">
        <v>0</v>
      </c>
      <c r="I6752" s="17">
        <v>0</v>
      </c>
      <c r="J6752" s="17">
        <v>33</v>
      </c>
      <c r="L6752" s="17" t="s">
        <v>629</v>
      </c>
      <c r="P6752" s="17">
        <v>2</v>
      </c>
      <c r="Q6752" s="19">
        <v>33</v>
      </c>
      <c r="R6752" s="14">
        <v>4500</v>
      </c>
      <c r="S6752" s="19">
        <v>148500</v>
      </c>
      <c r="U6752" s="17" t="s">
        <v>63</v>
      </c>
      <c r="V6752" s="17" t="s">
        <v>56</v>
      </c>
      <c r="W6752" s="4">
        <v>160</v>
      </c>
      <c r="Y6752" s="4">
        <v>160</v>
      </c>
      <c r="AB6752" s="17">
        <v>6</v>
      </c>
      <c r="AF6752" s="14">
        <v>2</v>
      </c>
      <c r="AG6752" s="54">
        <v>160</v>
      </c>
      <c r="AH6752" s="11">
        <v>1</v>
      </c>
      <c r="AI6752" s="14">
        <v>8100</v>
      </c>
      <c r="AJ6752" s="19">
        <v>1296000</v>
      </c>
      <c r="AK6752" s="23">
        <v>6</v>
      </c>
      <c r="AL6752" s="11">
        <v>0.06</v>
      </c>
      <c r="AM6752" s="19">
        <v>1218240</v>
      </c>
      <c r="AN6752" s="19">
        <v>1366740</v>
      </c>
      <c r="AP6752" s="14">
        <v>1366740</v>
      </c>
      <c r="AQ6752" s="12">
        <v>2.0000000000000001E-4</v>
      </c>
      <c r="AR6752" s="19">
        <v>0.02</v>
      </c>
    </row>
    <row r="6753" spans="1:45" x14ac:dyDescent="0.2">
      <c r="A6753" s="122">
        <f t="shared" si="686"/>
        <v>5535</v>
      </c>
      <c r="B6753" s="13">
        <v>1</v>
      </c>
      <c r="C6753" s="17" t="s">
        <v>65</v>
      </c>
      <c r="D6753" s="17">
        <v>2039</v>
      </c>
      <c r="E6753" s="17">
        <v>164</v>
      </c>
      <c r="H6753" s="17">
        <v>17</v>
      </c>
      <c r="I6753" s="17">
        <v>2</v>
      </c>
      <c r="J6753" s="17">
        <v>60</v>
      </c>
      <c r="K6753" s="10">
        <v>7060</v>
      </c>
      <c r="P6753" s="17">
        <v>1</v>
      </c>
      <c r="Q6753" s="19">
        <v>7060</v>
      </c>
      <c r="R6753" s="14">
        <v>160</v>
      </c>
      <c r="S6753" s="19">
        <v>1129600</v>
      </c>
      <c r="AJ6753" s="19">
        <v>0</v>
      </c>
      <c r="AK6753" s="23">
        <v>0</v>
      </c>
      <c r="AM6753" s="19">
        <v>0</v>
      </c>
      <c r="AN6753" s="19">
        <v>1129600</v>
      </c>
      <c r="AP6753" s="14">
        <v>1129600</v>
      </c>
      <c r="AQ6753" s="12">
        <v>1E-4</v>
      </c>
    </row>
    <row r="6754" spans="1:45" x14ac:dyDescent="0.2">
      <c r="A6754" s="122">
        <f t="shared" si="686"/>
        <v>5536</v>
      </c>
      <c r="B6754" s="13">
        <v>2</v>
      </c>
      <c r="C6754" s="17" t="s">
        <v>65</v>
      </c>
      <c r="D6754" s="17">
        <v>2044</v>
      </c>
      <c r="E6754" s="17">
        <v>4</v>
      </c>
      <c r="H6754" s="17">
        <v>20</v>
      </c>
      <c r="I6754" s="17">
        <v>1</v>
      </c>
      <c r="J6754" s="17">
        <v>20</v>
      </c>
      <c r="K6754" s="10">
        <v>8120</v>
      </c>
      <c r="P6754" s="17">
        <v>1</v>
      </c>
      <c r="Q6754" s="19">
        <v>8120</v>
      </c>
      <c r="R6754" s="14">
        <v>750</v>
      </c>
      <c r="S6754" s="19">
        <v>6090000</v>
      </c>
      <c r="AJ6754" s="19">
        <v>0</v>
      </c>
      <c r="AK6754" s="23">
        <v>0</v>
      </c>
      <c r="AM6754" s="19">
        <v>0</v>
      </c>
      <c r="AN6754" s="19">
        <v>6090000</v>
      </c>
      <c r="AP6754" s="14">
        <v>6090000</v>
      </c>
      <c r="AQ6754" s="12">
        <v>1E-4</v>
      </c>
    </row>
    <row r="6755" spans="1:45" x14ac:dyDescent="0.2">
      <c r="A6755" s="122">
        <f t="shared" si="686"/>
        <v>5537</v>
      </c>
      <c r="B6755" s="13">
        <v>3</v>
      </c>
      <c r="C6755" s="17" t="s">
        <v>65</v>
      </c>
      <c r="D6755" s="17">
        <v>2285</v>
      </c>
      <c r="E6755" s="17">
        <v>63</v>
      </c>
      <c r="H6755" s="17">
        <v>18</v>
      </c>
      <c r="I6755" s="17">
        <v>1</v>
      </c>
      <c r="J6755" s="17">
        <v>33</v>
      </c>
      <c r="K6755" s="10">
        <v>7333</v>
      </c>
      <c r="P6755" s="17">
        <v>1</v>
      </c>
      <c r="Q6755" s="19">
        <v>7333</v>
      </c>
      <c r="R6755" s="14">
        <v>160</v>
      </c>
      <c r="S6755" s="19">
        <v>1173280</v>
      </c>
      <c r="AJ6755" s="19">
        <v>0</v>
      </c>
      <c r="AK6755" s="23">
        <v>0</v>
      </c>
      <c r="AM6755" s="19">
        <v>0</v>
      </c>
      <c r="AN6755" s="19">
        <v>1173280</v>
      </c>
      <c r="AP6755" s="14">
        <v>1173280</v>
      </c>
      <c r="AQ6755" s="12">
        <v>1E-4</v>
      </c>
    </row>
    <row r="6756" spans="1:45" x14ac:dyDescent="0.2">
      <c r="A6756" s="122">
        <f t="shared" si="686"/>
        <v>5538</v>
      </c>
      <c r="B6756" s="13">
        <v>1</v>
      </c>
      <c r="C6756" s="17" t="s">
        <v>52</v>
      </c>
      <c r="D6756" s="17">
        <v>31930</v>
      </c>
      <c r="E6756" s="17">
        <v>189</v>
      </c>
      <c r="F6756" s="17">
        <v>6157</v>
      </c>
      <c r="G6756" s="13">
        <v>2</v>
      </c>
      <c r="H6756" s="17">
        <v>0</v>
      </c>
      <c r="I6756" s="17">
        <v>0</v>
      </c>
      <c r="J6756" s="17">
        <v>32.03</v>
      </c>
      <c r="N6756" s="18">
        <v>32.03</v>
      </c>
      <c r="P6756" s="17">
        <v>4</v>
      </c>
      <c r="Q6756" s="19">
        <v>32.03</v>
      </c>
      <c r="R6756" s="14">
        <v>4500</v>
      </c>
      <c r="S6756" s="19">
        <v>144135</v>
      </c>
      <c r="AJ6756" s="19">
        <v>0</v>
      </c>
      <c r="AK6756" s="23">
        <v>0</v>
      </c>
      <c r="AM6756" s="19">
        <v>0</v>
      </c>
      <c r="AN6756" s="19">
        <v>144135</v>
      </c>
      <c r="AP6756" s="14">
        <v>144135</v>
      </c>
      <c r="AQ6756" s="12">
        <v>3.0000000000000001E-3</v>
      </c>
    </row>
    <row r="6757" spans="1:45" x14ac:dyDescent="0.2">
      <c r="A6757" s="122">
        <f t="shared" si="686"/>
        <v>5539</v>
      </c>
      <c r="B6757" s="13">
        <v>2</v>
      </c>
      <c r="C6757" s="17" t="s">
        <v>52</v>
      </c>
      <c r="D6757" s="17">
        <v>31934</v>
      </c>
      <c r="E6757" s="17">
        <v>193</v>
      </c>
      <c r="F6757" s="17">
        <v>6161</v>
      </c>
      <c r="G6757" s="13">
        <v>2</v>
      </c>
      <c r="H6757" s="17">
        <v>0</v>
      </c>
      <c r="I6757" s="17">
        <v>0</v>
      </c>
      <c r="J6757" s="17">
        <v>29.02</v>
      </c>
      <c r="N6757" s="18">
        <v>29.02</v>
      </c>
      <c r="P6757" s="17">
        <v>4</v>
      </c>
      <c r="Q6757" s="19">
        <v>29.02</v>
      </c>
      <c r="R6757" s="14">
        <v>4500</v>
      </c>
      <c r="S6757" s="19">
        <v>130590</v>
      </c>
      <c r="AJ6757" s="19">
        <v>0</v>
      </c>
      <c r="AK6757" s="23">
        <v>0</v>
      </c>
      <c r="AM6757" s="19">
        <v>0</v>
      </c>
      <c r="AN6757" s="19">
        <v>130590</v>
      </c>
      <c r="AP6757" s="14">
        <v>130590</v>
      </c>
      <c r="AQ6757" s="12">
        <v>3.0000000000000001E-3</v>
      </c>
    </row>
    <row r="6758" spans="1:45" x14ac:dyDescent="0.2">
      <c r="B6758" s="13">
        <v>3</v>
      </c>
      <c r="C6758" s="17" t="s">
        <v>65</v>
      </c>
      <c r="D6758" s="17">
        <v>3453</v>
      </c>
      <c r="E6758" s="17">
        <v>361</v>
      </c>
      <c r="H6758" s="17">
        <v>0</v>
      </c>
      <c r="I6758" s="17">
        <v>2</v>
      </c>
      <c r="J6758" s="17">
        <v>98</v>
      </c>
      <c r="K6758" s="10">
        <v>298</v>
      </c>
      <c r="P6758" s="17">
        <v>1</v>
      </c>
      <c r="Q6758" s="19">
        <v>298</v>
      </c>
      <c r="R6758" s="14" t="e">
        <v>#N/A</v>
      </c>
      <c r="S6758" s="19" t="e">
        <v>#N/A</v>
      </c>
      <c r="AE6758" s="17" t="s">
        <v>95</v>
      </c>
      <c r="AJ6758" s="19">
        <v>0</v>
      </c>
      <c r="AK6758" s="23">
        <v>0</v>
      </c>
      <c r="AM6758" s="19">
        <v>0</v>
      </c>
      <c r="AN6758" s="19" t="e">
        <v>#N/A</v>
      </c>
      <c r="AP6758" s="14" t="e">
        <v>#N/A</v>
      </c>
      <c r="AQ6758" s="12">
        <v>1E-4</v>
      </c>
    </row>
    <row r="6759" spans="1:45" x14ac:dyDescent="0.2">
      <c r="A6759" s="2">
        <v>5540</v>
      </c>
      <c r="B6759" s="13">
        <v>1</v>
      </c>
      <c r="C6759" s="17" t="s">
        <v>52</v>
      </c>
      <c r="D6759" s="17">
        <v>2376</v>
      </c>
      <c r="E6759" s="17">
        <v>32</v>
      </c>
      <c r="F6759" s="17">
        <v>1705</v>
      </c>
      <c r="G6759" s="13">
        <v>4</v>
      </c>
      <c r="H6759" s="17">
        <v>0</v>
      </c>
      <c r="I6759" s="17">
        <v>0</v>
      </c>
      <c r="J6759" s="17">
        <v>26</v>
      </c>
      <c r="N6759" s="18">
        <v>26</v>
      </c>
      <c r="P6759" s="17">
        <v>4</v>
      </c>
      <c r="Q6759" s="19">
        <v>26</v>
      </c>
      <c r="R6759" s="14">
        <v>200</v>
      </c>
      <c r="S6759" s="19">
        <v>5200</v>
      </c>
      <c r="AJ6759" s="19">
        <v>0</v>
      </c>
      <c r="AK6759" s="23">
        <v>0</v>
      </c>
      <c r="AM6759" s="19">
        <v>0</v>
      </c>
      <c r="AN6759" s="19">
        <v>5200</v>
      </c>
      <c r="AP6759" s="14">
        <v>5200</v>
      </c>
      <c r="AQ6759" s="12">
        <v>3.0000000000000001E-3</v>
      </c>
    </row>
    <row r="6760" spans="1:45" x14ac:dyDescent="0.2">
      <c r="A6760" s="2">
        <f>+A6759+1</f>
        <v>5541</v>
      </c>
      <c r="B6760" s="13">
        <v>2</v>
      </c>
      <c r="C6760" s="17" t="s">
        <v>52</v>
      </c>
      <c r="D6760" s="17">
        <v>36291</v>
      </c>
      <c r="E6760" s="17">
        <v>108</v>
      </c>
      <c r="F6760" s="17">
        <v>7091</v>
      </c>
      <c r="G6760" s="13">
        <v>4</v>
      </c>
      <c r="H6760" s="17">
        <v>0</v>
      </c>
      <c r="I6760" s="17">
        <v>0</v>
      </c>
      <c r="J6760" s="17">
        <v>31</v>
      </c>
      <c r="K6760" s="10">
        <v>31</v>
      </c>
      <c r="P6760" s="17">
        <v>1</v>
      </c>
      <c r="Q6760" s="19">
        <v>31</v>
      </c>
      <c r="R6760" s="14">
        <v>2000</v>
      </c>
      <c r="S6760" s="19">
        <v>62000</v>
      </c>
      <c r="AJ6760" s="19">
        <v>0</v>
      </c>
      <c r="AK6760" s="23">
        <v>0</v>
      </c>
      <c r="AM6760" s="19">
        <v>0</v>
      </c>
      <c r="AN6760" s="19">
        <v>62000</v>
      </c>
      <c r="AP6760" s="14">
        <v>62000</v>
      </c>
    </row>
    <row r="6761" spans="1:45" ht="42" x14ac:dyDescent="0.2">
      <c r="A6761" s="122">
        <f t="shared" ref="A6761:A6765" si="687">+A6760+1</f>
        <v>5542</v>
      </c>
      <c r="B6761" s="13">
        <v>3</v>
      </c>
      <c r="C6761" s="17" t="s">
        <v>52</v>
      </c>
      <c r="D6761" s="17">
        <v>36292</v>
      </c>
      <c r="E6761" s="17">
        <v>109</v>
      </c>
      <c r="F6761" s="17">
        <v>7092</v>
      </c>
      <c r="G6761" s="13">
        <v>4</v>
      </c>
      <c r="H6761" s="17">
        <v>31</v>
      </c>
      <c r="I6761" s="17">
        <v>0</v>
      </c>
      <c r="J6761" s="17">
        <v>0</v>
      </c>
      <c r="K6761" s="10">
        <v>12400</v>
      </c>
      <c r="P6761" s="17">
        <v>1</v>
      </c>
      <c r="Q6761" s="19">
        <v>12400</v>
      </c>
      <c r="R6761" s="14">
        <v>2000</v>
      </c>
      <c r="S6761" s="19">
        <v>24800000</v>
      </c>
      <c r="AJ6761" s="19">
        <v>0</v>
      </c>
      <c r="AK6761" s="23">
        <v>0</v>
      </c>
      <c r="AM6761" s="19">
        <v>0</v>
      </c>
      <c r="AN6761" s="19">
        <v>24800000</v>
      </c>
      <c r="AP6761" s="14">
        <v>24800000</v>
      </c>
    </row>
    <row r="6762" spans="1:45" x14ac:dyDescent="0.2">
      <c r="A6762" s="122">
        <f t="shared" si="687"/>
        <v>5543</v>
      </c>
      <c r="B6762" s="13">
        <v>1</v>
      </c>
      <c r="C6762" s="17" t="s">
        <v>52</v>
      </c>
      <c r="D6762" s="17">
        <v>5876</v>
      </c>
      <c r="E6762" s="17">
        <v>27</v>
      </c>
      <c r="F6762" s="17">
        <v>3009</v>
      </c>
      <c r="G6762" s="13">
        <v>5</v>
      </c>
      <c r="H6762" s="17">
        <v>4</v>
      </c>
      <c r="I6762" s="17">
        <v>2</v>
      </c>
      <c r="J6762" s="17">
        <v>13</v>
      </c>
      <c r="K6762" s="10">
        <v>1813</v>
      </c>
      <c r="P6762" s="17">
        <v>1</v>
      </c>
      <c r="Q6762" s="19">
        <v>1813</v>
      </c>
      <c r="R6762" s="14">
        <v>200</v>
      </c>
      <c r="S6762" s="19">
        <v>362600</v>
      </c>
      <c r="AJ6762" s="19">
        <v>0</v>
      </c>
      <c r="AK6762" s="23">
        <v>0</v>
      </c>
      <c r="AM6762" s="19">
        <v>0</v>
      </c>
      <c r="AN6762" s="19">
        <v>362600</v>
      </c>
      <c r="AP6762" s="14">
        <v>362600</v>
      </c>
    </row>
    <row r="6763" spans="1:45" x14ac:dyDescent="0.2">
      <c r="A6763" s="122">
        <f t="shared" si="687"/>
        <v>5544</v>
      </c>
      <c r="B6763" s="13">
        <v>2</v>
      </c>
      <c r="C6763" s="17" t="s">
        <v>52</v>
      </c>
      <c r="D6763" s="17">
        <v>5877</v>
      </c>
      <c r="E6763" s="17">
        <v>28</v>
      </c>
      <c r="F6763" s="17">
        <v>3010</v>
      </c>
      <c r="G6763" s="13">
        <v>5</v>
      </c>
      <c r="H6763" s="17">
        <v>1</v>
      </c>
      <c r="I6763" s="17">
        <v>2</v>
      </c>
      <c r="J6763" s="17">
        <v>26</v>
      </c>
      <c r="K6763" s="10">
        <v>626</v>
      </c>
      <c r="P6763" s="17">
        <v>1</v>
      </c>
      <c r="Q6763" s="19">
        <v>626</v>
      </c>
      <c r="R6763" s="14">
        <v>200</v>
      </c>
      <c r="S6763" s="19">
        <v>125200</v>
      </c>
      <c r="AJ6763" s="19">
        <v>0</v>
      </c>
      <c r="AK6763" s="23">
        <v>0</v>
      </c>
      <c r="AM6763" s="19">
        <v>0</v>
      </c>
      <c r="AN6763" s="19">
        <v>125200</v>
      </c>
      <c r="AP6763" s="14">
        <v>125200</v>
      </c>
    </row>
    <row r="6764" spans="1:45" x14ac:dyDescent="0.2">
      <c r="A6764" s="122">
        <f t="shared" si="687"/>
        <v>5545</v>
      </c>
      <c r="B6764" s="13">
        <v>3</v>
      </c>
      <c r="C6764" s="17" t="s">
        <v>65</v>
      </c>
      <c r="D6764" s="17">
        <v>1290</v>
      </c>
      <c r="E6764" s="17">
        <v>4</v>
      </c>
      <c r="H6764" s="17">
        <v>13</v>
      </c>
      <c r="I6764" s="17">
        <v>0</v>
      </c>
      <c r="J6764" s="17">
        <v>66</v>
      </c>
      <c r="K6764" s="10">
        <v>5266</v>
      </c>
      <c r="P6764" s="17">
        <v>1</v>
      </c>
      <c r="Q6764" s="19">
        <v>5266</v>
      </c>
      <c r="R6764" s="14">
        <v>160</v>
      </c>
      <c r="S6764" s="19">
        <v>842560</v>
      </c>
      <c r="AE6764" s="17" t="s">
        <v>94</v>
      </c>
      <c r="AJ6764" s="19">
        <v>0</v>
      </c>
      <c r="AK6764" s="23">
        <v>0</v>
      </c>
      <c r="AM6764" s="19">
        <v>0</v>
      </c>
      <c r="AN6764" s="19">
        <v>842560</v>
      </c>
      <c r="AP6764" s="14">
        <v>842560</v>
      </c>
      <c r="AQ6764" s="12">
        <v>1E-4</v>
      </c>
    </row>
    <row r="6765" spans="1:45" x14ac:dyDescent="0.2">
      <c r="A6765" s="122">
        <f t="shared" si="687"/>
        <v>5546</v>
      </c>
      <c r="B6765" s="13">
        <v>1</v>
      </c>
      <c r="C6765" s="17" t="s">
        <v>52</v>
      </c>
      <c r="D6765" s="17">
        <v>31840</v>
      </c>
      <c r="E6765" s="17">
        <v>39</v>
      </c>
      <c r="F6765" s="17">
        <v>5804</v>
      </c>
      <c r="G6765" s="13">
        <v>6</v>
      </c>
      <c r="H6765" s="17">
        <v>0</v>
      </c>
      <c r="I6765" s="17">
        <v>0</v>
      </c>
      <c r="J6765" s="17">
        <v>46</v>
      </c>
      <c r="N6765" s="18">
        <v>46</v>
      </c>
      <c r="P6765" s="17">
        <v>4</v>
      </c>
      <c r="Q6765" s="19">
        <v>46</v>
      </c>
      <c r="R6765" s="14">
        <v>1500</v>
      </c>
      <c r="S6765" s="19">
        <v>69000</v>
      </c>
      <c r="AJ6765" s="19">
        <v>0</v>
      </c>
      <c r="AK6765" s="23">
        <v>0</v>
      </c>
      <c r="AM6765" s="19">
        <v>0</v>
      </c>
      <c r="AN6765" s="19">
        <v>69000</v>
      </c>
      <c r="AP6765" s="14">
        <v>69000</v>
      </c>
      <c r="AQ6765" s="12">
        <v>3.0000000000000001E-3</v>
      </c>
    </row>
    <row r="6766" spans="1:45" x14ac:dyDescent="0.2">
      <c r="B6766" s="13">
        <v>2</v>
      </c>
      <c r="C6766" s="17" t="s">
        <v>65</v>
      </c>
      <c r="D6766" s="17">
        <v>3890</v>
      </c>
      <c r="E6766" s="17">
        <v>51</v>
      </c>
      <c r="H6766" s="17">
        <v>0</v>
      </c>
      <c r="I6766" s="17">
        <v>0</v>
      </c>
      <c r="J6766" s="17">
        <v>77</v>
      </c>
      <c r="K6766" s="10">
        <v>77</v>
      </c>
      <c r="P6766" s="17">
        <v>1</v>
      </c>
      <c r="Q6766" s="19">
        <v>77</v>
      </c>
      <c r="R6766" s="14" t="e">
        <v>#N/A</v>
      </c>
      <c r="S6766" s="19" t="e">
        <v>#N/A</v>
      </c>
      <c r="AE6766" s="17" t="s">
        <v>95</v>
      </c>
      <c r="AJ6766" s="19">
        <v>0</v>
      </c>
      <c r="AK6766" s="23">
        <v>0</v>
      </c>
      <c r="AM6766" s="19">
        <v>0</v>
      </c>
      <c r="AN6766" s="19" t="e">
        <v>#N/A</v>
      </c>
      <c r="AP6766" s="14" t="e">
        <v>#N/A</v>
      </c>
      <c r="AQ6766" s="12">
        <v>1E-4</v>
      </c>
    </row>
    <row r="6767" spans="1:45" x14ac:dyDescent="0.2">
      <c r="A6767" s="2">
        <v>5547</v>
      </c>
      <c r="B6767" s="13">
        <v>1</v>
      </c>
      <c r="C6767" s="17" t="s">
        <v>52</v>
      </c>
      <c r="D6767" s="17">
        <v>3834</v>
      </c>
      <c r="E6767" s="17">
        <v>72</v>
      </c>
      <c r="F6767" s="17">
        <v>2326</v>
      </c>
      <c r="G6767" s="13">
        <v>2</v>
      </c>
      <c r="H6767" s="17">
        <v>0</v>
      </c>
      <c r="I6767" s="17">
        <v>0</v>
      </c>
      <c r="J6767" s="17">
        <v>81</v>
      </c>
      <c r="N6767" s="18">
        <v>81</v>
      </c>
      <c r="P6767" s="17">
        <v>4</v>
      </c>
      <c r="Q6767" s="19">
        <v>81</v>
      </c>
      <c r="R6767" s="14">
        <v>1200</v>
      </c>
      <c r="S6767" s="19">
        <v>97200</v>
      </c>
      <c r="AJ6767" s="19">
        <v>0</v>
      </c>
      <c r="AK6767" s="23">
        <v>0</v>
      </c>
      <c r="AM6767" s="19">
        <v>0</v>
      </c>
      <c r="AN6767" s="19">
        <v>97200</v>
      </c>
      <c r="AP6767" s="14">
        <v>97200</v>
      </c>
      <c r="AQ6767" s="12">
        <v>3.0000000000000001E-3</v>
      </c>
    </row>
    <row r="6768" spans="1:45" ht="42" x14ac:dyDescent="0.2">
      <c r="A6768" s="2">
        <f>+A6767+1</f>
        <v>5548</v>
      </c>
      <c r="B6768" s="13">
        <v>1</v>
      </c>
      <c r="C6768" s="17" t="s">
        <v>52</v>
      </c>
      <c r="D6768" s="17">
        <v>33799</v>
      </c>
      <c r="E6768" s="17">
        <v>36</v>
      </c>
      <c r="F6768" s="17">
        <v>6385</v>
      </c>
      <c r="G6768" s="13">
        <v>3</v>
      </c>
      <c r="H6768" s="17">
        <v>0</v>
      </c>
      <c r="I6768" s="17">
        <v>1</v>
      </c>
      <c r="J6768" s="17">
        <v>46</v>
      </c>
      <c r="N6768" s="18">
        <v>146</v>
      </c>
      <c r="P6768" s="17">
        <v>4</v>
      </c>
      <c r="Q6768" s="19">
        <v>146</v>
      </c>
      <c r="R6768" s="14">
        <v>160</v>
      </c>
      <c r="S6768" s="19">
        <v>23360</v>
      </c>
      <c r="AJ6768" s="19">
        <v>0</v>
      </c>
      <c r="AK6768" s="23">
        <v>0</v>
      </c>
      <c r="AM6768" s="19">
        <v>0</v>
      </c>
      <c r="AN6768" s="19">
        <v>23360</v>
      </c>
      <c r="AP6768" s="14">
        <v>23360</v>
      </c>
      <c r="AQ6768" s="12">
        <v>3.0000000000000001E-3</v>
      </c>
      <c r="AS6768" s="26" t="s">
        <v>66</v>
      </c>
    </row>
    <row r="6769" spans="1:45" x14ac:dyDescent="0.2">
      <c r="A6769" s="122">
        <f t="shared" ref="A6769:A6770" si="688">+A6768+1</f>
        <v>5549</v>
      </c>
      <c r="B6769" s="13">
        <v>1</v>
      </c>
      <c r="C6769" s="17" t="s">
        <v>52</v>
      </c>
      <c r="D6769" s="17">
        <v>396</v>
      </c>
      <c r="E6769" s="17">
        <v>501</v>
      </c>
      <c r="F6769" s="17">
        <v>39</v>
      </c>
      <c r="G6769" s="13">
        <v>2</v>
      </c>
      <c r="H6769" s="17">
        <v>0</v>
      </c>
      <c r="I6769" s="17">
        <v>0</v>
      </c>
      <c r="J6769" s="17">
        <v>77.09</v>
      </c>
      <c r="K6769" s="10">
        <v>77.09</v>
      </c>
      <c r="P6769" s="17">
        <v>1</v>
      </c>
      <c r="Q6769" s="19">
        <v>77.09</v>
      </c>
      <c r="R6769" s="14">
        <v>3350</v>
      </c>
      <c r="S6769" s="19">
        <v>258251.5</v>
      </c>
      <c r="AJ6769" s="19">
        <v>0</v>
      </c>
      <c r="AK6769" s="23">
        <v>0</v>
      </c>
      <c r="AM6769" s="19">
        <v>0</v>
      </c>
      <c r="AN6769" s="19">
        <v>258251.5</v>
      </c>
      <c r="AP6769" s="14">
        <v>258251.5</v>
      </c>
    </row>
    <row r="6770" spans="1:45" x14ac:dyDescent="0.2">
      <c r="A6770" s="122">
        <f t="shared" si="688"/>
        <v>5550</v>
      </c>
      <c r="B6770" s="13">
        <v>1</v>
      </c>
      <c r="C6770" s="17" t="s">
        <v>69</v>
      </c>
      <c r="E6770" s="17">
        <v>1470</v>
      </c>
      <c r="F6770" s="17">
        <v>10</v>
      </c>
      <c r="G6770" s="13">
        <v>2</v>
      </c>
      <c r="H6770" s="17">
        <v>1</v>
      </c>
      <c r="I6770" s="17">
        <v>0</v>
      </c>
      <c r="J6770" s="17">
        <v>93</v>
      </c>
      <c r="K6770" s="10">
        <v>493</v>
      </c>
      <c r="P6770" s="17">
        <v>1</v>
      </c>
      <c r="Q6770" s="19">
        <v>493</v>
      </c>
      <c r="R6770" s="14">
        <v>160</v>
      </c>
      <c r="S6770" s="19">
        <v>78880</v>
      </c>
      <c r="AJ6770" s="19">
        <v>0</v>
      </c>
      <c r="AK6770" s="23">
        <v>0</v>
      </c>
      <c r="AM6770" s="19">
        <v>0</v>
      </c>
      <c r="AN6770" s="19">
        <v>78880</v>
      </c>
      <c r="AP6770" s="14">
        <v>78880</v>
      </c>
      <c r="AQ6770" s="12">
        <v>1E-4</v>
      </c>
    </row>
    <row r="6771" spans="1:45" x14ac:dyDescent="0.2">
      <c r="Q6771" s="19">
        <v>0</v>
      </c>
      <c r="R6771" s="14" t="e">
        <v>#N/A</v>
      </c>
      <c r="S6771" s="19" t="e">
        <v>#N/A</v>
      </c>
      <c r="AJ6771" s="19">
        <v>0</v>
      </c>
      <c r="AK6771" s="23">
        <v>0</v>
      </c>
      <c r="AM6771" s="19">
        <v>0</v>
      </c>
      <c r="AN6771" s="19" t="e">
        <v>#N/A</v>
      </c>
      <c r="AP6771" s="14" t="e">
        <v>#N/A</v>
      </c>
    </row>
    <row r="6772" spans="1:45" x14ac:dyDescent="0.2">
      <c r="Q6772" s="19">
        <v>0</v>
      </c>
      <c r="R6772" s="14" t="e">
        <v>#N/A</v>
      </c>
      <c r="S6772" s="19" t="e">
        <v>#N/A</v>
      </c>
      <c r="AJ6772" s="19">
        <v>0</v>
      </c>
      <c r="AK6772" s="23">
        <v>0</v>
      </c>
      <c r="AM6772" s="19">
        <v>0</v>
      </c>
      <c r="AN6772" s="19" t="e">
        <v>#N/A</v>
      </c>
      <c r="AP6772" s="14" t="e">
        <v>#N/A</v>
      </c>
    </row>
    <row r="6773" spans="1:45" x14ac:dyDescent="0.2">
      <c r="Q6773" s="19">
        <v>0</v>
      </c>
      <c r="R6773" s="14" t="e">
        <v>#N/A</v>
      </c>
      <c r="S6773" s="19" t="e">
        <v>#N/A</v>
      </c>
      <c r="AJ6773" s="19">
        <v>0</v>
      </c>
      <c r="AK6773" s="23">
        <v>0</v>
      </c>
      <c r="AM6773" s="19">
        <v>0</v>
      </c>
      <c r="AN6773" s="19" t="e">
        <v>#N/A</v>
      </c>
      <c r="AP6773" s="14" t="e">
        <v>#N/A</v>
      </c>
    </row>
    <row r="6774" spans="1:45" x14ac:dyDescent="0.2">
      <c r="A6774" s="2">
        <v>5551</v>
      </c>
      <c r="B6774" s="13">
        <v>1</v>
      </c>
      <c r="C6774" s="17" t="s">
        <v>52</v>
      </c>
      <c r="D6774" s="17">
        <v>29911</v>
      </c>
      <c r="E6774" s="17">
        <v>85</v>
      </c>
      <c r="F6774" s="17">
        <v>4637</v>
      </c>
      <c r="G6774" s="13">
        <v>5</v>
      </c>
      <c r="H6774" s="17">
        <v>0</v>
      </c>
      <c r="I6774" s="17">
        <v>0</v>
      </c>
      <c r="J6774" s="17">
        <v>38</v>
      </c>
      <c r="N6774" s="18">
        <v>38</v>
      </c>
      <c r="P6774" s="17">
        <v>4</v>
      </c>
      <c r="Q6774" s="19">
        <v>38</v>
      </c>
      <c r="R6774" s="14">
        <v>1500</v>
      </c>
      <c r="S6774" s="19">
        <v>57000</v>
      </c>
      <c r="AJ6774" s="19">
        <v>0</v>
      </c>
      <c r="AK6774" s="23">
        <v>0</v>
      </c>
      <c r="AM6774" s="19">
        <v>0</v>
      </c>
      <c r="AN6774" s="19">
        <v>57000</v>
      </c>
      <c r="AP6774" s="14">
        <v>57000</v>
      </c>
      <c r="AQ6774" s="12">
        <v>3.0000000000000001E-3</v>
      </c>
    </row>
    <row r="6775" spans="1:45" x14ac:dyDescent="0.2">
      <c r="A6775" s="2">
        <f>+A6774+1</f>
        <v>5552</v>
      </c>
      <c r="B6775" s="13">
        <v>2</v>
      </c>
      <c r="C6775" s="17" t="s">
        <v>52</v>
      </c>
      <c r="D6775" s="17">
        <v>29912</v>
      </c>
      <c r="E6775" s="17">
        <v>86</v>
      </c>
      <c r="F6775" s="17">
        <v>4638</v>
      </c>
      <c r="G6775" s="13">
        <v>5</v>
      </c>
      <c r="H6775" s="17">
        <v>0</v>
      </c>
      <c r="I6775" s="17">
        <v>0</v>
      </c>
      <c r="J6775" s="17">
        <v>38</v>
      </c>
      <c r="N6775" s="18">
        <v>38</v>
      </c>
      <c r="P6775" s="17">
        <v>4</v>
      </c>
      <c r="Q6775" s="19">
        <v>38</v>
      </c>
      <c r="R6775" s="14">
        <v>1500</v>
      </c>
      <c r="S6775" s="19">
        <v>57000</v>
      </c>
      <c r="AJ6775" s="19">
        <v>0</v>
      </c>
      <c r="AK6775" s="23">
        <v>0</v>
      </c>
      <c r="AM6775" s="19">
        <v>0</v>
      </c>
      <c r="AN6775" s="19">
        <v>57000</v>
      </c>
      <c r="AP6775" s="14">
        <v>57000</v>
      </c>
      <c r="AQ6775" s="12">
        <v>3.0000000000000001E-3</v>
      </c>
    </row>
    <row r="6776" spans="1:45" x14ac:dyDescent="0.2">
      <c r="A6776" s="122">
        <f t="shared" ref="A6776:A6780" si="689">+A6775+1</f>
        <v>5553</v>
      </c>
      <c r="B6776" s="13">
        <v>1</v>
      </c>
      <c r="C6776" s="17" t="s">
        <v>69</v>
      </c>
      <c r="E6776" s="17">
        <v>1515</v>
      </c>
      <c r="F6776" s="17">
        <v>6</v>
      </c>
      <c r="G6776" s="13">
        <v>6</v>
      </c>
      <c r="H6776" s="17">
        <v>11</v>
      </c>
      <c r="I6776" s="17">
        <v>2</v>
      </c>
      <c r="J6776" s="17">
        <v>21</v>
      </c>
      <c r="K6776" s="10">
        <v>4621</v>
      </c>
      <c r="P6776" s="17">
        <v>1</v>
      </c>
      <c r="Q6776" s="19">
        <v>4621</v>
      </c>
      <c r="R6776" s="14">
        <v>250</v>
      </c>
      <c r="S6776" s="19">
        <v>1155250</v>
      </c>
      <c r="AJ6776" s="19">
        <v>0</v>
      </c>
      <c r="AK6776" s="23">
        <v>0</v>
      </c>
      <c r="AM6776" s="19">
        <v>0</v>
      </c>
      <c r="AN6776" s="19">
        <v>1155250</v>
      </c>
      <c r="AP6776" s="14">
        <v>1155250</v>
      </c>
      <c r="AQ6776" s="12">
        <v>1E-4</v>
      </c>
    </row>
    <row r="6777" spans="1:45" x14ac:dyDescent="0.2">
      <c r="A6777" s="122">
        <f t="shared" si="689"/>
        <v>5554</v>
      </c>
      <c r="B6777" s="13">
        <v>1</v>
      </c>
      <c r="C6777" s="17" t="s">
        <v>69</v>
      </c>
      <c r="E6777" s="17">
        <v>1686</v>
      </c>
      <c r="F6777" s="17">
        <v>5</v>
      </c>
      <c r="G6777" s="13">
        <v>2</v>
      </c>
      <c r="H6777" s="17">
        <v>30</v>
      </c>
      <c r="I6777" s="17">
        <v>1</v>
      </c>
      <c r="J6777" s="17">
        <v>83</v>
      </c>
      <c r="K6777" s="10">
        <v>12183</v>
      </c>
      <c r="P6777" s="17">
        <v>1</v>
      </c>
      <c r="Q6777" s="19">
        <v>12183</v>
      </c>
      <c r="R6777" s="14">
        <v>160</v>
      </c>
      <c r="S6777" s="19">
        <v>1949280</v>
      </c>
      <c r="AJ6777" s="19">
        <v>0</v>
      </c>
      <c r="AK6777" s="23">
        <v>0</v>
      </c>
      <c r="AM6777" s="19">
        <v>0</v>
      </c>
      <c r="AN6777" s="19">
        <v>1949280</v>
      </c>
      <c r="AP6777" s="14">
        <v>1949280</v>
      </c>
      <c r="AQ6777" s="12">
        <v>1E-4</v>
      </c>
    </row>
    <row r="6778" spans="1:45" x14ac:dyDescent="0.2">
      <c r="A6778" s="122">
        <f t="shared" si="689"/>
        <v>5555</v>
      </c>
      <c r="B6778" s="13">
        <v>1</v>
      </c>
      <c r="C6778" s="17" t="s">
        <v>52</v>
      </c>
      <c r="D6778" s="17">
        <v>2417</v>
      </c>
      <c r="E6778" s="17">
        <v>36</v>
      </c>
      <c r="F6778" s="17">
        <v>1838</v>
      </c>
      <c r="G6778" s="13">
        <v>4</v>
      </c>
      <c r="H6778" s="17">
        <v>1</v>
      </c>
      <c r="I6778" s="17">
        <v>0</v>
      </c>
      <c r="J6778" s="17">
        <v>0</v>
      </c>
      <c r="K6778" s="10">
        <v>400</v>
      </c>
      <c r="P6778" s="17">
        <v>1</v>
      </c>
      <c r="Q6778" s="19">
        <v>400</v>
      </c>
      <c r="R6778" s="14">
        <v>160</v>
      </c>
      <c r="S6778" s="19">
        <v>64000</v>
      </c>
      <c r="AJ6778" s="19">
        <v>0</v>
      </c>
      <c r="AK6778" s="23">
        <v>0</v>
      </c>
      <c r="AM6778" s="19">
        <v>0</v>
      </c>
      <c r="AN6778" s="19">
        <v>64000</v>
      </c>
      <c r="AP6778" s="14">
        <v>64000</v>
      </c>
    </row>
    <row r="6779" spans="1:45" ht="42" x14ac:dyDescent="0.2">
      <c r="A6779" s="122">
        <f t="shared" si="689"/>
        <v>5556</v>
      </c>
      <c r="B6779" s="13">
        <v>1</v>
      </c>
      <c r="C6779" s="17" t="s">
        <v>52</v>
      </c>
      <c r="D6779" s="17">
        <v>2166</v>
      </c>
      <c r="E6779" s="17">
        <v>29</v>
      </c>
      <c r="F6779" s="17">
        <v>1637</v>
      </c>
      <c r="G6779" s="13">
        <v>3</v>
      </c>
      <c r="H6779" s="17">
        <v>0</v>
      </c>
      <c r="I6779" s="17">
        <v>0</v>
      </c>
      <c r="J6779" s="17">
        <v>70</v>
      </c>
      <c r="L6779" s="17">
        <v>24.75</v>
      </c>
      <c r="P6779" s="17">
        <v>2</v>
      </c>
      <c r="Q6779" s="19">
        <v>70</v>
      </c>
      <c r="R6779" s="14">
        <v>250</v>
      </c>
      <c r="S6779" s="19">
        <v>17500</v>
      </c>
      <c r="T6779" s="17">
        <v>1</v>
      </c>
      <c r="V6779" s="17" t="s">
        <v>183</v>
      </c>
      <c r="W6779" s="4">
        <v>99</v>
      </c>
      <c r="Y6779" s="4">
        <v>99</v>
      </c>
      <c r="AB6779" s="17">
        <v>21</v>
      </c>
      <c r="AJ6779" s="19">
        <v>0</v>
      </c>
      <c r="AK6779" s="23">
        <v>21</v>
      </c>
      <c r="AM6779" s="19">
        <v>0</v>
      </c>
      <c r="AN6779" s="19">
        <v>17500</v>
      </c>
      <c r="AP6779" s="14">
        <v>17500</v>
      </c>
    </row>
    <row r="6780" spans="1:45" ht="42" x14ac:dyDescent="0.2">
      <c r="A6780" s="122">
        <f t="shared" si="689"/>
        <v>5557</v>
      </c>
      <c r="B6780" s="13">
        <v>1</v>
      </c>
      <c r="C6780" s="17" t="s">
        <v>52</v>
      </c>
      <c r="D6780" s="17">
        <v>20451</v>
      </c>
      <c r="E6780" s="17">
        <v>26</v>
      </c>
      <c r="F6780" s="17">
        <v>4617</v>
      </c>
      <c r="G6780" s="13">
        <v>6</v>
      </c>
      <c r="H6780" s="17">
        <v>0</v>
      </c>
      <c r="I6780" s="17">
        <v>1</v>
      </c>
      <c r="J6780" s="17">
        <v>15.01</v>
      </c>
      <c r="K6780" s="10">
        <v>90.74</v>
      </c>
      <c r="L6780" s="17">
        <v>24.27</v>
      </c>
      <c r="P6780" s="17">
        <v>5</v>
      </c>
      <c r="Q6780" s="19">
        <v>115.01</v>
      </c>
      <c r="R6780" s="14">
        <v>160</v>
      </c>
      <c r="S6780" s="19">
        <v>18401.600000000002</v>
      </c>
      <c r="T6780" s="17">
        <v>1</v>
      </c>
      <c r="V6780" s="17" t="s">
        <v>183</v>
      </c>
      <c r="W6780" s="4">
        <v>31.5</v>
      </c>
      <c r="Y6780" s="4">
        <v>31.5</v>
      </c>
      <c r="AB6780" s="17">
        <v>17</v>
      </c>
      <c r="AJ6780" s="19">
        <v>0</v>
      </c>
      <c r="AK6780" s="23">
        <v>17</v>
      </c>
      <c r="AM6780" s="19">
        <v>0</v>
      </c>
      <c r="AN6780" s="19">
        <v>18401.600000000002</v>
      </c>
      <c r="AP6780" s="14">
        <v>18401.600000000002</v>
      </c>
    </row>
    <row r="6781" spans="1:45" ht="42" x14ac:dyDescent="0.2">
      <c r="Q6781" s="19">
        <v>0</v>
      </c>
      <c r="R6781" s="14" t="e">
        <v>#N/A</v>
      </c>
      <c r="S6781" s="19" t="e">
        <v>#N/A</v>
      </c>
      <c r="T6781" s="17">
        <v>2</v>
      </c>
      <c r="V6781" s="17" t="s">
        <v>183</v>
      </c>
      <c r="W6781" s="4">
        <v>23.8</v>
      </c>
      <c r="Y6781" s="4">
        <v>23.8</v>
      </c>
      <c r="AB6781" s="17">
        <v>21</v>
      </c>
      <c r="AJ6781" s="19">
        <v>0</v>
      </c>
      <c r="AK6781" s="23">
        <v>21</v>
      </c>
      <c r="AM6781" s="19">
        <v>0</v>
      </c>
      <c r="AN6781" s="19" t="e">
        <v>#N/A</v>
      </c>
      <c r="AP6781" s="14" t="e">
        <v>#N/A</v>
      </c>
    </row>
    <row r="6782" spans="1:45" ht="42" x14ac:dyDescent="0.2">
      <c r="Q6782" s="19">
        <v>0</v>
      </c>
      <c r="R6782" s="14" t="e">
        <v>#N/A</v>
      </c>
      <c r="S6782" s="19" t="e">
        <v>#N/A</v>
      </c>
      <c r="T6782" s="17">
        <v>3</v>
      </c>
      <c r="V6782" s="17" t="s">
        <v>183</v>
      </c>
      <c r="W6782" s="4">
        <v>41.8</v>
      </c>
      <c r="Y6782" s="4">
        <v>41.8</v>
      </c>
      <c r="AB6782" s="17">
        <v>19</v>
      </c>
      <c r="AJ6782" s="19">
        <v>0</v>
      </c>
      <c r="AK6782" s="23">
        <v>19</v>
      </c>
      <c r="AM6782" s="19">
        <v>0</v>
      </c>
      <c r="AN6782" s="19" t="e">
        <v>#N/A</v>
      </c>
      <c r="AP6782" s="14" t="e">
        <v>#N/A</v>
      </c>
    </row>
    <row r="6783" spans="1:45" x14ac:dyDescent="0.2">
      <c r="A6783" s="2">
        <v>5558</v>
      </c>
      <c r="B6783" s="13">
        <v>1</v>
      </c>
      <c r="C6783" s="17" t="s">
        <v>52</v>
      </c>
      <c r="D6783" s="17">
        <v>4879</v>
      </c>
      <c r="E6783" s="17">
        <v>25</v>
      </c>
      <c r="F6783" s="17">
        <v>2694</v>
      </c>
      <c r="G6783" s="13">
        <v>7</v>
      </c>
      <c r="H6783" s="17">
        <v>3</v>
      </c>
      <c r="I6783" s="17">
        <v>3</v>
      </c>
      <c r="J6783" s="17">
        <v>16.02</v>
      </c>
      <c r="K6783" s="10">
        <v>1516</v>
      </c>
      <c r="P6783" s="17">
        <v>1</v>
      </c>
      <c r="Q6783" s="19">
        <v>1516.02</v>
      </c>
      <c r="R6783" s="14">
        <v>160</v>
      </c>
      <c r="S6783" s="19">
        <v>242563.20000000001</v>
      </c>
      <c r="AJ6783" s="19">
        <v>0</v>
      </c>
      <c r="AK6783" s="23">
        <v>0</v>
      </c>
      <c r="AM6783" s="19">
        <v>0</v>
      </c>
      <c r="AN6783" s="19">
        <v>242563.20000000001</v>
      </c>
      <c r="AP6783" s="14">
        <v>242563.20000000001</v>
      </c>
      <c r="AS6783" s="26">
        <v>38</v>
      </c>
    </row>
    <row r="6784" spans="1:45" x14ac:dyDescent="0.2">
      <c r="A6784" s="2">
        <f>+A6783+1</f>
        <v>5559</v>
      </c>
      <c r="B6784" s="13">
        <v>1</v>
      </c>
      <c r="C6784" s="17" t="s">
        <v>52</v>
      </c>
      <c r="D6784" s="17">
        <v>3408</v>
      </c>
      <c r="E6784" s="17">
        <v>41</v>
      </c>
      <c r="F6784" s="17">
        <v>2212</v>
      </c>
      <c r="G6784" s="13">
        <v>2</v>
      </c>
      <c r="H6784" s="17">
        <v>0</v>
      </c>
      <c r="I6784" s="17">
        <v>0</v>
      </c>
      <c r="J6784" s="17">
        <v>85</v>
      </c>
      <c r="K6784" s="10">
        <v>85</v>
      </c>
      <c r="P6784" s="17">
        <v>1</v>
      </c>
      <c r="Q6784" s="19">
        <v>85</v>
      </c>
      <c r="R6784" s="14">
        <v>250</v>
      </c>
      <c r="S6784" s="19">
        <v>21250</v>
      </c>
      <c r="AJ6784" s="19">
        <v>0</v>
      </c>
      <c r="AK6784" s="23">
        <v>0</v>
      </c>
      <c r="AM6784" s="19">
        <v>0</v>
      </c>
      <c r="AN6784" s="19">
        <v>21250</v>
      </c>
      <c r="AP6784" s="14">
        <v>21250</v>
      </c>
    </row>
    <row r="6785" spans="1:45" x14ac:dyDescent="0.2">
      <c r="A6785" s="122">
        <f t="shared" ref="A6785:A6813" si="690">+A6784+1</f>
        <v>5560</v>
      </c>
      <c r="B6785" s="13">
        <v>2</v>
      </c>
      <c r="C6785" s="17" t="s">
        <v>69</v>
      </c>
      <c r="E6785" s="17">
        <v>1469</v>
      </c>
      <c r="F6785" s="17">
        <v>2</v>
      </c>
      <c r="G6785" s="13">
        <v>2</v>
      </c>
      <c r="H6785" s="17">
        <v>9</v>
      </c>
      <c r="I6785" s="17">
        <v>2</v>
      </c>
      <c r="J6785" s="17">
        <v>70</v>
      </c>
      <c r="K6785" s="10">
        <v>3870</v>
      </c>
      <c r="P6785" s="17">
        <v>1</v>
      </c>
      <c r="Q6785" s="19">
        <v>3870</v>
      </c>
      <c r="R6785" s="14">
        <v>200</v>
      </c>
      <c r="S6785" s="19">
        <v>774000</v>
      </c>
      <c r="AJ6785" s="19">
        <v>0</v>
      </c>
      <c r="AK6785" s="23">
        <v>0</v>
      </c>
      <c r="AM6785" s="19">
        <v>0</v>
      </c>
      <c r="AN6785" s="19">
        <v>774000</v>
      </c>
      <c r="AP6785" s="14">
        <v>774000</v>
      </c>
      <c r="AQ6785" s="12">
        <v>1E-4</v>
      </c>
    </row>
    <row r="6786" spans="1:45" x14ac:dyDescent="0.2">
      <c r="A6786" s="122">
        <f t="shared" si="690"/>
        <v>5561</v>
      </c>
      <c r="B6786" s="13">
        <v>2</v>
      </c>
      <c r="C6786" s="17" t="s">
        <v>65</v>
      </c>
      <c r="D6786" s="17">
        <v>3857</v>
      </c>
      <c r="E6786" s="17">
        <v>41</v>
      </c>
      <c r="H6786" s="17">
        <v>3</v>
      </c>
      <c r="I6786" s="17">
        <v>2</v>
      </c>
      <c r="J6786" s="17">
        <v>37</v>
      </c>
      <c r="K6786" s="10">
        <v>1548237</v>
      </c>
      <c r="P6786" s="17">
        <v>1</v>
      </c>
      <c r="Q6786" s="19">
        <v>1437</v>
      </c>
      <c r="R6786" s="14">
        <v>250</v>
      </c>
      <c r="S6786" s="19">
        <v>359250</v>
      </c>
      <c r="AE6786" s="17" t="s">
        <v>94</v>
      </c>
      <c r="AJ6786" s="19">
        <v>0</v>
      </c>
      <c r="AK6786" s="23">
        <v>0</v>
      </c>
      <c r="AM6786" s="19">
        <v>0</v>
      </c>
      <c r="AN6786" s="19">
        <v>359250</v>
      </c>
      <c r="AP6786" s="14">
        <v>359250</v>
      </c>
      <c r="AQ6786" s="12">
        <v>1E-4</v>
      </c>
    </row>
    <row r="6787" spans="1:45" ht="42" x14ac:dyDescent="0.2">
      <c r="A6787" s="122">
        <f t="shared" si="690"/>
        <v>5562</v>
      </c>
      <c r="B6787" s="13">
        <v>1</v>
      </c>
      <c r="C6787" s="17" t="s">
        <v>52</v>
      </c>
      <c r="D6787" s="17">
        <v>1302</v>
      </c>
      <c r="E6787" s="17">
        <v>18</v>
      </c>
      <c r="F6787" s="17">
        <v>886</v>
      </c>
      <c r="G6787" s="13">
        <v>2</v>
      </c>
      <c r="H6787" s="17">
        <v>0</v>
      </c>
      <c r="I6787" s="17">
        <v>0</v>
      </c>
      <c r="J6787" s="17">
        <v>48</v>
      </c>
      <c r="L6787" s="17" t="s">
        <v>226</v>
      </c>
      <c r="P6787" s="17">
        <v>2</v>
      </c>
      <c r="Q6787" s="19">
        <v>48</v>
      </c>
      <c r="R6787" s="14">
        <v>250</v>
      </c>
      <c r="S6787" s="19">
        <v>12000</v>
      </c>
      <c r="T6787" s="17">
        <v>1</v>
      </c>
      <c r="V6787" s="17" t="s">
        <v>183</v>
      </c>
      <c r="W6787" s="4">
        <v>140</v>
      </c>
      <c r="Y6787" s="4">
        <v>140</v>
      </c>
      <c r="AB6787" s="17">
        <v>34</v>
      </c>
      <c r="AJ6787" s="19">
        <v>0</v>
      </c>
      <c r="AK6787" s="23">
        <v>34</v>
      </c>
      <c r="AM6787" s="19">
        <v>0</v>
      </c>
      <c r="AN6787" s="19">
        <v>12000</v>
      </c>
      <c r="AP6787" s="14">
        <v>12000</v>
      </c>
    </row>
    <row r="6788" spans="1:45" x14ac:dyDescent="0.2">
      <c r="A6788" s="122">
        <f t="shared" si="690"/>
        <v>5563</v>
      </c>
      <c r="B6788" s="13">
        <v>1</v>
      </c>
      <c r="C6788" s="17" t="s">
        <v>69</v>
      </c>
      <c r="E6788" s="17">
        <v>1514</v>
      </c>
      <c r="F6788" s="17">
        <v>4</v>
      </c>
      <c r="G6788" s="13">
        <v>6</v>
      </c>
      <c r="H6788" s="17">
        <v>13</v>
      </c>
      <c r="I6788" s="17">
        <v>0</v>
      </c>
      <c r="J6788" s="17">
        <v>40</v>
      </c>
      <c r="K6788" s="10">
        <v>5240</v>
      </c>
      <c r="P6788" s="17">
        <v>1</v>
      </c>
      <c r="Q6788" s="19">
        <v>5240</v>
      </c>
      <c r="R6788" s="14">
        <v>160</v>
      </c>
      <c r="S6788" s="19">
        <v>838400</v>
      </c>
      <c r="AJ6788" s="19">
        <v>0</v>
      </c>
      <c r="AK6788" s="23">
        <v>0</v>
      </c>
      <c r="AM6788" s="19">
        <v>0</v>
      </c>
      <c r="AN6788" s="19">
        <v>838400</v>
      </c>
      <c r="AP6788" s="14">
        <v>838400</v>
      </c>
      <c r="AQ6788" s="12">
        <v>1E-4</v>
      </c>
    </row>
    <row r="6789" spans="1:45" x14ac:dyDescent="0.2">
      <c r="A6789" s="122">
        <f t="shared" si="690"/>
        <v>5564</v>
      </c>
      <c r="B6789" s="13">
        <v>1</v>
      </c>
      <c r="C6789" s="17" t="s">
        <v>52</v>
      </c>
      <c r="D6789" s="17">
        <v>17698</v>
      </c>
      <c r="E6789" s="17">
        <v>45</v>
      </c>
      <c r="F6789" s="17">
        <v>3826</v>
      </c>
      <c r="G6789" s="13">
        <v>3</v>
      </c>
      <c r="H6789" s="17">
        <v>2</v>
      </c>
      <c r="I6789" s="17">
        <v>0</v>
      </c>
      <c r="J6789" s="17">
        <v>39</v>
      </c>
      <c r="K6789" s="10">
        <v>839</v>
      </c>
      <c r="P6789" s="17">
        <v>1</v>
      </c>
      <c r="Q6789" s="19">
        <v>839</v>
      </c>
      <c r="R6789" s="14">
        <v>160</v>
      </c>
      <c r="S6789" s="19">
        <v>134240</v>
      </c>
      <c r="AJ6789" s="19">
        <v>0</v>
      </c>
      <c r="AK6789" s="23">
        <v>0</v>
      </c>
      <c r="AM6789" s="19">
        <v>0</v>
      </c>
      <c r="AN6789" s="19">
        <v>134240</v>
      </c>
      <c r="AP6789" s="14">
        <v>134240</v>
      </c>
    </row>
    <row r="6790" spans="1:45" x14ac:dyDescent="0.2">
      <c r="A6790" s="122">
        <f t="shared" si="690"/>
        <v>5565</v>
      </c>
      <c r="B6790" s="13">
        <v>2</v>
      </c>
      <c r="C6790" s="17" t="s">
        <v>52</v>
      </c>
      <c r="D6790" s="17">
        <v>17709</v>
      </c>
      <c r="E6790" s="17">
        <v>46</v>
      </c>
      <c r="F6790" s="17">
        <v>3837</v>
      </c>
      <c r="G6790" s="13">
        <v>3</v>
      </c>
      <c r="H6790" s="17">
        <v>11</v>
      </c>
      <c r="I6790" s="17">
        <v>3</v>
      </c>
      <c r="J6790" s="17">
        <v>23</v>
      </c>
      <c r="K6790" s="10">
        <v>4723</v>
      </c>
      <c r="P6790" s="17">
        <v>1</v>
      </c>
      <c r="Q6790" s="19">
        <v>4723</v>
      </c>
      <c r="R6790" s="14">
        <v>160</v>
      </c>
      <c r="S6790" s="19">
        <v>755680</v>
      </c>
      <c r="AJ6790" s="19">
        <v>0</v>
      </c>
      <c r="AK6790" s="23">
        <v>0</v>
      </c>
      <c r="AM6790" s="19">
        <v>0</v>
      </c>
      <c r="AN6790" s="19">
        <v>755680</v>
      </c>
      <c r="AP6790" s="14">
        <v>755680</v>
      </c>
    </row>
    <row r="6791" spans="1:45" x14ac:dyDescent="0.2">
      <c r="A6791" s="122">
        <f t="shared" si="690"/>
        <v>5566</v>
      </c>
      <c r="B6791" s="13">
        <v>3</v>
      </c>
      <c r="C6791" s="17" t="s">
        <v>52</v>
      </c>
      <c r="D6791" s="17">
        <v>17710</v>
      </c>
      <c r="E6791" s="17">
        <v>47</v>
      </c>
      <c r="F6791" s="17">
        <v>3838</v>
      </c>
      <c r="G6791" s="13">
        <v>3</v>
      </c>
      <c r="H6791" s="17">
        <v>17</v>
      </c>
      <c r="I6791" s="17">
        <v>3</v>
      </c>
      <c r="J6791" s="17">
        <v>82</v>
      </c>
      <c r="K6791" s="10">
        <v>7182</v>
      </c>
      <c r="P6791" s="17">
        <v>1</v>
      </c>
      <c r="Q6791" s="19">
        <v>7182</v>
      </c>
      <c r="R6791" s="14">
        <v>160</v>
      </c>
      <c r="S6791" s="19">
        <v>1149120</v>
      </c>
      <c r="AJ6791" s="19">
        <v>0</v>
      </c>
      <c r="AK6791" s="23">
        <v>0</v>
      </c>
      <c r="AM6791" s="19">
        <v>0</v>
      </c>
      <c r="AN6791" s="19">
        <v>1149120</v>
      </c>
      <c r="AP6791" s="14">
        <v>1149120</v>
      </c>
    </row>
    <row r="6792" spans="1:45" x14ac:dyDescent="0.2">
      <c r="A6792" s="122">
        <f t="shared" si="690"/>
        <v>5567</v>
      </c>
      <c r="B6792" s="13">
        <v>4</v>
      </c>
      <c r="C6792" s="17" t="s">
        <v>52</v>
      </c>
      <c r="D6792" s="17">
        <v>17712</v>
      </c>
      <c r="E6792" s="17">
        <v>48</v>
      </c>
      <c r="F6792" s="17">
        <v>3840</v>
      </c>
      <c r="G6792" s="13">
        <v>3</v>
      </c>
      <c r="H6792" s="17">
        <v>4</v>
      </c>
      <c r="I6792" s="17">
        <v>3</v>
      </c>
      <c r="J6792" s="17">
        <v>63</v>
      </c>
      <c r="K6792" s="10">
        <v>1563</v>
      </c>
      <c r="P6792" s="17">
        <v>1</v>
      </c>
      <c r="Q6792" s="19">
        <v>1963</v>
      </c>
      <c r="R6792" s="14">
        <v>160</v>
      </c>
      <c r="S6792" s="19">
        <v>314080</v>
      </c>
      <c r="AJ6792" s="19">
        <v>0</v>
      </c>
      <c r="AK6792" s="23">
        <v>0</v>
      </c>
      <c r="AM6792" s="19">
        <v>0</v>
      </c>
      <c r="AN6792" s="19">
        <v>314080</v>
      </c>
      <c r="AP6792" s="14">
        <v>314080</v>
      </c>
    </row>
    <row r="6793" spans="1:45" ht="42" x14ac:dyDescent="0.2">
      <c r="A6793" s="122">
        <f t="shared" si="690"/>
        <v>5568</v>
      </c>
      <c r="B6793" s="13">
        <v>5</v>
      </c>
      <c r="C6793" s="17" t="s">
        <v>65</v>
      </c>
      <c r="D6793" s="17">
        <v>2621</v>
      </c>
      <c r="E6793" s="17">
        <v>165</v>
      </c>
      <c r="H6793" s="17">
        <v>8</v>
      </c>
      <c r="I6793" s="17">
        <v>3</v>
      </c>
      <c r="J6793" s="17">
        <v>86</v>
      </c>
      <c r="K6793" s="10">
        <v>3586</v>
      </c>
      <c r="P6793" s="17">
        <v>1</v>
      </c>
      <c r="Q6793" s="19">
        <v>3586</v>
      </c>
      <c r="R6793" s="14">
        <v>160</v>
      </c>
      <c r="S6793" s="19">
        <v>573760</v>
      </c>
      <c r="AD6793" s="14" t="s">
        <v>220</v>
      </c>
      <c r="AE6793" s="17" t="s">
        <v>94</v>
      </c>
      <c r="AJ6793" s="19">
        <v>0</v>
      </c>
      <c r="AK6793" s="23">
        <v>0</v>
      </c>
      <c r="AM6793" s="19">
        <v>0</v>
      </c>
      <c r="AN6793" s="19">
        <v>573760</v>
      </c>
      <c r="AP6793" s="14">
        <v>573760</v>
      </c>
      <c r="AQ6793" s="12">
        <v>1E-4</v>
      </c>
    </row>
    <row r="6794" spans="1:45" x14ac:dyDescent="0.2">
      <c r="A6794" s="122">
        <f t="shared" si="690"/>
        <v>5569</v>
      </c>
      <c r="B6794" s="13">
        <v>1</v>
      </c>
      <c r="C6794" s="17" t="s">
        <v>52</v>
      </c>
      <c r="D6794" s="17">
        <v>1634</v>
      </c>
      <c r="E6794" s="17">
        <v>40</v>
      </c>
      <c r="F6794" s="17">
        <v>1414</v>
      </c>
      <c r="G6794" s="13">
        <v>2</v>
      </c>
      <c r="H6794" s="17">
        <v>0</v>
      </c>
      <c r="I6794" s="17">
        <v>0</v>
      </c>
      <c r="J6794" s="17">
        <v>29</v>
      </c>
      <c r="L6794" s="17" t="s">
        <v>698</v>
      </c>
      <c r="P6794" s="17">
        <v>2</v>
      </c>
      <c r="Q6794" s="19">
        <v>29</v>
      </c>
      <c r="R6794" s="14">
        <v>4500</v>
      </c>
      <c r="S6794" s="19">
        <v>130500</v>
      </c>
      <c r="AJ6794" s="19">
        <v>0</v>
      </c>
      <c r="AK6794" s="23">
        <v>0</v>
      </c>
      <c r="AM6794" s="19">
        <v>0</v>
      </c>
      <c r="AN6794" s="19">
        <v>130500</v>
      </c>
      <c r="AP6794" s="14">
        <v>130500</v>
      </c>
      <c r="AS6794" s="26">
        <v>228</v>
      </c>
    </row>
    <row r="6795" spans="1:45" x14ac:dyDescent="0.2">
      <c r="A6795" s="122">
        <f t="shared" si="690"/>
        <v>5570</v>
      </c>
      <c r="B6795" s="13">
        <v>2</v>
      </c>
      <c r="C6795" s="17" t="s">
        <v>65</v>
      </c>
      <c r="D6795" s="17">
        <v>965</v>
      </c>
      <c r="E6795" s="17">
        <v>19</v>
      </c>
      <c r="H6795" s="17">
        <v>41</v>
      </c>
      <c r="I6795" s="17">
        <v>1</v>
      </c>
      <c r="J6795" s="17">
        <v>46</v>
      </c>
      <c r="K6795" s="10">
        <v>16546</v>
      </c>
      <c r="P6795" s="17">
        <v>1</v>
      </c>
      <c r="Q6795" s="19">
        <v>16546</v>
      </c>
      <c r="R6795" s="14">
        <v>500</v>
      </c>
      <c r="S6795" s="19">
        <v>8273000</v>
      </c>
      <c r="AJ6795" s="19">
        <v>0</v>
      </c>
      <c r="AK6795" s="23">
        <v>0</v>
      </c>
      <c r="AM6795" s="19">
        <v>0</v>
      </c>
      <c r="AN6795" s="19">
        <v>8273000</v>
      </c>
      <c r="AP6795" s="14">
        <v>8273000</v>
      </c>
      <c r="AQ6795" s="12">
        <v>1E-4</v>
      </c>
    </row>
    <row r="6796" spans="1:45" x14ac:dyDescent="0.2">
      <c r="A6796" s="122">
        <f t="shared" si="690"/>
        <v>5571</v>
      </c>
    </row>
    <row r="6797" spans="1:45" x14ac:dyDescent="0.2">
      <c r="A6797" s="122">
        <f t="shared" si="690"/>
        <v>5572</v>
      </c>
      <c r="B6797" s="13">
        <v>1</v>
      </c>
      <c r="C6797" s="17" t="s">
        <v>65</v>
      </c>
      <c r="D6797" s="17">
        <v>1584</v>
      </c>
      <c r="E6797" s="17">
        <v>155</v>
      </c>
      <c r="H6797" s="17">
        <v>3</v>
      </c>
      <c r="I6797" s="17">
        <v>3</v>
      </c>
      <c r="J6797" s="17">
        <v>63</v>
      </c>
      <c r="K6797" s="10">
        <v>1563</v>
      </c>
      <c r="P6797" s="17">
        <v>1</v>
      </c>
      <c r="Q6797" s="19">
        <v>1563</v>
      </c>
      <c r="R6797" s="14">
        <v>160</v>
      </c>
      <c r="S6797" s="19">
        <v>250080</v>
      </c>
      <c r="AJ6797" s="19">
        <v>0</v>
      </c>
      <c r="AK6797" s="23">
        <v>0</v>
      </c>
      <c r="AM6797" s="19">
        <v>0</v>
      </c>
      <c r="AN6797" s="19">
        <v>250080</v>
      </c>
      <c r="AP6797" s="14">
        <v>250080</v>
      </c>
      <c r="AQ6797" s="12">
        <v>1E-4</v>
      </c>
      <c r="AS6797" s="26">
        <v>61</v>
      </c>
    </row>
    <row r="6798" spans="1:45" x14ac:dyDescent="0.2">
      <c r="A6798" s="122">
        <f t="shared" si="690"/>
        <v>5573</v>
      </c>
      <c r="B6798" s="13">
        <v>2</v>
      </c>
      <c r="C6798" s="17" t="s">
        <v>65</v>
      </c>
      <c r="D6798" s="17">
        <v>1585</v>
      </c>
      <c r="E6798" s="17">
        <v>156</v>
      </c>
      <c r="H6798" s="17">
        <v>1</v>
      </c>
      <c r="I6798" s="17">
        <v>1</v>
      </c>
      <c r="J6798" s="17">
        <v>80</v>
      </c>
      <c r="K6798" s="10">
        <v>580</v>
      </c>
      <c r="P6798" s="17">
        <v>1</v>
      </c>
      <c r="Q6798" s="19">
        <v>580</v>
      </c>
      <c r="R6798" s="14">
        <v>160</v>
      </c>
      <c r="S6798" s="19">
        <v>92800</v>
      </c>
      <c r="AJ6798" s="19">
        <v>0</v>
      </c>
      <c r="AK6798" s="23">
        <v>0</v>
      </c>
      <c r="AM6798" s="19">
        <v>0</v>
      </c>
      <c r="AN6798" s="19">
        <v>92800</v>
      </c>
      <c r="AP6798" s="14">
        <v>92800</v>
      </c>
      <c r="AQ6798" s="12">
        <v>1E-4</v>
      </c>
    </row>
    <row r="6799" spans="1:45" x14ac:dyDescent="0.2">
      <c r="A6799" s="122">
        <f t="shared" si="690"/>
        <v>5574</v>
      </c>
      <c r="B6799" s="13">
        <v>3</v>
      </c>
      <c r="C6799" s="17" t="s">
        <v>65</v>
      </c>
      <c r="D6799" s="17">
        <v>1586</v>
      </c>
      <c r="E6799" s="17">
        <v>157</v>
      </c>
      <c r="H6799" s="17">
        <v>1</v>
      </c>
      <c r="I6799" s="17">
        <v>1</v>
      </c>
      <c r="J6799" s="17">
        <v>66</v>
      </c>
      <c r="K6799" s="10">
        <v>566</v>
      </c>
      <c r="P6799" s="17">
        <v>1</v>
      </c>
      <c r="Q6799" s="19">
        <v>566</v>
      </c>
      <c r="R6799" s="14">
        <v>160</v>
      </c>
      <c r="S6799" s="19">
        <v>90560</v>
      </c>
      <c r="AJ6799" s="19">
        <v>0</v>
      </c>
      <c r="AK6799" s="23">
        <v>0</v>
      </c>
      <c r="AM6799" s="19">
        <v>0</v>
      </c>
      <c r="AN6799" s="19">
        <v>90560</v>
      </c>
      <c r="AP6799" s="14">
        <v>90560</v>
      </c>
      <c r="AQ6799" s="12">
        <v>1E-4</v>
      </c>
    </row>
    <row r="6800" spans="1:45" x14ac:dyDescent="0.2">
      <c r="A6800" s="122">
        <f t="shared" si="690"/>
        <v>5575</v>
      </c>
      <c r="B6800" s="13">
        <v>4</v>
      </c>
      <c r="C6800" s="17" t="s">
        <v>65</v>
      </c>
      <c r="D6800" s="17">
        <v>1587</v>
      </c>
      <c r="E6800" s="17">
        <v>158</v>
      </c>
      <c r="H6800" s="17">
        <v>2</v>
      </c>
      <c r="I6800" s="17">
        <v>3</v>
      </c>
      <c r="J6800" s="17">
        <v>33</v>
      </c>
      <c r="K6800" s="10">
        <v>1133</v>
      </c>
      <c r="P6800" s="17">
        <v>1</v>
      </c>
      <c r="Q6800" s="19">
        <v>1133</v>
      </c>
      <c r="R6800" s="14">
        <v>160</v>
      </c>
      <c r="S6800" s="19">
        <v>181280</v>
      </c>
      <c r="AJ6800" s="19">
        <v>0</v>
      </c>
      <c r="AK6800" s="23">
        <v>0</v>
      </c>
      <c r="AM6800" s="19">
        <v>0</v>
      </c>
      <c r="AN6800" s="19">
        <v>181280</v>
      </c>
      <c r="AP6800" s="14">
        <v>181280</v>
      </c>
      <c r="AQ6800" s="12">
        <v>1E-4</v>
      </c>
    </row>
    <row r="6801" spans="1:45" s="19" customFormat="1" x14ac:dyDescent="0.2">
      <c r="A6801" s="122">
        <f t="shared" si="690"/>
        <v>5576</v>
      </c>
      <c r="B6801" s="13">
        <v>1</v>
      </c>
      <c r="C6801" s="17" t="s">
        <v>52</v>
      </c>
      <c r="D6801" s="17">
        <v>2752</v>
      </c>
      <c r="E6801" s="17">
        <v>8</v>
      </c>
      <c r="F6801" s="17">
        <v>1941</v>
      </c>
      <c r="G6801" s="13">
        <v>1</v>
      </c>
      <c r="H6801" s="17">
        <v>25</v>
      </c>
      <c r="I6801" s="17">
        <v>3</v>
      </c>
      <c r="J6801" s="17">
        <v>5</v>
      </c>
      <c r="K6801" s="10">
        <v>10305</v>
      </c>
      <c r="L6801" s="17"/>
      <c r="M6801" s="15"/>
      <c r="N6801" s="18"/>
      <c r="O6801" s="14"/>
      <c r="P6801" s="17">
        <v>1</v>
      </c>
      <c r="Q6801" s="19">
        <v>10305</v>
      </c>
      <c r="R6801" s="14">
        <v>200</v>
      </c>
      <c r="S6801" s="19">
        <v>2061000</v>
      </c>
      <c r="T6801" s="17"/>
      <c r="U6801" s="17"/>
      <c r="V6801" s="17"/>
      <c r="W6801" s="4"/>
      <c r="X6801" s="17"/>
      <c r="Y6801" s="4"/>
      <c r="Z6801" s="17"/>
      <c r="AA6801" s="17"/>
      <c r="AB6801" s="17"/>
      <c r="AC6801" s="14"/>
      <c r="AD6801" s="14"/>
      <c r="AE6801" s="17"/>
      <c r="AF6801" s="14"/>
      <c r="AG6801" s="54"/>
      <c r="AH6801" s="11"/>
      <c r="AI6801" s="14"/>
      <c r="AJ6801" s="19">
        <v>0</v>
      </c>
      <c r="AK6801" s="23">
        <v>0</v>
      </c>
      <c r="AL6801" s="11"/>
      <c r="AM6801" s="19">
        <v>0</v>
      </c>
      <c r="AN6801" s="19">
        <v>2061000</v>
      </c>
      <c r="AO6801" s="14"/>
      <c r="AP6801" s="14">
        <v>2061000</v>
      </c>
      <c r="AQ6801" s="12"/>
      <c r="AS6801" s="26"/>
    </row>
    <row r="6802" spans="1:45" s="19" customFormat="1" x14ac:dyDescent="0.2">
      <c r="A6802" s="122">
        <f t="shared" si="690"/>
        <v>5577</v>
      </c>
      <c r="B6802" s="13">
        <v>2</v>
      </c>
      <c r="C6802" s="17" t="s">
        <v>52</v>
      </c>
      <c r="D6802" s="17">
        <v>2753</v>
      </c>
      <c r="E6802" s="17">
        <v>7</v>
      </c>
      <c r="F6802" s="17">
        <v>1942</v>
      </c>
      <c r="G6802" s="13">
        <v>1</v>
      </c>
      <c r="H6802" s="17">
        <v>7</v>
      </c>
      <c r="I6802" s="17">
        <v>0</v>
      </c>
      <c r="J6802" s="17">
        <v>26</v>
      </c>
      <c r="K6802" s="10">
        <v>2826</v>
      </c>
      <c r="L6802" s="17"/>
      <c r="M6802" s="15"/>
      <c r="N6802" s="18"/>
      <c r="O6802" s="14"/>
      <c r="P6802" s="17">
        <v>1</v>
      </c>
      <c r="Q6802" s="19">
        <v>2826</v>
      </c>
      <c r="R6802" s="14">
        <v>160</v>
      </c>
      <c r="S6802" s="19">
        <v>452160</v>
      </c>
      <c r="T6802" s="17"/>
      <c r="U6802" s="17"/>
      <c r="V6802" s="17"/>
      <c r="W6802" s="4"/>
      <c r="X6802" s="17"/>
      <c r="Y6802" s="4"/>
      <c r="Z6802" s="17"/>
      <c r="AA6802" s="17"/>
      <c r="AB6802" s="17"/>
      <c r="AC6802" s="14"/>
      <c r="AD6802" s="14"/>
      <c r="AE6802" s="17"/>
      <c r="AF6802" s="14"/>
      <c r="AG6802" s="54"/>
      <c r="AH6802" s="11"/>
      <c r="AI6802" s="14"/>
      <c r="AJ6802" s="19">
        <v>0</v>
      </c>
      <c r="AK6802" s="23">
        <v>0</v>
      </c>
      <c r="AL6802" s="11"/>
      <c r="AM6802" s="19">
        <v>0</v>
      </c>
      <c r="AN6802" s="19">
        <v>452160</v>
      </c>
      <c r="AO6802" s="14"/>
      <c r="AP6802" s="14">
        <v>452160</v>
      </c>
      <c r="AQ6802" s="12"/>
      <c r="AS6802" s="26"/>
    </row>
    <row r="6803" spans="1:45" s="19" customFormat="1" x14ac:dyDescent="0.2">
      <c r="A6803" s="122">
        <f t="shared" si="690"/>
        <v>5578</v>
      </c>
      <c r="B6803" s="13">
        <v>3</v>
      </c>
      <c r="C6803" s="17" t="s">
        <v>52</v>
      </c>
      <c r="D6803" s="17">
        <v>2780</v>
      </c>
      <c r="E6803" s="17">
        <v>14</v>
      </c>
      <c r="F6803" s="17">
        <v>1973</v>
      </c>
      <c r="G6803" s="13">
        <v>1</v>
      </c>
      <c r="H6803" s="17">
        <v>35</v>
      </c>
      <c r="I6803" s="17">
        <v>0</v>
      </c>
      <c r="J6803" s="17">
        <v>86</v>
      </c>
      <c r="K6803" s="10">
        <v>14086</v>
      </c>
      <c r="L6803" s="17"/>
      <c r="M6803" s="15"/>
      <c r="N6803" s="18"/>
      <c r="O6803" s="14"/>
      <c r="P6803" s="17">
        <v>1</v>
      </c>
      <c r="Q6803" s="19">
        <v>14086</v>
      </c>
      <c r="R6803" s="14">
        <v>160</v>
      </c>
      <c r="S6803" s="19">
        <v>2253760</v>
      </c>
      <c r="T6803" s="17"/>
      <c r="U6803" s="17"/>
      <c r="V6803" s="17"/>
      <c r="W6803" s="4"/>
      <c r="X6803" s="17"/>
      <c r="Y6803" s="4"/>
      <c r="Z6803" s="17"/>
      <c r="AA6803" s="17"/>
      <c r="AB6803" s="17"/>
      <c r="AC6803" s="14"/>
      <c r="AD6803" s="14"/>
      <c r="AE6803" s="17"/>
      <c r="AF6803" s="14"/>
      <c r="AG6803" s="54"/>
      <c r="AH6803" s="11"/>
      <c r="AI6803" s="14"/>
      <c r="AJ6803" s="19">
        <v>0</v>
      </c>
      <c r="AK6803" s="23">
        <v>0</v>
      </c>
      <c r="AL6803" s="11"/>
      <c r="AM6803" s="19">
        <v>0</v>
      </c>
      <c r="AN6803" s="19">
        <v>2253760</v>
      </c>
      <c r="AO6803" s="14"/>
      <c r="AP6803" s="14">
        <v>2253760</v>
      </c>
      <c r="AQ6803" s="12"/>
      <c r="AS6803" s="26"/>
    </row>
    <row r="6804" spans="1:45" s="19" customFormat="1" x14ac:dyDescent="0.2">
      <c r="A6804" s="122">
        <f t="shared" si="690"/>
        <v>5579</v>
      </c>
      <c r="B6804" s="13">
        <v>4</v>
      </c>
      <c r="C6804" s="17" t="s">
        <v>52</v>
      </c>
      <c r="D6804" s="17">
        <v>2781</v>
      </c>
      <c r="E6804" s="17">
        <v>16</v>
      </c>
      <c r="F6804" s="17">
        <v>1974</v>
      </c>
      <c r="G6804" s="13">
        <v>1</v>
      </c>
      <c r="H6804" s="17">
        <v>8</v>
      </c>
      <c r="I6804" s="17">
        <v>0</v>
      </c>
      <c r="J6804" s="17">
        <v>71</v>
      </c>
      <c r="K6804" s="10">
        <v>3271</v>
      </c>
      <c r="L6804" s="17"/>
      <c r="M6804" s="15"/>
      <c r="N6804" s="18"/>
      <c r="O6804" s="14"/>
      <c r="P6804" s="17">
        <v>1</v>
      </c>
      <c r="Q6804" s="19">
        <v>3271</v>
      </c>
      <c r="R6804" s="14">
        <v>160</v>
      </c>
      <c r="S6804" s="19">
        <v>523360</v>
      </c>
      <c r="T6804" s="17"/>
      <c r="U6804" s="17"/>
      <c r="V6804" s="17"/>
      <c r="W6804" s="4"/>
      <c r="X6804" s="17"/>
      <c r="Y6804" s="4"/>
      <c r="Z6804" s="17"/>
      <c r="AA6804" s="17"/>
      <c r="AB6804" s="17"/>
      <c r="AC6804" s="14"/>
      <c r="AD6804" s="14"/>
      <c r="AE6804" s="17"/>
      <c r="AF6804" s="14"/>
      <c r="AG6804" s="54"/>
      <c r="AH6804" s="11"/>
      <c r="AI6804" s="14"/>
      <c r="AJ6804" s="19">
        <v>0</v>
      </c>
      <c r="AK6804" s="23">
        <v>0</v>
      </c>
      <c r="AL6804" s="11"/>
      <c r="AM6804" s="19">
        <v>0</v>
      </c>
      <c r="AN6804" s="19">
        <v>523360</v>
      </c>
      <c r="AO6804" s="14"/>
      <c r="AP6804" s="14">
        <v>523360</v>
      </c>
      <c r="AQ6804" s="12"/>
      <c r="AS6804" s="26"/>
    </row>
    <row r="6805" spans="1:45" s="19" customFormat="1" x14ac:dyDescent="0.2">
      <c r="A6805" s="122">
        <f t="shared" si="690"/>
        <v>5580</v>
      </c>
      <c r="B6805" s="13">
        <v>1</v>
      </c>
      <c r="C6805" s="17" t="s">
        <v>52</v>
      </c>
      <c r="D6805" s="17">
        <v>981</v>
      </c>
      <c r="E6805" s="17">
        <v>20</v>
      </c>
      <c r="F6805" s="17">
        <v>227</v>
      </c>
      <c r="G6805" s="13">
        <v>1</v>
      </c>
      <c r="H6805" s="17">
        <v>4</v>
      </c>
      <c r="I6805" s="17">
        <v>3</v>
      </c>
      <c r="J6805" s="17">
        <v>31</v>
      </c>
      <c r="K6805" s="10" t="s">
        <v>699</v>
      </c>
      <c r="L6805" s="17"/>
      <c r="M6805" s="15"/>
      <c r="N6805" s="18"/>
      <c r="O6805" s="14"/>
      <c r="P6805" s="17">
        <v>1</v>
      </c>
      <c r="Q6805" s="19">
        <v>1931</v>
      </c>
      <c r="R6805" s="14">
        <v>250</v>
      </c>
      <c r="S6805" s="19">
        <v>482750</v>
      </c>
      <c r="T6805" s="17"/>
      <c r="U6805" s="17"/>
      <c r="V6805" s="17"/>
      <c r="W6805" s="4"/>
      <c r="X6805" s="17"/>
      <c r="Y6805" s="4"/>
      <c r="Z6805" s="17"/>
      <c r="AA6805" s="17"/>
      <c r="AB6805" s="17"/>
      <c r="AC6805" s="14"/>
      <c r="AD6805" s="14"/>
      <c r="AE6805" s="17"/>
      <c r="AF6805" s="14"/>
      <c r="AG6805" s="54"/>
      <c r="AH6805" s="11"/>
      <c r="AI6805" s="14"/>
      <c r="AJ6805" s="19">
        <v>0</v>
      </c>
      <c r="AK6805" s="23">
        <v>0</v>
      </c>
      <c r="AL6805" s="11"/>
      <c r="AM6805" s="19">
        <v>0</v>
      </c>
      <c r="AN6805" s="19">
        <v>482750</v>
      </c>
      <c r="AO6805" s="14"/>
      <c r="AP6805" s="14">
        <v>482750</v>
      </c>
      <c r="AQ6805" s="12"/>
      <c r="AS6805" s="26"/>
    </row>
    <row r="6806" spans="1:45" s="19" customFormat="1" ht="42" x14ac:dyDescent="0.2">
      <c r="A6806" s="122">
        <f t="shared" si="690"/>
        <v>5581</v>
      </c>
      <c r="B6806" s="13">
        <v>2</v>
      </c>
      <c r="C6806" s="17" t="s">
        <v>52</v>
      </c>
      <c r="D6806" s="17">
        <v>1020</v>
      </c>
      <c r="E6806" s="17">
        <v>29</v>
      </c>
      <c r="F6806" s="17">
        <v>200</v>
      </c>
      <c r="G6806" s="13">
        <v>1</v>
      </c>
      <c r="H6806" s="17">
        <v>1</v>
      </c>
      <c r="I6806" s="17">
        <v>1</v>
      </c>
      <c r="J6806" s="17">
        <v>45</v>
      </c>
      <c r="K6806" s="10">
        <v>510</v>
      </c>
      <c r="L6806" s="17">
        <v>35</v>
      </c>
      <c r="M6806" s="15"/>
      <c r="N6806" s="18"/>
      <c r="O6806" s="14"/>
      <c r="P6806" s="17">
        <v>5</v>
      </c>
      <c r="Q6806" s="19">
        <v>545</v>
      </c>
      <c r="R6806" s="14">
        <v>2250</v>
      </c>
      <c r="S6806" s="19">
        <v>1226250</v>
      </c>
      <c r="T6806" s="17">
        <v>1</v>
      </c>
      <c r="U6806" s="17"/>
      <c r="V6806" s="17" t="s">
        <v>183</v>
      </c>
      <c r="W6806" s="4">
        <v>140</v>
      </c>
      <c r="X6806" s="17"/>
      <c r="Y6806" s="4">
        <v>140</v>
      </c>
      <c r="Z6806" s="17"/>
      <c r="AA6806" s="17"/>
      <c r="AB6806" s="17">
        <v>21</v>
      </c>
      <c r="AC6806" s="14"/>
      <c r="AD6806" s="14"/>
      <c r="AE6806" s="17"/>
      <c r="AF6806" s="14"/>
      <c r="AG6806" s="54"/>
      <c r="AH6806" s="11"/>
      <c r="AI6806" s="14"/>
      <c r="AJ6806" s="19">
        <v>0</v>
      </c>
      <c r="AK6806" s="23">
        <v>21</v>
      </c>
      <c r="AL6806" s="11"/>
      <c r="AM6806" s="19">
        <v>0</v>
      </c>
      <c r="AN6806" s="19">
        <v>1226250</v>
      </c>
      <c r="AO6806" s="14"/>
      <c r="AP6806" s="14">
        <v>1226250</v>
      </c>
      <c r="AQ6806" s="12"/>
      <c r="AS6806" s="26"/>
    </row>
    <row r="6807" spans="1:45" s="19" customFormat="1" x14ac:dyDescent="0.2">
      <c r="A6807" s="122">
        <f t="shared" si="690"/>
        <v>5582</v>
      </c>
      <c r="B6807" s="13">
        <v>3</v>
      </c>
      <c r="C6807" s="17" t="s">
        <v>52</v>
      </c>
      <c r="D6807" s="17">
        <v>25045</v>
      </c>
      <c r="E6807" s="17">
        <v>215</v>
      </c>
      <c r="F6807" s="17">
        <v>4955</v>
      </c>
      <c r="G6807" s="13">
        <v>1</v>
      </c>
      <c r="H6807" s="17">
        <v>3</v>
      </c>
      <c r="I6807" s="17">
        <v>0</v>
      </c>
      <c r="J6807" s="17">
        <v>34</v>
      </c>
      <c r="K6807" s="10">
        <v>1234</v>
      </c>
      <c r="L6807" s="17"/>
      <c r="M6807" s="15"/>
      <c r="N6807" s="18"/>
      <c r="O6807" s="14"/>
      <c r="P6807" s="17">
        <v>1</v>
      </c>
      <c r="Q6807" s="19">
        <v>1234</v>
      </c>
      <c r="R6807" s="14">
        <v>160</v>
      </c>
      <c r="S6807" s="19">
        <v>197440</v>
      </c>
      <c r="T6807" s="17"/>
      <c r="U6807" s="17"/>
      <c r="V6807" s="17"/>
      <c r="W6807" s="4"/>
      <c r="X6807" s="17"/>
      <c r="Y6807" s="4"/>
      <c r="Z6807" s="17"/>
      <c r="AA6807" s="17"/>
      <c r="AB6807" s="17"/>
      <c r="AC6807" s="14"/>
      <c r="AD6807" s="14"/>
      <c r="AE6807" s="17"/>
      <c r="AF6807" s="14"/>
      <c r="AG6807" s="54"/>
      <c r="AH6807" s="11"/>
      <c r="AI6807" s="14"/>
      <c r="AJ6807" s="19">
        <v>0</v>
      </c>
      <c r="AK6807" s="23">
        <v>0</v>
      </c>
      <c r="AL6807" s="11"/>
      <c r="AM6807" s="19">
        <v>0</v>
      </c>
      <c r="AN6807" s="19">
        <v>197440</v>
      </c>
      <c r="AO6807" s="14"/>
      <c r="AP6807" s="14">
        <v>197440</v>
      </c>
      <c r="AQ6807" s="12"/>
      <c r="AS6807" s="26"/>
    </row>
    <row r="6808" spans="1:45" s="19" customFormat="1" x14ac:dyDescent="0.2">
      <c r="A6808" s="122">
        <f t="shared" si="690"/>
        <v>5583</v>
      </c>
      <c r="B6808" s="13">
        <v>1</v>
      </c>
      <c r="C6808" s="17" t="s">
        <v>52</v>
      </c>
      <c r="D6808" s="17">
        <v>388</v>
      </c>
      <c r="E6808" s="17">
        <v>501</v>
      </c>
      <c r="F6808" s="17">
        <v>33</v>
      </c>
      <c r="G6808" s="13"/>
      <c r="H6808" s="17">
        <v>8</v>
      </c>
      <c r="I6808" s="17">
        <v>0</v>
      </c>
      <c r="J6808" s="17">
        <v>96.06</v>
      </c>
      <c r="K6808" s="10" t="s">
        <v>700</v>
      </c>
      <c r="L6808" s="17"/>
      <c r="M6808" s="15"/>
      <c r="N6808" s="18"/>
      <c r="O6808" s="14"/>
      <c r="P6808" s="17">
        <v>1</v>
      </c>
      <c r="Q6808" s="19">
        <v>3296.06</v>
      </c>
      <c r="R6808" s="14">
        <v>160</v>
      </c>
      <c r="S6808" s="19">
        <v>527369.6</v>
      </c>
      <c r="T6808" s="17"/>
      <c r="U6808" s="17"/>
      <c r="V6808" s="17"/>
      <c r="W6808" s="4"/>
      <c r="X6808" s="17"/>
      <c r="Y6808" s="4"/>
      <c r="Z6808" s="17"/>
      <c r="AA6808" s="17"/>
      <c r="AB6808" s="17"/>
      <c r="AC6808" s="14"/>
      <c r="AD6808" s="14"/>
      <c r="AE6808" s="17" t="s">
        <v>427</v>
      </c>
      <c r="AF6808" s="14"/>
      <c r="AG6808" s="54"/>
      <c r="AH6808" s="11"/>
      <c r="AI6808" s="14"/>
      <c r="AJ6808" s="19">
        <v>0</v>
      </c>
      <c r="AK6808" s="23">
        <v>0</v>
      </c>
      <c r="AL6808" s="11"/>
      <c r="AM6808" s="19">
        <v>0</v>
      </c>
      <c r="AN6808" s="19">
        <v>527369.6</v>
      </c>
      <c r="AO6808" s="14"/>
      <c r="AP6808" s="14">
        <v>527369.6</v>
      </c>
      <c r="AQ6808" s="12"/>
      <c r="AS6808" s="26"/>
    </row>
    <row r="6809" spans="1:45" s="19" customFormat="1" x14ac:dyDescent="0.2">
      <c r="A6809" s="122">
        <f t="shared" si="690"/>
        <v>5584</v>
      </c>
      <c r="B6809" s="13">
        <v>2</v>
      </c>
      <c r="C6809" s="17" t="s">
        <v>52</v>
      </c>
      <c r="D6809" s="17">
        <v>1740</v>
      </c>
      <c r="E6809" s="17">
        <v>3</v>
      </c>
      <c r="F6809" s="17">
        <v>1424</v>
      </c>
      <c r="G6809" s="13">
        <v>3</v>
      </c>
      <c r="H6809" s="17">
        <v>4</v>
      </c>
      <c r="I6809" s="17">
        <v>3</v>
      </c>
      <c r="J6809" s="17">
        <v>2</v>
      </c>
      <c r="K6809" s="10">
        <v>1902</v>
      </c>
      <c r="L6809" s="17"/>
      <c r="M6809" s="15"/>
      <c r="N6809" s="18"/>
      <c r="O6809" s="14"/>
      <c r="P6809" s="17">
        <v>1</v>
      </c>
      <c r="Q6809" s="19">
        <v>1902</v>
      </c>
      <c r="R6809" s="14">
        <v>160</v>
      </c>
      <c r="S6809" s="19">
        <v>304320</v>
      </c>
      <c r="T6809" s="17"/>
      <c r="U6809" s="17"/>
      <c r="V6809" s="17"/>
      <c r="W6809" s="4"/>
      <c r="X6809" s="17"/>
      <c r="Y6809" s="4"/>
      <c r="Z6809" s="17"/>
      <c r="AA6809" s="17"/>
      <c r="AB6809" s="17"/>
      <c r="AC6809" s="14"/>
      <c r="AD6809" s="14"/>
      <c r="AE6809" s="17"/>
      <c r="AF6809" s="14"/>
      <c r="AG6809" s="54"/>
      <c r="AH6809" s="11"/>
      <c r="AI6809" s="14"/>
      <c r="AJ6809" s="19">
        <v>0</v>
      </c>
      <c r="AK6809" s="23">
        <v>0</v>
      </c>
      <c r="AL6809" s="11"/>
      <c r="AM6809" s="19">
        <v>0</v>
      </c>
      <c r="AN6809" s="19">
        <v>304320</v>
      </c>
      <c r="AO6809" s="14"/>
      <c r="AP6809" s="14">
        <v>304320</v>
      </c>
      <c r="AQ6809" s="12"/>
      <c r="AS6809" s="26"/>
    </row>
    <row r="6810" spans="1:45" s="19" customFormat="1" x14ac:dyDescent="0.2">
      <c r="A6810" s="122">
        <f t="shared" si="690"/>
        <v>5585</v>
      </c>
      <c r="B6810" s="13">
        <v>3</v>
      </c>
      <c r="C6810" s="17" t="s">
        <v>52</v>
      </c>
      <c r="D6810" s="17">
        <v>2133</v>
      </c>
      <c r="E6810" s="17">
        <v>14</v>
      </c>
      <c r="F6810" s="17">
        <v>1119</v>
      </c>
      <c r="G6810" s="13"/>
      <c r="H6810" s="17">
        <v>3</v>
      </c>
      <c r="I6810" s="17">
        <v>1</v>
      </c>
      <c r="J6810" s="17">
        <v>83</v>
      </c>
      <c r="K6810" s="10">
        <v>1383</v>
      </c>
      <c r="L6810" s="17"/>
      <c r="M6810" s="15"/>
      <c r="N6810" s="18"/>
      <c r="O6810" s="14"/>
      <c r="P6810" s="17">
        <v>1</v>
      </c>
      <c r="Q6810" s="19">
        <v>1383</v>
      </c>
      <c r="R6810" s="14">
        <v>160</v>
      </c>
      <c r="S6810" s="19">
        <v>221280</v>
      </c>
      <c r="T6810" s="17"/>
      <c r="U6810" s="17"/>
      <c r="V6810" s="17"/>
      <c r="W6810" s="4"/>
      <c r="X6810" s="17"/>
      <c r="Y6810" s="4"/>
      <c r="Z6810" s="17"/>
      <c r="AA6810" s="17"/>
      <c r="AB6810" s="17"/>
      <c r="AC6810" s="14"/>
      <c r="AD6810" s="14"/>
      <c r="AE6810" s="17"/>
      <c r="AF6810" s="14"/>
      <c r="AG6810" s="54"/>
      <c r="AH6810" s="11"/>
      <c r="AI6810" s="14"/>
      <c r="AJ6810" s="19">
        <v>0</v>
      </c>
      <c r="AK6810" s="23">
        <v>0</v>
      </c>
      <c r="AL6810" s="11"/>
      <c r="AM6810" s="19">
        <v>0</v>
      </c>
      <c r="AN6810" s="19">
        <v>221280</v>
      </c>
      <c r="AO6810" s="14"/>
      <c r="AP6810" s="14">
        <v>221280</v>
      </c>
      <c r="AQ6810" s="12"/>
      <c r="AS6810" s="26"/>
    </row>
    <row r="6811" spans="1:45" s="19" customFormat="1" x14ac:dyDescent="0.2">
      <c r="A6811" s="122">
        <f t="shared" si="690"/>
        <v>5586</v>
      </c>
      <c r="B6811" s="13">
        <v>4</v>
      </c>
      <c r="C6811" s="17" t="s">
        <v>52</v>
      </c>
      <c r="D6811" s="17">
        <v>16066</v>
      </c>
      <c r="E6811" s="17">
        <v>57</v>
      </c>
      <c r="F6811" s="17">
        <v>3544</v>
      </c>
      <c r="G6811" s="13">
        <v>3</v>
      </c>
      <c r="H6811" s="17">
        <v>5</v>
      </c>
      <c r="I6811" s="17">
        <v>2</v>
      </c>
      <c r="J6811" s="17">
        <v>42</v>
      </c>
      <c r="K6811" s="10">
        <v>2242</v>
      </c>
      <c r="L6811" s="17"/>
      <c r="M6811" s="15"/>
      <c r="N6811" s="18"/>
      <c r="O6811" s="14"/>
      <c r="P6811" s="17">
        <v>1</v>
      </c>
      <c r="Q6811" s="19">
        <v>2242</v>
      </c>
      <c r="R6811" s="14">
        <v>160</v>
      </c>
      <c r="S6811" s="19">
        <v>358720</v>
      </c>
      <c r="T6811" s="17"/>
      <c r="U6811" s="17"/>
      <c r="V6811" s="17"/>
      <c r="W6811" s="4"/>
      <c r="X6811" s="17"/>
      <c r="Y6811" s="4"/>
      <c r="Z6811" s="17"/>
      <c r="AA6811" s="17"/>
      <c r="AB6811" s="17"/>
      <c r="AC6811" s="14"/>
      <c r="AD6811" s="14"/>
      <c r="AE6811" s="17"/>
      <c r="AF6811" s="14"/>
      <c r="AG6811" s="54"/>
      <c r="AH6811" s="11"/>
      <c r="AI6811" s="14"/>
      <c r="AJ6811" s="19">
        <v>0</v>
      </c>
      <c r="AK6811" s="23">
        <v>0</v>
      </c>
      <c r="AL6811" s="11"/>
      <c r="AM6811" s="19">
        <v>0</v>
      </c>
      <c r="AN6811" s="19">
        <v>358720</v>
      </c>
      <c r="AO6811" s="14"/>
      <c r="AP6811" s="14">
        <v>358720</v>
      </c>
      <c r="AQ6811" s="12"/>
      <c r="AS6811" s="26"/>
    </row>
    <row r="6812" spans="1:45" s="19" customFormat="1" x14ac:dyDescent="0.2">
      <c r="A6812" s="122">
        <f t="shared" si="690"/>
        <v>5587</v>
      </c>
      <c r="B6812" s="13">
        <v>1</v>
      </c>
      <c r="C6812" s="17" t="s">
        <v>52</v>
      </c>
      <c r="D6812" s="17">
        <v>4975</v>
      </c>
      <c r="E6812" s="17">
        <v>33</v>
      </c>
      <c r="F6812" s="17">
        <v>2591</v>
      </c>
      <c r="G6812" s="13">
        <v>7</v>
      </c>
      <c r="H6812" s="17">
        <v>0</v>
      </c>
      <c r="I6812" s="17">
        <v>1</v>
      </c>
      <c r="J6812" s="17">
        <v>86</v>
      </c>
      <c r="K6812" s="10" t="s">
        <v>701</v>
      </c>
      <c r="L6812" s="17"/>
      <c r="M6812" s="15"/>
      <c r="N6812" s="18"/>
      <c r="O6812" s="14"/>
      <c r="P6812" s="17">
        <v>1</v>
      </c>
      <c r="Q6812" s="19">
        <v>186</v>
      </c>
      <c r="R6812" s="14">
        <v>4500</v>
      </c>
      <c r="S6812" s="19">
        <v>837000</v>
      </c>
      <c r="T6812" s="17"/>
      <c r="U6812" s="17"/>
      <c r="V6812" s="17"/>
      <c r="W6812" s="4"/>
      <c r="X6812" s="17"/>
      <c r="Y6812" s="4"/>
      <c r="Z6812" s="17"/>
      <c r="AA6812" s="17"/>
      <c r="AB6812" s="17"/>
      <c r="AC6812" s="14"/>
      <c r="AD6812" s="14"/>
      <c r="AE6812" s="17"/>
      <c r="AF6812" s="14"/>
      <c r="AG6812" s="54"/>
      <c r="AH6812" s="11"/>
      <c r="AI6812" s="14"/>
      <c r="AJ6812" s="19">
        <v>0</v>
      </c>
      <c r="AK6812" s="23">
        <v>0</v>
      </c>
      <c r="AL6812" s="11"/>
      <c r="AM6812" s="19">
        <v>0</v>
      </c>
      <c r="AN6812" s="19">
        <v>837000</v>
      </c>
      <c r="AO6812" s="14"/>
      <c r="AP6812" s="14">
        <v>837000</v>
      </c>
      <c r="AQ6812" s="12"/>
      <c r="AS6812" s="26"/>
    </row>
    <row r="6813" spans="1:45" s="19" customFormat="1" x14ac:dyDescent="0.2">
      <c r="A6813" s="122">
        <f t="shared" si="690"/>
        <v>5588</v>
      </c>
      <c r="B6813" s="13">
        <v>2</v>
      </c>
      <c r="C6813" s="17" t="s">
        <v>65</v>
      </c>
      <c r="D6813" s="17">
        <v>3230</v>
      </c>
      <c r="E6813" s="17">
        <v>95</v>
      </c>
      <c r="F6813" s="17"/>
      <c r="G6813" s="13"/>
      <c r="H6813" s="17">
        <v>0</v>
      </c>
      <c r="I6813" s="17">
        <v>1</v>
      </c>
      <c r="J6813" s="17">
        <v>0</v>
      </c>
      <c r="K6813" s="10"/>
      <c r="L6813" s="17" t="s">
        <v>253</v>
      </c>
      <c r="M6813" s="15"/>
      <c r="N6813" s="18"/>
      <c r="O6813" s="14"/>
      <c r="P6813" s="17">
        <v>2</v>
      </c>
      <c r="Q6813" s="19">
        <v>100</v>
      </c>
      <c r="R6813" s="14">
        <v>4500</v>
      </c>
      <c r="S6813" s="19">
        <v>450000</v>
      </c>
      <c r="T6813" s="17"/>
      <c r="U6813" s="17"/>
      <c r="V6813" s="17"/>
      <c r="W6813" s="4"/>
      <c r="X6813" s="17"/>
      <c r="Y6813" s="4"/>
      <c r="Z6813" s="17"/>
      <c r="AA6813" s="17"/>
      <c r="AB6813" s="17"/>
      <c r="AC6813" s="14"/>
      <c r="AD6813" s="14"/>
      <c r="AE6813" s="17"/>
      <c r="AF6813" s="14"/>
      <c r="AG6813" s="54"/>
      <c r="AH6813" s="11"/>
      <c r="AI6813" s="14"/>
      <c r="AK6813" s="23">
        <v>0</v>
      </c>
      <c r="AL6813" s="11"/>
      <c r="AM6813" s="19">
        <v>0</v>
      </c>
      <c r="AN6813" s="19">
        <v>450000</v>
      </c>
      <c r="AO6813" s="14"/>
      <c r="AP6813" s="14">
        <v>450000</v>
      </c>
      <c r="AQ6813" s="12">
        <v>2.0000000000000001E-4</v>
      </c>
      <c r="AS6813" s="26"/>
    </row>
    <row r="6814" spans="1:45" s="19" customFormat="1" ht="63" x14ac:dyDescent="0.2">
      <c r="A6814" s="2"/>
      <c r="B6814" s="13"/>
      <c r="C6814" s="17"/>
      <c r="D6814" s="17"/>
      <c r="E6814" s="17"/>
      <c r="F6814" s="17"/>
      <c r="G6814" s="13"/>
      <c r="H6814" s="17"/>
      <c r="I6814" s="17"/>
      <c r="J6814" s="17"/>
      <c r="K6814" s="10"/>
      <c r="L6814" s="17"/>
      <c r="M6814" s="15"/>
      <c r="N6814" s="18"/>
      <c r="O6814" s="14"/>
      <c r="P6814" s="17"/>
      <c r="R6814" s="14"/>
      <c r="T6814" s="17"/>
      <c r="U6814" s="17" t="s">
        <v>57</v>
      </c>
      <c r="V6814" s="17" t="s">
        <v>56</v>
      </c>
      <c r="W6814" s="4">
        <v>432</v>
      </c>
      <c r="X6814" s="17"/>
      <c r="Y6814" s="4" t="s">
        <v>270</v>
      </c>
      <c r="Z6814" s="17"/>
      <c r="AA6814" s="17"/>
      <c r="AB6814" s="17"/>
      <c r="AC6814" s="14"/>
      <c r="AD6814" s="14"/>
      <c r="AE6814" s="17">
        <v>432</v>
      </c>
      <c r="AF6814" s="14">
        <v>2</v>
      </c>
      <c r="AG6814" s="54">
        <v>432</v>
      </c>
      <c r="AH6814" s="11">
        <v>1</v>
      </c>
      <c r="AI6814" s="14">
        <v>7250</v>
      </c>
      <c r="AJ6814" s="19">
        <v>3132000</v>
      </c>
      <c r="AK6814" s="23"/>
      <c r="AL6814" s="11"/>
      <c r="AN6814" s="19">
        <v>0</v>
      </c>
      <c r="AO6814" s="14"/>
      <c r="AP6814" s="14">
        <v>0</v>
      </c>
      <c r="AQ6814" s="12"/>
      <c r="AS6814" s="26"/>
    </row>
    <row r="6815" spans="1:45" s="19" customFormat="1" x14ac:dyDescent="0.2">
      <c r="A6815" s="2">
        <v>5589</v>
      </c>
      <c r="B6815" s="13">
        <v>1</v>
      </c>
      <c r="C6815" s="17" t="s">
        <v>69</v>
      </c>
      <c r="D6815" s="17"/>
      <c r="E6815" s="17">
        <v>1502</v>
      </c>
      <c r="F6815" s="17">
        <v>4</v>
      </c>
      <c r="G6815" s="13">
        <v>6</v>
      </c>
      <c r="H6815" s="17">
        <v>49</v>
      </c>
      <c r="I6815" s="17">
        <v>2</v>
      </c>
      <c r="J6815" s="17">
        <v>14</v>
      </c>
      <c r="K6815" s="10">
        <v>19814</v>
      </c>
      <c r="L6815" s="17"/>
      <c r="M6815" s="15"/>
      <c r="N6815" s="18"/>
      <c r="O6815" s="14"/>
      <c r="P6815" s="17">
        <v>1</v>
      </c>
      <c r="Q6815" s="19">
        <v>19814</v>
      </c>
      <c r="R6815" s="14">
        <v>200</v>
      </c>
      <c r="S6815" s="19">
        <v>3962800</v>
      </c>
      <c r="T6815" s="17"/>
      <c r="U6815" s="17"/>
      <c r="V6815" s="17"/>
      <c r="W6815" s="4"/>
      <c r="X6815" s="17"/>
      <c r="Y6815" s="4"/>
      <c r="Z6815" s="17"/>
      <c r="AA6815" s="17"/>
      <c r="AB6815" s="17"/>
      <c r="AC6815" s="14"/>
      <c r="AD6815" s="14"/>
      <c r="AE6815" s="17"/>
      <c r="AF6815" s="14"/>
      <c r="AG6815" s="54"/>
      <c r="AH6815" s="11"/>
      <c r="AI6815" s="14"/>
      <c r="AJ6815" s="19">
        <v>0</v>
      </c>
      <c r="AK6815" s="23">
        <v>0</v>
      </c>
      <c r="AL6815" s="11"/>
      <c r="AM6815" s="19">
        <v>0</v>
      </c>
      <c r="AN6815" s="19">
        <v>3962800</v>
      </c>
      <c r="AO6815" s="14"/>
      <c r="AP6815" s="14">
        <v>3962800</v>
      </c>
      <c r="AQ6815" s="12">
        <v>1E-4</v>
      </c>
      <c r="AS6815" s="26"/>
    </row>
    <row r="6816" spans="1:45" s="19" customFormat="1" ht="105" x14ac:dyDescent="0.2">
      <c r="A6816" s="2">
        <f>+A6815+1</f>
        <v>5590</v>
      </c>
      <c r="B6816" s="13">
        <v>1</v>
      </c>
      <c r="C6816" s="17" t="s">
        <v>52</v>
      </c>
      <c r="D6816" s="17">
        <v>4044</v>
      </c>
      <c r="E6816" s="17">
        <v>61</v>
      </c>
      <c r="F6816" s="17">
        <v>2313</v>
      </c>
      <c r="G6816" s="13">
        <v>2</v>
      </c>
      <c r="H6816" s="17">
        <v>0</v>
      </c>
      <c r="I6816" s="17">
        <v>1</v>
      </c>
      <c r="J6816" s="17">
        <v>12</v>
      </c>
      <c r="K6816" s="10">
        <v>67</v>
      </c>
      <c r="L6816" s="17">
        <v>45</v>
      </c>
      <c r="M6816" s="15"/>
      <c r="N6816" s="18"/>
      <c r="O6816" s="14"/>
      <c r="P6816" s="17">
        <v>5</v>
      </c>
      <c r="Q6816" s="19">
        <v>112</v>
      </c>
      <c r="R6816" s="14">
        <v>1200</v>
      </c>
      <c r="S6816" s="19">
        <v>134400</v>
      </c>
      <c r="T6816" s="17"/>
      <c r="U6816" s="17"/>
      <c r="V6816" s="17" t="s">
        <v>183</v>
      </c>
      <c r="W6816" s="4">
        <v>180</v>
      </c>
      <c r="X6816" s="17"/>
      <c r="Y6816" s="4">
        <v>180</v>
      </c>
      <c r="Z6816" s="17"/>
      <c r="AA6816" s="17"/>
      <c r="AB6816" s="17">
        <v>30</v>
      </c>
      <c r="AC6816" s="14" t="s">
        <v>346</v>
      </c>
      <c r="AD6816" s="14"/>
      <c r="AE6816" s="17"/>
      <c r="AF6816" s="14"/>
      <c r="AG6816" s="54"/>
      <c r="AH6816" s="11"/>
      <c r="AI6816" s="14"/>
      <c r="AJ6816" s="19">
        <v>0</v>
      </c>
      <c r="AK6816" s="23">
        <v>30</v>
      </c>
      <c r="AL6816" s="11"/>
      <c r="AM6816" s="19">
        <v>0</v>
      </c>
      <c r="AN6816" s="19">
        <v>134400</v>
      </c>
      <c r="AO6816" s="14"/>
      <c r="AP6816" s="14">
        <v>134400</v>
      </c>
      <c r="AQ6816" s="12"/>
      <c r="AS6816" s="26"/>
    </row>
    <row r="6817" spans="1:45" x14ac:dyDescent="0.2">
      <c r="A6817" s="122">
        <f t="shared" ref="A6817:A6819" si="691">+A6816+1</f>
        <v>5591</v>
      </c>
      <c r="B6817" s="13">
        <v>1</v>
      </c>
      <c r="C6817" s="17" t="s">
        <v>52</v>
      </c>
      <c r="D6817" s="17">
        <v>792</v>
      </c>
      <c r="E6817" s="17">
        <v>521</v>
      </c>
      <c r="F6817" s="17">
        <v>110</v>
      </c>
      <c r="G6817" s="13">
        <v>2</v>
      </c>
      <c r="H6817" s="17">
        <v>0</v>
      </c>
      <c r="I6817" s="17">
        <v>1</v>
      </c>
      <c r="J6817" s="17">
        <v>27.05</v>
      </c>
      <c r="N6817" s="18">
        <v>127</v>
      </c>
      <c r="P6817" s="17">
        <v>4</v>
      </c>
      <c r="Q6817" s="19">
        <v>127.05</v>
      </c>
      <c r="R6817" s="14">
        <v>250</v>
      </c>
      <c r="S6817" s="19">
        <v>31762.5</v>
      </c>
      <c r="AJ6817" s="19">
        <v>0</v>
      </c>
      <c r="AK6817" s="23">
        <v>0</v>
      </c>
      <c r="AM6817" s="19">
        <v>0</v>
      </c>
      <c r="AN6817" s="19">
        <v>31762.5</v>
      </c>
      <c r="AP6817" s="14">
        <v>31762.5</v>
      </c>
      <c r="AQ6817" s="12">
        <v>3.0000000000000001E-3</v>
      </c>
    </row>
    <row r="6818" spans="1:45" ht="63" x14ac:dyDescent="0.2">
      <c r="A6818" s="122">
        <f t="shared" si="691"/>
        <v>5592</v>
      </c>
      <c r="B6818" s="13">
        <v>2</v>
      </c>
      <c r="C6818" s="17" t="s">
        <v>52</v>
      </c>
      <c r="D6818" s="17">
        <v>34302</v>
      </c>
      <c r="E6818" s="17">
        <v>263</v>
      </c>
      <c r="F6818" s="17">
        <v>6851</v>
      </c>
      <c r="G6818" s="13">
        <v>2</v>
      </c>
      <c r="H6818" s="17">
        <v>0</v>
      </c>
      <c r="I6818" s="17">
        <v>0</v>
      </c>
      <c r="J6818" s="17">
        <v>32</v>
      </c>
      <c r="L6818" s="17" t="s">
        <v>574</v>
      </c>
      <c r="P6818" s="17">
        <v>2</v>
      </c>
      <c r="Q6818" s="19">
        <v>32</v>
      </c>
      <c r="R6818" s="14">
        <v>4500</v>
      </c>
      <c r="S6818" s="19">
        <v>144000</v>
      </c>
      <c r="U6818" s="17" t="s">
        <v>63</v>
      </c>
      <c r="V6818" s="17" t="s">
        <v>56</v>
      </c>
      <c r="W6818" s="4">
        <v>160</v>
      </c>
      <c r="Y6818" s="4">
        <v>160</v>
      </c>
      <c r="AB6818" s="17">
        <v>6</v>
      </c>
      <c r="AF6818" s="14">
        <v>2</v>
      </c>
      <c r="AG6818" s="54">
        <v>144</v>
      </c>
      <c r="AH6818" s="11">
        <v>1</v>
      </c>
      <c r="AI6818" s="14">
        <v>8100</v>
      </c>
      <c r="AJ6818" s="19">
        <v>1166400</v>
      </c>
      <c r="AK6818" s="23">
        <v>6</v>
      </c>
      <c r="AM6818" s="19">
        <v>1166400</v>
      </c>
      <c r="AN6818" s="19">
        <v>1310400</v>
      </c>
      <c r="AP6818" s="14">
        <v>1310400</v>
      </c>
      <c r="AR6818" s="19">
        <v>144</v>
      </c>
    </row>
    <row r="6819" spans="1:45" ht="42" x14ac:dyDescent="0.2">
      <c r="A6819" s="122">
        <f t="shared" si="691"/>
        <v>5593</v>
      </c>
      <c r="B6819" s="13">
        <v>1</v>
      </c>
      <c r="C6819" s="17" t="s">
        <v>52</v>
      </c>
      <c r="D6819" s="17">
        <v>1629</v>
      </c>
      <c r="E6819" s="17">
        <v>13</v>
      </c>
      <c r="F6819" s="17">
        <v>1403</v>
      </c>
      <c r="H6819" s="17">
        <v>0</v>
      </c>
      <c r="I6819" s="17">
        <v>1</v>
      </c>
      <c r="J6819" s="17">
        <v>46</v>
      </c>
      <c r="K6819" s="10">
        <v>108</v>
      </c>
      <c r="L6819" s="17">
        <v>38</v>
      </c>
      <c r="P6819" s="17">
        <v>5</v>
      </c>
      <c r="Q6819" s="19">
        <v>146</v>
      </c>
      <c r="R6819" s="14">
        <v>4500</v>
      </c>
      <c r="S6819" s="19">
        <v>657000</v>
      </c>
      <c r="T6819" s="17">
        <v>1</v>
      </c>
      <c r="V6819" s="17" t="s">
        <v>502</v>
      </c>
      <c r="W6819" s="4">
        <v>12</v>
      </c>
      <c r="Y6819" s="4">
        <v>120</v>
      </c>
      <c r="AB6819" s="17">
        <v>26</v>
      </c>
      <c r="AJ6819" s="19">
        <v>0</v>
      </c>
      <c r="AK6819" s="23">
        <v>26</v>
      </c>
      <c r="AM6819" s="19">
        <v>0</v>
      </c>
      <c r="AN6819" s="19">
        <v>657000</v>
      </c>
      <c r="AP6819" s="14">
        <v>657000</v>
      </c>
    </row>
    <row r="6820" spans="1:45" ht="42" x14ac:dyDescent="0.2">
      <c r="Q6820" s="19">
        <v>0</v>
      </c>
      <c r="R6820" s="14" t="e">
        <v>#N/A</v>
      </c>
      <c r="S6820" s="19" t="e">
        <v>#N/A</v>
      </c>
      <c r="T6820" s="17">
        <v>2</v>
      </c>
      <c r="V6820" s="17" t="s">
        <v>183</v>
      </c>
      <c r="W6820" s="4">
        <v>32</v>
      </c>
      <c r="Y6820" s="4">
        <v>32</v>
      </c>
      <c r="AB6820" s="17">
        <v>28</v>
      </c>
      <c r="AJ6820" s="19">
        <v>0</v>
      </c>
      <c r="AK6820" s="23">
        <v>28</v>
      </c>
      <c r="AM6820" s="19">
        <v>0</v>
      </c>
      <c r="AN6820" s="19" t="e">
        <v>#N/A</v>
      </c>
      <c r="AP6820" s="14" t="e">
        <v>#N/A</v>
      </c>
    </row>
    <row r="6821" spans="1:45" x14ac:dyDescent="0.2">
      <c r="A6821" s="2">
        <v>5594</v>
      </c>
      <c r="B6821" s="13">
        <v>1</v>
      </c>
      <c r="C6821" s="17" t="s">
        <v>52</v>
      </c>
      <c r="D6821" s="17">
        <v>35429</v>
      </c>
      <c r="E6821" s="17">
        <v>324</v>
      </c>
      <c r="F6821" s="17">
        <v>7038</v>
      </c>
      <c r="G6821" s="13">
        <v>1</v>
      </c>
      <c r="H6821" s="17">
        <v>0</v>
      </c>
      <c r="I6821" s="17">
        <v>1</v>
      </c>
      <c r="J6821" s="17">
        <v>23</v>
      </c>
      <c r="K6821" s="10">
        <v>123</v>
      </c>
      <c r="P6821" s="17">
        <v>1</v>
      </c>
      <c r="Q6821" s="19">
        <v>123</v>
      </c>
      <c r="R6821" s="14">
        <v>160</v>
      </c>
      <c r="S6821" s="19">
        <v>19680</v>
      </c>
      <c r="AJ6821" s="19">
        <v>0</v>
      </c>
      <c r="AK6821" s="23">
        <v>0</v>
      </c>
      <c r="AM6821" s="19">
        <v>0</v>
      </c>
      <c r="AN6821" s="19">
        <v>19680</v>
      </c>
      <c r="AP6821" s="14">
        <v>19680</v>
      </c>
    </row>
    <row r="6822" spans="1:45" ht="42" x14ac:dyDescent="0.2">
      <c r="A6822" s="2">
        <f>+A6821+1</f>
        <v>5595</v>
      </c>
      <c r="B6822" s="13">
        <v>1</v>
      </c>
      <c r="C6822" s="17" t="s">
        <v>52</v>
      </c>
      <c r="D6822" s="17">
        <v>935</v>
      </c>
      <c r="E6822" s="17">
        <v>35</v>
      </c>
      <c r="F6822" s="17">
        <v>327</v>
      </c>
      <c r="G6822" s="13">
        <v>1</v>
      </c>
      <c r="H6822" s="17">
        <v>3</v>
      </c>
      <c r="I6822" s="17">
        <v>2</v>
      </c>
      <c r="J6822" s="17">
        <v>33</v>
      </c>
      <c r="K6822" s="10">
        <v>1433</v>
      </c>
      <c r="P6822" s="17">
        <v>1</v>
      </c>
      <c r="Q6822" s="19">
        <v>1433</v>
      </c>
      <c r="R6822" s="14">
        <v>160</v>
      </c>
      <c r="S6822" s="19">
        <v>229280</v>
      </c>
      <c r="AJ6822" s="19">
        <v>0</v>
      </c>
      <c r="AK6822" s="23">
        <v>0</v>
      </c>
      <c r="AM6822" s="19">
        <v>0</v>
      </c>
      <c r="AN6822" s="19">
        <v>229280</v>
      </c>
      <c r="AP6822" s="14">
        <v>229280</v>
      </c>
      <c r="AS6822" s="26" t="s">
        <v>702</v>
      </c>
    </row>
    <row r="6823" spans="1:45" x14ac:dyDescent="0.2">
      <c r="A6823" s="122">
        <f t="shared" ref="A6823:A6825" si="692">+A6822+1</f>
        <v>5596</v>
      </c>
      <c r="B6823" s="13">
        <v>2</v>
      </c>
      <c r="C6823" s="17" t="s">
        <v>52</v>
      </c>
      <c r="D6823" s="17">
        <v>21119</v>
      </c>
      <c r="E6823" s="17">
        <v>64</v>
      </c>
      <c r="F6823" s="17">
        <v>4690</v>
      </c>
      <c r="G6823" s="13">
        <v>1</v>
      </c>
      <c r="H6823" s="17">
        <v>5</v>
      </c>
      <c r="I6823" s="17">
        <v>1</v>
      </c>
      <c r="J6823" s="17">
        <v>82</v>
      </c>
      <c r="K6823" s="10">
        <v>2182</v>
      </c>
      <c r="P6823" s="17">
        <v>1</v>
      </c>
      <c r="Q6823" s="19">
        <v>2182</v>
      </c>
      <c r="R6823" s="14">
        <v>200</v>
      </c>
      <c r="S6823" s="19">
        <v>436400</v>
      </c>
      <c r="AJ6823" s="19">
        <v>0</v>
      </c>
      <c r="AK6823" s="23">
        <v>0</v>
      </c>
      <c r="AM6823" s="19">
        <v>0</v>
      </c>
      <c r="AN6823" s="19">
        <v>436400</v>
      </c>
      <c r="AP6823" s="14">
        <v>436400</v>
      </c>
    </row>
    <row r="6824" spans="1:45" x14ac:dyDescent="0.2">
      <c r="A6824" s="122">
        <f t="shared" si="692"/>
        <v>5597</v>
      </c>
      <c r="B6824" s="13">
        <v>1</v>
      </c>
      <c r="C6824" s="17" t="s">
        <v>52</v>
      </c>
      <c r="D6824" s="17">
        <v>31824</v>
      </c>
      <c r="E6824" s="17">
        <v>117</v>
      </c>
      <c r="F6824" s="17">
        <v>6243</v>
      </c>
      <c r="G6824" s="13">
        <v>3</v>
      </c>
      <c r="H6824" s="17">
        <v>6</v>
      </c>
      <c r="I6824" s="17">
        <v>0</v>
      </c>
      <c r="J6824" s="17">
        <v>87.02</v>
      </c>
      <c r="K6824" s="10">
        <v>2487.02</v>
      </c>
      <c r="P6824" s="17">
        <v>1</v>
      </c>
      <c r="Q6824" s="19">
        <v>2487.02</v>
      </c>
      <c r="R6824" s="14">
        <v>160</v>
      </c>
      <c r="S6824" s="19">
        <v>397923.2</v>
      </c>
      <c r="AJ6824" s="19">
        <v>0</v>
      </c>
      <c r="AK6824" s="23">
        <v>0</v>
      </c>
      <c r="AM6824" s="19">
        <v>0</v>
      </c>
      <c r="AN6824" s="19">
        <v>397923.2</v>
      </c>
      <c r="AP6824" s="14">
        <v>397923.2</v>
      </c>
      <c r="AS6824" s="26">
        <v>19</v>
      </c>
    </row>
    <row r="6825" spans="1:45" ht="231" x14ac:dyDescent="0.2">
      <c r="A6825" s="122">
        <f t="shared" si="692"/>
        <v>5598</v>
      </c>
      <c r="B6825" s="13">
        <v>1</v>
      </c>
      <c r="C6825" s="17" t="s">
        <v>52</v>
      </c>
      <c r="D6825" s="17">
        <v>1427</v>
      </c>
      <c r="E6825" s="17">
        <v>4</v>
      </c>
      <c r="F6825" s="17">
        <v>866</v>
      </c>
      <c r="H6825" s="17">
        <v>1</v>
      </c>
      <c r="I6825" s="17">
        <v>1</v>
      </c>
      <c r="J6825" s="17">
        <v>98</v>
      </c>
      <c r="K6825" s="10">
        <v>544.88</v>
      </c>
      <c r="L6825" s="17">
        <v>53.12</v>
      </c>
      <c r="P6825" s="17">
        <v>15</v>
      </c>
      <c r="Q6825" s="19">
        <v>598</v>
      </c>
      <c r="R6825" s="14">
        <v>500</v>
      </c>
      <c r="S6825" s="19">
        <v>299000</v>
      </c>
      <c r="T6825" s="17">
        <v>1</v>
      </c>
      <c r="U6825" s="17" t="s">
        <v>63</v>
      </c>
      <c r="V6825" s="17" t="s">
        <v>56</v>
      </c>
      <c r="W6825" s="4">
        <v>200</v>
      </c>
      <c r="Y6825" s="4" t="s">
        <v>279</v>
      </c>
      <c r="AB6825" s="17" t="s">
        <v>574</v>
      </c>
      <c r="AC6825" s="14" t="s">
        <v>486</v>
      </c>
      <c r="AE6825" s="17">
        <v>0.25</v>
      </c>
      <c r="AF6825" s="14">
        <v>2</v>
      </c>
      <c r="AG6825" s="54">
        <v>200</v>
      </c>
      <c r="AH6825" s="11">
        <v>0.75</v>
      </c>
      <c r="AI6825" s="14">
        <v>8100</v>
      </c>
      <c r="AJ6825" s="19">
        <v>1215000</v>
      </c>
      <c r="AK6825" s="23" t="s">
        <v>574</v>
      </c>
      <c r="AL6825" s="11">
        <v>0.54</v>
      </c>
      <c r="AM6825" s="19">
        <v>558900</v>
      </c>
      <c r="AN6825" s="19">
        <v>677752.5</v>
      </c>
      <c r="AP6825" s="14">
        <v>677752.5</v>
      </c>
    </row>
    <row r="6826" spans="1:45" x14ac:dyDescent="0.2">
      <c r="Z6826" s="17" t="s">
        <v>280</v>
      </c>
      <c r="AE6826" s="17">
        <v>40.5</v>
      </c>
      <c r="AF6826" s="14">
        <v>3</v>
      </c>
      <c r="AG6826" s="54">
        <v>200</v>
      </c>
      <c r="AH6826" s="11">
        <v>0.25</v>
      </c>
      <c r="AI6826" s="14">
        <v>8100</v>
      </c>
      <c r="AJ6826" s="19">
        <v>405000</v>
      </c>
      <c r="AK6826" s="23">
        <v>32</v>
      </c>
      <c r="AL6826" s="11">
        <v>0.54</v>
      </c>
      <c r="AM6826" s="19">
        <v>186300</v>
      </c>
      <c r="AN6826" s="19">
        <v>225917.5</v>
      </c>
      <c r="AP6826" s="14">
        <v>225917.5</v>
      </c>
      <c r="AQ6826" s="12">
        <v>3.0000000000000001E-3</v>
      </c>
    </row>
    <row r="6827" spans="1:45" ht="231" x14ac:dyDescent="0.2">
      <c r="T6827" s="17">
        <v>2</v>
      </c>
      <c r="U6827" s="17" t="s">
        <v>63</v>
      </c>
      <c r="V6827" s="17" t="s">
        <v>56</v>
      </c>
      <c r="W6827" s="4">
        <v>225</v>
      </c>
      <c r="Y6827" s="4" t="s">
        <v>703</v>
      </c>
      <c r="AB6827" s="17" t="s">
        <v>272</v>
      </c>
      <c r="AC6827" s="14" t="s">
        <v>486</v>
      </c>
      <c r="AE6827" s="17">
        <v>0.18</v>
      </c>
      <c r="AF6827" s="14">
        <v>2</v>
      </c>
      <c r="AG6827" s="54">
        <v>225</v>
      </c>
      <c r="AH6827" s="11">
        <v>0.82</v>
      </c>
      <c r="AI6827" s="14">
        <v>8100</v>
      </c>
      <c r="AJ6827" s="19">
        <v>1494450</v>
      </c>
      <c r="AK6827" s="23" t="s">
        <v>272</v>
      </c>
      <c r="AL6827" s="11">
        <v>0.2</v>
      </c>
      <c r="AM6827" s="19">
        <v>1195560</v>
      </c>
      <c r="AN6827" s="19">
        <v>1310794.6000000001</v>
      </c>
      <c r="AP6827" s="14">
        <v>1310794.6000000001</v>
      </c>
    </row>
    <row r="6828" spans="1:45" x14ac:dyDescent="0.2">
      <c r="Z6828" s="17" t="s">
        <v>704</v>
      </c>
      <c r="AF6828" s="14">
        <v>3</v>
      </c>
      <c r="AG6828" s="54">
        <v>225</v>
      </c>
      <c r="AH6828" s="11">
        <v>0.18</v>
      </c>
      <c r="AI6828" s="14">
        <v>8100</v>
      </c>
      <c r="AJ6828" s="19">
        <v>328050</v>
      </c>
      <c r="AK6828" s="23">
        <v>15</v>
      </c>
      <c r="AL6828" s="11">
        <v>0.2</v>
      </c>
      <c r="AM6828" s="19">
        <v>262440</v>
      </c>
      <c r="AN6828" s="19">
        <v>287735.40000000002</v>
      </c>
      <c r="AP6828" s="14">
        <v>287735.40000000002</v>
      </c>
      <c r="AQ6828" s="12">
        <v>3.0000000000000001E-3</v>
      </c>
    </row>
    <row r="6829" spans="1:45" x14ac:dyDescent="0.2">
      <c r="A6829" s="2">
        <v>5599</v>
      </c>
      <c r="B6829" s="13">
        <v>1</v>
      </c>
      <c r="C6829" s="17" t="s">
        <v>65</v>
      </c>
      <c r="D6829" s="17">
        <v>1758</v>
      </c>
      <c r="E6829" s="17">
        <v>5</v>
      </c>
      <c r="H6829" s="17">
        <v>2</v>
      </c>
      <c r="I6829" s="17">
        <v>2</v>
      </c>
      <c r="J6829" s="17">
        <v>43</v>
      </c>
      <c r="K6829" s="10">
        <v>1043</v>
      </c>
      <c r="P6829" s="17">
        <v>1</v>
      </c>
      <c r="Q6829" s="19">
        <v>1043</v>
      </c>
      <c r="R6829" s="14">
        <v>160</v>
      </c>
      <c r="S6829" s="19">
        <v>166880</v>
      </c>
      <c r="AJ6829" s="19">
        <v>0</v>
      </c>
      <c r="AK6829" s="23">
        <v>0</v>
      </c>
      <c r="AM6829" s="19">
        <v>0</v>
      </c>
      <c r="AN6829" s="19">
        <v>166880</v>
      </c>
      <c r="AP6829" s="14">
        <v>166880</v>
      </c>
      <c r="AQ6829" s="12">
        <v>1E-4</v>
      </c>
    </row>
    <row r="6830" spans="1:45" x14ac:dyDescent="0.2">
      <c r="A6830" s="2">
        <f>+A6829+1</f>
        <v>5600</v>
      </c>
      <c r="B6830" s="13">
        <v>1</v>
      </c>
      <c r="C6830" s="17" t="s">
        <v>52</v>
      </c>
      <c r="D6830" s="17">
        <v>2004</v>
      </c>
      <c r="E6830" s="17">
        <v>27</v>
      </c>
      <c r="F6830" s="17">
        <v>1038</v>
      </c>
      <c r="H6830" s="17">
        <v>0</v>
      </c>
      <c r="I6830" s="17">
        <v>0</v>
      </c>
      <c r="J6830" s="17">
        <v>35</v>
      </c>
      <c r="K6830" s="10">
        <v>35</v>
      </c>
      <c r="P6830" s="17">
        <v>1</v>
      </c>
      <c r="Q6830" s="19">
        <v>35</v>
      </c>
      <c r="R6830" s="14">
        <v>2000</v>
      </c>
      <c r="S6830" s="19">
        <v>70000</v>
      </c>
      <c r="AJ6830" s="19">
        <v>0</v>
      </c>
      <c r="AK6830" s="23">
        <v>0</v>
      </c>
      <c r="AM6830" s="19">
        <v>0</v>
      </c>
      <c r="AN6830" s="19">
        <v>70000</v>
      </c>
      <c r="AP6830" s="14">
        <v>70000</v>
      </c>
      <c r="AS6830" s="26">
        <v>1</v>
      </c>
    </row>
    <row r="6831" spans="1:45" x14ac:dyDescent="0.2">
      <c r="A6831" s="122">
        <f t="shared" ref="A6831:A6851" si="693">+A6830+1</f>
        <v>5601</v>
      </c>
      <c r="B6831" s="13">
        <v>2</v>
      </c>
      <c r="C6831" s="17" t="s">
        <v>52</v>
      </c>
      <c r="D6831" s="17">
        <v>2005</v>
      </c>
      <c r="E6831" s="17">
        <v>28</v>
      </c>
      <c r="F6831" s="17">
        <v>1039</v>
      </c>
      <c r="H6831" s="17">
        <v>0</v>
      </c>
      <c r="I6831" s="17">
        <v>1</v>
      </c>
      <c r="J6831" s="17">
        <v>67</v>
      </c>
      <c r="K6831" s="10">
        <v>167</v>
      </c>
      <c r="P6831" s="17">
        <v>1</v>
      </c>
      <c r="Q6831" s="19">
        <v>167</v>
      </c>
      <c r="R6831" s="14">
        <v>2000</v>
      </c>
      <c r="S6831" s="19">
        <v>334000</v>
      </c>
      <c r="AJ6831" s="19">
        <v>0</v>
      </c>
      <c r="AK6831" s="23">
        <v>0</v>
      </c>
      <c r="AM6831" s="19">
        <v>0</v>
      </c>
      <c r="AN6831" s="19">
        <v>334000</v>
      </c>
      <c r="AP6831" s="14">
        <v>334000</v>
      </c>
    </row>
    <row r="6832" spans="1:45" x14ac:dyDescent="0.2">
      <c r="A6832" s="122">
        <f t="shared" si="693"/>
        <v>5602</v>
      </c>
      <c r="B6832" s="13">
        <v>3</v>
      </c>
      <c r="C6832" s="17" t="s">
        <v>52</v>
      </c>
      <c r="D6832" s="17">
        <v>2006</v>
      </c>
      <c r="E6832" s="17">
        <v>30</v>
      </c>
      <c r="F6832" s="17">
        <v>1040</v>
      </c>
      <c r="H6832" s="17">
        <v>0</v>
      </c>
      <c r="I6832" s="17">
        <v>0</v>
      </c>
      <c r="J6832" s="17">
        <v>42</v>
      </c>
      <c r="K6832" s="10">
        <v>42</v>
      </c>
      <c r="P6832" s="17">
        <v>1</v>
      </c>
      <c r="Q6832" s="19">
        <v>42</v>
      </c>
      <c r="R6832" s="14">
        <v>2000</v>
      </c>
      <c r="S6832" s="19">
        <v>84000</v>
      </c>
      <c r="AJ6832" s="19">
        <v>0</v>
      </c>
      <c r="AK6832" s="23">
        <v>0</v>
      </c>
      <c r="AM6832" s="19">
        <v>0</v>
      </c>
      <c r="AN6832" s="19">
        <v>84000</v>
      </c>
      <c r="AP6832" s="14">
        <v>84000</v>
      </c>
    </row>
    <row r="6833" spans="1:45" x14ac:dyDescent="0.2">
      <c r="A6833" s="122">
        <f t="shared" si="693"/>
        <v>5603</v>
      </c>
      <c r="B6833" s="13">
        <v>4</v>
      </c>
      <c r="C6833" s="17" t="s">
        <v>52</v>
      </c>
      <c r="D6833" s="17">
        <v>2110</v>
      </c>
      <c r="E6833" s="17">
        <v>29</v>
      </c>
      <c r="F6833" s="17">
        <v>1671</v>
      </c>
      <c r="H6833" s="17">
        <v>0</v>
      </c>
      <c r="I6833" s="17">
        <v>0</v>
      </c>
      <c r="J6833" s="17">
        <v>42</v>
      </c>
      <c r="K6833" s="10">
        <v>42</v>
      </c>
      <c r="P6833" s="17">
        <v>1</v>
      </c>
      <c r="Q6833" s="19">
        <v>42</v>
      </c>
      <c r="R6833" s="14">
        <v>2000</v>
      </c>
      <c r="S6833" s="19">
        <v>84000</v>
      </c>
      <c r="AJ6833" s="19">
        <v>0</v>
      </c>
      <c r="AK6833" s="23">
        <v>0</v>
      </c>
      <c r="AM6833" s="19">
        <v>0</v>
      </c>
      <c r="AN6833" s="19">
        <v>84000</v>
      </c>
      <c r="AP6833" s="14">
        <v>84000</v>
      </c>
    </row>
    <row r="6834" spans="1:45" x14ac:dyDescent="0.2">
      <c r="A6834" s="122">
        <f t="shared" si="693"/>
        <v>5604</v>
      </c>
      <c r="B6834" s="13">
        <v>1</v>
      </c>
      <c r="C6834" s="17" t="s">
        <v>52</v>
      </c>
      <c r="D6834" s="17">
        <v>5157</v>
      </c>
      <c r="E6834" s="17">
        <v>113</v>
      </c>
      <c r="F6834" s="17">
        <v>2933</v>
      </c>
      <c r="G6834" s="13">
        <v>7</v>
      </c>
      <c r="H6834" s="17">
        <v>34</v>
      </c>
      <c r="I6834" s="17">
        <v>2</v>
      </c>
      <c r="J6834" s="17">
        <v>0</v>
      </c>
      <c r="K6834" s="10">
        <v>13800</v>
      </c>
      <c r="P6834" s="17">
        <v>1</v>
      </c>
      <c r="Q6834" s="19">
        <v>13800</v>
      </c>
      <c r="R6834" s="14">
        <v>160</v>
      </c>
      <c r="S6834" s="19">
        <v>2208000</v>
      </c>
      <c r="AJ6834" s="19">
        <v>0</v>
      </c>
      <c r="AK6834" s="23">
        <v>0</v>
      </c>
      <c r="AM6834" s="19">
        <v>0</v>
      </c>
      <c r="AN6834" s="19">
        <v>2208000</v>
      </c>
      <c r="AP6834" s="14">
        <v>2208000</v>
      </c>
      <c r="AS6834" s="26">
        <v>104</v>
      </c>
    </row>
    <row r="6835" spans="1:45" x14ac:dyDescent="0.2">
      <c r="A6835" s="122">
        <f t="shared" si="693"/>
        <v>5605</v>
      </c>
      <c r="B6835" s="13">
        <v>1</v>
      </c>
      <c r="C6835" s="17" t="s">
        <v>52</v>
      </c>
      <c r="D6835" s="17">
        <v>2371</v>
      </c>
      <c r="E6835" s="17">
        <v>38</v>
      </c>
      <c r="F6835" s="17">
        <v>1828</v>
      </c>
      <c r="G6835" s="13">
        <v>4</v>
      </c>
      <c r="H6835" s="17">
        <v>1</v>
      </c>
      <c r="I6835" s="17">
        <v>3</v>
      </c>
      <c r="J6835" s="17">
        <v>14</v>
      </c>
      <c r="K6835" s="10" t="s">
        <v>562</v>
      </c>
      <c r="N6835" s="18">
        <v>714</v>
      </c>
      <c r="P6835" s="17">
        <v>4</v>
      </c>
      <c r="Q6835" s="19">
        <v>714</v>
      </c>
      <c r="R6835" s="14">
        <v>1500</v>
      </c>
      <c r="S6835" s="19">
        <v>1071000</v>
      </c>
      <c r="AJ6835" s="19">
        <v>0</v>
      </c>
      <c r="AK6835" s="23">
        <v>0</v>
      </c>
      <c r="AM6835" s="19">
        <v>0</v>
      </c>
      <c r="AN6835" s="19">
        <v>1071000</v>
      </c>
      <c r="AP6835" s="14">
        <v>1071000</v>
      </c>
      <c r="AQ6835" s="12">
        <v>3.0000000000000001E-3</v>
      </c>
    </row>
    <row r="6836" spans="1:45" x14ac:dyDescent="0.2">
      <c r="A6836" s="122">
        <f t="shared" si="693"/>
        <v>5606</v>
      </c>
      <c r="B6836" s="13">
        <v>2</v>
      </c>
      <c r="C6836" s="17" t="s">
        <v>52</v>
      </c>
      <c r="D6836" s="17">
        <v>2373</v>
      </c>
      <c r="E6836" s="17">
        <v>37</v>
      </c>
      <c r="F6836" s="17">
        <v>1837</v>
      </c>
      <c r="G6836" s="13">
        <v>4</v>
      </c>
      <c r="H6836" s="17">
        <v>1</v>
      </c>
      <c r="I6836" s="17">
        <v>2</v>
      </c>
      <c r="J6836" s="17">
        <v>23</v>
      </c>
      <c r="K6836" s="10" t="s">
        <v>705</v>
      </c>
      <c r="N6836" s="18">
        <v>623</v>
      </c>
      <c r="P6836" s="17">
        <v>4</v>
      </c>
      <c r="Q6836" s="19">
        <v>623</v>
      </c>
      <c r="R6836" s="14">
        <v>1500</v>
      </c>
      <c r="S6836" s="19">
        <v>934500</v>
      </c>
      <c r="AJ6836" s="19">
        <v>0</v>
      </c>
      <c r="AK6836" s="23">
        <v>0</v>
      </c>
      <c r="AM6836" s="19">
        <v>0</v>
      </c>
      <c r="AN6836" s="19">
        <v>934500</v>
      </c>
      <c r="AP6836" s="14">
        <v>934500</v>
      </c>
      <c r="AQ6836" s="12">
        <v>3.0000000000000001E-3</v>
      </c>
    </row>
    <row r="6837" spans="1:45" x14ac:dyDescent="0.2">
      <c r="A6837" s="122">
        <f t="shared" si="693"/>
        <v>5607</v>
      </c>
      <c r="B6837" s="13">
        <v>3</v>
      </c>
      <c r="C6837" s="17" t="s">
        <v>65</v>
      </c>
      <c r="D6837" s="17">
        <v>1661</v>
      </c>
      <c r="E6837" s="17">
        <v>14</v>
      </c>
      <c r="H6837" s="17">
        <v>5</v>
      </c>
      <c r="I6837" s="17">
        <v>0</v>
      </c>
      <c r="J6837" s="17">
        <v>28</v>
      </c>
      <c r="K6837" s="10">
        <v>2028</v>
      </c>
      <c r="P6837" s="17">
        <v>1</v>
      </c>
      <c r="Q6837" s="19">
        <v>2028</v>
      </c>
      <c r="R6837" s="14">
        <v>160</v>
      </c>
      <c r="S6837" s="19">
        <v>324480</v>
      </c>
      <c r="AJ6837" s="19">
        <v>0</v>
      </c>
      <c r="AK6837" s="23">
        <v>0</v>
      </c>
      <c r="AM6837" s="19">
        <v>0</v>
      </c>
      <c r="AN6837" s="19">
        <v>324480</v>
      </c>
      <c r="AP6837" s="14">
        <v>324480</v>
      </c>
      <c r="AQ6837" s="12">
        <v>1E-4</v>
      </c>
    </row>
    <row r="6838" spans="1:45" x14ac:dyDescent="0.2">
      <c r="A6838" s="122">
        <f t="shared" si="693"/>
        <v>5608</v>
      </c>
      <c r="B6838" s="13">
        <v>4</v>
      </c>
      <c r="C6838" s="17" t="s">
        <v>65</v>
      </c>
      <c r="D6838" s="17">
        <v>1662</v>
      </c>
      <c r="E6838" s="17">
        <v>15</v>
      </c>
      <c r="H6838" s="17">
        <v>6</v>
      </c>
      <c r="I6838" s="17">
        <v>0</v>
      </c>
      <c r="J6838" s="17">
        <v>13</v>
      </c>
      <c r="K6838" s="10">
        <v>2413</v>
      </c>
      <c r="P6838" s="17">
        <v>1</v>
      </c>
      <c r="Q6838" s="19">
        <v>2413</v>
      </c>
      <c r="R6838" s="14">
        <v>160</v>
      </c>
      <c r="S6838" s="19">
        <v>386080</v>
      </c>
      <c r="AJ6838" s="19">
        <v>0</v>
      </c>
      <c r="AK6838" s="23">
        <v>0</v>
      </c>
      <c r="AM6838" s="19">
        <v>0</v>
      </c>
      <c r="AN6838" s="19">
        <v>386080</v>
      </c>
      <c r="AP6838" s="14">
        <v>386080</v>
      </c>
      <c r="AQ6838" s="12">
        <v>1E-4</v>
      </c>
    </row>
    <row r="6839" spans="1:45" x14ac:dyDescent="0.2">
      <c r="A6839" s="122">
        <f t="shared" si="693"/>
        <v>5609</v>
      </c>
      <c r="B6839" s="13">
        <v>5</v>
      </c>
      <c r="C6839" s="17" t="s">
        <v>65</v>
      </c>
      <c r="D6839" s="17">
        <v>1663</v>
      </c>
      <c r="E6839" s="17">
        <v>18</v>
      </c>
      <c r="H6839" s="17">
        <v>0</v>
      </c>
      <c r="I6839" s="17">
        <v>3</v>
      </c>
      <c r="J6839" s="17">
        <v>31</v>
      </c>
      <c r="K6839" s="10">
        <v>331</v>
      </c>
      <c r="P6839" s="17">
        <v>1</v>
      </c>
      <c r="Q6839" s="19">
        <v>331</v>
      </c>
      <c r="R6839" s="14">
        <v>4500</v>
      </c>
      <c r="S6839" s="19">
        <v>1489500</v>
      </c>
      <c r="AJ6839" s="19">
        <v>0</v>
      </c>
      <c r="AK6839" s="23">
        <v>0</v>
      </c>
      <c r="AM6839" s="19">
        <v>0</v>
      </c>
      <c r="AN6839" s="19">
        <v>1489500</v>
      </c>
      <c r="AP6839" s="14">
        <v>1489500</v>
      </c>
      <c r="AQ6839" s="12">
        <v>1E-4</v>
      </c>
    </row>
    <row r="6840" spans="1:45" x14ac:dyDescent="0.2">
      <c r="A6840" s="122">
        <f t="shared" si="693"/>
        <v>5610</v>
      </c>
      <c r="B6840" s="13">
        <v>6</v>
      </c>
      <c r="C6840" s="17" t="s">
        <v>65</v>
      </c>
      <c r="D6840" s="17">
        <v>1759</v>
      </c>
      <c r="E6840" s="17">
        <v>16</v>
      </c>
      <c r="H6840" s="17">
        <v>2</v>
      </c>
      <c r="I6840" s="17">
        <v>1</v>
      </c>
      <c r="J6840" s="17">
        <v>6</v>
      </c>
      <c r="K6840" s="10">
        <v>906</v>
      </c>
      <c r="P6840" s="17">
        <v>1</v>
      </c>
      <c r="Q6840" s="19">
        <v>906</v>
      </c>
      <c r="R6840" s="14">
        <v>160</v>
      </c>
      <c r="S6840" s="19">
        <v>144960</v>
      </c>
      <c r="AJ6840" s="19">
        <v>0</v>
      </c>
      <c r="AK6840" s="23">
        <v>0</v>
      </c>
      <c r="AM6840" s="19">
        <v>0</v>
      </c>
      <c r="AN6840" s="19">
        <v>144960</v>
      </c>
      <c r="AP6840" s="14">
        <v>144960</v>
      </c>
      <c r="AQ6840" s="12">
        <v>1E-4</v>
      </c>
    </row>
    <row r="6841" spans="1:45" x14ac:dyDescent="0.2">
      <c r="A6841" s="122">
        <f t="shared" si="693"/>
        <v>5611</v>
      </c>
      <c r="B6841" s="13">
        <v>7</v>
      </c>
      <c r="C6841" s="17" t="s">
        <v>65</v>
      </c>
      <c r="D6841" s="17">
        <v>1761</v>
      </c>
      <c r="E6841" s="17">
        <v>19</v>
      </c>
      <c r="H6841" s="17">
        <v>4</v>
      </c>
      <c r="I6841" s="17">
        <v>1</v>
      </c>
      <c r="J6841" s="17">
        <v>30</v>
      </c>
      <c r="K6841" s="10">
        <v>1730</v>
      </c>
      <c r="P6841" s="17">
        <v>1</v>
      </c>
      <c r="Q6841" s="19">
        <v>1730</v>
      </c>
      <c r="R6841" s="14">
        <v>160</v>
      </c>
      <c r="S6841" s="19">
        <v>276800</v>
      </c>
      <c r="AJ6841" s="19">
        <v>0</v>
      </c>
      <c r="AK6841" s="23">
        <v>0</v>
      </c>
      <c r="AM6841" s="19">
        <v>0</v>
      </c>
      <c r="AN6841" s="19">
        <v>276800</v>
      </c>
      <c r="AP6841" s="14">
        <v>276800</v>
      </c>
      <c r="AQ6841" s="12">
        <v>1E-4</v>
      </c>
    </row>
    <row r="6842" spans="1:45" x14ac:dyDescent="0.2">
      <c r="A6842" s="122">
        <f t="shared" si="693"/>
        <v>5612</v>
      </c>
      <c r="B6842" s="13">
        <v>8</v>
      </c>
      <c r="C6842" s="17" t="s">
        <v>65</v>
      </c>
      <c r="D6842" s="17">
        <v>1762</v>
      </c>
      <c r="E6842" s="17">
        <v>20</v>
      </c>
      <c r="H6842" s="17">
        <v>3</v>
      </c>
      <c r="I6842" s="17">
        <v>2</v>
      </c>
      <c r="J6842" s="17">
        <v>50</v>
      </c>
      <c r="K6842" s="10">
        <v>1450</v>
      </c>
      <c r="P6842" s="17">
        <v>1</v>
      </c>
      <c r="Q6842" s="19">
        <v>1450</v>
      </c>
      <c r="R6842" s="14">
        <v>160</v>
      </c>
      <c r="S6842" s="19">
        <v>232000</v>
      </c>
      <c r="AJ6842" s="19">
        <v>0</v>
      </c>
      <c r="AK6842" s="23">
        <v>0</v>
      </c>
      <c r="AM6842" s="19">
        <v>0</v>
      </c>
      <c r="AN6842" s="19">
        <v>232000</v>
      </c>
      <c r="AP6842" s="14">
        <v>232000</v>
      </c>
      <c r="AQ6842" s="12">
        <v>1E-4</v>
      </c>
    </row>
    <row r="6843" spans="1:45" x14ac:dyDescent="0.2">
      <c r="A6843" s="122">
        <f t="shared" si="693"/>
        <v>5613</v>
      </c>
      <c r="B6843" s="13">
        <v>9</v>
      </c>
      <c r="C6843" s="17" t="s">
        <v>65</v>
      </c>
      <c r="D6843" s="17">
        <v>1763</v>
      </c>
      <c r="E6843" s="17">
        <v>21</v>
      </c>
      <c r="H6843" s="17">
        <v>7</v>
      </c>
      <c r="I6843" s="17">
        <v>1</v>
      </c>
      <c r="J6843" s="17">
        <v>63</v>
      </c>
      <c r="K6843" s="10">
        <v>2963</v>
      </c>
      <c r="P6843" s="17">
        <v>1</v>
      </c>
      <c r="Q6843" s="19">
        <v>2963</v>
      </c>
      <c r="R6843" s="14">
        <v>160</v>
      </c>
      <c r="S6843" s="19">
        <v>474080</v>
      </c>
      <c r="AJ6843" s="19">
        <v>0</v>
      </c>
      <c r="AK6843" s="23">
        <v>0</v>
      </c>
      <c r="AM6843" s="19">
        <v>0</v>
      </c>
      <c r="AN6843" s="19">
        <v>474080</v>
      </c>
      <c r="AP6843" s="14">
        <v>474080</v>
      </c>
      <c r="AQ6843" s="12">
        <v>1E-4</v>
      </c>
    </row>
    <row r="6844" spans="1:45" x14ac:dyDescent="0.2">
      <c r="A6844" s="122">
        <f t="shared" si="693"/>
        <v>5614</v>
      </c>
      <c r="B6844" s="13">
        <v>10</v>
      </c>
      <c r="C6844" s="17" t="s">
        <v>65</v>
      </c>
      <c r="D6844" s="17">
        <v>1764</v>
      </c>
      <c r="E6844" s="17">
        <v>22</v>
      </c>
      <c r="H6844" s="17">
        <v>2</v>
      </c>
      <c r="I6844" s="17">
        <v>1</v>
      </c>
      <c r="J6844" s="17">
        <v>3</v>
      </c>
      <c r="K6844" s="10">
        <v>903</v>
      </c>
      <c r="P6844" s="17">
        <v>1</v>
      </c>
      <c r="Q6844" s="19">
        <v>903</v>
      </c>
      <c r="R6844" s="14">
        <v>160</v>
      </c>
      <c r="S6844" s="19">
        <v>144480</v>
      </c>
      <c r="AJ6844" s="19">
        <v>0</v>
      </c>
      <c r="AK6844" s="23">
        <v>0</v>
      </c>
      <c r="AM6844" s="19">
        <v>0</v>
      </c>
      <c r="AN6844" s="19">
        <v>144480</v>
      </c>
      <c r="AP6844" s="14">
        <v>144480</v>
      </c>
      <c r="AQ6844" s="12">
        <v>1E-4</v>
      </c>
    </row>
    <row r="6845" spans="1:45" x14ac:dyDescent="0.2">
      <c r="A6845" s="122">
        <f t="shared" si="693"/>
        <v>5615</v>
      </c>
      <c r="B6845" s="13">
        <v>11</v>
      </c>
      <c r="C6845" s="17" t="s">
        <v>65</v>
      </c>
      <c r="D6845" s="17">
        <v>1887</v>
      </c>
      <c r="E6845" s="17">
        <v>27</v>
      </c>
      <c r="H6845" s="17">
        <v>3</v>
      </c>
      <c r="I6845" s="17">
        <v>1</v>
      </c>
      <c r="J6845" s="17">
        <v>66</v>
      </c>
      <c r="K6845" s="10">
        <v>1366</v>
      </c>
      <c r="P6845" s="17">
        <v>1</v>
      </c>
      <c r="Q6845" s="19">
        <v>1366</v>
      </c>
      <c r="R6845" s="14">
        <v>160</v>
      </c>
      <c r="S6845" s="19">
        <v>218560</v>
      </c>
      <c r="AJ6845" s="19">
        <v>0</v>
      </c>
      <c r="AK6845" s="23">
        <v>0</v>
      </c>
      <c r="AM6845" s="19">
        <v>0</v>
      </c>
      <c r="AN6845" s="19">
        <v>218560</v>
      </c>
      <c r="AP6845" s="14">
        <v>218560</v>
      </c>
      <c r="AQ6845" s="12">
        <v>1E-4</v>
      </c>
    </row>
    <row r="6846" spans="1:45" x14ac:dyDescent="0.2">
      <c r="A6846" s="122">
        <f t="shared" si="693"/>
        <v>5616</v>
      </c>
      <c r="B6846" s="13">
        <v>12</v>
      </c>
      <c r="C6846" s="17" t="s">
        <v>65</v>
      </c>
      <c r="D6846" s="17">
        <v>1888</v>
      </c>
      <c r="E6846" s="17">
        <v>28</v>
      </c>
      <c r="H6846" s="17">
        <v>2</v>
      </c>
      <c r="I6846" s="17">
        <v>3</v>
      </c>
      <c r="J6846" s="17">
        <v>20</v>
      </c>
      <c r="K6846" s="10">
        <v>1120</v>
      </c>
      <c r="P6846" s="17">
        <v>1</v>
      </c>
      <c r="Q6846" s="19">
        <v>1120</v>
      </c>
      <c r="R6846" s="14">
        <v>160</v>
      </c>
      <c r="S6846" s="19">
        <v>179200</v>
      </c>
      <c r="AJ6846" s="19">
        <v>0</v>
      </c>
      <c r="AK6846" s="23">
        <v>0</v>
      </c>
      <c r="AM6846" s="19">
        <v>0</v>
      </c>
      <c r="AN6846" s="19">
        <v>179200</v>
      </c>
      <c r="AP6846" s="14">
        <v>179200</v>
      </c>
      <c r="AQ6846" s="12">
        <v>1E-4</v>
      </c>
    </row>
    <row r="6847" spans="1:45" x14ac:dyDescent="0.2">
      <c r="A6847" s="122">
        <f t="shared" si="693"/>
        <v>5617</v>
      </c>
      <c r="B6847" s="13">
        <v>13</v>
      </c>
      <c r="C6847" s="17" t="s">
        <v>65</v>
      </c>
      <c r="D6847" s="17">
        <v>1963</v>
      </c>
      <c r="E6847" s="17">
        <v>56</v>
      </c>
      <c r="H6847" s="17">
        <v>10</v>
      </c>
      <c r="I6847" s="17">
        <v>3</v>
      </c>
      <c r="J6847" s="17">
        <v>70</v>
      </c>
      <c r="K6847" s="10" t="s">
        <v>706</v>
      </c>
      <c r="P6847" s="17">
        <v>1</v>
      </c>
      <c r="Q6847" s="19">
        <v>4370</v>
      </c>
      <c r="R6847" s="14">
        <v>160</v>
      </c>
      <c r="S6847" s="19">
        <v>699200</v>
      </c>
      <c r="AJ6847" s="19">
        <v>0</v>
      </c>
      <c r="AK6847" s="23">
        <v>0</v>
      </c>
      <c r="AM6847" s="19">
        <v>0</v>
      </c>
      <c r="AN6847" s="19">
        <v>699200</v>
      </c>
      <c r="AP6847" s="14">
        <v>699200</v>
      </c>
      <c r="AQ6847" s="12">
        <v>3.0000000000000001E-3</v>
      </c>
    </row>
    <row r="6848" spans="1:45" x14ac:dyDescent="0.2">
      <c r="A6848" s="122">
        <f t="shared" si="693"/>
        <v>5618</v>
      </c>
      <c r="B6848" s="13">
        <v>14</v>
      </c>
      <c r="C6848" s="17" t="s">
        <v>65</v>
      </c>
      <c r="D6848" s="17">
        <v>1976</v>
      </c>
      <c r="E6848" s="17">
        <v>82</v>
      </c>
      <c r="H6848" s="17">
        <v>2</v>
      </c>
      <c r="I6848" s="17">
        <v>0</v>
      </c>
      <c r="J6848" s="17">
        <v>66</v>
      </c>
      <c r="K6848" s="10" t="s">
        <v>707</v>
      </c>
      <c r="P6848" s="17">
        <v>1</v>
      </c>
      <c r="Q6848" s="19">
        <v>866</v>
      </c>
      <c r="R6848" s="14">
        <v>1500</v>
      </c>
      <c r="S6848" s="19">
        <v>1299000</v>
      </c>
      <c r="AJ6848" s="19">
        <v>0</v>
      </c>
      <c r="AK6848" s="23">
        <v>0</v>
      </c>
      <c r="AM6848" s="19">
        <v>0</v>
      </c>
      <c r="AN6848" s="19">
        <v>1299000</v>
      </c>
      <c r="AP6848" s="14">
        <v>1299000</v>
      </c>
      <c r="AQ6848" s="12">
        <v>3.0000000000000001E-3</v>
      </c>
    </row>
    <row r="6849" spans="1:45" x14ac:dyDescent="0.2">
      <c r="A6849" s="122">
        <f t="shared" si="693"/>
        <v>5619</v>
      </c>
      <c r="B6849" s="13">
        <v>15</v>
      </c>
      <c r="C6849" s="17" t="s">
        <v>65</v>
      </c>
      <c r="D6849" s="17">
        <v>2839</v>
      </c>
      <c r="E6849" s="17">
        <v>145</v>
      </c>
      <c r="H6849" s="17">
        <v>1</v>
      </c>
      <c r="I6849" s="17">
        <v>2</v>
      </c>
      <c r="J6849" s="17">
        <v>28</v>
      </c>
      <c r="K6849" s="10">
        <v>628</v>
      </c>
      <c r="P6849" s="17">
        <v>1</v>
      </c>
      <c r="Q6849" s="19">
        <v>628</v>
      </c>
      <c r="R6849" s="14">
        <v>160</v>
      </c>
      <c r="S6849" s="19">
        <v>100480</v>
      </c>
      <c r="AJ6849" s="19">
        <v>0</v>
      </c>
      <c r="AK6849" s="23">
        <v>0</v>
      </c>
      <c r="AM6849" s="19">
        <v>0</v>
      </c>
      <c r="AN6849" s="19">
        <v>100480</v>
      </c>
      <c r="AP6849" s="14">
        <v>100480</v>
      </c>
      <c r="AQ6849" s="12">
        <v>1E-4</v>
      </c>
    </row>
    <row r="6850" spans="1:45" x14ac:dyDescent="0.2">
      <c r="A6850" s="122">
        <f t="shared" si="693"/>
        <v>5620</v>
      </c>
      <c r="B6850" s="13">
        <v>16</v>
      </c>
      <c r="C6850" s="17" t="s">
        <v>65</v>
      </c>
      <c r="D6850" s="17">
        <v>2840</v>
      </c>
      <c r="E6850" s="17">
        <v>146</v>
      </c>
      <c r="H6850" s="17">
        <v>5</v>
      </c>
      <c r="I6850" s="17">
        <v>2</v>
      </c>
      <c r="J6850" s="17">
        <v>74</v>
      </c>
      <c r="K6850" s="10">
        <v>2274</v>
      </c>
      <c r="P6850" s="17">
        <v>1</v>
      </c>
      <c r="Q6850" s="19">
        <v>2274</v>
      </c>
      <c r="R6850" s="14">
        <v>160</v>
      </c>
      <c r="S6850" s="19">
        <v>363840</v>
      </c>
      <c r="AJ6850" s="19">
        <v>0</v>
      </c>
      <c r="AK6850" s="23">
        <v>0</v>
      </c>
      <c r="AM6850" s="19">
        <v>0</v>
      </c>
      <c r="AN6850" s="19">
        <v>363840</v>
      </c>
      <c r="AP6850" s="14">
        <v>363840</v>
      </c>
      <c r="AQ6850" s="12">
        <v>1E-4</v>
      </c>
    </row>
    <row r="6851" spans="1:45" x14ac:dyDescent="0.2">
      <c r="A6851" s="122">
        <f t="shared" si="693"/>
        <v>5621</v>
      </c>
      <c r="B6851" s="13">
        <v>14</v>
      </c>
      <c r="C6851" s="17" t="s">
        <v>65</v>
      </c>
      <c r="D6851" s="17">
        <v>1947</v>
      </c>
      <c r="E6851" s="17">
        <v>33</v>
      </c>
      <c r="H6851" s="17">
        <v>7</v>
      </c>
      <c r="I6851" s="17">
        <v>1</v>
      </c>
      <c r="J6851" s="17">
        <v>29</v>
      </c>
      <c r="K6851" s="10">
        <v>2929</v>
      </c>
      <c r="P6851" s="17">
        <v>1</v>
      </c>
      <c r="Q6851" s="19">
        <v>2929</v>
      </c>
      <c r="R6851" s="14">
        <v>160</v>
      </c>
      <c r="S6851" s="19">
        <v>468640</v>
      </c>
      <c r="AE6851" s="17" t="s">
        <v>94</v>
      </c>
      <c r="AJ6851" s="19">
        <v>0</v>
      </c>
      <c r="AK6851" s="23">
        <v>0</v>
      </c>
      <c r="AM6851" s="19">
        <v>0</v>
      </c>
      <c r="AN6851" s="19">
        <v>468640</v>
      </c>
      <c r="AP6851" s="14">
        <v>468640</v>
      </c>
      <c r="AQ6851" s="12">
        <v>1E-4</v>
      </c>
    </row>
    <row r="6852" spans="1:45" x14ac:dyDescent="0.2">
      <c r="B6852" s="13">
        <v>3</v>
      </c>
      <c r="C6852" s="17" t="s">
        <v>97</v>
      </c>
      <c r="D6852" s="17">
        <v>108</v>
      </c>
      <c r="G6852" s="13">
        <v>4</v>
      </c>
      <c r="H6852" s="17">
        <v>30</v>
      </c>
      <c r="I6852" s="17">
        <v>0</v>
      </c>
      <c r="J6852" s="17">
        <v>0</v>
      </c>
      <c r="K6852" s="10">
        <v>12000</v>
      </c>
      <c r="P6852" s="17">
        <v>1</v>
      </c>
      <c r="Q6852" s="19">
        <v>12000</v>
      </c>
      <c r="R6852" s="14" t="e">
        <v>#N/A</v>
      </c>
      <c r="S6852" s="19" t="e">
        <v>#N/A</v>
      </c>
      <c r="AJ6852" s="19">
        <v>0</v>
      </c>
      <c r="AK6852" s="23">
        <v>0</v>
      </c>
      <c r="AM6852" s="19">
        <v>0</v>
      </c>
      <c r="AN6852" s="19" t="e">
        <v>#N/A</v>
      </c>
      <c r="AP6852" s="14" t="e">
        <v>#N/A</v>
      </c>
      <c r="AQ6852" s="12">
        <v>1E-4</v>
      </c>
    </row>
    <row r="6853" spans="1:45" x14ac:dyDescent="0.2">
      <c r="A6853" s="2">
        <v>5622</v>
      </c>
      <c r="B6853" s="13">
        <v>1</v>
      </c>
      <c r="C6853" s="17" t="s">
        <v>52</v>
      </c>
      <c r="D6853" s="17">
        <v>2084</v>
      </c>
      <c r="E6853" s="17">
        <v>67</v>
      </c>
      <c r="F6853" s="17">
        <v>1543</v>
      </c>
      <c r="G6853" s="13">
        <v>3</v>
      </c>
      <c r="H6853" s="17">
        <v>0</v>
      </c>
      <c r="I6853" s="17">
        <v>1</v>
      </c>
      <c r="J6853" s="17">
        <v>2</v>
      </c>
      <c r="K6853" s="10">
        <v>102</v>
      </c>
      <c r="P6853" s="17">
        <v>1</v>
      </c>
      <c r="Q6853" s="19">
        <v>102</v>
      </c>
      <c r="R6853" s="14">
        <v>2000</v>
      </c>
      <c r="S6853" s="19">
        <v>204000</v>
      </c>
      <c r="AJ6853" s="19">
        <v>0</v>
      </c>
      <c r="AK6853" s="23">
        <v>0</v>
      </c>
      <c r="AM6853" s="19">
        <v>0</v>
      </c>
      <c r="AN6853" s="19">
        <v>204000</v>
      </c>
      <c r="AP6853" s="14">
        <v>204000</v>
      </c>
    </row>
    <row r="6854" spans="1:45" x14ac:dyDescent="0.2">
      <c r="A6854" s="2">
        <f>+A6853+1</f>
        <v>5623</v>
      </c>
      <c r="B6854" s="13">
        <v>2</v>
      </c>
      <c r="C6854" s="17" t="s">
        <v>52</v>
      </c>
      <c r="D6854" s="17">
        <v>36817</v>
      </c>
      <c r="E6854" s="17">
        <v>188</v>
      </c>
      <c r="F6854" s="17">
        <v>7276</v>
      </c>
      <c r="G6854" s="13">
        <v>3</v>
      </c>
      <c r="H6854" s="17">
        <v>2</v>
      </c>
      <c r="I6854" s="17">
        <v>0</v>
      </c>
      <c r="J6854" s="17">
        <v>51.07</v>
      </c>
      <c r="K6854" s="10">
        <v>51.07</v>
      </c>
      <c r="P6854" s="17">
        <v>1</v>
      </c>
      <c r="Q6854" s="19">
        <v>851.07</v>
      </c>
      <c r="R6854" s="14">
        <v>200</v>
      </c>
      <c r="S6854" s="19">
        <v>170214</v>
      </c>
      <c r="AJ6854" s="19">
        <v>0</v>
      </c>
      <c r="AK6854" s="23">
        <v>0</v>
      </c>
      <c r="AM6854" s="19">
        <v>0</v>
      </c>
      <c r="AN6854" s="19">
        <v>170214</v>
      </c>
      <c r="AP6854" s="14">
        <v>170214</v>
      </c>
    </row>
    <row r="6855" spans="1:45" x14ac:dyDescent="0.2">
      <c r="A6855" s="122">
        <f t="shared" ref="A6855:A6856" si="694">+A6854+1</f>
        <v>5624</v>
      </c>
      <c r="B6855" s="13">
        <v>3</v>
      </c>
      <c r="C6855" s="17" t="s">
        <v>52</v>
      </c>
      <c r="D6855" s="17">
        <v>2056</v>
      </c>
      <c r="E6855" s="17">
        <v>95</v>
      </c>
      <c r="F6855" s="17">
        <v>1527</v>
      </c>
      <c r="H6855" s="17">
        <v>0</v>
      </c>
      <c r="I6855" s="17">
        <v>1</v>
      </c>
      <c r="J6855" s="17">
        <v>21</v>
      </c>
      <c r="K6855" s="10">
        <v>121</v>
      </c>
      <c r="P6855" s="17">
        <v>1</v>
      </c>
      <c r="Q6855" s="19">
        <v>121</v>
      </c>
      <c r="R6855" s="14">
        <v>160</v>
      </c>
      <c r="S6855" s="19">
        <v>19360</v>
      </c>
      <c r="AJ6855" s="19">
        <v>0</v>
      </c>
      <c r="AK6855" s="23">
        <v>0</v>
      </c>
      <c r="AM6855" s="19">
        <v>0</v>
      </c>
      <c r="AN6855" s="19">
        <v>19360</v>
      </c>
      <c r="AP6855" s="14">
        <v>19360</v>
      </c>
    </row>
    <row r="6856" spans="1:45" x14ac:dyDescent="0.2">
      <c r="A6856" s="122">
        <f t="shared" si="694"/>
        <v>5625</v>
      </c>
      <c r="B6856" s="13">
        <v>4</v>
      </c>
      <c r="C6856" s="17" t="s">
        <v>65</v>
      </c>
      <c r="D6856" s="17">
        <v>442</v>
      </c>
      <c r="E6856" s="17">
        <v>106</v>
      </c>
      <c r="H6856" s="17">
        <v>6</v>
      </c>
      <c r="I6856" s="17">
        <v>2</v>
      </c>
      <c r="J6856" s="17">
        <v>6</v>
      </c>
      <c r="K6856" s="10">
        <v>2606</v>
      </c>
      <c r="P6856" s="17">
        <v>1</v>
      </c>
      <c r="Q6856" s="19">
        <v>2606</v>
      </c>
      <c r="R6856" s="14">
        <v>200</v>
      </c>
      <c r="S6856" s="19">
        <v>521200</v>
      </c>
      <c r="AJ6856" s="19">
        <v>0</v>
      </c>
      <c r="AK6856" s="23">
        <v>0</v>
      </c>
      <c r="AM6856" s="19">
        <v>0</v>
      </c>
      <c r="AN6856" s="19">
        <v>521200</v>
      </c>
      <c r="AP6856" s="14">
        <v>521200</v>
      </c>
      <c r="AQ6856" s="12">
        <v>1E-4</v>
      </c>
    </row>
    <row r="6857" spans="1:45" x14ac:dyDescent="0.2">
      <c r="B6857" s="13">
        <v>5</v>
      </c>
      <c r="C6857" s="17" t="s">
        <v>65</v>
      </c>
      <c r="D6857" s="17">
        <v>2871</v>
      </c>
      <c r="E6857" s="17">
        <v>184</v>
      </c>
      <c r="H6857" s="17">
        <v>2</v>
      </c>
      <c r="I6857" s="17">
        <v>0</v>
      </c>
      <c r="J6857" s="17">
        <v>89</v>
      </c>
      <c r="K6857" s="10">
        <v>889</v>
      </c>
      <c r="P6857" s="17">
        <v>1</v>
      </c>
      <c r="Q6857" s="19">
        <v>889</v>
      </c>
      <c r="R6857" s="14" t="e">
        <v>#N/A</v>
      </c>
      <c r="S6857" s="19" t="e">
        <v>#N/A</v>
      </c>
      <c r="AE6857" s="17" t="s">
        <v>95</v>
      </c>
      <c r="AJ6857" s="19">
        <v>0</v>
      </c>
      <c r="AK6857" s="23">
        <v>0</v>
      </c>
      <c r="AM6857" s="19">
        <v>0</v>
      </c>
      <c r="AN6857" s="19" t="e">
        <v>#N/A</v>
      </c>
      <c r="AP6857" s="14" t="e">
        <v>#N/A</v>
      </c>
      <c r="AQ6857" s="12">
        <v>1E-4</v>
      </c>
    </row>
    <row r="6858" spans="1:45" ht="42" x14ac:dyDescent="0.2">
      <c r="A6858" s="2">
        <v>5626</v>
      </c>
      <c r="B6858" s="13">
        <v>1</v>
      </c>
      <c r="C6858" s="17" t="s">
        <v>52</v>
      </c>
      <c r="D6858" s="17">
        <v>1048</v>
      </c>
      <c r="E6858" s="17">
        <v>140</v>
      </c>
      <c r="F6858" s="17">
        <v>406</v>
      </c>
      <c r="G6858" s="13">
        <v>1</v>
      </c>
      <c r="H6858" s="17">
        <v>0</v>
      </c>
      <c r="I6858" s="17">
        <v>0</v>
      </c>
      <c r="J6858" s="17">
        <v>98</v>
      </c>
      <c r="L6858" s="17" t="s">
        <v>333</v>
      </c>
      <c r="P6858" s="17">
        <v>1</v>
      </c>
      <c r="Q6858" s="19">
        <v>98</v>
      </c>
      <c r="R6858" s="14">
        <v>250</v>
      </c>
      <c r="S6858" s="19">
        <v>24500</v>
      </c>
      <c r="T6858" s="17">
        <v>1</v>
      </c>
      <c r="V6858" s="17" t="s">
        <v>183</v>
      </c>
      <c r="W6858" s="4">
        <v>210</v>
      </c>
      <c r="Y6858" s="4">
        <v>210</v>
      </c>
      <c r="AB6858" s="17">
        <v>30</v>
      </c>
      <c r="AJ6858" s="19">
        <v>0</v>
      </c>
      <c r="AK6858" s="23">
        <v>30</v>
      </c>
      <c r="AM6858" s="19">
        <v>0</v>
      </c>
      <c r="AN6858" s="19">
        <v>24500</v>
      </c>
      <c r="AP6858" s="14">
        <v>24500</v>
      </c>
    </row>
    <row r="6859" spans="1:45" x14ac:dyDescent="0.2">
      <c r="A6859" s="2">
        <f>+A6858+1</f>
        <v>5627</v>
      </c>
      <c r="B6859" s="13">
        <v>2</v>
      </c>
      <c r="C6859" s="17" t="s">
        <v>52</v>
      </c>
      <c r="D6859" s="17">
        <v>2801</v>
      </c>
      <c r="E6859" s="17">
        <v>31</v>
      </c>
      <c r="F6859" s="17">
        <v>1918</v>
      </c>
      <c r="G6859" s="13">
        <v>1</v>
      </c>
      <c r="H6859" s="17">
        <v>4</v>
      </c>
      <c r="I6859" s="17">
        <v>2</v>
      </c>
      <c r="J6859" s="17">
        <v>7.08</v>
      </c>
      <c r="K6859" s="10">
        <v>1807.08</v>
      </c>
      <c r="P6859" s="17">
        <v>1</v>
      </c>
      <c r="Q6859" s="19">
        <v>1807.08</v>
      </c>
      <c r="R6859" s="14">
        <v>160</v>
      </c>
      <c r="S6859" s="19">
        <v>289132.79999999999</v>
      </c>
      <c r="AJ6859" s="19">
        <v>0</v>
      </c>
      <c r="AK6859" s="23">
        <v>0</v>
      </c>
      <c r="AM6859" s="19">
        <v>0</v>
      </c>
      <c r="AN6859" s="19">
        <v>289132.79999999999</v>
      </c>
      <c r="AP6859" s="14">
        <v>289132.79999999999</v>
      </c>
    </row>
    <row r="6860" spans="1:45" x14ac:dyDescent="0.2">
      <c r="A6860" s="122">
        <f t="shared" ref="A6860:A6893" si="695">+A6859+1</f>
        <v>5628</v>
      </c>
      <c r="B6860" s="13">
        <v>3</v>
      </c>
      <c r="C6860" s="17" t="s">
        <v>52</v>
      </c>
      <c r="D6860" s="17">
        <v>4651</v>
      </c>
      <c r="E6860" s="17">
        <v>38</v>
      </c>
      <c r="F6860" s="17">
        <v>2477</v>
      </c>
      <c r="G6860" s="13">
        <v>1</v>
      </c>
      <c r="H6860" s="17">
        <v>4</v>
      </c>
      <c r="I6860" s="17">
        <v>1</v>
      </c>
      <c r="J6860" s="17">
        <v>5</v>
      </c>
      <c r="K6860" s="10">
        <v>1705</v>
      </c>
      <c r="P6860" s="17">
        <v>1</v>
      </c>
      <c r="Q6860" s="19">
        <v>1705</v>
      </c>
      <c r="R6860" s="14">
        <v>200</v>
      </c>
      <c r="S6860" s="19">
        <v>341000</v>
      </c>
      <c r="AJ6860" s="19">
        <v>0</v>
      </c>
      <c r="AK6860" s="23">
        <v>0</v>
      </c>
      <c r="AM6860" s="19">
        <v>0</v>
      </c>
      <c r="AN6860" s="19">
        <v>341000</v>
      </c>
      <c r="AP6860" s="14">
        <v>341000</v>
      </c>
    </row>
    <row r="6861" spans="1:45" x14ac:dyDescent="0.2">
      <c r="A6861" s="122">
        <f t="shared" si="695"/>
        <v>5629</v>
      </c>
      <c r="B6861" s="13">
        <v>1</v>
      </c>
      <c r="C6861" s="17" t="s">
        <v>52</v>
      </c>
      <c r="D6861" s="17">
        <v>393</v>
      </c>
      <c r="E6861" s="17">
        <v>502</v>
      </c>
      <c r="F6861" s="17">
        <v>43</v>
      </c>
      <c r="G6861" s="13">
        <v>2</v>
      </c>
      <c r="H6861" s="17">
        <v>3</v>
      </c>
      <c r="I6861" s="17">
        <v>2</v>
      </c>
      <c r="J6861" s="17">
        <v>24.09</v>
      </c>
      <c r="N6861" s="18">
        <v>1424</v>
      </c>
      <c r="P6861" s="17">
        <v>4</v>
      </c>
      <c r="Q6861" s="19">
        <v>1424.09</v>
      </c>
      <c r="R6861" s="14">
        <v>3350</v>
      </c>
      <c r="S6861" s="19">
        <v>4770701.5</v>
      </c>
      <c r="AE6861" s="17" t="s">
        <v>708</v>
      </c>
      <c r="AJ6861" s="19">
        <v>0</v>
      </c>
      <c r="AK6861" s="23">
        <v>0</v>
      </c>
      <c r="AM6861" s="19">
        <v>0</v>
      </c>
      <c r="AN6861" s="19">
        <v>4770701.5</v>
      </c>
      <c r="AP6861" s="14">
        <v>4770701.5</v>
      </c>
      <c r="AQ6861" s="12">
        <v>3.0000000000000001E-3</v>
      </c>
      <c r="AS6861" s="26">
        <v>151</v>
      </c>
    </row>
    <row r="6862" spans="1:45" x14ac:dyDescent="0.2">
      <c r="A6862" s="122">
        <f t="shared" si="695"/>
        <v>5630</v>
      </c>
      <c r="B6862" s="13">
        <v>2</v>
      </c>
      <c r="C6862" s="17" t="s">
        <v>52</v>
      </c>
      <c r="D6862" s="17">
        <v>25509</v>
      </c>
      <c r="E6862" s="17">
        <v>296</v>
      </c>
      <c r="F6862" s="17">
        <v>4746</v>
      </c>
      <c r="G6862" s="13">
        <v>2</v>
      </c>
      <c r="H6862" s="17">
        <v>0</v>
      </c>
      <c r="I6862" s="17">
        <v>0</v>
      </c>
      <c r="J6862" s="17">
        <v>21</v>
      </c>
      <c r="L6862" s="17" t="s">
        <v>485</v>
      </c>
      <c r="P6862" s="17">
        <v>2</v>
      </c>
      <c r="Q6862" s="19">
        <v>21</v>
      </c>
      <c r="R6862" s="14">
        <v>4500</v>
      </c>
      <c r="S6862" s="19">
        <v>94500</v>
      </c>
      <c r="AJ6862" s="19">
        <v>0</v>
      </c>
      <c r="AK6862" s="23">
        <v>0</v>
      </c>
      <c r="AM6862" s="19">
        <v>0</v>
      </c>
      <c r="AN6862" s="19">
        <v>94500</v>
      </c>
      <c r="AP6862" s="14">
        <v>94500</v>
      </c>
    </row>
    <row r="6863" spans="1:45" x14ac:dyDescent="0.2">
      <c r="A6863" s="122">
        <f t="shared" si="695"/>
        <v>5631</v>
      </c>
      <c r="B6863" s="13">
        <v>3</v>
      </c>
      <c r="C6863" s="17" t="s">
        <v>52</v>
      </c>
      <c r="D6863" s="17">
        <v>25510</v>
      </c>
      <c r="E6863" s="17">
        <v>297</v>
      </c>
      <c r="F6863" s="17">
        <v>4747</v>
      </c>
      <c r="G6863" s="13">
        <v>2</v>
      </c>
      <c r="H6863" s="17">
        <v>0</v>
      </c>
      <c r="I6863" s="17">
        <v>0</v>
      </c>
      <c r="J6863" s="17">
        <v>15</v>
      </c>
      <c r="L6863" s="17" t="s">
        <v>272</v>
      </c>
      <c r="P6863" s="17">
        <v>2</v>
      </c>
      <c r="Q6863" s="19">
        <v>15</v>
      </c>
      <c r="R6863" s="14">
        <v>4500</v>
      </c>
      <c r="S6863" s="19">
        <v>67500</v>
      </c>
      <c r="AJ6863" s="19">
        <v>0</v>
      </c>
      <c r="AK6863" s="23">
        <v>0</v>
      </c>
      <c r="AM6863" s="19">
        <v>0</v>
      </c>
      <c r="AN6863" s="19">
        <v>67500</v>
      </c>
      <c r="AP6863" s="14">
        <v>67500</v>
      </c>
    </row>
    <row r="6864" spans="1:45" x14ac:dyDescent="0.2">
      <c r="A6864" s="122">
        <f t="shared" si="695"/>
        <v>5632</v>
      </c>
      <c r="B6864" s="13">
        <v>4</v>
      </c>
      <c r="C6864" s="17" t="s">
        <v>52</v>
      </c>
      <c r="D6864" s="17">
        <v>25511</v>
      </c>
      <c r="E6864" s="17">
        <v>274</v>
      </c>
      <c r="F6864" s="17">
        <v>4748</v>
      </c>
      <c r="G6864" s="13">
        <v>2</v>
      </c>
      <c r="H6864" s="17">
        <v>0</v>
      </c>
      <c r="I6864" s="17">
        <v>0</v>
      </c>
      <c r="J6864" s="17">
        <v>15</v>
      </c>
      <c r="L6864" s="17" t="s">
        <v>272</v>
      </c>
      <c r="P6864" s="17">
        <v>2</v>
      </c>
      <c r="Q6864" s="19">
        <v>15</v>
      </c>
      <c r="R6864" s="14">
        <v>4500</v>
      </c>
      <c r="S6864" s="19">
        <v>67500</v>
      </c>
      <c r="AJ6864" s="19">
        <v>0</v>
      </c>
      <c r="AK6864" s="23">
        <v>0</v>
      </c>
      <c r="AM6864" s="19">
        <v>0</v>
      </c>
      <c r="AN6864" s="19">
        <v>67500</v>
      </c>
      <c r="AP6864" s="14">
        <v>67500</v>
      </c>
    </row>
    <row r="6865" spans="1:45" ht="42" x14ac:dyDescent="0.2">
      <c r="A6865" s="122">
        <f t="shared" si="695"/>
        <v>5633</v>
      </c>
      <c r="B6865" s="13">
        <v>5</v>
      </c>
      <c r="C6865" s="17" t="s">
        <v>52</v>
      </c>
      <c r="D6865" s="17">
        <v>25512</v>
      </c>
      <c r="E6865" s="17">
        <v>298</v>
      </c>
      <c r="F6865" s="17">
        <v>4749</v>
      </c>
      <c r="G6865" s="13">
        <v>2</v>
      </c>
      <c r="H6865" s="17">
        <v>0</v>
      </c>
      <c r="I6865" s="17">
        <v>0</v>
      </c>
      <c r="J6865" s="17">
        <v>15</v>
      </c>
      <c r="L6865" s="17">
        <v>15</v>
      </c>
      <c r="P6865" s="17">
        <v>2</v>
      </c>
      <c r="Q6865" s="19">
        <v>15</v>
      </c>
      <c r="R6865" s="14">
        <v>4500</v>
      </c>
      <c r="S6865" s="19">
        <v>67500</v>
      </c>
      <c r="T6865" s="17">
        <v>1</v>
      </c>
      <c r="V6865" s="17" t="s">
        <v>530</v>
      </c>
      <c r="AJ6865" s="19">
        <v>0</v>
      </c>
      <c r="AK6865" s="23">
        <v>0</v>
      </c>
      <c r="AM6865" s="19">
        <v>0</v>
      </c>
      <c r="AN6865" s="19">
        <v>67500</v>
      </c>
      <c r="AP6865" s="14">
        <v>67500</v>
      </c>
    </row>
    <row r="6866" spans="1:45" x14ac:dyDescent="0.2">
      <c r="A6866" s="122">
        <f t="shared" si="695"/>
        <v>5634</v>
      </c>
      <c r="B6866" s="13">
        <v>6</v>
      </c>
      <c r="C6866" s="17" t="s">
        <v>52</v>
      </c>
      <c r="D6866" s="17">
        <v>28232</v>
      </c>
      <c r="E6866" s="17">
        <v>166</v>
      </c>
      <c r="F6866" s="17">
        <v>4750</v>
      </c>
      <c r="G6866" s="13">
        <v>2</v>
      </c>
      <c r="H6866" s="17">
        <v>3</v>
      </c>
      <c r="I6866" s="17">
        <v>0</v>
      </c>
      <c r="J6866" s="17">
        <v>74</v>
      </c>
      <c r="N6866" s="18">
        <v>1274</v>
      </c>
      <c r="P6866" s="17">
        <v>4</v>
      </c>
      <c r="Q6866" s="19">
        <v>1274</v>
      </c>
      <c r="R6866" s="14">
        <v>2250</v>
      </c>
      <c r="S6866" s="19">
        <v>2866500</v>
      </c>
      <c r="AE6866" s="17" t="s">
        <v>709</v>
      </c>
      <c r="AJ6866" s="19">
        <v>0</v>
      </c>
      <c r="AK6866" s="23">
        <v>0</v>
      </c>
      <c r="AM6866" s="19">
        <v>0</v>
      </c>
      <c r="AN6866" s="19">
        <v>2866500</v>
      </c>
      <c r="AP6866" s="14">
        <v>2866500</v>
      </c>
      <c r="AQ6866" s="12">
        <v>3.0000000000000001E-3</v>
      </c>
    </row>
    <row r="6867" spans="1:45" x14ac:dyDescent="0.2">
      <c r="A6867" s="122">
        <f t="shared" si="695"/>
        <v>5635</v>
      </c>
      <c r="B6867" s="13">
        <v>7</v>
      </c>
      <c r="C6867" s="17" t="s">
        <v>65</v>
      </c>
      <c r="D6867" s="17">
        <v>3648</v>
      </c>
      <c r="E6867" s="17">
        <v>157</v>
      </c>
      <c r="H6867" s="17">
        <v>0</v>
      </c>
      <c r="I6867" s="17">
        <v>1</v>
      </c>
      <c r="J6867" s="17">
        <v>79</v>
      </c>
      <c r="N6867" s="18">
        <v>179</v>
      </c>
      <c r="P6867" s="17">
        <v>4</v>
      </c>
      <c r="Q6867" s="19">
        <v>179</v>
      </c>
      <c r="R6867" s="14">
        <v>250</v>
      </c>
      <c r="S6867" s="19">
        <v>44750</v>
      </c>
      <c r="AJ6867" s="19">
        <v>0</v>
      </c>
      <c r="AK6867" s="23">
        <v>0</v>
      </c>
      <c r="AM6867" s="19">
        <v>0</v>
      </c>
      <c r="AN6867" s="19">
        <v>44750</v>
      </c>
      <c r="AP6867" s="14">
        <v>44750</v>
      </c>
      <c r="AQ6867" s="12">
        <v>3.0000000000000001E-3</v>
      </c>
    </row>
    <row r="6868" spans="1:45" x14ac:dyDescent="0.2">
      <c r="A6868" s="122">
        <f t="shared" si="695"/>
        <v>5636</v>
      </c>
      <c r="B6868" s="13">
        <v>1</v>
      </c>
      <c r="C6868" s="17" t="s">
        <v>52</v>
      </c>
      <c r="D6868" s="17">
        <v>32599</v>
      </c>
      <c r="E6868" s="17">
        <v>42</v>
      </c>
      <c r="F6868" s="17">
        <v>6405</v>
      </c>
      <c r="G6868" s="13">
        <v>6</v>
      </c>
      <c r="H6868" s="17">
        <v>0</v>
      </c>
      <c r="I6868" s="17">
        <v>2</v>
      </c>
      <c r="J6868" s="17">
        <v>0.02</v>
      </c>
      <c r="N6868" s="18">
        <v>200.02</v>
      </c>
      <c r="P6868" s="17">
        <v>4</v>
      </c>
      <c r="Q6868" s="19">
        <v>200.02</v>
      </c>
      <c r="R6868" s="14">
        <v>750</v>
      </c>
      <c r="S6868" s="19">
        <v>150015</v>
      </c>
      <c r="AJ6868" s="19">
        <v>0</v>
      </c>
      <c r="AK6868" s="23">
        <v>0</v>
      </c>
      <c r="AM6868" s="19">
        <v>0</v>
      </c>
      <c r="AN6868" s="19">
        <v>150015</v>
      </c>
      <c r="AP6868" s="14">
        <v>150015</v>
      </c>
      <c r="AQ6868" s="12">
        <v>3.0000000000000001E-3</v>
      </c>
      <c r="AS6868" s="26">
        <v>3</v>
      </c>
    </row>
    <row r="6869" spans="1:45" x14ac:dyDescent="0.2">
      <c r="A6869" s="122">
        <f t="shared" si="695"/>
        <v>5637</v>
      </c>
      <c r="B6869" s="13">
        <v>1</v>
      </c>
      <c r="C6869" s="17" t="s">
        <v>52</v>
      </c>
      <c r="D6869" s="17">
        <v>19380</v>
      </c>
      <c r="E6869" s="17">
        <v>117</v>
      </c>
      <c r="F6869" s="17">
        <v>4392</v>
      </c>
      <c r="G6869" s="13">
        <v>7</v>
      </c>
      <c r="H6869" s="17">
        <v>1</v>
      </c>
      <c r="I6869" s="17">
        <v>0</v>
      </c>
      <c r="J6869" s="17">
        <v>36</v>
      </c>
      <c r="K6869" s="10">
        <v>436</v>
      </c>
      <c r="P6869" s="17">
        <v>1</v>
      </c>
      <c r="Q6869" s="19">
        <v>436</v>
      </c>
      <c r="R6869" s="14">
        <v>880</v>
      </c>
      <c r="S6869" s="19">
        <v>383680</v>
      </c>
      <c r="AJ6869" s="19">
        <v>0</v>
      </c>
      <c r="AK6869" s="23">
        <v>0</v>
      </c>
      <c r="AM6869" s="19">
        <v>0</v>
      </c>
      <c r="AN6869" s="19">
        <v>383680</v>
      </c>
      <c r="AP6869" s="14">
        <v>383680</v>
      </c>
    </row>
    <row r="6870" spans="1:45" x14ac:dyDescent="0.2">
      <c r="A6870" s="122">
        <f t="shared" si="695"/>
        <v>5638</v>
      </c>
      <c r="B6870" s="13">
        <v>2</v>
      </c>
      <c r="C6870" s="17" t="s">
        <v>52</v>
      </c>
      <c r="D6870" s="17">
        <v>22393</v>
      </c>
      <c r="E6870" s="17">
        <v>35</v>
      </c>
      <c r="F6870" s="17">
        <v>4801</v>
      </c>
      <c r="G6870" s="13">
        <v>7</v>
      </c>
      <c r="H6870" s="17">
        <v>0</v>
      </c>
      <c r="I6870" s="17">
        <v>1</v>
      </c>
      <c r="J6870" s="17">
        <v>80</v>
      </c>
      <c r="K6870" s="10">
        <v>180</v>
      </c>
      <c r="P6870" s="17">
        <v>1</v>
      </c>
      <c r="Q6870" s="19">
        <v>180</v>
      </c>
      <c r="R6870" s="14">
        <v>1000</v>
      </c>
      <c r="S6870" s="19">
        <v>180000</v>
      </c>
      <c r="AJ6870" s="19">
        <v>0</v>
      </c>
      <c r="AK6870" s="23">
        <v>0</v>
      </c>
      <c r="AM6870" s="19">
        <v>0</v>
      </c>
      <c r="AN6870" s="19">
        <v>180000</v>
      </c>
      <c r="AP6870" s="14">
        <v>180000</v>
      </c>
    </row>
    <row r="6871" spans="1:45" ht="42" x14ac:dyDescent="0.2">
      <c r="A6871" s="122">
        <f t="shared" si="695"/>
        <v>5639</v>
      </c>
      <c r="B6871" s="13">
        <v>1</v>
      </c>
      <c r="C6871" s="17" t="s">
        <v>52</v>
      </c>
      <c r="D6871" s="17">
        <v>1286</v>
      </c>
      <c r="E6871" s="17">
        <v>3</v>
      </c>
      <c r="F6871" s="17">
        <v>764</v>
      </c>
      <c r="G6871" s="13">
        <v>7</v>
      </c>
      <c r="H6871" s="17">
        <v>0</v>
      </c>
      <c r="I6871" s="17">
        <v>1</v>
      </c>
      <c r="J6871" s="17">
        <v>9</v>
      </c>
      <c r="K6871" s="10">
        <v>77.75</v>
      </c>
      <c r="L6871" s="17">
        <v>31.25</v>
      </c>
      <c r="P6871" s="17">
        <v>5</v>
      </c>
      <c r="Q6871" s="19">
        <v>109</v>
      </c>
      <c r="R6871" s="14">
        <v>4500</v>
      </c>
      <c r="S6871" s="19">
        <v>490500</v>
      </c>
      <c r="T6871" s="17">
        <v>1</v>
      </c>
      <c r="V6871" s="17" t="s">
        <v>183</v>
      </c>
      <c r="W6871" s="4">
        <v>125</v>
      </c>
      <c r="Y6871" s="4">
        <v>125</v>
      </c>
      <c r="AB6871" s="17">
        <v>21</v>
      </c>
      <c r="AJ6871" s="19">
        <v>0</v>
      </c>
      <c r="AK6871" s="23">
        <v>21</v>
      </c>
      <c r="AM6871" s="19">
        <v>0</v>
      </c>
      <c r="AN6871" s="19">
        <v>490500</v>
      </c>
      <c r="AP6871" s="14">
        <v>490500</v>
      </c>
    </row>
    <row r="6872" spans="1:45" x14ac:dyDescent="0.2">
      <c r="A6872" s="122">
        <f t="shared" si="695"/>
        <v>5640</v>
      </c>
      <c r="B6872" s="13">
        <v>2</v>
      </c>
      <c r="C6872" s="17" t="s">
        <v>69</v>
      </c>
      <c r="E6872" s="17">
        <v>1514</v>
      </c>
      <c r="F6872" s="17">
        <v>3</v>
      </c>
      <c r="G6872" s="13">
        <v>6</v>
      </c>
      <c r="H6872" s="17">
        <v>12</v>
      </c>
      <c r="I6872" s="17">
        <v>2</v>
      </c>
      <c r="J6872" s="17">
        <v>57</v>
      </c>
      <c r="K6872" s="10">
        <v>5057</v>
      </c>
      <c r="P6872" s="17">
        <v>1</v>
      </c>
      <c r="Q6872" s="19">
        <v>5057</v>
      </c>
      <c r="R6872" s="14">
        <v>160</v>
      </c>
      <c r="S6872" s="19">
        <v>809120</v>
      </c>
      <c r="AJ6872" s="19">
        <v>0</v>
      </c>
      <c r="AK6872" s="23">
        <v>0</v>
      </c>
      <c r="AM6872" s="19">
        <v>0</v>
      </c>
      <c r="AN6872" s="19">
        <v>809120</v>
      </c>
      <c r="AP6872" s="14">
        <v>809120</v>
      </c>
      <c r="AQ6872" s="12">
        <v>1E-4</v>
      </c>
    </row>
    <row r="6873" spans="1:45" ht="42" x14ac:dyDescent="0.2">
      <c r="A6873" s="122">
        <f t="shared" si="695"/>
        <v>5641</v>
      </c>
      <c r="B6873" s="13">
        <v>3</v>
      </c>
      <c r="C6873" s="17" t="s">
        <v>69</v>
      </c>
      <c r="E6873" s="17">
        <v>1519</v>
      </c>
      <c r="F6873" s="17">
        <v>1</v>
      </c>
      <c r="G6873" s="13">
        <v>2</v>
      </c>
      <c r="H6873" s="17">
        <v>9</v>
      </c>
      <c r="I6873" s="17">
        <v>3</v>
      </c>
      <c r="J6873" s="17">
        <v>6</v>
      </c>
      <c r="K6873" s="10">
        <v>3906</v>
      </c>
      <c r="P6873" s="17">
        <v>1</v>
      </c>
      <c r="Q6873" s="19">
        <v>3906</v>
      </c>
      <c r="R6873" s="14">
        <v>160</v>
      </c>
      <c r="S6873" s="19">
        <v>624960</v>
      </c>
      <c r="AD6873" s="14" t="s">
        <v>220</v>
      </c>
      <c r="AJ6873" s="19">
        <v>0</v>
      </c>
      <c r="AK6873" s="23">
        <v>0</v>
      </c>
      <c r="AM6873" s="19">
        <v>0</v>
      </c>
      <c r="AN6873" s="19">
        <v>624960</v>
      </c>
      <c r="AP6873" s="14">
        <v>624960</v>
      </c>
      <c r="AQ6873" s="12">
        <v>1E-4</v>
      </c>
    </row>
    <row r="6874" spans="1:45" x14ac:dyDescent="0.2">
      <c r="A6874" s="122">
        <f t="shared" si="695"/>
        <v>5642</v>
      </c>
      <c r="B6874" s="13">
        <v>1</v>
      </c>
      <c r="C6874" s="17" t="s">
        <v>65</v>
      </c>
      <c r="D6874" s="17">
        <v>3352</v>
      </c>
      <c r="E6874" s="17">
        <v>17</v>
      </c>
      <c r="H6874" s="17">
        <v>0</v>
      </c>
      <c r="I6874" s="17">
        <v>2</v>
      </c>
      <c r="J6874" s="17">
        <v>50</v>
      </c>
      <c r="K6874" s="10" t="s">
        <v>291</v>
      </c>
      <c r="P6874" s="17">
        <v>1</v>
      </c>
      <c r="Q6874" s="19">
        <v>250</v>
      </c>
      <c r="R6874" s="14">
        <v>4500</v>
      </c>
      <c r="S6874" s="19">
        <v>1125000</v>
      </c>
      <c r="AJ6874" s="19">
        <v>0</v>
      </c>
      <c r="AK6874" s="23">
        <v>0</v>
      </c>
      <c r="AM6874" s="19">
        <v>0</v>
      </c>
      <c r="AN6874" s="19">
        <v>1125000</v>
      </c>
      <c r="AP6874" s="14">
        <v>1125000</v>
      </c>
      <c r="AQ6874" s="12">
        <v>1E-4</v>
      </c>
    </row>
    <row r="6875" spans="1:45" x14ac:dyDescent="0.2">
      <c r="A6875" s="122">
        <f t="shared" si="695"/>
        <v>5643</v>
      </c>
      <c r="B6875" s="13">
        <v>1</v>
      </c>
      <c r="C6875" s="17" t="s">
        <v>52</v>
      </c>
      <c r="D6875" s="17">
        <v>5046</v>
      </c>
      <c r="E6875" s="17">
        <v>27</v>
      </c>
      <c r="F6875" s="17">
        <v>2828</v>
      </c>
      <c r="G6875" s="13">
        <v>7</v>
      </c>
      <c r="H6875" s="17">
        <v>14</v>
      </c>
      <c r="I6875" s="17">
        <v>1</v>
      </c>
      <c r="J6875" s="17">
        <v>96</v>
      </c>
      <c r="K6875" s="10">
        <v>5796</v>
      </c>
      <c r="P6875" s="17">
        <v>1</v>
      </c>
      <c r="Q6875" s="19">
        <v>5796</v>
      </c>
      <c r="R6875" s="14">
        <v>160</v>
      </c>
      <c r="S6875" s="19">
        <v>927360</v>
      </c>
      <c r="AJ6875" s="19">
        <v>0</v>
      </c>
      <c r="AK6875" s="23">
        <v>0</v>
      </c>
      <c r="AM6875" s="19">
        <v>0</v>
      </c>
      <c r="AN6875" s="19">
        <v>927360</v>
      </c>
      <c r="AP6875" s="14">
        <v>927360</v>
      </c>
    </row>
    <row r="6876" spans="1:45" x14ac:dyDescent="0.2">
      <c r="A6876" s="122">
        <f t="shared" si="695"/>
        <v>5644</v>
      </c>
      <c r="B6876" s="13">
        <v>2</v>
      </c>
      <c r="C6876" s="17" t="s">
        <v>52</v>
      </c>
      <c r="D6876" s="17">
        <v>18451</v>
      </c>
      <c r="E6876" s="17">
        <v>64</v>
      </c>
      <c r="F6876" s="17">
        <v>3687</v>
      </c>
      <c r="G6876" s="13">
        <v>7</v>
      </c>
      <c r="H6876" s="17">
        <v>0</v>
      </c>
      <c r="I6876" s="17">
        <v>2</v>
      </c>
      <c r="J6876" s="17">
        <v>8</v>
      </c>
      <c r="N6876" s="18">
        <v>208</v>
      </c>
      <c r="P6876" s="17">
        <v>4</v>
      </c>
      <c r="Q6876" s="19">
        <v>208</v>
      </c>
      <c r="R6876" s="14">
        <v>3400</v>
      </c>
      <c r="S6876" s="19">
        <v>707200</v>
      </c>
      <c r="AJ6876" s="19">
        <v>0</v>
      </c>
      <c r="AK6876" s="23">
        <v>0</v>
      </c>
      <c r="AM6876" s="19">
        <v>0</v>
      </c>
      <c r="AN6876" s="19">
        <v>707200</v>
      </c>
      <c r="AP6876" s="14">
        <v>707200</v>
      </c>
      <c r="AQ6876" s="12">
        <v>3.0000000000000001E-3</v>
      </c>
    </row>
    <row r="6877" spans="1:45" x14ac:dyDescent="0.2">
      <c r="A6877" s="122">
        <f t="shared" si="695"/>
        <v>5645</v>
      </c>
      <c r="B6877" s="13">
        <v>1</v>
      </c>
      <c r="C6877" s="17" t="s">
        <v>52</v>
      </c>
      <c r="D6877" s="17">
        <v>16052</v>
      </c>
      <c r="E6877" s="17">
        <v>124</v>
      </c>
      <c r="F6877" s="17">
        <v>3530</v>
      </c>
      <c r="H6877" s="17">
        <v>2</v>
      </c>
      <c r="I6877" s="17">
        <v>2</v>
      </c>
      <c r="J6877" s="17">
        <v>6</v>
      </c>
      <c r="K6877" s="10">
        <v>1006</v>
      </c>
      <c r="P6877" s="17">
        <v>1</v>
      </c>
      <c r="Q6877" s="19">
        <v>1006</v>
      </c>
      <c r="R6877" s="14">
        <v>200</v>
      </c>
      <c r="S6877" s="19">
        <v>201200</v>
      </c>
      <c r="AJ6877" s="19">
        <v>0</v>
      </c>
      <c r="AK6877" s="23">
        <v>0</v>
      </c>
      <c r="AM6877" s="19">
        <v>0</v>
      </c>
      <c r="AN6877" s="19">
        <v>201200</v>
      </c>
      <c r="AP6877" s="14">
        <v>201200</v>
      </c>
    </row>
    <row r="6878" spans="1:45" ht="42" x14ac:dyDescent="0.2">
      <c r="A6878" s="122">
        <f t="shared" si="695"/>
        <v>5646</v>
      </c>
      <c r="B6878" s="13">
        <v>1</v>
      </c>
      <c r="C6878" s="17" t="s">
        <v>52</v>
      </c>
      <c r="D6878" s="17">
        <v>37535</v>
      </c>
      <c r="E6878" s="17">
        <v>89</v>
      </c>
      <c r="F6878" s="17">
        <v>7416</v>
      </c>
      <c r="G6878" s="13">
        <v>6</v>
      </c>
      <c r="H6878" s="17">
        <v>0</v>
      </c>
      <c r="I6878" s="17">
        <v>0</v>
      </c>
      <c r="J6878" s="17">
        <v>67.06</v>
      </c>
      <c r="K6878" s="10">
        <v>32.06</v>
      </c>
      <c r="L6878" s="17">
        <v>35</v>
      </c>
      <c r="P6878" s="17">
        <v>5</v>
      </c>
      <c r="Q6878" s="19">
        <v>67.06</v>
      </c>
      <c r="R6878" s="14">
        <v>1500</v>
      </c>
      <c r="S6878" s="19">
        <v>100590</v>
      </c>
      <c r="T6878" s="17">
        <v>1</v>
      </c>
      <c r="V6878" s="17" t="s">
        <v>183</v>
      </c>
      <c r="W6878" s="4">
        <v>140</v>
      </c>
      <c r="Y6878" s="4">
        <v>140</v>
      </c>
      <c r="AB6878" s="17">
        <v>30</v>
      </c>
      <c r="AJ6878" s="19">
        <v>0</v>
      </c>
      <c r="AK6878" s="23">
        <v>30</v>
      </c>
      <c r="AM6878" s="19">
        <v>0</v>
      </c>
      <c r="AN6878" s="19">
        <v>100590</v>
      </c>
      <c r="AP6878" s="14">
        <v>100590</v>
      </c>
    </row>
    <row r="6879" spans="1:45" x14ac:dyDescent="0.2">
      <c r="A6879" s="122">
        <f t="shared" si="695"/>
        <v>5647</v>
      </c>
      <c r="B6879" s="13">
        <v>1</v>
      </c>
      <c r="C6879" s="17" t="s">
        <v>69</v>
      </c>
      <c r="E6879" s="17">
        <v>156</v>
      </c>
      <c r="F6879" s="17">
        <v>2</v>
      </c>
      <c r="G6879" s="13">
        <v>1</v>
      </c>
      <c r="H6879" s="17">
        <v>4</v>
      </c>
      <c r="I6879" s="17">
        <v>0</v>
      </c>
      <c r="J6879" s="17">
        <v>0</v>
      </c>
      <c r="K6879" s="10">
        <v>1600</v>
      </c>
      <c r="P6879" s="17">
        <v>1</v>
      </c>
      <c r="Q6879" s="19">
        <v>1600</v>
      </c>
      <c r="R6879" s="14">
        <v>160</v>
      </c>
      <c r="S6879" s="19">
        <v>256000</v>
      </c>
      <c r="AJ6879" s="19">
        <v>0</v>
      </c>
      <c r="AK6879" s="23">
        <v>0</v>
      </c>
      <c r="AM6879" s="19">
        <v>0</v>
      </c>
      <c r="AN6879" s="19">
        <v>256000</v>
      </c>
      <c r="AP6879" s="14">
        <v>256000</v>
      </c>
      <c r="AQ6879" s="12">
        <v>1E-4</v>
      </c>
    </row>
    <row r="6880" spans="1:45" x14ac:dyDescent="0.2">
      <c r="A6880" s="122">
        <f t="shared" si="695"/>
        <v>5648</v>
      </c>
      <c r="B6880" s="13">
        <v>1</v>
      </c>
      <c r="C6880" s="17" t="s">
        <v>52</v>
      </c>
      <c r="D6880" s="17">
        <v>1614</v>
      </c>
      <c r="E6880" s="17">
        <v>16</v>
      </c>
      <c r="F6880" s="17">
        <v>843</v>
      </c>
      <c r="G6880" s="13">
        <v>4</v>
      </c>
      <c r="H6880" s="17">
        <v>10</v>
      </c>
      <c r="I6880" s="17">
        <v>1</v>
      </c>
      <c r="J6880" s="17">
        <v>28</v>
      </c>
      <c r="K6880" s="10">
        <v>4128</v>
      </c>
      <c r="P6880" s="17">
        <v>1</v>
      </c>
      <c r="Q6880" s="19">
        <v>4128</v>
      </c>
      <c r="R6880" s="14">
        <v>200</v>
      </c>
      <c r="S6880" s="19">
        <v>825600</v>
      </c>
      <c r="AJ6880" s="19">
        <v>0</v>
      </c>
      <c r="AK6880" s="23">
        <v>0</v>
      </c>
      <c r="AM6880" s="19">
        <v>0</v>
      </c>
      <c r="AN6880" s="19">
        <v>825600</v>
      </c>
      <c r="AP6880" s="14">
        <v>825600</v>
      </c>
    </row>
    <row r="6881" spans="1:45" x14ac:dyDescent="0.2">
      <c r="A6881" s="122">
        <f t="shared" si="695"/>
        <v>5649</v>
      </c>
      <c r="B6881" s="13">
        <v>1</v>
      </c>
      <c r="C6881" s="17" t="s">
        <v>52</v>
      </c>
      <c r="D6881" s="17">
        <v>774</v>
      </c>
      <c r="E6881" s="17">
        <v>514</v>
      </c>
      <c r="F6881" s="17">
        <v>108</v>
      </c>
      <c r="G6881" s="13">
        <v>2</v>
      </c>
      <c r="H6881" s="17">
        <v>0</v>
      </c>
      <c r="I6881" s="17">
        <v>0</v>
      </c>
      <c r="J6881" s="17">
        <v>26.03</v>
      </c>
      <c r="L6881" s="17" t="s">
        <v>710</v>
      </c>
      <c r="P6881" s="17">
        <v>2</v>
      </c>
      <c r="Q6881" s="19">
        <v>26.03</v>
      </c>
      <c r="R6881" s="14">
        <v>4500</v>
      </c>
      <c r="S6881" s="19">
        <v>117135</v>
      </c>
      <c r="W6881" s="4">
        <v>72</v>
      </c>
      <c r="Y6881" s="4">
        <v>72</v>
      </c>
      <c r="AJ6881" s="19">
        <v>0</v>
      </c>
      <c r="AK6881" s="23">
        <v>0</v>
      </c>
      <c r="AM6881" s="19">
        <v>0</v>
      </c>
      <c r="AN6881" s="19">
        <v>117135</v>
      </c>
      <c r="AP6881" s="14">
        <v>117135</v>
      </c>
    </row>
    <row r="6882" spans="1:45" x14ac:dyDescent="0.2">
      <c r="A6882" s="122">
        <f t="shared" si="695"/>
        <v>5650</v>
      </c>
      <c r="B6882" s="13">
        <v>2</v>
      </c>
      <c r="C6882" s="17" t="s">
        <v>52</v>
      </c>
      <c r="D6882" s="17">
        <v>1518</v>
      </c>
      <c r="E6882" s="17">
        <v>18</v>
      </c>
      <c r="F6882" s="17">
        <v>1117</v>
      </c>
      <c r="H6882" s="17">
        <v>2</v>
      </c>
      <c r="I6882" s="17">
        <v>1</v>
      </c>
      <c r="J6882" s="17">
        <v>88</v>
      </c>
      <c r="K6882" s="10">
        <v>988</v>
      </c>
      <c r="P6882" s="17">
        <v>1</v>
      </c>
      <c r="Q6882" s="19">
        <v>988</v>
      </c>
      <c r="R6882" s="14">
        <v>250</v>
      </c>
      <c r="S6882" s="19">
        <v>247000</v>
      </c>
      <c r="AJ6882" s="19">
        <v>0</v>
      </c>
      <c r="AK6882" s="23">
        <v>0</v>
      </c>
      <c r="AM6882" s="19">
        <v>0</v>
      </c>
      <c r="AN6882" s="19">
        <v>247000</v>
      </c>
      <c r="AP6882" s="14">
        <v>247000</v>
      </c>
    </row>
    <row r="6883" spans="1:45" x14ac:dyDescent="0.2">
      <c r="A6883" s="122">
        <f t="shared" si="695"/>
        <v>5651</v>
      </c>
      <c r="B6883" s="13">
        <v>1</v>
      </c>
      <c r="C6883" s="17" t="s">
        <v>52</v>
      </c>
      <c r="D6883" s="17">
        <v>2729</v>
      </c>
      <c r="E6883" s="17">
        <v>27</v>
      </c>
      <c r="F6883" s="17">
        <v>1901</v>
      </c>
      <c r="G6883" s="13">
        <v>1</v>
      </c>
      <c r="H6883" s="17">
        <v>0</v>
      </c>
      <c r="I6883" s="17">
        <v>0</v>
      </c>
      <c r="J6883" s="17">
        <v>71</v>
      </c>
      <c r="N6883" s="18">
        <v>71</v>
      </c>
      <c r="P6883" s="17">
        <v>4</v>
      </c>
      <c r="Q6883" s="19">
        <v>71</v>
      </c>
      <c r="R6883" s="14">
        <v>250</v>
      </c>
      <c r="S6883" s="19">
        <v>17750</v>
      </c>
      <c r="AJ6883" s="19">
        <v>0</v>
      </c>
      <c r="AK6883" s="23">
        <v>0</v>
      </c>
      <c r="AM6883" s="19">
        <v>0</v>
      </c>
      <c r="AN6883" s="19">
        <v>17750</v>
      </c>
      <c r="AP6883" s="14">
        <v>17750</v>
      </c>
      <c r="AQ6883" s="12">
        <v>3.0000000000000001E-3</v>
      </c>
    </row>
    <row r="6884" spans="1:45" x14ac:dyDescent="0.2">
      <c r="A6884" s="122">
        <f t="shared" si="695"/>
        <v>5652</v>
      </c>
      <c r="B6884" s="13">
        <v>2</v>
      </c>
      <c r="C6884" s="17" t="s">
        <v>52</v>
      </c>
      <c r="D6884" s="17">
        <v>28000</v>
      </c>
      <c r="E6884" s="17">
        <v>115</v>
      </c>
      <c r="F6884" s="17">
        <v>5044</v>
      </c>
      <c r="G6884" s="13">
        <v>1</v>
      </c>
      <c r="H6884" s="17">
        <v>0</v>
      </c>
      <c r="I6884" s="17">
        <v>0</v>
      </c>
      <c r="J6884" s="17">
        <v>73</v>
      </c>
      <c r="K6884" s="10">
        <v>73</v>
      </c>
      <c r="P6884" s="17">
        <v>1</v>
      </c>
      <c r="Q6884" s="19">
        <v>73</v>
      </c>
      <c r="R6884" s="14">
        <v>250</v>
      </c>
      <c r="S6884" s="19">
        <v>18250</v>
      </c>
      <c r="AJ6884" s="19">
        <v>0</v>
      </c>
      <c r="AK6884" s="23">
        <v>0</v>
      </c>
      <c r="AM6884" s="19">
        <v>0</v>
      </c>
      <c r="AN6884" s="19">
        <v>18250</v>
      </c>
      <c r="AP6884" s="14">
        <v>18250</v>
      </c>
    </row>
    <row r="6885" spans="1:45" x14ac:dyDescent="0.2">
      <c r="A6885" s="122">
        <f t="shared" si="695"/>
        <v>5653</v>
      </c>
      <c r="B6885" s="13">
        <v>3</v>
      </c>
      <c r="C6885" s="17" t="s">
        <v>52</v>
      </c>
      <c r="D6885" s="17">
        <v>29614</v>
      </c>
      <c r="E6885" s="17">
        <v>132</v>
      </c>
      <c r="F6885" s="17">
        <v>5497</v>
      </c>
      <c r="G6885" s="13">
        <v>1</v>
      </c>
      <c r="H6885" s="17">
        <v>0</v>
      </c>
      <c r="I6885" s="17">
        <v>0</v>
      </c>
      <c r="J6885" s="17">
        <v>60</v>
      </c>
      <c r="K6885" s="10">
        <v>60</v>
      </c>
      <c r="P6885" s="17">
        <v>1</v>
      </c>
      <c r="Q6885" s="19">
        <v>60</v>
      </c>
      <c r="R6885" s="14">
        <v>250</v>
      </c>
      <c r="S6885" s="19">
        <v>15000</v>
      </c>
      <c r="AJ6885" s="19">
        <v>0</v>
      </c>
      <c r="AK6885" s="23">
        <v>0</v>
      </c>
      <c r="AM6885" s="19">
        <v>0</v>
      </c>
      <c r="AN6885" s="19">
        <v>15000</v>
      </c>
      <c r="AP6885" s="14">
        <v>15000</v>
      </c>
    </row>
    <row r="6886" spans="1:45" x14ac:dyDescent="0.2">
      <c r="A6886" s="122">
        <f t="shared" si="695"/>
        <v>5654</v>
      </c>
      <c r="B6886" s="13">
        <v>4</v>
      </c>
      <c r="C6886" s="17" t="s">
        <v>52</v>
      </c>
      <c r="D6886" s="17">
        <v>30414</v>
      </c>
      <c r="E6886" s="17">
        <v>206</v>
      </c>
      <c r="F6886" s="17">
        <v>5836</v>
      </c>
      <c r="G6886" s="13">
        <v>1</v>
      </c>
      <c r="H6886" s="17">
        <v>0</v>
      </c>
      <c r="I6886" s="17">
        <v>3</v>
      </c>
      <c r="J6886" s="17">
        <v>38</v>
      </c>
      <c r="K6886" s="10">
        <v>338</v>
      </c>
      <c r="P6886" s="17">
        <v>1</v>
      </c>
      <c r="Q6886" s="19">
        <v>338</v>
      </c>
      <c r="R6886" s="14">
        <v>160</v>
      </c>
      <c r="S6886" s="19">
        <v>54080</v>
      </c>
      <c r="AJ6886" s="19">
        <v>0</v>
      </c>
      <c r="AK6886" s="23">
        <v>0</v>
      </c>
      <c r="AM6886" s="19">
        <v>0</v>
      </c>
      <c r="AN6886" s="19">
        <v>54080</v>
      </c>
      <c r="AP6886" s="14">
        <v>54080</v>
      </c>
    </row>
    <row r="6887" spans="1:45" x14ac:dyDescent="0.2">
      <c r="A6887" s="122">
        <f t="shared" si="695"/>
        <v>5655</v>
      </c>
      <c r="B6887" s="13">
        <v>5</v>
      </c>
      <c r="C6887" s="17" t="s">
        <v>52</v>
      </c>
      <c r="D6887" s="17">
        <v>33831</v>
      </c>
      <c r="E6887" s="17">
        <v>347</v>
      </c>
      <c r="F6887" s="17">
        <v>6750</v>
      </c>
      <c r="G6887" s="13">
        <v>1</v>
      </c>
      <c r="H6887" s="17">
        <v>0</v>
      </c>
      <c r="I6887" s="17">
        <v>0</v>
      </c>
      <c r="J6887" s="17">
        <v>93</v>
      </c>
      <c r="K6887" s="10">
        <v>93</v>
      </c>
      <c r="P6887" s="17">
        <v>1</v>
      </c>
      <c r="Q6887" s="19">
        <v>93</v>
      </c>
      <c r="R6887" s="14">
        <v>250</v>
      </c>
      <c r="S6887" s="19">
        <v>23250</v>
      </c>
      <c r="AJ6887" s="19">
        <v>0</v>
      </c>
      <c r="AK6887" s="23">
        <v>0</v>
      </c>
      <c r="AM6887" s="19">
        <v>0</v>
      </c>
      <c r="AN6887" s="19">
        <v>23250</v>
      </c>
      <c r="AP6887" s="14">
        <v>23250</v>
      </c>
    </row>
    <row r="6888" spans="1:45" x14ac:dyDescent="0.2">
      <c r="A6888" s="122">
        <f t="shared" si="695"/>
        <v>5656</v>
      </c>
      <c r="B6888" s="13">
        <v>1</v>
      </c>
      <c r="C6888" s="17" t="s">
        <v>52</v>
      </c>
      <c r="D6888" s="17">
        <v>4810</v>
      </c>
      <c r="E6888" s="17">
        <v>27</v>
      </c>
      <c r="F6888" s="17">
        <v>2682</v>
      </c>
      <c r="G6888" s="13">
        <v>7</v>
      </c>
      <c r="H6888" s="17">
        <v>30</v>
      </c>
      <c r="I6888" s="17">
        <v>3</v>
      </c>
      <c r="J6888" s="17">
        <v>17</v>
      </c>
      <c r="K6888" s="10">
        <v>12317</v>
      </c>
      <c r="P6888" s="17">
        <v>1</v>
      </c>
      <c r="Q6888" s="19">
        <v>12317</v>
      </c>
      <c r="R6888" s="14">
        <v>540</v>
      </c>
      <c r="S6888" s="19">
        <v>6651180</v>
      </c>
      <c r="AJ6888" s="19">
        <v>0</v>
      </c>
      <c r="AK6888" s="23">
        <v>0</v>
      </c>
      <c r="AM6888" s="19">
        <v>0</v>
      </c>
      <c r="AN6888" s="19">
        <v>6651180</v>
      </c>
      <c r="AP6888" s="14">
        <v>6651180</v>
      </c>
      <c r="AS6888" s="26">
        <v>169</v>
      </c>
    </row>
    <row r="6889" spans="1:45" x14ac:dyDescent="0.2">
      <c r="A6889" s="122">
        <f t="shared" si="695"/>
        <v>5657</v>
      </c>
      <c r="B6889" s="13">
        <v>1</v>
      </c>
      <c r="C6889" s="17" t="s">
        <v>52</v>
      </c>
      <c r="D6889" s="17">
        <v>5001</v>
      </c>
      <c r="E6889" s="17">
        <v>102</v>
      </c>
      <c r="F6889" s="17">
        <v>2665</v>
      </c>
      <c r="G6889" s="13">
        <v>7</v>
      </c>
      <c r="H6889" s="17">
        <v>14</v>
      </c>
      <c r="I6889" s="17">
        <v>2</v>
      </c>
      <c r="J6889" s="17">
        <v>72</v>
      </c>
      <c r="K6889" s="10">
        <v>5872</v>
      </c>
      <c r="P6889" s="17">
        <v>1</v>
      </c>
      <c r="Q6889" s="19">
        <v>5872</v>
      </c>
      <c r="R6889" s="14">
        <v>160</v>
      </c>
      <c r="S6889" s="19">
        <v>939520</v>
      </c>
      <c r="AJ6889" s="19">
        <v>0</v>
      </c>
      <c r="AK6889" s="23">
        <v>0</v>
      </c>
      <c r="AM6889" s="19">
        <v>0</v>
      </c>
      <c r="AN6889" s="19">
        <v>939520</v>
      </c>
      <c r="AP6889" s="14">
        <v>939520</v>
      </c>
      <c r="AS6889" s="26">
        <v>44</v>
      </c>
    </row>
    <row r="6890" spans="1:45" x14ac:dyDescent="0.2">
      <c r="A6890" s="122">
        <f t="shared" si="695"/>
        <v>5658</v>
      </c>
      <c r="B6890" s="13">
        <v>1</v>
      </c>
      <c r="C6890" s="17" t="s">
        <v>52</v>
      </c>
      <c r="D6890" s="17">
        <v>14543</v>
      </c>
      <c r="E6890" s="17">
        <v>88</v>
      </c>
      <c r="F6890" s="17">
        <v>3385</v>
      </c>
      <c r="G6890" s="13">
        <v>5</v>
      </c>
      <c r="H6890" s="17">
        <v>0</v>
      </c>
      <c r="I6890" s="17">
        <v>1</v>
      </c>
      <c r="J6890" s="17">
        <v>5</v>
      </c>
      <c r="K6890" s="10">
        <v>105</v>
      </c>
      <c r="P6890" s="17">
        <v>1</v>
      </c>
      <c r="Q6890" s="19">
        <v>105</v>
      </c>
      <c r="R6890" s="14">
        <v>200</v>
      </c>
      <c r="S6890" s="19">
        <v>21000</v>
      </c>
      <c r="AJ6890" s="19">
        <v>0</v>
      </c>
      <c r="AK6890" s="23">
        <v>0</v>
      </c>
      <c r="AM6890" s="19">
        <v>0</v>
      </c>
      <c r="AN6890" s="19">
        <v>21000</v>
      </c>
      <c r="AP6890" s="14">
        <v>21000</v>
      </c>
    </row>
    <row r="6891" spans="1:45" x14ac:dyDescent="0.2">
      <c r="A6891" s="122">
        <f t="shared" si="695"/>
        <v>5659</v>
      </c>
      <c r="B6891" s="13">
        <v>1</v>
      </c>
      <c r="C6891" s="17" t="s">
        <v>52</v>
      </c>
      <c r="D6891" s="17">
        <v>14270</v>
      </c>
      <c r="E6891" s="17">
        <v>53</v>
      </c>
      <c r="F6891" s="17">
        <v>3379</v>
      </c>
      <c r="G6891" s="13">
        <v>1</v>
      </c>
      <c r="H6891" s="17">
        <v>0</v>
      </c>
      <c r="I6891" s="17">
        <v>2</v>
      </c>
      <c r="J6891" s="17">
        <v>88</v>
      </c>
      <c r="L6891" s="17">
        <v>288</v>
      </c>
      <c r="P6891" s="17">
        <v>2</v>
      </c>
      <c r="Q6891" s="19">
        <v>288</v>
      </c>
      <c r="R6891" s="14">
        <v>250</v>
      </c>
      <c r="S6891" s="19">
        <v>72000</v>
      </c>
      <c r="AJ6891" s="19">
        <v>0</v>
      </c>
      <c r="AK6891" s="23">
        <v>0</v>
      </c>
      <c r="AM6891" s="19">
        <v>0</v>
      </c>
      <c r="AN6891" s="19">
        <v>72000</v>
      </c>
      <c r="AP6891" s="14">
        <v>72000</v>
      </c>
    </row>
    <row r="6892" spans="1:45" x14ac:dyDescent="0.2">
      <c r="A6892" s="122">
        <f t="shared" si="695"/>
        <v>5660</v>
      </c>
      <c r="B6892" s="13">
        <v>1</v>
      </c>
      <c r="C6892" s="17" t="s">
        <v>69</v>
      </c>
      <c r="E6892" s="17">
        <v>162</v>
      </c>
      <c r="F6892" s="17">
        <v>6</v>
      </c>
      <c r="G6892" s="13">
        <v>1</v>
      </c>
      <c r="H6892" s="17">
        <v>14</v>
      </c>
      <c r="I6892" s="17">
        <v>0</v>
      </c>
      <c r="J6892" s="17">
        <v>55</v>
      </c>
      <c r="K6892" s="10">
        <v>5655</v>
      </c>
      <c r="P6892" s="17">
        <v>1</v>
      </c>
      <c r="Q6892" s="19">
        <v>5655</v>
      </c>
      <c r="R6892" s="14">
        <v>160</v>
      </c>
      <c r="S6892" s="19">
        <v>904800</v>
      </c>
      <c r="AJ6892" s="19">
        <v>0</v>
      </c>
      <c r="AK6892" s="23">
        <v>0</v>
      </c>
      <c r="AM6892" s="19">
        <v>0</v>
      </c>
      <c r="AN6892" s="19">
        <v>904800</v>
      </c>
      <c r="AP6892" s="14">
        <v>904800</v>
      </c>
      <c r="AQ6892" s="12">
        <v>1E-4</v>
      </c>
      <c r="AS6892" s="26">
        <v>42</v>
      </c>
    </row>
    <row r="6893" spans="1:45" ht="42" x14ac:dyDescent="0.2">
      <c r="A6893" s="122">
        <f t="shared" si="695"/>
        <v>5661</v>
      </c>
      <c r="B6893" s="13">
        <v>1</v>
      </c>
      <c r="C6893" s="17" t="s">
        <v>52</v>
      </c>
      <c r="D6893" s="17">
        <v>22242</v>
      </c>
      <c r="E6893" s="17">
        <v>104</v>
      </c>
      <c r="F6893" s="17">
        <v>4780</v>
      </c>
      <c r="G6893" s="13">
        <v>3</v>
      </c>
      <c r="H6893" s="17">
        <v>0</v>
      </c>
      <c r="I6893" s="17">
        <v>2</v>
      </c>
      <c r="J6893" s="17">
        <v>62</v>
      </c>
      <c r="K6893" s="10">
        <v>218</v>
      </c>
      <c r="L6893" s="17">
        <v>44</v>
      </c>
      <c r="P6893" s="17">
        <v>5</v>
      </c>
      <c r="Q6893" s="19">
        <v>262</v>
      </c>
      <c r="R6893" s="14">
        <v>2000</v>
      </c>
      <c r="S6893" s="19">
        <v>524000</v>
      </c>
      <c r="T6893" s="17">
        <v>1</v>
      </c>
      <c r="V6893" s="17" t="s">
        <v>183</v>
      </c>
      <c r="W6893" s="4">
        <v>176</v>
      </c>
      <c r="Y6893" s="4">
        <v>176</v>
      </c>
      <c r="AB6893" s="17">
        <v>17</v>
      </c>
      <c r="AJ6893" s="19">
        <v>0</v>
      </c>
      <c r="AK6893" s="23">
        <v>17</v>
      </c>
      <c r="AM6893" s="19">
        <v>0</v>
      </c>
      <c r="AN6893" s="19">
        <v>524000</v>
      </c>
      <c r="AP6893" s="14">
        <v>524000</v>
      </c>
      <c r="AS6893" s="26">
        <v>26</v>
      </c>
    </row>
    <row r="6894" spans="1:45" x14ac:dyDescent="0.2">
      <c r="C6894" s="17" t="s">
        <v>52</v>
      </c>
      <c r="D6894" s="17">
        <v>35588</v>
      </c>
      <c r="E6894" s="17">
        <v>70</v>
      </c>
      <c r="F6894" s="17">
        <v>6955</v>
      </c>
      <c r="G6894" s="13">
        <v>3</v>
      </c>
      <c r="H6894" s="17">
        <v>4</v>
      </c>
      <c r="I6894" s="17">
        <v>0</v>
      </c>
      <c r="J6894" s="17">
        <v>20.5</v>
      </c>
      <c r="K6894" s="10" t="s">
        <v>711</v>
      </c>
      <c r="P6894" s="17">
        <v>1</v>
      </c>
      <c r="Q6894" s="19">
        <v>1620.5</v>
      </c>
      <c r="R6894" s="14" t="e">
        <v>#N/A</v>
      </c>
    </row>
    <row r="6895" spans="1:45" x14ac:dyDescent="0.2">
      <c r="B6895" s="13">
        <v>1</v>
      </c>
      <c r="C6895" s="17" t="s">
        <v>65</v>
      </c>
      <c r="D6895" s="17">
        <v>2566</v>
      </c>
      <c r="E6895" s="17">
        <v>66</v>
      </c>
      <c r="H6895" s="17">
        <v>31</v>
      </c>
      <c r="I6895" s="17">
        <v>1</v>
      </c>
      <c r="J6895" s="17">
        <v>82</v>
      </c>
      <c r="K6895" s="10">
        <v>12582</v>
      </c>
      <c r="P6895" s="17">
        <v>1</v>
      </c>
      <c r="Q6895" s="19">
        <v>12582</v>
      </c>
      <c r="R6895" s="14" t="e">
        <v>#N/A</v>
      </c>
      <c r="S6895" s="19" t="e">
        <v>#N/A</v>
      </c>
      <c r="AE6895" s="17" t="s">
        <v>94</v>
      </c>
      <c r="AJ6895" s="19">
        <v>0</v>
      </c>
      <c r="AK6895" s="23">
        <v>0</v>
      </c>
      <c r="AM6895" s="19">
        <v>0</v>
      </c>
      <c r="AN6895" s="19" t="e">
        <v>#N/A</v>
      </c>
      <c r="AP6895" s="14" t="e">
        <v>#N/A</v>
      </c>
      <c r="AQ6895" s="12">
        <v>1E-4</v>
      </c>
    </row>
    <row r="6896" spans="1:45" x14ac:dyDescent="0.2">
      <c r="A6896" s="2">
        <v>5662</v>
      </c>
      <c r="B6896" s="13">
        <v>1</v>
      </c>
      <c r="C6896" s="17" t="s">
        <v>52</v>
      </c>
      <c r="D6896" s="17">
        <v>21028</v>
      </c>
      <c r="E6896" s="17">
        <v>118</v>
      </c>
      <c r="F6896" s="17">
        <v>4660</v>
      </c>
      <c r="G6896" s="13">
        <v>7</v>
      </c>
      <c r="H6896" s="17">
        <v>0</v>
      </c>
      <c r="I6896" s="17">
        <v>0</v>
      </c>
      <c r="J6896" s="17">
        <v>50</v>
      </c>
      <c r="N6896" s="18">
        <v>50</v>
      </c>
      <c r="P6896" s="17">
        <v>4</v>
      </c>
      <c r="Q6896" s="19">
        <v>50</v>
      </c>
      <c r="R6896" s="14">
        <v>1000</v>
      </c>
      <c r="S6896" s="19">
        <v>50000</v>
      </c>
      <c r="AJ6896" s="19">
        <v>0</v>
      </c>
      <c r="AK6896" s="23">
        <v>0</v>
      </c>
      <c r="AM6896" s="19">
        <v>0</v>
      </c>
      <c r="AN6896" s="19">
        <v>50000</v>
      </c>
      <c r="AP6896" s="14">
        <v>50000</v>
      </c>
      <c r="AQ6896" s="12">
        <v>3.0000000000000001E-3</v>
      </c>
    </row>
    <row r="6897" spans="1:47" x14ac:dyDescent="0.2">
      <c r="A6897" s="2">
        <f>+A6896+1</f>
        <v>5663</v>
      </c>
      <c r="B6897" s="13">
        <v>1</v>
      </c>
      <c r="C6897" s="17" t="s">
        <v>52</v>
      </c>
      <c r="D6897" s="17">
        <v>3783</v>
      </c>
      <c r="E6897" s="17">
        <v>87</v>
      </c>
      <c r="F6897" s="17">
        <v>2338</v>
      </c>
      <c r="G6897" s="13">
        <v>2</v>
      </c>
      <c r="H6897" s="17">
        <v>0</v>
      </c>
      <c r="I6897" s="17">
        <v>0</v>
      </c>
      <c r="J6897" s="17">
        <v>45</v>
      </c>
      <c r="N6897" s="18">
        <v>45</v>
      </c>
      <c r="P6897" s="17">
        <v>4</v>
      </c>
      <c r="Q6897" s="19">
        <v>45</v>
      </c>
      <c r="R6897" s="14">
        <v>250</v>
      </c>
      <c r="S6897" s="19">
        <v>11250</v>
      </c>
      <c r="AJ6897" s="19">
        <v>0</v>
      </c>
      <c r="AK6897" s="23">
        <v>0</v>
      </c>
      <c r="AM6897" s="19">
        <v>0</v>
      </c>
      <c r="AN6897" s="19">
        <v>11250</v>
      </c>
      <c r="AP6897" s="14">
        <v>11250</v>
      </c>
      <c r="AQ6897" s="12">
        <v>3.0000000000000001E-3</v>
      </c>
    </row>
    <row r="6898" spans="1:47" x14ac:dyDescent="0.2">
      <c r="A6898" s="122">
        <f t="shared" ref="A6898:A6899" si="696">+A6897+1</f>
        <v>5664</v>
      </c>
      <c r="B6898" s="13">
        <v>1</v>
      </c>
      <c r="C6898" s="17" t="s">
        <v>52</v>
      </c>
      <c r="D6898" s="17">
        <v>38097</v>
      </c>
      <c r="E6898" s="17">
        <v>162</v>
      </c>
      <c r="F6898" s="17">
        <v>7674</v>
      </c>
      <c r="G6898" s="13">
        <v>1</v>
      </c>
      <c r="H6898" s="17">
        <v>0</v>
      </c>
      <c r="I6898" s="17">
        <v>0</v>
      </c>
      <c r="J6898" s="17">
        <v>91</v>
      </c>
      <c r="K6898" s="10">
        <v>91</v>
      </c>
      <c r="P6898" s="17">
        <v>1</v>
      </c>
      <c r="Q6898" s="19">
        <v>91</v>
      </c>
      <c r="R6898" s="14">
        <v>250</v>
      </c>
      <c r="S6898" s="19">
        <v>22750</v>
      </c>
      <c r="AJ6898" s="19">
        <v>0</v>
      </c>
      <c r="AK6898" s="23">
        <v>0</v>
      </c>
      <c r="AM6898" s="19">
        <v>0</v>
      </c>
      <c r="AN6898" s="19">
        <v>22750</v>
      </c>
      <c r="AP6898" s="14">
        <v>22750</v>
      </c>
    </row>
    <row r="6899" spans="1:47" ht="42" x14ac:dyDescent="0.2">
      <c r="A6899" s="122">
        <f t="shared" si="696"/>
        <v>5665</v>
      </c>
      <c r="B6899" s="13">
        <v>1</v>
      </c>
      <c r="C6899" s="17" t="s">
        <v>52</v>
      </c>
      <c r="D6899" s="17">
        <v>1768</v>
      </c>
      <c r="E6899" s="17">
        <v>12</v>
      </c>
      <c r="F6899" s="17">
        <v>777</v>
      </c>
      <c r="G6899" s="13">
        <v>6</v>
      </c>
      <c r="H6899" s="17">
        <v>0</v>
      </c>
      <c r="I6899" s="17">
        <v>0</v>
      </c>
      <c r="J6899" s="17">
        <v>76</v>
      </c>
      <c r="K6899" s="10">
        <v>42.88</v>
      </c>
      <c r="L6899" s="17">
        <v>33.119999999999997</v>
      </c>
      <c r="P6899" s="17">
        <v>5</v>
      </c>
      <c r="Q6899" s="19">
        <v>76</v>
      </c>
      <c r="R6899" s="14">
        <v>4500</v>
      </c>
      <c r="S6899" s="19">
        <v>342000</v>
      </c>
      <c r="T6899" s="17">
        <v>1</v>
      </c>
      <c r="V6899" s="17" t="s">
        <v>530</v>
      </c>
      <c r="W6899" s="4">
        <v>132.5</v>
      </c>
      <c r="Y6899" s="4">
        <v>132.5</v>
      </c>
      <c r="AB6899" s="17">
        <v>17</v>
      </c>
      <c r="AJ6899" s="19">
        <v>0</v>
      </c>
      <c r="AK6899" s="23">
        <v>17</v>
      </c>
      <c r="AM6899" s="19">
        <v>0</v>
      </c>
      <c r="AN6899" s="19">
        <v>342000</v>
      </c>
      <c r="AP6899" s="14">
        <v>342000</v>
      </c>
    </row>
    <row r="6900" spans="1:47" x14ac:dyDescent="0.2">
      <c r="R6900" s="14" t="e">
        <v>#N/A</v>
      </c>
    </row>
    <row r="6901" spans="1:47" ht="42" x14ac:dyDescent="0.2">
      <c r="A6901" s="2">
        <v>5666</v>
      </c>
      <c r="B6901" s="13">
        <v>1</v>
      </c>
      <c r="C6901" s="17" t="s">
        <v>52</v>
      </c>
      <c r="D6901" s="17">
        <v>14070</v>
      </c>
      <c r="E6901" s="17">
        <v>218</v>
      </c>
      <c r="F6901" s="17">
        <v>3282</v>
      </c>
      <c r="G6901" s="13">
        <v>2</v>
      </c>
      <c r="H6901" s="17">
        <v>0</v>
      </c>
      <c r="I6901" s="17">
        <v>1</v>
      </c>
      <c r="J6901" s="17">
        <v>9</v>
      </c>
      <c r="K6901" s="10">
        <v>89</v>
      </c>
      <c r="L6901" s="17">
        <v>20</v>
      </c>
      <c r="P6901" s="17">
        <v>5</v>
      </c>
      <c r="Q6901" s="19">
        <v>109</v>
      </c>
      <c r="R6901" s="14">
        <v>3400</v>
      </c>
      <c r="S6901" s="19">
        <v>370600</v>
      </c>
      <c r="T6901" s="17">
        <v>1</v>
      </c>
      <c r="V6901" s="17" t="s">
        <v>183</v>
      </c>
      <c r="W6901" s="4">
        <v>80</v>
      </c>
      <c r="Y6901" s="4">
        <v>80</v>
      </c>
      <c r="AB6901" s="17">
        <v>50</v>
      </c>
      <c r="AJ6901" s="19">
        <v>0</v>
      </c>
      <c r="AK6901" s="23">
        <v>50</v>
      </c>
      <c r="AM6901" s="19">
        <v>0</v>
      </c>
      <c r="AN6901" s="19">
        <v>370600</v>
      </c>
      <c r="AP6901" s="14">
        <v>370600</v>
      </c>
      <c r="AS6901" s="26">
        <v>546.40000000000009</v>
      </c>
      <c r="AT6901" s="14">
        <v>491.7600000000001</v>
      </c>
      <c r="AU6901" s="14">
        <v>54.639999999999986</v>
      </c>
    </row>
    <row r="6902" spans="1:47" x14ac:dyDescent="0.2">
      <c r="A6902" s="2">
        <f>+A6901+1</f>
        <v>5667</v>
      </c>
      <c r="B6902" s="13">
        <v>2</v>
      </c>
      <c r="C6902" s="17" t="s">
        <v>52</v>
      </c>
      <c r="D6902" s="17">
        <v>28304</v>
      </c>
      <c r="E6902" s="17">
        <v>8</v>
      </c>
      <c r="F6902" s="17">
        <v>4326</v>
      </c>
      <c r="G6902" s="13">
        <v>5</v>
      </c>
      <c r="H6902" s="17">
        <v>32</v>
      </c>
      <c r="I6902" s="17">
        <v>2</v>
      </c>
      <c r="J6902" s="17">
        <v>96</v>
      </c>
      <c r="K6902" s="10">
        <v>13096</v>
      </c>
      <c r="P6902" s="17">
        <v>1</v>
      </c>
      <c r="Q6902" s="19">
        <v>13096</v>
      </c>
      <c r="R6902" s="14">
        <v>200</v>
      </c>
      <c r="S6902" s="19">
        <v>2619200</v>
      </c>
      <c r="AJ6902" s="19">
        <v>0</v>
      </c>
      <c r="AK6902" s="23">
        <v>0</v>
      </c>
      <c r="AM6902" s="19">
        <v>0</v>
      </c>
      <c r="AN6902" s="19">
        <v>2619200</v>
      </c>
      <c r="AP6902" s="14">
        <v>2619200</v>
      </c>
    </row>
    <row r="6903" spans="1:47" x14ac:dyDescent="0.2">
      <c r="A6903" s="122">
        <f t="shared" ref="A6903:A6906" si="697">+A6902+1</f>
        <v>5668</v>
      </c>
      <c r="B6903" s="13">
        <v>3</v>
      </c>
      <c r="C6903" s="17" t="s">
        <v>97</v>
      </c>
      <c r="D6903" s="17">
        <v>126</v>
      </c>
      <c r="G6903" s="13">
        <v>5</v>
      </c>
      <c r="H6903" s="17">
        <v>40</v>
      </c>
      <c r="I6903" s="17">
        <v>1</v>
      </c>
      <c r="J6903" s="17">
        <v>50</v>
      </c>
      <c r="K6903" s="10">
        <v>16150</v>
      </c>
      <c r="P6903" s="17">
        <v>1</v>
      </c>
      <c r="Q6903" s="19">
        <v>16150</v>
      </c>
      <c r="R6903" s="14">
        <v>160</v>
      </c>
      <c r="S6903" s="19">
        <v>2584000</v>
      </c>
      <c r="AJ6903" s="19">
        <v>0</v>
      </c>
      <c r="AK6903" s="23">
        <v>0</v>
      </c>
      <c r="AM6903" s="19">
        <v>0</v>
      </c>
      <c r="AN6903" s="19">
        <v>2584000</v>
      </c>
      <c r="AP6903" s="14">
        <v>2584000</v>
      </c>
      <c r="AQ6903" s="12">
        <v>1E-4</v>
      </c>
    </row>
    <row r="6904" spans="1:47" x14ac:dyDescent="0.2">
      <c r="A6904" s="122">
        <f t="shared" si="697"/>
        <v>5669</v>
      </c>
      <c r="B6904" s="13">
        <v>4</v>
      </c>
      <c r="C6904" s="17" t="s">
        <v>97</v>
      </c>
      <c r="D6904" s="17">
        <v>127</v>
      </c>
      <c r="G6904" s="13">
        <v>5</v>
      </c>
      <c r="H6904" s="17">
        <v>45</v>
      </c>
      <c r="I6904" s="17">
        <v>0</v>
      </c>
      <c r="J6904" s="17">
        <v>0</v>
      </c>
      <c r="K6904" s="10">
        <v>18000</v>
      </c>
      <c r="P6904" s="17">
        <v>1</v>
      </c>
      <c r="Q6904" s="19">
        <v>18000</v>
      </c>
      <c r="R6904" s="14">
        <v>160</v>
      </c>
      <c r="S6904" s="19">
        <v>2880000</v>
      </c>
      <c r="AJ6904" s="19">
        <v>0</v>
      </c>
      <c r="AK6904" s="23">
        <v>0</v>
      </c>
      <c r="AM6904" s="19">
        <v>0</v>
      </c>
      <c r="AN6904" s="19">
        <v>2880000</v>
      </c>
      <c r="AP6904" s="14">
        <v>2880000</v>
      </c>
      <c r="AQ6904" s="12">
        <v>1E-4</v>
      </c>
    </row>
    <row r="6905" spans="1:47" x14ac:dyDescent="0.2">
      <c r="A6905" s="122">
        <f t="shared" si="697"/>
        <v>5670</v>
      </c>
      <c r="B6905" s="13">
        <v>1</v>
      </c>
      <c r="C6905" s="17" t="s">
        <v>52</v>
      </c>
      <c r="D6905" s="17">
        <v>1235</v>
      </c>
      <c r="E6905" s="17">
        <v>5</v>
      </c>
      <c r="F6905" s="17">
        <v>260</v>
      </c>
      <c r="G6905" s="13">
        <v>6</v>
      </c>
      <c r="H6905" s="17">
        <v>6</v>
      </c>
      <c r="I6905" s="17">
        <v>2</v>
      </c>
      <c r="J6905" s="17">
        <v>33</v>
      </c>
      <c r="K6905" s="10">
        <v>2633</v>
      </c>
      <c r="P6905" s="17">
        <v>1</v>
      </c>
      <c r="Q6905" s="19">
        <v>2633</v>
      </c>
      <c r="R6905" s="14">
        <v>160</v>
      </c>
      <c r="S6905" s="19">
        <v>421280</v>
      </c>
      <c r="AJ6905" s="19">
        <v>0</v>
      </c>
      <c r="AK6905" s="23">
        <v>0</v>
      </c>
      <c r="AM6905" s="19">
        <v>0</v>
      </c>
      <c r="AN6905" s="19">
        <v>421280</v>
      </c>
      <c r="AP6905" s="14">
        <v>421280</v>
      </c>
    </row>
    <row r="6906" spans="1:47" ht="63" x14ac:dyDescent="0.2">
      <c r="A6906" s="122">
        <f t="shared" si="697"/>
        <v>5671</v>
      </c>
      <c r="B6906" s="13">
        <v>2</v>
      </c>
      <c r="C6906" s="17" t="s">
        <v>52</v>
      </c>
      <c r="D6906" s="17">
        <v>18707</v>
      </c>
      <c r="E6906" s="17">
        <v>22</v>
      </c>
      <c r="F6906" s="17">
        <v>3633</v>
      </c>
      <c r="G6906" s="13">
        <v>6</v>
      </c>
      <c r="H6906" s="17">
        <v>0</v>
      </c>
      <c r="I6906" s="17">
        <v>2</v>
      </c>
      <c r="J6906" s="17">
        <v>8.0500000000000007</v>
      </c>
      <c r="K6906" s="10">
        <v>176.5</v>
      </c>
      <c r="L6906" s="17">
        <v>31.5</v>
      </c>
      <c r="P6906" s="17">
        <v>5</v>
      </c>
      <c r="Q6906" s="19">
        <v>208.05</v>
      </c>
      <c r="R6906" s="14">
        <v>750</v>
      </c>
      <c r="S6906" s="19">
        <v>156037.5</v>
      </c>
      <c r="T6906" s="17">
        <v>1</v>
      </c>
      <c r="U6906" s="17" t="s">
        <v>57</v>
      </c>
      <c r="V6906" s="17" t="s">
        <v>56</v>
      </c>
      <c r="W6906" s="4">
        <v>126</v>
      </c>
      <c r="Y6906" s="4" t="s">
        <v>689</v>
      </c>
      <c r="Z6906" s="17" t="s">
        <v>272</v>
      </c>
      <c r="AA6906" s="17">
        <v>12</v>
      </c>
      <c r="AF6906" s="14">
        <v>2</v>
      </c>
      <c r="AG6906" s="54">
        <v>126</v>
      </c>
      <c r="AH6906" s="11">
        <v>0.9</v>
      </c>
      <c r="AI6906" s="14">
        <v>7250</v>
      </c>
      <c r="AJ6906" s="19">
        <v>822150</v>
      </c>
      <c r="AK6906" s="23">
        <v>12</v>
      </c>
      <c r="AL6906" s="11">
        <v>0.14000000000000001</v>
      </c>
      <c r="AM6906" s="19">
        <v>707049</v>
      </c>
      <c r="AN6906" s="19">
        <v>863086.5</v>
      </c>
      <c r="AP6906" s="14">
        <v>863086.5</v>
      </c>
    </row>
    <row r="6907" spans="1:47" x14ac:dyDescent="0.2">
      <c r="R6907" s="14" t="e">
        <v>#N/A</v>
      </c>
      <c r="AF6907" s="14">
        <v>3</v>
      </c>
      <c r="AG6907" s="54">
        <v>126</v>
      </c>
      <c r="AH6907" s="11">
        <v>0.12</v>
      </c>
      <c r="AI6907" s="14">
        <v>7250</v>
      </c>
      <c r="AJ6907" s="19">
        <v>109620</v>
      </c>
      <c r="AK6907" s="23">
        <v>12</v>
      </c>
      <c r="AL6907" s="11">
        <v>0.14000000000000001</v>
      </c>
      <c r="AM6907" s="19">
        <v>94273.2</v>
      </c>
      <c r="AN6907" s="19">
        <v>94273.2</v>
      </c>
      <c r="AP6907" s="14">
        <v>94273.2</v>
      </c>
      <c r="AQ6907" s="12">
        <v>3.0000000000000001E-3</v>
      </c>
    </row>
    <row r="6908" spans="1:47" ht="42" x14ac:dyDescent="0.2">
      <c r="A6908" s="2">
        <v>5672</v>
      </c>
      <c r="B6908" s="13">
        <v>1</v>
      </c>
      <c r="C6908" s="17" t="s">
        <v>52</v>
      </c>
      <c r="D6908" s="17">
        <v>2119</v>
      </c>
      <c r="E6908" s="17">
        <v>3</v>
      </c>
      <c r="F6908" s="17">
        <v>1684</v>
      </c>
      <c r="G6908" s="13">
        <v>3</v>
      </c>
      <c r="H6908" s="17">
        <v>0</v>
      </c>
      <c r="I6908" s="17">
        <v>0</v>
      </c>
      <c r="J6908" s="17">
        <v>68</v>
      </c>
      <c r="K6908" s="10">
        <v>47.38</v>
      </c>
      <c r="L6908" s="17">
        <v>20.62</v>
      </c>
      <c r="P6908" s="17">
        <v>5</v>
      </c>
      <c r="Q6908" s="19">
        <v>68</v>
      </c>
      <c r="R6908" s="14">
        <v>2000</v>
      </c>
      <c r="S6908" s="19">
        <v>136000</v>
      </c>
      <c r="T6908" s="17">
        <v>1</v>
      </c>
      <c r="V6908" s="17" t="s">
        <v>183</v>
      </c>
      <c r="W6908" s="4">
        <v>82.5</v>
      </c>
      <c r="Y6908" s="4">
        <v>82.5</v>
      </c>
      <c r="AA6908" s="17">
        <v>21</v>
      </c>
      <c r="AJ6908" s="19">
        <v>0</v>
      </c>
      <c r="AK6908" s="23">
        <v>0</v>
      </c>
      <c r="AM6908" s="19">
        <v>0</v>
      </c>
      <c r="AN6908" s="19">
        <v>136000</v>
      </c>
      <c r="AP6908" s="14">
        <v>136000</v>
      </c>
    </row>
    <row r="6909" spans="1:47" x14ac:dyDescent="0.2">
      <c r="A6909" s="2">
        <f>+A6908+1</f>
        <v>5673</v>
      </c>
      <c r="B6909" s="13">
        <v>1</v>
      </c>
      <c r="C6909" s="17" t="s">
        <v>52</v>
      </c>
      <c r="D6909" s="17">
        <v>31193</v>
      </c>
      <c r="E6909" s="17">
        <v>213</v>
      </c>
      <c r="F6909" s="17">
        <v>5853</v>
      </c>
      <c r="H6909" s="17">
        <v>5</v>
      </c>
      <c r="I6909" s="17">
        <v>3</v>
      </c>
      <c r="J6909" s="17">
        <v>89</v>
      </c>
      <c r="K6909" s="10">
        <v>2389</v>
      </c>
      <c r="P6909" s="17">
        <v>1</v>
      </c>
      <c r="Q6909" s="19">
        <v>2389</v>
      </c>
      <c r="R6909" s="14">
        <v>160</v>
      </c>
      <c r="S6909" s="19">
        <v>382240</v>
      </c>
      <c r="AJ6909" s="19">
        <v>0</v>
      </c>
      <c r="AK6909" s="23">
        <v>0</v>
      </c>
      <c r="AM6909" s="19">
        <v>0</v>
      </c>
      <c r="AN6909" s="19">
        <v>382240</v>
      </c>
      <c r="AP6909" s="14">
        <v>382240</v>
      </c>
    </row>
    <row r="6910" spans="1:47" x14ac:dyDescent="0.2">
      <c r="A6910" s="122">
        <f t="shared" ref="A6910:A6923" si="698">+A6909+1</f>
        <v>5674</v>
      </c>
      <c r="B6910" s="13">
        <v>2</v>
      </c>
      <c r="C6910" s="17" t="s">
        <v>65</v>
      </c>
      <c r="D6910" s="17">
        <v>1404</v>
      </c>
      <c r="E6910" s="17">
        <v>94</v>
      </c>
      <c r="H6910" s="17">
        <v>7</v>
      </c>
      <c r="I6910" s="17">
        <v>0</v>
      </c>
      <c r="J6910" s="17">
        <v>35</v>
      </c>
      <c r="K6910" s="10">
        <v>2835</v>
      </c>
      <c r="P6910" s="17">
        <v>1</v>
      </c>
      <c r="Q6910" s="19">
        <v>2835</v>
      </c>
      <c r="R6910" s="14">
        <v>200</v>
      </c>
      <c r="S6910" s="19">
        <v>567000</v>
      </c>
      <c r="AE6910" s="17" t="s">
        <v>94</v>
      </c>
      <c r="AJ6910" s="19">
        <v>0</v>
      </c>
      <c r="AK6910" s="23">
        <v>0</v>
      </c>
      <c r="AM6910" s="19">
        <v>0</v>
      </c>
      <c r="AN6910" s="19">
        <v>567000</v>
      </c>
      <c r="AP6910" s="14">
        <v>567000</v>
      </c>
      <c r="AQ6910" s="12">
        <v>1E-4</v>
      </c>
    </row>
    <row r="6911" spans="1:47" x14ac:dyDescent="0.2">
      <c r="A6911" s="122">
        <f t="shared" si="698"/>
        <v>5675</v>
      </c>
      <c r="B6911" s="13">
        <v>1</v>
      </c>
      <c r="C6911" s="17" t="s">
        <v>52</v>
      </c>
      <c r="D6911" s="17">
        <v>4871</v>
      </c>
      <c r="E6911" s="17">
        <v>20</v>
      </c>
      <c r="F6911" s="17">
        <v>2569</v>
      </c>
      <c r="G6911" s="13">
        <v>7</v>
      </c>
      <c r="H6911" s="17">
        <v>0</v>
      </c>
      <c r="I6911" s="17">
        <v>1</v>
      </c>
      <c r="J6911" s="17">
        <v>5</v>
      </c>
      <c r="N6911" s="18">
        <v>105</v>
      </c>
      <c r="P6911" s="17">
        <v>4</v>
      </c>
      <c r="Q6911" s="19">
        <v>105</v>
      </c>
      <c r="R6911" s="14">
        <v>160</v>
      </c>
      <c r="S6911" s="19">
        <v>16800</v>
      </c>
      <c r="AJ6911" s="19">
        <v>0</v>
      </c>
      <c r="AK6911" s="23">
        <v>0</v>
      </c>
      <c r="AM6911" s="19">
        <v>0</v>
      </c>
      <c r="AN6911" s="19">
        <v>16800</v>
      </c>
      <c r="AP6911" s="14">
        <v>16800</v>
      </c>
      <c r="AQ6911" s="12">
        <v>3.0000000000000001E-3</v>
      </c>
    </row>
    <row r="6912" spans="1:47" x14ac:dyDescent="0.2">
      <c r="A6912" s="122">
        <f t="shared" si="698"/>
        <v>5676</v>
      </c>
      <c r="B6912" s="13">
        <v>2</v>
      </c>
      <c r="C6912" s="17" t="s">
        <v>52</v>
      </c>
      <c r="D6912" s="17">
        <v>4871</v>
      </c>
      <c r="E6912" s="17">
        <v>20</v>
      </c>
      <c r="F6912" s="17">
        <v>2569</v>
      </c>
      <c r="G6912" s="13">
        <v>7</v>
      </c>
      <c r="H6912" s="17">
        <v>0</v>
      </c>
      <c r="I6912" s="17">
        <v>1</v>
      </c>
      <c r="J6912" s="17">
        <v>5</v>
      </c>
      <c r="N6912" s="18">
        <v>105</v>
      </c>
      <c r="P6912" s="17">
        <v>4</v>
      </c>
      <c r="Q6912" s="19">
        <v>105</v>
      </c>
      <c r="R6912" s="14">
        <v>160</v>
      </c>
      <c r="S6912" s="19">
        <v>16800</v>
      </c>
      <c r="AJ6912" s="19">
        <v>0</v>
      </c>
      <c r="AK6912" s="23">
        <v>0</v>
      </c>
      <c r="AM6912" s="19">
        <v>0</v>
      </c>
      <c r="AN6912" s="19">
        <v>16800</v>
      </c>
      <c r="AP6912" s="14">
        <v>16800</v>
      </c>
      <c r="AQ6912" s="12">
        <v>3.0000000000000001E-3</v>
      </c>
    </row>
    <row r="6913" spans="1:45" x14ac:dyDescent="0.2">
      <c r="A6913" s="122">
        <f t="shared" si="698"/>
        <v>5677</v>
      </c>
      <c r="B6913" s="13">
        <v>1</v>
      </c>
      <c r="C6913" s="17" t="s">
        <v>52</v>
      </c>
      <c r="D6913" s="17">
        <v>16505</v>
      </c>
      <c r="E6913" s="17">
        <v>27</v>
      </c>
      <c r="F6913" s="17">
        <v>3608</v>
      </c>
      <c r="G6913" s="13">
        <v>3</v>
      </c>
      <c r="H6913" s="17">
        <v>5</v>
      </c>
      <c r="I6913" s="17">
        <v>2</v>
      </c>
      <c r="J6913" s="17">
        <v>80</v>
      </c>
      <c r="M6913" s="15" t="s">
        <v>713</v>
      </c>
      <c r="P6913" s="17">
        <v>3</v>
      </c>
      <c r="Q6913" s="19">
        <v>2280</v>
      </c>
      <c r="R6913" s="14">
        <v>160</v>
      </c>
      <c r="S6913" s="19">
        <v>364800</v>
      </c>
      <c r="AE6913" s="17" t="s">
        <v>449</v>
      </c>
      <c r="AJ6913" s="19">
        <v>0</v>
      </c>
      <c r="AK6913" s="23">
        <v>0</v>
      </c>
      <c r="AM6913" s="19">
        <v>0</v>
      </c>
      <c r="AN6913" s="19">
        <v>364800</v>
      </c>
      <c r="AP6913" s="14">
        <v>364800</v>
      </c>
      <c r="AQ6913" s="12">
        <v>3.0000000000000001E-3</v>
      </c>
    </row>
    <row r="6914" spans="1:45" x14ac:dyDescent="0.2">
      <c r="A6914" s="122">
        <f t="shared" si="698"/>
        <v>5678</v>
      </c>
      <c r="B6914" s="13">
        <v>2</v>
      </c>
      <c r="C6914" s="17" t="s">
        <v>52</v>
      </c>
      <c r="D6914" s="17">
        <v>17652</v>
      </c>
      <c r="E6914" s="17">
        <v>6</v>
      </c>
      <c r="F6914" s="17">
        <v>3780</v>
      </c>
      <c r="G6914" s="13">
        <v>3</v>
      </c>
      <c r="H6914" s="17">
        <v>11</v>
      </c>
      <c r="I6914" s="17">
        <v>1</v>
      </c>
      <c r="J6914" s="17">
        <v>80</v>
      </c>
      <c r="K6914" s="10">
        <v>4580</v>
      </c>
      <c r="P6914" s="17">
        <v>1</v>
      </c>
      <c r="Q6914" s="19">
        <v>4580</v>
      </c>
      <c r="R6914" s="14">
        <v>200</v>
      </c>
      <c r="S6914" s="19">
        <v>916000</v>
      </c>
      <c r="AJ6914" s="19">
        <v>0</v>
      </c>
      <c r="AK6914" s="23">
        <v>0</v>
      </c>
      <c r="AM6914" s="19">
        <v>0</v>
      </c>
      <c r="AN6914" s="19">
        <v>916000</v>
      </c>
      <c r="AP6914" s="14">
        <v>916000</v>
      </c>
    </row>
    <row r="6915" spans="1:45" x14ac:dyDescent="0.2">
      <c r="A6915" s="122">
        <f t="shared" si="698"/>
        <v>5679</v>
      </c>
      <c r="B6915" s="13">
        <v>3</v>
      </c>
      <c r="C6915" s="17" t="s">
        <v>52</v>
      </c>
      <c r="D6915" s="17">
        <v>17664</v>
      </c>
      <c r="E6915" s="17">
        <v>3</v>
      </c>
      <c r="F6915" s="17">
        <v>3792</v>
      </c>
      <c r="G6915" s="13">
        <v>3</v>
      </c>
      <c r="H6915" s="17">
        <v>6</v>
      </c>
      <c r="I6915" s="17">
        <v>3</v>
      </c>
      <c r="J6915" s="17">
        <v>0</v>
      </c>
      <c r="K6915" s="10">
        <v>2700</v>
      </c>
      <c r="P6915" s="17">
        <v>1</v>
      </c>
      <c r="Q6915" s="19">
        <v>2700</v>
      </c>
      <c r="R6915" s="14">
        <v>160</v>
      </c>
      <c r="S6915" s="19">
        <v>432000</v>
      </c>
      <c r="AJ6915" s="19">
        <v>0</v>
      </c>
      <c r="AK6915" s="23">
        <v>0</v>
      </c>
      <c r="AM6915" s="19">
        <v>0</v>
      </c>
      <c r="AN6915" s="19">
        <v>432000</v>
      </c>
      <c r="AP6915" s="14">
        <v>432000</v>
      </c>
    </row>
    <row r="6916" spans="1:45" ht="42" x14ac:dyDescent="0.2">
      <c r="A6916" s="122">
        <f t="shared" si="698"/>
        <v>5680</v>
      </c>
      <c r="B6916" s="13">
        <v>1</v>
      </c>
      <c r="C6916" s="17" t="s">
        <v>52</v>
      </c>
      <c r="D6916" s="17">
        <v>2286</v>
      </c>
      <c r="E6916" s="17">
        <v>23</v>
      </c>
      <c r="F6916" s="17">
        <v>1775</v>
      </c>
      <c r="G6916" s="13">
        <v>3</v>
      </c>
      <c r="H6916" s="17">
        <v>9</v>
      </c>
      <c r="I6916" s="17">
        <v>0</v>
      </c>
      <c r="J6916" s="17">
        <v>65</v>
      </c>
      <c r="K6916" s="10">
        <v>3665</v>
      </c>
      <c r="P6916" s="17">
        <v>1</v>
      </c>
      <c r="Q6916" s="19">
        <v>3665</v>
      </c>
      <c r="R6916" s="14">
        <v>160</v>
      </c>
      <c r="S6916" s="19">
        <v>586400</v>
      </c>
      <c r="AJ6916" s="19">
        <v>0</v>
      </c>
      <c r="AK6916" s="23">
        <v>0</v>
      </c>
      <c r="AM6916" s="19">
        <v>0</v>
      </c>
      <c r="AN6916" s="19">
        <v>586400</v>
      </c>
      <c r="AP6916" s="14">
        <v>586400</v>
      </c>
      <c r="AS6916" s="26" t="s">
        <v>275</v>
      </c>
    </row>
    <row r="6917" spans="1:45" x14ac:dyDescent="0.2">
      <c r="A6917" s="122">
        <f t="shared" si="698"/>
        <v>5681</v>
      </c>
      <c r="B6917" s="13">
        <v>1</v>
      </c>
      <c r="C6917" s="17" t="s">
        <v>52</v>
      </c>
      <c r="D6917" s="17">
        <v>29223</v>
      </c>
      <c r="E6917" s="17">
        <v>284</v>
      </c>
      <c r="F6917" s="17">
        <v>5418</v>
      </c>
      <c r="G6917" s="13">
        <v>1</v>
      </c>
      <c r="H6917" s="17">
        <v>0</v>
      </c>
      <c r="I6917" s="17">
        <v>3</v>
      </c>
      <c r="J6917" s="17">
        <v>74</v>
      </c>
      <c r="K6917" s="10">
        <v>374</v>
      </c>
      <c r="P6917" s="17">
        <v>1</v>
      </c>
      <c r="Q6917" s="19">
        <v>374</v>
      </c>
      <c r="R6917" s="14">
        <v>200</v>
      </c>
      <c r="S6917" s="19">
        <v>74800</v>
      </c>
      <c r="AJ6917" s="19">
        <v>0</v>
      </c>
      <c r="AK6917" s="23">
        <v>0</v>
      </c>
      <c r="AM6917" s="19">
        <v>0</v>
      </c>
      <c r="AN6917" s="19">
        <v>74800</v>
      </c>
      <c r="AP6917" s="14">
        <v>74800</v>
      </c>
    </row>
    <row r="6918" spans="1:45" x14ac:dyDescent="0.2">
      <c r="A6918" s="122">
        <f t="shared" si="698"/>
        <v>5682</v>
      </c>
      <c r="B6918" s="13">
        <v>1</v>
      </c>
      <c r="C6918" s="17" t="s">
        <v>52</v>
      </c>
      <c r="D6918" s="17">
        <v>2479</v>
      </c>
      <c r="E6918" s="17">
        <v>29</v>
      </c>
      <c r="F6918" s="17">
        <v>1483</v>
      </c>
      <c r="G6918" s="13">
        <v>2</v>
      </c>
      <c r="H6918" s="17">
        <v>1</v>
      </c>
      <c r="I6918" s="17">
        <v>1</v>
      </c>
      <c r="J6918" s="17">
        <v>72</v>
      </c>
      <c r="N6918" s="18">
        <v>572</v>
      </c>
      <c r="P6918" s="17">
        <v>4</v>
      </c>
      <c r="Q6918" s="19">
        <v>572</v>
      </c>
      <c r="R6918" s="14">
        <v>1100</v>
      </c>
      <c r="S6918" s="19">
        <v>629200</v>
      </c>
      <c r="AJ6918" s="19">
        <v>0</v>
      </c>
      <c r="AK6918" s="23">
        <v>0</v>
      </c>
      <c r="AM6918" s="19">
        <v>0</v>
      </c>
      <c r="AN6918" s="19">
        <v>629200</v>
      </c>
      <c r="AP6918" s="14">
        <v>629200</v>
      </c>
      <c r="AQ6918" s="12">
        <v>3.0000000000000001E-3</v>
      </c>
    </row>
    <row r="6919" spans="1:45" x14ac:dyDescent="0.2">
      <c r="A6919" s="122">
        <f t="shared" si="698"/>
        <v>5683</v>
      </c>
      <c r="B6919" s="13">
        <v>2</v>
      </c>
      <c r="C6919" s="17" t="s">
        <v>52</v>
      </c>
      <c r="D6919" s="17">
        <v>2090</v>
      </c>
      <c r="E6919" s="17">
        <v>13</v>
      </c>
      <c r="F6919" s="17">
        <v>1559</v>
      </c>
      <c r="H6919" s="17">
        <v>8</v>
      </c>
      <c r="I6919" s="17">
        <v>0</v>
      </c>
      <c r="J6919" s="17">
        <v>45</v>
      </c>
      <c r="N6919" s="18">
        <v>3245</v>
      </c>
      <c r="P6919" s="17">
        <v>4</v>
      </c>
      <c r="Q6919" s="19">
        <v>3245</v>
      </c>
      <c r="R6919" s="14">
        <v>160</v>
      </c>
      <c r="S6919" s="19">
        <v>519200</v>
      </c>
      <c r="AJ6919" s="19">
        <v>0</v>
      </c>
      <c r="AK6919" s="23">
        <v>0</v>
      </c>
      <c r="AM6919" s="19">
        <v>0</v>
      </c>
      <c r="AN6919" s="19">
        <v>519200</v>
      </c>
      <c r="AP6919" s="14">
        <v>519200</v>
      </c>
      <c r="AQ6919" s="12">
        <v>3.0000000000000001E-3</v>
      </c>
    </row>
    <row r="6920" spans="1:45" x14ac:dyDescent="0.2">
      <c r="A6920" s="122">
        <f t="shared" si="698"/>
        <v>5684</v>
      </c>
      <c r="B6920" s="13">
        <v>1</v>
      </c>
      <c r="C6920" s="17" t="s">
        <v>65</v>
      </c>
      <c r="D6920" s="17">
        <v>1143</v>
      </c>
      <c r="E6920" s="17">
        <v>233</v>
      </c>
      <c r="H6920" s="17">
        <v>4</v>
      </c>
      <c r="I6920" s="17">
        <v>1</v>
      </c>
      <c r="J6920" s="17">
        <v>46</v>
      </c>
      <c r="K6920" s="10">
        <v>1746</v>
      </c>
      <c r="P6920" s="17">
        <v>1</v>
      </c>
      <c r="Q6920" s="19">
        <v>1746</v>
      </c>
      <c r="R6920" s="14">
        <v>160</v>
      </c>
      <c r="S6920" s="19">
        <v>279360</v>
      </c>
      <c r="AE6920" s="17" t="s">
        <v>94</v>
      </c>
      <c r="AJ6920" s="19">
        <v>0</v>
      </c>
      <c r="AK6920" s="23">
        <v>0</v>
      </c>
      <c r="AM6920" s="19">
        <v>0</v>
      </c>
      <c r="AN6920" s="19">
        <v>279360</v>
      </c>
      <c r="AP6920" s="14">
        <v>279360</v>
      </c>
      <c r="AQ6920" s="12">
        <v>1E-4</v>
      </c>
      <c r="AS6920" s="26">
        <v>27</v>
      </c>
    </row>
    <row r="6921" spans="1:45" x14ac:dyDescent="0.2">
      <c r="A6921" s="122">
        <f t="shared" si="698"/>
        <v>5685</v>
      </c>
      <c r="B6921" s="13">
        <v>2</v>
      </c>
      <c r="C6921" s="17" t="s">
        <v>65</v>
      </c>
      <c r="D6921" s="17">
        <v>2411</v>
      </c>
      <c r="E6921" s="17">
        <v>264</v>
      </c>
      <c r="H6921" s="17">
        <v>3</v>
      </c>
      <c r="I6921" s="17">
        <v>0</v>
      </c>
      <c r="J6921" s="17">
        <v>0</v>
      </c>
      <c r="K6921" s="10">
        <v>1200</v>
      </c>
      <c r="P6921" s="17">
        <v>1</v>
      </c>
      <c r="Q6921" s="19">
        <v>1200</v>
      </c>
      <c r="R6921" s="14">
        <v>250</v>
      </c>
      <c r="S6921" s="19">
        <v>300000</v>
      </c>
      <c r="AE6921" s="17" t="s">
        <v>94</v>
      </c>
      <c r="AJ6921" s="19">
        <v>0</v>
      </c>
      <c r="AK6921" s="23">
        <v>0</v>
      </c>
      <c r="AM6921" s="19">
        <v>0</v>
      </c>
      <c r="AN6921" s="19">
        <v>300000</v>
      </c>
      <c r="AP6921" s="14">
        <v>300000</v>
      </c>
      <c r="AQ6921" s="12">
        <v>1E-4</v>
      </c>
    </row>
    <row r="6922" spans="1:45" x14ac:dyDescent="0.2">
      <c r="A6922" s="122">
        <f t="shared" si="698"/>
        <v>5686</v>
      </c>
      <c r="B6922" s="13">
        <v>1</v>
      </c>
      <c r="C6922" s="17" t="s">
        <v>52</v>
      </c>
      <c r="D6922" s="17">
        <v>1450</v>
      </c>
      <c r="E6922" s="17">
        <v>5</v>
      </c>
      <c r="F6922" s="17">
        <v>918</v>
      </c>
      <c r="H6922" s="17">
        <v>6</v>
      </c>
      <c r="I6922" s="17">
        <v>3</v>
      </c>
      <c r="J6922" s="17">
        <v>25</v>
      </c>
      <c r="K6922" s="10">
        <v>2725</v>
      </c>
      <c r="P6922" s="17">
        <v>1</v>
      </c>
      <c r="Q6922" s="19">
        <v>2725</v>
      </c>
      <c r="R6922" s="14">
        <v>160</v>
      </c>
      <c r="S6922" s="19">
        <v>436000</v>
      </c>
      <c r="AJ6922" s="19">
        <v>0</v>
      </c>
      <c r="AK6922" s="23">
        <v>0</v>
      </c>
      <c r="AM6922" s="19">
        <v>0</v>
      </c>
      <c r="AN6922" s="19">
        <v>436000</v>
      </c>
      <c r="AP6922" s="14">
        <v>436000</v>
      </c>
    </row>
    <row r="6923" spans="1:45" ht="105" x14ac:dyDescent="0.2">
      <c r="A6923" s="122">
        <f t="shared" si="698"/>
        <v>5687</v>
      </c>
      <c r="B6923" s="13">
        <v>1</v>
      </c>
      <c r="C6923" s="17" t="s">
        <v>52</v>
      </c>
      <c r="D6923" s="17">
        <v>1436</v>
      </c>
      <c r="E6923" s="17">
        <v>15</v>
      </c>
      <c r="F6923" s="17">
        <v>877</v>
      </c>
      <c r="G6923" s="13">
        <v>2</v>
      </c>
      <c r="H6923" s="17">
        <v>0</v>
      </c>
      <c r="I6923" s="17">
        <v>1</v>
      </c>
      <c r="J6923" s="17">
        <v>34</v>
      </c>
      <c r="K6923" s="10">
        <v>108.5</v>
      </c>
      <c r="M6923" s="15">
        <v>25.5</v>
      </c>
      <c r="P6923" s="17">
        <v>5</v>
      </c>
      <c r="Q6923" s="19">
        <v>134</v>
      </c>
      <c r="R6923" s="14">
        <v>1000</v>
      </c>
      <c r="S6923" s="19">
        <v>134000</v>
      </c>
      <c r="T6923" s="17">
        <v>1</v>
      </c>
      <c r="U6923" s="17" t="s">
        <v>174</v>
      </c>
      <c r="V6923" s="17" t="s">
        <v>56</v>
      </c>
      <c r="W6923" s="4">
        <v>102</v>
      </c>
      <c r="Z6923" s="17">
        <v>102</v>
      </c>
      <c r="AB6923" s="17" t="s">
        <v>515</v>
      </c>
      <c r="AF6923" s="14">
        <v>2</v>
      </c>
      <c r="AG6923" s="54">
        <v>102</v>
      </c>
      <c r="AH6923" s="11">
        <v>0.4</v>
      </c>
      <c r="AI6923" s="14">
        <v>5800</v>
      </c>
      <c r="AJ6923" s="19">
        <v>236640.00000000003</v>
      </c>
      <c r="AK6923" s="23" t="s">
        <v>515</v>
      </c>
      <c r="AL6923" s="11">
        <v>0.03</v>
      </c>
      <c r="AM6923" s="19">
        <v>229540.80000000002</v>
      </c>
      <c r="AN6923" s="19">
        <v>363540.80000000005</v>
      </c>
      <c r="AP6923" s="14">
        <v>363540.80000000005</v>
      </c>
      <c r="AS6923" s="26">
        <v>5007</v>
      </c>
    </row>
    <row r="6924" spans="1:45" x14ac:dyDescent="0.2">
      <c r="AF6924" s="14">
        <v>3</v>
      </c>
      <c r="AG6924" s="54">
        <v>102</v>
      </c>
      <c r="AH6924" s="11">
        <v>0.6</v>
      </c>
      <c r="AI6924" s="14">
        <v>5800</v>
      </c>
      <c r="AJ6924" s="19">
        <v>354960</v>
      </c>
      <c r="AK6924" s="23">
        <v>3</v>
      </c>
      <c r="AL6924" s="11">
        <v>0.03</v>
      </c>
      <c r="AM6924" s="19">
        <v>344311.2</v>
      </c>
      <c r="AN6924" s="19">
        <v>344311.2</v>
      </c>
      <c r="AP6924" s="14">
        <v>344311.2</v>
      </c>
      <c r="AQ6924" s="12">
        <v>3.0000000000000001E-3</v>
      </c>
    </row>
    <row r="6925" spans="1:45" ht="63" x14ac:dyDescent="0.2">
      <c r="A6925" s="2">
        <v>5688</v>
      </c>
      <c r="B6925" s="13">
        <v>2</v>
      </c>
      <c r="C6925" s="17" t="s">
        <v>52</v>
      </c>
      <c r="D6925" s="17">
        <v>1438</v>
      </c>
      <c r="E6925" s="17">
        <v>16</v>
      </c>
      <c r="F6925" s="17">
        <v>879</v>
      </c>
      <c r="G6925" s="13">
        <v>2</v>
      </c>
      <c r="H6925" s="17">
        <v>0</v>
      </c>
      <c r="I6925" s="17">
        <v>1</v>
      </c>
      <c r="J6925" s="17">
        <v>13</v>
      </c>
      <c r="K6925" s="10">
        <v>113</v>
      </c>
      <c r="P6925" s="17">
        <v>1</v>
      </c>
      <c r="Q6925" s="19">
        <v>113</v>
      </c>
      <c r="R6925" s="14">
        <v>1500</v>
      </c>
      <c r="S6925" s="19">
        <v>169500</v>
      </c>
      <c r="U6925" s="17" t="s">
        <v>57</v>
      </c>
      <c r="V6925" s="17" t="s">
        <v>56</v>
      </c>
      <c r="W6925" s="4">
        <v>153</v>
      </c>
      <c r="Z6925" s="17" t="s">
        <v>492</v>
      </c>
      <c r="AB6925" s="17" t="s">
        <v>686</v>
      </c>
      <c r="AF6925" s="14">
        <v>2</v>
      </c>
      <c r="AG6925" s="54">
        <v>153</v>
      </c>
      <c r="AH6925" s="11">
        <v>0.88</v>
      </c>
      <c r="AI6925" s="14">
        <v>7250</v>
      </c>
      <c r="AJ6925" s="19">
        <v>976140.00000000012</v>
      </c>
      <c r="AK6925" s="23" t="s">
        <v>686</v>
      </c>
      <c r="AL6925" s="11">
        <v>0.42</v>
      </c>
      <c r="AM6925" s="19">
        <v>566161.20000000007</v>
      </c>
      <c r="AN6925" s="19">
        <v>735661.20000000007</v>
      </c>
      <c r="AP6925" s="14">
        <v>735661.20000000007</v>
      </c>
      <c r="AR6925" s="19">
        <v>5007</v>
      </c>
    </row>
    <row r="6926" spans="1:45" x14ac:dyDescent="0.2">
      <c r="AF6926" s="14">
        <v>3</v>
      </c>
      <c r="AG6926" s="54">
        <v>153</v>
      </c>
      <c r="AH6926" s="11">
        <v>0.12</v>
      </c>
      <c r="AI6926" s="14">
        <v>7250</v>
      </c>
      <c r="AJ6926" s="19">
        <v>133110</v>
      </c>
      <c r="AK6926" s="23">
        <v>26</v>
      </c>
      <c r="AL6926" s="11">
        <v>0.42</v>
      </c>
      <c r="AM6926" s="19">
        <v>77203.8</v>
      </c>
      <c r="AN6926" s="19">
        <v>77203.8</v>
      </c>
      <c r="AP6926" s="14">
        <v>77203.8</v>
      </c>
      <c r="AQ6926" s="12">
        <v>3.0000000000000001E-3</v>
      </c>
    </row>
    <row r="6927" spans="1:45" x14ac:dyDescent="0.2">
      <c r="A6927" s="2">
        <v>5689</v>
      </c>
      <c r="B6927" s="13">
        <v>3</v>
      </c>
      <c r="C6927" s="17" t="s">
        <v>52</v>
      </c>
      <c r="D6927" s="17">
        <v>10375</v>
      </c>
      <c r="E6927" s="17">
        <v>155</v>
      </c>
      <c r="F6927" s="17">
        <v>3143</v>
      </c>
      <c r="G6927" s="13">
        <v>2</v>
      </c>
      <c r="H6927" s="17">
        <v>0</v>
      </c>
      <c r="I6927" s="17">
        <v>0</v>
      </c>
      <c r="J6927" s="17">
        <v>37.06</v>
      </c>
      <c r="N6927" s="18">
        <v>37.06</v>
      </c>
      <c r="P6927" s="17">
        <v>4</v>
      </c>
      <c r="Q6927" s="19">
        <v>37.06</v>
      </c>
      <c r="R6927" s="14">
        <v>2000</v>
      </c>
      <c r="S6927" s="19">
        <v>74120</v>
      </c>
      <c r="AJ6927" s="19">
        <v>0</v>
      </c>
      <c r="AK6927" s="23">
        <v>0</v>
      </c>
      <c r="AM6927" s="19">
        <v>0</v>
      </c>
      <c r="AN6927" s="19">
        <v>74120</v>
      </c>
      <c r="AP6927" s="14">
        <v>74120</v>
      </c>
      <c r="AQ6927" s="12">
        <v>3.0000000000000001E-3</v>
      </c>
    </row>
    <row r="6928" spans="1:45" x14ac:dyDescent="0.2">
      <c r="A6928" s="2">
        <f>+A6927+1</f>
        <v>5690</v>
      </c>
      <c r="B6928" s="13">
        <v>4</v>
      </c>
      <c r="C6928" s="17" t="s">
        <v>52</v>
      </c>
      <c r="D6928" s="17">
        <v>10381</v>
      </c>
      <c r="E6928" s="17">
        <v>110</v>
      </c>
      <c r="F6928" s="17">
        <v>3149</v>
      </c>
      <c r="G6928" s="13">
        <v>2</v>
      </c>
      <c r="H6928" s="17">
        <v>0</v>
      </c>
      <c r="I6928" s="17">
        <v>1</v>
      </c>
      <c r="J6928" s="17">
        <v>39.049999999999997</v>
      </c>
      <c r="N6928" s="18">
        <v>139.05000000000001</v>
      </c>
      <c r="P6928" s="17">
        <v>4</v>
      </c>
      <c r="Q6928" s="19">
        <v>139.05000000000001</v>
      </c>
      <c r="R6928" s="14">
        <v>250</v>
      </c>
      <c r="S6928" s="19">
        <v>34762.5</v>
      </c>
      <c r="AJ6928" s="19">
        <v>0</v>
      </c>
      <c r="AK6928" s="23">
        <v>0</v>
      </c>
      <c r="AM6928" s="19">
        <v>0</v>
      </c>
      <c r="AN6928" s="19">
        <v>34762.5</v>
      </c>
      <c r="AP6928" s="14">
        <v>34762.5</v>
      </c>
      <c r="AQ6928" s="12">
        <v>3.0000000000000001E-3</v>
      </c>
    </row>
    <row r="6929" spans="1:45" x14ac:dyDescent="0.2">
      <c r="A6929" s="122">
        <f t="shared" ref="A6929:A6935" si="699">+A6928+1</f>
        <v>5691</v>
      </c>
      <c r="B6929" s="13">
        <v>5</v>
      </c>
      <c r="C6929" s="17" t="s">
        <v>52</v>
      </c>
      <c r="D6929" s="17">
        <v>29754</v>
      </c>
      <c r="E6929" s="17">
        <v>151</v>
      </c>
      <c r="F6929" s="17">
        <v>5344</v>
      </c>
      <c r="G6929" s="13">
        <v>2</v>
      </c>
      <c r="H6929" s="17">
        <v>0</v>
      </c>
      <c r="I6929" s="17">
        <v>0</v>
      </c>
      <c r="J6929" s="17">
        <v>72</v>
      </c>
      <c r="K6929" s="10">
        <v>72</v>
      </c>
      <c r="P6929" s="17">
        <v>1</v>
      </c>
      <c r="Q6929" s="19">
        <v>72</v>
      </c>
      <c r="R6929" s="14">
        <v>160</v>
      </c>
      <c r="S6929" s="19">
        <v>11520</v>
      </c>
      <c r="AJ6929" s="19">
        <v>0</v>
      </c>
      <c r="AK6929" s="23">
        <v>0</v>
      </c>
      <c r="AM6929" s="19">
        <v>0</v>
      </c>
      <c r="AN6929" s="19">
        <v>11520</v>
      </c>
      <c r="AP6929" s="14">
        <v>11520</v>
      </c>
    </row>
    <row r="6930" spans="1:45" ht="105" x14ac:dyDescent="0.2">
      <c r="A6930" s="122">
        <f t="shared" si="699"/>
        <v>5692</v>
      </c>
      <c r="B6930" s="13">
        <v>6</v>
      </c>
      <c r="C6930" s="17" t="s">
        <v>52</v>
      </c>
      <c r="D6930" s="17">
        <v>31087</v>
      </c>
      <c r="E6930" s="17">
        <v>102</v>
      </c>
      <c r="F6930" s="17">
        <v>6037</v>
      </c>
      <c r="H6930" s="17">
        <v>0</v>
      </c>
      <c r="I6930" s="17">
        <v>0</v>
      </c>
      <c r="J6930" s="17">
        <v>32.01</v>
      </c>
      <c r="M6930" s="15" t="s">
        <v>574</v>
      </c>
      <c r="P6930" s="17">
        <v>2</v>
      </c>
      <c r="Q6930" s="19">
        <v>32.01</v>
      </c>
      <c r="R6930" s="14">
        <v>250</v>
      </c>
      <c r="S6930" s="19">
        <v>8002.4999999999991</v>
      </c>
      <c r="T6930" s="17">
        <v>1</v>
      </c>
      <c r="U6930" s="17" t="s">
        <v>174</v>
      </c>
      <c r="V6930" s="17" t="s">
        <v>56</v>
      </c>
      <c r="W6930" s="4">
        <v>80</v>
      </c>
      <c r="Z6930" s="17">
        <v>80</v>
      </c>
      <c r="AB6930" s="17" t="s">
        <v>515</v>
      </c>
      <c r="AF6930" s="14">
        <v>3</v>
      </c>
      <c r="AG6930" s="54">
        <v>80</v>
      </c>
      <c r="AH6930" s="11">
        <v>1</v>
      </c>
      <c r="AI6930" s="14">
        <v>5800</v>
      </c>
      <c r="AJ6930" s="19">
        <v>464000</v>
      </c>
      <c r="AK6930" s="23" t="s">
        <v>515</v>
      </c>
      <c r="AL6930" s="11">
        <v>0.03</v>
      </c>
      <c r="AM6930" s="19">
        <v>450080</v>
      </c>
      <c r="AN6930" s="19">
        <v>458082.5</v>
      </c>
      <c r="AP6930" s="14">
        <v>458082.5</v>
      </c>
      <c r="AQ6930" s="12">
        <v>3.0000000000000001E-3</v>
      </c>
    </row>
    <row r="6931" spans="1:45" ht="105" x14ac:dyDescent="0.2">
      <c r="A6931" s="122">
        <f t="shared" si="699"/>
        <v>5693</v>
      </c>
      <c r="B6931" s="13">
        <v>7</v>
      </c>
      <c r="C6931" s="17" t="s">
        <v>52</v>
      </c>
      <c r="D6931" s="17">
        <v>38902</v>
      </c>
      <c r="E6931" s="17">
        <v>159</v>
      </c>
      <c r="F6931" s="17">
        <v>7768</v>
      </c>
      <c r="H6931" s="17">
        <v>0</v>
      </c>
      <c r="I6931" s="17">
        <v>0</v>
      </c>
      <c r="J6931" s="17">
        <v>56</v>
      </c>
      <c r="M6931" s="15" t="s">
        <v>407</v>
      </c>
      <c r="P6931" s="17">
        <v>2</v>
      </c>
      <c r="Q6931" s="19">
        <v>56</v>
      </c>
      <c r="R6931" s="14">
        <v>250</v>
      </c>
      <c r="S6931" s="19">
        <v>14000</v>
      </c>
      <c r="U6931" s="17" t="s">
        <v>174</v>
      </c>
      <c r="V6931" s="17" t="s">
        <v>56</v>
      </c>
      <c r="W6931" s="4">
        <v>160</v>
      </c>
      <c r="Z6931" s="17" t="s">
        <v>639</v>
      </c>
      <c r="AB6931" s="17" t="s">
        <v>515</v>
      </c>
      <c r="AF6931" s="14">
        <v>3</v>
      </c>
      <c r="AG6931" s="54">
        <v>160</v>
      </c>
      <c r="AH6931" s="11">
        <v>1</v>
      </c>
      <c r="AI6931" s="14">
        <v>5800</v>
      </c>
      <c r="AJ6931" s="19">
        <v>928000</v>
      </c>
      <c r="AK6931" s="23">
        <v>3</v>
      </c>
      <c r="AL6931" s="11">
        <v>0.03</v>
      </c>
      <c r="AM6931" s="19">
        <v>900160</v>
      </c>
      <c r="AN6931" s="19">
        <v>914160</v>
      </c>
      <c r="AP6931" s="14">
        <v>914160</v>
      </c>
      <c r="AQ6931" s="12">
        <v>3.0000000000000001E-3</v>
      </c>
    </row>
    <row r="6932" spans="1:45" x14ac:dyDescent="0.2">
      <c r="A6932" s="122">
        <f t="shared" si="699"/>
        <v>5694</v>
      </c>
      <c r="B6932" s="13">
        <v>1</v>
      </c>
      <c r="C6932" s="17" t="s">
        <v>52</v>
      </c>
      <c r="D6932" s="17">
        <v>1940</v>
      </c>
      <c r="E6932" s="17">
        <v>21</v>
      </c>
      <c r="F6932" s="17">
        <v>1336</v>
      </c>
      <c r="G6932" s="13">
        <v>2</v>
      </c>
      <c r="H6932" s="17">
        <v>2</v>
      </c>
      <c r="I6932" s="17">
        <v>0</v>
      </c>
      <c r="J6932" s="17">
        <v>45</v>
      </c>
      <c r="K6932" s="10">
        <v>845</v>
      </c>
      <c r="P6932" s="17">
        <v>1</v>
      </c>
      <c r="Q6932" s="19">
        <v>845</v>
      </c>
      <c r="R6932" s="14">
        <v>160</v>
      </c>
      <c r="S6932" s="19">
        <v>135200</v>
      </c>
      <c r="AJ6932" s="19">
        <v>0</v>
      </c>
      <c r="AK6932" s="23">
        <v>0</v>
      </c>
      <c r="AM6932" s="19">
        <v>0</v>
      </c>
      <c r="AN6932" s="19">
        <v>135200</v>
      </c>
      <c r="AP6932" s="14">
        <v>135200</v>
      </c>
      <c r="AS6932" s="26">
        <v>148</v>
      </c>
    </row>
    <row r="6933" spans="1:45" x14ac:dyDescent="0.2">
      <c r="A6933" s="122">
        <f t="shared" si="699"/>
        <v>5695</v>
      </c>
      <c r="B6933" s="13">
        <v>2</v>
      </c>
      <c r="C6933" s="17" t="s">
        <v>52</v>
      </c>
      <c r="D6933" s="17">
        <v>31009</v>
      </c>
      <c r="E6933" s="17">
        <v>93</v>
      </c>
      <c r="F6933" s="17">
        <v>5959</v>
      </c>
      <c r="G6933" s="13">
        <v>2</v>
      </c>
      <c r="H6933" s="17">
        <v>8</v>
      </c>
      <c r="I6933" s="17">
        <v>0</v>
      </c>
      <c r="J6933" s="17">
        <v>26.06</v>
      </c>
      <c r="K6933" s="10">
        <v>3226</v>
      </c>
      <c r="P6933" s="17">
        <v>1</v>
      </c>
      <c r="Q6933" s="19">
        <v>3226.06</v>
      </c>
      <c r="R6933" s="14">
        <v>160</v>
      </c>
      <c r="S6933" s="19">
        <v>516169.6</v>
      </c>
      <c r="AJ6933" s="19">
        <v>0</v>
      </c>
      <c r="AK6933" s="23">
        <v>0</v>
      </c>
      <c r="AM6933" s="19">
        <v>0</v>
      </c>
      <c r="AN6933" s="19">
        <v>516169.6</v>
      </c>
      <c r="AP6933" s="14">
        <v>516169.6</v>
      </c>
    </row>
    <row r="6934" spans="1:45" x14ac:dyDescent="0.2">
      <c r="A6934" s="122">
        <f t="shared" si="699"/>
        <v>5696</v>
      </c>
      <c r="B6934" s="13">
        <v>3</v>
      </c>
      <c r="C6934" s="17" t="s">
        <v>52</v>
      </c>
      <c r="D6934" s="17">
        <v>16087</v>
      </c>
      <c r="E6934" s="17">
        <v>4</v>
      </c>
      <c r="F6934" s="17">
        <v>3565</v>
      </c>
      <c r="G6934" s="13">
        <v>3</v>
      </c>
      <c r="H6934" s="17">
        <v>10</v>
      </c>
      <c r="I6934" s="17">
        <v>2</v>
      </c>
      <c r="J6934" s="17">
        <v>57</v>
      </c>
      <c r="K6934" s="10">
        <v>4257</v>
      </c>
      <c r="P6934" s="17">
        <v>1</v>
      </c>
      <c r="Q6934" s="19">
        <v>4257</v>
      </c>
      <c r="R6934" s="14">
        <v>200</v>
      </c>
      <c r="S6934" s="19">
        <v>851400</v>
      </c>
      <c r="AJ6934" s="19">
        <v>0</v>
      </c>
      <c r="AK6934" s="23">
        <v>0</v>
      </c>
      <c r="AM6934" s="19">
        <v>0</v>
      </c>
      <c r="AN6934" s="19">
        <v>851400</v>
      </c>
      <c r="AP6934" s="14">
        <v>851400</v>
      </c>
    </row>
    <row r="6935" spans="1:45" x14ac:dyDescent="0.2">
      <c r="A6935" s="122">
        <f t="shared" si="699"/>
        <v>5697</v>
      </c>
      <c r="B6935" s="13">
        <v>4</v>
      </c>
      <c r="C6935" s="17" t="s">
        <v>65</v>
      </c>
      <c r="D6935" s="17">
        <v>1274</v>
      </c>
      <c r="E6935" s="17">
        <v>133</v>
      </c>
      <c r="H6935" s="17">
        <v>8</v>
      </c>
      <c r="I6935" s="17">
        <v>3</v>
      </c>
      <c r="J6935" s="17">
        <v>30</v>
      </c>
      <c r="K6935" s="10">
        <v>3530</v>
      </c>
      <c r="P6935" s="17">
        <v>1</v>
      </c>
      <c r="Q6935" s="19">
        <v>3530</v>
      </c>
      <c r="R6935" s="14">
        <v>250</v>
      </c>
      <c r="S6935" s="19">
        <v>882500</v>
      </c>
      <c r="AJ6935" s="19">
        <v>0</v>
      </c>
      <c r="AK6935" s="23">
        <v>0</v>
      </c>
      <c r="AM6935" s="19">
        <v>0</v>
      </c>
      <c r="AN6935" s="19">
        <v>882500</v>
      </c>
      <c r="AP6935" s="14">
        <v>882500</v>
      </c>
      <c r="AQ6935" s="12">
        <v>1E-4</v>
      </c>
    </row>
    <row r="6936" spans="1:45" x14ac:dyDescent="0.2">
      <c r="B6936" s="13">
        <v>4</v>
      </c>
      <c r="C6936" s="17" t="s">
        <v>65</v>
      </c>
      <c r="D6936" s="17">
        <v>1016</v>
      </c>
      <c r="E6936" s="17">
        <v>183</v>
      </c>
      <c r="H6936" s="17">
        <v>8</v>
      </c>
      <c r="I6936" s="17">
        <v>3</v>
      </c>
      <c r="J6936" s="17">
        <v>16</v>
      </c>
      <c r="K6936" s="10">
        <v>3516</v>
      </c>
      <c r="P6936" s="17">
        <v>1</v>
      </c>
      <c r="Q6936" s="19">
        <v>3516</v>
      </c>
      <c r="R6936" s="14" t="e">
        <v>#N/A</v>
      </c>
      <c r="S6936" s="19" t="e">
        <v>#N/A</v>
      </c>
      <c r="AE6936" s="17" t="s">
        <v>94</v>
      </c>
      <c r="AJ6936" s="19">
        <v>0</v>
      </c>
      <c r="AK6936" s="23">
        <v>0</v>
      </c>
      <c r="AM6936" s="19">
        <v>0</v>
      </c>
      <c r="AN6936" s="19" t="e">
        <v>#N/A</v>
      </c>
      <c r="AP6936" s="14" t="e">
        <v>#N/A</v>
      </c>
      <c r="AQ6936" s="12">
        <v>1E-4</v>
      </c>
    </row>
    <row r="6937" spans="1:45" x14ac:dyDescent="0.2">
      <c r="A6937" s="2">
        <v>5698</v>
      </c>
      <c r="B6937" s="13">
        <v>5</v>
      </c>
      <c r="C6937" s="17" t="s">
        <v>65</v>
      </c>
      <c r="D6937" s="17">
        <v>1269</v>
      </c>
      <c r="E6937" s="17">
        <v>129</v>
      </c>
      <c r="H6937" s="17">
        <v>8</v>
      </c>
      <c r="I6937" s="17">
        <v>3</v>
      </c>
      <c r="J6937" s="17">
        <v>63</v>
      </c>
      <c r="K6937" s="10">
        <v>3563</v>
      </c>
      <c r="P6937" s="17">
        <v>1</v>
      </c>
      <c r="Q6937" s="19">
        <v>3563</v>
      </c>
      <c r="R6937" s="14">
        <v>750</v>
      </c>
      <c r="S6937" s="19">
        <v>2672250</v>
      </c>
      <c r="AJ6937" s="19">
        <v>0</v>
      </c>
      <c r="AK6937" s="23">
        <v>0</v>
      </c>
      <c r="AM6937" s="19">
        <v>0</v>
      </c>
      <c r="AN6937" s="19">
        <v>2672250</v>
      </c>
      <c r="AP6937" s="14">
        <v>2672250</v>
      </c>
      <c r="AQ6937" s="12">
        <v>1E-4</v>
      </c>
    </row>
    <row r="6938" spans="1:45" x14ac:dyDescent="0.2">
      <c r="A6938" s="2">
        <f>+A6937+1</f>
        <v>5699</v>
      </c>
      <c r="B6938" s="13">
        <v>1</v>
      </c>
      <c r="C6938" s="17" t="s">
        <v>52</v>
      </c>
      <c r="D6938" s="17">
        <v>2115</v>
      </c>
      <c r="E6938" s="17">
        <v>13</v>
      </c>
      <c r="F6938" s="17">
        <v>1676</v>
      </c>
      <c r="G6938" s="13">
        <v>3</v>
      </c>
      <c r="H6938" s="17">
        <v>15</v>
      </c>
      <c r="I6938" s="17">
        <v>3</v>
      </c>
      <c r="J6938" s="17">
        <v>38</v>
      </c>
      <c r="K6938" s="10">
        <v>6338</v>
      </c>
      <c r="P6938" s="17">
        <v>1</v>
      </c>
      <c r="Q6938" s="19">
        <v>6338</v>
      </c>
      <c r="R6938" s="14">
        <v>160</v>
      </c>
      <c r="S6938" s="19">
        <v>1014080</v>
      </c>
      <c r="AJ6938" s="19">
        <v>0</v>
      </c>
      <c r="AK6938" s="23">
        <v>0</v>
      </c>
      <c r="AM6938" s="19">
        <v>0</v>
      </c>
      <c r="AN6938" s="19">
        <v>1014080</v>
      </c>
      <c r="AP6938" s="14">
        <v>1014080</v>
      </c>
      <c r="AS6938" s="26">
        <v>92</v>
      </c>
    </row>
    <row r="6939" spans="1:45" x14ac:dyDescent="0.2">
      <c r="A6939" s="122">
        <f t="shared" ref="A6939:A6942" si="700">+A6938+1</f>
        <v>5700</v>
      </c>
      <c r="B6939" s="13">
        <v>2</v>
      </c>
      <c r="C6939" s="17" t="s">
        <v>52</v>
      </c>
      <c r="D6939" s="17">
        <v>2212</v>
      </c>
      <c r="E6939" s="17">
        <v>1</v>
      </c>
      <c r="F6939" s="17">
        <v>1679</v>
      </c>
      <c r="G6939" s="13">
        <v>3</v>
      </c>
      <c r="H6939" s="17">
        <v>0</v>
      </c>
      <c r="I6939" s="17">
        <v>3</v>
      </c>
      <c r="J6939" s="17">
        <v>22</v>
      </c>
      <c r="K6939" s="10">
        <v>322</v>
      </c>
      <c r="P6939" s="17">
        <v>1</v>
      </c>
      <c r="Q6939" s="19">
        <v>322</v>
      </c>
      <c r="R6939" s="14">
        <v>250</v>
      </c>
      <c r="S6939" s="19">
        <v>80500</v>
      </c>
      <c r="AJ6939" s="19">
        <v>0</v>
      </c>
      <c r="AK6939" s="23">
        <v>0</v>
      </c>
      <c r="AM6939" s="19">
        <v>0</v>
      </c>
      <c r="AN6939" s="19">
        <v>80500</v>
      </c>
      <c r="AP6939" s="14">
        <v>80500</v>
      </c>
    </row>
    <row r="6940" spans="1:45" x14ac:dyDescent="0.2">
      <c r="A6940" s="122">
        <f t="shared" si="700"/>
        <v>5701</v>
      </c>
      <c r="B6940" s="13">
        <v>3</v>
      </c>
      <c r="C6940" s="17" t="s">
        <v>52</v>
      </c>
      <c r="D6940" s="17">
        <v>31104</v>
      </c>
      <c r="E6940" s="17">
        <v>119</v>
      </c>
      <c r="F6940" s="17">
        <v>6054</v>
      </c>
      <c r="H6940" s="17">
        <v>0</v>
      </c>
      <c r="I6940" s="17">
        <v>2</v>
      </c>
      <c r="J6940" s="17">
        <v>88.06</v>
      </c>
      <c r="K6940" s="10">
        <v>88.06</v>
      </c>
      <c r="P6940" s="17">
        <v>1</v>
      </c>
      <c r="Q6940" s="19">
        <v>288.06</v>
      </c>
      <c r="R6940" s="14">
        <v>250</v>
      </c>
      <c r="S6940" s="19">
        <v>72015</v>
      </c>
      <c r="AJ6940" s="19">
        <v>0</v>
      </c>
      <c r="AK6940" s="23">
        <v>0</v>
      </c>
      <c r="AM6940" s="19">
        <v>0</v>
      </c>
      <c r="AN6940" s="19">
        <v>72015</v>
      </c>
      <c r="AP6940" s="14">
        <v>72015</v>
      </c>
    </row>
    <row r="6941" spans="1:45" ht="63" x14ac:dyDescent="0.2">
      <c r="A6941" s="122">
        <f t="shared" si="700"/>
        <v>5702</v>
      </c>
      <c r="B6941" s="13">
        <v>1</v>
      </c>
      <c r="C6941" s="17" t="s">
        <v>52</v>
      </c>
      <c r="D6941" s="17">
        <v>18753</v>
      </c>
      <c r="E6941" s="17">
        <v>151</v>
      </c>
      <c r="F6941" s="17">
        <v>3647</v>
      </c>
      <c r="H6941" s="17">
        <v>0</v>
      </c>
      <c r="I6941" s="17">
        <v>0</v>
      </c>
      <c r="J6941" s="17">
        <v>31.03</v>
      </c>
      <c r="L6941" s="17" t="s">
        <v>616</v>
      </c>
      <c r="P6941" s="17">
        <v>2</v>
      </c>
      <c r="Q6941" s="19">
        <v>31.03</v>
      </c>
      <c r="R6941" s="14">
        <v>2000</v>
      </c>
      <c r="S6941" s="19">
        <v>62060</v>
      </c>
      <c r="AJ6941" s="19">
        <v>0</v>
      </c>
      <c r="AK6941" s="23">
        <v>0</v>
      </c>
      <c r="AM6941" s="19">
        <v>0</v>
      </c>
      <c r="AN6941" s="19">
        <v>62060</v>
      </c>
      <c r="AP6941" s="14">
        <v>62060</v>
      </c>
      <c r="AR6941" s="19">
        <v>648</v>
      </c>
      <c r="AS6941" s="26">
        <v>648</v>
      </c>
    </row>
    <row r="6942" spans="1:45" x14ac:dyDescent="0.2">
      <c r="A6942" s="122">
        <f t="shared" si="700"/>
        <v>5703</v>
      </c>
      <c r="B6942" s="13">
        <v>1</v>
      </c>
      <c r="C6942" s="17" t="s">
        <v>52</v>
      </c>
      <c r="D6942" s="17">
        <v>16065</v>
      </c>
      <c r="E6942" s="17">
        <v>6</v>
      </c>
      <c r="F6942" s="17">
        <v>3543</v>
      </c>
      <c r="G6942" s="13">
        <v>3</v>
      </c>
      <c r="H6942" s="17">
        <v>6</v>
      </c>
      <c r="I6942" s="17">
        <v>1</v>
      </c>
      <c r="J6942" s="17">
        <v>65</v>
      </c>
      <c r="K6942" s="10" t="s">
        <v>714</v>
      </c>
      <c r="P6942" s="17">
        <v>1</v>
      </c>
      <c r="Q6942" s="19">
        <v>2565</v>
      </c>
      <c r="R6942" s="14">
        <v>160</v>
      </c>
      <c r="S6942" s="19">
        <v>410400</v>
      </c>
    </row>
    <row r="6943" spans="1:45" x14ac:dyDescent="0.2">
      <c r="C6943" s="17" t="s">
        <v>65</v>
      </c>
      <c r="D6943" s="17">
        <v>2627</v>
      </c>
      <c r="E6943" s="17">
        <v>166</v>
      </c>
      <c r="H6943" s="17">
        <v>6</v>
      </c>
      <c r="I6943" s="17">
        <v>2</v>
      </c>
      <c r="J6943" s="17">
        <v>86</v>
      </c>
      <c r="K6943" s="10">
        <v>2686</v>
      </c>
      <c r="P6943" s="17">
        <v>1</v>
      </c>
      <c r="Q6943" s="19">
        <v>2686</v>
      </c>
      <c r="R6943" s="14" t="e">
        <v>#N/A</v>
      </c>
      <c r="S6943" s="19" t="e">
        <v>#N/A</v>
      </c>
      <c r="AJ6943" s="19">
        <v>0</v>
      </c>
      <c r="AK6943" s="23">
        <v>0</v>
      </c>
      <c r="AM6943" s="19">
        <v>0</v>
      </c>
      <c r="AN6943" s="19" t="e">
        <v>#N/A</v>
      </c>
      <c r="AP6943" s="14" t="e">
        <v>#N/A</v>
      </c>
      <c r="AQ6943" s="12">
        <v>1E-4</v>
      </c>
      <c r="AS6943" s="26">
        <v>35</v>
      </c>
    </row>
    <row r="6944" spans="1:45" ht="105" x14ac:dyDescent="0.2">
      <c r="A6944" s="2">
        <v>5704</v>
      </c>
      <c r="B6944" s="13">
        <v>1</v>
      </c>
      <c r="C6944" s="17" t="s">
        <v>52</v>
      </c>
      <c r="D6944" s="17">
        <v>2411</v>
      </c>
      <c r="E6944" s="17">
        <v>47</v>
      </c>
      <c r="F6944" s="17">
        <v>1750</v>
      </c>
      <c r="G6944" s="13">
        <v>4</v>
      </c>
      <c r="H6944" s="17">
        <v>0</v>
      </c>
      <c r="I6944" s="17">
        <v>0</v>
      </c>
      <c r="J6944" s="17">
        <v>30</v>
      </c>
      <c r="L6944" s="17" t="s">
        <v>534</v>
      </c>
      <c r="P6944" s="17">
        <v>2</v>
      </c>
      <c r="Q6944" s="19">
        <v>30</v>
      </c>
      <c r="R6944" s="14">
        <v>250</v>
      </c>
      <c r="S6944" s="19">
        <v>7500</v>
      </c>
      <c r="T6944" s="17">
        <v>1</v>
      </c>
      <c r="V6944" s="17" t="s">
        <v>183</v>
      </c>
      <c r="W6944" s="4">
        <v>94.5</v>
      </c>
      <c r="Y6944" s="4">
        <v>94.5</v>
      </c>
      <c r="AB6944" s="17">
        <v>30</v>
      </c>
      <c r="AC6944" s="14" t="s">
        <v>346</v>
      </c>
      <c r="AJ6944" s="19">
        <v>0</v>
      </c>
      <c r="AK6944" s="23">
        <v>30</v>
      </c>
      <c r="AM6944" s="19">
        <v>0</v>
      </c>
      <c r="AN6944" s="19">
        <v>7500</v>
      </c>
      <c r="AP6944" s="14">
        <v>7500</v>
      </c>
    </row>
    <row r="6945" spans="1:45" x14ac:dyDescent="0.2">
      <c r="A6945" s="2">
        <f>+A6944+1</f>
        <v>5705</v>
      </c>
      <c r="B6945" s="13">
        <v>1</v>
      </c>
      <c r="C6945" s="17" t="s">
        <v>52</v>
      </c>
      <c r="D6945" s="17">
        <v>1207</v>
      </c>
      <c r="E6945" s="17">
        <v>6</v>
      </c>
      <c r="F6945" s="17">
        <v>936</v>
      </c>
      <c r="G6945" s="13">
        <v>2</v>
      </c>
      <c r="H6945" s="17">
        <v>0</v>
      </c>
      <c r="I6945" s="17">
        <v>1</v>
      </c>
      <c r="J6945" s="17">
        <v>18</v>
      </c>
      <c r="L6945" s="17" t="s">
        <v>715</v>
      </c>
      <c r="P6945" s="17">
        <v>2</v>
      </c>
      <c r="Q6945" s="19">
        <v>118</v>
      </c>
      <c r="R6945" s="14">
        <v>3350</v>
      </c>
      <c r="S6945" s="19">
        <v>395300</v>
      </c>
      <c r="AJ6945" s="19">
        <v>0</v>
      </c>
      <c r="AK6945" s="23">
        <v>0</v>
      </c>
      <c r="AM6945" s="19">
        <v>0</v>
      </c>
      <c r="AN6945" s="19">
        <v>395300</v>
      </c>
      <c r="AP6945" s="14">
        <v>395300</v>
      </c>
      <c r="AS6945" s="26">
        <v>1500</v>
      </c>
    </row>
    <row r="6946" spans="1:45" ht="63" x14ac:dyDescent="0.2">
      <c r="A6946" s="122">
        <f>+A6945+1</f>
        <v>5706</v>
      </c>
      <c r="B6946" s="13">
        <v>2</v>
      </c>
      <c r="C6946" s="17" t="s">
        <v>52</v>
      </c>
      <c r="D6946" s="17">
        <v>14074</v>
      </c>
      <c r="E6946" s="17">
        <v>118</v>
      </c>
      <c r="F6946" s="17">
        <v>3290</v>
      </c>
      <c r="G6946" s="13">
        <v>2</v>
      </c>
      <c r="H6946" s="17">
        <v>0</v>
      </c>
      <c r="I6946" s="17">
        <v>0</v>
      </c>
      <c r="J6946" s="17">
        <v>60</v>
      </c>
      <c r="O6946" s="14" t="s">
        <v>274</v>
      </c>
      <c r="P6946" s="17">
        <v>5</v>
      </c>
      <c r="Q6946" s="19">
        <v>60</v>
      </c>
      <c r="R6946" s="14">
        <v>4500</v>
      </c>
      <c r="S6946" s="19">
        <v>270000</v>
      </c>
      <c r="T6946" s="17" t="s">
        <v>122</v>
      </c>
      <c r="U6946" s="17" t="s">
        <v>57</v>
      </c>
      <c r="V6946" s="17" t="s">
        <v>56</v>
      </c>
      <c r="W6946" s="4">
        <v>320</v>
      </c>
      <c r="Y6946" s="4" t="s">
        <v>716</v>
      </c>
      <c r="AF6946" s="14">
        <v>2</v>
      </c>
      <c r="AG6946" s="54">
        <v>320</v>
      </c>
      <c r="AH6946" s="11">
        <v>0.87</v>
      </c>
      <c r="AI6946" s="14">
        <v>7250</v>
      </c>
      <c r="AJ6946" s="19">
        <v>2018399.9999999998</v>
      </c>
      <c r="AK6946" s="23">
        <v>0</v>
      </c>
      <c r="AM6946" s="19">
        <v>2018399.9999999998</v>
      </c>
      <c r="AN6946" s="19">
        <v>2253300</v>
      </c>
      <c r="AP6946" s="14">
        <v>2253300</v>
      </c>
      <c r="AR6946" s="19">
        <v>1500</v>
      </c>
    </row>
    <row r="6947" spans="1:45" x14ac:dyDescent="0.2">
      <c r="Z6947" s="17" t="s">
        <v>595</v>
      </c>
      <c r="AD6947" s="14" t="s">
        <v>200</v>
      </c>
      <c r="AF6947" s="14">
        <v>3</v>
      </c>
      <c r="AG6947" s="54">
        <v>320</v>
      </c>
      <c r="AH6947" s="11">
        <v>0.13</v>
      </c>
      <c r="AI6947" s="14">
        <v>7250</v>
      </c>
      <c r="AJ6947" s="19">
        <v>301600</v>
      </c>
      <c r="AK6947" s="23">
        <v>0</v>
      </c>
      <c r="AM6947" s="19">
        <v>301600</v>
      </c>
      <c r="AN6947" s="19">
        <v>336700</v>
      </c>
      <c r="AP6947" s="14">
        <v>336700</v>
      </c>
      <c r="AQ6947" s="12">
        <v>3.0000000000000001E-3</v>
      </c>
    </row>
    <row r="6948" spans="1:45" x14ac:dyDescent="0.2">
      <c r="A6948" s="2">
        <v>5707</v>
      </c>
      <c r="B6948" s="13">
        <v>1</v>
      </c>
      <c r="C6948" s="17" t="s">
        <v>65</v>
      </c>
      <c r="D6948" s="17">
        <v>1674</v>
      </c>
      <c r="E6948" s="17">
        <v>16</v>
      </c>
      <c r="H6948" s="17">
        <v>4</v>
      </c>
      <c r="I6948" s="17">
        <v>0</v>
      </c>
      <c r="J6948" s="17">
        <v>56</v>
      </c>
      <c r="K6948" s="10">
        <v>1656</v>
      </c>
      <c r="P6948" s="17">
        <v>1</v>
      </c>
      <c r="Q6948" s="19">
        <v>1656</v>
      </c>
      <c r="R6948" s="14">
        <v>500</v>
      </c>
      <c r="S6948" s="19">
        <v>828000</v>
      </c>
      <c r="AJ6948" s="19">
        <v>0</v>
      </c>
      <c r="AK6948" s="23">
        <v>0</v>
      </c>
      <c r="AM6948" s="19">
        <v>0</v>
      </c>
      <c r="AN6948" s="19">
        <v>828000</v>
      </c>
      <c r="AP6948" s="14">
        <v>828000</v>
      </c>
      <c r="AQ6948" s="12">
        <v>1E-4</v>
      </c>
    </row>
    <row r="6949" spans="1:45" x14ac:dyDescent="0.2">
      <c r="A6949" s="2">
        <f>+A6948+1</f>
        <v>5708</v>
      </c>
      <c r="B6949" s="13">
        <v>2</v>
      </c>
      <c r="C6949" s="17" t="s">
        <v>65</v>
      </c>
      <c r="D6949" s="17">
        <v>1672</v>
      </c>
      <c r="E6949" s="17">
        <v>14</v>
      </c>
      <c r="H6949" s="17">
        <v>4</v>
      </c>
      <c r="I6949" s="17">
        <v>0</v>
      </c>
      <c r="J6949" s="17">
        <v>3</v>
      </c>
      <c r="K6949" s="10">
        <v>1603</v>
      </c>
      <c r="P6949" s="17">
        <v>1</v>
      </c>
      <c r="Q6949" s="19">
        <v>1603</v>
      </c>
      <c r="R6949" s="14">
        <v>500</v>
      </c>
      <c r="S6949" s="19">
        <v>801500</v>
      </c>
      <c r="AJ6949" s="19">
        <v>0</v>
      </c>
      <c r="AK6949" s="23">
        <v>0</v>
      </c>
      <c r="AM6949" s="19">
        <v>0</v>
      </c>
      <c r="AN6949" s="19">
        <v>801500</v>
      </c>
      <c r="AP6949" s="14">
        <v>801500</v>
      </c>
      <c r="AQ6949" s="12">
        <v>1E-4</v>
      </c>
    </row>
    <row r="6950" spans="1:45" x14ac:dyDescent="0.2">
      <c r="A6950" s="122">
        <f t="shared" ref="A6950:A6955" si="701">+A6949+1</f>
        <v>5709</v>
      </c>
      <c r="B6950" s="13">
        <v>3</v>
      </c>
      <c r="C6950" s="17" t="s">
        <v>65</v>
      </c>
      <c r="D6950" s="17">
        <v>1673</v>
      </c>
      <c r="E6950" s="17">
        <v>15</v>
      </c>
      <c r="H6950" s="17">
        <v>5</v>
      </c>
      <c r="I6950" s="17">
        <v>2</v>
      </c>
      <c r="J6950" s="17">
        <v>76</v>
      </c>
      <c r="K6950" s="10">
        <v>2276</v>
      </c>
      <c r="P6950" s="17">
        <v>1</v>
      </c>
      <c r="Q6950" s="19">
        <v>2276</v>
      </c>
      <c r="R6950" s="14">
        <v>500</v>
      </c>
      <c r="S6950" s="19">
        <v>1138000</v>
      </c>
      <c r="AJ6950" s="19">
        <v>0</v>
      </c>
      <c r="AK6950" s="23">
        <v>0</v>
      </c>
      <c r="AM6950" s="19">
        <v>0</v>
      </c>
      <c r="AN6950" s="19">
        <v>1138000</v>
      </c>
      <c r="AP6950" s="14">
        <v>1138000</v>
      </c>
      <c r="AQ6950" s="12">
        <v>1E-4</v>
      </c>
    </row>
    <row r="6951" spans="1:45" x14ac:dyDescent="0.2">
      <c r="A6951" s="122">
        <f t="shared" si="701"/>
        <v>5710</v>
      </c>
      <c r="B6951" s="13">
        <v>1</v>
      </c>
      <c r="C6951" s="17" t="s">
        <v>52</v>
      </c>
      <c r="D6951" s="17">
        <v>2387</v>
      </c>
      <c r="E6951" s="17">
        <v>16</v>
      </c>
      <c r="F6951" s="17">
        <v>1725</v>
      </c>
      <c r="G6951" s="13">
        <v>4</v>
      </c>
      <c r="H6951" s="17">
        <v>0</v>
      </c>
      <c r="I6951" s="17">
        <v>0</v>
      </c>
      <c r="J6951" s="17">
        <v>31</v>
      </c>
      <c r="L6951" s="17">
        <v>31</v>
      </c>
      <c r="P6951" s="17">
        <v>2</v>
      </c>
      <c r="Q6951" s="19">
        <v>31</v>
      </c>
      <c r="R6951" s="14">
        <v>250</v>
      </c>
      <c r="S6951" s="19">
        <v>7750</v>
      </c>
      <c r="AJ6951" s="19">
        <v>0</v>
      </c>
      <c r="AK6951" s="23">
        <v>0</v>
      </c>
      <c r="AM6951" s="19">
        <v>0</v>
      </c>
      <c r="AN6951" s="19">
        <v>7750</v>
      </c>
      <c r="AP6951" s="14">
        <v>7750</v>
      </c>
    </row>
    <row r="6952" spans="1:45" ht="42" x14ac:dyDescent="0.2">
      <c r="A6952" s="122">
        <f t="shared" si="701"/>
        <v>5711</v>
      </c>
      <c r="B6952" s="13">
        <v>1</v>
      </c>
      <c r="C6952" s="17" t="s">
        <v>65</v>
      </c>
      <c r="D6952" s="17">
        <v>2117</v>
      </c>
      <c r="E6952" s="17">
        <v>9</v>
      </c>
      <c r="H6952" s="17">
        <v>40</v>
      </c>
      <c r="I6952" s="17">
        <v>0</v>
      </c>
      <c r="J6952" s="17">
        <v>80</v>
      </c>
      <c r="K6952" s="10">
        <v>16080</v>
      </c>
      <c r="P6952" s="17">
        <v>1</v>
      </c>
      <c r="Q6952" s="19">
        <v>16080</v>
      </c>
      <c r="R6952" s="14">
        <v>2000</v>
      </c>
      <c r="S6952" s="19">
        <v>32160000</v>
      </c>
      <c r="AJ6952" s="19">
        <v>0</v>
      </c>
      <c r="AK6952" s="23">
        <v>0</v>
      </c>
      <c r="AM6952" s="19">
        <v>0</v>
      </c>
      <c r="AN6952" s="19">
        <v>32160000</v>
      </c>
      <c r="AP6952" s="14">
        <v>32160000</v>
      </c>
      <c r="AQ6952" s="12">
        <v>1E-4</v>
      </c>
    </row>
    <row r="6953" spans="1:45" x14ac:dyDescent="0.2">
      <c r="A6953" s="122">
        <f t="shared" si="701"/>
        <v>5712</v>
      </c>
      <c r="B6953" s="13">
        <v>1</v>
      </c>
      <c r="C6953" s="17" t="s">
        <v>52</v>
      </c>
      <c r="D6953" s="17">
        <v>3397</v>
      </c>
      <c r="E6953" s="17">
        <v>54</v>
      </c>
      <c r="F6953" s="17">
        <v>2183</v>
      </c>
      <c r="G6953" s="13">
        <v>2</v>
      </c>
      <c r="H6953" s="17">
        <v>6</v>
      </c>
      <c r="I6953" s="17">
        <v>3</v>
      </c>
      <c r="J6953" s="17">
        <v>29</v>
      </c>
      <c r="K6953" s="10">
        <v>2729</v>
      </c>
      <c r="P6953" s="17">
        <v>1</v>
      </c>
      <c r="Q6953" s="19">
        <v>2729</v>
      </c>
      <c r="R6953" s="14">
        <v>200</v>
      </c>
      <c r="S6953" s="19">
        <v>545800</v>
      </c>
      <c r="AJ6953" s="19">
        <v>0</v>
      </c>
      <c r="AK6953" s="23">
        <v>0</v>
      </c>
      <c r="AM6953" s="19">
        <v>0</v>
      </c>
      <c r="AN6953" s="19">
        <v>545800</v>
      </c>
      <c r="AP6953" s="14">
        <v>545800</v>
      </c>
    </row>
    <row r="6954" spans="1:45" x14ac:dyDescent="0.2">
      <c r="A6954" s="122">
        <f t="shared" si="701"/>
        <v>5713</v>
      </c>
      <c r="B6954" s="13">
        <v>2</v>
      </c>
      <c r="C6954" s="17" t="s">
        <v>65</v>
      </c>
      <c r="D6954" s="17">
        <v>3850</v>
      </c>
      <c r="E6954" s="17">
        <v>63</v>
      </c>
      <c r="H6954" s="17">
        <v>0</v>
      </c>
      <c r="I6954" s="17">
        <v>1</v>
      </c>
      <c r="J6954" s="17">
        <v>35</v>
      </c>
      <c r="K6954" s="10">
        <v>135</v>
      </c>
      <c r="P6954" s="17">
        <v>1</v>
      </c>
      <c r="Q6954" s="19">
        <v>135</v>
      </c>
      <c r="R6954" s="14">
        <v>160</v>
      </c>
      <c r="S6954" s="19">
        <v>21600</v>
      </c>
      <c r="AJ6954" s="19">
        <v>0</v>
      </c>
      <c r="AK6954" s="23">
        <v>0</v>
      </c>
      <c r="AM6954" s="19">
        <v>0</v>
      </c>
      <c r="AN6954" s="19">
        <v>21600</v>
      </c>
      <c r="AP6954" s="14">
        <v>21600</v>
      </c>
      <c r="AQ6954" s="12">
        <v>1E-4</v>
      </c>
    </row>
    <row r="6955" spans="1:45" ht="231" x14ac:dyDescent="0.2">
      <c r="A6955" s="122">
        <f t="shared" si="701"/>
        <v>5714</v>
      </c>
      <c r="B6955" s="13">
        <v>1</v>
      </c>
      <c r="C6955" s="17" t="s">
        <v>52</v>
      </c>
      <c r="D6955" s="17">
        <v>1481</v>
      </c>
      <c r="E6955" s="17">
        <v>21</v>
      </c>
      <c r="F6955" s="17">
        <v>1480</v>
      </c>
      <c r="G6955" s="13">
        <v>2</v>
      </c>
      <c r="H6955" s="17">
        <v>0</v>
      </c>
      <c r="I6955" s="17">
        <v>1</v>
      </c>
      <c r="J6955" s="17">
        <v>5</v>
      </c>
      <c r="K6955" s="10">
        <v>24.5</v>
      </c>
      <c r="L6955" s="17">
        <v>80.5</v>
      </c>
      <c r="P6955" s="17">
        <v>5</v>
      </c>
      <c r="Q6955" s="19">
        <v>105</v>
      </c>
      <c r="R6955" s="14">
        <v>3000</v>
      </c>
      <c r="S6955" s="19">
        <v>315000</v>
      </c>
      <c r="T6955" s="17">
        <v>1</v>
      </c>
      <c r="U6955" s="17" t="s">
        <v>63</v>
      </c>
      <c r="V6955" s="17" t="s">
        <v>56</v>
      </c>
      <c r="W6955" s="4">
        <v>322</v>
      </c>
      <c r="Y6955" s="4" t="s">
        <v>291</v>
      </c>
      <c r="AB6955" s="17" t="s">
        <v>559</v>
      </c>
      <c r="AC6955" s="14" t="s">
        <v>486</v>
      </c>
      <c r="AE6955" s="17">
        <v>250</v>
      </c>
      <c r="AF6955" s="14">
        <v>2</v>
      </c>
      <c r="AG6955" s="54">
        <v>322</v>
      </c>
      <c r="AH6955" s="11">
        <v>0.78</v>
      </c>
      <c r="AI6955" s="14">
        <v>8100</v>
      </c>
      <c r="AJ6955" s="19">
        <v>2034396</v>
      </c>
      <c r="AK6955" s="23" t="s">
        <v>559</v>
      </c>
      <c r="AL6955" s="11">
        <v>0.38</v>
      </c>
      <c r="AM6955" s="19">
        <v>1261325.52</v>
      </c>
      <c r="AN6955" s="19">
        <v>1507025.52</v>
      </c>
      <c r="AP6955" s="14">
        <v>1507025.52</v>
      </c>
      <c r="AS6955" s="26">
        <v>2025</v>
      </c>
    </row>
    <row r="6956" spans="1:45" x14ac:dyDescent="0.2">
      <c r="Z6956" s="17" t="s">
        <v>550</v>
      </c>
      <c r="AB6956" s="17" t="s">
        <v>559</v>
      </c>
      <c r="AF6956" s="14">
        <v>3</v>
      </c>
      <c r="AG6956" s="54">
        <v>322</v>
      </c>
      <c r="AH6956" s="11">
        <v>0.22</v>
      </c>
      <c r="AI6956" s="14">
        <v>8100</v>
      </c>
      <c r="AJ6956" s="19">
        <v>573804</v>
      </c>
      <c r="AK6956" s="23" t="s">
        <v>559</v>
      </c>
      <c r="AL6956" s="11">
        <v>0.38</v>
      </c>
      <c r="AM6956" s="19">
        <v>355758.48</v>
      </c>
      <c r="AN6956" s="19">
        <v>425058.48</v>
      </c>
      <c r="AP6956" s="14">
        <v>425058.48</v>
      </c>
      <c r="AQ6956" s="12">
        <v>3.0000000000000001E-3</v>
      </c>
    </row>
    <row r="6957" spans="1:45" ht="63" x14ac:dyDescent="0.2">
      <c r="A6957" s="2">
        <v>5715</v>
      </c>
      <c r="B6957" s="13">
        <v>2</v>
      </c>
      <c r="C6957" s="17" t="s">
        <v>52</v>
      </c>
      <c r="D6957" s="17">
        <v>3404</v>
      </c>
      <c r="E6957" s="17">
        <v>37</v>
      </c>
      <c r="F6957" s="17">
        <v>2208</v>
      </c>
      <c r="G6957" s="13">
        <v>2</v>
      </c>
      <c r="H6957" s="17">
        <v>3</v>
      </c>
      <c r="I6957" s="17">
        <v>0</v>
      </c>
      <c r="J6957" s="17">
        <v>89</v>
      </c>
      <c r="K6957" s="10">
        <v>1289</v>
      </c>
      <c r="P6957" s="17">
        <v>1</v>
      </c>
      <c r="Q6957" s="19">
        <v>1289</v>
      </c>
      <c r="R6957" s="14">
        <v>200</v>
      </c>
      <c r="S6957" s="19">
        <v>257800</v>
      </c>
      <c r="AJ6957" s="19">
        <v>0</v>
      </c>
      <c r="AK6957" s="23">
        <v>0</v>
      </c>
      <c r="AM6957" s="19">
        <v>0</v>
      </c>
      <c r="AN6957" s="19">
        <v>257800</v>
      </c>
      <c r="AP6957" s="14">
        <v>257800</v>
      </c>
      <c r="AR6957" s="19">
        <v>2025</v>
      </c>
    </row>
    <row r="6958" spans="1:45" x14ac:dyDescent="0.2">
      <c r="A6958" s="2">
        <v>5716</v>
      </c>
      <c r="B6958" s="13">
        <v>3</v>
      </c>
      <c r="C6958" s="17" t="s">
        <v>52</v>
      </c>
      <c r="D6958" s="17">
        <v>3405</v>
      </c>
      <c r="E6958" s="17">
        <v>38</v>
      </c>
      <c r="F6958" s="17">
        <v>2209</v>
      </c>
      <c r="G6958" s="13">
        <v>2</v>
      </c>
      <c r="H6958" s="17">
        <v>2</v>
      </c>
      <c r="I6958" s="17">
        <v>3</v>
      </c>
      <c r="J6958" s="17">
        <v>55</v>
      </c>
      <c r="K6958" s="10">
        <v>1155</v>
      </c>
      <c r="P6958" s="17">
        <v>1</v>
      </c>
      <c r="Q6958" s="19">
        <v>1155</v>
      </c>
      <c r="R6958" s="14">
        <v>200</v>
      </c>
      <c r="S6958" s="19">
        <v>231000</v>
      </c>
      <c r="AJ6958" s="19">
        <v>0</v>
      </c>
      <c r="AK6958" s="23">
        <v>0</v>
      </c>
      <c r="AM6958" s="19">
        <v>0</v>
      </c>
      <c r="AN6958" s="19">
        <v>231000</v>
      </c>
      <c r="AP6958" s="14">
        <v>231000</v>
      </c>
    </row>
    <row r="6959" spans="1:45" x14ac:dyDescent="0.2">
      <c r="A6959" s="2">
        <f>+A6958+1</f>
        <v>5717</v>
      </c>
      <c r="B6959" s="13">
        <v>4</v>
      </c>
      <c r="C6959" s="17" t="s">
        <v>52</v>
      </c>
      <c r="D6959" s="17">
        <v>3407</v>
      </c>
      <c r="E6959" s="17">
        <v>40</v>
      </c>
      <c r="F6959" s="17">
        <v>2211</v>
      </c>
      <c r="G6959" s="13">
        <v>2</v>
      </c>
      <c r="H6959" s="17">
        <v>0</v>
      </c>
      <c r="I6959" s="17">
        <v>1</v>
      </c>
      <c r="J6959" s="17">
        <v>24</v>
      </c>
      <c r="K6959" s="10">
        <v>124</v>
      </c>
      <c r="P6959" s="17">
        <v>1</v>
      </c>
      <c r="Q6959" s="19">
        <v>124</v>
      </c>
      <c r="R6959" s="14">
        <v>160</v>
      </c>
      <c r="S6959" s="19">
        <v>19840</v>
      </c>
      <c r="AJ6959" s="19">
        <v>0</v>
      </c>
      <c r="AK6959" s="23">
        <v>0</v>
      </c>
      <c r="AM6959" s="19">
        <v>0</v>
      </c>
      <c r="AN6959" s="19">
        <v>19840</v>
      </c>
      <c r="AP6959" s="14">
        <v>19840</v>
      </c>
    </row>
    <row r="6960" spans="1:45" x14ac:dyDescent="0.2">
      <c r="A6960" s="122">
        <f t="shared" ref="A6960:A6965" si="702">+A6959+1</f>
        <v>5718</v>
      </c>
      <c r="B6960" s="13">
        <v>5</v>
      </c>
      <c r="C6960" s="17" t="s">
        <v>52</v>
      </c>
      <c r="D6960" s="17">
        <v>22111</v>
      </c>
      <c r="E6960" s="17">
        <v>85</v>
      </c>
      <c r="F6960" s="17">
        <v>4789</v>
      </c>
      <c r="G6960" s="13">
        <v>2</v>
      </c>
      <c r="H6960" s="17">
        <v>2</v>
      </c>
      <c r="I6960" s="17">
        <v>2</v>
      </c>
      <c r="J6960" s="17">
        <v>26</v>
      </c>
      <c r="K6960" s="10">
        <v>1026</v>
      </c>
      <c r="P6960" s="17">
        <v>1</v>
      </c>
      <c r="Q6960" s="19">
        <v>1026</v>
      </c>
      <c r="R6960" s="14">
        <v>200</v>
      </c>
      <c r="S6960" s="19">
        <v>205200</v>
      </c>
      <c r="AJ6960" s="19">
        <v>0</v>
      </c>
      <c r="AK6960" s="23">
        <v>0</v>
      </c>
      <c r="AM6960" s="19">
        <v>0</v>
      </c>
      <c r="AN6960" s="19">
        <v>205200</v>
      </c>
      <c r="AP6960" s="14">
        <v>205200</v>
      </c>
    </row>
    <row r="6961" spans="1:45" s="19" customFormat="1" x14ac:dyDescent="0.2">
      <c r="A6961" s="122">
        <f t="shared" si="702"/>
        <v>5719</v>
      </c>
      <c r="B6961" s="13">
        <v>6</v>
      </c>
      <c r="C6961" s="17" t="s">
        <v>52</v>
      </c>
      <c r="D6961" s="17">
        <v>37602</v>
      </c>
      <c r="E6961" s="17">
        <v>246</v>
      </c>
      <c r="F6961" s="17">
        <v>7412</v>
      </c>
      <c r="G6961" s="13">
        <v>2</v>
      </c>
      <c r="H6961" s="17">
        <v>0</v>
      </c>
      <c r="I6961" s="17">
        <v>0</v>
      </c>
      <c r="J6961" s="17">
        <v>16.02</v>
      </c>
      <c r="K6961" s="10">
        <v>16</v>
      </c>
      <c r="L6961" s="17"/>
      <c r="M6961" s="15"/>
      <c r="N6961" s="18"/>
      <c r="O6961" s="14"/>
      <c r="P6961" s="17">
        <v>1</v>
      </c>
      <c r="Q6961" s="19">
        <v>16.02</v>
      </c>
      <c r="R6961" s="14">
        <v>160</v>
      </c>
      <c r="S6961" s="19">
        <v>2563.1999999999998</v>
      </c>
      <c r="T6961" s="17"/>
      <c r="U6961" s="17"/>
      <c r="V6961" s="17"/>
      <c r="W6961" s="4"/>
      <c r="X6961" s="17"/>
      <c r="Y6961" s="4"/>
      <c r="Z6961" s="17"/>
      <c r="AA6961" s="17"/>
      <c r="AB6961" s="17"/>
      <c r="AC6961" s="14"/>
      <c r="AD6961" s="14"/>
      <c r="AE6961" s="17"/>
      <c r="AF6961" s="14"/>
      <c r="AG6961" s="54"/>
      <c r="AH6961" s="11"/>
      <c r="AI6961" s="14"/>
      <c r="AJ6961" s="19">
        <v>0</v>
      </c>
      <c r="AK6961" s="23">
        <v>0</v>
      </c>
      <c r="AL6961" s="11"/>
      <c r="AM6961" s="19">
        <v>0</v>
      </c>
      <c r="AN6961" s="19">
        <v>2563.1999999999998</v>
      </c>
      <c r="AO6961" s="14"/>
      <c r="AP6961" s="14">
        <v>2563.1999999999998</v>
      </c>
      <c r="AQ6961" s="12"/>
      <c r="AS6961" s="26"/>
    </row>
    <row r="6962" spans="1:45" s="19" customFormat="1" x14ac:dyDescent="0.2">
      <c r="A6962" s="122">
        <f t="shared" si="702"/>
        <v>5720</v>
      </c>
      <c r="B6962" s="13">
        <v>7</v>
      </c>
      <c r="C6962" s="17" t="s">
        <v>52</v>
      </c>
      <c r="D6962" s="17">
        <v>31976</v>
      </c>
      <c r="E6962" s="17">
        <v>244</v>
      </c>
      <c r="F6962" s="17">
        <v>6295</v>
      </c>
      <c r="G6962" s="13"/>
      <c r="H6962" s="17">
        <v>1</v>
      </c>
      <c r="I6962" s="17">
        <v>3</v>
      </c>
      <c r="J6962" s="17">
        <v>57.03</v>
      </c>
      <c r="K6962" s="10">
        <v>757</v>
      </c>
      <c r="L6962" s="17"/>
      <c r="M6962" s="15"/>
      <c r="N6962" s="18"/>
      <c r="O6962" s="14"/>
      <c r="P6962" s="17">
        <v>1</v>
      </c>
      <c r="Q6962" s="19">
        <v>757.03</v>
      </c>
      <c r="R6962" s="14">
        <v>160</v>
      </c>
      <c r="S6962" s="19">
        <v>121124.79999999999</v>
      </c>
      <c r="T6962" s="17"/>
      <c r="U6962" s="17"/>
      <c r="V6962" s="17"/>
      <c r="W6962" s="4"/>
      <c r="X6962" s="17"/>
      <c r="Y6962" s="4"/>
      <c r="Z6962" s="17"/>
      <c r="AA6962" s="17"/>
      <c r="AB6962" s="17"/>
      <c r="AC6962" s="14"/>
      <c r="AD6962" s="14"/>
      <c r="AE6962" s="17"/>
      <c r="AF6962" s="14"/>
      <c r="AG6962" s="54"/>
      <c r="AH6962" s="11"/>
      <c r="AI6962" s="14"/>
      <c r="AJ6962" s="19">
        <v>0</v>
      </c>
      <c r="AK6962" s="23">
        <v>0</v>
      </c>
      <c r="AL6962" s="11"/>
      <c r="AM6962" s="19">
        <v>0</v>
      </c>
      <c r="AN6962" s="19">
        <v>121124.79999999999</v>
      </c>
      <c r="AO6962" s="14"/>
      <c r="AP6962" s="14">
        <v>121124.79999999999</v>
      </c>
      <c r="AQ6962" s="12"/>
      <c r="AS6962" s="26"/>
    </row>
    <row r="6963" spans="1:45" s="19" customFormat="1" x14ac:dyDescent="0.2">
      <c r="A6963" s="122">
        <f t="shared" si="702"/>
        <v>5721</v>
      </c>
      <c r="B6963" s="13">
        <v>8</v>
      </c>
      <c r="C6963" s="17" t="s">
        <v>52</v>
      </c>
      <c r="D6963" s="17">
        <v>31977</v>
      </c>
      <c r="E6963" s="17">
        <v>245</v>
      </c>
      <c r="F6963" s="17">
        <v>6296</v>
      </c>
      <c r="G6963" s="13"/>
      <c r="H6963" s="17">
        <v>1</v>
      </c>
      <c r="I6963" s="17">
        <v>0</v>
      </c>
      <c r="J6963" s="17">
        <v>76.03</v>
      </c>
      <c r="K6963" s="10">
        <v>476</v>
      </c>
      <c r="L6963" s="17"/>
      <c r="M6963" s="15"/>
      <c r="N6963" s="18"/>
      <c r="O6963" s="14"/>
      <c r="P6963" s="17">
        <v>1</v>
      </c>
      <c r="Q6963" s="19">
        <v>476.03</v>
      </c>
      <c r="R6963" s="14">
        <v>160</v>
      </c>
      <c r="S6963" s="19">
        <v>76164.799999999988</v>
      </c>
      <c r="T6963" s="17"/>
      <c r="U6963" s="17"/>
      <c r="V6963" s="17"/>
      <c r="W6963" s="4"/>
      <c r="X6963" s="17"/>
      <c r="Y6963" s="4"/>
      <c r="Z6963" s="17"/>
      <c r="AA6963" s="17"/>
      <c r="AB6963" s="17"/>
      <c r="AC6963" s="14"/>
      <c r="AD6963" s="14"/>
      <c r="AE6963" s="17"/>
      <c r="AF6963" s="14"/>
      <c r="AG6963" s="54"/>
      <c r="AH6963" s="11"/>
      <c r="AI6963" s="14"/>
      <c r="AJ6963" s="19">
        <v>0</v>
      </c>
      <c r="AK6963" s="23">
        <v>0</v>
      </c>
      <c r="AL6963" s="11"/>
      <c r="AM6963" s="19">
        <v>0</v>
      </c>
      <c r="AN6963" s="19">
        <v>76164.799999999988</v>
      </c>
      <c r="AO6963" s="14"/>
      <c r="AP6963" s="14">
        <v>76164.799999999988</v>
      </c>
      <c r="AQ6963" s="12"/>
      <c r="AS6963" s="26"/>
    </row>
    <row r="6964" spans="1:45" s="19" customFormat="1" x14ac:dyDescent="0.2">
      <c r="A6964" s="122">
        <f t="shared" si="702"/>
        <v>5722</v>
      </c>
      <c r="B6964" s="13">
        <v>9</v>
      </c>
      <c r="C6964" s="17" t="s">
        <v>52</v>
      </c>
      <c r="D6964" s="17">
        <v>31978</v>
      </c>
      <c r="E6964" s="17">
        <v>246</v>
      </c>
      <c r="F6964" s="17">
        <v>6297</v>
      </c>
      <c r="G6964" s="13"/>
      <c r="H6964" s="17">
        <v>1</v>
      </c>
      <c r="I6964" s="17">
        <v>0</v>
      </c>
      <c r="J6964" s="17">
        <v>94</v>
      </c>
      <c r="K6964" s="10">
        <v>494</v>
      </c>
      <c r="L6964" s="17"/>
      <c r="M6964" s="15"/>
      <c r="N6964" s="18"/>
      <c r="O6964" s="14"/>
      <c r="P6964" s="17">
        <v>1</v>
      </c>
      <c r="Q6964" s="19">
        <v>494</v>
      </c>
      <c r="R6964" s="14">
        <v>160</v>
      </c>
      <c r="S6964" s="19">
        <v>79040</v>
      </c>
      <c r="T6964" s="17"/>
      <c r="U6964" s="17"/>
      <c r="V6964" s="17"/>
      <c r="W6964" s="4"/>
      <c r="X6964" s="17"/>
      <c r="Y6964" s="4"/>
      <c r="Z6964" s="17"/>
      <c r="AA6964" s="17"/>
      <c r="AB6964" s="17"/>
      <c r="AC6964" s="14"/>
      <c r="AD6964" s="14"/>
      <c r="AE6964" s="17"/>
      <c r="AF6964" s="14"/>
      <c r="AG6964" s="54"/>
      <c r="AH6964" s="11"/>
      <c r="AI6964" s="14"/>
      <c r="AJ6964" s="19">
        <v>0</v>
      </c>
      <c r="AK6964" s="23">
        <v>0</v>
      </c>
      <c r="AL6964" s="11"/>
      <c r="AM6964" s="19">
        <v>0</v>
      </c>
      <c r="AN6964" s="19">
        <v>79040</v>
      </c>
      <c r="AO6964" s="14"/>
      <c r="AP6964" s="14">
        <v>79040</v>
      </c>
      <c r="AQ6964" s="12"/>
      <c r="AS6964" s="26"/>
    </row>
    <row r="6965" spans="1:45" s="19" customFormat="1" x14ac:dyDescent="0.2">
      <c r="A6965" s="122">
        <f t="shared" si="702"/>
        <v>5723</v>
      </c>
      <c r="B6965" s="13">
        <v>10</v>
      </c>
      <c r="C6965" s="17" t="s">
        <v>52</v>
      </c>
      <c r="D6965" s="17">
        <v>31979</v>
      </c>
      <c r="E6965" s="17">
        <v>247</v>
      </c>
      <c r="F6965" s="17">
        <v>6298</v>
      </c>
      <c r="G6965" s="13"/>
      <c r="H6965" s="17">
        <v>1</v>
      </c>
      <c r="I6965" s="17">
        <v>0</v>
      </c>
      <c r="J6965" s="17">
        <v>8.0399999999999991</v>
      </c>
      <c r="K6965" s="10">
        <v>408</v>
      </c>
      <c r="L6965" s="17"/>
      <c r="M6965" s="15"/>
      <c r="N6965" s="18"/>
      <c r="O6965" s="14"/>
      <c r="P6965" s="17">
        <v>1</v>
      </c>
      <c r="Q6965" s="19">
        <v>408.04</v>
      </c>
      <c r="R6965" s="14">
        <v>160</v>
      </c>
      <c r="S6965" s="19">
        <v>65286.400000000001</v>
      </c>
      <c r="T6965" s="17"/>
      <c r="U6965" s="17"/>
      <c r="V6965" s="17"/>
      <c r="W6965" s="4"/>
      <c r="X6965" s="17"/>
      <c r="Y6965" s="4"/>
      <c r="Z6965" s="17"/>
      <c r="AA6965" s="17"/>
      <c r="AB6965" s="17"/>
      <c r="AC6965" s="14"/>
      <c r="AD6965" s="14"/>
      <c r="AE6965" s="17"/>
      <c r="AF6965" s="14"/>
      <c r="AG6965" s="54"/>
      <c r="AH6965" s="11"/>
      <c r="AI6965" s="14"/>
      <c r="AJ6965" s="19">
        <v>0</v>
      </c>
      <c r="AK6965" s="23">
        <v>0</v>
      </c>
      <c r="AL6965" s="11"/>
      <c r="AM6965" s="19">
        <v>0</v>
      </c>
      <c r="AN6965" s="19">
        <v>65286.400000000001</v>
      </c>
      <c r="AO6965" s="14"/>
      <c r="AP6965" s="14">
        <v>65286.400000000001</v>
      </c>
      <c r="AQ6965" s="12"/>
      <c r="AS6965" s="26"/>
    </row>
    <row r="6966" spans="1:45" s="19" customFormat="1" x14ac:dyDescent="0.2">
      <c r="A6966" s="2"/>
      <c r="B6966" s="13">
        <v>11</v>
      </c>
      <c r="C6966" s="17" t="s">
        <v>65</v>
      </c>
      <c r="D6966" s="17">
        <v>194</v>
      </c>
      <c r="E6966" s="17">
        <v>88</v>
      </c>
      <c r="F6966" s="17"/>
      <c r="G6966" s="13"/>
      <c r="H6966" s="17">
        <v>5</v>
      </c>
      <c r="I6966" s="17">
        <v>2</v>
      </c>
      <c r="J6966" s="17">
        <v>33</v>
      </c>
      <c r="K6966" s="10">
        <v>2233</v>
      </c>
      <c r="L6966" s="17"/>
      <c r="M6966" s="15"/>
      <c r="N6966" s="18"/>
      <c r="O6966" s="14"/>
      <c r="P6966" s="17">
        <v>1</v>
      </c>
      <c r="Q6966" s="19">
        <v>2233</v>
      </c>
      <c r="R6966" s="14" t="e">
        <v>#N/A</v>
      </c>
      <c r="S6966" s="19" t="e">
        <v>#N/A</v>
      </c>
      <c r="T6966" s="17"/>
      <c r="U6966" s="17"/>
      <c r="V6966" s="17"/>
      <c r="W6966" s="4"/>
      <c r="X6966" s="17"/>
      <c r="Y6966" s="4"/>
      <c r="Z6966" s="17"/>
      <c r="AA6966" s="17"/>
      <c r="AB6966" s="17"/>
      <c r="AC6966" s="14"/>
      <c r="AD6966" s="14"/>
      <c r="AE6966" s="17" t="s">
        <v>52</v>
      </c>
      <c r="AF6966" s="14"/>
      <c r="AG6966" s="54"/>
      <c r="AH6966" s="11"/>
      <c r="AI6966" s="14"/>
      <c r="AJ6966" s="19">
        <v>0</v>
      </c>
      <c r="AK6966" s="23">
        <v>0</v>
      </c>
      <c r="AL6966" s="11"/>
      <c r="AM6966" s="19">
        <v>0</v>
      </c>
      <c r="AN6966" s="19" t="e">
        <v>#N/A</v>
      </c>
      <c r="AO6966" s="14"/>
      <c r="AP6966" s="14" t="e">
        <v>#N/A</v>
      </c>
      <c r="AQ6966" s="12">
        <v>1E-4</v>
      </c>
      <c r="AS6966" s="26"/>
    </row>
    <row r="6967" spans="1:45" s="19" customFormat="1" x14ac:dyDescent="0.2">
      <c r="A6967" s="2"/>
      <c r="B6967" s="13">
        <v>12</v>
      </c>
      <c r="C6967" s="17" t="s">
        <v>65</v>
      </c>
      <c r="D6967" s="17">
        <v>3497</v>
      </c>
      <c r="E6967" s="17">
        <v>231</v>
      </c>
      <c r="F6967" s="17"/>
      <c r="G6967" s="13"/>
      <c r="H6967" s="17">
        <v>9</v>
      </c>
      <c r="I6967" s="17">
        <v>2</v>
      </c>
      <c r="J6967" s="17">
        <v>37</v>
      </c>
      <c r="K6967" s="10">
        <v>3837</v>
      </c>
      <c r="L6967" s="17"/>
      <c r="M6967" s="15"/>
      <c r="N6967" s="18"/>
      <c r="O6967" s="14"/>
      <c r="P6967" s="17">
        <v>1</v>
      </c>
      <c r="Q6967" s="19">
        <v>3837</v>
      </c>
      <c r="R6967" s="14" t="e">
        <v>#N/A</v>
      </c>
      <c r="S6967" s="19" t="e">
        <v>#N/A</v>
      </c>
      <c r="T6967" s="17"/>
      <c r="U6967" s="17"/>
      <c r="V6967" s="17"/>
      <c r="W6967" s="4"/>
      <c r="X6967" s="17"/>
      <c r="Y6967" s="4"/>
      <c r="Z6967" s="17"/>
      <c r="AA6967" s="17"/>
      <c r="AB6967" s="17"/>
      <c r="AC6967" s="14"/>
      <c r="AD6967" s="14"/>
      <c r="AE6967" s="17"/>
      <c r="AF6967" s="14"/>
      <c r="AG6967" s="54"/>
      <c r="AH6967" s="11"/>
      <c r="AI6967" s="14"/>
      <c r="AJ6967" s="19">
        <v>0</v>
      </c>
      <c r="AK6967" s="23">
        <v>0</v>
      </c>
      <c r="AL6967" s="11"/>
      <c r="AM6967" s="19">
        <v>0</v>
      </c>
      <c r="AN6967" s="19" t="e">
        <v>#N/A</v>
      </c>
      <c r="AO6967" s="14"/>
      <c r="AP6967" s="14" t="e">
        <v>#N/A</v>
      </c>
      <c r="AQ6967" s="12">
        <v>1E-4</v>
      </c>
      <c r="AS6967" s="26"/>
    </row>
    <row r="6968" spans="1:45" s="19" customFormat="1" x14ac:dyDescent="0.2">
      <c r="A6968" s="2">
        <v>5724</v>
      </c>
      <c r="B6968" s="13">
        <v>1</v>
      </c>
      <c r="C6968" s="17" t="s">
        <v>52</v>
      </c>
      <c r="D6968" s="17">
        <v>3007</v>
      </c>
      <c r="E6968" s="17">
        <v>54</v>
      </c>
      <c r="F6968" s="17">
        <v>2075</v>
      </c>
      <c r="G6968" s="13">
        <v>2</v>
      </c>
      <c r="H6968" s="17">
        <v>0</v>
      </c>
      <c r="I6968" s="17">
        <v>0</v>
      </c>
      <c r="J6968" s="17">
        <v>64</v>
      </c>
      <c r="K6968" s="10"/>
      <c r="L6968" s="17"/>
      <c r="M6968" s="15"/>
      <c r="N6968" s="18">
        <v>64</v>
      </c>
      <c r="O6968" s="14"/>
      <c r="P6968" s="17">
        <v>4</v>
      </c>
      <c r="Q6968" s="19">
        <v>64</v>
      </c>
      <c r="R6968" s="14">
        <v>250</v>
      </c>
      <c r="S6968" s="19">
        <v>16000</v>
      </c>
      <c r="T6968" s="17"/>
      <c r="U6968" s="17"/>
      <c r="V6968" s="17"/>
      <c r="W6968" s="4"/>
      <c r="X6968" s="17"/>
      <c r="Y6968" s="4"/>
      <c r="Z6968" s="17"/>
      <c r="AA6968" s="17"/>
      <c r="AB6968" s="17"/>
      <c r="AC6968" s="14"/>
      <c r="AD6968" s="14"/>
      <c r="AE6968" s="17"/>
      <c r="AF6968" s="14"/>
      <c r="AG6968" s="54"/>
      <c r="AH6968" s="11"/>
      <c r="AI6968" s="14"/>
      <c r="AJ6968" s="19">
        <v>0</v>
      </c>
      <c r="AK6968" s="23">
        <v>0</v>
      </c>
      <c r="AL6968" s="11"/>
      <c r="AM6968" s="19">
        <v>0</v>
      </c>
      <c r="AN6968" s="19">
        <v>16000</v>
      </c>
      <c r="AO6968" s="14"/>
      <c r="AP6968" s="14">
        <v>16000</v>
      </c>
      <c r="AQ6968" s="12">
        <v>3.0000000000000001E-3</v>
      </c>
      <c r="AS6968" s="26"/>
    </row>
    <row r="6969" spans="1:45" s="19" customFormat="1" x14ac:dyDescent="0.2">
      <c r="A6969" s="2">
        <f>+A6968+1</f>
        <v>5725</v>
      </c>
      <c r="B6969" s="13">
        <v>1</v>
      </c>
      <c r="C6969" s="17" t="s">
        <v>52</v>
      </c>
      <c r="D6969" s="17">
        <v>3014</v>
      </c>
      <c r="E6969" s="17">
        <v>47</v>
      </c>
      <c r="F6969" s="17">
        <v>2082</v>
      </c>
      <c r="G6969" s="13">
        <v>2</v>
      </c>
      <c r="H6969" s="17">
        <v>4</v>
      </c>
      <c r="I6969" s="17">
        <v>3</v>
      </c>
      <c r="J6969" s="17">
        <v>15</v>
      </c>
      <c r="K6969" s="10">
        <v>1915</v>
      </c>
      <c r="L6969" s="17"/>
      <c r="M6969" s="15"/>
      <c r="N6969" s="18"/>
      <c r="O6969" s="14"/>
      <c r="P6969" s="17">
        <v>1</v>
      </c>
      <c r="Q6969" s="19">
        <v>1915</v>
      </c>
      <c r="R6969" s="14">
        <v>160</v>
      </c>
      <c r="S6969" s="19">
        <v>306400</v>
      </c>
      <c r="T6969" s="17"/>
      <c r="U6969" s="17"/>
      <c r="V6969" s="17"/>
      <c r="W6969" s="4"/>
      <c r="X6969" s="17"/>
      <c r="Y6969" s="4"/>
      <c r="Z6969" s="17"/>
      <c r="AA6969" s="17"/>
      <c r="AB6969" s="17"/>
      <c r="AC6969" s="14"/>
      <c r="AD6969" s="14"/>
      <c r="AE6969" s="17"/>
      <c r="AF6969" s="14"/>
      <c r="AG6969" s="54"/>
      <c r="AH6969" s="11"/>
      <c r="AI6969" s="14"/>
      <c r="AJ6969" s="19">
        <v>0</v>
      </c>
      <c r="AK6969" s="23">
        <v>0</v>
      </c>
      <c r="AL6969" s="11"/>
      <c r="AM6969" s="19">
        <v>0</v>
      </c>
      <c r="AN6969" s="19">
        <v>306400</v>
      </c>
      <c r="AO6969" s="14"/>
      <c r="AP6969" s="14">
        <v>306400</v>
      </c>
      <c r="AQ6969" s="12"/>
      <c r="AS6969" s="26"/>
    </row>
    <row r="6970" spans="1:45" s="19" customFormat="1" x14ac:dyDescent="0.2">
      <c r="A6970" s="122">
        <f t="shared" ref="A6970:A6976" si="703">+A6969+1</f>
        <v>5726</v>
      </c>
      <c r="B6970" s="13">
        <v>1</v>
      </c>
      <c r="C6970" s="17" t="s">
        <v>52</v>
      </c>
      <c r="D6970" s="17">
        <v>24461</v>
      </c>
      <c r="E6970" s="17">
        <v>19</v>
      </c>
      <c r="F6970" s="17">
        <v>4848</v>
      </c>
      <c r="G6970" s="13">
        <v>4</v>
      </c>
      <c r="H6970" s="17">
        <v>16</v>
      </c>
      <c r="I6970" s="17">
        <v>1</v>
      </c>
      <c r="J6970" s="17">
        <v>73</v>
      </c>
      <c r="K6970" s="10">
        <v>6573</v>
      </c>
      <c r="L6970" s="17"/>
      <c r="M6970" s="15"/>
      <c r="N6970" s="18"/>
      <c r="O6970" s="14"/>
      <c r="P6970" s="17">
        <v>1</v>
      </c>
      <c r="Q6970" s="19">
        <v>6573</v>
      </c>
      <c r="R6970" s="14">
        <v>160</v>
      </c>
      <c r="S6970" s="19">
        <v>1051680</v>
      </c>
      <c r="T6970" s="17"/>
      <c r="U6970" s="17"/>
      <c r="V6970" s="17"/>
      <c r="W6970" s="4"/>
      <c r="X6970" s="17"/>
      <c r="Y6970" s="4"/>
      <c r="Z6970" s="17"/>
      <c r="AA6970" s="17"/>
      <c r="AB6970" s="17"/>
      <c r="AC6970" s="14"/>
      <c r="AD6970" s="14"/>
      <c r="AE6970" s="17"/>
      <c r="AF6970" s="14"/>
      <c r="AG6970" s="54"/>
      <c r="AH6970" s="11"/>
      <c r="AI6970" s="14"/>
      <c r="AJ6970" s="19">
        <v>0</v>
      </c>
      <c r="AK6970" s="23">
        <v>0</v>
      </c>
      <c r="AL6970" s="11"/>
      <c r="AM6970" s="19">
        <v>0</v>
      </c>
      <c r="AN6970" s="19">
        <v>1051680</v>
      </c>
      <c r="AO6970" s="14"/>
      <c r="AP6970" s="14">
        <v>1051680</v>
      </c>
      <c r="AQ6970" s="12"/>
      <c r="AS6970" s="26"/>
    </row>
    <row r="6971" spans="1:45" s="19" customFormat="1" x14ac:dyDescent="0.2">
      <c r="A6971" s="122">
        <f t="shared" si="703"/>
        <v>5727</v>
      </c>
      <c r="B6971" s="13">
        <v>2</v>
      </c>
      <c r="C6971" s="17" t="s">
        <v>52</v>
      </c>
      <c r="D6971" s="17">
        <v>24462</v>
      </c>
      <c r="E6971" s="17">
        <v>20</v>
      </c>
      <c r="F6971" s="17">
        <v>4849</v>
      </c>
      <c r="G6971" s="13">
        <v>4</v>
      </c>
      <c r="H6971" s="17">
        <v>13</v>
      </c>
      <c r="I6971" s="17">
        <v>0</v>
      </c>
      <c r="J6971" s="17">
        <v>44</v>
      </c>
      <c r="K6971" s="10">
        <v>5244</v>
      </c>
      <c r="L6971" s="17"/>
      <c r="M6971" s="15"/>
      <c r="N6971" s="18"/>
      <c r="O6971" s="14"/>
      <c r="P6971" s="17">
        <v>1</v>
      </c>
      <c r="Q6971" s="19">
        <v>5244</v>
      </c>
      <c r="R6971" s="14">
        <v>160</v>
      </c>
      <c r="S6971" s="19">
        <v>839040</v>
      </c>
      <c r="T6971" s="17"/>
      <c r="U6971" s="17"/>
      <c r="V6971" s="17"/>
      <c r="W6971" s="4"/>
      <c r="X6971" s="17"/>
      <c r="Y6971" s="4"/>
      <c r="Z6971" s="17"/>
      <c r="AA6971" s="17"/>
      <c r="AB6971" s="17"/>
      <c r="AC6971" s="14"/>
      <c r="AD6971" s="14"/>
      <c r="AE6971" s="17"/>
      <c r="AF6971" s="14"/>
      <c r="AG6971" s="54"/>
      <c r="AH6971" s="11"/>
      <c r="AI6971" s="14"/>
      <c r="AJ6971" s="19">
        <v>0</v>
      </c>
      <c r="AK6971" s="23">
        <v>0</v>
      </c>
      <c r="AL6971" s="11"/>
      <c r="AM6971" s="19">
        <v>0</v>
      </c>
      <c r="AN6971" s="19">
        <v>839040</v>
      </c>
      <c r="AO6971" s="14"/>
      <c r="AP6971" s="14">
        <v>839040</v>
      </c>
      <c r="AQ6971" s="12"/>
      <c r="AS6971" s="26"/>
    </row>
    <row r="6972" spans="1:45" s="19" customFormat="1" x14ac:dyDescent="0.2">
      <c r="A6972" s="122">
        <f t="shared" si="703"/>
        <v>5728</v>
      </c>
      <c r="B6972" s="13">
        <v>1</v>
      </c>
      <c r="C6972" s="17" t="s">
        <v>69</v>
      </c>
      <c r="D6972" s="17"/>
      <c r="E6972" s="17">
        <v>1469</v>
      </c>
      <c r="F6972" s="17">
        <v>1</v>
      </c>
      <c r="G6972" s="13">
        <v>2</v>
      </c>
      <c r="H6972" s="17">
        <v>9</v>
      </c>
      <c r="I6972" s="17">
        <v>1</v>
      </c>
      <c r="J6972" s="17">
        <v>21</v>
      </c>
      <c r="K6972" s="10">
        <v>3721</v>
      </c>
      <c r="L6972" s="17"/>
      <c r="M6972" s="15"/>
      <c r="N6972" s="18"/>
      <c r="O6972" s="14"/>
      <c r="P6972" s="17">
        <v>1</v>
      </c>
      <c r="Q6972" s="19">
        <v>3721</v>
      </c>
      <c r="R6972" s="14">
        <v>200</v>
      </c>
      <c r="S6972" s="19">
        <v>744200</v>
      </c>
      <c r="T6972" s="17"/>
      <c r="U6972" s="17"/>
      <c r="V6972" s="17"/>
      <c r="W6972" s="4"/>
      <c r="X6972" s="17"/>
      <c r="Y6972" s="4"/>
      <c r="Z6972" s="17"/>
      <c r="AA6972" s="17"/>
      <c r="AB6972" s="17"/>
      <c r="AC6972" s="14"/>
      <c r="AD6972" s="14"/>
      <c r="AE6972" s="17"/>
      <c r="AF6972" s="14"/>
      <c r="AG6972" s="54"/>
      <c r="AH6972" s="11"/>
      <c r="AI6972" s="14"/>
      <c r="AJ6972" s="19">
        <v>0</v>
      </c>
      <c r="AK6972" s="23">
        <v>0</v>
      </c>
      <c r="AL6972" s="11"/>
      <c r="AM6972" s="19">
        <v>0</v>
      </c>
      <c r="AN6972" s="19">
        <v>744200</v>
      </c>
      <c r="AO6972" s="14"/>
      <c r="AP6972" s="14">
        <v>744200</v>
      </c>
      <c r="AQ6972" s="12">
        <v>1E-4</v>
      </c>
      <c r="AS6972" s="26"/>
    </row>
    <row r="6973" spans="1:45" s="19" customFormat="1" x14ac:dyDescent="0.2">
      <c r="A6973" s="122">
        <f t="shared" si="703"/>
        <v>5729</v>
      </c>
      <c r="B6973" s="13">
        <v>2</v>
      </c>
      <c r="C6973" s="17" t="s">
        <v>69</v>
      </c>
      <c r="D6973" s="17"/>
      <c r="E6973" s="17">
        <v>1469</v>
      </c>
      <c r="F6973" s="17">
        <v>19</v>
      </c>
      <c r="G6973" s="13">
        <v>2</v>
      </c>
      <c r="H6973" s="17">
        <v>10</v>
      </c>
      <c r="I6973" s="17">
        <v>3</v>
      </c>
      <c r="J6973" s="17">
        <v>63</v>
      </c>
      <c r="K6973" s="10">
        <v>4363</v>
      </c>
      <c r="L6973" s="17"/>
      <c r="M6973" s="15"/>
      <c r="N6973" s="18"/>
      <c r="O6973" s="14"/>
      <c r="P6973" s="17">
        <v>1</v>
      </c>
      <c r="Q6973" s="19">
        <v>4363</v>
      </c>
      <c r="R6973" s="14">
        <v>160</v>
      </c>
      <c r="S6973" s="19">
        <v>698080</v>
      </c>
      <c r="T6973" s="17"/>
      <c r="U6973" s="17"/>
      <c r="V6973" s="17"/>
      <c r="W6973" s="4"/>
      <c r="X6973" s="17"/>
      <c r="Y6973" s="4"/>
      <c r="Z6973" s="17"/>
      <c r="AA6973" s="17"/>
      <c r="AB6973" s="17"/>
      <c r="AC6973" s="14"/>
      <c r="AD6973" s="14"/>
      <c r="AE6973" s="17"/>
      <c r="AF6973" s="14"/>
      <c r="AG6973" s="54"/>
      <c r="AH6973" s="11"/>
      <c r="AI6973" s="14"/>
      <c r="AJ6973" s="19">
        <v>0</v>
      </c>
      <c r="AK6973" s="23">
        <v>0</v>
      </c>
      <c r="AL6973" s="11"/>
      <c r="AM6973" s="19">
        <v>0</v>
      </c>
      <c r="AN6973" s="19">
        <v>698080</v>
      </c>
      <c r="AO6973" s="14"/>
      <c r="AP6973" s="14">
        <v>698080</v>
      </c>
      <c r="AQ6973" s="12">
        <v>1E-4</v>
      </c>
      <c r="AS6973" s="26"/>
    </row>
    <row r="6974" spans="1:45" s="19" customFormat="1" x14ac:dyDescent="0.2">
      <c r="A6974" s="122">
        <f t="shared" si="703"/>
        <v>5730</v>
      </c>
      <c r="B6974" s="13">
        <v>1</v>
      </c>
      <c r="C6974" s="17" t="s">
        <v>52</v>
      </c>
      <c r="D6974" s="17">
        <v>2097</v>
      </c>
      <c r="E6974" s="17">
        <v>55</v>
      </c>
      <c r="F6974" s="17">
        <v>1590</v>
      </c>
      <c r="G6974" s="13"/>
      <c r="H6974" s="17">
        <v>0</v>
      </c>
      <c r="I6974" s="17">
        <v>3</v>
      </c>
      <c r="J6974" s="17">
        <v>0</v>
      </c>
      <c r="K6974" s="10">
        <v>300</v>
      </c>
      <c r="L6974" s="17"/>
      <c r="M6974" s="15"/>
      <c r="N6974" s="18"/>
      <c r="O6974" s="14"/>
      <c r="P6974" s="17">
        <v>1</v>
      </c>
      <c r="Q6974" s="19">
        <v>300</v>
      </c>
      <c r="R6974" s="14">
        <v>160</v>
      </c>
      <c r="S6974" s="19">
        <v>48000</v>
      </c>
      <c r="T6974" s="17"/>
      <c r="U6974" s="17"/>
      <c r="V6974" s="17"/>
      <c r="W6974" s="4"/>
      <c r="X6974" s="17"/>
      <c r="Y6974" s="4"/>
      <c r="Z6974" s="17"/>
      <c r="AA6974" s="17"/>
      <c r="AB6974" s="17"/>
      <c r="AC6974" s="14"/>
      <c r="AD6974" s="14"/>
      <c r="AE6974" s="17"/>
      <c r="AF6974" s="14"/>
      <c r="AG6974" s="54"/>
      <c r="AH6974" s="11"/>
      <c r="AI6974" s="14"/>
      <c r="AJ6974" s="19">
        <v>0</v>
      </c>
      <c r="AK6974" s="23">
        <v>0</v>
      </c>
      <c r="AL6974" s="11"/>
      <c r="AM6974" s="19">
        <v>0</v>
      </c>
      <c r="AN6974" s="19">
        <v>48000</v>
      </c>
      <c r="AO6974" s="14"/>
      <c r="AP6974" s="14">
        <v>48000</v>
      </c>
      <c r="AQ6974" s="12"/>
      <c r="AS6974" s="26"/>
    </row>
    <row r="6975" spans="1:45" s="19" customFormat="1" x14ac:dyDescent="0.2">
      <c r="A6975" s="122">
        <f t="shared" si="703"/>
        <v>5731</v>
      </c>
      <c r="B6975" s="13">
        <v>1</v>
      </c>
      <c r="C6975" s="17" t="s">
        <v>65</v>
      </c>
      <c r="D6975" s="17">
        <v>1854</v>
      </c>
      <c r="E6975" s="17">
        <v>111</v>
      </c>
      <c r="F6975" s="17"/>
      <c r="G6975" s="13"/>
      <c r="H6975" s="17">
        <v>16</v>
      </c>
      <c r="I6975" s="17">
        <v>2</v>
      </c>
      <c r="J6975" s="17">
        <v>80</v>
      </c>
      <c r="K6975" s="10">
        <v>6680</v>
      </c>
      <c r="L6975" s="17"/>
      <c r="M6975" s="15"/>
      <c r="N6975" s="18"/>
      <c r="O6975" s="14"/>
      <c r="P6975" s="17">
        <v>1</v>
      </c>
      <c r="Q6975" s="19">
        <v>6680</v>
      </c>
      <c r="R6975" s="14">
        <v>160</v>
      </c>
      <c r="S6975" s="19">
        <v>1068800</v>
      </c>
      <c r="T6975" s="17"/>
      <c r="U6975" s="17"/>
      <c r="V6975" s="17"/>
      <c r="W6975" s="4"/>
      <c r="X6975" s="17"/>
      <c r="Y6975" s="4"/>
      <c r="Z6975" s="17"/>
      <c r="AA6975" s="17"/>
      <c r="AB6975" s="17"/>
      <c r="AC6975" s="14"/>
      <c r="AD6975" s="14"/>
      <c r="AE6975" s="17"/>
      <c r="AF6975" s="14"/>
      <c r="AG6975" s="54"/>
      <c r="AH6975" s="11"/>
      <c r="AI6975" s="14"/>
      <c r="AJ6975" s="19">
        <v>0</v>
      </c>
      <c r="AK6975" s="23">
        <v>0</v>
      </c>
      <c r="AL6975" s="11"/>
      <c r="AM6975" s="19">
        <v>0</v>
      </c>
      <c r="AN6975" s="19">
        <v>1068800</v>
      </c>
      <c r="AO6975" s="14"/>
      <c r="AP6975" s="14">
        <v>1068800</v>
      </c>
      <c r="AQ6975" s="12">
        <v>1E-4</v>
      </c>
      <c r="AS6975" s="26"/>
    </row>
    <row r="6976" spans="1:45" s="19" customFormat="1" x14ac:dyDescent="0.2">
      <c r="A6976" s="122">
        <f t="shared" si="703"/>
        <v>5732</v>
      </c>
      <c r="B6976" s="13">
        <v>1</v>
      </c>
      <c r="C6976" s="17" t="s">
        <v>52</v>
      </c>
      <c r="D6976" s="17">
        <v>30962</v>
      </c>
      <c r="E6976" s="17">
        <v>64</v>
      </c>
      <c r="F6976" s="17">
        <v>5914</v>
      </c>
      <c r="G6976" s="13">
        <v>2</v>
      </c>
      <c r="H6976" s="17">
        <v>15</v>
      </c>
      <c r="I6976" s="17">
        <v>2</v>
      </c>
      <c r="J6976" s="17">
        <v>46.06</v>
      </c>
      <c r="K6976" s="10">
        <v>6246</v>
      </c>
      <c r="L6976" s="17"/>
      <c r="M6976" s="15"/>
      <c r="N6976" s="18"/>
      <c r="O6976" s="14"/>
      <c r="P6976" s="17">
        <v>1</v>
      </c>
      <c r="Q6976" s="19">
        <v>6246.06</v>
      </c>
      <c r="R6976" s="14">
        <v>200</v>
      </c>
      <c r="S6976" s="19">
        <v>1249212</v>
      </c>
      <c r="T6976" s="17"/>
      <c r="U6976" s="17"/>
      <c r="V6976" s="17"/>
      <c r="W6976" s="4"/>
      <c r="X6976" s="17"/>
      <c r="Y6976" s="4"/>
      <c r="Z6976" s="17"/>
      <c r="AA6976" s="17"/>
      <c r="AB6976" s="17"/>
      <c r="AC6976" s="14"/>
      <c r="AD6976" s="14"/>
      <c r="AE6976" s="17"/>
      <c r="AF6976" s="14"/>
      <c r="AG6976" s="54"/>
      <c r="AH6976" s="11"/>
      <c r="AI6976" s="14"/>
      <c r="AJ6976" s="19">
        <v>0</v>
      </c>
      <c r="AK6976" s="23">
        <v>0</v>
      </c>
      <c r="AL6976" s="11"/>
      <c r="AM6976" s="19">
        <v>0</v>
      </c>
      <c r="AN6976" s="19">
        <v>1249212</v>
      </c>
      <c r="AO6976" s="14"/>
      <c r="AP6976" s="14">
        <v>1249212</v>
      </c>
      <c r="AQ6976" s="12"/>
      <c r="AS6976" s="26"/>
    </row>
    <row r="6977" spans="1:45" x14ac:dyDescent="0.2">
      <c r="B6977" s="13">
        <v>2</v>
      </c>
      <c r="C6977" s="17" t="s">
        <v>97</v>
      </c>
      <c r="D6977" s="17">
        <v>324</v>
      </c>
      <c r="G6977" s="13">
        <v>2</v>
      </c>
      <c r="H6977" s="17">
        <v>15</v>
      </c>
      <c r="I6977" s="17">
        <v>0</v>
      </c>
      <c r="J6977" s="17">
        <v>0</v>
      </c>
      <c r="K6977" s="10">
        <v>6000</v>
      </c>
      <c r="P6977" s="17">
        <v>1</v>
      </c>
      <c r="Q6977" s="19">
        <v>6000</v>
      </c>
      <c r="R6977" s="14" t="e">
        <v>#N/A</v>
      </c>
      <c r="S6977" s="19" t="e">
        <v>#N/A</v>
      </c>
      <c r="AJ6977" s="19">
        <v>0</v>
      </c>
      <c r="AK6977" s="23">
        <v>0</v>
      </c>
      <c r="AM6977" s="19">
        <v>0</v>
      </c>
      <c r="AN6977" s="19" t="e">
        <v>#N/A</v>
      </c>
      <c r="AP6977" s="14" t="e">
        <v>#N/A</v>
      </c>
    </row>
    <row r="6978" spans="1:45" x14ac:dyDescent="0.2">
      <c r="A6978" s="2">
        <v>5733</v>
      </c>
      <c r="B6978" s="13">
        <v>3</v>
      </c>
      <c r="C6978" s="17" t="s">
        <v>65</v>
      </c>
      <c r="D6978" s="17">
        <v>864</v>
      </c>
      <c r="E6978" s="17">
        <v>135</v>
      </c>
      <c r="H6978" s="17">
        <v>4</v>
      </c>
      <c r="I6978" s="17">
        <v>3</v>
      </c>
      <c r="J6978" s="17">
        <v>80</v>
      </c>
      <c r="K6978" s="10">
        <v>1980</v>
      </c>
      <c r="P6978" s="17">
        <v>1</v>
      </c>
      <c r="Q6978" s="19">
        <v>1980</v>
      </c>
      <c r="R6978" s="14">
        <v>160</v>
      </c>
      <c r="S6978" s="19">
        <v>316800</v>
      </c>
      <c r="AE6978" s="17" t="s">
        <v>94</v>
      </c>
      <c r="AJ6978" s="19">
        <v>0</v>
      </c>
      <c r="AK6978" s="23">
        <v>0</v>
      </c>
      <c r="AM6978" s="19">
        <v>0</v>
      </c>
      <c r="AN6978" s="19">
        <v>316800</v>
      </c>
      <c r="AP6978" s="14">
        <v>316800</v>
      </c>
    </row>
    <row r="6979" spans="1:45" x14ac:dyDescent="0.2">
      <c r="A6979" s="2">
        <f>+A6978+1</f>
        <v>5734</v>
      </c>
      <c r="B6979" s="13">
        <v>1</v>
      </c>
      <c r="C6979" s="17" t="s">
        <v>52</v>
      </c>
      <c r="D6979" s="17">
        <v>4787</v>
      </c>
      <c r="E6979" s="17">
        <v>74</v>
      </c>
      <c r="F6979" s="17">
        <v>2657</v>
      </c>
      <c r="G6979" s="13">
        <v>7</v>
      </c>
      <c r="H6979" s="17">
        <v>40</v>
      </c>
      <c r="I6979" s="17">
        <v>3</v>
      </c>
      <c r="J6979" s="17">
        <v>68</v>
      </c>
      <c r="K6979" s="10">
        <v>16368</v>
      </c>
      <c r="P6979" s="17">
        <v>1</v>
      </c>
      <c r="Q6979" s="19">
        <v>16368</v>
      </c>
      <c r="R6979" s="14">
        <v>200</v>
      </c>
      <c r="S6979" s="19">
        <v>3273600</v>
      </c>
      <c r="AJ6979" s="19">
        <v>0</v>
      </c>
      <c r="AK6979" s="23">
        <v>0</v>
      </c>
      <c r="AM6979" s="19">
        <v>0</v>
      </c>
      <c r="AN6979" s="19">
        <v>3273600</v>
      </c>
      <c r="AP6979" s="14">
        <v>3273600</v>
      </c>
    </row>
    <row r="6980" spans="1:45" x14ac:dyDescent="0.2">
      <c r="A6980" s="122">
        <f t="shared" ref="A6980:A6985" si="704">+A6979+1</f>
        <v>5735</v>
      </c>
      <c r="B6980" s="13">
        <v>1</v>
      </c>
      <c r="C6980" s="17" t="s">
        <v>52</v>
      </c>
      <c r="D6980" s="17">
        <v>4785</v>
      </c>
      <c r="E6980" s="17">
        <v>95</v>
      </c>
      <c r="F6980" s="17">
        <v>2655</v>
      </c>
      <c r="G6980" s="13">
        <v>7</v>
      </c>
      <c r="H6980" s="17">
        <v>20</v>
      </c>
      <c r="I6980" s="17">
        <v>2</v>
      </c>
      <c r="J6980" s="17">
        <v>80</v>
      </c>
      <c r="K6980" s="10">
        <v>8280</v>
      </c>
      <c r="P6980" s="17">
        <v>1</v>
      </c>
      <c r="Q6980" s="19">
        <v>8280</v>
      </c>
      <c r="R6980" s="14">
        <v>160</v>
      </c>
      <c r="S6980" s="19">
        <v>1324800</v>
      </c>
      <c r="AJ6980" s="19">
        <v>0</v>
      </c>
      <c r="AK6980" s="23">
        <v>0</v>
      </c>
      <c r="AM6980" s="19">
        <v>0</v>
      </c>
      <c r="AN6980" s="19">
        <v>1324800</v>
      </c>
      <c r="AP6980" s="14">
        <v>1324800</v>
      </c>
    </row>
    <row r="6981" spans="1:45" x14ac:dyDescent="0.2">
      <c r="A6981" s="122">
        <f t="shared" si="704"/>
        <v>5736</v>
      </c>
      <c r="B6981" s="13">
        <v>1</v>
      </c>
      <c r="C6981" s="17" t="s">
        <v>52</v>
      </c>
      <c r="D6981" s="17">
        <v>4786</v>
      </c>
      <c r="E6981" s="17">
        <v>76</v>
      </c>
      <c r="F6981" s="17">
        <v>2656</v>
      </c>
      <c r="G6981" s="13">
        <v>7</v>
      </c>
      <c r="H6981" s="17">
        <v>28</v>
      </c>
      <c r="I6981" s="17">
        <v>2</v>
      </c>
      <c r="J6981" s="17">
        <v>4</v>
      </c>
      <c r="K6981" s="10">
        <v>11404</v>
      </c>
      <c r="P6981" s="17">
        <v>1</v>
      </c>
      <c r="Q6981" s="19">
        <v>11404</v>
      </c>
      <c r="R6981" s="14">
        <v>160</v>
      </c>
      <c r="S6981" s="19">
        <v>1824640</v>
      </c>
      <c r="AJ6981" s="19">
        <v>0</v>
      </c>
      <c r="AK6981" s="23">
        <v>0</v>
      </c>
      <c r="AM6981" s="19">
        <v>0</v>
      </c>
      <c r="AN6981" s="19">
        <v>1824640</v>
      </c>
      <c r="AP6981" s="14">
        <v>1824640</v>
      </c>
    </row>
    <row r="6982" spans="1:45" x14ac:dyDescent="0.2">
      <c r="A6982" s="122">
        <f t="shared" si="704"/>
        <v>5737</v>
      </c>
      <c r="B6982" s="13">
        <v>1</v>
      </c>
      <c r="C6982" s="17" t="s">
        <v>52</v>
      </c>
      <c r="D6982" s="17">
        <v>29934</v>
      </c>
      <c r="E6982" s="17">
        <v>166</v>
      </c>
      <c r="F6982" s="17">
        <v>5772</v>
      </c>
      <c r="G6982" s="13">
        <v>1</v>
      </c>
      <c r="H6982" s="17">
        <v>0</v>
      </c>
      <c r="I6982" s="17">
        <v>0</v>
      </c>
      <c r="J6982" s="17">
        <v>46</v>
      </c>
      <c r="N6982" s="18">
        <v>46</v>
      </c>
      <c r="P6982" s="17">
        <v>4</v>
      </c>
      <c r="Q6982" s="19">
        <v>46</v>
      </c>
      <c r="R6982" s="14">
        <v>250</v>
      </c>
      <c r="S6982" s="19">
        <v>11500</v>
      </c>
      <c r="AJ6982" s="19">
        <v>0</v>
      </c>
      <c r="AK6982" s="23">
        <v>0</v>
      </c>
      <c r="AM6982" s="19">
        <v>0</v>
      </c>
      <c r="AN6982" s="19">
        <v>11500</v>
      </c>
      <c r="AP6982" s="14">
        <v>11500</v>
      </c>
      <c r="AQ6982" s="12">
        <v>3.0000000000000001E-3</v>
      </c>
    </row>
    <row r="6983" spans="1:45" x14ac:dyDescent="0.2">
      <c r="A6983" s="122">
        <f t="shared" si="704"/>
        <v>5738</v>
      </c>
      <c r="B6983" s="13">
        <v>2</v>
      </c>
      <c r="C6983" s="17" t="s">
        <v>52</v>
      </c>
      <c r="D6983" s="17">
        <v>29900</v>
      </c>
      <c r="E6983" s="17">
        <v>192</v>
      </c>
      <c r="F6983" s="17">
        <v>5740</v>
      </c>
      <c r="G6983" s="13">
        <v>2</v>
      </c>
      <c r="H6983" s="17">
        <v>0</v>
      </c>
      <c r="I6983" s="17">
        <v>0</v>
      </c>
      <c r="J6983" s="17">
        <v>25</v>
      </c>
      <c r="N6983" s="18">
        <v>25</v>
      </c>
      <c r="P6983" s="17">
        <v>4</v>
      </c>
      <c r="Q6983" s="19">
        <v>25</v>
      </c>
      <c r="R6983" s="14">
        <v>1500</v>
      </c>
      <c r="S6983" s="19">
        <v>37500</v>
      </c>
      <c r="AJ6983" s="19">
        <v>0</v>
      </c>
      <c r="AK6983" s="23">
        <v>0</v>
      </c>
      <c r="AM6983" s="19">
        <v>0</v>
      </c>
      <c r="AN6983" s="19">
        <v>37500</v>
      </c>
      <c r="AP6983" s="14">
        <v>37500</v>
      </c>
      <c r="AQ6983" s="12">
        <v>3.0000000000000001E-3</v>
      </c>
    </row>
    <row r="6984" spans="1:45" x14ac:dyDescent="0.2">
      <c r="A6984" s="122">
        <f t="shared" si="704"/>
        <v>5739</v>
      </c>
      <c r="B6984" s="13">
        <v>3</v>
      </c>
      <c r="C6984" s="17" t="s">
        <v>52</v>
      </c>
      <c r="D6984" s="17">
        <v>20455</v>
      </c>
      <c r="E6984" s="17">
        <v>67</v>
      </c>
      <c r="F6984" s="17">
        <v>4621</v>
      </c>
      <c r="G6984" s="13">
        <v>6</v>
      </c>
      <c r="H6984" s="17">
        <v>0</v>
      </c>
      <c r="I6984" s="17">
        <v>1</v>
      </c>
      <c r="J6984" s="17">
        <v>10.09</v>
      </c>
      <c r="K6984" s="10" t="s">
        <v>717</v>
      </c>
      <c r="P6984" s="17">
        <v>1</v>
      </c>
      <c r="Q6984" s="19">
        <v>110.09</v>
      </c>
      <c r="R6984" s="14">
        <v>160</v>
      </c>
      <c r="S6984" s="19">
        <v>17614.400000000001</v>
      </c>
      <c r="AJ6984" s="19">
        <v>0</v>
      </c>
      <c r="AK6984" s="23">
        <v>0</v>
      </c>
      <c r="AM6984" s="19">
        <v>0</v>
      </c>
      <c r="AN6984" s="19">
        <v>17614.400000000001</v>
      </c>
      <c r="AP6984" s="14">
        <v>17614.400000000001</v>
      </c>
    </row>
    <row r="6985" spans="1:45" x14ac:dyDescent="0.2">
      <c r="A6985" s="122">
        <f t="shared" si="704"/>
        <v>5740</v>
      </c>
      <c r="B6985" s="13">
        <v>4</v>
      </c>
      <c r="C6985" s="17" t="s">
        <v>65</v>
      </c>
      <c r="D6985" s="17">
        <v>2723</v>
      </c>
      <c r="E6985" s="17">
        <v>50</v>
      </c>
      <c r="H6985" s="17">
        <v>0</v>
      </c>
      <c r="I6985" s="17">
        <v>1</v>
      </c>
      <c r="J6985" s="17">
        <v>23</v>
      </c>
      <c r="K6985" s="10" t="s">
        <v>718</v>
      </c>
      <c r="P6985" s="17">
        <v>1</v>
      </c>
      <c r="Q6985" s="19">
        <v>123</v>
      </c>
      <c r="R6985" s="14">
        <v>2000</v>
      </c>
      <c r="S6985" s="19">
        <v>246000</v>
      </c>
      <c r="AJ6985" s="19">
        <v>0</v>
      </c>
      <c r="AK6985" s="23">
        <v>0</v>
      </c>
      <c r="AM6985" s="19">
        <v>0</v>
      </c>
      <c r="AN6985" s="19">
        <v>246000</v>
      </c>
      <c r="AP6985" s="14">
        <v>246000</v>
      </c>
      <c r="AQ6985" s="12">
        <v>1E-4</v>
      </c>
    </row>
    <row r="6986" spans="1:45" x14ac:dyDescent="0.2">
      <c r="B6986" s="13">
        <v>1</v>
      </c>
      <c r="C6986" s="17" t="s">
        <v>65</v>
      </c>
      <c r="D6986" s="17">
        <v>3902</v>
      </c>
      <c r="E6986" s="17">
        <v>55</v>
      </c>
      <c r="H6986" s="17">
        <v>5</v>
      </c>
      <c r="I6986" s="17">
        <v>0</v>
      </c>
      <c r="J6986" s="17">
        <v>1</v>
      </c>
      <c r="K6986" s="10">
        <v>2001</v>
      </c>
      <c r="P6986" s="17">
        <v>1</v>
      </c>
      <c r="Q6986" s="19">
        <v>2001</v>
      </c>
      <c r="R6986" s="14" t="e">
        <v>#N/A</v>
      </c>
      <c r="S6986" s="19" t="e">
        <v>#N/A</v>
      </c>
      <c r="AJ6986" s="19">
        <v>0</v>
      </c>
      <c r="AK6986" s="23">
        <v>0</v>
      </c>
      <c r="AM6986" s="19">
        <v>0</v>
      </c>
      <c r="AN6986" s="19" t="e">
        <v>#N/A</v>
      </c>
      <c r="AP6986" s="14" t="e">
        <v>#N/A</v>
      </c>
    </row>
    <row r="6987" spans="1:45" x14ac:dyDescent="0.2">
      <c r="A6987" s="2">
        <v>5741</v>
      </c>
      <c r="B6987" s="13">
        <v>1</v>
      </c>
      <c r="C6987" s="17" t="s">
        <v>52</v>
      </c>
      <c r="D6987" s="17">
        <v>18234</v>
      </c>
      <c r="E6987" s="17">
        <v>29</v>
      </c>
      <c r="F6987" s="17">
        <v>4156</v>
      </c>
      <c r="G6987" s="13">
        <v>5</v>
      </c>
      <c r="H6987" s="17">
        <v>12</v>
      </c>
      <c r="I6987" s="17">
        <v>0</v>
      </c>
      <c r="J6987" s="17">
        <v>85</v>
      </c>
      <c r="K6987" s="10">
        <v>4885</v>
      </c>
      <c r="P6987" s="17">
        <v>1</v>
      </c>
      <c r="Q6987" s="19">
        <v>4885</v>
      </c>
      <c r="R6987" s="14">
        <v>160</v>
      </c>
      <c r="S6987" s="19">
        <v>781600</v>
      </c>
      <c r="AJ6987" s="19">
        <v>0</v>
      </c>
      <c r="AK6987" s="23">
        <v>0</v>
      </c>
      <c r="AM6987" s="19">
        <v>0</v>
      </c>
      <c r="AN6987" s="19">
        <v>781600</v>
      </c>
      <c r="AP6987" s="14">
        <v>781600</v>
      </c>
      <c r="AS6987" s="26">
        <v>67</v>
      </c>
    </row>
    <row r="6988" spans="1:45" x14ac:dyDescent="0.2">
      <c r="A6988" s="2">
        <f>+A6987+1</f>
        <v>5742</v>
      </c>
      <c r="B6988" s="13">
        <v>2</v>
      </c>
      <c r="C6988" s="17" t="s">
        <v>52</v>
      </c>
      <c r="D6988" s="17">
        <v>29748</v>
      </c>
      <c r="E6988" s="17">
        <v>70</v>
      </c>
      <c r="F6988" s="17">
        <v>5528</v>
      </c>
      <c r="G6988" s="13">
        <v>5</v>
      </c>
      <c r="H6988" s="17">
        <v>0</v>
      </c>
      <c r="I6988" s="17">
        <v>0</v>
      </c>
      <c r="J6988" s="17">
        <v>81</v>
      </c>
      <c r="N6988" s="18">
        <v>81</v>
      </c>
      <c r="P6988" s="17">
        <v>4</v>
      </c>
      <c r="Q6988" s="19">
        <v>81</v>
      </c>
      <c r="R6988" s="14">
        <v>1500</v>
      </c>
      <c r="S6988" s="19">
        <v>121500</v>
      </c>
      <c r="AJ6988" s="19">
        <v>0</v>
      </c>
      <c r="AK6988" s="23">
        <v>0</v>
      </c>
      <c r="AM6988" s="19">
        <v>0</v>
      </c>
      <c r="AN6988" s="19">
        <v>121500</v>
      </c>
      <c r="AP6988" s="14">
        <v>121500</v>
      </c>
      <c r="AQ6988" s="12">
        <v>3.0000000000000001E-3</v>
      </c>
    </row>
    <row r="6989" spans="1:45" x14ac:dyDescent="0.2">
      <c r="A6989" s="122">
        <f t="shared" ref="A6989:A6993" si="705">+A6988+1</f>
        <v>5743</v>
      </c>
      <c r="B6989" s="13">
        <v>3</v>
      </c>
      <c r="C6989" s="17" t="s">
        <v>52</v>
      </c>
      <c r="D6989" s="17">
        <v>20518</v>
      </c>
      <c r="E6989" s="17">
        <v>24</v>
      </c>
      <c r="F6989" s="17">
        <v>4555</v>
      </c>
      <c r="G6989" s="13">
        <v>6</v>
      </c>
      <c r="H6989" s="17">
        <v>0</v>
      </c>
      <c r="I6989" s="17">
        <v>0</v>
      </c>
      <c r="J6989" s="17">
        <v>65</v>
      </c>
      <c r="K6989" s="10">
        <v>65</v>
      </c>
      <c r="P6989" s="17">
        <v>1</v>
      </c>
      <c r="Q6989" s="19">
        <v>65</v>
      </c>
      <c r="R6989" s="14">
        <v>1500</v>
      </c>
      <c r="S6989" s="19">
        <v>97500</v>
      </c>
      <c r="AJ6989" s="19">
        <v>0</v>
      </c>
      <c r="AK6989" s="23">
        <v>0</v>
      </c>
      <c r="AM6989" s="19">
        <v>0</v>
      </c>
      <c r="AN6989" s="19">
        <v>97500</v>
      </c>
      <c r="AP6989" s="14">
        <v>97500</v>
      </c>
    </row>
    <row r="6990" spans="1:45" x14ac:dyDescent="0.2">
      <c r="A6990" s="122">
        <f t="shared" si="705"/>
        <v>5744</v>
      </c>
      <c r="B6990" s="13">
        <v>1</v>
      </c>
      <c r="C6990" s="17" t="s">
        <v>52</v>
      </c>
      <c r="D6990" s="17">
        <v>14791</v>
      </c>
      <c r="E6990" s="17">
        <v>20</v>
      </c>
      <c r="F6990" s="17">
        <v>3352</v>
      </c>
      <c r="G6990" s="13">
        <v>6</v>
      </c>
      <c r="H6990" s="17">
        <v>0</v>
      </c>
      <c r="I6990" s="17">
        <v>0</v>
      </c>
      <c r="J6990" s="17">
        <v>54</v>
      </c>
      <c r="K6990" s="10">
        <v>54</v>
      </c>
      <c r="P6990" s="17">
        <v>1</v>
      </c>
      <c r="Q6990" s="19">
        <v>54</v>
      </c>
      <c r="R6990" s="14">
        <v>1500</v>
      </c>
      <c r="S6990" s="19">
        <v>81000</v>
      </c>
      <c r="AJ6990" s="19">
        <v>0</v>
      </c>
      <c r="AK6990" s="23">
        <v>0</v>
      </c>
      <c r="AM6990" s="19">
        <v>0</v>
      </c>
      <c r="AN6990" s="19">
        <v>81000</v>
      </c>
      <c r="AP6990" s="14">
        <v>81000</v>
      </c>
    </row>
    <row r="6991" spans="1:45" x14ac:dyDescent="0.2">
      <c r="A6991" s="122">
        <f t="shared" si="705"/>
        <v>5745</v>
      </c>
      <c r="B6991" s="13">
        <v>1</v>
      </c>
      <c r="C6991" s="17" t="s">
        <v>52</v>
      </c>
      <c r="D6991" s="17">
        <v>1674</v>
      </c>
      <c r="E6991" s="17">
        <v>45</v>
      </c>
      <c r="F6991" s="17">
        <v>1372</v>
      </c>
      <c r="G6991" s="13">
        <v>2</v>
      </c>
      <c r="H6991" s="17">
        <v>0</v>
      </c>
      <c r="I6991" s="17">
        <v>0</v>
      </c>
      <c r="J6991" s="17">
        <v>34.06</v>
      </c>
      <c r="L6991" s="17" t="s">
        <v>663</v>
      </c>
      <c r="P6991" s="17">
        <v>2</v>
      </c>
      <c r="Q6991" s="19">
        <v>34.06</v>
      </c>
      <c r="R6991" s="14">
        <v>160</v>
      </c>
      <c r="S6991" s="19">
        <v>5449.6</v>
      </c>
      <c r="AD6991" s="14" t="s">
        <v>382</v>
      </c>
      <c r="AJ6991" s="19">
        <v>0</v>
      </c>
      <c r="AK6991" s="23">
        <v>0</v>
      </c>
      <c r="AM6991" s="19">
        <v>0</v>
      </c>
      <c r="AN6991" s="19">
        <v>5449.6</v>
      </c>
      <c r="AP6991" s="14">
        <v>5449.6</v>
      </c>
    </row>
    <row r="6992" spans="1:45" ht="63" x14ac:dyDescent="0.2">
      <c r="A6992" s="122">
        <f t="shared" si="705"/>
        <v>5746</v>
      </c>
      <c r="B6992" s="13">
        <v>2</v>
      </c>
      <c r="C6992" s="17" t="s">
        <v>52</v>
      </c>
      <c r="D6992" s="17">
        <v>1733</v>
      </c>
      <c r="E6992" s="17">
        <v>43</v>
      </c>
      <c r="F6992" s="17">
        <v>1370</v>
      </c>
      <c r="G6992" s="13">
        <v>2</v>
      </c>
      <c r="H6992" s="17">
        <v>0</v>
      </c>
      <c r="I6992" s="17">
        <v>0</v>
      </c>
      <c r="J6992" s="17">
        <v>57.05</v>
      </c>
      <c r="L6992" s="17">
        <v>23.75</v>
      </c>
      <c r="P6992" s="17">
        <v>2</v>
      </c>
      <c r="Q6992" s="19">
        <v>57.05</v>
      </c>
      <c r="R6992" s="14">
        <v>4500</v>
      </c>
      <c r="S6992" s="19">
        <v>256725</v>
      </c>
      <c r="T6992" s="17">
        <v>1</v>
      </c>
      <c r="U6992" s="17" t="s">
        <v>57</v>
      </c>
      <c r="V6992" s="17" t="s">
        <v>56</v>
      </c>
      <c r="W6992" s="4" t="s">
        <v>669</v>
      </c>
      <c r="Y6992" s="4" t="s">
        <v>669</v>
      </c>
      <c r="AB6992" s="17">
        <v>24</v>
      </c>
      <c r="AJ6992" s="19">
        <v>0</v>
      </c>
      <c r="AK6992" s="23">
        <v>24</v>
      </c>
      <c r="AM6992" s="19">
        <v>0</v>
      </c>
      <c r="AN6992" s="19">
        <v>256725</v>
      </c>
      <c r="AP6992" s="14">
        <v>256725</v>
      </c>
    </row>
    <row r="6993" spans="1:45" ht="42" x14ac:dyDescent="0.2">
      <c r="A6993" s="122">
        <f t="shared" si="705"/>
        <v>5747</v>
      </c>
      <c r="B6993" s="13">
        <v>1</v>
      </c>
      <c r="C6993" s="17" t="s">
        <v>52</v>
      </c>
      <c r="D6993" s="17">
        <v>1127</v>
      </c>
      <c r="E6993" s="17">
        <v>50</v>
      </c>
      <c r="F6993" s="17">
        <v>707</v>
      </c>
      <c r="G6993" s="13">
        <v>1</v>
      </c>
      <c r="H6993" s="17">
        <v>0</v>
      </c>
      <c r="I6993" s="17">
        <v>0</v>
      </c>
      <c r="J6993" s="17">
        <v>47</v>
      </c>
      <c r="K6993" s="10">
        <v>35</v>
      </c>
      <c r="L6993" s="17">
        <v>22</v>
      </c>
      <c r="P6993" s="17">
        <v>5</v>
      </c>
      <c r="Q6993" s="19">
        <v>47</v>
      </c>
      <c r="R6993" s="14">
        <v>250</v>
      </c>
      <c r="S6993" s="19">
        <v>11750</v>
      </c>
      <c r="T6993" s="17">
        <v>1</v>
      </c>
      <c r="V6993" s="17" t="s">
        <v>183</v>
      </c>
      <c r="W6993" s="4">
        <v>40</v>
      </c>
      <c r="Y6993" s="4">
        <v>40</v>
      </c>
      <c r="AB6993" s="17">
        <v>27</v>
      </c>
      <c r="AJ6993" s="19">
        <v>0</v>
      </c>
      <c r="AK6993" s="23">
        <v>27</v>
      </c>
      <c r="AM6993" s="19">
        <v>0</v>
      </c>
      <c r="AN6993" s="19">
        <v>11750</v>
      </c>
      <c r="AP6993" s="14">
        <v>11750</v>
      </c>
    </row>
    <row r="6994" spans="1:45" ht="42" x14ac:dyDescent="0.2">
      <c r="Q6994" s="19">
        <v>0</v>
      </c>
      <c r="R6994" s="14" t="e">
        <v>#N/A</v>
      </c>
      <c r="S6994" s="19" t="e">
        <v>#N/A</v>
      </c>
      <c r="T6994" s="17">
        <v>2</v>
      </c>
      <c r="V6994" s="17" t="s">
        <v>183</v>
      </c>
      <c r="W6994" s="4">
        <v>48</v>
      </c>
      <c r="Y6994" s="4">
        <v>48</v>
      </c>
      <c r="AB6994" s="17">
        <v>1</v>
      </c>
      <c r="AJ6994" s="19">
        <v>0</v>
      </c>
      <c r="AK6994" s="23">
        <v>1</v>
      </c>
      <c r="AM6994" s="19">
        <v>0</v>
      </c>
      <c r="AN6994" s="19" t="e">
        <v>#N/A</v>
      </c>
      <c r="AP6994" s="14" t="e">
        <v>#N/A</v>
      </c>
    </row>
    <row r="6995" spans="1:45" x14ac:dyDescent="0.2">
      <c r="A6995" s="2">
        <v>5748</v>
      </c>
      <c r="B6995" s="13">
        <v>1</v>
      </c>
      <c r="C6995" s="17" t="s">
        <v>52</v>
      </c>
      <c r="D6995" s="17">
        <v>11726</v>
      </c>
      <c r="E6995" s="17">
        <v>55</v>
      </c>
      <c r="F6995" s="17">
        <v>3198</v>
      </c>
      <c r="G6995" s="13">
        <v>6</v>
      </c>
      <c r="H6995" s="17">
        <v>0</v>
      </c>
      <c r="I6995" s="17">
        <v>1</v>
      </c>
      <c r="J6995" s="17">
        <v>21.03</v>
      </c>
      <c r="K6995" s="10" t="s">
        <v>719</v>
      </c>
      <c r="P6995" s="17">
        <v>1</v>
      </c>
      <c r="Q6995" s="19">
        <v>121.03</v>
      </c>
      <c r="R6995" s="14">
        <v>1500</v>
      </c>
      <c r="S6995" s="19">
        <v>181545</v>
      </c>
      <c r="AJ6995" s="19">
        <v>0</v>
      </c>
      <c r="AK6995" s="23">
        <v>0</v>
      </c>
      <c r="AM6995" s="19">
        <v>0</v>
      </c>
      <c r="AN6995" s="19">
        <v>181545</v>
      </c>
      <c r="AP6995" s="14">
        <v>181545</v>
      </c>
    </row>
    <row r="6996" spans="1:45" ht="63" x14ac:dyDescent="0.2">
      <c r="A6996" s="2">
        <v>5749</v>
      </c>
      <c r="B6996" s="13">
        <v>1</v>
      </c>
      <c r="C6996" s="17" t="s">
        <v>52</v>
      </c>
      <c r="D6996" s="17">
        <v>4913</v>
      </c>
      <c r="E6996" s="17">
        <v>53</v>
      </c>
      <c r="F6996" s="17">
        <v>2789</v>
      </c>
      <c r="G6996" s="13">
        <v>7</v>
      </c>
      <c r="H6996" s="17">
        <v>5</v>
      </c>
      <c r="I6996" s="17">
        <v>1</v>
      </c>
      <c r="J6996" s="17">
        <v>21</v>
      </c>
      <c r="K6996" s="10">
        <v>2115</v>
      </c>
      <c r="L6996" s="17">
        <v>6</v>
      </c>
      <c r="P6996" s="17">
        <v>5</v>
      </c>
      <c r="Q6996" s="19">
        <v>2121</v>
      </c>
      <c r="R6996" s="14">
        <v>160</v>
      </c>
      <c r="S6996" s="19">
        <v>339360</v>
      </c>
      <c r="T6996" s="17">
        <v>1</v>
      </c>
      <c r="V6996" s="17" t="s">
        <v>496</v>
      </c>
      <c r="W6996" s="4">
        <v>24</v>
      </c>
      <c r="Y6996" s="4">
        <v>24</v>
      </c>
      <c r="AB6996" s="17">
        <v>21</v>
      </c>
      <c r="AJ6996" s="19">
        <v>0</v>
      </c>
      <c r="AK6996" s="23">
        <v>21</v>
      </c>
      <c r="AM6996" s="19">
        <v>0</v>
      </c>
      <c r="AN6996" s="19">
        <v>339360</v>
      </c>
      <c r="AP6996" s="14">
        <v>339360</v>
      </c>
      <c r="AS6996" s="26">
        <v>16</v>
      </c>
    </row>
    <row r="6997" spans="1:45" ht="42" x14ac:dyDescent="0.2">
      <c r="A6997" s="2">
        <v>5750</v>
      </c>
      <c r="B6997" s="13">
        <v>1</v>
      </c>
      <c r="C6997" s="17" t="s">
        <v>52</v>
      </c>
      <c r="D6997" s="17">
        <v>896</v>
      </c>
      <c r="E6997" s="17">
        <v>71</v>
      </c>
      <c r="F6997" s="17">
        <v>191</v>
      </c>
      <c r="G6997" s="13">
        <v>1</v>
      </c>
      <c r="H6997" s="17">
        <v>0</v>
      </c>
      <c r="I6997" s="17">
        <v>0</v>
      </c>
      <c r="J6997" s="17">
        <v>67</v>
      </c>
      <c r="K6997" s="10">
        <v>61</v>
      </c>
      <c r="L6997" s="17">
        <v>6</v>
      </c>
      <c r="P6997" s="17">
        <v>5</v>
      </c>
      <c r="Q6997" s="19">
        <v>67</v>
      </c>
      <c r="R6997" s="14">
        <v>250</v>
      </c>
      <c r="S6997" s="19">
        <v>16750</v>
      </c>
      <c r="T6997" s="17">
        <v>1</v>
      </c>
      <c r="V6997" s="17" t="s">
        <v>183</v>
      </c>
      <c r="W6997" s="4">
        <v>24</v>
      </c>
      <c r="Y6997" s="4">
        <v>24</v>
      </c>
      <c r="AB6997" s="17">
        <v>11</v>
      </c>
      <c r="AJ6997" s="19">
        <v>0</v>
      </c>
      <c r="AK6997" s="23">
        <v>11</v>
      </c>
      <c r="AM6997" s="19">
        <v>0</v>
      </c>
      <c r="AN6997" s="19">
        <v>16750</v>
      </c>
      <c r="AP6997" s="14">
        <v>16750</v>
      </c>
    </row>
    <row r="6998" spans="1:45" x14ac:dyDescent="0.2">
      <c r="A6998" s="2">
        <f>+A6997+1</f>
        <v>5751</v>
      </c>
      <c r="B6998" s="13">
        <v>1</v>
      </c>
      <c r="C6998" s="17" t="s">
        <v>52</v>
      </c>
      <c r="D6998" s="17">
        <v>36257</v>
      </c>
      <c r="E6998" s="17">
        <v>107</v>
      </c>
      <c r="F6998" s="17">
        <v>7099</v>
      </c>
      <c r="G6998" s="13">
        <v>7</v>
      </c>
      <c r="H6998" s="17">
        <v>0</v>
      </c>
      <c r="I6998" s="17">
        <v>0</v>
      </c>
      <c r="J6998" s="17">
        <v>33</v>
      </c>
      <c r="K6998" s="10">
        <v>33</v>
      </c>
      <c r="P6998" s="17">
        <v>1</v>
      </c>
      <c r="Q6998" s="19">
        <v>33</v>
      </c>
      <c r="R6998" s="14">
        <v>160</v>
      </c>
      <c r="S6998" s="19">
        <v>5280</v>
      </c>
      <c r="AJ6998" s="19">
        <v>0</v>
      </c>
      <c r="AK6998" s="23">
        <v>0</v>
      </c>
      <c r="AM6998" s="19">
        <v>0</v>
      </c>
      <c r="AN6998" s="19">
        <v>5280</v>
      </c>
      <c r="AP6998" s="14">
        <v>5280</v>
      </c>
    </row>
    <row r="6999" spans="1:45" x14ac:dyDescent="0.2">
      <c r="A6999" s="122">
        <f t="shared" ref="A6999:A7013" si="706">+A6998+1</f>
        <v>5752</v>
      </c>
      <c r="B6999" s="13">
        <v>2</v>
      </c>
      <c r="C6999" s="17" t="s">
        <v>52</v>
      </c>
      <c r="D6999" s="17">
        <v>36294</v>
      </c>
      <c r="E6999" s="17">
        <v>105</v>
      </c>
      <c r="F6999" s="17">
        <v>7094</v>
      </c>
      <c r="G6999" s="13">
        <v>7</v>
      </c>
      <c r="H6999" s="17">
        <v>0</v>
      </c>
      <c r="I6999" s="17">
        <v>0</v>
      </c>
      <c r="J6999" s="17">
        <v>14</v>
      </c>
      <c r="K6999" s="10">
        <v>14</v>
      </c>
      <c r="P6999" s="17">
        <v>1</v>
      </c>
      <c r="Q6999" s="19">
        <v>14</v>
      </c>
      <c r="R6999" s="14">
        <v>160</v>
      </c>
      <c r="S6999" s="19">
        <v>2240</v>
      </c>
      <c r="AJ6999" s="19">
        <v>0</v>
      </c>
      <c r="AK6999" s="23">
        <v>0</v>
      </c>
      <c r="AM6999" s="19">
        <v>0</v>
      </c>
      <c r="AN6999" s="19">
        <v>2240</v>
      </c>
      <c r="AP6999" s="14">
        <v>2240</v>
      </c>
    </row>
    <row r="7000" spans="1:45" x14ac:dyDescent="0.2">
      <c r="A7000" s="122">
        <f t="shared" si="706"/>
        <v>5753</v>
      </c>
      <c r="B7000" s="13">
        <v>3</v>
      </c>
      <c r="C7000" s="17" t="s">
        <v>52</v>
      </c>
      <c r="D7000" s="17">
        <v>36295</v>
      </c>
      <c r="E7000" s="17">
        <v>106</v>
      </c>
      <c r="F7000" s="17">
        <v>7095</v>
      </c>
      <c r="G7000" s="13">
        <v>7</v>
      </c>
      <c r="H7000" s="17">
        <v>0</v>
      </c>
      <c r="I7000" s="17">
        <v>0</v>
      </c>
      <c r="J7000" s="17">
        <v>67</v>
      </c>
      <c r="K7000" s="10">
        <v>67</v>
      </c>
      <c r="P7000" s="17">
        <v>1</v>
      </c>
      <c r="Q7000" s="19">
        <v>67</v>
      </c>
      <c r="R7000" s="14">
        <v>4500</v>
      </c>
      <c r="S7000" s="19">
        <v>301500</v>
      </c>
      <c r="AJ7000" s="19">
        <v>0</v>
      </c>
      <c r="AK7000" s="23">
        <v>0</v>
      </c>
      <c r="AM7000" s="19">
        <v>0</v>
      </c>
      <c r="AN7000" s="19">
        <v>301500</v>
      </c>
      <c r="AP7000" s="14">
        <v>301500</v>
      </c>
    </row>
    <row r="7001" spans="1:45" x14ac:dyDescent="0.2">
      <c r="A7001" s="122">
        <f t="shared" si="706"/>
        <v>5754</v>
      </c>
      <c r="B7001" s="13">
        <v>1</v>
      </c>
      <c r="C7001" s="17" t="s">
        <v>52</v>
      </c>
      <c r="D7001" s="17">
        <v>20652</v>
      </c>
      <c r="E7001" s="17">
        <v>90</v>
      </c>
      <c r="F7001" s="17">
        <v>4645</v>
      </c>
      <c r="G7001" s="13">
        <v>1</v>
      </c>
      <c r="H7001" s="17">
        <v>0</v>
      </c>
      <c r="I7001" s="17">
        <v>0</v>
      </c>
      <c r="J7001" s="17">
        <v>62</v>
      </c>
      <c r="K7001" s="10">
        <v>62</v>
      </c>
      <c r="P7001" s="17">
        <v>1</v>
      </c>
      <c r="Q7001" s="19">
        <v>62</v>
      </c>
      <c r="R7001" s="14">
        <v>250</v>
      </c>
      <c r="S7001" s="19">
        <v>15500</v>
      </c>
      <c r="AJ7001" s="19">
        <v>0</v>
      </c>
      <c r="AK7001" s="23">
        <v>0</v>
      </c>
      <c r="AM7001" s="19">
        <v>0</v>
      </c>
      <c r="AN7001" s="19">
        <v>15500</v>
      </c>
      <c r="AP7001" s="14">
        <v>15500</v>
      </c>
    </row>
    <row r="7002" spans="1:45" x14ac:dyDescent="0.2">
      <c r="A7002" s="122">
        <f t="shared" si="706"/>
        <v>5755</v>
      </c>
      <c r="B7002" s="13">
        <v>1</v>
      </c>
      <c r="C7002" s="17" t="s">
        <v>52</v>
      </c>
      <c r="D7002" s="17">
        <v>25018</v>
      </c>
      <c r="E7002" s="17">
        <v>69</v>
      </c>
      <c r="F7002" s="17">
        <v>4972</v>
      </c>
      <c r="G7002" s="13">
        <v>1</v>
      </c>
      <c r="H7002" s="17">
        <v>0</v>
      </c>
      <c r="I7002" s="17">
        <v>0</v>
      </c>
      <c r="J7002" s="17">
        <v>69</v>
      </c>
      <c r="N7002" s="18">
        <v>69</v>
      </c>
      <c r="P7002" s="17">
        <v>4</v>
      </c>
      <c r="Q7002" s="19">
        <v>69</v>
      </c>
      <c r="R7002" s="14">
        <v>200</v>
      </c>
      <c r="S7002" s="19">
        <v>13800</v>
      </c>
      <c r="AJ7002" s="19">
        <v>0</v>
      </c>
      <c r="AK7002" s="23">
        <v>0</v>
      </c>
      <c r="AM7002" s="19">
        <v>0</v>
      </c>
      <c r="AN7002" s="19">
        <v>13800</v>
      </c>
      <c r="AP7002" s="14">
        <v>13800</v>
      </c>
      <c r="AQ7002" s="12">
        <v>3.0000000000000001E-3</v>
      </c>
    </row>
    <row r="7003" spans="1:45" x14ac:dyDescent="0.2">
      <c r="A7003" s="122">
        <f t="shared" si="706"/>
        <v>5756</v>
      </c>
      <c r="B7003" s="13">
        <v>2</v>
      </c>
      <c r="C7003" s="17" t="s">
        <v>52</v>
      </c>
      <c r="D7003" s="17">
        <v>25019</v>
      </c>
      <c r="E7003" s="17">
        <v>70</v>
      </c>
      <c r="F7003" s="17">
        <v>4973</v>
      </c>
      <c r="G7003" s="13">
        <v>1</v>
      </c>
      <c r="H7003" s="17">
        <v>0</v>
      </c>
      <c r="I7003" s="17">
        <v>0</v>
      </c>
      <c r="J7003" s="17">
        <v>71</v>
      </c>
      <c r="K7003" s="10">
        <v>71</v>
      </c>
      <c r="P7003" s="17">
        <v>1</v>
      </c>
      <c r="Q7003" s="19">
        <v>71</v>
      </c>
      <c r="R7003" s="14">
        <v>200</v>
      </c>
      <c r="S7003" s="19">
        <v>14200</v>
      </c>
      <c r="AJ7003" s="19">
        <v>0</v>
      </c>
      <c r="AK7003" s="23">
        <v>0</v>
      </c>
      <c r="AM7003" s="19">
        <v>0</v>
      </c>
      <c r="AN7003" s="19">
        <v>14200</v>
      </c>
      <c r="AP7003" s="14">
        <v>14200</v>
      </c>
    </row>
    <row r="7004" spans="1:45" ht="42" x14ac:dyDescent="0.2">
      <c r="A7004" s="122">
        <f t="shared" si="706"/>
        <v>5757</v>
      </c>
      <c r="B7004" s="13">
        <v>1</v>
      </c>
      <c r="C7004" s="17" t="s">
        <v>52</v>
      </c>
      <c r="D7004" s="17">
        <v>4798</v>
      </c>
      <c r="E7004" s="17">
        <v>17</v>
      </c>
      <c r="F7004" s="17">
        <v>2670</v>
      </c>
      <c r="G7004" s="13">
        <v>7</v>
      </c>
      <c r="H7004" s="17">
        <v>3</v>
      </c>
      <c r="I7004" s="17">
        <v>2</v>
      </c>
      <c r="J7004" s="17">
        <v>39</v>
      </c>
      <c r="K7004" s="10">
        <v>1375.62</v>
      </c>
      <c r="L7004" s="17">
        <v>63.38</v>
      </c>
      <c r="P7004" s="17">
        <v>5</v>
      </c>
      <c r="Q7004" s="19">
        <v>1439</v>
      </c>
      <c r="R7004" s="14">
        <v>1000</v>
      </c>
      <c r="S7004" s="19">
        <v>1439000</v>
      </c>
      <c r="T7004" s="17">
        <v>1</v>
      </c>
      <c r="V7004" s="17" t="s">
        <v>183</v>
      </c>
      <c r="W7004" s="4">
        <v>253.5</v>
      </c>
      <c r="Y7004" s="4">
        <v>253.5</v>
      </c>
      <c r="AB7004" s="17">
        <v>12</v>
      </c>
      <c r="AJ7004" s="19">
        <v>0</v>
      </c>
      <c r="AK7004" s="23">
        <v>12</v>
      </c>
      <c r="AM7004" s="19">
        <v>0</v>
      </c>
      <c r="AN7004" s="19">
        <v>1439000</v>
      </c>
      <c r="AP7004" s="14">
        <v>1439000</v>
      </c>
      <c r="AS7004" s="26">
        <v>132</v>
      </c>
    </row>
    <row r="7005" spans="1:45" x14ac:dyDescent="0.2">
      <c r="A7005" s="122">
        <f t="shared" si="706"/>
        <v>5758</v>
      </c>
      <c r="B7005" s="13">
        <v>2</v>
      </c>
      <c r="C7005" s="17" t="s">
        <v>52</v>
      </c>
      <c r="D7005" s="17">
        <v>4902</v>
      </c>
      <c r="E7005" s="17">
        <v>78</v>
      </c>
      <c r="F7005" s="17">
        <v>2776</v>
      </c>
      <c r="G7005" s="13">
        <v>7</v>
      </c>
      <c r="H7005" s="17">
        <v>3</v>
      </c>
      <c r="I7005" s="17">
        <v>1</v>
      </c>
      <c r="J7005" s="17">
        <v>44</v>
      </c>
      <c r="K7005" s="10">
        <v>1344</v>
      </c>
      <c r="P7005" s="17">
        <v>1</v>
      </c>
      <c r="Q7005" s="19">
        <v>1344</v>
      </c>
      <c r="R7005" s="14">
        <v>160</v>
      </c>
      <c r="S7005" s="19">
        <v>215040</v>
      </c>
      <c r="AJ7005" s="19">
        <v>0</v>
      </c>
      <c r="AK7005" s="23">
        <v>0</v>
      </c>
      <c r="AM7005" s="19">
        <v>0</v>
      </c>
      <c r="AN7005" s="19">
        <v>215040</v>
      </c>
      <c r="AP7005" s="14">
        <v>215040</v>
      </c>
    </row>
    <row r="7006" spans="1:45" x14ac:dyDescent="0.2">
      <c r="A7006" s="122">
        <f t="shared" si="706"/>
        <v>5759</v>
      </c>
      <c r="B7006" s="13">
        <v>3</v>
      </c>
      <c r="C7006" s="17" t="s">
        <v>52</v>
      </c>
      <c r="D7006" s="17">
        <v>4903</v>
      </c>
      <c r="E7006" s="17">
        <v>79</v>
      </c>
      <c r="F7006" s="17">
        <v>2777</v>
      </c>
      <c r="G7006" s="13">
        <v>7</v>
      </c>
      <c r="H7006" s="17">
        <v>6</v>
      </c>
      <c r="I7006" s="17">
        <v>2</v>
      </c>
      <c r="J7006" s="17">
        <v>3</v>
      </c>
      <c r="K7006" s="10">
        <v>2603</v>
      </c>
      <c r="P7006" s="17">
        <v>1</v>
      </c>
      <c r="Q7006" s="19">
        <v>2603</v>
      </c>
      <c r="R7006" s="14">
        <v>160</v>
      </c>
      <c r="S7006" s="19">
        <v>416480</v>
      </c>
      <c r="AJ7006" s="19">
        <v>0</v>
      </c>
      <c r="AK7006" s="23">
        <v>0</v>
      </c>
      <c r="AM7006" s="19">
        <v>0</v>
      </c>
      <c r="AN7006" s="19">
        <v>416480</v>
      </c>
      <c r="AP7006" s="14">
        <v>416480</v>
      </c>
    </row>
    <row r="7007" spans="1:45" x14ac:dyDescent="0.2">
      <c r="A7007" s="122">
        <f t="shared" si="706"/>
        <v>5760</v>
      </c>
      <c r="B7007" s="13">
        <v>4</v>
      </c>
      <c r="C7007" s="17" t="s">
        <v>52</v>
      </c>
      <c r="D7007" s="17">
        <v>22392</v>
      </c>
      <c r="E7007" s="17">
        <v>34</v>
      </c>
      <c r="F7007" s="17">
        <v>4800</v>
      </c>
      <c r="G7007" s="13">
        <v>7</v>
      </c>
      <c r="H7007" s="17">
        <v>0</v>
      </c>
      <c r="I7007" s="17">
        <v>1</v>
      </c>
      <c r="J7007" s="17">
        <v>1</v>
      </c>
      <c r="L7007" s="17">
        <v>101</v>
      </c>
      <c r="P7007" s="17">
        <v>2</v>
      </c>
      <c r="Q7007" s="19">
        <v>101</v>
      </c>
      <c r="R7007" s="14">
        <v>1000</v>
      </c>
      <c r="S7007" s="19">
        <v>101000</v>
      </c>
      <c r="AJ7007" s="19">
        <v>0</v>
      </c>
      <c r="AK7007" s="23">
        <v>0</v>
      </c>
      <c r="AM7007" s="19">
        <v>0</v>
      </c>
      <c r="AN7007" s="19">
        <v>101000</v>
      </c>
      <c r="AP7007" s="14">
        <v>101000</v>
      </c>
    </row>
    <row r="7008" spans="1:45" x14ac:dyDescent="0.2">
      <c r="A7008" s="122">
        <f t="shared" si="706"/>
        <v>5761</v>
      </c>
      <c r="B7008" s="13">
        <v>1</v>
      </c>
      <c r="C7008" s="17" t="s">
        <v>52</v>
      </c>
      <c r="D7008" s="17">
        <v>4907</v>
      </c>
      <c r="E7008" s="17">
        <v>75</v>
      </c>
      <c r="F7008" s="17">
        <v>2781</v>
      </c>
      <c r="G7008" s="13">
        <v>7</v>
      </c>
      <c r="H7008" s="17">
        <v>15</v>
      </c>
      <c r="I7008" s="17">
        <v>2</v>
      </c>
      <c r="J7008" s="17">
        <v>95</v>
      </c>
      <c r="K7008" s="10">
        <v>6295</v>
      </c>
      <c r="P7008" s="17">
        <v>1</v>
      </c>
      <c r="Q7008" s="19">
        <v>6295</v>
      </c>
      <c r="R7008" s="14">
        <v>160</v>
      </c>
      <c r="S7008" s="19">
        <v>1007200</v>
      </c>
      <c r="AJ7008" s="19">
        <v>0</v>
      </c>
      <c r="AK7008" s="23">
        <v>0</v>
      </c>
      <c r="AM7008" s="19">
        <v>0</v>
      </c>
      <c r="AN7008" s="19">
        <v>1007200</v>
      </c>
      <c r="AP7008" s="14">
        <v>1007200</v>
      </c>
    </row>
    <row r="7009" spans="1:48" x14ac:dyDescent="0.2">
      <c r="A7009" s="122">
        <f t="shared" si="706"/>
        <v>5762</v>
      </c>
      <c r="B7009" s="13">
        <v>1</v>
      </c>
      <c r="C7009" s="17" t="s">
        <v>52</v>
      </c>
      <c r="D7009" s="17">
        <v>37186</v>
      </c>
      <c r="E7009" s="17">
        <v>337</v>
      </c>
      <c r="F7009" s="17">
        <v>7296</v>
      </c>
      <c r="G7009" s="13">
        <v>1</v>
      </c>
      <c r="H7009" s="17">
        <v>4</v>
      </c>
      <c r="I7009" s="17">
        <v>0</v>
      </c>
      <c r="J7009" s="17">
        <v>0</v>
      </c>
      <c r="K7009" s="10">
        <v>1600</v>
      </c>
      <c r="P7009" s="17">
        <v>1</v>
      </c>
      <c r="Q7009" s="19">
        <v>1600</v>
      </c>
      <c r="R7009" s="14">
        <v>1500</v>
      </c>
      <c r="S7009" s="19">
        <v>2400000</v>
      </c>
      <c r="AJ7009" s="19">
        <v>0</v>
      </c>
      <c r="AK7009" s="23">
        <v>0</v>
      </c>
      <c r="AM7009" s="19">
        <v>0</v>
      </c>
      <c r="AN7009" s="19">
        <v>2400000</v>
      </c>
      <c r="AP7009" s="14">
        <v>2400000</v>
      </c>
    </row>
    <row r="7010" spans="1:48" ht="63" x14ac:dyDescent="0.2">
      <c r="A7010" s="122">
        <f t="shared" si="706"/>
        <v>5763</v>
      </c>
      <c r="B7010" s="13">
        <v>2</v>
      </c>
      <c r="C7010" s="17" t="s">
        <v>52</v>
      </c>
      <c r="D7010" s="17">
        <v>1790</v>
      </c>
      <c r="E7010" s="17">
        <v>89</v>
      </c>
      <c r="F7010" s="17">
        <v>1174</v>
      </c>
      <c r="G7010" s="13">
        <v>2</v>
      </c>
      <c r="H7010" s="17">
        <v>0</v>
      </c>
      <c r="I7010" s="17">
        <v>0</v>
      </c>
      <c r="J7010" s="17">
        <v>23</v>
      </c>
      <c r="L7010" s="17" t="s">
        <v>720</v>
      </c>
      <c r="P7010" s="17">
        <v>2</v>
      </c>
      <c r="Q7010" s="19">
        <v>23</v>
      </c>
      <c r="R7010" s="14">
        <v>4500</v>
      </c>
      <c r="S7010" s="19">
        <v>103500</v>
      </c>
      <c r="T7010" s="17">
        <v>1</v>
      </c>
      <c r="U7010" s="17" t="s">
        <v>63</v>
      </c>
      <c r="V7010" s="17" t="s">
        <v>56</v>
      </c>
      <c r="W7010" s="4">
        <v>90</v>
      </c>
      <c r="Y7010" s="4">
        <v>90</v>
      </c>
      <c r="AB7010" s="17" t="s">
        <v>574</v>
      </c>
      <c r="AF7010" s="14">
        <v>3</v>
      </c>
      <c r="AG7010" s="54">
        <v>90</v>
      </c>
      <c r="AH7010" s="11">
        <v>1</v>
      </c>
      <c r="AI7010" s="14">
        <v>8100</v>
      </c>
      <c r="AJ7010" s="19">
        <v>729000</v>
      </c>
      <c r="AK7010" s="23" t="s">
        <v>574</v>
      </c>
      <c r="AL7010" s="11">
        <v>0.54</v>
      </c>
      <c r="AM7010" s="19">
        <v>335340</v>
      </c>
      <c r="AN7010" s="19">
        <v>438840</v>
      </c>
      <c r="AP7010" s="14">
        <v>438840</v>
      </c>
      <c r="AQ7010" s="12">
        <v>3.0000000000000001E-3</v>
      </c>
    </row>
    <row r="7011" spans="1:48" x14ac:dyDescent="0.2">
      <c r="A7011" s="122">
        <f t="shared" si="706"/>
        <v>5764</v>
      </c>
      <c r="B7011" s="13">
        <v>3</v>
      </c>
      <c r="C7011" s="17" t="s">
        <v>52</v>
      </c>
      <c r="D7011" s="17">
        <v>30409</v>
      </c>
      <c r="E7011" s="17">
        <v>197</v>
      </c>
      <c r="F7011" s="17">
        <v>5791</v>
      </c>
      <c r="G7011" s="13">
        <v>2</v>
      </c>
      <c r="H7011" s="17">
        <v>0</v>
      </c>
      <c r="I7011" s="17">
        <v>0</v>
      </c>
      <c r="J7011" s="17">
        <v>27</v>
      </c>
      <c r="M7011" s="15" t="s">
        <v>721</v>
      </c>
      <c r="P7011" s="17">
        <v>3</v>
      </c>
      <c r="Q7011" s="19">
        <v>27</v>
      </c>
      <c r="R7011" s="14">
        <v>4500</v>
      </c>
      <c r="S7011" s="19">
        <v>121500</v>
      </c>
      <c r="W7011" s="4">
        <v>45</v>
      </c>
      <c r="Y7011" s="4">
        <v>45</v>
      </c>
      <c r="AE7011" s="17" t="s">
        <v>685</v>
      </c>
      <c r="AJ7011" s="19">
        <v>0</v>
      </c>
      <c r="AK7011" s="23">
        <v>0</v>
      </c>
      <c r="AM7011" s="19">
        <v>0</v>
      </c>
      <c r="AN7011" s="19">
        <v>121500</v>
      </c>
      <c r="AP7011" s="14">
        <v>121500</v>
      </c>
      <c r="AQ7011" s="12">
        <v>3.0000000000000001E-3</v>
      </c>
    </row>
    <row r="7012" spans="1:48" x14ac:dyDescent="0.2">
      <c r="A7012" s="122">
        <f t="shared" si="706"/>
        <v>5765</v>
      </c>
      <c r="B7012" s="13">
        <v>4</v>
      </c>
      <c r="C7012" s="17" t="s">
        <v>52</v>
      </c>
      <c r="D7012" s="17">
        <v>31897</v>
      </c>
      <c r="E7012" s="17">
        <v>250</v>
      </c>
      <c r="F7012" s="17">
        <v>6124</v>
      </c>
      <c r="G7012" s="13">
        <v>2</v>
      </c>
      <c r="H7012" s="17">
        <v>4</v>
      </c>
      <c r="I7012" s="17">
        <v>2</v>
      </c>
      <c r="J7012" s="17">
        <v>22.02</v>
      </c>
      <c r="K7012" s="10">
        <v>1822</v>
      </c>
      <c r="P7012" s="17">
        <v>1</v>
      </c>
      <c r="Q7012" s="19">
        <v>1822.02</v>
      </c>
      <c r="R7012" s="14">
        <v>160</v>
      </c>
      <c r="S7012" s="19">
        <v>291523.20000000001</v>
      </c>
      <c r="AJ7012" s="19">
        <v>0</v>
      </c>
      <c r="AK7012" s="23">
        <v>0</v>
      </c>
      <c r="AM7012" s="19">
        <v>0</v>
      </c>
      <c r="AN7012" s="19">
        <v>291523.20000000001</v>
      </c>
      <c r="AP7012" s="14">
        <v>291523.20000000001</v>
      </c>
    </row>
    <row r="7013" spans="1:48" x14ac:dyDescent="0.2">
      <c r="A7013" s="122">
        <f t="shared" si="706"/>
        <v>5766</v>
      </c>
      <c r="B7013" s="13">
        <v>5</v>
      </c>
      <c r="C7013" s="17" t="s">
        <v>65</v>
      </c>
      <c r="D7013" s="17">
        <v>890</v>
      </c>
      <c r="E7013" s="17">
        <v>146</v>
      </c>
      <c r="H7013" s="17">
        <v>5</v>
      </c>
      <c r="I7013" s="17">
        <v>1</v>
      </c>
      <c r="J7013" s="17">
        <v>6</v>
      </c>
      <c r="K7013" s="10">
        <v>1999</v>
      </c>
      <c r="M7013" s="15">
        <v>107</v>
      </c>
      <c r="P7013" s="17">
        <v>5</v>
      </c>
      <c r="Q7013" s="19">
        <v>2106</v>
      </c>
      <c r="R7013" s="14">
        <v>1100</v>
      </c>
      <c r="S7013" s="19">
        <v>2316600</v>
      </c>
      <c r="AM7013" s="19">
        <v>0</v>
      </c>
      <c r="AN7013" s="19">
        <v>2316600</v>
      </c>
      <c r="AP7013" s="14">
        <v>2316600</v>
      </c>
      <c r="AQ7013" s="12">
        <v>3.0000000000000001E-3</v>
      </c>
    </row>
    <row r="7014" spans="1:48" ht="231" x14ac:dyDescent="0.2">
      <c r="T7014" s="17">
        <v>1</v>
      </c>
      <c r="U7014" s="17" t="s">
        <v>174</v>
      </c>
      <c r="V7014" s="17" t="s">
        <v>56</v>
      </c>
      <c r="W7014" s="4">
        <v>119</v>
      </c>
      <c r="Z7014" s="17">
        <v>119</v>
      </c>
      <c r="AB7014" s="17" t="s">
        <v>675</v>
      </c>
      <c r="AC7014" s="14" t="s">
        <v>486</v>
      </c>
      <c r="AE7014" s="17">
        <v>54</v>
      </c>
      <c r="AF7014" s="14">
        <v>3</v>
      </c>
      <c r="AG7014" s="54">
        <v>119</v>
      </c>
      <c r="AH7014" s="11">
        <v>1</v>
      </c>
      <c r="AI7014" s="14">
        <v>5800</v>
      </c>
      <c r="AJ7014" s="19">
        <v>690200</v>
      </c>
      <c r="AK7014" s="23" t="s">
        <v>675</v>
      </c>
      <c r="AL7014" s="11">
        <v>0.08</v>
      </c>
      <c r="AM7014" s="19">
        <v>634984</v>
      </c>
      <c r="AN7014" s="19">
        <v>634984</v>
      </c>
      <c r="AP7014" s="14">
        <v>634984</v>
      </c>
      <c r="AQ7014" s="12">
        <v>3.0000000000000001E-3</v>
      </c>
    </row>
    <row r="7015" spans="1:48" ht="105" x14ac:dyDescent="0.2">
      <c r="T7015" s="17">
        <v>2</v>
      </c>
      <c r="U7015" s="17" t="s">
        <v>174</v>
      </c>
      <c r="V7015" s="17" t="s">
        <v>56</v>
      </c>
      <c r="W7015" s="4">
        <v>255</v>
      </c>
      <c r="Z7015" s="17">
        <v>255</v>
      </c>
      <c r="AB7015" s="17" t="s">
        <v>675</v>
      </c>
      <c r="AF7015" s="14">
        <v>3</v>
      </c>
      <c r="AG7015" s="54">
        <v>255</v>
      </c>
      <c r="AH7015" s="11">
        <v>1</v>
      </c>
      <c r="AI7015" s="14">
        <v>5800</v>
      </c>
      <c r="AJ7015" s="19">
        <v>1479000</v>
      </c>
      <c r="AK7015" s="23" t="s">
        <v>675</v>
      </c>
      <c r="AL7015" s="11">
        <v>0.08</v>
      </c>
      <c r="AM7015" s="19">
        <v>1360680</v>
      </c>
      <c r="AN7015" s="19">
        <v>1360680</v>
      </c>
      <c r="AP7015" s="14">
        <v>1360680</v>
      </c>
      <c r="AQ7015" s="12">
        <v>3.0000000000000001E-3</v>
      </c>
    </row>
    <row r="7016" spans="1:48" ht="42" x14ac:dyDescent="0.2">
      <c r="T7016" s="17">
        <v>3</v>
      </c>
      <c r="U7016" s="17" t="s">
        <v>155</v>
      </c>
      <c r="V7016" s="17" t="s">
        <v>56</v>
      </c>
      <c r="W7016" s="4">
        <v>84</v>
      </c>
      <c r="Z7016" s="17">
        <v>84</v>
      </c>
      <c r="AB7016" s="17" t="s">
        <v>675</v>
      </c>
      <c r="AF7016" s="14">
        <v>3</v>
      </c>
      <c r="AG7016" s="54">
        <v>84</v>
      </c>
      <c r="AH7016" s="11">
        <v>1</v>
      </c>
      <c r="AI7016" s="14">
        <v>5800</v>
      </c>
      <c r="AJ7016" s="19">
        <v>487200</v>
      </c>
      <c r="AK7016" s="23" t="s">
        <v>675</v>
      </c>
      <c r="AL7016" s="11">
        <v>0.08</v>
      </c>
      <c r="AM7016" s="19">
        <v>448224</v>
      </c>
      <c r="AN7016" s="19">
        <v>448224</v>
      </c>
      <c r="AP7016" s="14">
        <v>448224</v>
      </c>
      <c r="AQ7016" s="12">
        <v>3.0000000000000001E-3</v>
      </c>
    </row>
    <row r="7017" spans="1:48" ht="42" x14ac:dyDescent="0.2">
      <c r="T7017" s="17" t="s">
        <v>121</v>
      </c>
      <c r="U7017" s="17" t="s">
        <v>155</v>
      </c>
      <c r="V7017" s="17" t="s">
        <v>56</v>
      </c>
      <c r="W7017" s="4">
        <v>54</v>
      </c>
      <c r="Z7017" s="17" t="s">
        <v>267</v>
      </c>
      <c r="AB7017" s="17" t="s">
        <v>675</v>
      </c>
      <c r="AF7017" s="14">
        <v>3</v>
      </c>
      <c r="AG7017" s="54">
        <v>54</v>
      </c>
      <c r="AH7017" s="11">
        <v>1</v>
      </c>
      <c r="AI7017" s="14">
        <v>5800</v>
      </c>
      <c r="AJ7017" s="19">
        <v>313200</v>
      </c>
      <c r="AK7017" s="23" t="s">
        <v>675</v>
      </c>
      <c r="AL7017" s="11">
        <v>0.08</v>
      </c>
      <c r="AM7017" s="19">
        <v>288144</v>
      </c>
      <c r="AN7017" s="19">
        <v>288144</v>
      </c>
      <c r="AP7017" s="14">
        <v>288144</v>
      </c>
      <c r="AQ7017" s="12">
        <v>3.0000000000000001E-3</v>
      </c>
    </row>
    <row r="7018" spans="1:48" x14ac:dyDescent="0.2">
      <c r="B7018" s="13">
        <v>5</v>
      </c>
      <c r="C7018" s="17" t="s">
        <v>65</v>
      </c>
      <c r="D7018" s="17">
        <v>204</v>
      </c>
      <c r="E7018" s="17">
        <v>104</v>
      </c>
      <c r="H7018" s="17">
        <v>5</v>
      </c>
      <c r="I7018" s="17">
        <v>0</v>
      </c>
      <c r="J7018" s="17">
        <v>60</v>
      </c>
      <c r="K7018" s="10">
        <v>2060</v>
      </c>
      <c r="P7018" s="17">
        <v>1</v>
      </c>
      <c r="Q7018" s="19">
        <v>2060</v>
      </c>
      <c r="R7018" s="14" t="e">
        <v>#N/A</v>
      </c>
      <c r="S7018" s="19" t="e">
        <v>#N/A</v>
      </c>
      <c r="AE7018" s="17" t="s">
        <v>94</v>
      </c>
      <c r="AJ7018" s="19">
        <v>0</v>
      </c>
      <c r="AK7018" s="23">
        <v>0</v>
      </c>
      <c r="AM7018" s="19">
        <v>0</v>
      </c>
      <c r="AN7018" s="19" t="e">
        <v>#N/A</v>
      </c>
      <c r="AP7018" s="14" t="e">
        <v>#N/A</v>
      </c>
      <c r="AQ7018" s="12">
        <v>1E-4</v>
      </c>
    </row>
    <row r="7019" spans="1:48" x14ac:dyDescent="0.2">
      <c r="A7019" s="2">
        <v>5767</v>
      </c>
      <c r="B7019" s="13">
        <v>1</v>
      </c>
      <c r="C7019" s="17" t="s">
        <v>65</v>
      </c>
      <c r="D7019" s="17">
        <v>1372</v>
      </c>
      <c r="E7019" s="17">
        <v>60</v>
      </c>
      <c r="H7019" s="17">
        <v>13</v>
      </c>
      <c r="I7019" s="17">
        <v>2</v>
      </c>
      <c r="J7019" s="17">
        <v>0</v>
      </c>
      <c r="K7019" s="10">
        <v>5400</v>
      </c>
      <c r="P7019" s="17">
        <v>1</v>
      </c>
      <c r="Q7019" s="19">
        <v>5400</v>
      </c>
      <c r="R7019" s="14">
        <v>160</v>
      </c>
      <c r="S7019" s="19">
        <v>864000</v>
      </c>
      <c r="AJ7019" s="19">
        <v>0</v>
      </c>
      <c r="AK7019" s="23">
        <v>0</v>
      </c>
      <c r="AM7019" s="19">
        <v>0</v>
      </c>
      <c r="AN7019" s="19">
        <v>864000</v>
      </c>
      <c r="AP7019" s="14">
        <v>864000</v>
      </c>
      <c r="AQ7019" s="12">
        <v>1E-4</v>
      </c>
      <c r="AS7019" s="26">
        <v>362</v>
      </c>
      <c r="AT7019" s="14">
        <v>771.92000000000007</v>
      </c>
      <c r="AU7019" s="14">
        <v>694.72800000000007</v>
      </c>
      <c r="AV7019" s="14">
        <v>77.192000000000007</v>
      </c>
    </row>
    <row r="7020" spans="1:48" x14ac:dyDescent="0.2">
      <c r="A7020" s="2">
        <f>+A7019+1</f>
        <v>5768</v>
      </c>
      <c r="B7020" s="13">
        <v>2</v>
      </c>
      <c r="C7020" s="17" t="s">
        <v>65</v>
      </c>
      <c r="D7020" s="17">
        <v>1374</v>
      </c>
      <c r="E7020" s="17">
        <v>62</v>
      </c>
      <c r="H7020" s="17">
        <v>23</v>
      </c>
      <c r="I7020" s="17">
        <v>0</v>
      </c>
      <c r="J7020" s="17">
        <v>45</v>
      </c>
      <c r="K7020" s="10">
        <v>9245</v>
      </c>
      <c r="P7020" s="17">
        <v>1</v>
      </c>
      <c r="Q7020" s="19">
        <v>9245</v>
      </c>
      <c r="R7020" s="14">
        <v>160</v>
      </c>
      <c r="S7020" s="19">
        <v>1479200</v>
      </c>
      <c r="AJ7020" s="19">
        <v>0</v>
      </c>
      <c r="AK7020" s="23">
        <v>0</v>
      </c>
      <c r="AM7020" s="19">
        <v>0</v>
      </c>
      <c r="AN7020" s="19">
        <v>1479200</v>
      </c>
      <c r="AP7020" s="14">
        <v>1479200</v>
      </c>
      <c r="AQ7020" s="12">
        <v>1E-4</v>
      </c>
    </row>
    <row r="7021" spans="1:48" x14ac:dyDescent="0.2">
      <c r="A7021" s="122">
        <f t="shared" ref="A7021:A7022" si="707">+A7020+1</f>
        <v>5769</v>
      </c>
      <c r="B7021" s="13">
        <v>3</v>
      </c>
      <c r="C7021" s="17" t="s">
        <v>65</v>
      </c>
      <c r="D7021" s="17">
        <v>2339</v>
      </c>
      <c r="E7021" s="17">
        <v>118</v>
      </c>
      <c r="H7021" s="17">
        <v>36</v>
      </c>
      <c r="I7021" s="17">
        <v>1</v>
      </c>
      <c r="J7021" s="17">
        <v>90</v>
      </c>
      <c r="K7021" s="10">
        <v>14590</v>
      </c>
      <c r="P7021" s="17">
        <v>1</v>
      </c>
      <c r="Q7021" s="19">
        <v>14590</v>
      </c>
      <c r="R7021" s="14">
        <v>160</v>
      </c>
      <c r="S7021" s="19">
        <v>2334400</v>
      </c>
      <c r="AJ7021" s="19">
        <v>0</v>
      </c>
      <c r="AK7021" s="23">
        <v>0</v>
      </c>
      <c r="AM7021" s="19">
        <v>0</v>
      </c>
      <c r="AN7021" s="19">
        <v>2334400</v>
      </c>
      <c r="AP7021" s="14">
        <v>2334400</v>
      </c>
      <c r="AQ7021" s="12">
        <v>1E-4</v>
      </c>
      <c r="AV7021" s="14">
        <v>46.78</v>
      </c>
    </row>
    <row r="7022" spans="1:48" x14ac:dyDescent="0.2">
      <c r="A7022" s="122">
        <f t="shared" si="707"/>
        <v>5770</v>
      </c>
      <c r="B7022" s="13">
        <v>4</v>
      </c>
      <c r="C7022" s="17" t="s">
        <v>65</v>
      </c>
      <c r="D7022" s="17">
        <v>2340</v>
      </c>
      <c r="E7022" s="17">
        <v>85</v>
      </c>
      <c r="H7022" s="17">
        <v>47</v>
      </c>
      <c r="I7022" s="17">
        <v>2</v>
      </c>
      <c r="J7022" s="17">
        <v>10</v>
      </c>
      <c r="K7022" s="10">
        <v>19010</v>
      </c>
      <c r="P7022" s="17">
        <v>1</v>
      </c>
      <c r="Q7022" s="19">
        <v>19010</v>
      </c>
      <c r="R7022" s="14">
        <v>160</v>
      </c>
      <c r="S7022" s="19">
        <v>3041600</v>
      </c>
      <c r="AE7022" s="17" t="s">
        <v>94</v>
      </c>
      <c r="AJ7022" s="19">
        <v>0</v>
      </c>
      <c r="AK7022" s="23">
        <v>0</v>
      </c>
      <c r="AM7022" s="19">
        <v>0</v>
      </c>
      <c r="AN7022" s="19">
        <v>3041600</v>
      </c>
      <c r="AP7022" s="14">
        <v>3041600</v>
      </c>
      <c r="AQ7022" s="12">
        <v>1E-4</v>
      </c>
      <c r="AU7022" s="14" t="s">
        <v>722</v>
      </c>
      <c r="AV7022" s="14">
        <v>30.412000000000006</v>
      </c>
    </row>
    <row r="7023" spans="1:48" x14ac:dyDescent="0.2">
      <c r="R7023" s="14" t="e">
        <v>#N/A</v>
      </c>
    </row>
    <row r="7024" spans="1:48" x14ac:dyDescent="0.2">
      <c r="B7024" s="13">
        <v>1</v>
      </c>
      <c r="C7024" s="17" t="s">
        <v>65</v>
      </c>
      <c r="D7024" s="17">
        <v>2879</v>
      </c>
      <c r="E7024" s="17">
        <v>192</v>
      </c>
      <c r="H7024" s="17">
        <v>1</v>
      </c>
      <c r="I7024" s="17">
        <v>0</v>
      </c>
      <c r="J7024" s="17">
        <v>86</v>
      </c>
      <c r="K7024" s="10">
        <v>486</v>
      </c>
      <c r="P7024" s="17">
        <v>1</v>
      </c>
      <c r="Q7024" s="19">
        <v>486</v>
      </c>
      <c r="R7024" s="14" t="e">
        <v>#N/A</v>
      </c>
      <c r="S7024" s="19" t="e">
        <v>#N/A</v>
      </c>
      <c r="AE7024" s="17" t="s">
        <v>95</v>
      </c>
      <c r="AJ7024" s="19">
        <v>0</v>
      </c>
      <c r="AK7024" s="23">
        <v>0</v>
      </c>
      <c r="AM7024" s="19">
        <v>0</v>
      </c>
      <c r="AN7024" s="19" t="e">
        <v>#N/A</v>
      </c>
      <c r="AP7024" s="14" t="e">
        <v>#N/A</v>
      </c>
      <c r="AQ7024" s="12">
        <v>1E-4</v>
      </c>
    </row>
    <row r="7025" spans="1:45" ht="42" x14ac:dyDescent="0.2">
      <c r="A7025" s="2">
        <v>5771</v>
      </c>
      <c r="B7025" s="13">
        <v>1</v>
      </c>
      <c r="C7025" s="17" t="s">
        <v>52</v>
      </c>
      <c r="D7025" s="17">
        <v>1430</v>
      </c>
      <c r="E7025" s="17">
        <v>9</v>
      </c>
      <c r="F7025" s="17">
        <v>870</v>
      </c>
      <c r="G7025" s="13">
        <v>2</v>
      </c>
      <c r="H7025" s="17">
        <v>0</v>
      </c>
      <c r="I7025" s="17">
        <v>0</v>
      </c>
      <c r="J7025" s="17">
        <v>36</v>
      </c>
      <c r="K7025" s="10">
        <v>24</v>
      </c>
      <c r="L7025" s="17">
        <v>12</v>
      </c>
      <c r="P7025" s="17">
        <v>5</v>
      </c>
      <c r="Q7025" s="19">
        <v>36</v>
      </c>
      <c r="R7025" s="14">
        <v>2000</v>
      </c>
      <c r="S7025" s="19">
        <v>72000</v>
      </c>
      <c r="T7025" s="17">
        <v>1</v>
      </c>
      <c r="V7025" s="17" t="s">
        <v>183</v>
      </c>
      <c r="W7025" s="4">
        <v>48</v>
      </c>
      <c r="Y7025" s="4">
        <v>48</v>
      </c>
      <c r="AB7025" s="17">
        <v>14</v>
      </c>
      <c r="AJ7025" s="19">
        <v>0</v>
      </c>
      <c r="AK7025" s="23">
        <v>14</v>
      </c>
      <c r="AM7025" s="19">
        <v>0</v>
      </c>
      <c r="AN7025" s="19">
        <v>72000</v>
      </c>
      <c r="AP7025" s="14">
        <v>72000</v>
      </c>
    </row>
    <row r="7026" spans="1:45" ht="105" x14ac:dyDescent="0.2">
      <c r="A7026" s="2">
        <f>+A7025+1</f>
        <v>5772</v>
      </c>
      <c r="B7026" s="13">
        <v>2</v>
      </c>
      <c r="C7026" s="17" t="s">
        <v>52</v>
      </c>
      <c r="D7026" s="17">
        <v>31657</v>
      </c>
      <c r="E7026" s="17">
        <v>165</v>
      </c>
      <c r="F7026" s="17">
        <v>6239</v>
      </c>
      <c r="G7026" s="13">
        <v>2</v>
      </c>
      <c r="H7026" s="17">
        <v>0</v>
      </c>
      <c r="I7026" s="17">
        <v>0</v>
      </c>
      <c r="J7026" s="17">
        <v>50</v>
      </c>
      <c r="L7026" s="17" t="s">
        <v>280</v>
      </c>
      <c r="P7026" s="17">
        <v>2</v>
      </c>
      <c r="Q7026" s="19">
        <v>50</v>
      </c>
      <c r="R7026" s="14">
        <v>160</v>
      </c>
      <c r="S7026" s="19">
        <v>8000</v>
      </c>
      <c r="T7026" s="17">
        <v>1</v>
      </c>
      <c r="U7026" s="17" t="s">
        <v>57</v>
      </c>
      <c r="V7026" s="17" t="s">
        <v>56</v>
      </c>
      <c r="W7026" s="4">
        <v>108</v>
      </c>
      <c r="Y7026" s="4" t="s">
        <v>314</v>
      </c>
      <c r="AB7026" s="17">
        <v>10</v>
      </c>
      <c r="AC7026" s="14" t="s">
        <v>346</v>
      </c>
      <c r="AE7026" s="17">
        <v>108</v>
      </c>
      <c r="AF7026" s="14">
        <v>2</v>
      </c>
      <c r="AG7026" s="54">
        <v>108</v>
      </c>
      <c r="AH7026" s="11">
        <v>1</v>
      </c>
      <c r="AI7026" s="14">
        <v>7250</v>
      </c>
      <c r="AJ7026" s="19">
        <v>783000</v>
      </c>
      <c r="AK7026" s="23">
        <v>10</v>
      </c>
      <c r="AL7026" s="11">
        <v>0.3</v>
      </c>
      <c r="AM7026" s="19">
        <v>548100</v>
      </c>
      <c r="AN7026" s="19">
        <v>556100</v>
      </c>
      <c r="AP7026" s="14">
        <v>556100</v>
      </c>
    </row>
    <row r="7027" spans="1:45" x14ac:dyDescent="0.2">
      <c r="A7027" s="122">
        <f t="shared" ref="A7027:A7029" si="708">+A7026+1</f>
        <v>5773</v>
      </c>
      <c r="B7027" s="13">
        <v>1</v>
      </c>
      <c r="C7027" s="17" t="s">
        <v>52</v>
      </c>
      <c r="D7027" s="17">
        <v>1802</v>
      </c>
      <c r="E7027" s="17">
        <v>51</v>
      </c>
      <c r="F7027" s="17">
        <v>1186</v>
      </c>
      <c r="G7027" s="13">
        <v>2</v>
      </c>
      <c r="H7027" s="17">
        <v>2</v>
      </c>
      <c r="I7027" s="17">
        <v>1</v>
      </c>
      <c r="J7027" s="17">
        <v>31</v>
      </c>
      <c r="K7027" s="10">
        <v>931</v>
      </c>
      <c r="P7027" s="17">
        <v>1</v>
      </c>
      <c r="Q7027" s="19">
        <v>931</v>
      </c>
      <c r="R7027" s="14">
        <v>160</v>
      </c>
      <c r="S7027" s="19">
        <v>148960</v>
      </c>
      <c r="AJ7027" s="19">
        <v>0</v>
      </c>
      <c r="AK7027" s="23">
        <v>0</v>
      </c>
      <c r="AM7027" s="19">
        <v>0</v>
      </c>
      <c r="AN7027" s="19">
        <v>148960</v>
      </c>
      <c r="AP7027" s="14">
        <v>148960</v>
      </c>
    </row>
    <row r="7028" spans="1:45" x14ac:dyDescent="0.2">
      <c r="A7028" s="122">
        <f t="shared" si="708"/>
        <v>5774</v>
      </c>
      <c r="B7028" s="13">
        <v>2</v>
      </c>
      <c r="C7028" s="17" t="s">
        <v>52</v>
      </c>
      <c r="D7028" s="17">
        <v>30960</v>
      </c>
      <c r="E7028" s="17">
        <v>82</v>
      </c>
      <c r="F7028" s="17">
        <v>5912</v>
      </c>
      <c r="G7028" s="13">
        <v>2</v>
      </c>
      <c r="H7028" s="17">
        <v>4</v>
      </c>
      <c r="I7028" s="17">
        <v>0</v>
      </c>
      <c r="J7028" s="17">
        <v>62.03</v>
      </c>
      <c r="K7028" s="10">
        <v>1662.03</v>
      </c>
      <c r="P7028" s="17">
        <v>1</v>
      </c>
      <c r="Q7028" s="19">
        <v>1662.03</v>
      </c>
      <c r="R7028" s="14">
        <v>160</v>
      </c>
      <c r="S7028" s="19">
        <v>265924.8</v>
      </c>
      <c r="AJ7028" s="19">
        <v>0</v>
      </c>
      <c r="AK7028" s="23">
        <v>0</v>
      </c>
      <c r="AM7028" s="19">
        <v>0</v>
      </c>
      <c r="AN7028" s="19">
        <v>265924.8</v>
      </c>
      <c r="AP7028" s="14">
        <v>265924.8</v>
      </c>
    </row>
    <row r="7029" spans="1:45" x14ac:dyDescent="0.2">
      <c r="A7029" s="122">
        <f t="shared" si="708"/>
        <v>5775</v>
      </c>
      <c r="B7029" s="13">
        <v>3</v>
      </c>
      <c r="C7029" s="17" t="s">
        <v>52</v>
      </c>
      <c r="D7029" s="17">
        <v>30961</v>
      </c>
      <c r="E7029" s="17">
        <v>81</v>
      </c>
      <c r="F7029" s="17">
        <v>5913</v>
      </c>
      <c r="G7029" s="13">
        <v>2</v>
      </c>
      <c r="H7029" s="17">
        <v>9</v>
      </c>
      <c r="I7029" s="17">
        <v>0</v>
      </c>
      <c r="J7029" s="17">
        <v>62.09</v>
      </c>
      <c r="K7029" s="10">
        <v>3662.09</v>
      </c>
      <c r="P7029" s="17">
        <v>1</v>
      </c>
      <c r="Q7029" s="19">
        <v>3662.09</v>
      </c>
      <c r="R7029" s="14">
        <v>160</v>
      </c>
      <c r="S7029" s="19">
        <v>585934.4</v>
      </c>
      <c r="AJ7029" s="19">
        <v>0</v>
      </c>
      <c r="AK7029" s="23">
        <v>0</v>
      </c>
      <c r="AM7029" s="19">
        <v>0</v>
      </c>
      <c r="AN7029" s="19">
        <v>585934.4</v>
      </c>
      <c r="AP7029" s="14">
        <v>585934.4</v>
      </c>
    </row>
    <row r="7030" spans="1:45" x14ac:dyDescent="0.2">
      <c r="B7030" s="13">
        <v>4</v>
      </c>
      <c r="C7030" s="17" t="s">
        <v>97</v>
      </c>
      <c r="D7030" s="17">
        <v>224</v>
      </c>
      <c r="G7030" s="13">
        <v>2</v>
      </c>
      <c r="H7030" s="17">
        <v>12</v>
      </c>
      <c r="I7030" s="17">
        <v>1</v>
      </c>
      <c r="J7030" s="17">
        <v>59</v>
      </c>
      <c r="K7030" s="10">
        <v>4959</v>
      </c>
      <c r="P7030" s="17">
        <v>1</v>
      </c>
      <c r="Q7030" s="19">
        <v>4959</v>
      </c>
      <c r="R7030" s="14" t="e">
        <v>#N/A</v>
      </c>
      <c r="S7030" s="19" t="e">
        <v>#N/A</v>
      </c>
      <c r="AE7030" s="17" t="s">
        <v>225</v>
      </c>
      <c r="AJ7030" s="19">
        <v>0</v>
      </c>
      <c r="AK7030" s="23">
        <v>0</v>
      </c>
      <c r="AM7030" s="19">
        <v>0</v>
      </c>
      <c r="AN7030" s="19" t="e">
        <v>#N/A</v>
      </c>
      <c r="AP7030" s="14" t="e">
        <v>#N/A</v>
      </c>
      <c r="AQ7030" s="12">
        <v>1E-4</v>
      </c>
    </row>
    <row r="7031" spans="1:45" x14ac:dyDescent="0.2">
      <c r="A7031" s="2">
        <v>5776</v>
      </c>
      <c r="B7031" s="13">
        <v>5</v>
      </c>
      <c r="C7031" s="17" t="s">
        <v>65</v>
      </c>
      <c r="D7031" s="17">
        <v>863</v>
      </c>
      <c r="E7031" s="17">
        <v>134</v>
      </c>
      <c r="H7031" s="17">
        <v>5</v>
      </c>
      <c r="I7031" s="17">
        <v>1</v>
      </c>
      <c r="J7031" s="17">
        <v>57</v>
      </c>
      <c r="K7031" s="10">
        <v>2157</v>
      </c>
      <c r="P7031" s="17">
        <v>1</v>
      </c>
      <c r="Q7031" s="19">
        <v>2157</v>
      </c>
      <c r="R7031" s="14">
        <v>3000</v>
      </c>
      <c r="S7031" s="19">
        <v>6471000</v>
      </c>
      <c r="AE7031" s="17" t="s">
        <v>94</v>
      </c>
      <c r="AJ7031" s="19">
        <v>0</v>
      </c>
      <c r="AK7031" s="23">
        <v>0</v>
      </c>
      <c r="AM7031" s="19">
        <v>0</v>
      </c>
      <c r="AN7031" s="19">
        <v>6471000</v>
      </c>
      <c r="AP7031" s="14">
        <v>6471000</v>
      </c>
      <c r="AQ7031" s="12">
        <v>1E-4</v>
      </c>
    </row>
    <row r="7032" spans="1:45" x14ac:dyDescent="0.2">
      <c r="A7032" s="2">
        <f>+A7031+1</f>
        <v>5777</v>
      </c>
      <c r="B7032" s="13">
        <v>1</v>
      </c>
      <c r="C7032" s="17" t="s">
        <v>52</v>
      </c>
      <c r="D7032" s="17">
        <v>30982</v>
      </c>
      <c r="E7032" s="17">
        <v>88</v>
      </c>
      <c r="F7032" s="17">
        <v>5934</v>
      </c>
      <c r="G7032" s="13">
        <v>2</v>
      </c>
      <c r="H7032" s="17">
        <v>2</v>
      </c>
      <c r="I7032" s="17">
        <v>3</v>
      </c>
      <c r="J7032" s="17">
        <v>80.05</v>
      </c>
      <c r="K7032" s="10">
        <v>1180.05</v>
      </c>
      <c r="P7032" s="17">
        <v>1</v>
      </c>
      <c r="Q7032" s="19">
        <v>1180.05</v>
      </c>
      <c r="R7032" s="14">
        <v>160</v>
      </c>
      <c r="S7032" s="19">
        <v>188808</v>
      </c>
      <c r="AJ7032" s="19">
        <v>0</v>
      </c>
      <c r="AK7032" s="23">
        <v>0</v>
      </c>
      <c r="AM7032" s="19">
        <v>0</v>
      </c>
      <c r="AN7032" s="19">
        <v>188808</v>
      </c>
      <c r="AP7032" s="14">
        <v>188808</v>
      </c>
    </row>
    <row r="7033" spans="1:45" ht="42" x14ac:dyDescent="0.2">
      <c r="A7033" s="122">
        <f t="shared" ref="A7033:A7035" si="709">+A7032+1</f>
        <v>5778</v>
      </c>
      <c r="B7033" s="13">
        <v>1</v>
      </c>
      <c r="C7033" s="17" t="s">
        <v>52</v>
      </c>
      <c r="D7033" s="17">
        <v>30435</v>
      </c>
      <c r="E7033" s="17">
        <v>39</v>
      </c>
      <c r="F7033" s="17">
        <v>5841</v>
      </c>
      <c r="G7033" s="13">
        <v>7</v>
      </c>
      <c r="H7033" s="17">
        <v>0</v>
      </c>
      <c r="I7033" s="17">
        <v>1</v>
      </c>
      <c r="J7033" s="17">
        <v>2</v>
      </c>
      <c r="N7033" s="18">
        <v>102</v>
      </c>
      <c r="P7033" s="17">
        <v>4</v>
      </c>
      <c r="Q7033" s="19">
        <v>102</v>
      </c>
      <c r="R7033" s="14">
        <v>4500</v>
      </c>
      <c r="S7033" s="19">
        <v>459000</v>
      </c>
      <c r="AJ7033" s="19">
        <v>0</v>
      </c>
      <c r="AK7033" s="23">
        <v>0</v>
      </c>
      <c r="AM7033" s="19">
        <v>0</v>
      </c>
      <c r="AN7033" s="19">
        <v>459000</v>
      </c>
      <c r="AP7033" s="14">
        <v>459000</v>
      </c>
      <c r="AQ7033" s="12">
        <v>3.0000000000000001E-3</v>
      </c>
      <c r="AS7033" s="26" t="s">
        <v>648</v>
      </c>
    </row>
    <row r="7034" spans="1:45" x14ac:dyDescent="0.2">
      <c r="A7034" s="122">
        <f t="shared" si="709"/>
        <v>5779</v>
      </c>
      <c r="B7034" s="13">
        <v>1</v>
      </c>
      <c r="C7034" s="17" t="s">
        <v>65</v>
      </c>
      <c r="D7034" s="17">
        <v>1549</v>
      </c>
      <c r="E7034" s="17">
        <v>17</v>
      </c>
      <c r="H7034" s="17">
        <v>25</v>
      </c>
      <c r="I7034" s="17">
        <v>2</v>
      </c>
      <c r="J7034" s="17">
        <v>10</v>
      </c>
      <c r="K7034" s="10">
        <v>10210</v>
      </c>
      <c r="P7034" s="17">
        <v>1</v>
      </c>
      <c r="Q7034" s="19">
        <v>10210</v>
      </c>
      <c r="R7034" s="14">
        <v>200</v>
      </c>
      <c r="S7034" s="19">
        <v>2042000</v>
      </c>
      <c r="AE7034" s="17" t="s">
        <v>220</v>
      </c>
      <c r="AJ7034" s="19">
        <v>0</v>
      </c>
      <c r="AK7034" s="23">
        <v>0</v>
      </c>
      <c r="AM7034" s="19">
        <v>0</v>
      </c>
      <c r="AN7034" s="19">
        <v>2042000</v>
      </c>
      <c r="AP7034" s="14">
        <v>2042000</v>
      </c>
      <c r="AQ7034" s="12">
        <v>1E-4</v>
      </c>
    </row>
    <row r="7035" spans="1:45" ht="126" x14ac:dyDescent="0.2">
      <c r="A7035" s="122">
        <f t="shared" si="709"/>
        <v>5780</v>
      </c>
      <c r="B7035" s="13">
        <v>1</v>
      </c>
      <c r="C7035" s="17" t="s">
        <v>52</v>
      </c>
      <c r="D7035" s="17">
        <v>19300</v>
      </c>
      <c r="E7035" s="17">
        <v>127</v>
      </c>
      <c r="F7035" s="17">
        <v>3678</v>
      </c>
      <c r="G7035" s="13">
        <v>2</v>
      </c>
      <c r="H7035" s="17">
        <v>0</v>
      </c>
      <c r="I7035" s="17">
        <v>0</v>
      </c>
      <c r="J7035" s="17">
        <v>44</v>
      </c>
      <c r="M7035" s="15" t="s">
        <v>595</v>
      </c>
      <c r="N7035" s="18">
        <v>4</v>
      </c>
      <c r="P7035" s="17">
        <v>5</v>
      </c>
      <c r="Q7035" s="19">
        <v>44</v>
      </c>
      <c r="R7035" s="14">
        <v>4500</v>
      </c>
      <c r="S7035" s="19">
        <v>198000</v>
      </c>
      <c r="T7035" s="17">
        <v>1</v>
      </c>
      <c r="U7035" s="17" t="s">
        <v>174</v>
      </c>
      <c r="V7035" s="17" t="s">
        <v>56</v>
      </c>
      <c r="W7035" s="4">
        <v>160</v>
      </c>
      <c r="Z7035" s="17" t="s">
        <v>639</v>
      </c>
      <c r="AB7035" s="17" t="s">
        <v>698</v>
      </c>
      <c r="AC7035" s="14" t="s">
        <v>566</v>
      </c>
      <c r="AF7035" s="14">
        <v>3</v>
      </c>
      <c r="AG7035" s="54">
        <v>160</v>
      </c>
      <c r="AH7035" s="11">
        <v>1</v>
      </c>
      <c r="AI7035" s="14">
        <v>5800</v>
      </c>
      <c r="AJ7035" s="19">
        <v>928000</v>
      </c>
      <c r="AK7035" s="23" t="s">
        <v>698</v>
      </c>
      <c r="AL7035" s="11">
        <v>0.48</v>
      </c>
      <c r="AM7035" s="19">
        <v>482560</v>
      </c>
      <c r="AN7035" s="19">
        <v>680560</v>
      </c>
      <c r="AP7035" s="14">
        <v>680560</v>
      </c>
      <c r="AQ7035" s="12">
        <v>3.0000000000000001E-3</v>
      </c>
      <c r="AS7035" s="26">
        <v>2250</v>
      </c>
    </row>
    <row r="7036" spans="1:45" x14ac:dyDescent="0.2">
      <c r="R7036" s="14" t="e">
        <v>#N/A</v>
      </c>
    </row>
    <row r="7037" spans="1:45" ht="42" x14ac:dyDescent="0.2">
      <c r="A7037" s="2">
        <v>5781</v>
      </c>
      <c r="B7037" s="13">
        <v>1</v>
      </c>
      <c r="C7037" s="17" t="s">
        <v>52</v>
      </c>
      <c r="D7037" s="17">
        <v>4946</v>
      </c>
      <c r="E7037" s="17">
        <v>4</v>
      </c>
      <c r="F7037" s="17">
        <v>2550</v>
      </c>
      <c r="G7037" s="13">
        <v>7</v>
      </c>
      <c r="H7037" s="17">
        <v>0</v>
      </c>
      <c r="I7037" s="17">
        <v>2</v>
      </c>
      <c r="J7037" s="17">
        <v>64</v>
      </c>
      <c r="K7037" s="10">
        <v>208</v>
      </c>
      <c r="L7037" s="17">
        <v>56</v>
      </c>
      <c r="P7037" s="17">
        <v>5</v>
      </c>
      <c r="Q7037" s="19">
        <v>264</v>
      </c>
      <c r="R7037" s="14">
        <v>3400</v>
      </c>
      <c r="S7037" s="19">
        <v>897600</v>
      </c>
      <c r="T7037" s="17">
        <v>1</v>
      </c>
      <c r="V7037" s="17" t="s">
        <v>723</v>
      </c>
      <c r="W7037" s="4">
        <v>224</v>
      </c>
      <c r="Y7037" s="4">
        <v>224</v>
      </c>
      <c r="AB7037" s="17">
        <v>12</v>
      </c>
      <c r="AJ7037" s="19">
        <v>0</v>
      </c>
      <c r="AK7037" s="23">
        <v>12</v>
      </c>
      <c r="AM7037" s="19">
        <v>0</v>
      </c>
      <c r="AN7037" s="19">
        <v>897600</v>
      </c>
      <c r="AP7037" s="14">
        <v>897600</v>
      </c>
    </row>
    <row r="7038" spans="1:45" x14ac:dyDescent="0.2">
      <c r="A7038" s="2">
        <f>+A7037+1</f>
        <v>5782</v>
      </c>
      <c r="B7038" s="13">
        <v>1</v>
      </c>
      <c r="C7038" s="17" t="s">
        <v>52</v>
      </c>
      <c r="D7038" s="17">
        <v>12641</v>
      </c>
      <c r="E7038" s="17">
        <v>518</v>
      </c>
      <c r="F7038" s="17">
        <v>3273</v>
      </c>
      <c r="G7038" s="13">
        <v>2</v>
      </c>
      <c r="H7038" s="17">
        <v>0</v>
      </c>
      <c r="I7038" s="17">
        <v>0</v>
      </c>
      <c r="J7038" s="17">
        <v>59.02</v>
      </c>
      <c r="N7038" s="18">
        <v>59.02</v>
      </c>
      <c r="P7038" s="17">
        <v>4</v>
      </c>
      <c r="Q7038" s="19">
        <v>59.02</v>
      </c>
      <c r="R7038" s="14">
        <v>250</v>
      </c>
      <c r="S7038" s="19">
        <v>14755</v>
      </c>
      <c r="AJ7038" s="19">
        <v>0</v>
      </c>
      <c r="AK7038" s="23">
        <v>0</v>
      </c>
      <c r="AM7038" s="19">
        <v>0</v>
      </c>
      <c r="AN7038" s="19">
        <v>14755</v>
      </c>
      <c r="AP7038" s="14">
        <v>14755</v>
      </c>
      <c r="AQ7038" s="12">
        <v>3.0000000000000001E-3</v>
      </c>
    </row>
    <row r="7039" spans="1:45" x14ac:dyDescent="0.2">
      <c r="A7039" s="122">
        <f t="shared" ref="A7039:A7045" si="710">+A7038+1</f>
        <v>5783</v>
      </c>
      <c r="B7039" s="13">
        <v>1</v>
      </c>
      <c r="C7039" s="17" t="s">
        <v>65</v>
      </c>
      <c r="D7039" s="17">
        <v>427</v>
      </c>
      <c r="E7039" s="17">
        <v>89</v>
      </c>
      <c r="H7039" s="17">
        <v>6</v>
      </c>
      <c r="I7039" s="17">
        <v>3</v>
      </c>
      <c r="J7039" s="17">
        <v>0</v>
      </c>
      <c r="K7039" s="10">
        <v>2700</v>
      </c>
      <c r="P7039" s="17">
        <v>1</v>
      </c>
      <c r="Q7039" s="19">
        <v>2700</v>
      </c>
      <c r="R7039" s="14">
        <v>200</v>
      </c>
      <c r="S7039" s="19">
        <v>540000</v>
      </c>
      <c r="AJ7039" s="19">
        <v>0</v>
      </c>
      <c r="AK7039" s="23">
        <v>0</v>
      </c>
      <c r="AM7039" s="19">
        <v>0</v>
      </c>
      <c r="AN7039" s="19">
        <v>540000</v>
      </c>
      <c r="AP7039" s="14">
        <v>540000</v>
      </c>
      <c r="AQ7039" s="12">
        <v>1E-4</v>
      </c>
    </row>
    <row r="7040" spans="1:45" x14ac:dyDescent="0.2">
      <c r="A7040" s="122">
        <f t="shared" si="710"/>
        <v>5784</v>
      </c>
      <c r="B7040" s="13">
        <v>1</v>
      </c>
      <c r="C7040" s="17" t="s">
        <v>52</v>
      </c>
      <c r="D7040" s="17">
        <v>33801</v>
      </c>
      <c r="E7040" s="17">
        <v>38</v>
      </c>
      <c r="F7040" s="17">
        <v>6387</v>
      </c>
      <c r="G7040" s="13">
        <v>3</v>
      </c>
      <c r="H7040" s="17">
        <v>0</v>
      </c>
      <c r="I7040" s="17">
        <v>1</v>
      </c>
      <c r="J7040" s="17">
        <v>24</v>
      </c>
      <c r="N7040" s="18">
        <v>124</v>
      </c>
      <c r="P7040" s="17">
        <v>4</v>
      </c>
      <c r="Q7040" s="19">
        <v>124</v>
      </c>
      <c r="R7040" s="14">
        <v>160</v>
      </c>
      <c r="S7040" s="19">
        <v>19840</v>
      </c>
      <c r="AJ7040" s="19">
        <v>0</v>
      </c>
      <c r="AK7040" s="23">
        <v>0</v>
      </c>
      <c r="AM7040" s="19">
        <v>0</v>
      </c>
      <c r="AN7040" s="19">
        <v>19840</v>
      </c>
      <c r="AP7040" s="14">
        <v>19840</v>
      </c>
      <c r="AQ7040" s="12">
        <v>3.0000000000000001E-3</v>
      </c>
    </row>
    <row r="7041" spans="1:45" x14ac:dyDescent="0.2">
      <c r="A7041" s="122">
        <f t="shared" si="710"/>
        <v>5785</v>
      </c>
      <c r="B7041" s="13">
        <v>1</v>
      </c>
      <c r="C7041" s="17" t="s">
        <v>52</v>
      </c>
      <c r="D7041" s="17">
        <v>16787</v>
      </c>
      <c r="E7041" s="17">
        <v>38</v>
      </c>
      <c r="F7041" s="17">
        <v>3745</v>
      </c>
      <c r="G7041" s="13">
        <v>4</v>
      </c>
      <c r="H7041" s="17">
        <v>1</v>
      </c>
      <c r="I7041" s="17">
        <v>0</v>
      </c>
      <c r="J7041" s="17">
        <v>31</v>
      </c>
      <c r="N7041" s="18">
        <v>431</v>
      </c>
      <c r="P7041" s="17">
        <v>4</v>
      </c>
      <c r="Q7041" s="19">
        <v>431</v>
      </c>
      <c r="R7041" s="14">
        <v>1000</v>
      </c>
      <c r="S7041" s="19">
        <v>431000</v>
      </c>
      <c r="AJ7041" s="19">
        <v>0</v>
      </c>
      <c r="AK7041" s="23">
        <v>0</v>
      </c>
      <c r="AM7041" s="19">
        <v>0</v>
      </c>
      <c r="AN7041" s="19">
        <v>431000</v>
      </c>
      <c r="AP7041" s="14">
        <v>431000</v>
      </c>
      <c r="AQ7041" s="12">
        <v>3.0000000000000001E-3</v>
      </c>
    </row>
    <row r="7042" spans="1:45" x14ac:dyDescent="0.2">
      <c r="A7042" s="122">
        <f t="shared" si="710"/>
        <v>5786</v>
      </c>
      <c r="B7042" s="13">
        <v>1</v>
      </c>
      <c r="C7042" s="17" t="s">
        <v>52</v>
      </c>
      <c r="D7042" s="17">
        <v>8364</v>
      </c>
      <c r="E7042" s="17">
        <v>72</v>
      </c>
      <c r="F7042" s="17">
        <v>3132</v>
      </c>
      <c r="G7042" s="13">
        <v>4</v>
      </c>
      <c r="H7042" s="17">
        <v>0</v>
      </c>
      <c r="I7042" s="17">
        <v>1</v>
      </c>
      <c r="J7042" s="17">
        <v>8.08</v>
      </c>
      <c r="N7042" s="18">
        <v>108.08</v>
      </c>
      <c r="P7042" s="17">
        <v>4</v>
      </c>
      <c r="Q7042" s="19">
        <v>108.08</v>
      </c>
      <c r="R7042" s="14">
        <v>2000</v>
      </c>
      <c r="S7042" s="19">
        <v>216160</v>
      </c>
      <c r="AJ7042" s="19">
        <v>0</v>
      </c>
      <c r="AK7042" s="23">
        <v>0</v>
      </c>
      <c r="AM7042" s="19">
        <v>0</v>
      </c>
      <c r="AN7042" s="19">
        <v>216160</v>
      </c>
      <c r="AP7042" s="14">
        <v>216160</v>
      </c>
      <c r="AQ7042" s="12">
        <v>3.0000000000000001E-3</v>
      </c>
    </row>
    <row r="7043" spans="1:45" x14ac:dyDescent="0.2">
      <c r="A7043" s="122">
        <f t="shared" si="710"/>
        <v>5787</v>
      </c>
      <c r="B7043" s="13">
        <v>2</v>
      </c>
      <c r="C7043" s="17" t="s">
        <v>52</v>
      </c>
      <c r="D7043" s="17">
        <v>12333</v>
      </c>
      <c r="E7043" s="17">
        <v>79</v>
      </c>
      <c r="F7043" s="17">
        <v>3233</v>
      </c>
      <c r="G7043" s="13">
        <v>4</v>
      </c>
      <c r="H7043" s="17">
        <v>0</v>
      </c>
      <c r="I7043" s="17">
        <v>0</v>
      </c>
      <c r="J7043" s="17">
        <v>26.02</v>
      </c>
      <c r="M7043" s="15">
        <v>26.02</v>
      </c>
      <c r="P7043" s="17">
        <v>3</v>
      </c>
      <c r="Q7043" s="19">
        <v>26.02</v>
      </c>
      <c r="R7043" s="14">
        <v>200</v>
      </c>
      <c r="S7043" s="19">
        <v>5204</v>
      </c>
      <c r="AJ7043" s="19">
        <v>0</v>
      </c>
      <c r="AK7043" s="23">
        <v>0</v>
      </c>
      <c r="AM7043" s="19">
        <v>0</v>
      </c>
      <c r="AN7043" s="19">
        <v>5204</v>
      </c>
      <c r="AP7043" s="14">
        <v>5204</v>
      </c>
    </row>
    <row r="7044" spans="1:45" ht="42" x14ac:dyDescent="0.2">
      <c r="A7044" s="122">
        <f t="shared" si="710"/>
        <v>5788</v>
      </c>
      <c r="B7044" s="13">
        <v>3</v>
      </c>
      <c r="C7044" s="17" t="s">
        <v>65</v>
      </c>
      <c r="D7044" s="17">
        <v>2456</v>
      </c>
      <c r="E7044" s="17">
        <v>125</v>
      </c>
      <c r="H7044" s="17">
        <v>0</v>
      </c>
      <c r="I7044" s="17">
        <v>0</v>
      </c>
      <c r="J7044" s="17">
        <v>64</v>
      </c>
      <c r="L7044" s="17" t="s">
        <v>300</v>
      </c>
      <c r="P7044" s="17">
        <v>2</v>
      </c>
      <c r="Q7044" s="19">
        <v>64</v>
      </c>
      <c r="R7044" s="14">
        <v>2000</v>
      </c>
      <c r="S7044" s="19">
        <v>128000</v>
      </c>
      <c r="T7044" s="17">
        <v>1</v>
      </c>
      <c r="V7044" s="17" t="s">
        <v>530</v>
      </c>
      <c r="W7044" s="4">
        <v>154</v>
      </c>
      <c r="Y7044" s="4">
        <v>154</v>
      </c>
      <c r="AB7044" s="17">
        <v>21</v>
      </c>
      <c r="AJ7044" s="19">
        <v>0</v>
      </c>
      <c r="AK7044" s="23">
        <v>21</v>
      </c>
      <c r="AM7044" s="19">
        <v>0</v>
      </c>
      <c r="AN7044" s="19">
        <v>128000</v>
      </c>
      <c r="AP7044" s="14">
        <v>128000</v>
      </c>
      <c r="AQ7044" s="12">
        <v>2.0000000000000001E-4</v>
      </c>
    </row>
    <row r="7045" spans="1:45" ht="105" x14ac:dyDescent="0.2">
      <c r="A7045" s="122">
        <f t="shared" si="710"/>
        <v>5789</v>
      </c>
      <c r="B7045" s="13">
        <v>4</v>
      </c>
      <c r="C7045" s="17" t="s">
        <v>52</v>
      </c>
      <c r="D7045" s="17">
        <v>8357</v>
      </c>
      <c r="E7045" s="17">
        <v>65</v>
      </c>
      <c r="F7045" s="17">
        <v>3125</v>
      </c>
      <c r="G7045" s="13">
        <v>4</v>
      </c>
      <c r="H7045" s="17">
        <v>0</v>
      </c>
      <c r="I7045" s="17">
        <v>0</v>
      </c>
      <c r="J7045" s="17">
        <v>67.09</v>
      </c>
      <c r="L7045" s="17" t="s">
        <v>724</v>
      </c>
      <c r="P7045" s="17">
        <v>2</v>
      </c>
      <c r="Q7045" s="19">
        <v>67.09</v>
      </c>
      <c r="R7045" s="14">
        <v>250</v>
      </c>
      <c r="S7045" s="19">
        <v>16772.5</v>
      </c>
      <c r="T7045" s="17">
        <v>1</v>
      </c>
      <c r="V7045" s="17" t="s">
        <v>183</v>
      </c>
      <c r="W7045" s="4">
        <v>99</v>
      </c>
      <c r="Y7045" s="4">
        <v>99</v>
      </c>
      <c r="AC7045" s="14" t="s">
        <v>535</v>
      </c>
      <c r="AJ7045" s="19">
        <v>0</v>
      </c>
      <c r="AK7045" s="23">
        <v>0</v>
      </c>
      <c r="AM7045" s="19">
        <v>0</v>
      </c>
      <c r="AN7045" s="19">
        <v>16772.5</v>
      </c>
      <c r="AP7045" s="14">
        <v>16772.5</v>
      </c>
    </row>
    <row r="7046" spans="1:45" x14ac:dyDescent="0.2">
      <c r="B7046" s="13">
        <v>1</v>
      </c>
      <c r="C7046" s="17" t="s">
        <v>65</v>
      </c>
      <c r="D7046" s="17">
        <v>3660</v>
      </c>
      <c r="E7046" s="17">
        <v>175</v>
      </c>
      <c r="H7046" s="17">
        <v>0</v>
      </c>
      <c r="I7046" s="17">
        <v>0</v>
      </c>
      <c r="J7046" s="17">
        <v>18</v>
      </c>
      <c r="K7046" s="10">
        <v>18</v>
      </c>
      <c r="P7046" s="17">
        <v>1</v>
      </c>
      <c r="Q7046" s="19">
        <v>18</v>
      </c>
      <c r="R7046" s="14" t="e">
        <v>#N/A</v>
      </c>
      <c r="S7046" s="19" t="e">
        <v>#N/A</v>
      </c>
      <c r="AE7046" s="17" t="s">
        <v>95</v>
      </c>
      <c r="AJ7046" s="19">
        <v>0</v>
      </c>
      <c r="AK7046" s="23">
        <v>0</v>
      </c>
      <c r="AM7046" s="19">
        <v>0</v>
      </c>
      <c r="AN7046" s="19" t="e">
        <v>#N/A</v>
      </c>
      <c r="AP7046" s="14" t="e">
        <v>#N/A</v>
      </c>
      <c r="AQ7046" s="12">
        <v>1E-4</v>
      </c>
    </row>
    <row r="7047" spans="1:45" x14ac:dyDescent="0.2">
      <c r="A7047" s="2">
        <v>5790</v>
      </c>
      <c r="B7047" s="13">
        <v>1</v>
      </c>
      <c r="C7047" s="17" t="s">
        <v>52</v>
      </c>
      <c r="D7047" s="17">
        <v>2139</v>
      </c>
      <c r="E7047" s="17">
        <v>43</v>
      </c>
      <c r="F7047" s="17">
        <v>1702</v>
      </c>
      <c r="G7047" s="13">
        <v>4</v>
      </c>
      <c r="H7047" s="17">
        <v>0</v>
      </c>
      <c r="I7047" s="17">
        <v>0</v>
      </c>
      <c r="J7047" s="17">
        <v>41</v>
      </c>
      <c r="L7047" s="17">
        <v>41</v>
      </c>
      <c r="P7047" s="17">
        <v>2</v>
      </c>
      <c r="Q7047" s="19">
        <v>41</v>
      </c>
      <c r="R7047" s="14">
        <v>250</v>
      </c>
      <c r="S7047" s="19">
        <v>10250</v>
      </c>
      <c r="AJ7047" s="19">
        <v>0</v>
      </c>
      <c r="AK7047" s="23">
        <v>0</v>
      </c>
      <c r="AM7047" s="19">
        <v>0</v>
      </c>
      <c r="AN7047" s="19">
        <v>10250</v>
      </c>
      <c r="AP7047" s="14">
        <v>10250</v>
      </c>
    </row>
    <row r="7048" spans="1:45" ht="231" x14ac:dyDescent="0.2">
      <c r="A7048" s="2">
        <v>5791</v>
      </c>
      <c r="B7048" s="13">
        <v>1</v>
      </c>
      <c r="C7048" s="17" t="s">
        <v>52</v>
      </c>
      <c r="D7048" s="17">
        <v>31148</v>
      </c>
      <c r="E7048" s="17">
        <v>129</v>
      </c>
      <c r="F7048" s="17">
        <v>6093</v>
      </c>
      <c r="G7048" s="13">
        <v>5</v>
      </c>
      <c r="H7048" s="17">
        <v>0</v>
      </c>
      <c r="I7048" s="17">
        <v>0</v>
      </c>
      <c r="J7048" s="17">
        <v>49.07</v>
      </c>
      <c r="L7048" s="17" t="s">
        <v>725</v>
      </c>
      <c r="P7048" s="17">
        <v>2</v>
      </c>
      <c r="Q7048" s="19">
        <v>49.07</v>
      </c>
      <c r="R7048" s="14">
        <v>1500</v>
      </c>
      <c r="S7048" s="19">
        <v>73605</v>
      </c>
      <c r="T7048" s="17">
        <v>1</v>
      </c>
      <c r="V7048" s="17" t="s">
        <v>183</v>
      </c>
      <c r="W7048" s="4">
        <v>99</v>
      </c>
      <c r="Y7048" s="4" t="s">
        <v>252</v>
      </c>
      <c r="Z7048" s="17">
        <v>11</v>
      </c>
      <c r="AB7048" s="17" t="s">
        <v>726</v>
      </c>
      <c r="AC7048" s="14" t="s">
        <v>486</v>
      </c>
      <c r="AF7048" s="14">
        <v>2</v>
      </c>
      <c r="AG7048" s="54">
        <v>99</v>
      </c>
      <c r="AH7048" s="11">
        <v>0.88</v>
      </c>
      <c r="AI7048" s="14">
        <v>7250</v>
      </c>
      <c r="AJ7048" s="19">
        <v>631620</v>
      </c>
      <c r="AK7048" s="23">
        <v>16</v>
      </c>
      <c r="AL7048" s="11">
        <v>0.22</v>
      </c>
      <c r="AM7048" s="19">
        <v>492663.6</v>
      </c>
      <c r="AN7048" s="19">
        <v>557436</v>
      </c>
      <c r="AP7048" s="14">
        <v>557436</v>
      </c>
      <c r="AS7048" s="26">
        <v>120</v>
      </c>
    </row>
    <row r="7049" spans="1:45" x14ac:dyDescent="0.2">
      <c r="R7049" s="14" t="e">
        <v>#N/A</v>
      </c>
      <c r="AF7049" s="14">
        <v>3</v>
      </c>
      <c r="AG7049" s="54">
        <v>99</v>
      </c>
      <c r="AH7049" s="11">
        <v>0.12</v>
      </c>
      <c r="AI7049" s="14">
        <v>7250</v>
      </c>
      <c r="AJ7049" s="19">
        <v>86130</v>
      </c>
      <c r="AK7049" s="23">
        <v>16</v>
      </c>
      <c r="AL7049" s="11">
        <v>0.22</v>
      </c>
      <c r="AM7049" s="19">
        <v>67181.399999999994</v>
      </c>
      <c r="AN7049" s="19">
        <v>76014</v>
      </c>
      <c r="AP7049" s="14">
        <v>76014</v>
      </c>
      <c r="AQ7049" s="12">
        <v>3.0000000000000001E-3</v>
      </c>
    </row>
    <row r="7050" spans="1:45" x14ac:dyDescent="0.2">
      <c r="A7050" s="2">
        <v>5792</v>
      </c>
      <c r="B7050" s="13">
        <v>1</v>
      </c>
      <c r="C7050" s="17" t="s">
        <v>52</v>
      </c>
      <c r="D7050" s="17">
        <v>1761</v>
      </c>
      <c r="E7050" s="17">
        <v>20</v>
      </c>
      <c r="F7050" s="17">
        <v>769</v>
      </c>
      <c r="G7050" s="13">
        <v>6</v>
      </c>
      <c r="H7050" s="17">
        <v>0</v>
      </c>
      <c r="I7050" s="17">
        <v>2</v>
      </c>
      <c r="J7050" s="17">
        <v>24</v>
      </c>
      <c r="N7050" s="18">
        <v>224</v>
      </c>
      <c r="P7050" s="17">
        <v>4</v>
      </c>
      <c r="Q7050" s="19">
        <v>224</v>
      </c>
      <c r="R7050" s="14">
        <v>2250</v>
      </c>
      <c r="S7050" s="19">
        <v>504000</v>
      </c>
      <c r="AJ7050" s="19">
        <v>0</v>
      </c>
      <c r="AK7050" s="23">
        <v>0</v>
      </c>
      <c r="AM7050" s="19">
        <v>0</v>
      </c>
      <c r="AN7050" s="19">
        <v>504000</v>
      </c>
      <c r="AP7050" s="14">
        <v>504000</v>
      </c>
      <c r="AQ7050" s="12">
        <v>3.0000000000000001E-3</v>
      </c>
    </row>
    <row r="7051" spans="1:45" ht="42" x14ac:dyDescent="0.2">
      <c r="A7051" s="2">
        <f>+A7050+1</f>
        <v>5793</v>
      </c>
      <c r="B7051" s="13">
        <v>2</v>
      </c>
      <c r="C7051" s="17" t="s">
        <v>52</v>
      </c>
      <c r="D7051" s="17">
        <v>4974</v>
      </c>
      <c r="E7051" s="17">
        <v>32</v>
      </c>
      <c r="F7051" s="17">
        <v>2590</v>
      </c>
      <c r="G7051" s="13">
        <v>7</v>
      </c>
      <c r="H7051" s="17">
        <v>0</v>
      </c>
      <c r="I7051" s="17">
        <v>1</v>
      </c>
      <c r="J7051" s="17">
        <v>28</v>
      </c>
      <c r="L7051" s="17" t="s">
        <v>727</v>
      </c>
      <c r="P7051" s="17">
        <v>2</v>
      </c>
      <c r="Q7051" s="19">
        <v>128</v>
      </c>
      <c r="R7051" s="14">
        <v>4500</v>
      </c>
      <c r="S7051" s="19">
        <v>576000</v>
      </c>
      <c r="T7051" s="17">
        <v>1</v>
      </c>
      <c r="V7051" s="17" t="s">
        <v>183</v>
      </c>
      <c r="W7051" s="4">
        <v>176</v>
      </c>
      <c r="Y7051" s="4">
        <v>176</v>
      </c>
      <c r="AB7051" s="17">
        <v>30</v>
      </c>
      <c r="AJ7051" s="19">
        <v>0</v>
      </c>
      <c r="AK7051" s="23">
        <v>30</v>
      </c>
      <c r="AM7051" s="19">
        <v>0</v>
      </c>
      <c r="AN7051" s="19">
        <v>576000</v>
      </c>
      <c r="AP7051" s="14">
        <v>576000</v>
      </c>
    </row>
    <row r="7052" spans="1:45" x14ac:dyDescent="0.2">
      <c r="A7052" s="122">
        <f t="shared" ref="A7052:A7082" si="711">+A7051+1</f>
        <v>5794</v>
      </c>
      <c r="B7052" s="13">
        <v>1</v>
      </c>
      <c r="C7052" s="17" t="s">
        <v>52</v>
      </c>
      <c r="D7052" s="17">
        <v>4782</v>
      </c>
      <c r="E7052" s="17">
        <v>92</v>
      </c>
      <c r="F7052" s="17">
        <v>2652</v>
      </c>
      <c r="G7052" s="13">
        <v>7</v>
      </c>
      <c r="H7052" s="17">
        <v>24</v>
      </c>
      <c r="I7052" s="17">
        <v>1</v>
      </c>
      <c r="J7052" s="17">
        <v>5</v>
      </c>
      <c r="K7052" s="10">
        <v>9705</v>
      </c>
      <c r="P7052" s="17">
        <v>1</v>
      </c>
      <c r="Q7052" s="19">
        <v>9705</v>
      </c>
      <c r="R7052" s="14">
        <v>160</v>
      </c>
      <c r="S7052" s="19">
        <v>1552800</v>
      </c>
      <c r="AJ7052" s="19">
        <v>0</v>
      </c>
      <c r="AK7052" s="23">
        <v>0</v>
      </c>
      <c r="AM7052" s="19">
        <v>0</v>
      </c>
      <c r="AN7052" s="19">
        <v>1552800</v>
      </c>
      <c r="AP7052" s="14">
        <v>1552800</v>
      </c>
      <c r="AS7052" s="26">
        <v>91</v>
      </c>
    </row>
    <row r="7053" spans="1:45" x14ac:dyDescent="0.2">
      <c r="A7053" s="122">
        <f t="shared" si="711"/>
        <v>5795</v>
      </c>
      <c r="B7053" s="13">
        <v>2</v>
      </c>
      <c r="C7053" s="17" t="s">
        <v>65</v>
      </c>
      <c r="D7053" s="17">
        <v>1557</v>
      </c>
      <c r="E7053" s="17">
        <v>25</v>
      </c>
      <c r="H7053" s="17">
        <v>16</v>
      </c>
      <c r="I7053" s="17">
        <v>2</v>
      </c>
      <c r="J7053" s="17">
        <v>10</v>
      </c>
      <c r="K7053" s="10">
        <v>6610</v>
      </c>
      <c r="P7053" s="17">
        <v>1</v>
      </c>
      <c r="Q7053" s="19">
        <v>6610</v>
      </c>
      <c r="R7053" s="14">
        <v>160</v>
      </c>
      <c r="S7053" s="19">
        <v>1057600</v>
      </c>
      <c r="AE7053" s="17" t="s">
        <v>94</v>
      </c>
      <c r="AJ7053" s="19">
        <v>0</v>
      </c>
      <c r="AK7053" s="23">
        <v>0</v>
      </c>
      <c r="AM7053" s="19">
        <v>0</v>
      </c>
      <c r="AN7053" s="19">
        <v>1057600</v>
      </c>
      <c r="AP7053" s="14">
        <v>1057600</v>
      </c>
    </row>
    <row r="7054" spans="1:45" x14ac:dyDescent="0.2">
      <c r="A7054" s="122">
        <f t="shared" si="711"/>
        <v>5796</v>
      </c>
      <c r="B7054" s="13">
        <v>1</v>
      </c>
      <c r="C7054" s="17" t="s">
        <v>52</v>
      </c>
      <c r="D7054" s="17">
        <v>4784</v>
      </c>
      <c r="E7054" s="17">
        <v>94</v>
      </c>
      <c r="F7054" s="17">
        <v>2654</v>
      </c>
      <c r="G7054" s="13">
        <v>7</v>
      </c>
      <c r="H7054" s="17">
        <v>16</v>
      </c>
      <c r="I7054" s="17">
        <v>2</v>
      </c>
      <c r="J7054" s="17">
        <v>65</v>
      </c>
      <c r="K7054" s="10">
        <v>6665</v>
      </c>
      <c r="P7054" s="17">
        <v>1</v>
      </c>
      <c r="Q7054" s="19">
        <v>6665</v>
      </c>
      <c r="R7054" s="14">
        <v>160</v>
      </c>
      <c r="S7054" s="19">
        <v>1066400</v>
      </c>
      <c r="AJ7054" s="19">
        <v>0</v>
      </c>
      <c r="AK7054" s="23">
        <v>0</v>
      </c>
      <c r="AM7054" s="19">
        <v>0</v>
      </c>
      <c r="AN7054" s="19">
        <v>1066400</v>
      </c>
      <c r="AP7054" s="14">
        <v>1066400</v>
      </c>
    </row>
    <row r="7055" spans="1:45" x14ac:dyDescent="0.2">
      <c r="A7055" s="122">
        <f t="shared" si="711"/>
        <v>5797</v>
      </c>
      <c r="B7055" s="13">
        <v>2</v>
      </c>
      <c r="C7055" s="17" t="s">
        <v>52</v>
      </c>
      <c r="D7055" s="17">
        <v>4840</v>
      </c>
      <c r="E7055" s="17">
        <v>23</v>
      </c>
      <c r="F7055" s="17">
        <v>2730</v>
      </c>
      <c r="G7055" s="13">
        <v>7</v>
      </c>
      <c r="H7055" s="17">
        <v>12</v>
      </c>
      <c r="I7055" s="17">
        <v>3</v>
      </c>
      <c r="J7055" s="17">
        <v>25</v>
      </c>
      <c r="K7055" s="10">
        <v>5125</v>
      </c>
      <c r="P7055" s="17">
        <v>1</v>
      </c>
      <c r="Q7055" s="19">
        <v>5125</v>
      </c>
      <c r="R7055" s="14">
        <v>160</v>
      </c>
      <c r="S7055" s="19">
        <v>820000</v>
      </c>
      <c r="AJ7055" s="19">
        <v>0</v>
      </c>
      <c r="AK7055" s="23">
        <v>0</v>
      </c>
      <c r="AM7055" s="19">
        <v>0</v>
      </c>
      <c r="AN7055" s="19">
        <v>820000</v>
      </c>
      <c r="AP7055" s="14">
        <v>820000</v>
      </c>
    </row>
    <row r="7056" spans="1:45" x14ac:dyDescent="0.2">
      <c r="A7056" s="122">
        <f t="shared" si="711"/>
        <v>5798</v>
      </c>
      <c r="B7056" s="13">
        <v>3</v>
      </c>
      <c r="C7056" s="17" t="s">
        <v>52</v>
      </c>
      <c r="D7056" s="17">
        <v>4898</v>
      </c>
      <c r="E7056" s="17">
        <v>22</v>
      </c>
      <c r="F7056" s="17">
        <v>2770</v>
      </c>
      <c r="G7056" s="13">
        <v>7</v>
      </c>
      <c r="H7056" s="17">
        <v>15</v>
      </c>
      <c r="I7056" s="17">
        <v>1</v>
      </c>
      <c r="J7056" s="17">
        <v>96</v>
      </c>
      <c r="K7056" s="10">
        <v>6196</v>
      </c>
      <c r="P7056" s="17">
        <v>1</v>
      </c>
      <c r="Q7056" s="19">
        <v>6196</v>
      </c>
      <c r="R7056" s="14">
        <v>160</v>
      </c>
      <c r="S7056" s="19">
        <v>991360</v>
      </c>
      <c r="AJ7056" s="19">
        <v>0</v>
      </c>
      <c r="AK7056" s="23">
        <v>0</v>
      </c>
      <c r="AM7056" s="19">
        <v>0</v>
      </c>
      <c r="AN7056" s="19">
        <v>991360</v>
      </c>
      <c r="AP7056" s="14">
        <v>991360</v>
      </c>
    </row>
    <row r="7057" spans="1:45" x14ac:dyDescent="0.2">
      <c r="A7057" s="122">
        <f t="shared" si="711"/>
        <v>5799</v>
      </c>
      <c r="B7057" s="13">
        <v>4</v>
      </c>
      <c r="C7057" s="17" t="s">
        <v>52</v>
      </c>
      <c r="D7057" s="17">
        <v>4899</v>
      </c>
      <c r="E7057" s="17">
        <v>72</v>
      </c>
      <c r="F7057" s="17">
        <v>2773</v>
      </c>
      <c r="G7057" s="13">
        <v>7</v>
      </c>
      <c r="H7057" s="17">
        <v>52</v>
      </c>
      <c r="I7057" s="17">
        <v>0</v>
      </c>
      <c r="J7057" s="17">
        <v>71</v>
      </c>
      <c r="K7057" s="10">
        <v>20871</v>
      </c>
      <c r="P7057" s="17">
        <v>1</v>
      </c>
      <c r="Q7057" s="19">
        <v>20871</v>
      </c>
      <c r="R7057" s="14">
        <v>160</v>
      </c>
      <c r="S7057" s="19">
        <v>3339360</v>
      </c>
      <c r="AJ7057" s="19">
        <v>0</v>
      </c>
      <c r="AK7057" s="23">
        <v>0</v>
      </c>
      <c r="AM7057" s="19">
        <v>0</v>
      </c>
      <c r="AN7057" s="19">
        <v>3339360</v>
      </c>
      <c r="AP7057" s="14">
        <v>3339360</v>
      </c>
    </row>
    <row r="7058" spans="1:45" x14ac:dyDescent="0.2">
      <c r="A7058" s="122">
        <f t="shared" si="711"/>
        <v>5800</v>
      </c>
      <c r="B7058" s="13">
        <v>5</v>
      </c>
      <c r="C7058" s="17" t="s">
        <v>52</v>
      </c>
      <c r="D7058" s="17">
        <v>5056</v>
      </c>
      <c r="E7058" s="17">
        <v>7</v>
      </c>
      <c r="F7058" s="17">
        <v>2838</v>
      </c>
      <c r="G7058" s="13">
        <v>7</v>
      </c>
      <c r="H7058" s="17">
        <v>27</v>
      </c>
      <c r="I7058" s="17">
        <v>2</v>
      </c>
      <c r="J7058" s="17">
        <v>64</v>
      </c>
      <c r="K7058" s="10">
        <v>11064</v>
      </c>
      <c r="P7058" s="17">
        <v>1</v>
      </c>
      <c r="Q7058" s="19">
        <v>11064</v>
      </c>
      <c r="R7058" s="14">
        <v>160</v>
      </c>
      <c r="S7058" s="19">
        <v>1770240</v>
      </c>
      <c r="AJ7058" s="19">
        <v>0</v>
      </c>
      <c r="AK7058" s="23">
        <v>0</v>
      </c>
      <c r="AM7058" s="19">
        <v>0</v>
      </c>
      <c r="AN7058" s="19">
        <v>1770240</v>
      </c>
      <c r="AP7058" s="14">
        <v>1770240</v>
      </c>
    </row>
    <row r="7059" spans="1:45" x14ac:dyDescent="0.2">
      <c r="A7059" s="122">
        <f t="shared" si="711"/>
        <v>5801</v>
      </c>
      <c r="B7059" s="13">
        <v>6</v>
      </c>
      <c r="C7059" s="17" t="s">
        <v>52</v>
      </c>
      <c r="D7059" s="17">
        <v>5057</v>
      </c>
      <c r="E7059" s="17">
        <v>8</v>
      </c>
      <c r="F7059" s="17">
        <v>2839</v>
      </c>
      <c r="G7059" s="13">
        <v>7</v>
      </c>
      <c r="H7059" s="17">
        <v>31</v>
      </c>
      <c r="I7059" s="17">
        <v>3</v>
      </c>
      <c r="J7059" s="17">
        <v>4</v>
      </c>
      <c r="K7059" s="10">
        <v>12704</v>
      </c>
      <c r="P7059" s="17">
        <v>1</v>
      </c>
      <c r="Q7059" s="19">
        <v>12704</v>
      </c>
      <c r="R7059" s="14">
        <v>160</v>
      </c>
      <c r="S7059" s="19">
        <v>2032640</v>
      </c>
      <c r="AJ7059" s="19">
        <v>0</v>
      </c>
      <c r="AK7059" s="23">
        <v>0</v>
      </c>
      <c r="AM7059" s="19">
        <v>0</v>
      </c>
      <c r="AN7059" s="19">
        <v>2032640</v>
      </c>
      <c r="AP7059" s="14">
        <v>2032640</v>
      </c>
    </row>
    <row r="7060" spans="1:45" x14ac:dyDescent="0.2">
      <c r="A7060" s="122">
        <f t="shared" si="711"/>
        <v>5802</v>
      </c>
      <c r="B7060" s="13">
        <v>7</v>
      </c>
      <c r="C7060" s="17" t="s">
        <v>52</v>
      </c>
      <c r="D7060" s="17">
        <v>5059</v>
      </c>
      <c r="E7060" s="17">
        <v>10</v>
      </c>
      <c r="F7060" s="17">
        <v>2841</v>
      </c>
      <c r="G7060" s="13">
        <v>7</v>
      </c>
      <c r="H7060" s="17">
        <v>14</v>
      </c>
      <c r="I7060" s="17">
        <v>1</v>
      </c>
      <c r="J7060" s="17">
        <v>79</v>
      </c>
      <c r="K7060" s="10">
        <v>5779</v>
      </c>
      <c r="P7060" s="17">
        <v>1</v>
      </c>
      <c r="Q7060" s="19">
        <v>5779</v>
      </c>
      <c r="R7060" s="14">
        <v>160</v>
      </c>
      <c r="S7060" s="19">
        <v>924640</v>
      </c>
      <c r="AJ7060" s="19">
        <v>0</v>
      </c>
      <c r="AK7060" s="23">
        <v>0</v>
      </c>
      <c r="AM7060" s="19">
        <v>0</v>
      </c>
      <c r="AN7060" s="19">
        <v>924640</v>
      </c>
      <c r="AP7060" s="14">
        <v>924640</v>
      </c>
    </row>
    <row r="7061" spans="1:45" x14ac:dyDescent="0.2">
      <c r="A7061" s="122">
        <f t="shared" si="711"/>
        <v>5803</v>
      </c>
      <c r="B7061" s="13">
        <v>1</v>
      </c>
      <c r="C7061" s="17" t="s">
        <v>52</v>
      </c>
      <c r="D7061" s="17">
        <v>18432</v>
      </c>
      <c r="E7061" s="17">
        <v>17</v>
      </c>
      <c r="F7061" s="17">
        <v>4322</v>
      </c>
      <c r="G7061" s="13">
        <v>5</v>
      </c>
      <c r="H7061" s="17">
        <v>42</v>
      </c>
      <c r="I7061" s="17">
        <v>1</v>
      </c>
      <c r="J7061" s="17">
        <v>0.05</v>
      </c>
      <c r="K7061" s="10">
        <v>16900.05</v>
      </c>
      <c r="P7061" s="17">
        <v>1</v>
      </c>
      <c r="Q7061" s="19">
        <v>16900.05</v>
      </c>
      <c r="R7061" s="14">
        <v>375</v>
      </c>
      <c r="S7061" s="19">
        <v>6337518.75</v>
      </c>
      <c r="AJ7061" s="19">
        <v>0</v>
      </c>
      <c r="AK7061" s="23">
        <v>0</v>
      </c>
      <c r="AM7061" s="19">
        <v>0</v>
      </c>
      <c r="AN7061" s="19">
        <v>6337518.75</v>
      </c>
      <c r="AP7061" s="14">
        <v>6337518.75</v>
      </c>
    </row>
    <row r="7062" spans="1:45" x14ac:dyDescent="0.2">
      <c r="A7062" s="122">
        <f t="shared" si="711"/>
        <v>5804</v>
      </c>
      <c r="B7062" s="13">
        <v>1</v>
      </c>
      <c r="C7062" s="17" t="s">
        <v>52</v>
      </c>
      <c r="D7062" s="17">
        <v>5025</v>
      </c>
      <c r="E7062" s="17">
        <v>23</v>
      </c>
      <c r="F7062" s="17">
        <v>2771</v>
      </c>
      <c r="G7062" s="13">
        <v>7</v>
      </c>
      <c r="H7062" s="17">
        <v>26</v>
      </c>
      <c r="I7062" s="17">
        <v>1</v>
      </c>
      <c r="J7062" s="17">
        <v>74</v>
      </c>
      <c r="K7062" s="10">
        <v>10574</v>
      </c>
      <c r="P7062" s="17">
        <v>1</v>
      </c>
      <c r="Q7062" s="19">
        <v>10574</v>
      </c>
      <c r="R7062" s="14">
        <v>160</v>
      </c>
      <c r="S7062" s="19">
        <v>1691840</v>
      </c>
      <c r="AJ7062" s="19">
        <v>0</v>
      </c>
      <c r="AK7062" s="23">
        <v>0</v>
      </c>
      <c r="AM7062" s="19">
        <v>0</v>
      </c>
      <c r="AN7062" s="19">
        <v>1691840</v>
      </c>
      <c r="AP7062" s="14">
        <v>1691840</v>
      </c>
    </row>
    <row r="7063" spans="1:45" ht="42" x14ac:dyDescent="0.2">
      <c r="A7063" s="122">
        <f t="shared" si="711"/>
        <v>5805</v>
      </c>
      <c r="B7063" s="13">
        <v>1</v>
      </c>
      <c r="C7063" s="17" t="s">
        <v>52</v>
      </c>
      <c r="D7063" s="17">
        <v>4772</v>
      </c>
      <c r="E7063" s="17">
        <v>86</v>
      </c>
      <c r="F7063" s="17">
        <v>2642</v>
      </c>
      <c r="G7063" s="13">
        <v>7</v>
      </c>
      <c r="H7063" s="17">
        <v>2</v>
      </c>
      <c r="I7063" s="17">
        <v>0</v>
      </c>
      <c r="J7063" s="17">
        <v>50</v>
      </c>
      <c r="K7063" s="10">
        <v>850</v>
      </c>
      <c r="P7063" s="17">
        <v>1</v>
      </c>
      <c r="Q7063" s="19">
        <v>850</v>
      </c>
      <c r="R7063" s="14">
        <v>160</v>
      </c>
      <c r="S7063" s="19">
        <v>136000</v>
      </c>
      <c r="AJ7063" s="19">
        <v>0</v>
      </c>
      <c r="AK7063" s="23">
        <v>0</v>
      </c>
      <c r="AM7063" s="19">
        <v>0</v>
      </c>
      <c r="AN7063" s="19">
        <v>136000</v>
      </c>
      <c r="AP7063" s="14">
        <v>136000</v>
      </c>
      <c r="AS7063" s="26" t="s">
        <v>728</v>
      </c>
    </row>
    <row r="7064" spans="1:45" x14ac:dyDescent="0.2">
      <c r="A7064" s="122">
        <f t="shared" si="711"/>
        <v>5806</v>
      </c>
      <c r="B7064" s="13">
        <v>2</v>
      </c>
      <c r="C7064" s="17" t="s">
        <v>52</v>
      </c>
      <c r="D7064" s="17">
        <v>4783</v>
      </c>
      <c r="E7064" s="17">
        <v>93</v>
      </c>
      <c r="F7064" s="17">
        <v>2653</v>
      </c>
      <c r="G7064" s="13">
        <v>7</v>
      </c>
      <c r="H7064" s="17">
        <v>22</v>
      </c>
      <c r="I7064" s="17">
        <v>3</v>
      </c>
      <c r="J7064" s="17">
        <v>29</v>
      </c>
      <c r="K7064" s="10">
        <v>9129</v>
      </c>
      <c r="P7064" s="17">
        <v>1</v>
      </c>
      <c r="Q7064" s="19">
        <v>9129</v>
      </c>
      <c r="R7064" s="14">
        <v>160</v>
      </c>
      <c r="S7064" s="19">
        <v>1460640</v>
      </c>
      <c r="AJ7064" s="19">
        <v>0</v>
      </c>
      <c r="AK7064" s="23">
        <v>0</v>
      </c>
      <c r="AM7064" s="19">
        <v>0</v>
      </c>
      <c r="AN7064" s="19">
        <v>1460640</v>
      </c>
      <c r="AP7064" s="14">
        <v>1460640</v>
      </c>
    </row>
    <row r="7065" spans="1:45" x14ac:dyDescent="0.2">
      <c r="A7065" s="122">
        <f t="shared" si="711"/>
        <v>5807</v>
      </c>
      <c r="B7065" s="13">
        <v>3</v>
      </c>
      <c r="C7065" s="17" t="s">
        <v>52</v>
      </c>
      <c r="D7065" s="17">
        <v>4896</v>
      </c>
      <c r="E7065" s="17">
        <v>19</v>
      </c>
      <c r="F7065" s="17">
        <v>2768</v>
      </c>
      <c r="G7065" s="13">
        <v>7</v>
      </c>
      <c r="H7065" s="17">
        <v>3</v>
      </c>
      <c r="I7065" s="17">
        <v>2</v>
      </c>
      <c r="J7065" s="17">
        <v>4</v>
      </c>
      <c r="K7065" s="10">
        <v>1404</v>
      </c>
      <c r="P7065" s="17">
        <v>1</v>
      </c>
      <c r="Q7065" s="19">
        <v>1404</v>
      </c>
      <c r="R7065" s="14">
        <v>160</v>
      </c>
      <c r="S7065" s="19">
        <v>224640</v>
      </c>
      <c r="AJ7065" s="19">
        <v>0</v>
      </c>
      <c r="AK7065" s="23">
        <v>0</v>
      </c>
      <c r="AM7065" s="19">
        <v>0</v>
      </c>
      <c r="AN7065" s="19">
        <v>224640</v>
      </c>
      <c r="AP7065" s="14">
        <v>224640</v>
      </c>
    </row>
    <row r="7066" spans="1:45" x14ac:dyDescent="0.2">
      <c r="A7066" s="122">
        <f t="shared" si="711"/>
        <v>5808</v>
      </c>
      <c r="B7066" s="13">
        <v>4</v>
      </c>
      <c r="C7066" s="17" t="s">
        <v>52</v>
      </c>
      <c r="D7066" s="17">
        <v>4897</v>
      </c>
      <c r="E7066" s="17">
        <v>18</v>
      </c>
      <c r="F7066" s="17">
        <v>2769</v>
      </c>
      <c r="G7066" s="13">
        <v>7</v>
      </c>
      <c r="H7066" s="17">
        <v>3</v>
      </c>
      <c r="I7066" s="17">
        <v>2</v>
      </c>
      <c r="J7066" s="17">
        <v>39</v>
      </c>
      <c r="K7066" s="10">
        <v>1439</v>
      </c>
      <c r="P7066" s="17">
        <v>1</v>
      </c>
      <c r="Q7066" s="19">
        <v>1439</v>
      </c>
      <c r="R7066" s="14">
        <v>160</v>
      </c>
      <c r="S7066" s="19">
        <v>230240</v>
      </c>
      <c r="AJ7066" s="19">
        <v>0</v>
      </c>
      <c r="AK7066" s="23">
        <v>0</v>
      </c>
      <c r="AM7066" s="19">
        <v>0</v>
      </c>
      <c r="AN7066" s="19">
        <v>230240</v>
      </c>
      <c r="AP7066" s="14">
        <v>230240</v>
      </c>
    </row>
    <row r="7067" spans="1:45" x14ac:dyDescent="0.2">
      <c r="A7067" s="122">
        <f t="shared" si="711"/>
        <v>5809</v>
      </c>
      <c r="B7067" s="13">
        <v>1</v>
      </c>
      <c r="C7067" s="17" t="s">
        <v>52</v>
      </c>
      <c r="D7067" s="17">
        <v>4788</v>
      </c>
      <c r="E7067" s="17">
        <v>75</v>
      </c>
      <c r="F7067" s="17">
        <v>2658</v>
      </c>
      <c r="G7067" s="13">
        <v>7</v>
      </c>
      <c r="H7067" s="17">
        <v>24</v>
      </c>
      <c r="I7067" s="17">
        <v>3</v>
      </c>
      <c r="J7067" s="17">
        <v>19</v>
      </c>
      <c r="K7067" s="10">
        <v>9919</v>
      </c>
      <c r="P7067" s="17">
        <v>1</v>
      </c>
      <c r="Q7067" s="19">
        <v>9919</v>
      </c>
      <c r="R7067" s="14">
        <v>200</v>
      </c>
      <c r="S7067" s="19">
        <v>1983800</v>
      </c>
      <c r="AJ7067" s="19">
        <v>0</v>
      </c>
      <c r="AK7067" s="23">
        <v>0</v>
      </c>
      <c r="AM7067" s="19">
        <v>0</v>
      </c>
      <c r="AN7067" s="19">
        <v>1983800</v>
      </c>
      <c r="AP7067" s="14">
        <v>1983800</v>
      </c>
    </row>
    <row r="7068" spans="1:45" x14ac:dyDescent="0.2">
      <c r="A7068" s="122">
        <f t="shared" si="711"/>
        <v>5810</v>
      </c>
      <c r="B7068" s="13">
        <v>1</v>
      </c>
      <c r="C7068" s="17" t="s">
        <v>52</v>
      </c>
      <c r="D7068" s="17">
        <v>1753</v>
      </c>
      <c r="E7068" s="17">
        <v>10</v>
      </c>
      <c r="F7068" s="17">
        <v>757</v>
      </c>
      <c r="G7068" s="13">
        <v>7</v>
      </c>
      <c r="H7068" s="17">
        <v>0</v>
      </c>
      <c r="I7068" s="17">
        <v>2</v>
      </c>
      <c r="J7068" s="17">
        <v>94</v>
      </c>
      <c r="L7068" s="17">
        <v>294</v>
      </c>
      <c r="P7068" s="17">
        <v>2</v>
      </c>
      <c r="Q7068" s="19">
        <v>294</v>
      </c>
      <c r="R7068" s="14">
        <v>4500</v>
      </c>
      <c r="S7068" s="19">
        <v>1323000</v>
      </c>
      <c r="AJ7068" s="19">
        <v>0</v>
      </c>
      <c r="AK7068" s="23">
        <v>0</v>
      </c>
      <c r="AM7068" s="19">
        <v>0</v>
      </c>
      <c r="AN7068" s="19">
        <v>1323000</v>
      </c>
      <c r="AP7068" s="14">
        <v>1323000</v>
      </c>
      <c r="AS7068" s="26">
        <v>5</v>
      </c>
    </row>
    <row r="7069" spans="1:45" x14ac:dyDescent="0.2">
      <c r="A7069" s="122">
        <f t="shared" si="711"/>
        <v>5811</v>
      </c>
      <c r="B7069" s="13">
        <v>1</v>
      </c>
      <c r="C7069" s="17" t="s">
        <v>69</v>
      </c>
      <c r="E7069" s="17">
        <v>1512</v>
      </c>
      <c r="F7069" s="17">
        <v>2</v>
      </c>
      <c r="G7069" s="13">
        <v>6</v>
      </c>
      <c r="H7069" s="17">
        <v>21</v>
      </c>
      <c r="I7069" s="17">
        <v>1</v>
      </c>
      <c r="J7069" s="17">
        <v>80</v>
      </c>
      <c r="K7069" s="10">
        <v>8580</v>
      </c>
      <c r="P7069" s="17">
        <v>1</v>
      </c>
      <c r="Q7069" s="19">
        <v>8580</v>
      </c>
      <c r="R7069" s="14">
        <v>160</v>
      </c>
      <c r="S7069" s="19">
        <v>1372800</v>
      </c>
      <c r="AJ7069" s="19">
        <v>0</v>
      </c>
      <c r="AK7069" s="23">
        <v>0</v>
      </c>
      <c r="AM7069" s="19">
        <v>0</v>
      </c>
      <c r="AN7069" s="19">
        <v>1372800</v>
      </c>
      <c r="AP7069" s="14">
        <v>1372800</v>
      </c>
      <c r="AQ7069" s="12">
        <v>1E-4</v>
      </c>
    </row>
    <row r="7070" spans="1:45" x14ac:dyDescent="0.2">
      <c r="A7070" s="122">
        <f t="shared" si="711"/>
        <v>5812</v>
      </c>
      <c r="B7070" s="13">
        <v>1</v>
      </c>
      <c r="C7070" s="17" t="s">
        <v>52</v>
      </c>
      <c r="D7070" s="17">
        <v>4774</v>
      </c>
      <c r="E7070" s="17">
        <v>85</v>
      </c>
      <c r="F7070" s="17">
        <v>2644</v>
      </c>
      <c r="G7070" s="13">
        <v>7</v>
      </c>
      <c r="H7070" s="17">
        <v>8</v>
      </c>
      <c r="I7070" s="17">
        <v>2</v>
      </c>
      <c r="J7070" s="17">
        <v>21</v>
      </c>
      <c r="K7070" s="10">
        <v>3421</v>
      </c>
      <c r="P7070" s="17">
        <v>1</v>
      </c>
      <c r="Q7070" s="19">
        <v>3421</v>
      </c>
      <c r="R7070" s="14">
        <v>160</v>
      </c>
      <c r="S7070" s="19">
        <v>547360</v>
      </c>
      <c r="AJ7070" s="19">
        <v>0</v>
      </c>
      <c r="AK7070" s="23">
        <v>0</v>
      </c>
      <c r="AM7070" s="19">
        <v>0</v>
      </c>
      <c r="AN7070" s="19">
        <v>547360</v>
      </c>
      <c r="AP7070" s="14">
        <v>547360</v>
      </c>
      <c r="AS7070" s="26">
        <v>26</v>
      </c>
    </row>
    <row r="7071" spans="1:45" x14ac:dyDescent="0.2">
      <c r="A7071" s="122">
        <f t="shared" si="711"/>
        <v>5813</v>
      </c>
      <c r="B7071" s="13">
        <v>1</v>
      </c>
      <c r="C7071" s="17" t="s">
        <v>52</v>
      </c>
      <c r="D7071" s="17">
        <v>4776</v>
      </c>
      <c r="E7071" s="17">
        <v>83</v>
      </c>
      <c r="F7071" s="17">
        <v>2646</v>
      </c>
      <c r="G7071" s="13">
        <v>7</v>
      </c>
      <c r="H7071" s="17">
        <v>10</v>
      </c>
      <c r="I7071" s="17">
        <v>2</v>
      </c>
      <c r="J7071" s="17">
        <v>41</v>
      </c>
      <c r="K7071" s="10">
        <v>4241</v>
      </c>
      <c r="P7071" s="17">
        <v>1</v>
      </c>
      <c r="Q7071" s="19">
        <v>4241</v>
      </c>
      <c r="R7071" s="14">
        <v>160</v>
      </c>
      <c r="S7071" s="19">
        <v>678560</v>
      </c>
      <c r="AJ7071" s="19">
        <v>0</v>
      </c>
      <c r="AK7071" s="23">
        <v>0</v>
      </c>
      <c r="AM7071" s="19">
        <v>0</v>
      </c>
      <c r="AN7071" s="19">
        <v>678560</v>
      </c>
      <c r="AP7071" s="14">
        <v>678560</v>
      </c>
      <c r="AS7071" s="26">
        <v>102</v>
      </c>
    </row>
    <row r="7072" spans="1:45" x14ac:dyDescent="0.2">
      <c r="A7072" s="122">
        <f t="shared" si="711"/>
        <v>5814</v>
      </c>
      <c r="B7072" s="13">
        <v>2</v>
      </c>
      <c r="C7072" s="17" t="s">
        <v>52</v>
      </c>
      <c r="D7072" s="17">
        <v>5043</v>
      </c>
      <c r="E7072" s="17">
        <v>47</v>
      </c>
      <c r="F7072" s="17">
        <v>2825</v>
      </c>
      <c r="G7072" s="13">
        <v>7</v>
      </c>
      <c r="H7072" s="17">
        <v>12</v>
      </c>
      <c r="I7072" s="17">
        <v>2</v>
      </c>
      <c r="J7072" s="17">
        <v>67</v>
      </c>
      <c r="K7072" s="10">
        <v>5067</v>
      </c>
      <c r="P7072" s="17">
        <v>1</v>
      </c>
      <c r="Q7072" s="19">
        <v>5067</v>
      </c>
      <c r="R7072" s="14">
        <v>160</v>
      </c>
      <c r="S7072" s="19">
        <v>810720</v>
      </c>
      <c r="AJ7072" s="19">
        <v>0</v>
      </c>
      <c r="AK7072" s="23">
        <v>0</v>
      </c>
      <c r="AM7072" s="19">
        <v>0</v>
      </c>
      <c r="AN7072" s="19">
        <v>810720</v>
      </c>
      <c r="AP7072" s="14">
        <v>810720</v>
      </c>
    </row>
    <row r="7073" spans="1:45" x14ac:dyDescent="0.2">
      <c r="A7073" s="122">
        <f t="shared" si="711"/>
        <v>5815</v>
      </c>
      <c r="B7073" s="13">
        <v>1</v>
      </c>
      <c r="C7073" s="17" t="s">
        <v>52</v>
      </c>
      <c r="D7073" s="17">
        <v>4777</v>
      </c>
      <c r="E7073" s="17">
        <v>88</v>
      </c>
      <c r="F7073" s="17">
        <v>2647</v>
      </c>
      <c r="G7073" s="13">
        <v>7</v>
      </c>
      <c r="H7073" s="17">
        <v>3</v>
      </c>
      <c r="I7073" s="17">
        <v>3</v>
      </c>
      <c r="J7073" s="17">
        <v>54</v>
      </c>
      <c r="K7073" s="10">
        <v>1554</v>
      </c>
      <c r="P7073" s="17">
        <v>1</v>
      </c>
      <c r="Q7073" s="19">
        <v>1554</v>
      </c>
      <c r="R7073" s="14">
        <v>160</v>
      </c>
      <c r="S7073" s="19">
        <v>248640</v>
      </c>
      <c r="AJ7073" s="19">
        <v>0</v>
      </c>
      <c r="AK7073" s="23">
        <v>0</v>
      </c>
      <c r="AM7073" s="19">
        <v>0</v>
      </c>
      <c r="AN7073" s="19">
        <v>248640</v>
      </c>
      <c r="AP7073" s="14">
        <v>248640</v>
      </c>
      <c r="AS7073" s="26">
        <v>36</v>
      </c>
    </row>
    <row r="7074" spans="1:45" x14ac:dyDescent="0.2">
      <c r="A7074" s="122">
        <f t="shared" si="711"/>
        <v>5816</v>
      </c>
      <c r="B7074" s="13">
        <v>2</v>
      </c>
      <c r="C7074" s="17" t="s">
        <v>52</v>
      </c>
      <c r="D7074" s="17">
        <v>5077</v>
      </c>
      <c r="E7074" s="17">
        <v>12</v>
      </c>
      <c r="F7074" s="17">
        <v>2844</v>
      </c>
      <c r="G7074" s="13">
        <v>7</v>
      </c>
      <c r="H7074" s="17">
        <v>8</v>
      </c>
      <c r="I7074" s="17">
        <v>0</v>
      </c>
      <c r="J7074" s="17">
        <v>22</v>
      </c>
      <c r="K7074" s="10">
        <v>3222</v>
      </c>
      <c r="P7074" s="17">
        <v>1</v>
      </c>
      <c r="Q7074" s="19">
        <v>3222</v>
      </c>
      <c r="R7074" s="14">
        <v>160</v>
      </c>
      <c r="S7074" s="19">
        <v>515520</v>
      </c>
      <c r="AJ7074" s="19">
        <v>0</v>
      </c>
      <c r="AK7074" s="23">
        <v>0</v>
      </c>
      <c r="AM7074" s="19">
        <v>0</v>
      </c>
      <c r="AN7074" s="19">
        <v>515520</v>
      </c>
      <c r="AP7074" s="14">
        <v>515520</v>
      </c>
    </row>
    <row r="7075" spans="1:45" x14ac:dyDescent="0.2">
      <c r="A7075" s="122">
        <f t="shared" si="711"/>
        <v>5817</v>
      </c>
      <c r="B7075" s="13">
        <v>1</v>
      </c>
      <c r="C7075" s="17" t="s">
        <v>52</v>
      </c>
      <c r="D7075" s="17">
        <v>5045</v>
      </c>
      <c r="E7075" s="17">
        <v>25</v>
      </c>
      <c r="F7075" s="17">
        <v>2827</v>
      </c>
      <c r="G7075" s="13">
        <v>7</v>
      </c>
      <c r="H7075" s="17">
        <v>18</v>
      </c>
      <c r="I7075" s="17">
        <v>0</v>
      </c>
      <c r="J7075" s="17">
        <v>90</v>
      </c>
      <c r="K7075" s="10">
        <v>7290</v>
      </c>
      <c r="P7075" s="17">
        <v>1</v>
      </c>
      <c r="Q7075" s="19">
        <v>7290</v>
      </c>
      <c r="R7075" s="14">
        <v>160</v>
      </c>
      <c r="S7075" s="19">
        <v>1166400</v>
      </c>
      <c r="AJ7075" s="19">
        <v>0</v>
      </c>
      <c r="AK7075" s="23">
        <v>0</v>
      </c>
      <c r="AM7075" s="19">
        <v>0</v>
      </c>
      <c r="AN7075" s="19">
        <v>1166400</v>
      </c>
      <c r="AP7075" s="14">
        <v>1166400</v>
      </c>
    </row>
    <row r="7076" spans="1:45" x14ac:dyDescent="0.2">
      <c r="A7076" s="122">
        <f t="shared" si="711"/>
        <v>5818</v>
      </c>
      <c r="B7076" s="13">
        <v>1</v>
      </c>
      <c r="C7076" s="17" t="s">
        <v>52</v>
      </c>
      <c r="D7076" s="17">
        <v>5050</v>
      </c>
      <c r="E7076" s="17">
        <v>1</v>
      </c>
      <c r="F7076" s="17">
        <v>2832</v>
      </c>
      <c r="G7076" s="13">
        <v>7</v>
      </c>
      <c r="H7076" s="17">
        <v>7</v>
      </c>
      <c r="I7076" s="17">
        <v>3</v>
      </c>
      <c r="J7076" s="17">
        <v>15</v>
      </c>
      <c r="K7076" s="10">
        <v>3115</v>
      </c>
      <c r="P7076" s="17">
        <v>1</v>
      </c>
      <c r="Q7076" s="19">
        <v>3115</v>
      </c>
      <c r="R7076" s="14">
        <v>160</v>
      </c>
      <c r="S7076" s="19">
        <v>498400</v>
      </c>
      <c r="AJ7076" s="19">
        <v>0</v>
      </c>
      <c r="AK7076" s="23">
        <v>0</v>
      </c>
      <c r="AM7076" s="19">
        <v>0</v>
      </c>
      <c r="AN7076" s="19">
        <v>498400</v>
      </c>
      <c r="AP7076" s="14">
        <v>498400</v>
      </c>
    </row>
    <row r="7077" spans="1:45" x14ac:dyDescent="0.2">
      <c r="A7077" s="122">
        <f t="shared" si="711"/>
        <v>5819</v>
      </c>
      <c r="B7077" s="13">
        <v>1</v>
      </c>
      <c r="C7077" s="17" t="s">
        <v>52</v>
      </c>
      <c r="D7077" s="17">
        <v>4983</v>
      </c>
      <c r="E7077" s="17">
        <v>41</v>
      </c>
      <c r="F7077" s="17">
        <v>2599</v>
      </c>
      <c r="G7077" s="13">
        <v>7</v>
      </c>
      <c r="H7077" s="17">
        <v>0</v>
      </c>
      <c r="I7077" s="17">
        <v>0</v>
      </c>
      <c r="J7077" s="17">
        <v>79</v>
      </c>
      <c r="N7077" s="18">
        <v>79</v>
      </c>
      <c r="P7077" s="17">
        <v>4</v>
      </c>
      <c r="Q7077" s="19">
        <v>79</v>
      </c>
      <c r="R7077" s="14">
        <v>4500</v>
      </c>
      <c r="S7077" s="19">
        <v>355500</v>
      </c>
      <c r="AJ7077" s="19">
        <v>0</v>
      </c>
      <c r="AK7077" s="23">
        <v>0</v>
      </c>
      <c r="AM7077" s="19">
        <v>0</v>
      </c>
      <c r="AN7077" s="19">
        <v>355500</v>
      </c>
      <c r="AP7077" s="14">
        <v>355500</v>
      </c>
      <c r="AQ7077" s="12">
        <v>3.0000000000000001E-3</v>
      </c>
    </row>
    <row r="7078" spans="1:45" x14ac:dyDescent="0.2">
      <c r="A7078" s="122">
        <f t="shared" si="711"/>
        <v>5820</v>
      </c>
      <c r="B7078" s="13">
        <v>2</v>
      </c>
      <c r="C7078" s="17" t="s">
        <v>52</v>
      </c>
      <c r="D7078" s="17">
        <v>18453</v>
      </c>
      <c r="E7078" s="17">
        <v>66</v>
      </c>
      <c r="F7078" s="17">
        <v>3689</v>
      </c>
      <c r="G7078" s="13">
        <v>7</v>
      </c>
      <c r="H7078" s="17">
        <v>0</v>
      </c>
      <c r="I7078" s="17">
        <v>1</v>
      </c>
      <c r="J7078" s="17">
        <v>0</v>
      </c>
      <c r="N7078" s="18">
        <v>100</v>
      </c>
      <c r="P7078" s="17">
        <v>4</v>
      </c>
      <c r="Q7078" s="19">
        <v>100</v>
      </c>
      <c r="R7078" s="14">
        <v>4500</v>
      </c>
      <c r="S7078" s="19">
        <v>450000</v>
      </c>
      <c r="AJ7078" s="19">
        <v>0</v>
      </c>
      <c r="AK7078" s="23">
        <v>0</v>
      </c>
      <c r="AM7078" s="19">
        <v>0</v>
      </c>
      <c r="AN7078" s="19">
        <v>450000</v>
      </c>
      <c r="AP7078" s="14">
        <v>450000</v>
      </c>
      <c r="AQ7078" s="12">
        <v>3.0000000000000001E-3</v>
      </c>
    </row>
    <row r="7079" spans="1:45" x14ac:dyDescent="0.2">
      <c r="A7079" s="122">
        <f t="shared" si="711"/>
        <v>5821</v>
      </c>
      <c r="B7079" s="13">
        <v>3</v>
      </c>
      <c r="C7079" s="17" t="s">
        <v>52</v>
      </c>
      <c r="D7079" s="17">
        <v>21123</v>
      </c>
      <c r="E7079" s="17">
        <v>86</v>
      </c>
      <c r="F7079" s="17">
        <v>4678</v>
      </c>
      <c r="G7079" s="13">
        <v>7</v>
      </c>
      <c r="H7079" s="17">
        <v>0</v>
      </c>
      <c r="I7079" s="17">
        <v>1</v>
      </c>
      <c r="J7079" s="17">
        <v>99</v>
      </c>
      <c r="N7079" s="18">
        <v>199</v>
      </c>
      <c r="P7079" s="17">
        <v>4</v>
      </c>
      <c r="Q7079" s="19">
        <v>199</v>
      </c>
      <c r="R7079" s="14">
        <v>160</v>
      </c>
      <c r="S7079" s="19">
        <v>31840</v>
      </c>
      <c r="AJ7079" s="19">
        <v>0</v>
      </c>
      <c r="AK7079" s="23">
        <v>0</v>
      </c>
      <c r="AM7079" s="19">
        <v>0</v>
      </c>
      <c r="AN7079" s="19">
        <v>31840</v>
      </c>
      <c r="AP7079" s="14">
        <v>31840</v>
      </c>
      <c r="AQ7079" s="12">
        <v>3.0000000000000001E-3</v>
      </c>
    </row>
    <row r="7080" spans="1:45" ht="42" x14ac:dyDescent="0.2">
      <c r="A7080" s="122">
        <f t="shared" si="711"/>
        <v>5822</v>
      </c>
      <c r="B7080" s="13">
        <v>1</v>
      </c>
      <c r="C7080" s="17" t="s">
        <v>52</v>
      </c>
      <c r="D7080" s="17">
        <v>4985</v>
      </c>
      <c r="E7080" s="17">
        <v>46</v>
      </c>
      <c r="F7080" s="17">
        <v>2603</v>
      </c>
      <c r="G7080" s="13">
        <v>7</v>
      </c>
      <c r="H7080" s="17">
        <v>1</v>
      </c>
      <c r="I7080" s="17">
        <v>2</v>
      </c>
      <c r="J7080" s="17">
        <v>24</v>
      </c>
      <c r="K7080" s="10">
        <v>557.5</v>
      </c>
      <c r="L7080" s="17">
        <v>66.5</v>
      </c>
      <c r="P7080" s="17">
        <v>5</v>
      </c>
      <c r="Q7080" s="19">
        <v>624</v>
      </c>
      <c r="R7080" s="14">
        <v>160</v>
      </c>
      <c r="S7080" s="19">
        <v>99840</v>
      </c>
      <c r="T7080" s="17">
        <v>1</v>
      </c>
      <c r="V7080" s="17" t="s">
        <v>530</v>
      </c>
      <c r="W7080" s="4">
        <v>266</v>
      </c>
      <c r="Y7080" s="4">
        <v>266</v>
      </c>
      <c r="AB7080" s="17">
        <v>25</v>
      </c>
      <c r="AJ7080" s="19">
        <v>0</v>
      </c>
      <c r="AK7080" s="23">
        <v>25</v>
      </c>
      <c r="AM7080" s="19">
        <v>0</v>
      </c>
      <c r="AN7080" s="19">
        <v>99840</v>
      </c>
      <c r="AP7080" s="14">
        <v>99840</v>
      </c>
    </row>
    <row r="7081" spans="1:45" x14ac:dyDescent="0.2">
      <c r="A7081" s="122">
        <f t="shared" si="711"/>
        <v>5823</v>
      </c>
      <c r="B7081" s="13">
        <v>2</v>
      </c>
      <c r="C7081" s="17" t="s">
        <v>52</v>
      </c>
      <c r="D7081" s="17">
        <v>4996</v>
      </c>
      <c r="E7081" s="17">
        <v>48</v>
      </c>
      <c r="F7081" s="17">
        <v>2615</v>
      </c>
      <c r="G7081" s="13">
        <v>7</v>
      </c>
      <c r="H7081" s="17">
        <v>0</v>
      </c>
      <c r="I7081" s="17">
        <v>3</v>
      </c>
      <c r="J7081" s="17">
        <v>19</v>
      </c>
      <c r="N7081" s="18" t="s">
        <v>729</v>
      </c>
      <c r="P7081" s="17">
        <v>4</v>
      </c>
      <c r="Q7081" s="19">
        <v>319</v>
      </c>
      <c r="R7081" s="14">
        <v>1100</v>
      </c>
      <c r="S7081" s="19">
        <v>350900</v>
      </c>
      <c r="AJ7081" s="19">
        <v>0</v>
      </c>
      <c r="AK7081" s="23">
        <v>0</v>
      </c>
      <c r="AM7081" s="19">
        <v>0</v>
      </c>
      <c r="AN7081" s="19">
        <v>350900</v>
      </c>
      <c r="AP7081" s="14">
        <v>350900</v>
      </c>
      <c r="AQ7081" s="12">
        <v>3.0000000000000001E-3</v>
      </c>
    </row>
    <row r="7082" spans="1:45" x14ac:dyDescent="0.2">
      <c r="A7082" s="122">
        <f t="shared" si="711"/>
        <v>5824</v>
      </c>
      <c r="B7082" s="13">
        <v>1</v>
      </c>
      <c r="C7082" s="17" t="s">
        <v>52</v>
      </c>
      <c r="D7082" s="17">
        <v>4995</v>
      </c>
      <c r="E7082" s="17">
        <v>49</v>
      </c>
      <c r="F7082" s="17">
        <v>2614</v>
      </c>
      <c r="G7082" s="13">
        <v>7</v>
      </c>
      <c r="H7082" s="17">
        <v>1</v>
      </c>
      <c r="I7082" s="17">
        <v>0</v>
      </c>
      <c r="J7082" s="17">
        <v>57</v>
      </c>
      <c r="K7082" s="10">
        <v>403</v>
      </c>
      <c r="M7082" s="15">
        <v>54</v>
      </c>
      <c r="P7082" s="17">
        <v>5</v>
      </c>
      <c r="Q7082" s="19">
        <v>457</v>
      </c>
      <c r="R7082" s="14">
        <v>1100</v>
      </c>
      <c r="S7082" s="19">
        <v>502700</v>
      </c>
    </row>
    <row r="7083" spans="1:45" x14ac:dyDescent="0.2">
      <c r="P7083" s="17">
        <v>1</v>
      </c>
      <c r="Q7083" s="19">
        <v>357</v>
      </c>
      <c r="R7083" s="14">
        <v>1100</v>
      </c>
      <c r="S7083" s="19">
        <v>392700</v>
      </c>
    </row>
    <row r="7084" spans="1:45" ht="126" x14ac:dyDescent="0.2">
      <c r="P7084" s="17">
        <v>3</v>
      </c>
      <c r="Q7084" s="19">
        <v>100</v>
      </c>
      <c r="R7084" s="14">
        <v>1100</v>
      </c>
      <c r="S7084" s="19">
        <v>110000</v>
      </c>
      <c r="T7084" s="17">
        <v>1</v>
      </c>
      <c r="U7084" s="17" t="s">
        <v>155</v>
      </c>
      <c r="V7084" s="17" t="s">
        <v>56</v>
      </c>
      <c r="W7084" s="4">
        <v>216</v>
      </c>
      <c r="AA7084" s="17">
        <v>216</v>
      </c>
      <c r="AB7084" s="17">
        <v>18</v>
      </c>
      <c r="AC7084" s="14" t="s">
        <v>566</v>
      </c>
      <c r="AF7084" s="14">
        <v>3</v>
      </c>
      <c r="AG7084" s="54">
        <v>216</v>
      </c>
      <c r="AH7084" s="11">
        <v>1</v>
      </c>
      <c r="AI7084" s="14">
        <v>5800</v>
      </c>
      <c r="AJ7084" s="19">
        <v>1252800</v>
      </c>
      <c r="AK7084" s="23">
        <v>18</v>
      </c>
      <c r="AL7084" s="11">
        <v>0.26</v>
      </c>
      <c r="AM7084" s="19">
        <v>927072</v>
      </c>
      <c r="AN7084" s="19">
        <v>1037666</v>
      </c>
      <c r="AP7084" s="14">
        <v>1037666</v>
      </c>
      <c r="AQ7084" s="12">
        <v>3.0000000000000001E-3</v>
      </c>
    </row>
    <row r="7085" spans="1:45" ht="42" x14ac:dyDescent="0.2">
      <c r="A7085" s="2">
        <v>5825</v>
      </c>
      <c r="B7085" s="13">
        <v>2</v>
      </c>
      <c r="C7085" s="17" t="s">
        <v>52</v>
      </c>
      <c r="D7085" s="17">
        <v>33607</v>
      </c>
      <c r="E7085" s="17">
        <v>102</v>
      </c>
      <c r="F7085" s="17">
        <v>6732</v>
      </c>
      <c r="G7085" s="13">
        <v>7</v>
      </c>
      <c r="H7085" s="17">
        <v>0</v>
      </c>
      <c r="I7085" s="17">
        <v>3</v>
      </c>
      <c r="J7085" s="17">
        <v>12</v>
      </c>
      <c r="L7085" s="17" t="s">
        <v>730</v>
      </c>
      <c r="N7085" s="18" t="s">
        <v>730</v>
      </c>
      <c r="P7085" s="17">
        <v>4</v>
      </c>
      <c r="Q7085" s="19">
        <v>312</v>
      </c>
      <c r="R7085" s="14">
        <v>4500</v>
      </c>
      <c r="S7085" s="19">
        <v>1404000</v>
      </c>
      <c r="T7085" s="17">
        <v>1</v>
      </c>
      <c r="U7085" s="17" t="s">
        <v>58</v>
      </c>
      <c r="V7085" s="17" t="s">
        <v>56</v>
      </c>
      <c r="W7085" s="4">
        <v>565.5</v>
      </c>
      <c r="AA7085" s="17">
        <v>565.5</v>
      </c>
      <c r="AB7085" s="17" t="s">
        <v>492</v>
      </c>
      <c r="AF7085" s="14">
        <v>4</v>
      </c>
      <c r="AG7085" s="54">
        <v>565.5</v>
      </c>
      <c r="AH7085" s="11">
        <v>1</v>
      </c>
      <c r="AI7085" s="14">
        <v>7050</v>
      </c>
      <c r="AJ7085" s="19">
        <v>3986775</v>
      </c>
      <c r="AK7085" s="23" t="s">
        <v>492</v>
      </c>
      <c r="AL7085" s="11">
        <v>0.26</v>
      </c>
      <c r="AM7085" s="19">
        <v>2950213.5</v>
      </c>
      <c r="AN7085" s="19">
        <v>4354213.5</v>
      </c>
      <c r="AP7085" s="14">
        <v>4354213.5</v>
      </c>
      <c r="AQ7085" s="12">
        <v>3.0000000000000001E-3</v>
      </c>
    </row>
    <row r="7086" spans="1:45" x14ac:dyDescent="0.2">
      <c r="A7086" s="2">
        <f>+A7085+1</f>
        <v>5826</v>
      </c>
      <c r="B7086" s="13">
        <v>1</v>
      </c>
      <c r="C7086" s="17" t="s">
        <v>52</v>
      </c>
      <c r="D7086" s="17">
        <v>5105</v>
      </c>
      <c r="E7086" s="17">
        <v>13</v>
      </c>
      <c r="F7086" s="17">
        <v>2871</v>
      </c>
      <c r="G7086" s="13">
        <v>7</v>
      </c>
      <c r="H7086" s="17">
        <v>8</v>
      </c>
      <c r="I7086" s="17">
        <v>1</v>
      </c>
      <c r="J7086" s="17">
        <v>94</v>
      </c>
      <c r="K7086" s="10">
        <v>3394</v>
      </c>
      <c r="P7086" s="17">
        <v>1</v>
      </c>
      <c r="Q7086" s="19">
        <v>3394</v>
      </c>
      <c r="R7086" s="14">
        <v>160</v>
      </c>
      <c r="S7086" s="19">
        <v>543040</v>
      </c>
      <c r="AJ7086" s="19">
        <v>0</v>
      </c>
      <c r="AK7086" s="23">
        <v>0</v>
      </c>
      <c r="AM7086" s="19">
        <v>0</v>
      </c>
      <c r="AN7086" s="19">
        <v>543040</v>
      </c>
      <c r="AP7086" s="14">
        <v>543040</v>
      </c>
    </row>
    <row r="7087" spans="1:45" x14ac:dyDescent="0.2">
      <c r="A7087" s="122">
        <f t="shared" ref="A7087:A7089" si="712">+A7086+1</f>
        <v>5827</v>
      </c>
      <c r="B7087" s="13">
        <v>1</v>
      </c>
      <c r="C7087" s="17" t="s">
        <v>52</v>
      </c>
      <c r="D7087" s="17">
        <v>5048</v>
      </c>
      <c r="E7087" s="17">
        <v>28</v>
      </c>
      <c r="F7087" s="17">
        <v>2830</v>
      </c>
      <c r="G7087" s="13">
        <v>7</v>
      </c>
      <c r="H7087" s="17">
        <v>13</v>
      </c>
      <c r="I7087" s="17">
        <v>2</v>
      </c>
      <c r="J7087" s="17">
        <v>26</v>
      </c>
      <c r="K7087" s="10">
        <v>5426</v>
      </c>
      <c r="P7087" s="17">
        <v>1</v>
      </c>
      <c r="Q7087" s="19">
        <v>5426</v>
      </c>
      <c r="R7087" s="14">
        <v>160</v>
      </c>
      <c r="S7087" s="19">
        <v>868160</v>
      </c>
      <c r="AJ7087" s="19">
        <v>0</v>
      </c>
      <c r="AK7087" s="23">
        <v>0</v>
      </c>
      <c r="AM7087" s="19">
        <v>0</v>
      </c>
      <c r="AN7087" s="19">
        <v>868160</v>
      </c>
      <c r="AP7087" s="14">
        <v>868160</v>
      </c>
    </row>
    <row r="7088" spans="1:45" x14ac:dyDescent="0.2">
      <c r="A7088" s="122">
        <f t="shared" si="712"/>
        <v>5828</v>
      </c>
      <c r="B7088" s="13">
        <v>2</v>
      </c>
      <c r="C7088" s="17" t="s">
        <v>52</v>
      </c>
      <c r="D7088" s="17">
        <v>5049</v>
      </c>
      <c r="E7088" s="17">
        <v>29</v>
      </c>
      <c r="F7088" s="17">
        <v>2831</v>
      </c>
      <c r="G7088" s="13">
        <v>7</v>
      </c>
      <c r="H7088" s="17">
        <v>33</v>
      </c>
      <c r="I7088" s="17">
        <v>2</v>
      </c>
      <c r="J7088" s="17">
        <v>51</v>
      </c>
      <c r="K7088" s="10">
        <v>13551</v>
      </c>
      <c r="P7088" s="17">
        <v>1</v>
      </c>
      <c r="Q7088" s="19">
        <v>13451</v>
      </c>
      <c r="R7088" s="14">
        <v>160</v>
      </c>
      <c r="S7088" s="19">
        <v>2152160</v>
      </c>
      <c r="AJ7088" s="19">
        <v>0</v>
      </c>
      <c r="AK7088" s="23">
        <v>0</v>
      </c>
      <c r="AM7088" s="19">
        <v>0</v>
      </c>
      <c r="AN7088" s="19">
        <v>2152160</v>
      </c>
      <c r="AP7088" s="14">
        <v>2152160</v>
      </c>
    </row>
    <row r="7089" spans="1:45" x14ac:dyDescent="0.2">
      <c r="A7089" s="122">
        <f t="shared" si="712"/>
        <v>5829</v>
      </c>
      <c r="B7089" s="13">
        <v>1</v>
      </c>
      <c r="C7089" s="17" t="s">
        <v>52</v>
      </c>
      <c r="D7089" s="17">
        <v>5122</v>
      </c>
      <c r="E7089" s="17">
        <v>5</v>
      </c>
      <c r="F7089" s="17">
        <v>2858</v>
      </c>
      <c r="G7089" s="13">
        <v>7</v>
      </c>
      <c r="H7089" s="17">
        <v>46</v>
      </c>
      <c r="I7089" s="17">
        <v>3</v>
      </c>
      <c r="J7089" s="17">
        <v>44</v>
      </c>
      <c r="K7089" s="10">
        <v>18723</v>
      </c>
      <c r="L7089" s="17">
        <v>21</v>
      </c>
      <c r="P7089" s="17">
        <v>5</v>
      </c>
      <c r="Q7089" s="19">
        <v>18744</v>
      </c>
      <c r="R7089" s="14">
        <v>160</v>
      </c>
      <c r="S7089" s="19">
        <v>2999040</v>
      </c>
      <c r="AS7089" s="26">
        <v>6375</v>
      </c>
    </row>
    <row r="7090" spans="1:45" ht="63" x14ac:dyDescent="0.2">
      <c r="T7090" s="17">
        <v>1</v>
      </c>
      <c r="U7090" s="17" t="s">
        <v>57</v>
      </c>
      <c r="V7090" s="17" t="s">
        <v>84</v>
      </c>
      <c r="W7090" s="4">
        <v>168</v>
      </c>
      <c r="Y7090" s="4" t="s">
        <v>731</v>
      </c>
      <c r="AB7090" s="17" t="s">
        <v>732</v>
      </c>
      <c r="AF7090" s="14">
        <v>2</v>
      </c>
      <c r="AG7090" s="54">
        <v>168</v>
      </c>
      <c r="AH7090" s="11">
        <v>1</v>
      </c>
      <c r="AI7090" s="14">
        <v>7250</v>
      </c>
      <c r="AJ7090" s="19">
        <v>1218000</v>
      </c>
      <c r="AK7090" s="23" t="s">
        <v>732</v>
      </c>
      <c r="AL7090" s="11">
        <v>0.38</v>
      </c>
      <c r="AM7090" s="19">
        <v>755160</v>
      </c>
      <c r="AN7090" s="19">
        <v>758520</v>
      </c>
      <c r="AP7090" s="14">
        <v>758520</v>
      </c>
    </row>
    <row r="7091" spans="1:45" ht="63" x14ac:dyDescent="0.2">
      <c r="A7091" s="2">
        <v>5830</v>
      </c>
      <c r="B7091" s="13">
        <v>2</v>
      </c>
      <c r="C7091" s="17" t="s">
        <v>52</v>
      </c>
      <c r="D7091" s="17">
        <v>5133</v>
      </c>
      <c r="E7091" s="17">
        <v>3</v>
      </c>
      <c r="F7091" s="17">
        <v>2886</v>
      </c>
      <c r="G7091" s="13">
        <v>7</v>
      </c>
      <c r="H7091" s="17">
        <v>8</v>
      </c>
      <c r="I7091" s="17">
        <v>0</v>
      </c>
      <c r="J7091" s="17">
        <v>42.03</v>
      </c>
      <c r="K7091" s="10">
        <v>3242.03</v>
      </c>
      <c r="P7091" s="17">
        <v>1</v>
      </c>
      <c r="Q7091" s="19">
        <v>2892.03</v>
      </c>
      <c r="R7091" s="14">
        <v>2250</v>
      </c>
      <c r="S7091" s="19">
        <v>6507067.5</v>
      </c>
      <c r="AF7091" s="14">
        <v>3</v>
      </c>
      <c r="AJ7091" s="19">
        <v>0</v>
      </c>
      <c r="AM7091" s="19">
        <v>0</v>
      </c>
      <c r="AN7091" s="19">
        <v>6507067.5</v>
      </c>
      <c r="AP7091" s="14">
        <v>6507067.5</v>
      </c>
      <c r="AR7091" s="19">
        <v>6375</v>
      </c>
    </row>
    <row r="7092" spans="1:45" ht="42" x14ac:dyDescent="0.2">
      <c r="P7092" s="17">
        <v>2</v>
      </c>
      <c r="Q7092" s="19">
        <v>200</v>
      </c>
      <c r="R7092" s="14">
        <v>2250</v>
      </c>
      <c r="S7092" s="19">
        <v>450000</v>
      </c>
      <c r="T7092" s="17" t="s">
        <v>122</v>
      </c>
      <c r="U7092" s="17" t="s">
        <v>58</v>
      </c>
      <c r="V7092" s="17" t="s">
        <v>56</v>
      </c>
      <c r="W7092" s="4">
        <v>120</v>
      </c>
      <c r="Z7092" s="17" t="s">
        <v>282</v>
      </c>
      <c r="AB7092" s="17" t="s">
        <v>288</v>
      </c>
      <c r="AF7092" s="14">
        <v>3</v>
      </c>
      <c r="AG7092" s="54">
        <v>120</v>
      </c>
      <c r="AH7092" s="11">
        <v>1</v>
      </c>
      <c r="AI7092" s="14">
        <v>7250</v>
      </c>
      <c r="AJ7092" s="19">
        <v>870000</v>
      </c>
      <c r="AK7092" s="23">
        <v>9</v>
      </c>
      <c r="AL7092" s="11">
        <v>0.09</v>
      </c>
      <c r="AM7092" s="19">
        <v>791700</v>
      </c>
      <c r="AN7092" s="19">
        <v>1241700</v>
      </c>
      <c r="AP7092" s="14">
        <v>1241700</v>
      </c>
      <c r="AQ7092" s="12">
        <v>3.0000000000000001E-3</v>
      </c>
    </row>
    <row r="7093" spans="1:45" ht="63" x14ac:dyDescent="0.2">
      <c r="P7093" s="17">
        <v>3</v>
      </c>
      <c r="Q7093" s="19">
        <v>150</v>
      </c>
      <c r="R7093" s="14">
        <v>2250</v>
      </c>
      <c r="S7093" s="19">
        <v>337500</v>
      </c>
      <c r="T7093" s="17" t="s">
        <v>288</v>
      </c>
      <c r="U7093" s="17" t="s">
        <v>57</v>
      </c>
      <c r="V7093" s="17" t="s">
        <v>56</v>
      </c>
      <c r="W7093" s="4">
        <v>56</v>
      </c>
      <c r="Z7093" s="17" t="s">
        <v>407</v>
      </c>
      <c r="AB7093" s="17" t="s">
        <v>481</v>
      </c>
      <c r="AF7093" s="14">
        <v>3</v>
      </c>
      <c r="AG7093" s="54">
        <v>56</v>
      </c>
      <c r="AH7093" s="11">
        <v>1</v>
      </c>
      <c r="AI7093" s="14">
        <v>7250</v>
      </c>
      <c r="AJ7093" s="19">
        <v>406000</v>
      </c>
      <c r="AK7093" s="23">
        <v>9</v>
      </c>
      <c r="AL7093" s="11">
        <v>0.09</v>
      </c>
      <c r="AM7093" s="19">
        <v>369460</v>
      </c>
      <c r="AN7093" s="19">
        <v>67500</v>
      </c>
      <c r="AP7093" s="14">
        <v>67500</v>
      </c>
      <c r="AQ7093" s="12">
        <v>3.0000000000000001E-3</v>
      </c>
    </row>
    <row r="7094" spans="1:45" ht="63" x14ac:dyDescent="0.2">
      <c r="T7094" s="17" t="s">
        <v>515</v>
      </c>
      <c r="U7094" s="17" t="s">
        <v>57</v>
      </c>
      <c r="V7094" s="17" t="s">
        <v>56</v>
      </c>
      <c r="W7094" s="4">
        <v>56</v>
      </c>
      <c r="Z7094" s="17" t="s">
        <v>407</v>
      </c>
      <c r="AB7094" s="17" t="s">
        <v>481</v>
      </c>
      <c r="AF7094" s="14">
        <v>3</v>
      </c>
      <c r="AG7094" s="54">
        <v>56</v>
      </c>
      <c r="AH7094" s="11">
        <v>1</v>
      </c>
      <c r="AI7094" s="14">
        <v>7250</v>
      </c>
      <c r="AJ7094" s="19">
        <v>406000</v>
      </c>
      <c r="AK7094" s="23">
        <v>9</v>
      </c>
      <c r="AL7094" s="11">
        <v>0.09</v>
      </c>
      <c r="AM7094" s="19">
        <v>369460</v>
      </c>
      <c r="AN7094" s="19">
        <v>436960</v>
      </c>
      <c r="AP7094" s="14">
        <v>436960</v>
      </c>
      <c r="AQ7094" s="12">
        <v>3.0000000000000001E-3</v>
      </c>
    </row>
    <row r="7095" spans="1:45" ht="63" x14ac:dyDescent="0.2">
      <c r="T7095" s="17" t="s">
        <v>121</v>
      </c>
      <c r="U7095" s="17" t="s">
        <v>57</v>
      </c>
      <c r="V7095" s="17" t="s">
        <v>56</v>
      </c>
      <c r="W7095" s="4">
        <v>56</v>
      </c>
      <c r="Z7095" s="17" t="s">
        <v>407</v>
      </c>
      <c r="AB7095" s="17" t="s">
        <v>481</v>
      </c>
      <c r="AF7095" s="14">
        <v>3</v>
      </c>
      <c r="AG7095" s="54">
        <v>56</v>
      </c>
      <c r="AH7095" s="11">
        <v>1</v>
      </c>
      <c r="AI7095" s="14">
        <v>7250</v>
      </c>
      <c r="AJ7095" s="19">
        <v>406000</v>
      </c>
      <c r="AK7095" s="23">
        <v>9</v>
      </c>
      <c r="AL7095" s="11">
        <v>0.09</v>
      </c>
      <c r="AM7095" s="19">
        <v>369460</v>
      </c>
      <c r="AN7095" s="19">
        <v>436960</v>
      </c>
      <c r="AP7095" s="14">
        <v>436960</v>
      </c>
      <c r="AQ7095" s="12">
        <v>3.0000000000000001E-3</v>
      </c>
    </row>
    <row r="7096" spans="1:45" ht="63" x14ac:dyDescent="0.2">
      <c r="T7096" s="17" t="s">
        <v>592</v>
      </c>
      <c r="U7096" s="17" t="s">
        <v>57</v>
      </c>
      <c r="V7096" s="17" t="s">
        <v>56</v>
      </c>
      <c r="W7096" s="4">
        <v>56</v>
      </c>
      <c r="Z7096" s="17" t="s">
        <v>407</v>
      </c>
      <c r="AB7096" s="17" t="s">
        <v>481</v>
      </c>
      <c r="AF7096" s="14">
        <v>3</v>
      </c>
      <c r="AG7096" s="54">
        <v>56</v>
      </c>
      <c r="AH7096" s="11">
        <v>1</v>
      </c>
      <c r="AI7096" s="14">
        <v>7250</v>
      </c>
      <c r="AJ7096" s="19">
        <v>406000</v>
      </c>
      <c r="AK7096" s="23">
        <v>9</v>
      </c>
      <c r="AL7096" s="11">
        <v>0.09</v>
      </c>
      <c r="AM7096" s="19">
        <v>369460</v>
      </c>
      <c r="AN7096" s="19">
        <v>436960</v>
      </c>
      <c r="AP7096" s="14">
        <v>436960</v>
      </c>
      <c r="AQ7096" s="12">
        <v>3.0000000000000001E-3</v>
      </c>
    </row>
    <row r="7097" spans="1:45" ht="63" x14ac:dyDescent="0.2">
      <c r="T7097" s="17" t="s">
        <v>549</v>
      </c>
      <c r="U7097" s="17" t="s">
        <v>57</v>
      </c>
      <c r="V7097" s="17" t="s">
        <v>56</v>
      </c>
      <c r="W7097" s="4">
        <v>56</v>
      </c>
      <c r="Z7097" s="17" t="s">
        <v>407</v>
      </c>
      <c r="AB7097" s="17" t="s">
        <v>481</v>
      </c>
      <c r="AF7097" s="14">
        <v>3</v>
      </c>
      <c r="AG7097" s="54">
        <v>56</v>
      </c>
      <c r="AH7097" s="11">
        <v>1</v>
      </c>
      <c r="AI7097" s="14">
        <v>7250</v>
      </c>
      <c r="AJ7097" s="19">
        <v>406000</v>
      </c>
      <c r="AK7097" s="23">
        <v>9</v>
      </c>
      <c r="AL7097" s="11">
        <v>0.09</v>
      </c>
      <c r="AM7097" s="19">
        <v>369460</v>
      </c>
      <c r="AN7097" s="19">
        <v>436960</v>
      </c>
      <c r="AP7097" s="14">
        <v>436960</v>
      </c>
      <c r="AQ7097" s="12">
        <v>3.0000000000000001E-3</v>
      </c>
    </row>
    <row r="7098" spans="1:45" x14ac:dyDescent="0.2">
      <c r="A7098" s="2">
        <v>5831</v>
      </c>
      <c r="B7098" s="13">
        <v>1</v>
      </c>
      <c r="C7098" s="17" t="s">
        <v>52</v>
      </c>
      <c r="D7098" s="17">
        <v>1513</v>
      </c>
      <c r="E7098" s="17">
        <v>111</v>
      </c>
      <c r="F7098" s="17">
        <v>1101</v>
      </c>
      <c r="H7098" s="17">
        <v>1</v>
      </c>
      <c r="I7098" s="17">
        <v>3</v>
      </c>
      <c r="J7098" s="17">
        <v>70</v>
      </c>
      <c r="K7098" s="10">
        <v>770</v>
      </c>
      <c r="P7098" s="17">
        <v>1</v>
      </c>
      <c r="Q7098" s="19">
        <v>770</v>
      </c>
      <c r="R7098" s="14">
        <v>160</v>
      </c>
      <c r="S7098" s="19">
        <v>123200</v>
      </c>
      <c r="AJ7098" s="19">
        <v>0</v>
      </c>
      <c r="AK7098" s="23">
        <v>0</v>
      </c>
      <c r="AM7098" s="19">
        <v>0</v>
      </c>
      <c r="AN7098" s="19">
        <v>123200</v>
      </c>
      <c r="AP7098" s="14">
        <v>123200</v>
      </c>
    </row>
    <row r="7099" spans="1:45" x14ac:dyDescent="0.2">
      <c r="A7099" s="2">
        <f>+A7098+1</f>
        <v>5832</v>
      </c>
      <c r="B7099" s="13">
        <v>2</v>
      </c>
      <c r="C7099" s="17" t="s">
        <v>52</v>
      </c>
      <c r="D7099" s="17">
        <v>1514</v>
      </c>
      <c r="E7099" s="17">
        <v>82</v>
      </c>
      <c r="F7099" s="17">
        <v>1103</v>
      </c>
      <c r="H7099" s="17">
        <v>1</v>
      </c>
      <c r="I7099" s="17">
        <v>3</v>
      </c>
      <c r="J7099" s="17">
        <v>87</v>
      </c>
      <c r="K7099" s="10">
        <v>787</v>
      </c>
      <c r="P7099" s="17">
        <v>1</v>
      </c>
      <c r="Q7099" s="19">
        <v>787</v>
      </c>
      <c r="R7099" s="14">
        <v>160</v>
      </c>
      <c r="S7099" s="19">
        <v>125920</v>
      </c>
      <c r="AJ7099" s="19">
        <v>0</v>
      </c>
      <c r="AK7099" s="23">
        <v>0</v>
      </c>
      <c r="AM7099" s="19">
        <v>0</v>
      </c>
      <c r="AN7099" s="19">
        <v>125920</v>
      </c>
      <c r="AP7099" s="14">
        <v>125920</v>
      </c>
    </row>
    <row r="7100" spans="1:45" ht="63" x14ac:dyDescent="0.2">
      <c r="A7100" s="122">
        <f t="shared" ref="A7100:A7101" si="713">+A7099+1</f>
        <v>5833</v>
      </c>
      <c r="B7100" s="13">
        <v>1</v>
      </c>
      <c r="C7100" s="17" t="s">
        <v>52</v>
      </c>
      <c r="D7100" s="17">
        <v>4811</v>
      </c>
      <c r="E7100" s="17">
        <v>28</v>
      </c>
      <c r="F7100" s="17">
        <v>2683</v>
      </c>
      <c r="G7100" s="13">
        <v>7</v>
      </c>
      <c r="H7100" s="17">
        <v>10</v>
      </c>
      <c r="I7100" s="17">
        <v>2</v>
      </c>
      <c r="J7100" s="17">
        <v>31</v>
      </c>
      <c r="K7100" s="10">
        <v>4231</v>
      </c>
      <c r="P7100" s="17">
        <v>1</v>
      </c>
      <c r="Q7100" s="19">
        <v>4231</v>
      </c>
      <c r="R7100" s="14">
        <v>630</v>
      </c>
      <c r="S7100" s="19">
        <v>2665530</v>
      </c>
      <c r="U7100" s="17" t="s">
        <v>57</v>
      </c>
      <c r="V7100" s="17" t="s">
        <v>56</v>
      </c>
      <c r="W7100" s="4">
        <v>91</v>
      </c>
      <c r="Y7100" s="4">
        <v>91</v>
      </c>
      <c r="AB7100" s="17" t="s">
        <v>78</v>
      </c>
      <c r="AJ7100" s="19">
        <v>0</v>
      </c>
      <c r="AK7100" s="23" t="s">
        <v>78</v>
      </c>
      <c r="AM7100" s="19">
        <v>0</v>
      </c>
      <c r="AN7100" s="19">
        <v>2665530</v>
      </c>
      <c r="AP7100" s="14">
        <v>2665530</v>
      </c>
      <c r="AS7100" s="26">
        <v>58</v>
      </c>
    </row>
    <row r="7101" spans="1:45" x14ac:dyDescent="0.2">
      <c r="A7101" s="122">
        <f t="shared" si="713"/>
        <v>5834</v>
      </c>
      <c r="B7101" s="13">
        <v>1</v>
      </c>
      <c r="C7101" s="17" t="s">
        <v>52</v>
      </c>
      <c r="D7101" s="17">
        <v>21451</v>
      </c>
      <c r="E7101" s="17">
        <v>125</v>
      </c>
      <c r="F7101" s="17">
        <v>4217</v>
      </c>
      <c r="G7101" s="13">
        <v>7</v>
      </c>
      <c r="H7101" s="17">
        <v>15</v>
      </c>
      <c r="I7101" s="17">
        <v>0</v>
      </c>
      <c r="J7101" s="17">
        <v>16</v>
      </c>
      <c r="K7101" s="10">
        <v>6016</v>
      </c>
      <c r="P7101" s="17">
        <v>1</v>
      </c>
      <c r="Q7101" s="19">
        <v>6016</v>
      </c>
      <c r="R7101" s="14">
        <v>410</v>
      </c>
      <c r="S7101" s="19">
        <v>2466560</v>
      </c>
      <c r="AJ7101" s="19">
        <v>0</v>
      </c>
      <c r="AK7101" s="23">
        <v>0</v>
      </c>
      <c r="AM7101" s="19">
        <v>0</v>
      </c>
      <c r="AN7101" s="19">
        <v>2466560</v>
      </c>
      <c r="AP7101" s="14">
        <v>2466560</v>
      </c>
      <c r="AS7101" s="26">
        <v>138</v>
      </c>
    </row>
    <row r="7102" spans="1:45" x14ac:dyDescent="0.2">
      <c r="B7102" s="13">
        <v>2</v>
      </c>
      <c r="C7102" s="17" t="s">
        <v>97</v>
      </c>
      <c r="D7102" s="17">
        <v>27</v>
      </c>
      <c r="G7102" s="13">
        <v>7</v>
      </c>
      <c r="H7102" s="17">
        <v>10</v>
      </c>
      <c r="I7102" s="17">
        <v>0</v>
      </c>
      <c r="J7102" s="17">
        <v>0</v>
      </c>
      <c r="K7102" s="10">
        <v>4000</v>
      </c>
      <c r="P7102" s="17">
        <v>1</v>
      </c>
      <c r="Q7102" s="19">
        <v>4000</v>
      </c>
      <c r="R7102" s="14" t="e">
        <v>#N/A</v>
      </c>
      <c r="S7102" s="19" t="e">
        <v>#N/A</v>
      </c>
      <c r="AJ7102" s="19">
        <v>0</v>
      </c>
      <c r="AK7102" s="23">
        <v>0</v>
      </c>
      <c r="AM7102" s="19">
        <v>0</v>
      </c>
      <c r="AN7102" s="19" t="e">
        <v>#N/A</v>
      </c>
      <c r="AP7102" s="14" t="e">
        <v>#N/A</v>
      </c>
      <c r="AQ7102" s="12">
        <v>1E-4</v>
      </c>
    </row>
    <row r="7103" spans="1:45" ht="42" x14ac:dyDescent="0.2">
      <c r="A7103" s="2">
        <v>5835</v>
      </c>
      <c r="B7103" s="13">
        <v>1</v>
      </c>
      <c r="C7103" s="17" t="s">
        <v>52</v>
      </c>
      <c r="D7103" s="17">
        <v>4758</v>
      </c>
      <c r="E7103" s="17">
        <v>58</v>
      </c>
      <c r="F7103" s="17">
        <v>2627</v>
      </c>
      <c r="G7103" s="13">
        <v>7</v>
      </c>
      <c r="H7103" s="17">
        <v>4</v>
      </c>
      <c r="I7103" s="17">
        <v>2</v>
      </c>
      <c r="J7103" s="17">
        <v>71</v>
      </c>
      <c r="K7103" s="10">
        <v>1849.63</v>
      </c>
      <c r="L7103" s="17">
        <v>21.37</v>
      </c>
      <c r="P7103" s="17">
        <v>5</v>
      </c>
      <c r="Q7103" s="19">
        <v>1871</v>
      </c>
      <c r="R7103" s="14">
        <v>160</v>
      </c>
      <c r="S7103" s="19">
        <v>299360</v>
      </c>
      <c r="T7103" s="17">
        <v>1</v>
      </c>
      <c r="V7103" s="17" t="s">
        <v>183</v>
      </c>
      <c r="W7103" s="4">
        <v>85.5</v>
      </c>
      <c r="Y7103" s="4">
        <v>85.5</v>
      </c>
      <c r="AB7103" s="17">
        <v>22</v>
      </c>
      <c r="AJ7103" s="19">
        <v>0</v>
      </c>
      <c r="AK7103" s="23">
        <v>22</v>
      </c>
      <c r="AM7103" s="19">
        <v>0</v>
      </c>
      <c r="AN7103" s="19">
        <v>299360</v>
      </c>
      <c r="AP7103" s="14">
        <v>299360</v>
      </c>
    </row>
    <row r="7104" spans="1:45" x14ac:dyDescent="0.2">
      <c r="A7104" s="2">
        <f>+A7103+1</f>
        <v>5836</v>
      </c>
      <c r="B7104" s="13">
        <v>1</v>
      </c>
      <c r="C7104" s="17" t="s">
        <v>52</v>
      </c>
      <c r="D7104" s="17">
        <v>22914</v>
      </c>
      <c r="E7104" s="17">
        <v>127</v>
      </c>
      <c r="F7104" s="17">
        <v>4830</v>
      </c>
      <c r="G7104" s="13">
        <v>7</v>
      </c>
      <c r="H7104" s="17">
        <v>5</v>
      </c>
      <c r="I7104" s="17">
        <v>0</v>
      </c>
      <c r="J7104" s="17">
        <v>89</v>
      </c>
      <c r="K7104" s="10">
        <v>2089</v>
      </c>
      <c r="P7104" s="17">
        <v>1</v>
      </c>
      <c r="Q7104" s="19">
        <v>2089</v>
      </c>
      <c r="R7104" s="14">
        <v>160</v>
      </c>
      <c r="S7104" s="19">
        <v>334240</v>
      </c>
      <c r="AJ7104" s="19">
        <v>0</v>
      </c>
      <c r="AK7104" s="23">
        <v>0</v>
      </c>
      <c r="AM7104" s="19">
        <v>0</v>
      </c>
      <c r="AN7104" s="19">
        <v>334240</v>
      </c>
      <c r="AP7104" s="14">
        <v>334240</v>
      </c>
    </row>
    <row r="7105" spans="1:45" x14ac:dyDescent="0.2">
      <c r="A7105" s="122">
        <f t="shared" ref="A7105:A7107" si="714">+A7104+1</f>
        <v>5837</v>
      </c>
      <c r="B7105" s="13">
        <v>1</v>
      </c>
      <c r="C7105" s="17" t="s">
        <v>52</v>
      </c>
      <c r="D7105" s="17">
        <v>4752</v>
      </c>
      <c r="E7105" s="17">
        <v>61</v>
      </c>
      <c r="F7105" s="17">
        <v>2621</v>
      </c>
      <c r="G7105" s="13">
        <v>7</v>
      </c>
      <c r="H7105" s="17">
        <v>8</v>
      </c>
      <c r="I7105" s="17">
        <v>3</v>
      </c>
      <c r="J7105" s="17">
        <v>5</v>
      </c>
      <c r="K7105" s="10">
        <v>3505</v>
      </c>
      <c r="P7105" s="17">
        <v>1</v>
      </c>
      <c r="Q7105" s="19">
        <v>3505</v>
      </c>
      <c r="R7105" s="14">
        <v>160</v>
      </c>
      <c r="S7105" s="19">
        <v>560800</v>
      </c>
      <c r="AJ7105" s="19">
        <v>0</v>
      </c>
      <c r="AK7105" s="23">
        <v>0</v>
      </c>
      <c r="AM7105" s="19">
        <v>0</v>
      </c>
      <c r="AN7105" s="19">
        <v>560800</v>
      </c>
      <c r="AP7105" s="14">
        <v>560800</v>
      </c>
      <c r="AS7105" s="26">
        <v>83</v>
      </c>
    </row>
    <row r="7106" spans="1:45" x14ac:dyDescent="0.2">
      <c r="A7106" s="122">
        <f t="shared" si="714"/>
        <v>5838</v>
      </c>
      <c r="B7106" s="13">
        <v>2</v>
      </c>
      <c r="C7106" s="17" t="s">
        <v>52</v>
      </c>
      <c r="D7106" s="17">
        <v>4754</v>
      </c>
      <c r="E7106" s="17">
        <v>63</v>
      </c>
      <c r="F7106" s="17">
        <v>2623</v>
      </c>
      <c r="G7106" s="13">
        <v>7</v>
      </c>
      <c r="H7106" s="17">
        <v>5</v>
      </c>
      <c r="I7106" s="17">
        <v>1</v>
      </c>
      <c r="J7106" s="17">
        <v>2</v>
      </c>
      <c r="K7106" s="10">
        <v>2102</v>
      </c>
      <c r="P7106" s="17">
        <v>1</v>
      </c>
      <c r="Q7106" s="19">
        <v>2102</v>
      </c>
      <c r="R7106" s="14">
        <v>160</v>
      </c>
      <c r="S7106" s="19">
        <v>336320</v>
      </c>
      <c r="AJ7106" s="19">
        <v>0</v>
      </c>
      <c r="AK7106" s="23">
        <v>0</v>
      </c>
      <c r="AM7106" s="19">
        <v>0</v>
      </c>
      <c r="AN7106" s="19">
        <v>336320</v>
      </c>
      <c r="AP7106" s="14">
        <v>336320</v>
      </c>
    </row>
    <row r="7107" spans="1:45" x14ac:dyDescent="0.2">
      <c r="A7107" s="122">
        <f t="shared" si="714"/>
        <v>5839</v>
      </c>
      <c r="B7107" s="13">
        <v>3</v>
      </c>
      <c r="C7107" s="17" t="s">
        <v>52</v>
      </c>
      <c r="D7107" s="17">
        <v>4755</v>
      </c>
      <c r="E7107" s="17">
        <v>59</v>
      </c>
      <c r="F7107" s="17">
        <v>2624</v>
      </c>
      <c r="G7107" s="13">
        <v>7</v>
      </c>
      <c r="H7107" s="17">
        <v>1</v>
      </c>
      <c r="I7107" s="17">
        <v>2</v>
      </c>
      <c r="J7107" s="17">
        <v>87</v>
      </c>
      <c r="K7107" s="10" t="s">
        <v>733</v>
      </c>
      <c r="P7107" s="17">
        <v>1</v>
      </c>
      <c r="Q7107" s="19">
        <v>687</v>
      </c>
      <c r="R7107" s="14">
        <v>160</v>
      </c>
      <c r="S7107" s="19">
        <v>109920</v>
      </c>
      <c r="AJ7107" s="19">
        <v>0</v>
      </c>
      <c r="AK7107" s="23">
        <v>0</v>
      </c>
      <c r="AM7107" s="19">
        <v>0</v>
      </c>
      <c r="AN7107" s="19">
        <v>109920</v>
      </c>
      <c r="AP7107" s="14">
        <v>109920</v>
      </c>
    </row>
    <row r="7108" spans="1:45" x14ac:dyDescent="0.2">
      <c r="D7108" s="17">
        <v>40797</v>
      </c>
      <c r="E7108" s="17">
        <v>140</v>
      </c>
      <c r="F7108" s="17">
        <v>8010</v>
      </c>
      <c r="G7108" s="13">
        <v>7</v>
      </c>
      <c r="H7108" s="17">
        <v>0</v>
      </c>
      <c r="I7108" s="17">
        <v>3</v>
      </c>
      <c r="J7108" s="17">
        <v>19</v>
      </c>
      <c r="K7108" s="10" t="s">
        <v>729</v>
      </c>
      <c r="P7108" s="17">
        <v>1</v>
      </c>
      <c r="R7108" s="14" t="e">
        <v>#N/A</v>
      </c>
    </row>
    <row r="7109" spans="1:45" x14ac:dyDescent="0.2">
      <c r="D7109" s="17">
        <v>40798</v>
      </c>
      <c r="E7109" s="17">
        <v>141</v>
      </c>
      <c r="F7109" s="17">
        <v>8011</v>
      </c>
      <c r="G7109" s="13">
        <v>7</v>
      </c>
      <c r="H7109" s="17">
        <v>4</v>
      </c>
      <c r="I7109" s="17">
        <v>0</v>
      </c>
      <c r="J7109" s="17">
        <v>72</v>
      </c>
      <c r="K7109" s="10" t="s">
        <v>734</v>
      </c>
      <c r="P7109" s="17">
        <v>1</v>
      </c>
      <c r="R7109" s="14" t="e">
        <v>#N/A</v>
      </c>
    </row>
    <row r="7110" spans="1:45" x14ac:dyDescent="0.2">
      <c r="D7110" s="17">
        <v>40799</v>
      </c>
      <c r="E7110" s="17">
        <v>142</v>
      </c>
      <c r="F7110" s="17">
        <v>8012</v>
      </c>
      <c r="G7110" s="13">
        <v>7</v>
      </c>
      <c r="H7110" s="17">
        <v>1</v>
      </c>
      <c r="I7110" s="17">
        <v>0</v>
      </c>
      <c r="J7110" s="17">
        <v>93</v>
      </c>
      <c r="K7110" s="10" t="s">
        <v>735</v>
      </c>
      <c r="P7110" s="17">
        <v>1</v>
      </c>
      <c r="R7110" s="14" t="e">
        <v>#N/A</v>
      </c>
    </row>
    <row r="7111" spans="1:45" x14ac:dyDescent="0.2">
      <c r="D7111" s="17">
        <v>40800</v>
      </c>
      <c r="E7111" s="17">
        <v>143</v>
      </c>
      <c r="F7111" s="17">
        <v>8013</v>
      </c>
      <c r="G7111" s="13">
        <v>7</v>
      </c>
      <c r="H7111" s="17">
        <v>5</v>
      </c>
      <c r="I7111" s="17">
        <v>3</v>
      </c>
      <c r="J7111" s="17">
        <v>3</v>
      </c>
      <c r="K7111" s="10" t="s">
        <v>736</v>
      </c>
      <c r="P7111" s="17">
        <v>1</v>
      </c>
      <c r="R7111" s="14" t="e">
        <v>#N/A</v>
      </c>
    </row>
    <row r="7112" spans="1:45" x14ac:dyDescent="0.2">
      <c r="A7112" s="2">
        <v>5840</v>
      </c>
      <c r="B7112" s="13">
        <v>1</v>
      </c>
      <c r="C7112" s="17" t="s">
        <v>52</v>
      </c>
      <c r="D7112" s="17">
        <v>5098</v>
      </c>
      <c r="E7112" s="17">
        <v>1</v>
      </c>
      <c r="F7112" s="17">
        <v>2864</v>
      </c>
      <c r="G7112" s="13">
        <v>7</v>
      </c>
      <c r="H7112" s="17">
        <v>20</v>
      </c>
      <c r="I7112" s="17">
        <v>3</v>
      </c>
      <c r="J7112" s="17">
        <v>16</v>
      </c>
      <c r="K7112" s="10">
        <v>8316</v>
      </c>
      <c r="P7112" s="17">
        <v>1</v>
      </c>
      <c r="Q7112" s="19">
        <v>8316</v>
      </c>
      <c r="R7112" s="14">
        <v>160</v>
      </c>
      <c r="S7112" s="19">
        <v>1330560</v>
      </c>
      <c r="AJ7112" s="19">
        <v>0</v>
      </c>
      <c r="AK7112" s="23">
        <v>0</v>
      </c>
      <c r="AM7112" s="19">
        <v>0</v>
      </c>
      <c r="AN7112" s="19">
        <v>1330560</v>
      </c>
      <c r="AP7112" s="14">
        <v>1330560</v>
      </c>
    </row>
    <row r="7113" spans="1:45" x14ac:dyDescent="0.2">
      <c r="A7113" s="2">
        <f>+A7112+1</f>
        <v>5841</v>
      </c>
      <c r="B7113" s="13">
        <v>2</v>
      </c>
      <c r="C7113" s="17" t="s">
        <v>52</v>
      </c>
      <c r="D7113" s="17">
        <v>5098</v>
      </c>
      <c r="E7113" s="17">
        <v>1</v>
      </c>
      <c r="F7113" s="17">
        <v>2864</v>
      </c>
      <c r="G7113" s="13">
        <v>7</v>
      </c>
      <c r="H7113" s="17">
        <v>20</v>
      </c>
      <c r="I7113" s="17">
        <v>3</v>
      </c>
      <c r="J7113" s="17">
        <v>16</v>
      </c>
      <c r="K7113" s="10">
        <v>8316</v>
      </c>
      <c r="P7113" s="17">
        <v>1</v>
      </c>
      <c r="Q7113" s="19">
        <v>8316</v>
      </c>
      <c r="R7113" s="14">
        <v>160</v>
      </c>
      <c r="S7113" s="19">
        <v>1330560</v>
      </c>
      <c r="AJ7113" s="19">
        <v>0</v>
      </c>
      <c r="AK7113" s="23">
        <v>0</v>
      </c>
      <c r="AM7113" s="19">
        <v>0</v>
      </c>
      <c r="AN7113" s="19">
        <v>1330560</v>
      </c>
      <c r="AP7113" s="14">
        <v>1330560</v>
      </c>
    </row>
    <row r="7114" spans="1:45" x14ac:dyDescent="0.2">
      <c r="A7114" s="122">
        <f t="shared" ref="A7114:A7123" si="715">+A7113+1</f>
        <v>5842</v>
      </c>
      <c r="B7114" s="13">
        <v>1</v>
      </c>
      <c r="C7114" s="17" t="s">
        <v>52</v>
      </c>
      <c r="D7114" s="17">
        <v>5101</v>
      </c>
      <c r="E7114" s="17">
        <v>9</v>
      </c>
      <c r="F7114" s="17">
        <v>2867</v>
      </c>
      <c r="G7114" s="13">
        <v>7</v>
      </c>
      <c r="H7114" s="17">
        <v>2</v>
      </c>
      <c r="I7114" s="17">
        <v>1</v>
      </c>
      <c r="J7114" s="17">
        <v>18</v>
      </c>
      <c r="K7114" s="10">
        <v>918</v>
      </c>
      <c r="P7114" s="17">
        <v>1</v>
      </c>
      <c r="Q7114" s="19">
        <v>918</v>
      </c>
      <c r="R7114" s="14">
        <v>160</v>
      </c>
      <c r="S7114" s="19">
        <v>146880</v>
      </c>
      <c r="AJ7114" s="19">
        <v>0</v>
      </c>
      <c r="AK7114" s="23">
        <v>0</v>
      </c>
      <c r="AM7114" s="19">
        <v>0</v>
      </c>
      <c r="AN7114" s="19">
        <v>146880</v>
      </c>
      <c r="AP7114" s="14">
        <v>146880</v>
      </c>
      <c r="AS7114" s="26">
        <v>75</v>
      </c>
    </row>
    <row r="7115" spans="1:45" x14ac:dyDescent="0.2">
      <c r="A7115" s="122">
        <f t="shared" si="715"/>
        <v>5843</v>
      </c>
      <c r="B7115" s="13">
        <v>1</v>
      </c>
      <c r="C7115" s="17" t="s">
        <v>52</v>
      </c>
      <c r="D7115" s="17">
        <v>5018</v>
      </c>
      <c r="E7115" s="17">
        <v>6</v>
      </c>
      <c r="F7115" s="17">
        <v>2759</v>
      </c>
      <c r="G7115" s="13">
        <v>7</v>
      </c>
      <c r="H7115" s="17">
        <v>24</v>
      </c>
      <c r="I7115" s="17">
        <v>3</v>
      </c>
      <c r="J7115" s="17">
        <v>56</v>
      </c>
      <c r="K7115" s="10">
        <v>9956</v>
      </c>
      <c r="P7115" s="17">
        <v>1</v>
      </c>
      <c r="Q7115" s="19">
        <v>9956</v>
      </c>
      <c r="R7115" s="14">
        <v>160</v>
      </c>
      <c r="S7115" s="19">
        <v>1592960</v>
      </c>
      <c r="AJ7115" s="19">
        <v>0</v>
      </c>
      <c r="AK7115" s="23">
        <v>0</v>
      </c>
      <c r="AM7115" s="19">
        <v>0</v>
      </c>
      <c r="AN7115" s="19">
        <v>1592960</v>
      </c>
      <c r="AP7115" s="14">
        <v>1592960</v>
      </c>
    </row>
    <row r="7116" spans="1:45" x14ac:dyDescent="0.2">
      <c r="A7116" s="122">
        <f t="shared" si="715"/>
        <v>5844</v>
      </c>
      <c r="B7116" s="13">
        <v>1</v>
      </c>
      <c r="C7116" s="17" t="s">
        <v>69</v>
      </c>
      <c r="E7116" s="17">
        <v>1469</v>
      </c>
      <c r="F7116" s="17">
        <v>9</v>
      </c>
      <c r="G7116" s="13">
        <v>2</v>
      </c>
      <c r="H7116" s="17">
        <v>8</v>
      </c>
      <c r="I7116" s="17">
        <v>0</v>
      </c>
      <c r="J7116" s="17">
        <v>19</v>
      </c>
      <c r="K7116" s="10">
        <v>3219</v>
      </c>
      <c r="P7116" s="17">
        <v>1</v>
      </c>
      <c r="Q7116" s="19">
        <v>3219</v>
      </c>
      <c r="R7116" s="14">
        <v>160</v>
      </c>
      <c r="S7116" s="19">
        <v>515040</v>
      </c>
      <c r="AJ7116" s="19">
        <v>0</v>
      </c>
      <c r="AK7116" s="23">
        <v>0</v>
      </c>
      <c r="AM7116" s="19">
        <v>0</v>
      </c>
      <c r="AN7116" s="19">
        <v>515040</v>
      </c>
      <c r="AP7116" s="14">
        <v>515040</v>
      </c>
      <c r="AQ7116" s="12">
        <v>1E-4</v>
      </c>
    </row>
    <row r="7117" spans="1:45" x14ac:dyDescent="0.2">
      <c r="A7117" s="122">
        <f t="shared" si="715"/>
        <v>5845</v>
      </c>
      <c r="B7117" s="13">
        <v>2</v>
      </c>
      <c r="C7117" s="17" t="s">
        <v>69</v>
      </c>
      <c r="E7117" s="17">
        <v>1470</v>
      </c>
      <c r="F7117" s="17">
        <v>5</v>
      </c>
      <c r="G7117" s="13">
        <v>2</v>
      </c>
      <c r="H7117" s="17">
        <v>19</v>
      </c>
      <c r="I7117" s="17">
        <v>1</v>
      </c>
      <c r="J7117" s="17">
        <v>28</v>
      </c>
      <c r="K7117" s="10">
        <v>7728</v>
      </c>
      <c r="P7117" s="17">
        <v>1</v>
      </c>
      <c r="Q7117" s="19">
        <v>7728</v>
      </c>
      <c r="R7117" s="14">
        <v>200</v>
      </c>
      <c r="S7117" s="19">
        <v>1545600</v>
      </c>
      <c r="AJ7117" s="19">
        <v>0</v>
      </c>
      <c r="AK7117" s="23">
        <v>0</v>
      </c>
      <c r="AM7117" s="19">
        <v>0</v>
      </c>
      <c r="AN7117" s="19">
        <v>1545600</v>
      </c>
      <c r="AP7117" s="14">
        <v>1545600</v>
      </c>
      <c r="AQ7117" s="12">
        <v>1E-4</v>
      </c>
    </row>
    <row r="7118" spans="1:45" x14ac:dyDescent="0.2">
      <c r="A7118" s="122">
        <f t="shared" si="715"/>
        <v>5846</v>
      </c>
      <c r="B7118" s="13">
        <v>3</v>
      </c>
      <c r="C7118" s="17" t="s">
        <v>69</v>
      </c>
      <c r="E7118" s="17">
        <v>1686</v>
      </c>
      <c r="F7118" s="17">
        <v>2</v>
      </c>
      <c r="G7118" s="13">
        <v>2</v>
      </c>
      <c r="H7118" s="17">
        <v>9</v>
      </c>
      <c r="I7118" s="17">
        <v>1</v>
      </c>
      <c r="J7118" s="17">
        <v>38</v>
      </c>
      <c r="K7118" s="10">
        <v>3738</v>
      </c>
      <c r="P7118" s="17">
        <v>1</v>
      </c>
      <c r="Q7118" s="19">
        <v>3738</v>
      </c>
      <c r="R7118" s="14">
        <v>160</v>
      </c>
      <c r="S7118" s="19">
        <v>598080</v>
      </c>
      <c r="AJ7118" s="19">
        <v>0</v>
      </c>
      <c r="AK7118" s="23">
        <v>0</v>
      </c>
      <c r="AM7118" s="19">
        <v>0</v>
      </c>
      <c r="AN7118" s="19">
        <v>598080</v>
      </c>
      <c r="AP7118" s="14">
        <v>598080</v>
      </c>
      <c r="AQ7118" s="12">
        <v>1E-4</v>
      </c>
    </row>
    <row r="7119" spans="1:45" x14ac:dyDescent="0.2">
      <c r="A7119" s="122">
        <f t="shared" si="715"/>
        <v>5847</v>
      </c>
      <c r="B7119" s="13">
        <v>1</v>
      </c>
      <c r="C7119" s="17" t="s">
        <v>52</v>
      </c>
      <c r="D7119" s="17">
        <v>22188</v>
      </c>
      <c r="E7119" s="17">
        <v>103</v>
      </c>
      <c r="F7119" s="17">
        <v>6775</v>
      </c>
      <c r="G7119" s="13">
        <v>7</v>
      </c>
      <c r="H7119" s="17">
        <v>2</v>
      </c>
      <c r="I7119" s="17">
        <v>1</v>
      </c>
      <c r="J7119" s="17">
        <v>69</v>
      </c>
      <c r="P7119" s="17">
        <v>1</v>
      </c>
      <c r="Q7119" s="19">
        <v>969</v>
      </c>
      <c r="R7119" s="14">
        <v>160</v>
      </c>
      <c r="S7119" s="19">
        <v>155040</v>
      </c>
      <c r="AJ7119" s="19">
        <v>0</v>
      </c>
      <c r="AK7119" s="23">
        <v>0</v>
      </c>
      <c r="AM7119" s="19">
        <v>0</v>
      </c>
      <c r="AN7119" s="19">
        <v>155040</v>
      </c>
      <c r="AP7119" s="14">
        <v>155040</v>
      </c>
      <c r="AS7119" s="26">
        <v>7</v>
      </c>
    </row>
    <row r="7120" spans="1:45" x14ac:dyDescent="0.2">
      <c r="A7120" s="122">
        <f t="shared" si="715"/>
        <v>5848</v>
      </c>
      <c r="B7120" s="13">
        <v>1</v>
      </c>
      <c r="C7120" s="17" t="s">
        <v>52</v>
      </c>
      <c r="D7120" s="17">
        <v>4930</v>
      </c>
      <c r="E7120" s="17">
        <v>67</v>
      </c>
      <c r="F7120" s="17">
        <v>2806</v>
      </c>
      <c r="G7120" s="13">
        <v>7</v>
      </c>
      <c r="H7120" s="17">
        <v>3</v>
      </c>
      <c r="I7120" s="17">
        <v>3</v>
      </c>
      <c r="J7120" s="17">
        <v>74</v>
      </c>
      <c r="L7120" s="17">
        <v>1574</v>
      </c>
      <c r="P7120" s="17">
        <v>1</v>
      </c>
      <c r="Q7120" s="19">
        <v>1574</v>
      </c>
      <c r="R7120" s="14">
        <v>470</v>
      </c>
      <c r="S7120" s="19">
        <v>739780</v>
      </c>
      <c r="AJ7120" s="19">
        <v>0</v>
      </c>
      <c r="AK7120" s="23">
        <v>0</v>
      </c>
      <c r="AM7120" s="19">
        <v>0</v>
      </c>
      <c r="AN7120" s="19">
        <v>739780</v>
      </c>
      <c r="AP7120" s="14">
        <v>739780</v>
      </c>
    </row>
    <row r="7121" spans="1:45" ht="42" x14ac:dyDescent="0.2">
      <c r="A7121" s="122">
        <f t="shared" si="715"/>
        <v>5849</v>
      </c>
      <c r="B7121" s="13">
        <v>1</v>
      </c>
      <c r="C7121" s="17" t="s">
        <v>52</v>
      </c>
      <c r="D7121" s="17">
        <v>5042</v>
      </c>
      <c r="E7121" s="17">
        <v>46</v>
      </c>
      <c r="F7121" s="17">
        <v>2824</v>
      </c>
      <c r="G7121" s="13">
        <v>7</v>
      </c>
      <c r="H7121" s="17">
        <v>6</v>
      </c>
      <c r="I7121" s="17">
        <v>1</v>
      </c>
      <c r="J7121" s="17">
        <v>87</v>
      </c>
      <c r="K7121" s="10">
        <v>2559</v>
      </c>
      <c r="L7121" s="17">
        <v>28</v>
      </c>
      <c r="P7121" s="17">
        <v>5</v>
      </c>
      <c r="Q7121" s="19">
        <v>2587</v>
      </c>
      <c r="R7121" s="14">
        <v>160</v>
      </c>
      <c r="S7121" s="19">
        <v>413920</v>
      </c>
      <c r="T7121" s="17">
        <v>1</v>
      </c>
      <c r="V7121" s="17" t="s">
        <v>183</v>
      </c>
      <c r="W7121" s="4">
        <v>112</v>
      </c>
      <c r="Y7121" s="4">
        <v>112</v>
      </c>
      <c r="AB7121" s="17">
        <v>26</v>
      </c>
      <c r="AJ7121" s="19">
        <v>0</v>
      </c>
      <c r="AK7121" s="23">
        <v>26</v>
      </c>
      <c r="AM7121" s="19">
        <v>0</v>
      </c>
      <c r="AN7121" s="19">
        <v>413920</v>
      </c>
      <c r="AP7121" s="14">
        <v>413920</v>
      </c>
      <c r="AS7121" s="26" t="s">
        <v>646</v>
      </c>
    </row>
    <row r="7122" spans="1:45" x14ac:dyDescent="0.2">
      <c r="A7122" s="122">
        <f t="shared" si="715"/>
        <v>5850</v>
      </c>
      <c r="B7122" s="13">
        <v>2</v>
      </c>
      <c r="C7122" s="17" t="s">
        <v>52</v>
      </c>
      <c r="D7122" s="17">
        <v>36967</v>
      </c>
      <c r="E7122" s="17">
        <v>135</v>
      </c>
      <c r="F7122" s="17">
        <v>7072</v>
      </c>
      <c r="G7122" s="13">
        <v>7</v>
      </c>
      <c r="H7122" s="17">
        <v>2</v>
      </c>
      <c r="I7122" s="17">
        <v>0</v>
      </c>
      <c r="J7122" s="17">
        <v>37</v>
      </c>
      <c r="K7122" s="10" t="s">
        <v>737</v>
      </c>
      <c r="P7122" s="17">
        <v>1</v>
      </c>
      <c r="Q7122" s="19">
        <v>837</v>
      </c>
      <c r="R7122" s="14">
        <v>160</v>
      </c>
      <c r="S7122" s="19">
        <v>133920</v>
      </c>
      <c r="AJ7122" s="19">
        <v>0</v>
      </c>
      <c r="AK7122" s="23">
        <v>0</v>
      </c>
      <c r="AM7122" s="19">
        <v>0</v>
      </c>
      <c r="AN7122" s="19">
        <v>133920</v>
      </c>
      <c r="AP7122" s="14">
        <v>133920</v>
      </c>
    </row>
    <row r="7123" spans="1:45" x14ac:dyDescent="0.2">
      <c r="A7123" s="122">
        <f t="shared" si="715"/>
        <v>5851</v>
      </c>
      <c r="B7123" s="13">
        <v>1</v>
      </c>
      <c r="C7123" s="17" t="s">
        <v>65</v>
      </c>
      <c r="D7123" s="17">
        <v>3226</v>
      </c>
      <c r="E7123" s="17">
        <v>91</v>
      </c>
      <c r="H7123" s="17">
        <v>0</v>
      </c>
      <c r="I7123" s="17">
        <v>2</v>
      </c>
      <c r="J7123" s="17">
        <v>0</v>
      </c>
      <c r="K7123" s="10">
        <v>200</v>
      </c>
      <c r="P7123" s="17">
        <v>5</v>
      </c>
      <c r="Q7123" s="19">
        <v>200</v>
      </c>
      <c r="R7123" s="14">
        <v>4500</v>
      </c>
      <c r="S7123" s="19">
        <v>900000</v>
      </c>
      <c r="AN7123" s="19">
        <v>614250</v>
      </c>
      <c r="AP7123" s="14">
        <v>614250</v>
      </c>
      <c r="AQ7123" s="12">
        <v>2.0000000000000001E-4</v>
      </c>
    </row>
    <row r="7124" spans="1:45" ht="63" x14ac:dyDescent="0.2">
      <c r="U7124" s="17" t="s">
        <v>57</v>
      </c>
      <c r="V7124" s="17" t="s">
        <v>56</v>
      </c>
      <c r="W7124" s="4">
        <v>315</v>
      </c>
      <c r="Y7124" s="4" t="s">
        <v>738</v>
      </c>
      <c r="AB7124" s="17" t="s">
        <v>227</v>
      </c>
      <c r="AE7124" s="17">
        <v>345.25</v>
      </c>
      <c r="AF7124" s="14">
        <v>2</v>
      </c>
      <c r="AG7124" s="54">
        <v>315</v>
      </c>
      <c r="AH7124" s="11">
        <v>0.75</v>
      </c>
      <c r="AI7124" s="14">
        <v>7250</v>
      </c>
      <c r="AJ7124" s="19">
        <v>1712812.5</v>
      </c>
      <c r="AK7124" s="23" t="s">
        <v>227</v>
      </c>
      <c r="AL7124" s="11">
        <v>0.3</v>
      </c>
      <c r="AM7124" s="19">
        <v>1198968.75</v>
      </c>
      <c r="AN7124" s="19">
        <v>1813218.75</v>
      </c>
      <c r="AP7124" s="14">
        <v>1813218.75</v>
      </c>
      <c r="AS7124" s="26">
        <v>3960</v>
      </c>
    </row>
    <row r="7125" spans="1:45" x14ac:dyDescent="0.2">
      <c r="Z7125" s="17" t="s">
        <v>234</v>
      </c>
      <c r="AB7125" s="17" t="s">
        <v>227</v>
      </c>
      <c r="AF7125" s="14">
        <v>3</v>
      </c>
      <c r="AG7125" s="54">
        <v>315</v>
      </c>
      <c r="AH7125" s="11">
        <v>0.25</v>
      </c>
      <c r="AI7125" s="14">
        <v>7250</v>
      </c>
      <c r="AJ7125" s="19">
        <v>570937.5</v>
      </c>
      <c r="AK7125" s="23" t="s">
        <v>227</v>
      </c>
      <c r="AL7125" s="11">
        <v>0.3</v>
      </c>
      <c r="AM7125" s="19">
        <v>399656.25</v>
      </c>
      <c r="AN7125" s="19">
        <v>604406.25</v>
      </c>
      <c r="AP7125" s="14">
        <v>604406.25</v>
      </c>
      <c r="AQ7125" s="12">
        <v>3.0000000000000001E-3</v>
      </c>
    </row>
    <row r="7126" spans="1:45" ht="63" x14ac:dyDescent="0.2">
      <c r="U7126" s="17" t="s">
        <v>55</v>
      </c>
      <c r="V7126" s="17" t="s">
        <v>56</v>
      </c>
      <c r="Z7126" s="17" t="s">
        <v>739</v>
      </c>
      <c r="AB7126" s="17" t="s">
        <v>227</v>
      </c>
      <c r="AE7126" s="17">
        <v>8.7617668356263584E-2</v>
      </c>
      <c r="AF7126" s="14">
        <v>3</v>
      </c>
      <c r="AG7126" s="54">
        <v>30.25</v>
      </c>
      <c r="AH7126" s="11">
        <v>1</v>
      </c>
      <c r="AI7126" s="14">
        <v>5650</v>
      </c>
      <c r="AJ7126" s="19">
        <v>170912.5</v>
      </c>
      <c r="AK7126" s="23" t="s">
        <v>227</v>
      </c>
      <c r="AL7126" s="11">
        <v>0.3</v>
      </c>
      <c r="AM7126" s="19">
        <v>119638.75</v>
      </c>
      <c r="AN7126" s="19">
        <v>200638.75</v>
      </c>
      <c r="AP7126" s="14">
        <v>200638.75</v>
      </c>
      <c r="AQ7126" s="12">
        <v>3.0000000000000001E-3</v>
      </c>
    </row>
    <row r="7127" spans="1:45" x14ac:dyDescent="0.2">
      <c r="A7127" s="2">
        <v>5852</v>
      </c>
      <c r="B7127" s="13">
        <v>1</v>
      </c>
      <c r="C7127" s="17" t="s">
        <v>52</v>
      </c>
      <c r="D7127" s="17">
        <v>4905</v>
      </c>
      <c r="E7127" s="17">
        <v>76</v>
      </c>
      <c r="F7127" s="17">
        <v>2779</v>
      </c>
      <c r="G7127" s="13">
        <v>7</v>
      </c>
      <c r="H7127" s="17">
        <v>11</v>
      </c>
      <c r="I7127" s="17">
        <v>1</v>
      </c>
      <c r="J7127" s="17">
        <v>97</v>
      </c>
      <c r="K7127" s="10">
        <v>4597</v>
      </c>
      <c r="P7127" s="17">
        <v>1</v>
      </c>
      <c r="Q7127" s="19">
        <v>4597</v>
      </c>
      <c r="R7127" s="14">
        <v>160</v>
      </c>
      <c r="S7127" s="19">
        <v>735520</v>
      </c>
      <c r="AJ7127" s="19">
        <v>0</v>
      </c>
      <c r="AK7127" s="23">
        <v>0</v>
      </c>
      <c r="AM7127" s="19">
        <v>0</v>
      </c>
      <c r="AN7127" s="19">
        <v>735520</v>
      </c>
      <c r="AP7127" s="14">
        <v>735520</v>
      </c>
      <c r="AS7127" s="26">
        <v>34</v>
      </c>
    </row>
    <row r="7128" spans="1:45" x14ac:dyDescent="0.2">
      <c r="A7128" s="2">
        <f>+A7127+1</f>
        <v>5853</v>
      </c>
      <c r="B7128" s="13">
        <v>1</v>
      </c>
      <c r="C7128" s="17" t="s">
        <v>52</v>
      </c>
      <c r="D7128" s="17">
        <v>4866</v>
      </c>
      <c r="E7128" s="17">
        <v>14</v>
      </c>
      <c r="F7128" s="17">
        <v>2556</v>
      </c>
      <c r="G7128" s="13">
        <v>7</v>
      </c>
      <c r="H7128" s="17">
        <v>0</v>
      </c>
      <c r="I7128" s="17">
        <v>2</v>
      </c>
      <c r="J7128" s="17">
        <v>88</v>
      </c>
      <c r="K7128" s="10">
        <v>288</v>
      </c>
      <c r="P7128" s="17">
        <v>1</v>
      </c>
      <c r="Q7128" s="19">
        <v>288</v>
      </c>
      <c r="R7128" s="14">
        <v>750</v>
      </c>
      <c r="S7128" s="19">
        <v>216000</v>
      </c>
      <c r="AJ7128" s="19">
        <v>0</v>
      </c>
      <c r="AK7128" s="23">
        <v>0</v>
      </c>
      <c r="AM7128" s="19">
        <v>0</v>
      </c>
      <c r="AN7128" s="19">
        <v>216000</v>
      </c>
      <c r="AP7128" s="14">
        <v>216000</v>
      </c>
    </row>
    <row r="7129" spans="1:45" x14ac:dyDescent="0.2">
      <c r="A7129" s="122">
        <f t="shared" ref="A7129:A7152" si="716">+A7128+1</f>
        <v>5854</v>
      </c>
      <c r="B7129" s="13">
        <v>2</v>
      </c>
      <c r="C7129" s="17" t="s">
        <v>52</v>
      </c>
      <c r="D7129" s="17">
        <v>4866</v>
      </c>
      <c r="E7129" s="17">
        <v>14</v>
      </c>
      <c r="F7129" s="17">
        <v>2556</v>
      </c>
      <c r="G7129" s="13">
        <v>7</v>
      </c>
      <c r="H7129" s="17">
        <v>0</v>
      </c>
      <c r="I7129" s="17">
        <v>2</v>
      </c>
      <c r="J7129" s="17">
        <v>88</v>
      </c>
      <c r="K7129" s="10">
        <v>288</v>
      </c>
      <c r="P7129" s="17">
        <v>1</v>
      </c>
      <c r="Q7129" s="19">
        <v>288</v>
      </c>
      <c r="R7129" s="14">
        <v>750</v>
      </c>
      <c r="S7129" s="19">
        <v>216000</v>
      </c>
      <c r="AJ7129" s="19">
        <v>0</v>
      </c>
      <c r="AK7129" s="23">
        <v>0</v>
      </c>
      <c r="AM7129" s="19">
        <v>0</v>
      </c>
      <c r="AN7129" s="19">
        <v>216000</v>
      </c>
      <c r="AP7129" s="14">
        <v>216000</v>
      </c>
    </row>
    <row r="7130" spans="1:45" x14ac:dyDescent="0.2">
      <c r="A7130" s="122">
        <f t="shared" si="716"/>
        <v>5855</v>
      </c>
      <c r="B7130" s="13">
        <v>3</v>
      </c>
      <c r="C7130" s="17" t="s">
        <v>52</v>
      </c>
      <c r="D7130" s="17">
        <v>5074</v>
      </c>
      <c r="E7130" s="17">
        <v>15</v>
      </c>
      <c r="F7130" s="17">
        <v>2557</v>
      </c>
      <c r="G7130" s="13">
        <v>7</v>
      </c>
      <c r="H7130" s="17">
        <v>0</v>
      </c>
      <c r="I7130" s="17">
        <v>2</v>
      </c>
      <c r="J7130" s="17">
        <v>34</v>
      </c>
      <c r="K7130" s="10">
        <v>234</v>
      </c>
      <c r="P7130" s="17">
        <v>1</v>
      </c>
      <c r="Q7130" s="19">
        <v>234</v>
      </c>
      <c r="R7130" s="14">
        <v>750</v>
      </c>
      <c r="S7130" s="19">
        <v>175500</v>
      </c>
      <c r="AJ7130" s="19">
        <v>0</v>
      </c>
      <c r="AK7130" s="23">
        <v>0</v>
      </c>
      <c r="AM7130" s="19">
        <v>0</v>
      </c>
      <c r="AN7130" s="19">
        <v>175500</v>
      </c>
      <c r="AP7130" s="14">
        <v>175500</v>
      </c>
    </row>
    <row r="7131" spans="1:45" x14ac:dyDescent="0.2">
      <c r="A7131" s="122">
        <f t="shared" si="716"/>
        <v>5856</v>
      </c>
      <c r="B7131" s="13">
        <v>1</v>
      </c>
      <c r="C7131" s="17" t="s">
        <v>52</v>
      </c>
      <c r="D7131" s="17">
        <v>5052</v>
      </c>
      <c r="E7131" s="17">
        <v>31</v>
      </c>
      <c r="F7131" s="17">
        <v>2834</v>
      </c>
      <c r="G7131" s="13">
        <v>7</v>
      </c>
      <c r="H7131" s="17">
        <v>9</v>
      </c>
      <c r="I7131" s="17">
        <v>0</v>
      </c>
      <c r="J7131" s="17">
        <v>24</v>
      </c>
      <c r="K7131" s="10">
        <v>3624</v>
      </c>
      <c r="P7131" s="17">
        <v>1</v>
      </c>
      <c r="Q7131" s="19">
        <v>3624</v>
      </c>
      <c r="R7131" s="14">
        <v>160</v>
      </c>
      <c r="S7131" s="19">
        <v>579840</v>
      </c>
      <c r="AJ7131" s="19">
        <v>0</v>
      </c>
      <c r="AK7131" s="23">
        <v>0</v>
      </c>
      <c r="AM7131" s="19">
        <v>0</v>
      </c>
      <c r="AN7131" s="19">
        <v>579840</v>
      </c>
      <c r="AP7131" s="14">
        <v>579840</v>
      </c>
    </row>
    <row r="7132" spans="1:45" x14ac:dyDescent="0.2">
      <c r="A7132" s="122">
        <f t="shared" si="716"/>
        <v>5857</v>
      </c>
      <c r="B7132" s="13">
        <v>1</v>
      </c>
      <c r="C7132" s="17" t="s">
        <v>52</v>
      </c>
      <c r="D7132" s="17">
        <v>1771</v>
      </c>
      <c r="E7132" s="17">
        <v>9</v>
      </c>
      <c r="F7132" s="17">
        <v>780</v>
      </c>
      <c r="G7132" s="13">
        <v>6</v>
      </c>
      <c r="H7132" s="17">
        <v>0</v>
      </c>
      <c r="I7132" s="17">
        <v>0</v>
      </c>
      <c r="J7132" s="17">
        <v>35</v>
      </c>
      <c r="N7132" s="18">
        <v>35</v>
      </c>
      <c r="P7132" s="17">
        <v>4</v>
      </c>
      <c r="Q7132" s="19">
        <v>35</v>
      </c>
      <c r="R7132" s="14">
        <v>4500</v>
      </c>
      <c r="S7132" s="19">
        <v>157500</v>
      </c>
      <c r="AJ7132" s="19">
        <v>0</v>
      </c>
      <c r="AK7132" s="23">
        <v>0</v>
      </c>
      <c r="AM7132" s="19">
        <v>0</v>
      </c>
      <c r="AN7132" s="19">
        <v>157500</v>
      </c>
      <c r="AP7132" s="14">
        <v>157500</v>
      </c>
      <c r="AQ7132" s="12">
        <v>3.0000000000000001E-3</v>
      </c>
    </row>
    <row r="7133" spans="1:45" x14ac:dyDescent="0.2">
      <c r="A7133" s="122">
        <f t="shared" si="716"/>
        <v>5858</v>
      </c>
      <c r="B7133" s="13">
        <v>1</v>
      </c>
      <c r="C7133" s="17" t="s">
        <v>52</v>
      </c>
      <c r="D7133" s="17">
        <v>1772</v>
      </c>
      <c r="E7133" s="17">
        <v>8</v>
      </c>
      <c r="F7133" s="17">
        <v>781</v>
      </c>
      <c r="G7133" s="13">
        <v>6</v>
      </c>
      <c r="H7133" s="17">
        <v>0</v>
      </c>
      <c r="I7133" s="17">
        <v>0</v>
      </c>
      <c r="J7133" s="17">
        <v>39</v>
      </c>
      <c r="N7133" s="18">
        <v>39</v>
      </c>
      <c r="P7133" s="17">
        <v>4</v>
      </c>
      <c r="Q7133" s="19">
        <v>39</v>
      </c>
      <c r="R7133" s="14">
        <v>4500</v>
      </c>
      <c r="S7133" s="19">
        <v>175500</v>
      </c>
      <c r="AJ7133" s="19">
        <v>0</v>
      </c>
      <c r="AK7133" s="23">
        <v>0</v>
      </c>
      <c r="AM7133" s="19">
        <v>0</v>
      </c>
      <c r="AN7133" s="19">
        <v>175500</v>
      </c>
      <c r="AP7133" s="14">
        <v>175500</v>
      </c>
      <c r="AQ7133" s="12">
        <v>3.0000000000000001E-3</v>
      </c>
      <c r="AS7133" s="26">
        <v>2</v>
      </c>
    </row>
    <row r="7134" spans="1:45" x14ac:dyDescent="0.2">
      <c r="A7134" s="122">
        <f t="shared" si="716"/>
        <v>5859</v>
      </c>
      <c r="B7134" s="13">
        <v>2</v>
      </c>
      <c r="C7134" s="17" t="s">
        <v>52</v>
      </c>
      <c r="D7134" s="17">
        <v>21121</v>
      </c>
      <c r="E7134" s="17">
        <v>84</v>
      </c>
      <c r="F7134" s="17">
        <v>4671</v>
      </c>
      <c r="G7134" s="13">
        <v>7</v>
      </c>
      <c r="H7134" s="17">
        <v>0</v>
      </c>
      <c r="I7134" s="17">
        <v>0</v>
      </c>
      <c r="J7134" s="17">
        <v>57</v>
      </c>
      <c r="N7134" s="18">
        <v>57</v>
      </c>
      <c r="P7134" s="17">
        <v>4</v>
      </c>
      <c r="Q7134" s="19">
        <v>57</v>
      </c>
      <c r="R7134" s="14">
        <v>4500</v>
      </c>
      <c r="S7134" s="19">
        <v>256500</v>
      </c>
      <c r="AJ7134" s="19">
        <v>0</v>
      </c>
      <c r="AK7134" s="23">
        <v>0</v>
      </c>
      <c r="AM7134" s="19">
        <v>0</v>
      </c>
      <c r="AN7134" s="19">
        <v>256500</v>
      </c>
      <c r="AP7134" s="14">
        <v>256500</v>
      </c>
      <c r="AQ7134" s="12">
        <v>3.0000000000000001E-3</v>
      </c>
    </row>
    <row r="7135" spans="1:45" x14ac:dyDescent="0.2">
      <c r="A7135" s="122">
        <f t="shared" si="716"/>
        <v>5860</v>
      </c>
      <c r="B7135" s="13">
        <v>1</v>
      </c>
      <c r="C7135" s="17" t="s">
        <v>52</v>
      </c>
      <c r="D7135" s="17">
        <v>21828</v>
      </c>
      <c r="E7135" s="17">
        <v>32</v>
      </c>
      <c r="F7135" s="17">
        <v>4759</v>
      </c>
      <c r="G7135" s="13">
        <v>7</v>
      </c>
      <c r="H7135" s="17">
        <v>13</v>
      </c>
      <c r="I7135" s="17">
        <v>0</v>
      </c>
      <c r="J7135" s="17">
        <v>1</v>
      </c>
      <c r="K7135" s="10">
        <v>5201</v>
      </c>
      <c r="P7135" s="17">
        <v>1</v>
      </c>
      <c r="Q7135" s="19">
        <v>5201</v>
      </c>
      <c r="R7135" s="14">
        <v>160</v>
      </c>
      <c r="S7135" s="19">
        <v>832160</v>
      </c>
      <c r="AJ7135" s="19">
        <v>0</v>
      </c>
      <c r="AK7135" s="23">
        <v>0</v>
      </c>
      <c r="AM7135" s="19">
        <v>0</v>
      </c>
      <c r="AN7135" s="19">
        <v>832160</v>
      </c>
      <c r="AP7135" s="14">
        <v>832160</v>
      </c>
    </row>
    <row r="7136" spans="1:45" x14ac:dyDescent="0.2">
      <c r="A7136" s="122">
        <f t="shared" si="716"/>
        <v>5861</v>
      </c>
      <c r="B7136" s="13">
        <v>1</v>
      </c>
      <c r="C7136" s="17" t="s">
        <v>52</v>
      </c>
      <c r="D7136" s="17">
        <v>5135</v>
      </c>
      <c r="E7136" s="17">
        <v>2</v>
      </c>
      <c r="F7136" s="17">
        <v>2888</v>
      </c>
      <c r="G7136" s="13">
        <v>7</v>
      </c>
      <c r="H7136" s="17">
        <v>0</v>
      </c>
      <c r="I7136" s="17">
        <v>1</v>
      </c>
      <c r="J7136" s="17">
        <v>16</v>
      </c>
      <c r="N7136" s="18">
        <v>116</v>
      </c>
      <c r="P7136" s="17">
        <v>4</v>
      </c>
      <c r="Q7136" s="19">
        <v>116</v>
      </c>
      <c r="R7136" s="14">
        <v>2250</v>
      </c>
      <c r="S7136" s="19">
        <v>261000</v>
      </c>
      <c r="AJ7136" s="19">
        <v>0</v>
      </c>
      <c r="AK7136" s="23">
        <v>0</v>
      </c>
      <c r="AM7136" s="19">
        <v>0</v>
      </c>
      <c r="AN7136" s="19">
        <v>261000</v>
      </c>
      <c r="AP7136" s="14">
        <v>261000</v>
      </c>
      <c r="AQ7136" s="12">
        <v>3.0000000000000001E-3</v>
      </c>
    </row>
    <row r="7137" spans="1:45" x14ac:dyDescent="0.2">
      <c r="A7137" s="122">
        <f t="shared" si="716"/>
        <v>5862</v>
      </c>
      <c r="B7137" s="13">
        <v>1</v>
      </c>
      <c r="C7137" s="17" t="s">
        <v>52</v>
      </c>
      <c r="D7137" s="17">
        <v>5100</v>
      </c>
      <c r="E7137" s="17">
        <v>3</v>
      </c>
      <c r="F7137" s="17">
        <v>2866</v>
      </c>
      <c r="G7137" s="13">
        <v>7</v>
      </c>
      <c r="H7137" s="17">
        <v>17</v>
      </c>
      <c r="I7137" s="17">
        <v>0</v>
      </c>
      <c r="J7137" s="17">
        <v>49</v>
      </c>
      <c r="K7137" s="10">
        <v>6849</v>
      </c>
      <c r="P7137" s="17">
        <v>1</v>
      </c>
      <c r="Q7137" s="19">
        <v>6849</v>
      </c>
      <c r="R7137" s="14">
        <v>160</v>
      </c>
      <c r="S7137" s="19">
        <v>1095840</v>
      </c>
      <c r="AJ7137" s="19">
        <v>0</v>
      </c>
      <c r="AK7137" s="23">
        <v>0</v>
      </c>
      <c r="AM7137" s="19">
        <v>0</v>
      </c>
      <c r="AN7137" s="19">
        <v>1095840</v>
      </c>
      <c r="AP7137" s="14">
        <v>1095840</v>
      </c>
      <c r="AS7137" s="26">
        <v>51</v>
      </c>
    </row>
    <row r="7138" spans="1:45" x14ac:dyDescent="0.2">
      <c r="A7138" s="122">
        <f t="shared" si="716"/>
        <v>5863</v>
      </c>
      <c r="B7138" s="13">
        <v>1</v>
      </c>
      <c r="C7138" s="17" t="s">
        <v>52</v>
      </c>
      <c r="D7138" s="17">
        <v>4796</v>
      </c>
      <c r="E7138" s="17">
        <v>16</v>
      </c>
      <c r="F7138" s="17">
        <v>2668</v>
      </c>
      <c r="G7138" s="13">
        <v>7</v>
      </c>
      <c r="H7138" s="17">
        <v>15</v>
      </c>
      <c r="I7138" s="17">
        <v>1</v>
      </c>
      <c r="J7138" s="17">
        <v>93</v>
      </c>
      <c r="K7138" s="10">
        <v>6193</v>
      </c>
      <c r="P7138" s="17">
        <v>1</v>
      </c>
      <c r="Q7138" s="19">
        <v>6193</v>
      </c>
      <c r="R7138" s="14">
        <v>200</v>
      </c>
      <c r="S7138" s="19">
        <v>1238600</v>
      </c>
      <c r="AJ7138" s="19">
        <v>0</v>
      </c>
      <c r="AK7138" s="23">
        <v>0</v>
      </c>
      <c r="AM7138" s="19">
        <v>0</v>
      </c>
      <c r="AN7138" s="19">
        <v>1238600</v>
      </c>
      <c r="AP7138" s="14">
        <v>1238600</v>
      </c>
      <c r="AS7138" s="26">
        <v>158</v>
      </c>
    </row>
    <row r="7139" spans="1:45" x14ac:dyDescent="0.2">
      <c r="A7139" s="122">
        <f t="shared" si="716"/>
        <v>5864</v>
      </c>
      <c r="B7139" s="13">
        <v>2</v>
      </c>
      <c r="C7139" s="17" t="s">
        <v>52</v>
      </c>
      <c r="D7139" s="17">
        <v>4802</v>
      </c>
      <c r="E7139" s="17">
        <v>22</v>
      </c>
      <c r="F7139" s="17">
        <v>2674</v>
      </c>
      <c r="G7139" s="13">
        <v>7</v>
      </c>
      <c r="H7139" s="17">
        <v>13</v>
      </c>
      <c r="I7139" s="17">
        <v>1</v>
      </c>
      <c r="J7139" s="17">
        <v>18</v>
      </c>
      <c r="K7139" s="10">
        <v>5318</v>
      </c>
      <c r="P7139" s="17">
        <v>1</v>
      </c>
      <c r="Q7139" s="19">
        <v>5318</v>
      </c>
      <c r="R7139" s="14">
        <v>160</v>
      </c>
      <c r="S7139" s="19">
        <v>850880</v>
      </c>
      <c r="AJ7139" s="19">
        <v>0</v>
      </c>
      <c r="AK7139" s="23">
        <v>0</v>
      </c>
      <c r="AM7139" s="19">
        <v>0</v>
      </c>
      <c r="AN7139" s="19">
        <v>850880</v>
      </c>
      <c r="AP7139" s="14">
        <v>850880</v>
      </c>
    </row>
    <row r="7140" spans="1:45" x14ac:dyDescent="0.2">
      <c r="A7140" s="122">
        <f t="shared" si="716"/>
        <v>5865</v>
      </c>
      <c r="B7140" s="13">
        <v>1</v>
      </c>
      <c r="C7140" s="17" t="s">
        <v>52</v>
      </c>
      <c r="D7140" s="17">
        <v>4812</v>
      </c>
      <c r="E7140" s="17">
        <v>29</v>
      </c>
      <c r="F7140" s="17">
        <v>2684</v>
      </c>
      <c r="G7140" s="13">
        <v>7</v>
      </c>
      <c r="H7140" s="17">
        <v>6</v>
      </c>
      <c r="I7140" s="17">
        <v>0</v>
      </c>
      <c r="J7140" s="17">
        <v>45</v>
      </c>
      <c r="K7140" s="10">
        <v>2445</v>
      </c>
      <c r="P7140" s="17">
        <v>1</v>
      </c>
      <c r="Q7140" s="19">
        <v>2445</v>
      </c>
      <c r="R7140" s="14">
        <v>880</v>
      </c>
      <c r="S7140" s="19">
        <v>2151600</v>
      </c>
      <c r="AJ7140" s="19">
        <v>0</v>
      </c>
      <c r="AK7140" s="23">
        <v>0</v>
      </c>
      <c r="AM7140" s="19">
        <v>0</v>
      </c>
      <c r="AN7140" s="19">
        <v>2151600</v>
      </c>
      <c r="AP7140" s="14">
        <v>2151600</v>
      </c>
      <c r="AS7140" s="26">
        <v>34</v>
      </c>
    </row>
    <row r="7141" spans="1:45" x14ac:dyDescent="0.2">
      <c r="A7141" s="122">
        <f t="shared" si="716"/>
        <v>5866</v>
      </c>
      <c r="B7141" s="13">
        <v>1</v>
      </c>
      <c r="C7141" s="17" t="s">
        <v>52</v>
      </c>
      <c r="D7141" s="17">
        <v>18454</v>
      </c>
      <c r="E7141" s="17">
        <v>67</v>
      </c>
      <c r="F7141" s="17">
        <v>3690</v>
      </c>
      <c r="G7141" s="13">
        <v>7</v>
      </c>
      <c r="H7141" s="17">
        <v>0</v>
      </c>
      <c r="I7141" s="17">
        <v>0</v>
      </c>
      <c r="J7141" s="17">
        <v>40</v>
      </c>
      <c r="K7141" s="10">
        <v>40</v>
      </c>
      <c r="P7141" s="17">
        <v>1</v>
      </c>
      <c r="Q7141" s="19">
        <v>40</v>
      </c>
      <c r="R7141" s="14">
        <v>4500</v>
      </c>
      <c r="S7141" s="19">
        <v>180000</v>
      </c>
      <c r="AJ7141" s="19">
        <v>0</v>
      </c>
      <c r="AK7141" s="23">
        <v>0</v>
      </c>
      <c r="AM7141" s="19">
        <v>0</v>
      </c>
      <c r="AN7141" s="19">
        <v>180000</v>
      </c>
      <c r="AP7141" s="14">
        <v>180000</v>
      </c>
      <c r="AS7141" s="26">
        <v>2</v>
      </c>
    </row>
    <row r="7142" spans="1:45" x14ac:dyDescent="0.2">
      <c r="A7142" s="122">
        <f t="shared" si="716"/>
        <v>5867</v>
      </c>
      <c r="B7142" s="13">
        <v>2</v>
      </c>
      <c r="C7142" s="17" t="s">
        <v>52</v>
      </c>
      <c r="D7142" s="17">
        <v>18455</v>
      </c>
      <c r="E7142" s="17">
        <v>68</v>
      </c>
      <c r="F7142" s="17">
        <v>3691</v>
      </c>
      <c r="G7142" s="13">
        <v>7</v>
      </c>
      <c r="H7142" s="17">
        <v>0</v>
      </c>
      <c r="I7142" s="17">
        <v>0</v>
      </c>
      <c r="J7142" s="17">
        <v>41</v>
      </c>
      <c r="N7142" s="18">
        <v>41</v>
      </c>
      <c r="P7142" s="17">
        <v>4</v>
      </c>
      <c r="Q7142" s="19">
        <v>41</v>
      </c>
      <c r="R7142" s="14">
        <v>4500</v>
      </c>
      <c r="S7142" s="19">
        <v>184500</v>
      </c>
      <c r="AJ7142" s="19">
        <v>0</v>
      </c>
      <c r="AK7142" s="23">
        <v>0</v>
      </c>
      <c r="AM7142" s="19">
        <v>0</v>
      </c>
      <c r="AN7142" s="19">
        <v>184500</v>
      </c>
      <c r="AP7142" s="14">
        <v>184500</v>
      </c>
      <c r="AQ7142" s="12">
        <v>3.0000000000000001E-3</v>
      </c>
    </row>
    <row r="7143" spans="1:45" ht="42" x14ac:dyDescent="0.2">
      <c r="A7143" s="122">
        <f t="shared" si="716"/>
        <v>5868</v>
      </c>
      <c r="B7143" s="13">
        <v>1</v>
      </c>
      <c r="C7143" s="17" t="s">
        <v>52</v>
      </c>
      <c r="D7143" s="17">
        <v>21289</v>
      </c>
      <c r="E7143" s="17">
        <v>159</v>
      </c>
      <c r="F7143" s="17">
        <v>4602</v>
      </c>
      <c r="G7143" s="13">
        <v>2</v>
      </c>
      <c r="H7143" s="17">
        <v>0</v>
      </c>
      <c r="I7143" s="17">
        <v>0</v>
      </c>
      <c r="J7143" s="17">
        <v>76</v>
      </c>
      <c r="L7143" s="17" t="s">
        <v>556</v>
      </c>
      <c r="P7143" s="17">
        <v>2</v>
      </c>
      <c r="Q7143" s="19">
        <v>76</v>
      </c>
      <c r="R7143" s="14">
        <v>160</v>
      </c>
      <c r="S7143" s="19">
        <v>12160</v>
      </c>
      <c r="T7143" s="17">
        <v>1</v>
      </c>
      <c r="V7143" s="17" t="s">
        <v>183</v>
      </c>
      <c r="W7143" s="4">
        <v>96</v>
      </c>
      <c r="Y7143" s="4">
        <v>96</v>
      </c>
      <c r="AB7143" s="17">
        <v>6</v>
      </c>
      <c r="AJ7143" s="19">
        <v>0</v>
      </c>
      <c r="AK7143" s="23">
        <v>6</v>
      </c>
      <c r="AM7143" s="19">
        <v>0</v>
      </c>
      <c r="AN7143" s="19">
        <v>12160</v>
      </c>
      <c r="AP7143" s="14">
        <v>12160</v>
      </c>
    </row>
    <row r="7144" spans="1:45" ht="42" x14ac:dyDescent="0.2">
      <c r="A7144" s="122">
        <f t="shared" si="716"/>
        <v>5869</v>
      </c>
      <c r="B7144" s="13">
        <v>1</v>
      </c>
      <c r="C7144" s="17" t="s">
        <v>52</v>
      </c>
      <c r="D7144" s="17">
        <v>11686</v>
      </c>
      <c r="E7144" s="17">
        <v>105</v>
      </c>
      <c r="F7144" s="17">
        <v>3188</v>
      </c>
      <c r="G7144" s="13">
        <v>3</v>
      </c>
      <c r="H7144" s="17">
        <v>0</v>
      </c>
      <c r="I7144" s="17">
        <v>0</v>
      </c>
      <c r="J7144" s="17">
        <v>89.08</v>
      </c>
      <c r="L7144" s="17" t="s">
        <v>740</v>
      </c>
      <c r="P7144" s="17">
        <v>2</v>
      </c>
      <c r="Q7144" s="19">
        <v>89.08</v>
      </c>
      <c r="R7144" s="14">
        <v>2000</v>
      </c>
      <c r="S7144" s="19">
        <v>178160</v>
      </c>
      <c r="T7144" s="17">
        <v>1</v>
      </c>
      <c r="V7144" s="17" t="s">
        <v>183</v>
      </c>
      <c r="W7144" s="4">
        <v>160</v>
      </c>
      <c r="Y7144" s="4">
        <v>160</v>
      </c>
      <c r="AB7144" s="17">
        <v>10</v>
      </c>
      <c r="AJ7144" s="19">
        <v>0</v>
      </c>
      <c r="AK7144" s="23">
        <v>10</v>
      </c>
      <c r="AM7144" s="19">
        <v>0</v>
      </c>
      <c r="AN7144" s="19">
        <v>178160</v>
      </c>
      <c r="AP7144" s="14">
        <v>178160</v>
      </c>
    </row>
    <row r="7145" spans="1:45" x14ac:dyDescent="0.2">
      <c r="A7145" s="122">
        <f t="shared" si="716"/>
        <v>5870</v>
      </c>
      <c r="B7145" s="13">
        <v>1</v>
      </c>
      <c r="C7145" s="17" t="s">
        <v>52</v>
      </c>
      <c r="D7145" s="17">
        <v>5099</v>
      </c>
      <c r="E7145" s="17">
        <v>2</v>
      </c>
      <c r="F7145" s="17">
        <v>2865</v>
      </c>
      <c r="G7145" s="13">
        <v>7</v>
      </c>
      <c r="H7145" s="17">
        <v>13</v>
      </c>
      <c r="I7145" s="17">
        <v>1</v>
      </c>
      <c r="J7145" s="17">
        <v>73</v>
      </c>
      <c r="K7145" s="10">
        <v>5373</v>
      </c>
      <c r="P7145" s="17">
        <v>1</v>
      </c>
      <c r="Q7145" s="19">
        <v>5373</v>
      </c>
      <c r="R7145" s="14">
        <v>160</v>
      </c>
      <c r="S7145" s="19">
        <v>859680</v>
      </c>
      <c r="AJ7145" s="19">
        <v>0</v>
      </c>
      <c r="AK7145" s="23">
        <v>0</v>
      </c>
      <c r="AM7145" s="19">
        <v>0</v>
      </c>
      <c r="AN7145" s="19">
        <v>859680</v>
      </c>
      <c r="AP7145" s="14">
        <v>859680</v>
      </c>
    </row>
    <row r="7146" spans="1:45" x14ac:dyDescent="0.2">
      <c r="A7146" s="122">
        <f t="shared" si="716"/>
        <v>5871</v>
      </c>
      <c r="B7146" s="13">
        <v>1</v>
      </c>
      <c r="C7146" s="17" t="s">
        <v>52</v>
      </c>
      <c r="D7146" s="17">
        <v>12507</v>
      </c>
      <c r="E7146" s="17">
        <v>60</v>
      </c>
      <c r="F7146" s="17">
        <v>3244</v>
      </c>
      <c r="G7146" s="13">
        <v>7</v>
      </c>
      <c r="H7146" s="17">
        <v>0</v>
      </c>
      <c r="I7146" s="17">
        <v>0</v>
      </c>
      <c r="J7146" s="17">
        <v>72</v>
      </c>
      <c r="N7146" s="18">
        <v>72</v>
      </c>
      <c r="P7146" s="17">
        <v>4</v>
      </c>
      <c r="Q7146" s="19">
        <v>72</v>
      </c>
      <c r="R7146" s="14">
        <v>2250</v>
      </c>
      <c r="S7146" s="19">
        <v>162000</v>
      </c>
      <c r="AJ7146" s="19">
        <v>0</v>
      </c>
      <c r="AK7146" s="23">
        <v>0</v>
      </c>
      <c r="AM7146" s="19">
        <v>0</v>
      </c>
      <c r="AN7146" s="19">
        <v>162000</v>
      </c>
      <c r="AP7146" s="14">
        <v>162000</v>
      </c>
      <c r="AQ7146" s="12">
        <v>3.0000000000000001E-3</v>
      </c>
    </row>
    <row r="7147" spans="1:45" x14ac:dyDescent="0.2">
      <c r="A7147" s="122">
        <f t="shared" si="716"/>
        <v>5872</v>
      </c>
      <c r="B7147" s="13">
        <v>1</v>
      </c>
      <c r="C7147" s="17" t="s">
        <v>69</v>
      </c>
      <c r="E7147" s="17">
        <v>1518</v>
      </c>
      <c r="F7147" s="17">
        <v>8</v>
      </c>
      <c r="G7147" s="13">
        <v>2</v>
      </c>
      <c r="H7147" s="17">
        <v>8</v>
      </c>
      <c r="I7147" s="17">
        <v>2</v>
      </c>
      <c r="J7147" s="17">
        <v>86</v>
      </c>
      <c r="K7147" s="10">
        <v>3486</v>
      </c>
      <c r="P7147" s="17">
        <v>1</v>
      </c>
      <c r="Q7147" s="19">
        <v>3486</v>
      </c>
      <c r="R7147" s="14">
        <v>160</v>
      </c>
      <c r="S7147" s="19">
        <v>557760</v>
      </c>
      <c r="AJ7147" s="19">
        <v>0</v>
      </c>
      <c r="AK7147" s="23">
        <v>0</v>
      </c>
      <c r="AM7147" s="19">
        <v>0</v>
      </c>
      <c r="AN7147" s="19">
        <v>557760</v>
      </c>
      <c r="AP7147" s="14">
        <v>557760</v>
      </c>
      <c r="AQ7147" s="12">
        <v>1E-4</v>
      </c>
    </row>
    <row r="7148" spans="1:45" x14ac:dyDescent="0.2">
      <c r="A7148" s="122">
        <f t="shared" si="716"/>
        <v>5873</v>
      </c>
      <c r="B7148" s="13">
        <v>1</v>
      </c>
      <c r="C7148" s="17" t="s">
        <v>52</v>
      </c>
      <c r="D7148" s="17">
        <v>30436</v>
      </c>
      <c r="E7148" s="17">
        <v>40</v>
      </c>
      <c r="F7148" s="17">
        <v>5842</v>
      </c>
      <c r="G7148" s="13">
        <v>7</v>
      </c>
      <c r="H7148" s="17">
        <v>0</v>
      </c>
      <c r="I7148" s="17">
        <v>0</v>
      </c>
      <c r="J7148" s="17">
        <v>41</v>
      </c>
      <c r="N7148" s="18">
        <v>41</v>
      </c>
      <c r="P7148" s="17">
        <v>4</v>
      </c>
      <c r="Q7148" s="19">
        <v>41</v>
      </c>
      <c r="R7148" s="14">
        <v>4500</v>
      </c>
      <c r="S7148" s="19">
        <v>184500</v>
      </c>
      <c r="AJ7148" s="19">
        <v>0</v>
      </c>
      <c r="AK7148" s="23">
        <v>0</v>
      </c>
      <c r="AM7148" s="19">
        <v>0</v>
      </c>
      <c r="AN7148" s="19">
        <v>184500</v>
      </c>
      <c r="AP7148" s="14">
        <v>184500</v>
      </c>
      <c r="AQ7148" s="12">
        <v>3.0000000000000001E-3</v>
      </c>
      <c r="AS7148" s="26">
        <v>2</v>
      </c>
    </row>
    <row r="7149" spans="1:45" x14ac:dyDescent="0.2">
      <c r="A7149" s="122">
        <f t="shared" si="716"/>
        <v>5874</v>
      </c>
      <c r="B7149" s="13">
        <v>2</v>
      </c>
      <c r="C7149" s="17" t="s">
        <v>52</v>
      </c>
      <c r="D7149" s="17">
        <v>30437</v>
      </c>
      <c r="E7149" s="17">
        <v>41</v>
      </c>
      <c r="F7149" s="17">
        <v>5843</v>
      </c>
      <c r="G7149" s="13">
        <v>7</v>
      </c>
      <c r="H7149" s="17">
        <v>0</v>
      </c>
      <c r="I7149" s="17">
        <v>0</v>
      </c>
      <c r="J7149" s="17">
        <v>40</v>
      </c>
      <c r="N7149" s="18">
        <v>40</v>
      </c>
      <c r="P7149" s="17">
        <v>4</v>
      </c>
      <c r="Q7149" s="19">
        <v>40</v>
      </c>
      <c r="R7149" s="14">
        <v>4500</v>
      </c>
      <c r="S7149" s="19">
        <v>180000</v>
      </c>
      <c r="AJ7149" s="19">
        <v>0</v>
      </c>
      <c r="AK7149" s="23">
        <v>0</v>
      </c>
      <c r="AM7149" s="19">
        <v>0</v>
      </c>
      <c r="AN7149" s="19">
        <v>180000</v>
      </c>
      <c r="AP7149" s="14">
        <v>180000</v>
      </c>
      <c r="AQ7149" s="12">
        <v>3.0000000000000001E-3</v>
      </c>
    </row>
    <row r="7150" spans="1:45" x14ac:dyDescent="0.2">
      <c r="A7150" s="122">
        <f t="shared" si="716"/>
        <v>5875</v>
      </c>
      <c r="B7150" s="13">
        <v>1</v>
      </c>
      <c r="C7150" s="17" t="s">
        <v>69</v>
      </c>
      <c r="E7150" s="17">
        <v>1469</v>
      </c>
      <c r="F7150" s="17">
        <v>4</v>
      </c>
      <c r="G7150" s="13">
        <v>2</v>
      </c>
      <c r="H7150" s="17">
        <v>0</v>
      </c>
      <c r="I7150" s="17">
        <v>3</v>
      </c>
      <c r="J7150" s="17">
        <v>53</v>
      </c>
      <c r="K7150" s="10">
        <v>353</v>
      </c>
      <c r="P7150" s="17">
        <v>1</v>
      </c>
      <c r="Q7150" s="19">
        <v>353</v>
      </c>
      <c r="R7150" s="14">
        <v>200</v>
      </c>
      <c r="S7150" s="19">
        <v>70600</v>
      </c>
      <c r="AJ7150" s="19">
        <v>0</v>
      </c>
      <c r="AK7150" s="23">
        <v>0</v>
      </c>
      <c r="AM7150" s="19">
        <v>0</v>
      </c>
      <c r="AN7150" s="19">
        <v>70600</v>
      </c>
      <c r="AP7150" s="14">
        <v>70600</v>
      </c>
      <c r="AQ7150" s="12">
        <v>1E-4</v>
      </c>
    </row>
    <row r="7151" spans="1:45" x14ac:dyDescent="0.2">
      <c r="A7151" s="122">
        <f t="shared" si="716"/>
        <v>5876</v>
      </c>
      <c r="B7151" s="13">
        <v>2</v>
      </c>
      <c r="C7151" s="17" t="s">
        <v>69</v>
      </c>
      <c r="E7151" s="17">
        <v>1469</v>
      </c>
      <c r="F7151" s="17">
        <v>15</v>
      </c>
      <c r="G7151" s="13">
        <v>2</v>
      </c>
      <c r="H7151" s="17">
        <v>6</v>
      </c>
      <c r="I7151" s="17">
        <v>2</v>
      </c>
      <c r="J7151" s="17">
        <v>42</v>
      </c>
      <c r="K7151" s="10">
        <v>2642</v>
      </c>
      <c r="P7151" s="17">
        <v>1</v>
      </c>
      <c r="Q7151" s="19">
        <v>2642</v>
      </c>
      <c r="R7151" s="14">
        <v>160</v>
      </c>
      <c r="S7151" s="19">
        <v>422720</v>
      </c>
      <c r="AJ7151" s="19">
        <v>0</v>
      </c>
      <c r="AK7151" s="23">
        <v>0</v>
      </c>
      <c r="AM7151" s="19">
        <v>0</v>
      </c>
      <c r="AN7151" s="19">
        <v>422720</v>
      </c>
      <c r="AP7151" s="14">
        <v>422720</v>
      </c>
      <c r="AQ7151" s="12">
        <v>1E-4</v>
      </c>
    </row>
    <row r="7152" spans="1:45" x14ac:dyDescent="0.2">
      <c r="A7152" s="122">
        <f t="shared" si="716"/>
        <v>5877</v>
      </c>
      <c r="B7152" s="13">
        <v>1</v>
      </c>
      <c r="C7152" s="17" t="s">
        <v>69</v>
      </c>
      <c r="E7152" s="17">
        <v>1515</v>
      </c>
      <c r="F7152" s="17">
        <v>3</v>
      </c>
      <c r="G7152" s="13">
        <v>6</v>
      </c>
      <c r="H7152" s="17">
        <v>29</v>
      </c>
      <c r="I7152" s="17">
        <v>0</v>
      </c>
      <c r="J7152" s="17">
        <v>48</v>
      </c>
      <c r="K7152" s="10">
        <v>11648</v>
      </c>
      <c r="P7152" s="17">
        <v>5</v>
      </c>
      <c r="Q7152" s="19">
        <v>11648</v>
      </c>
      <c r="R7152" s="14">
        <v>160</v>
      </c>
      <c r="S7152" s="19">
        <v>1863680</v>
      </c>
      <c r="AJ7152" s="19">
        <v>0</v>
      </c>
      <c r="AK7152" s="23">
        <v>0</v>
      </c>
      <c r="AM7152" s="19">
        <v>0</v>
      </c>
      <c r="AN7152" s="19">
        <v>1863680</v>
      </c>
      <c r="AP7152" s="14">
        <v>1863680</v>
      </c>
      <c r="AQ7152" s="12">
        <v>1E-4</v>
      </c>
      <c r="AS7152" s="26">
        <v>720</v>
      </c>
    </row>
    <row r="7153" spans="1:45" ht="63" x14ac:dyDescent="0.2">
      <c r="J7153" s="17">
        <v>8</v>
      </c>
      <c r="M7153" s="15" t="s">
        <v>675</v>
      </c>
      <c r="Q7153" s="19">
        <v>8</v>
      </c>
      <c r="R7153" s="14">
        <v>250</v>
      </c>
      <c r="S7153" s="19">
        <v>2000</v>
      </c>
      <c r="T7153" s="17" t="s">
        <v>122</v>
      </c>
      <c r="U7153" s="17" t="s">
        <v>57</v>
      </c>
      <c r="V7153" s="17" t="s">
        <v>56</v>
      </c>
      <c r="W7153" s="4">
        <v>8</v>
      </c>
      <c r="Z7153" s="17" t="s">
        <v>675</v>
      </c>
      <c r="AB7153" s="17" t="s">
        <v>121</v>
      </c>
      <c r="AD7153" s="14" t="s">
        <v>200</v>
      </c>
      <c r="AF7153" s="14">
        <v>3</v>
      </c>
      <c r="AG7153" s="54">
        <v>32</v>
      </c>
      <c r="AH7153" s="11">
        <v>1</v>
      </c>
      <c r="AI7153" s="14">
        <v>7250</v>
      </c>
      <c r="AJ7153" s="19">
        <v>232000</v>
      </c>
      <c r="AK7153" s="23" t="s">
        <v>121</v>
      </c>
      <c r="AL7153" s="11">
        <v>0.04</v>
      </c>
      <c r="AM7153" s="19">
        <v>222720</v>
      </c>
      <c r="AN7153" s="19">
        <v>224720</v>
      </c>
      <c r="AP7153" s="14">
        <v>224720</v>
      </c>
      <c r="AQ7153" s="12">
        <v>3.0000000000000001E-3</v>
      </c>
    </row>
    <row r="7154" spans="1:45" x14ac:dyDescent="0.2">
      <c r="A7154" s="2">
        <v>5878</v>
      </c>
      <c r="B7154" s="13">
        <v>1</v>
      </c>
      <c r="C7154" s="17" t="s">
        <v>69</v>
      </c>
      <c r="E7154" s="17">
        <v>1469</v>
      </c>
      <c r="F7154" s="17">
        <v>5</v>
      </c>
      <c r="G7154" s="13">
        <v>2</v>
      </c>
      <c r="H7154" s="17">
        <v>24</v>
      </c>
      <c r="I7154" s="17">
        <v>2</v>
      </c>
      <c r="J7154" s="17">
        <v>16</v>
      </c>
      <c r="K7154" s="10">
        <v>9816</v>
      </c>
      <c r="P7154" s="17">
        <v>1</v>
      </c>
      <c r="Q7154" s="19">
        <v>9816</v>
      </c>
      <c r="R7154" s="14">
        <v>200</v>
      </c>
      <c r="S7154" s="19">
        <v>1963200</v>
      </c>
      <c r="AJ7154" s="19">
        <v>0</v>
      </c>
      <c r="AK7154" s="23">
        <v>0</v>
      </c>
      <c r="AM7154" s="19">
        <v>0</v>
      </c>
      <c r="AN7154" s="19">
        <v>1963200</v>
      </c>
      <c r="AP7154" s="14">
        <v>1963200</v>
      </c>
      <c r="AQ7154" s="12">
        <v>1E-4</v>
      </c>
    </row>
    <row r="7155" spans="1:45" x14ac:dyDescent="0.2">
      <c r="A7155" s="2">
        <f>+A7154+1</f>
        <v>5879</v>
      </c>
      <c r="B7155" s="13">
        <v>1</v>
      </c>
      <c r="C7155" s="17" t="s">
        <v>69</v>
      </c>
      <c r="E7155" s="17">
        <v>1469</v>
      </c>
      <c r="F7155" s="17">
        <v>6</v>
      </c>
      <c r="G7155" s="13">
        <v>2</v>
      </c>
      <c r="H7155" s="17">
        <v>23</v>
      </c>
      <c r="I7155" s="17">
        <v>3</v>
      </c>
      <c r="J7155" s="17">
        <v>31</v>
      </c>
      <c r="K7155" s="10">
        <v>9531</v>
      </c>
      <c r="P7155" s="17">
        <v>1</v>
      </c>
      <c r="Q7155" s="19">
        <v>9531</v>
      </c>
      <c r="R7155" s="14">
        <v>250</v>
      </c>
      <c r="S7155" s="19">
        <v>2382750</v>
      </c>
      <c r="AJ7155" s="19">
        <v>0</v>
      </c>
      <c r="AK7155" s="23">
        <v>0</v>
      </c>
      <c r="AM7155" s="19">
        <v>0</v>
      </c>
      <c r="AN7155" s="19">
        <v>2382750</v>
      </c>
      <c r="AP7155" s="14">
        <v>2382750</v>
      </c>
      <c r="AQ7155" s="12">
        <v>1E-4</v>
      </c>
    </row>
    <row r="7156" spans="1:45" x14ac:dyDescent="0.2">
      <c r="A7156" s="122">
        <f t="shared" ref="A7156:A7165" si="717">+A7155+1</f>
        <v>5880</v>
      </c>
      <c r="B7156" s="13">
        <v>2</v>
      </c>
      <c r="C7156" s="17" t="s">
        <v>69</v>
      </c>
      <c r="E7156" s="17">
        <v>1469</v>
      </c>
      <c r="F7156" s="17">
        <v>13</v>
      </c>
      <c r="G7156" s="13">
        <v>2</v>
      </c>
      <c r="H7156" s="17">
        <v>14</v>
      </c>
      <c r="I7156" s="17">
        <v>2</v>
      </c>
      <c r="J7156" s="17">
        <v>88</v>
      </c>
      <c r="K7156" s="10">
        <v>5888</v>
      </c>
      <c r="P7156" s="17">
        <v>1</v>
      </c>
      <c r="Q7156" s="19">
        <v>5888</v>
      </c>
      <c r="R7156" s="14">
        <v>160</v>
      </c>
      <c r="S7156" s="19">
        <v>942080</v>
      </c>
      <c r="AJ7156" s="19">
        <v>0</v>
      </c>
      <c r="AK7156" s="23">
        <v>0</v>
      </c>
      <c r="AM7156" s="19">
        <v>0</v>
      </c>
      <c r="AN7156" s="19">
        <v>942080</v>
      </c>
      <c r="AP7156" s="14">
        <v>942080</v>
      </c>
      <c r="AQ7156" s="12">
        <v>1E-4</v>
      </c>
    </row>
    <row r="7157" spans="1:45" x14ac:dyDescent="0.2">
      <c r="A7157" s="122">
        <f t="shared" si="717"/>
        <v>5881</v>
      </c>
      <c r="B7157" s="13">
        <v>1</v>
      </c>
      <c r="C7157" s="17" t="s">
        <v>69</v>
      </c>
      <c r="E7157" s="17">
        <v>1469</v>
      </c>
      <c r="F7157" s="17">
        <v>11</v>
      </c>
      <c r="G7157" s="13">
        <v>2</v>
      </c>
      <c r="H7157" s="17">
        <v>10</v>
      </c>
      <c r="I7157" s="17">
        <v>0</v>
      </c>
      <c r="J7157" s="17">
        <v>0</v>
      </c>
      <c r="K7157" s="10">
        <v>4000</v>
      </c>
      <c r="P7157" s="17">
        <v>1</v>
      </c>
      <c r="Q7157" s="19">
        <v>4000</v>
      </c>
      <c r="R7157" s="14">
        <v>160</v>
      </c>
      <c r="S7157" s="19">
        <v>640000</v>
      </c>
      <c r="AJ7157" s="19">
        <v>0</v>
      </c>
      <c r="AK7157" s="23">
        <v>0</v>
      </c>
      <c r="AM7157" s="19">
        <v>0</v>
      </c>
      <c r="AN7157" s="19">
        <v>640000</v>
      </c>
      <c r="AP7157" s="14">
        <v>640000</v>
      </c>
      <c r="AQ7157" s="12">
        <v>1E-4</v>
      </c>
    </row>
    <row r="7158" spans="1:45" x14ac:dyDescent="0.2">
      <c r="A7158" s="122">
        <f t="shared" si="717"/>
        <v>5882</v>
      </c>
      <c r="B7158" s="13">
        <v>1</v>
      </c>
      <c r="C7158" s="17" t="s">
        <v>69</v>
      </c>
      <c r="E7158" s="17">
        <v>1469</v>
      </c>
      <c r="F7158" s="17">
        <v>12</v>
      </c>
      <c r="G7158" s="13">
        <v>2</v>
      </c>
      <c r="H7158" s="17">
        <v>7</v>
      </c>
      <c r="I7158" s="17">
        <v>3</v>
      </c>
      <c r="J7158" s="17">
        <v>71</v>
      </c>
      <c r="K7158" s="10">
        <v>3171</v>
      </c>
      <c r="P7158" s="17">
        <v>1</v>
      </c>
      <c r="Q7158" s="19">
        <v>3171</v>
      </c>
      <c r="R7158" s="14">
        <v>160</v>
      </c>
      <c r="S7158" s="19">
        <v>507360</v>
      </c>
      <c r="AJ7158" s="19">
        <v>0</v>
      </c>
      <c r="AK7158" s="23">
        <v>0</v>
      </c>
      <c r="AM7158" s="19">
        <v>0</v>
      </c>
      <c r="AN7158" s="19">
        <v>507360</v>
      </c>
      <c r="AP7158" s="14">
        <v>507360</v>
      </c>
      <c r="AQ7158" s="12">
        <v>1E-4</v>
      </c>
    </row>
    <row r="7159" spans="1:45" x14ac:dyDescent="0.2">
      <c r="A7159" s="122">
        <f t="shared" si="717"/>
        <v>5883</v>
      </c>
      <c r="B7159" s="13">
        <v>1</v>
      </c>
      <c r="C7159" s="17" t="s">
        <v>52</v>
      </c>
      <c r="D7159" s="17">
        <v>5004</v>
      </c>
      <c r="E7159" s="17">
        <v>3</v>
      </c>
      <c r="F7159" s="17">
        <v>2688</v>
      </c>
      <c r="G7159" s="13">
        <v>7</v>
      </c>
      <c r="H7159" s="17">
        <v>0</v>
      </c>
      <c r="I7159" s="17">
        <v>0</v>
      </c>
      <c r="J7159" s="17">
        <v>38</v>
      </c>
      <c r="N7159" s="18">
        <v>38</v>
      </c>
      <c r="P7159" s="17">
        <v>4</v>
      </c>
      <c r="Q7159" s="19">
        <v>38</v>
      </c>
      <c r="R7159" s="14">
        <v>4500</v>
      </c>
      <c r="S7159" s="19">
        <v>171000</v>
      </c>
      <c r="AF7159" s="14">
        <v>2</v>
      </c>
      <c r="AG7159" s="54">
        <v>48</v>
      </c>
      <c r="AH7159" s="11">
        <v>1</v>
      </c>
      <c r="AI7159" s="14">
        <v>7250</v>
      </c>
      <c r="AJ7159" s="19">
        <v>348000</v>
      </c>
      <c r="AK7159" s="23">
        <v>7</v>
      </c>
      <c r="AL7159" s="11">
        <v>7.0000000000000007E-2</v>
      </c>
      <c r="AM7159" s="19">
        <v>323640</v>
      </c>
      <c r="AN7159" s="19">
        <v>494640</v>
      </c>
      <c r="AP7159" s="14">
        <v>494640</v>
      </c>
      <c r="AQ7159" s="12">
        <v>2.0000000000000001E-4</v>
      </c>
    </row>
    <row r="7160" spans="1:45" x14ac:dyDescent="0.2">
      <c r="A7160" s="122">
        <f t="shared" si="717"/>
        <v>5884</v>
      </c>
      <c r="B7160" s="13">
        <v>2</v>
      </c>
      <c r="C7160" s="17" t="s">
        <v>52</v>
      </c>
      <c r="D7160" s="17">
        <v>5005</v>
      </c>
      <c r="E7160" s="17">
        <v>4</v>
      </c>
      <c r="F7160" s="17">
        <v>2689</v>
      </c>
      <c r="G7160" s="13">
        <v>7</v>
      </c>
      <c r="H7160" s="17">
        <v>0</v>
      </c>
      <c r="I7160" s="17">
        <v>0</v>
      </c>
      <c r="J7160" s="17">
        <v>48</v>
      </c>
      <c r="N7160" s="18">
        <v>48</v>
      </c>
      <c r="P7160" s="17">
        <v>4</v>
      </c>
      <c r="Q7160" s="19">
        <v>48</v>
      </c>
      <c r="R7160" s="14">
        <v>4500</v>
      </c>
      <c r="S7160" s="19">
        <v>216000</v>
      </c>
      <c r="AJ7160" s="19">
        <v>0</v>
      </c>
      <c r="AK7160" s="23">
        <v>0</v>
      </c>
      <c r="AM7160" s="19">
        <v>0</v>
      </c>
      <c r="AN7160" s="19">
        <v>216000</v>
      </c>
      <c r="AP7160" s="14">
        <v>216000</v>
      </c>
      <c r="AQ7160" s="12">
        <v>3.0000000000000001E-3</v>
      </c>
    </row>
    <row r="7161" spans="1:45" x14ac:dyDescent="0.2">
      <c r="A7161" s="122">
        <f t="shared" si="717"/>
        <v>5885</v>
      </c>
      <c r="B7161" s="13">
        <v>1</v>
      </c>
      <c r="C7161" s="17" t="s">
        <v>69</v>
      </c>
      <c r="E7161" s="17">
        <v>1519</v>
      </c>
      <c r="F7161" s="17">
        <v>5</v>
      </c>
      <c r="G7161" s="13">
        <v>2</v>
      </c>
      <c r="H7161" s="17">
        <v>34</v>
      </c>
      <c r="I7161" s="17">
        <v>2</v>
      </c>
      <c r="J7161" s="17">
        <v>1</v>
      </c>
      <c r="K7161" s="10">
        <v>13801</v>
      </c>
      <c r="P7161" s="17">
        <v>1</v>
      </c>
      <c r="Q7161" s="19">
        <v>13801</v>
      </c>
      <c r="R7161" s="14">
        <v>200</v>
      </c>
      <c r="S7161" s="19">
        <v>2760200</v>
      </c>
      <c r="AJ7161" s="19">
        <v>0</v>
      </c>
      <c r="AK7161" s="23">
        <v>0</v>
      </c>
      <c r="AM7161" s="19">
        <v>0</v>
      </c>
      <c r="AN7161" s="19">
        <v>2760200</v>
      </c>
      <c r="AP7161" s="14">
        <v>2760200</v>
      </c>
      <c r="AQ7161" s="12">
        <v>1E-4</v>
      </c>
    </row>
    <row r="7162" spans="1:45" x14ac:dyDescent="0.2">
      <c r="A7162" s="122">
        <f t="shared" si="717"/>
        <v>5886</v>
      </c>
      <c r="B7162" s="13">
        <v>1</v>
      </c>
      <c r="C7162" s="17" t="s">
        <v>69</v>
      </c>
      <c r="E7162" s="17">
        <v>1470</v>
      </c>
      <c r="F7162" s="17">
        <v>7</v>
      </c>
      <c r="G7162" s="13">
        <v>2</v>
      </c>
      <c r="H7162" s="17">
        <v>15</v>
      </c>
      <c r="I7162" s="17">
        <v>3</v>
      </c>
      <c r="J7162" s="17">
        <v>67</v>
      </c>
      <c r="K7162" s="10">
        <v>6367</v>
      </c>
      <c r="P7162" s="17">
        <v>1</v>
      </c>
      <c r="Q7162" s="19">
        <v>6367</v>
      </c>
      <c r="R7162" s="14">
        <v>250</v>
      </c>
      <c r="S7162" s="19">
        <v>1591750</v>
      </c>
      <c r="AJ7162" s="19">
        <v>0</v>
      </c>
      <c r="AK7162" s="23">
        <v>0</v>
      </c>
      <c r="AM7162" s="19">
        <v>0</v>
      </c>
      <c r="AN7162" s="19">
        <v>1591750</v>
      </c>
      <c r="AP7162" s="14">
        <v>1591750</v>
      </c>
      <c r="AQ7162" s="12">
        <v>1E-4</v>
      </c>
    </row>
    <row r="7163" spans="1:45" x14ac:dyDescent="0.2">
      <c r="A7163" s="122">
        <f t="shared" si="717"/>
        <v>5887</v>
      </c>
      <c r="B7163" s="13">
        <v>2</v>
      </c>
      <c r="C7163" s="17" t="s">
        <v>69</v>
      </c>
      <c r="E7163" s="17">
        <v>1470</v>
      </c>
      <c r="F7163" s="17">
        <v>8</v>
      </c>
      <c r="G7163" s="13">
        <v>2</v>
      </c>
      <c r="H7163" s="17">
        <v>56</v>
      </c>
      <c r="I7163" s="17">
        <v>1</v>
      </c>
      <c r="J7163" s="17">
        <v>99</v>
      </c>
      <c r="K7163" s="10">
        <v>22599</v>
      </c>
      <c r="P7163" s="17">
        <v>1</v>
      </c>
      <c r="Q7163" s="19">
        <v>22599</v>
      </c>
      <c r="R7163" s="14">
        <v>200</v>
      </c>
      <c r="S7163" s="19">
        <v>4519800</v>
      </c>
      <c r="AJ7163" s="19">
        <v>0</v>
      </c>
      <c r="AK7163" s="23">
        <v>0</v>
      </c>
      <c r="AM7163" s="19">
        <v>0</v>
      </c>
      <c r="AN7163" s="19">
        <v>4519800</v>
      </c>
      <c r="AP7163" s="14">
        <v>4519800</v>
      </c>
      <c r="AQ7163" s="12">
        <v>1E-4</v>
      </c>
    </row>
    <row r="7164" spans="1:45" x14ac:dyDescent="0.2">
      <c r="A7164" s="122">
        <f t="shared" si="717"/>
        <v>5888</v>
      </c>
      <c r="B7164" s="13">
        <v>1</v>
      </c>
      <c r="C7164" s="17" t="s">
        <v>52</v>
      </c>
      <c r="D7164" s="17">
        <v>4856</v>
      </c>
      <c r="E7164" s="17">
        <v>4</v>
      </c>
      <c r="F7164" s="17">
        <v>2541</v>
      </c>
      <c r="G7164" s="13">
        <v>7</v>
      </c>
      <c r="H7164" s="17">
        <v>1</v>
      </c>
      <c r="I7164" s="17">
        <v>2</v>
      </c>
      <c r="J7164" s="17">
        <v>79</v>
      </c>
      <c r="K7164" s="10">
        <v>679</v>
      </c>
      <c r="P7164" s="17">
        <v>1</v>
      </c>
      <c r="Q7164" s="19">
        <v>679</v>
      </c>
      <c r="R7164" s="14">
        <v>880</v>
      </c>
      <c r="S7164" s="19">
        <v>597520</v>
      </c>
      <c r="AJ7164" s="19">
        <v>0</v>
      </c>
      <c r="AK7164" s="23">
        <v>0</v>
      </c>
      <c r="AM7164" s="19">
        <v>0</v>
      </c>
      <c r="AN7164" s="19">
        <v>597520</v>
      </c>
      <c r="AP7164" s="14">
        <v>597520</v>
      </c>
      <c r="AS7164" s="26">
        <v>17</v>
      </c>
    </row>
    <row r="7165" spans="1:45" x14ac:dyDescent="0.2">
      <c r="A7165" s="122">
        <f t="shared" si="717"/>
        <v>5889</v>
      </c>
      <c r="B7165" s="13">
        <v>2</v>
      </c>
      <c r="C7165" s="17" t="s">
        <v>52</v>
      </c>
      <c r="D7165" s="17">
        <v>4857</v>
      </c>
      <c r="E7165" s="17">
        <v>5</v>
      </c>
      <c r="F7165" s="17">
        <v>2542</v>
      </c>
      <c r="G7165" s="13">
        <v>7</v>
      </c>
      <c r="H7165" s="17">
        <v>1</v>
      </c>
      <c r="I7165" s="17">
        <v>1</v>
      </c>
      <c r="J7165" s="17">
        <v>18</v>
      </c>
      <c r="K7165" s="10">
        <v>485.94</v>
      </c>
      <c r="L7165" s="17">
        <v>30.06</v>
      </c>
      <c r="P7165" s="17">
        <v>5</v>
      </c>
      <c r="Q7165" s="19">
        <v>518</v>
      </c>
      <c r="R7165" s="14">
        <v>880</v>
      </c>
      <c r="S7165" s="19">
        <v>455840</v>
      </c>
    </row>
    <row r="7166" spans="1:45" x14ac:dyDescent="0.2">
      <c r="P7166" s="17">
        <v>1</v>
      </c>
      <c r="Q7166" s="19">
        <v>418</v>
      </c>
      <c r="R7166" s="14">
        <v>880</v>
      </c>
      <c r="S7166" s="19">
        <v>367840</v>
      </c>
      <c r="AJ7166" s="19">
        <v>0</v>
      </c>
      <c r="AK7166" s="23">
        <v>0</v>
      </c>
      <c r="AM7166" s="19">
        <v>0</v>
      </c>
      <c r="AN7166" s="19">
        <v>367840</v>
      </c>
      <c r="AP7166" s="14">
        <v>367840</v>
      </c>
    </row>
    <row r="7167" spans="1:45" ht="63" x14ac:dyDescent="0.2">
      <c r="P7167" s="17">
        <v>2</v>
      </c>
      <c r="Q7167" s="19">
        <v>100</v>
      </c>
      <c r="R7167" s="14">
        <v>880</v>
      </c>
      <c r="S7167" s="19">
        <v>88000</v>
      </c>
      <c r="T7167" s="17">
        <v>1</v>
      </c>
      <c r="U7167" s="17" t="s">
        <v>57</v>
      </c>
      <c r="V7167" s="17" t="s">
        <v>56</v>
      </c>
      <c r="W7167" s="4">
        <v>128.25</v>
      </c>
      <c r="Y7167" s="4">
        <v>128.25</v>
      </c>
      <c r="AB7167" s="17">
        <v>20</v>
      </c>
      <c r="AF7167" s="14">
        <v>2</v>
      </c>
      <c r="AG7167" s="54">
        <v>128.25</v>
      </c>
      <c r="AH7167" s="11">
        <v>1</v>
      </c>
      <c r="AJ7167" s="19">
        <v>0</v>
      </c>
      <c r="AK7167" s="23">
        <v>20</v>
      </c>
      <c r="AM7167" s="19">
        <v>0</v>
      </c>
      <c r="AN7167" s="19">
        <v>88000</v>
      </c>
      <c r="AP7167" s="14">
        <v>88000</v>
      </c>
    </row>
    <row r="7168" spans="1:45" ht="63" x14ac:dyDescent="0.2">
      <c r="T7168" s="17" t="s">
        <v>288</v>
      </c>
      <c r="U7168" s="17" t="s">
        <v>57</v>
      </c>
      <c r="V7168" s="17" t="s">
        <v>56</v>
      </c>
      <c r="W7168" s="4">
        <v>31.5</v>
      </c>
      <c r="Y7168" s="4" t="s">
        <v>481</v>
      </c>
      <c r="AF7168" s="14">
        <v>2</v>
      </c>
      <c r="AG7168" s="54">
        <v>31.5</v>
      </c>
      <c r="AH7168" s="11">
        <v>0.28999999999999998</v>
      </c>
      <c r="AI7168" s="14">
        <v>7250</v>
      </c>
      <c r="AJ7168" s="19">
        <v>66228.75</v>
      </c>
      <c r="AK7168" s="23">
        <v>2</v>
      </c>
      <c r="AL7168" s="11">
        <v>0.02</v>
      </c>
      <c r="AM7168" s="19">
        <v>64904.175000000003</v>
      </c>
      <c r="AN7168" s="19">
        <v>64904.175000000003</v>
      </c>
      <c r="AP7168" s="14">
        <v>64904.175000000003</v>
      </c>
      <c r="AQ7168" s="12">
        <v>2.0000000000000001E-4</v>
      </c>
    </row>
    <row r="7169" spans="1:45" x14ac:dyDescent="0.2">
      <c r="Z7169" s="17" t="s">
        <v>691</v>
      </c>
      <c r="AD7169" s="14" t="s">
        <v>200</v>
      </c>
      <c r="AF7169" s="14">
        <v>3</v>
      </c>
      <c r="AG7169" s="54">
        <v>31.5</v>
      </c>
      <c r="AH7169" s="11">
        <v>0.71</v>
      </c>
      <c r="AI7169" s="14">
        <v>7250</v>
      </c>
      <c r="AJ7169" s="19">
        <v>162146.25</v>
      </c>
      <c r="AK7169" s="23">
        <v>2</v>
      </c>
      <c r="AL7169" s="11">
        <v>0.02</v>
      </c>
      <c r="AM7169" s="19">
        <v>158903.32500000001</v>
      </c>
      <c r="AN7169" s="19">
        <v>158903.32500000001</v>
      </c>
      <c r="AP7169" s="14">
        <v>158903.32500000001</v>
      </c>
      <c r="AQ7169" s="12">
        <v>3.0000000000000001E-3</v>
      </c>
    </row>
    <row r="7170" spans="1:45" x14ac:dyDescent="0.2">
      <c r="A7170" s="2">
        <v>5890</v>
      </c>
      <c r="B7170" s="13">
        <v>3</v>
      </c>
      <c r="C7170" s="17" t="s">
        <v>52</v>
      </c>
      <c r="D7170" s="17">
        <v>4857</v>
      </c>
      <c r="E7170" s="17">
        <v>5</v>
      </c>
      <c r="F7170" s="17">
        <v>2542</v>
      </c>
      <c r="G7170" s="13">
        <v>7</v>
      </c>
      <c r="H7170" s="17">
        <v>1</v>
      </c>
      <c r="I7170" s="17">
        <v>1</v>
      </c>
      <c r="J7170" s="17">
        <v>18</v>
      </c>
      <c r="K7170" s="10">
        <v>485.94</v>
      </c>
      <c r="L7170" s="17">
        <v>30.06</v>
      </c>
      <c r="P7170" s="17">
        <v>5</v>
      </c>
      <c r="Q7170" s="19">
        <v>518</v>
      </c>
      <c r="R7170" s="14">
        <v>880</v>
      </c>
      <c r="S7170" s="19">
        <v>455840</v>
      </c>
      <c r="AJ7170" s="19">
        <v>0</v>
      </c>
      <c r="AK7170" s="23">
        <v>0</v>
      </c>
      <c r="AM7170" s="19">
        <v>0</v>
      </c>
      <c r="AN7170" s="19">
        <v>455840</v>
      </c>
      <c r="AP7170" s="14">
        <v>455840</v>
      </c>
    </row>
    <row r="7171" spans="1:45" x14ac:dyDescent="0.2">
      <c r="A7171" s="2">
        <f>+A7170+1</f>
        <v>5891</v>
      </c>
      <c r="B7171" s="13">
        <v>4</v>
      </c>
      <c r="C7171" s="17" t="s">
        <v>52</v>
      </c>
      <c r="D7171" s="17">
        <v>19374</v>
      </c>
      <c r="E7171" s="17">
        <v>72</v>
      </c>
      <c r="F7171" s="17">
        <v>4198</v>
      </c>
      <c r="G7171" s="13">
        <v>7</v>
      </c>
      <c r="H7171" s="17">
        <v>0</v>
      </c>
      <c r="I7171" s="17">
        <v>0</v>
      </c>
      <c r="J7171" s="17">
        <v>31</v>
      </c>
      <c r="K7171" s="10" t="s">
        <v>616</v>
      </c>
      <c r="P7171" s="17">
        <v>1</v>
      </c>
      <c r="Q7171" s="19">
        <v>31</v>
      </c>
      <c r="R7171" s="14">
        <v>4500</v>
      </c>
      <c r="S7171" s="19">
        <v>139500</v>
      </c>
      <c r="AJ7171" s="19">
        <v>0</v>
      </c>
      <c r="AK7171" s="23">
        <v>0</v>
      </c>
      <c r="AM7171" s="19">
        <v>0</v>
      </c>
      <c r="AN7171" s="19">
        <v>139500</v>
      </c>
      <c r="AP7171" s="14">
        <v>139500</v>
      </c>
    </row>
    <row r="7172" spans="1:45" x14ac:dyDescent="0.2">
      <c r="A7172" s="122">
        <f t="shared" ref="A7172:A7187" si="718">+A7171+1</f>
        <v>5892</v>
      </c>
      <c r="B7172" s="13">
        <v>1</v>
      </c>
      <c r="C7172" s="17" t="s">
        <v>52</v>
      </c>
      <c r="D7172" s="17">
        <v>4815</v>
      </c>
      <c r="E7172" s="17">
        <v>7</v>
      </c>
      <c r="F7172" s="17">
        <v>2703</v>
      </c>
      <c r="G7172" s="13">
        <v>7</v>
      </c>
      <c r="H7172" s="17">
        <v>27</v>
      </c>
      <c r="I7172" s="17">
        <v>2</v>
      </c>
      <c r="J7172" s="17">
        <v>87</v>
      </c>
      <c r="K7172" s="10">
        <v>11087</v>
      </c>
      <c r="P7172" s="17">
        <v>1</v>
      </c>
      <c r="Q7172" s="19">
        <v>11087</v>
      </c>
      <c r="R7172" s="14">
        <v>160</v>
      </c>
      <c r="S7172" s="19">
        <v>1773920</v>
      </c>
      <c r="AJ7172" s="19">
        <v>0</v>
      </c>
      <c r="AK7172" s="23">
        <v>0</v>
      </c>
      <c r="AM7172" s="19">
        <v>0</v>
      </c>
      <c r="AN7172" s="19">
        <v>1773920</v>
      </c>
      <c r="AP7172" s="14">
        <v>1773920</v>
      </c>
    </row>
    <row r="7173" spans="1:45" x14ac:dyDescent="0.2">
      <c r="A7173" s="122">
        <f t="shared" si="718"/>
        <v>5893</v>
      </c>
      <c r="B7173" s="13">
        <v>1</v>
      </c>
      <c r="C7173" s="17" t="s">
        <v>69</v>
      </c>
      <c r="E7173" s="17">
        <v>1690</v>
      </c>
      <c r="F7173" s="17">
        <v>3</v>
      </c>
      <c r="G7173" s="13">
        <v>2</v>
      </c>
      <c r="H7173" s="17">
        <v>12</v>
      </c>
      <c r="I7173" s="17">
        <v>1</v>
      </c>
      <c r="J7173" s="17">
        <v>11</v>
      </c>
      <c r="K7173" s="10">
        <v>4911</v>
      </c>
      <c r="P7173" s="17">
        <v>1</v>
      </c>
      <c r="Q7173" s="19">
        <v>4911</v>
      </c>
      <c r="R7173" s="14">
        <v>160</v>
      </c>
      <c r="S7173" s="19">
        <v>785760</v>
      </c>
      <c r="AJ7173" s="19">
        <v>0</v>
      </c>
      <c r="AK7173" s="23">
        <v>0</v>
      </c>
      <c r="AM7173" s="19">
        <v>0</v>
      </c>
      <c r="AN7173" s="19">
        <v>785760</v>
      </c>
      <c r="AP7173" s="14">
        <v>785760</v>
      </c>
      <c r="AQ7173" s="12">
        <v>1E-4</v>
      </c>
      <c r="AS7173" s="26">
        <v>106.96000000000001</v>
      </c>
    </row>
    <row r="7174" spans="1:45" x14ac:dyDescent="0.2">
      <c r="A7174" s="122">
        <f t="shared" si="718"/>
        <v>5894</v>
      </c>
      <c r="B7174" s="13">
        <v>1</v>
      </c>
      <c r="C7174" s="17" t="s">
        <v>69</v>
      </c>
      <c r="E7174" s="17">
        <v>1518</v>
      </c>
      <c r="F7174" s="17">
        <v>4</v>
      </c>
      <c r="G7174" s="13">
        <v>2</v>
      </c>
      <c r="H7174" s="17">
        <v>4</v>
      </c>
      <c r="I7174" s="17">
        <v>1</v>
      </c>
      <c r="J7174" s="17">
        <v>74</v>
      </c>
      <c r="K7174" s="10">
        <v>1774</v>
      </c>
      <c r="P7174" s="17">
        <v>1</v>
      </c>
      <c r="Q7174" s="19">
        <v>1774</v>
      </c>
      <c r="R7174" s="14">
        <v>160</v>
      </c>
      <c r="S7174" s="19">
        <v>283840</v>
      </c>
      <c r="AJ7174" s="19">
        <v>0</v>
      </c>
      <c r="AK7174" s="23">
        <v>0</v>
      </c>
      <c r="AM7174" s="19">
        <v>0</v>
      </c>
      <c r="AN7174" s="19">
        <v>283840</v>
      </c>
      <c r="AP7174" s="14">
        <v>283840</v>
      </c>
      <c r="AQ7174" s="12">
        <v>1E-4</v>
      </c>
    </row>
    <row r="7175" spans="1:45" x14ac:dyDescent="0.2">
      <c r="A7175" s="122">
        <f t="shared" si="718"/>
        <v>5895</v>
      </c>
      <c r="B7175" s="13">
        <v>1</v>
      </c>
      <c r="C7175" s="17" t="s">
        <v>52</v>
      </c>
      <c r="D7175" s="17">
        <v>4861</v>
      </c>
      <c r="E7175" s="17">
        <v>9</v>
      </c>
      <c r="F7175" s="17">
        <v>2546</v>
      </c>
      <c r="G7175" s="13">
        <v>7</v>
      </c>
      <c r="H7175" s="17">
        <v>0</v>
      </c>
      <c r="I7175" s="17">
        <v>1</v>
      </c>
      <c r="J7175" s="17">
        <v>90</v>
      </c>
      <c r="N7175" s="18">
        <v>190</v>
      </c>
      <c r="P7175" s="17">
        <v>4</v>
      </c>
      <c r="Q7175" s="19">
        <v>190</v>
      </c>
      <c r="R7175" s="14">
        <v>160</v>
      </c>
      <c r="S7175" s="19">
        <v>30400</v>
      </c>
      <c r="AJ7175" s="19">
        <v>0</v>
      </c>
      <c r="AK7175" s="23">
        <v>0</v>
      </c>
      <c r="AM7175" s="19">
        <v>0</v>
      </c>
      <c r="AN7175" s="19">
        <v>30400</v>
      </c>
      <c r="AP7175" s="14">
        <v>30400</v>
      </c>
      <c r="AQ7175" s="12">
        <v>3.0000000000000001E-3</v>
      </c>
    </row>
    <row r="7176" spans="1:45" x14ac:dyDescent="0.2">
      <c r="A7176" s="122">
        <f t="shared" si="718"/>
        <v>5896</v>
      </c>
      <c r="B7176" s="13">
        <v>2</v>
      </c>
      <c r="C7176" s="17" t="s">
        <v>52</v>
      </c>
      <c r="D7176" s="17">
        <v>4861</v>
      </c>
      <c r="E7176" s="17">
        <v>9</v>
      </c>
      <c r="F7176" s="17">
        <v>2546</v>
      </c>
      <c r="G7176" s="13">
        <v>7</v>
      </c>
      <c r="H7176" s="17">
        <v>0</v>
      </c>
      <c r="I7176" s="17">
        <v>1</v>
      </c>
      <c r="J7176" s="17">
        <v>90</v>
      </c>
      <c r="N7176" s="18">
        <v>190</v>
      </c>
      <c r="P7176" s="17">
        <v>4</v>
      </c>
      <c r="Q7176" s="19">
        <v>190</v>
      </c>
      <c r="R7176" s="14">
        <v>160</v>
      </c>
      <c r="S7176" s="19">
        <v>30400</v>
      </c>
      <c r="AJ7176" s="19">
        <v>0</v>
      </c>
      <c r="AK7176" s="23">
        <v>0</v>
      </c>
      <c r="AM7176" s="19">
        <v>0</v>
      </c>
      <c r="AN7176" s="19">
        <v>30400</v>
      </c>
      <c r="AP7176" s="14">
        <v>30400</v>
      </c>
      <c r="AQ7176" s="12">
        <v>3.0000000000000001E-3</v>
      </c>
    </row>
    <row r="7177" spans="1:45" x14ac:dyDescent="0.2">
      <c r="A7177" s="122">
        <f t="shared" si="718"/>
        <v>5897</v>
      </c>
      <c r="B7177" s="13">
        <v>1</v>
      </c>
      <c r="C7177" s="17" t="s">
        <v>69</v>
      </c>
      <c r="E7177" s="17">
        <v>1469</v>
      </c>
      <c r="F7177" s="17">
        <v>8</v>
      </c>
      <c r="G7177" s="13">
        <v>2</v>
      </c>
      <c r="H7177" s="17">
        <v>46</v>
      </c>
      <c r="I7177" s="17">
        <v>2</v>
      </c>
      <c r="J7177" s="17">
        <v>24</v>
      </c>
      <c r="K7177" s="10">
        <v>18624</v>
      </c>
      <c r="P7177" s="17">
        <v>1</v>
      </c>
      <c r="Q7177" s="19">
        <v>18624</v>
      </c>
      <c r="R7177" s="14">
        <v>200</v>
      </c>
      <c r="S7177" s="19">
        <v>3724800</v>
      </c>
      <c r="AJ7177" s="19">
        <v>0</v>
      </c>
      <c r="AK7177" s="23">
        <v>0</v>
      </c>
      <c r="AM7177" s="19">
        <v>0</v>
      </c>
      <c r="AN7177" s="19">
        <v>3724800</v>
      </c>
      <c r="AP7177" s="14">
        <v>3724800</v>
      </c>
      <c r="AQ7177" s="12">
        <v>1E-4</v>
      </c>
    </row>
    <row r="7178" spans="1:45" x14ac:dyDescent="0.2">
      <c r="A7178" s="122">
        <f t="shared" si="718"/>
        <v>5898</v>
      </c>
      <c r="B7178" s="13">
        <v>2</v>
      </c>
      <c r="C7178" s="17" t="s">
        <v>69</v>
      </c>
      <c r="E7178" s="17">
        <v>1518</v>
      </c>
      <c r="F7178" s="17">
        <v>9</v>
      </c>
      <c r="G7178" s="13">
        <v>2</v>
      </c>
      <c r="H7178" s="17">
        <v>9</v>
      </c>
      <c r="I7178" s="17">
        <v>3</v>
      </c>
      <c r="J7178" s="17">
        <v>19</v>
      </c>
      <c r="K7178" s="10">
        <v>3919</v>
      </c>
      <c r="P7178" s="17">
        <v>1</v>
      </c>
      <c r="Q7178" s="19">
        <v>3919</v>
      </c>
      <c r="R7178" s="14">
        <v>160</v>
      </c>
      <c r="S7178" s="19">
        <v>627040</v>
      </c>
      <c r="AJ7178" s="19">
        <v>0</v>
      </c>
      <c r="AK7178" s="23">
        <v>0</v>
      </c>
      <c r="AM7178" s="19">
        <v>0</v>
      </c>
      <c r="AN7178" s="19">
        <v>627040</v>
      </c>
      <c r="AP7178" s="14">
        <v>627040</v>
      </c>
      <c r="AQ7178" s="12">
        <v>1E-4</v>
      </c>
    </row>
    <row r="7179" spans="1:45" ht="42" x14ac:dyDescent="0.2">
      <c r="A7179" s="122">
        <f t="shared" si="718"/>
        <v>5899</v>
      </c>
      <c r="B7179" s="13">
        <v>1</v>
      </c>
      <c r="C7179" s="17" t="s">
        <v>52</v>
      </c>
      <c r="D7179" s="17">
        <v>4951</v>
      </c>
      <c r="E7179" s="17">
        <v>9</v>
      </c>
      <c r="F7179" s="17">
        <v>2562</v>
      </c>
      <c r="G7179" s="13">
        <v>7</v>
      </c>
      <c r="H7179" s="17">
        <v>0</v>
      </c>
      <c r="I7179" s="17">
        <v>0</v>
      </c>
      <c r="J7179" s="17">
        <v>85</v>
      </c>
      <c r="L7179" s="17" t="s">
        <v>371</v>
      </c>
      <c r="P7179" s="17">
        <v>2</v>
      </c>
      <c r="Q7179" s="19">
        <v>85</v>
      </c>
      <c r="R7179" s="14">
        <v>4500</v>
      </c>
      <c r="S7179" s="19">
        <v>382500</v>
      </c>
      <c r="T7179" s="17">
        <v>1</v>
      </c>
      <c r="V7179" s="17" t="s">
        <v>183</v>
      </c>
      <c r="W7179" s="4">
        <v>48</v>
      </c>
      <c r="Y7179" s="4">
        <v>48</v>
      </c>
      <c r="AB7179" s="17">
        <v>40</v>
      </c>
      <c r="AJ7179" s="19">
        <v>0</v>
      </c>
      <c r="AK7179" s="23">
        <v>40</v>
      </c>
      <c r="AM7179" s="19">
        <v>0</v>
      </c>
      <c r="AN7179" s="19">
        <v>382500</v>
      </c>
      <c r="AP7179" s="14">
        <v>382500</v>
      </c>
      <c r="AR7179" s="19">
        <v>3</v>
      </c>
      <c r="AS7179" s="26">
        <v>2928</v>
      </c>
    </row>
    <row r="7180" spans="1:45" ht="189" x14ac:dyDescent="0.2">
      <c r="A7180" s="122">
        <f t="shared" si="718"/>
        <v>5900</v>
      </c>
      <c r="B7180" s="13">
        <v>2</v>
      </c>
      <c r="C7180" s="17" t="s">
        <v>52</v>
      </c>
      <c r="D7180" s="17">
        <v>20194</v>
      </c>
      <c r="E7180" s="17">
        <v>77</v>
      </c>
      <c r="F7180" s="17">
        <v>4563</v>
      </c>
      <c r="G7180" s="13">
        <v>7</v>
      </c>
      <c r="H7180" s="17">
        <v>0</v>
      </c>
      <c r="I7180" s="17">
        <v>0</v>
      </c>
      <c r="J7180" s="17">
        <v>30</v>
      </c>
      <c r="M7180" s="15">
        <v>30</v>
      </c>
      <c r="P7180" s="17">
        <v>3</v>
      </c>
      <c r="Q7180" s="19">
        <v>30</v>
      </c>
      <c r="R7180" s="14">
        <v>4500</v>
      </c>
      <c r="S7180" s="19">
        <v>135000</v>
      </c>
      <c r="U7180" s="17" t="s">
        <v>57</v>
      </c>
      <c r="V7180" s="17" t="s">
        <v>56</v>
      </c>
      <c r="W7180" s="4">
        <v>50</v>
      </c>
      <c r="Z7180" s="17" t="s">
        <v>280</v>
      </c>
      <c r="AB7180" s="17" t="s">
        <v>675</v>
      </c>
      <c r="AC7180" s="14" t="s">
        <v>741</v>
      </c>
      <c r="AD7180" s="14" t="s">
        <v>200</v>
      </c>
      <c r="AE7180" s="17" t="s">
        <v>742</v>
      </c>
      <c r="AF7180" s="14">
        <v>3</v>
      </c>
      <c r="AG7180" s="54">
        <v>50</v>
      </c>
      <c r="AH7180" s="11">
        <v>1</v>
      </c>
      <c r="AI7180" s="14">
        <v>7250</v>
      </c>
      <c r="AJ7180" s="19">
        <v>362500</v>
      </c>
      <c r="AK7180" s="23" t="s">
        <v>675</v>
      </c>
      <c r="AL7180" s="11">
        <v>0.08</v>
      </c>
      <c r="AM7180" s="19">
        <v>333500</v>
      </c>
      <c r="AN7180" s="19">
        <v>468500</v>
      </c>
      <c r="AP7180" s="14">
        <v>468500</v>
      </c>
      <c r="AQ7180" s="12">
        <v>3.0000000000000001E-3</v>
      </c>
      <c r="AR7180" s="19">
        <v>2925</v>
      </c>
    </row>
    <row r="7181" spans="1:45" ht="189" x14ac:dyDescent="0.2">
      <c r="A7181" s="122">
        <f t="shared" si="718"/>
        <v>5901</v>
      </c>
      <c r="B7181" s="13">
        <v>3</v>
      </c>
      <c r="C7181" s="17" t="s">
        <v>52</v>
      </c>
      <c r="D7181" s="17">
        <v>20195</v>
      </c>
      <c r="E7181" s="17">
        <v>78</v>
      </c>
      <c r="F7181" s="17">
        <v>4564</v>
      </c>
      <c r="G7181" s="13">
        <v>7</v>
      </c>
      <c r="H7181" s="17">
        <v>0</v>
      </c>
      <c r="I7181" s="17">
        <v>0</v>
      </c>
      <c r="J7181" s="17">
        <v>30</v>
      </c>
      <c r="M7181" s="15">
        <v>30</v>
      </c>
      <c r="P7181" s="17">
        <v>3</v>
      </c>
      <c r="Q7181" s="19">
        <v>30</v>
      </c>
      <c r="R7181" s="14">
        <v>4500</v>
      </c>
      <c r="S7181" s="19">
        <v>135000</v>
      </c>
      <c r="U7181" s="17" t="s">
        <v>57</v>
      </c>
      <c r="V7181" s="17" t="s">
        <v>56</v>
      </c>
      <c r="W7181" s="4">
        <v>50</v>
      </c>
      <c r="Z7181" s="17" t="s">
        <v>280</v>
      </c>
      <c r="AB7181" s="17" t="s">
        <v>675</v>
      </c>
      <c r="AC7181" s="14" t="s">
        <v>741</v>
      </c>
      <c r="AD7181" s="14" t="s">
        <v>200</v>
      </c>
      <c r="AE7181" s="17" t="s">
        <v>742</v>
      </c>
      <c r="AF7181" s="14">
        <v>3</v>
      </c>
      <c r="AG7181" s="54">
        <v>50</v>
      </c>
      <c r="AH7181" s="11">
        <v>1</v>
      </c>
      <c r="AI7181" s="14">
        <v>7250</v>
      </c>
      <c r="AJ7181" s="19">
        <v>362500</v>
      </c>
      <c r="AK7181" s="23" t="s">
        <v>675</v>
      </c>
      <c r="AL7181" s="11">
        <v>0.08</v>
      </c>
      <c r="AM7181" s="19">
        <v>333500</v>
      </c>
      <c r="AN7181" s="19">
        <v>468500</v>
      </c>
      <c r="AP7181" s="14">
        <v>468500</v>
      </c>
      <c r="AQ7181" s="12">
        <v>3.0000000000000001E-3</v>
      </c>
    </row>
    <row r="7182" spans="1:45" ht="189" x14ac:dyDescent="0.2">
      <c r="A7182" s="122">
        <f t="shared" si="718"/>
        <v>5902</v>
      </c>
      <c r="B7182" s="13">
        <v>4</v>
      </c>
      <c r="C7182" s="17" t="s">
        <v>52</v>
      </c>
      <c r="D7182" s="17">
        <v>20196</v>
      </c>
      <c r="E7182" s="17">
        <v>79</v>
      </c>
      <c r="F7182" s="17">
        <v>4565</v>
      </c>
      <c r="G7182" s="13">
        <v>7</v>
      </c>
      <c r="H7182" s="17">
        <v>0</v>
      </c>
      <c r="I7182" s="17">
        <v>0</v>
      </c>
      <c r="J7182" s="17">
        <v>31</v>
      </c>
      <c r="M7182" s="15">
        <v>31</v>
      </c>
      <c r="P7182" s="17">
        <v>2</v>
      </c>
      <c r="Q7182" s="19">
        <v>31</v>
      </c>
      <c r="R7182" s="14">
        <v>4500</v>
      </c>
      <c r="S7182" s="19">
        <v>139500</v>
      </c>
      <c r="U7182" s="17" t="s">
        <v>57</v>
      </c>
      <c r="V7182" s="17" t="s">
        <v>56</v>
      </c>
      <c r="W7182" s="4">
        <v>125</v>
      </c>
      <c r="Y7182" s="4" t="s">
        <v>253</v>
      </c>
      <c r="Z7182" s="17" t="s">
        <v>336</v>
      </c>
      <c r="AB7182" s="17" t="s">
        <v>675</v>
      </c>
      <c r="AC7182" s="14" t="s">
        <v>741</v>
      </c>
      <c r="AF7182" s="14">
        <v>2</v>
      </c>
      <c r="AG7182" s="54">
        <v>125</v>
      </c>
      <c r="AH7182" s="11">
        <v>0.8</v>
      </c>
      <c r="AI7182" s="14">
        <v>7250</v>
      </c>
      <c r="AJ7182" s="19">
        <v>725000</v>
      </c>
      <c r="AK7182" s="23" t="s">
        <v>675</v>
      </c>
      <c r="AL7182" s="11">
        <v>0.08</v>
      </c>
      <c r="AM7182" s="19">
        <v>667000</v>
      </c>
      <c r="AN7182" s="19">
        <v>806500</v>
      </c>
      <c r="AP7182" s="14">
        <v>806500</v>
      </c>
    </row>
    <row r="7183" spans="1:45" ht="42" x14ac:dyDescent="0.2">
      <c r="A7183" s="122">
        <f t="shared" si="718"/>
        <v>5903</v>
      </c>
      <c r="B7183" s="13">
        <v>5</v>
      </c>
      <c r="C7183" s="17" t="s">
        <v>52</v>
      </c>
      <c r="D7183" s="17">
        <v>20197</v>
      </c>
      <c r="E7183" s="17">
        <v>80</v>
      </c>
      <c r="F7183" s="17">
        <v>4566</v>
      </c>
      <c r="G7183" s="13">
        <v>7</v>
      </c>
      <c r="H7183" s="17">
        <v>0</v>
      </c>
      <c r="I7183" s="17">
        <v>0</v>
      </c>
      <c r="J7183" s="17">
        <v>31</v>
      </c>
      <c r="L7183" s="17">
        <v>60.06</v>
      </c>
      <c r="P7183" s="17">
        <v>2</v>
      </c>
      <c r="Q7183" s="19">
        <v>31</v>
      </c>
      <c r="R7183" s="14">
        <v>4500</v>
      </c>
      <c r="S7183" s="19">
        <v>139500</v>
      </c>
      <c r="T7183" s="17">
        <v>1</v>
      </c>
      <c r="V7183" s="17" t="s">
        <v>183</v>
      </c>
      <c r="W7183" s="4">
        <v>240.25</v>
      </c>
      <c r="Y7183" s="4">
        <v>240.25</v>
      </c>
      <c r="AB7183" s="17" t="s">
        <v>675</v>
      </c>
      <c r="AJ7183" s="19">
        <v>0</v>
      </c>
      <c r="AK7183" s="23" t="s">
        <v>675</v>
      </c>
      <c r="AM7183" s="19">
        <v>0</v>
      </c>
      <c r="AN7183" s="19">
        <v>139500</v>
      </c>
      <c r="AP7183" s="14">
        <v>139500</v>
      </c>
    </row>
    <row r="7184" spans="1:45" x14ac:dyDescent="0.2">
      <c r="A7184" s="122">
        <f t="shared" si="718"/>
        <v>5904</v>
      </c>
      <c r="B7184" s="13">
        <v>6</v>
      </c>
      <c r="C7184" s="17" t="s">
        <v>52</v>
      </c>
      <c r="D7184" s="17">
        <v>31340</v>
      </c>
      <c r="E7184" s="17">
        <v>97</v>
      </c>
      <c r="F7184" s="17">
        <v>6203</v>
      </c>
      <c r="G7184" s="13">
        <v>7</v>
      </c>
      <c r="H7184" s="17">
        <v>0</v>
      </c>
      <c r="I7184" s="17">
        <v>0</v>
      </c>
      <c r="J7184" s="17">
        <v>51</v>
      </c>
      <c r="N7184" s="18">
        <v>51</v>
      </c>
      <c r="P7184" s="17">
        <v>4</v>
      </c>
      <c r="Q7184" s="19">
        <v>51</v>
      </c>
      <c r="R7184" s="14">
        <v>4500</v>
      </c>
      <c r="S7184" s="19">
        <v>229500</v>
      </c>
      <c r="AJ7184" s="19">
        <v>0</v>
      </c>
      <c r="AK7184" s="23">
        <v>0</v>
      </c>
      <c r="AM7184" s="19">
        <v>0</v>
      </c>
      <c r="AN7184" s="19">
        <v>229500</v>
      </c>
      <c r="AP7184" s="14">
        <v>229500</v>
      </c>
      <c r="AQ7184" s="12">
        <v>3.0000000000000001E-3</v>
      </c>
    </row>
    <row r="7185" spans="1:45" x14ac:dyDescent="0.2">
      <c r="A7185" s="122">
        <f t="shared" si="718"/>
        <v>5905</v>
      </c>
      <c r="B7185" s="13">
        <v>1</v>
      </c>
      <c r="C7185" s="17" t="s">
        <v>52</v>
      </c>
      <c r="D7185" s="17">
        <v>30336</v>
      </c>
      <c r="E7185" s="17">
        <v>62</v>
      </c>
      <c r="F7185" s="17">
        <v>5008</v>
      </c>
      <c r="G7185" s="13">
        <v>7</v>
      </c>
      <c r="H7185" s="17">
        <v>0</v>
      </c>
      <c r="I7185" s="17">
        <v>1</v>
      </c>
      <c r="J7185" s="17">
        <v>34</v>
      </c>
      <c r="N7185" s="18">
        <v>134</v>
      </c>
      <c r="P7185" s="17">
        <v>4</v>
      </c>
      <c r="Q7185" s="19">
        <v>134</v>
      </c>
      <c r="R7185" s="14">
        <v>250</v>
      </c>
      <c r="S7185" s="19">
        <v>33500</v>
      </c>
      <c r="AJ7185" s="19">
        <v>0</v>
      </c>
      <c r="AK7185" s="23">
        <v>0</v>
      </c>
      <c r="AM7185" s="19">
        <v>0</v>
      </c>
      <c r="AN7185" s="19">
        <v>33500</v>
      </c>
      <c r="AP7185" s="14">
        <v>33500</v>
      </c>
      <c r="AQ7185" s="12">
        <v>3.0000000000000001E-3</v>
      </c>
      <c r="AS7185" s="26">
        <v>4</v>
      </c>
    </row>
    <row r="7186" spans="1:45" x14ac:dyDescent="0.2">
      <c r="A7186" s="122">
        <f t="shared" si="718"/>
        <v>5906</v>
      </c>
      <c r="B7186" s="13">
        <v>1</v>
      </c>
      <c r="C7186" s="17" t="s">
        <v>52</v>
      </c>
      <c r="D7186" s="17">
        <v>1756</v>
      </c>
      <c r="E7186" s="17">
        <v>6</v>
      </c>
      <c r="F7186" s="17">
        <v>761</v>
      </c>
      <c r="G7186" s="13">
        <v>7</v>
      </c>
      <c r="H7186" s="17">
        <v>6</v>
      </c>
      <c r="I7186" s="17">
        <v>0</v>
      </c>
      <c r="J7186" s="17">
        <v>72</v>
      </c>
      <c r="K7186" s="10">
        <v>2472</v>
      </c>
      <c r="P7186" s="17">
        <v>1</v>
      </c>
      <c r="Q7186" s="19">
        <v>2472</v>
      </c>
      <c r="R7186" s="14">
        <v>2250</v>
      </c>
      <c r="S7186" s="19">
        <v>5562000</v>
      </c>
      <c r="AJ7186" s="19">
        <v>0</v>
      </c>
      <c r="AK7186" s="23">
        <v>0</v>
      </c>
      <c r="AM7186" s="19">
        <v>0</v>
      </c>
      <c r="AN7186" s="19">
        <v>5562000</v>
      </c>
      <c r="AP7186" s="14">
        <v>5562000</v>
      </c>
    </row>
    <row r="7187" spans="1:45" ht="231" x14ac:dyDescent="0.2">
      <c r="A7187" s="122">
        <f t="shared" si="718"/>
        <v>5907</v>
      </c>
      <c r="B7187" s="13">
        <v>1</v>
      </c>
      <c r="C7187" s="17" t="s">
        <v>52</v>
      </c>
      <c r="D7187" s="17">
        <v>5872</v>
      </c>
      <c r="E7187" s="17">
        <v>26</v>
      </c>
      <c r="F7187" s="17">
        <v>3005</v>
      </c>
      <c r="G7187" s="13">
        <v>5</v>
      </c>
      <c r="H7187" s="17">
        <v>0</v>
      </c>
      <c r="I7187" s="17">
        <v>0</v>
      </c>
      <c r="J7187" s="17">
        <v>70</v>
      </c>
      <c r="L7187" s="17">
        <v>57.25</v>
      </c>
      <c r="P7187" s="17">
        <v>2</v>
      </c>
      <c r="Q7187" s="19">
        <v>70</v>
      </c>
      <c r="R7187" s="14">
        <v>1500</v>
      </c>
      <c r="S7187" s="19">
        <v>105000</v>
      </c>
      <c r="T7187" s="17" t="s">
        <v>122</v>
      </c>
      <c r="U7187" s="17" t="s">
        <v>63</v>
      </c>
      <c r="V7187" s="17" t="s">
        <v>56</v>
      </c>
      <c r="W7187" s="4">
        <v>229</v>
      </c>
      <c r="Y7187" s="4" t="s">
        <v>743</v>
      </c>
      <c r="AB7187" s="17" t="s">
        <v>744</v>
      </c>
      <c r="AC7187" s="14" t="s">
        <v>486</v>
      </c>
      <c r="AF7187" s="14">
        <v>2</v>
      </c>
      <c r="AG7187" s="54">
        <v>229</v>
      </c>
      <c r="AH7187" s="11">
        <v>0.93</v>
      </c>
      <c r="AI7187" s="14">
        <v>8100</v>
      </c>
      <c r="AJ7187" s="19">
        <v>1725057</v>
      </c>
      <c r="AK7187" s="23" t="s">
        <v>744</v>
      </c>
      <c r="AL7187" s="11">
        <v>0.28000000000000003</v>
      </c>
      <c r="AM7187" s="19">
        <v>1242041.04</v>
      </c>
      <c r="AN7187" s="19">
        <v>1347041.04</v>
      </c>
      <c r="AP7187" s="14">
        <v>1347041.04</v>
      </c>
    </row>
    <row r="7188" spans="1:45" x14ac:dyDescent="0.2">
      <c r="T7188" s="17" t="s">
        <v>288</v>
      </c>
      <c r="Z7188" s="17" t="s">
        <v>726</v>
      </c>
      <c r="AF7188" s="14">
        <v>3</v>
      </c>
      <c r="AG7188" s="54">
        <v>229</v>
      </c>
      <c r="AH7188" s="11">
        <v>7.0000000000000007E-2</v>
      </c>
      <c r="AI7188" s="14">
        <v>8101</v>
      </c>
      <c r="AJ7188" s="19">
        <v>129859.03000000001</v>
      </c>
      <c r="AK7188" s="23">
        <v>19</v>
      </c>
      <c r="AL7188" s="11">
        <v>0.28000000000000003</v>
      </c>
      <c r="AM7188" s="19">
        <v>93498.501600000003</v>
      </c>
      <c r="AN7188" s="19">
        <v>100848.5016</v>
      </c>
      <c r="AP7188" s="14">
        <v>100848.5016</v>
      </c>
      <c r="AQ7188" s="12">
        <v>3.0000000000000001E-3</v>
      </c>
    </row>
    <row r="7189" spans="1:45" x14ac:dyDescent="0.2">
      <c r="A7189" s="2">
        <v>5908</v>
      </c>
      <c r="B7189" s="13">
        <v>1</v>
      </c>
      <c r="C7189" s="17" t="s">
        <v>52</v>
      </c>
      <c r="D7189" s="17">
        <v>25580</v>
      </c>
      <c r="E7189" s="17">
        <v>95</v>
      </c>
      <c r="F7189" s="17">
        <v>4738</v>
      </c>
      <c r="G7189" s="13">
        <v>5</v>
      </c>
      <c r="H7189" s="17">
        <v>0</v>
      </c>
      <c r="I7189" s="17">
        <v>0</v>
      </c>
      <c r="J7189" s="17">
        <v>80</v>
      </c>
      <c r="N7189" s="18">
        <v>80</v>
      </c>
      <c r="P7189" s="17">
        <v>4</v>
      </c>
      <c r="Q7189" s="19">
        <v>80</v>
      </c>
      <c r="R7189" s="14">
        <v>1100</v>
      </c>
      <c r="S7189" s="19">
        <v>88000</v>
      </c>
      <c r="AJ7189" s="19">
        <v>0</v>
      </c>
      <c r="AK7189" s="23">
        <v>0</v>
      </c>
      <c r="AM7189" s="19">
        <v>0</v>
      </c>
      <c r="AN7189" s="19">
        <v>88000</v>
      </c>
      <c r="AP7189" s="14">
        <v>88000</v>
      </c>
      <c r="AQ7189" s="12">
        <v>3.0000000000000001E-3</v>
      </c>
    </row>
    <row r="7190" spans="1:45" x14ac:dyDescent="0.2">
      <c r="A7190" s="2">
        <f>+A7189+1</f>
        <v>5909</v>
      </c>
      <c r="B7190" s="13">
        <v>2</v>
      </c>
      <c r="C7190" s="17" t="s">
        <v>65</v>
      </c>
      <c r="D7190" s="17">
        <v>1686</v>
      </c>
      <c r="E7190" s="17">
        <v>6</v>
      </c>
      <c r="H7190" s="17">
        <v>3</v>
      </c>
      <c r="I7190" s="17">
        <v>0</v>
      </c>
      <c r="J7190" s="17">
        <v>56</v>
      </c>
      <c r="K7190" s="10">
        <v>1256</v>
      </c>
      <c r="P7190" s="17">
        <v>1</v>
      </c>
      <c r="Q7190" s="19">
        <v>1256</v>
      </c>
      <c r="R7190" s="14">
        <v>160</v>
      </c>
      <c r="S7190" s="19">
        <v>200960</v>
      </c>
      <c r="AJ7190" s="19">
        <v>0</v>
      </c>
      <c r="AK7190" s="23">
        <v>0</v>
      </c>
      <c r="AM7190" s="19">
        <v>0</v>
      </c>
      <c r="AN7190" s="19">
        <v>200960</v>
      </c>
      <c r="AP7190" s="14">
        <v>200960</v>
      </c>
      <c r="AQ7190" s="12">
        <v>1E-4</v>
      </c>
    </row>
    <row r="7191" spans="1:45" x14ac:dyDescent="0.2">
      <c r="A7191" s="122">
        <f>+A7190+1</f>
        <v>5910</v>
      </c>
      <c r="B7191" s="13">
        <v>1</v>
      </c>
      <c r="C7191" s="17" t="s">
        <v>52</v>
      </c>
      <c r="D7191" s="17">
        <v>35227</v>
      </c>
      <c r="E7191" s="17">
        <v>36</v>
      </c>
      <c r="F7191" s="17">
        <v>754</v>
      </c>
      <c r="G7191" s="13">
        <v>6</v>
      </c>
      <c r="H7191" s="17">
        <v>4</v>
      </c>
      <c r="I7191" s="17">
        <v>3</v>
      </c>
      <c r="J7191" s="17">
        <v>90</v>
      </c>
      <c r="K7191" s="10">
        <v>1990</v>
      </c>
      <c r="P7191" s="17">
        <v>1</v>
      </c>
      <c r="Q7191" s="19">
        <v>1990</v>
      </c>
      <c r="R7191" s="14">
        <v>375</v>
      </c>
      <c r="S7191" s="19">
        <v>746250</v>
      </c>
      <c r="AJ7191" s="19">
        <v>0</v>
      </c>
      <c r="AK7191" s="23">
        <v>0</v>
      </c>
      <c r="AM7191" s="19">
        <v>0</v>
      </c>
      <c r="AN7191" s="19">
        <v>746250</v>
      </c>
      <c r="AP7191" s="14">
        <v>746250</v>
      </c>
      <c r="AS7191" s="26">
        <v>22</v>
      </c>
    </row>
    <row r="7192" spans="1:45" x14ac:dyDescent="0.2">
      <c r="B7192" s="13">
        <v>1</v>
      </c>
      <c r="C7192" s="17" t="s">
        <v>65</v>
      </c>
      <c r="D7192" s="17">
        <v>369</v>
      </c>
      <c r="E7192" s="17">
        <v>116</v>
      </c>
      <c r="H7192" s="17">
        <v>8</v>
      </c>
      <c r="I7192" s="17">
        <v>0</v>
      </c>
      <c r="J7192" s="17">
        <v>72</v>
      </c>
      <c r="K7192" s="10">
        <v>3272</v>
      </c>
      <c r="P7192" s="17">
        <v>1</v>
      </c>
      <c r="Q7192" s="19">
        <v>3272</v>
      </c>
      <c r="R7192" s="14" t="e">
        <v>#N/A</v>
      </c>
      <c r="S7192" s="19" t="e">
        <v>#N/A</v>
      </c>
      <c r="AE7192" s="17" t="s">
        <v>94</v>
      </c>
      <c r="AJ7192" s="19">
        <v>0</v>
      </c>
      <c r="AK7192" s="23">
        <v>0</v>
      </c>
      <c r="AM7192" s="19">
        <v>0</v>
      </c>
      <c r="AN7192" s="19" t="e">
        <v>#N/A</v>
      </c>
      <c r="AP7192" s="14" t="e">
        <v>#N/A</v>
      </c>
      <c r="AQ7192" s="12">
        <v>1E-4</v>
      </c>
    </row>
    <row r="7193" spans="1:45" x14ac:dyDescent="0.2">
      <c r="A7193" s="2">
        <v>5911</v>
      </c>
      <c r="B7193" s="13">
        <v>1</v>
      </c>
      <c r="C7193" s="17" t="s">
        <v>52</v>
      </c>
      <c r="D7193" s="17">
        <v>2738</v>
      </c>
      <c r="E7193" s="17">
        <v>11</v>
      </c>
      <c r="F7193" s="17">
        <v>1910</v>
      </c>
      <c r="G7193" s="13">
        <v>1</v>
      </c>
      <c r="H7193" s="17">
        <v>7</v>
      </c>
      <c r="I7193" s="17">
        <v>0</v>
      </c>
      <c r="J7193" s="17">
        <v>56</v>
      </c>
      <c r="K7193" s="10">
        <v>2856</v>
      </c>
      <c r="P7193" s="17">
        <v>1</v>
      </c>
      <c r="Q7193" s="19">
        <v>2856</v>
      </c>
      <c r="R7193" s="14">
        <v>200</v>
      </c>
      <c r="S7193" s="19">
        <v>571200</v>
      </c>
      <c r="AJ7193" s="19">
        <v>0</v>
      </c>
      <c r="AK7193" s="23">
        <v>0</v>
      </c>
      <c r="AM7193" s="19">
        <v>0</v>
      </c>
      <c r="AN7193" s="19">
        <v>571200</v>
      </c>
      <c r="AP7193" s="14">
        <v>571200</v>
      </c>
    </row>
    <row r="7194" spans="1:45" x14ac:dyDescent="0.2">
      <c r="B7194" s="13">
        <v>1</v>
      </c>
      <c r="C7194" s="17" t="s">
        <v>52</v>
      </c>
      <c r="E7194" s="17">
        <v>162</v>
      </c>
      <c r="F7194" s="17">
        <v>7532</v>
      </c>
      <c r="H7194" s="17">
        <v>39</v>
      </c>
      <c r="I7194" s="17">
        <v>0</v>
      </c>
      <c r="J7194" s="17">
        <v>82</v>
      </c>
      <c r="K7194" s="10" t="s">
        <v>745</v>
      </c>
      <c r="P7194" s="17">
        <v>1</v>
      </c>
      <c r="Q7194" s="19">
        <v>15682</v>
      </c>
      <c r="S7194" s="19">
        <v>0</v>
      </c>
      <c r="AJ7194" s="19">
        <v>0</v>
      </c>
      <c r="AK7194" s="23">
        <v>0</v>
      </c>
      <c r="AM7194" s="19">
        <v>0</v>
      </c>
      <c r="AN7194" s="19">
        <v>0</v>
      </c>
      <c r="AP7194" s="14">
        <v>0</v>
      </c>
      <c r="AS7194" s="26">
        <v>337</v>
      </c>
    </row>
    <row r="7195" spans="1:45" ht="63" x14ac:dyDescent="0.2">
      <c r="A7195" s="2">
        <v>5912</v>
      </c>
      <c r="C7195" s="17" t="s">
        <v>65</v>
      </c>
      <c r="D7195" s="17">
        <v>1878</v>
      </c>
      <c r="E7195" s="17">
        <v>149</v>
      </c>
      <c r="H7195" s="17">
        <v>21</v>
      </c>
      <c r="I7195" s="17">
        <v>3</v>
      </c>
      <c r="J7195" s="17">
        <v>81</v>
      </c>
      <c r="K7195" s="10">
        <v>8781</v>
      </c>
      <c r="P7195" s="17">
        <v>1</v>
      </c>
      <c r="Q7195" s="19">
        <v>8781</v>
      </c>
      <c r="R7195" s="14">
        <v>375</v>
      </c>
      <c r="S7195" s="19">
        <v>3292875</v>
      </c>
      <c r="U7195" s="17" t="s">
        <v>57</v>
      </c>
      <c r="V7195" s="17" t="s">
        <v>88</v>
      </c>
      <c r="AJ7195" s="19">
        <v>0</v>
      </c>
      <c r="AK7195" s="23">
        <v>0</v>
      </c>
      <c r="AM7195" s="19">
        <v>0</v>
      </c>
      <c r="AN7195" s="19">
        <v>3292875</v>
      </c>
      <c r="AP7195" s="14">
        <v>3292875</v>
      </c>
      <c r="AQ7195" s="12">
        <v>1E-4</v>
      </c>
    </row>
    <row r="7196" spans="1:45" x14ac:dyDescent="0.2">
      <c r="A7196" s="2">
        <f>+A7195+1</f>
        <v>5913</v>
      </c>
      <c r="B7196" s="13">
        <v>1</v>
      </c>
      <c r="C7196" s="17" t="s">
        <v>52</v>
      </c>
      <c r="D7196" s="17">
        <v>4773</v>
      </c>
      <c r="E7196" s="17">
        <v>87</v>
      </c>
      <c r="F7196" s="17">
        <v>2643</v>
      </c>
      <c r="G7196" s="13">
        <v>7</v>
      </c>
      <c r="H7196" s="17">
        <v>4</v>
      </c>
      <c r="I7196" s="17">
        <v>2</v>
      </c>
      <c r="J7196" s="17">
        <v>75</v>
      </c>
      <c r="K7196" s="10">
        <v>1875</v>
      </c>
      <c r="P7196" s="17">
        <v>1</v>
      </c>
      <c r="Q7196" s="19">
        <v>1875</v>
      </c>
      <c r="R7196" s="14">
        <v>160</v>
      </c>
      <c r="S7196" s="19">
        <v>300000</v>
      </c>
      <c r="AJ7196" s="19">
        <v>0</v>
      </c>
      <c r="AK7196" s="23">
        <v>0</v>
      </c>
      <c r="AM7196" s="19">
        <v>0</v>
      </c>
      <c r="AN7196" s="19">
        <v>300000</v>
      </c>
      <c r="AP7196" s="14">
        <v>300000</v>
      </c>
      <c r="AS7196" s="26">
        <v>14</v>
      </c>
    </row>
    <row r="7197" spans="1:45" ht="42" x14ac:dyDescent="0.2">
      <c r="A7197" s="122">
        <f t="shared" ref="A7197:A7210" si="719">+A7196+1</f>
        <v>5914</v>
      </c>
      <c r="B7197" s="13">
        <v>2</v>
      </c>
      <c r="C7197" s="17" t="s">
        <v>52</v>
      </c>
      <c r="D7197" s="17">
        <v>21255</v>
      </c>
      <c r="E7197" s="17">
        <v>99</v>
      </c>
      <c r="F7197" s="17">
        <v>4702</v>
      </c>
      <c r="G7197" s="13">
        <v>7</v>
      </c>
      <c r="H7197" s="17">
        <v>0</v>
      </c>
      <c r="I7197" s="17">
        <v>2</v>
      </c>
      <c r="J7197" s="17">
        <v>46</v>
      </c>
      <c r="K7197" s="10">
        <v>182.56</v>
      </c>
      <c r="L7197" s="17">
        <v>63.44</v>
      </c>
      <c r="P7197" s="17">
        <v>5</v>
      </c>
      <c r="Q7197" s="19">
        <v>246</v>
      </c>
      <c r="R7197" s="14">
        <v>160</v>
      </c>
      <c r="S7197" s="19">
        <v>39360</v>
      </c>
      <c r="T7197" s="17">
        <v>1</v>
      </c>
      <c r="V7197" s="17" t="s">
        <v>183</v>
      </c>
      <c r="W7197" s="4">
        <v>253.75</v>
      </c>
      <c r="Y7197" s="4">
        <v>253.75</v>
      </c>
      <c r="AB7197" s="17">
        <v>30</v>
      </c>
      <c r="AJ7197" s="19">
        <v>0</v>
      </c>
      <c r="AK7197" s="23">
        <v>30</v>
      </c>
      <c r="AM7197" s="19">
        <v>0</v>
      </c>
      <c r="AN7197" s="19">
        <v>39360</v>
      </c>
      <c r="AP7197" s="14">
        <v>39360</v>
      </c>
    </row>
    <row r="7198" spans="1:45" ht="42" x14ac:dyDescent="0.2">
      <c r="A7198" s="122">
        <f t="shared" si="719"/>
        <v>5915</v>
      </c>
      <c r="B7198" s="13">
        <v>1</v>
      </c>
      <c r="C7198" s="17" t="s">
        <v>52</v>
      </c>
      <c r="D7198" s="17">
        <v>10378</v>
      </c>
      <c r="E7198" s="17">
        <v>158</v>
      </c>
      <c r="F7198" s="17">
        <v>3146</v>
      </c>
      <c r="G7198" s="13">
        <v>2</v>
      </c>
      <c r="H7198" s="17">
        <v>0</v>
      </c>
      <c r="I7198" s="17">
        <v>1</v>
      </c>
      <c r="J7198" s="17">
        <v>41.09</v>
      </c>
      <c r="K7198" s="10">
        <v>119.09</v>
      </c>
      <c r="L7198" s="17">
        <v>22</v>
      </c>
      <c r="P7198" s="17">
        <v>5</v>
      </c>
      <c r="Q7198" s="19">
        <v>141.09</v>
      </c>
      <c r="R7198" s="14">
        <v>1500</v>
      </c>
      <c r="S7198" s="19">
        <v>211635</v>
      </c>
      <c r="T7198" s="17">
        <v>1</v>
      </c>
      <c r="V7198" s="17" t="s">
        <v>183</v>
      </c>
      <c r="W7198" s="4">
        <v>88</v>
      </c>
      <c r="Y7198" s="4">
        <v>88</v>
      </c>
      <c r="AB7198" s="17">
        <v>28</v>
      </c>
      <c r="AJ7198" s="19">
        <v>0</v>
      </c>
      <c r="AK7198" s="23">
        <v>28</v>
      </c>
      <c r="AM7198" s="19">
        <v>0</v>
      </c>
      <c r="AN7198" s="19">
        <v>211635</v>
      </c>
      <c r="AP7198" s="14">
        <v>211635</v>
      </c>
    </row>
    <row r="7199" spans="1:45" x14ac:dyDescent="0.2">
      <c r="A7199" s="122">
        <f t="shared" si="719"/>
        <v>5916</v>
      </c>
      <c r="B7199" s="13">
        <v>2</v>
      </c>
      <c r="C7199" s="17" t="s">
        <v>52</v>
      </c>
      <c r="D7199" s="17">
        <v>30936</v>
      </c>
      <c r="E7199" s="17">
        <v>125</v>
      </c>
      <c r="F7199" s="17">
        <v>5888</v>
      </c>
      <c r="G7199" s="13">
        <v>2</v>
      </c>
      <c r="H7199" s="17">
        <v>2</v>
      </c>
      <c r="I7199" s="17">
        <v>2</v>
      </c>
      <c r="J7199" s="17">
        <v>77.03</v>
      </c>
      <c r="K7199" s="10">
        <v>1077.03</v>
      </c>
      <c r="P7199" s="17">
        <v>1</v>
      </c>
      <c r="Q7199" s="19">
        <v>1077.03</v>
      </c>
      <c r="R7199" s="14">
        <v>160</v>
      </c>
      <c r="S7199" s="19">
        <v>172324.8</v>
      </c>
      <c r="AJ7199" s="19">
        <v>0</v>
      </c>
      <c r="AK7199" s="23">
        <v>0</v>
      </c>
      <c r="AM7199" s="19">
        <v>0</v>
      </c>
      <c r="AN7199" s="19">
        <v>172324.8</v>
      </c>
      <c r="AP7199" s="14">
        <v>172324.8</v>
      </c>
    </row>
    <row r="7200" spans="1:45" x14ac:dyDescent="0.2">
      <c r="A7200" s="122">
        <f t="shared" si="719"/>
        <v>5917</v>
      </c>
      <c r="B7200" s="13">
        <v>3</v>
      </c>
      <c r="C7200" s="17" t="s">
        <v>52</v>
      </c>
      <c r="D7200" s="17">
        <v>30937</v>
      </c>
      <c r="E7200" s="17">
        <v>102</v>
      </c>
      <c r="F7200" s="17">
        <v>5889</v>
      </c>
      <c r="G7200" s="13">
        <v>2</v>
      </c>
      <c r="H7200" s="17">
        <v>2</v>
      </c>
      <c r="I7200" s="17">
        <v>3</v>
      </c>
      <c r="J7200" s="17">
        <v>42.03</v>
      </c>
      <c r="K7200" s="10">
        <v>1142.03</v>
      </c>
      <c r="P7200" s="17">
        <v>1</v>
      </c>
      <c r="Q7200" s="19">
        <v>1142.03</v>
      </c>
      <c r="R7200" s="14">
        <v>160</v>
      </c>
      <c r="S7200" s="19">
        <v>182724.8</v>
      </c>
      <c r="AJ7200" s="19">
        <v>0</v>
      </c>
      <c r="AK7200" s="23">
        <v>0</v>
      </c>
      <c r="AM7200" s="19">
        <v>0</v>
      </c>
      <c r="AN7200" s="19">
        <v>182724.8</v>
      </c>
      <c r="AP7200" s="14">
        <v>182724.8</v>
      </c>
    </row>
    <row r="7201" spans="1:45" x14ac:dyDescent="0.2">
      <c r="A7201" s="122">
        <f t="shared" si="719"/>
        <v>5918</v>
      </c>
      <c r="B7201" s="13">
        <v>4</v>
      </c>
      <c r="C7201" s="17" t="s">
        <v>52</v>
      </c>
      <c r="D7201" s="17">
        <v>30938</v>
      </c>
      <c r="E7201" s="17">
        <v>103</v>
      </c>
      <c r="F7201" s="17">
        <v>5890</v>
      </c>
      <c r="G7201" s="13">
        <v>2</v>
      </c>
      <c r="H7201" s="17">
        <v>3</v>
      </c>
      <c r="I7201" s="17">
        <v>2</v>
      </c>
      <c r="J7201" s="17">
        <v>56.02</v>
      </c>
      <c r="K7201" s="10">
        <v>1456.02</v>
      </c>
      <c r="P7201" s="17">
        <v>1</v>
      </c>
      <c r="Q7201" s="19">
        <v>1456.02</v>
      </c>
      <c r="R7201" s="14">
        <v>160</v>
      </c>
      <c r="S7201" s="19">
        <v>232963.20000000001</v>
      </c>
      <c r="AJ7201" s="19">
        <v>0</v>
      </c>
      <c r="AK7201" s="23">
        <v>0</v>
      </c>
      <c r="AM7201" s="19">
        <v>0</v>
      </c>
      <c r="AN7201" s="19">
        <v>232963.20000000001</v>
      </c>
      <c r="AP7201" s="14">
        <v>232963.20000000001</v>
      </c>
    </row>
    <row r="7202" spans="1:45" x14ac:dyDescent="0.2">
      <c r="A7202" s="122">
        <f t="shared" si="719"/>
        <v>5919</v>
      </c>
      <c r="B7202" s="13">
        <v>5</v>
      </c>
      <c r="C7202" s="17" t="s">
        <v>65</v>
      </c>
      <c r="D7202" s="17">
        <v>1501</v>
      </c>
      <c r="E7202" s="17">
        <v>150</v>
      </c>
      <c r="H7202" s="17">
        <v>8</v>
      </c>
      <c r="I7202" s="17">
        <v>3</v>
      </c>
      <c r="J7202" s="17">
        <v>23</v>
      </c>
      <c r="K7202" s="10">
        <v>3523</v>
      </c>
      <c r="P7202" s="17">
        <v>1</v>
      </c>
      <c r="Q7202" s="19">
        <v>3523</v>
      </c>
      <c r="R7202" s="14">
        <v>250</v>
      </c>
      <c r="S7202" s="19">
        <v>880750</v>
      </c>
      <c r="AD7202" s="14" t="s">
        <v>160</v>
      </c>
      <c r="AJ7202" s="19">
        <v>0</v>
      </c>
      <c r="AK7202" s="23">
        <v>0</v>
      </c>
      <c r="AM7202" s="19">
        <v>0</v>
      </c>
      <c r="AN7202" s="19">
        <v>880750</v>
      </c>
      <c r="AP7202" s="14">
        <v>880750</v>
      </c>
      <c r="AQ7202" s="12">
        <v>1E-4</v>
      </c>
    </row>
    <row r="7203" spans="1:45" ht="231" x14ac:dyDescent="0.2">
      <c r="A7203" s="122">
        <f t="shared" si="719"/>
        <v>5920</v>
      </c>
      <c r="B7203" s="13">
        <v>1</v>
      </c>
      <c r="C7203" s="17" t="s">
        <v>52</v>
      </c>
      <c r="D7203" s="17">
        <v>428</v>
      </c>
      <c r="E7203" s="17">
        <v>522</v>
      </c>
      <c r="F7203" s="17">
        <v>13</v>
      </c>
      <c r="G7203" s="13">
        <v>2</v>
      </c>
      <c r="H7203" s="17">
        <v>0</v>
      </c>
      <c r="I7203" s="17">
        <v>3</v>
      </c>
      <c r="J7203" s="17">
        <v>90.09</v>
      </c>
      <c r="L7203" s="17">
        <v>370.5</v>
      </c>
      <c r="N7203" s="18">
        <v>19.59</v>
      </c>
      <c r="P7203" s="17">
        <v>5</v>
      </c>
      <c r="Q7203" s="19">
        <v>390.09000000000003</v>
      </c>
      <c r="R7203" s="14">
        <v>4500</v>
      </c>
      <c r="S7203" s="19">
        <v>1755405.0000000002</v>
      </c>
      <c r="T7203" s="17">
        <v>1</v>
      </c>
      <c r="U7203" s="17" t="s">
        <v>123</v>
      </c>
      <c r="V7203" s="17" t="s">
        <v>56</v>
      </c>
      <c r="W7203" s="4">
        <v>1482</v>
      </c>
      <c r="Y7203" s="4">
        <v>1482</v>
      </c>
      <c r="AB7203" s="17" t="s">
        <v>481</v>
      </c>
      <c r="AC7203" s="14" t="s">
        <v>486</v>
      </c>
      <c r="AF7203" s="14">
        <v>3</v>
      </c>
      <c r="AG7203" s="54">
        <v>1482</v>
      </c>
      <c r="AH7203" s="11">
        <v>1</v>
      </c>
      <c r="AI7203" s="14">
        <v>3600</v>
      </c>
      <c r="AJ7203" s="19">
        <v>5335200</v>
      </c>
      <c r="AK7203" s="23" t="s">
        <v>481</v>
      </c>
      <c r="AL7203" s="11">
        <v>0.09</v>
      </c>
      <c r="AM7203" s="19">
        <v>4855032</v>
      </c>
      <c r="AN7203" s="19">
        <v>6610437</v>
      </c>
      <c r="AP7203" s="14">
        <v>6610437</v>
      </c>
      <c r="AQ7203" s="12">
        <v>3.0000000000000001E-3</v>
      </c>
      <c r="AS7203" s="26">
        <v>16425</v>
      </c>
    </row>
    <row r="7204" spans="1:45" ht="84" x14ac:dyDescent="0.2">
      <c r="A7204" s="122">
        <f t="shared" si="719"/>
        <v>5921</v>
      </c>
      <c r="B7204" s="13">
        <v>2</v>
      </c>
      <c r="C7204" s="17" t="s">
        <v>52</v>
      </c>
      <c r="D7204" s="17">
        <v>1890</v>
      </c>
      <c r="E7204" s="17">
        <v>34</v>
      </c>
      <c r="F7204" s="17">
        <v>1280</v>
      </c>
      <c r="G7204" s="13">
        <v>2</v>
      </c>
      <c r="H7204" s="17">
        <v>2</v>
      </c>
      <c r="I7204" s="17">
        <v>3</v>
      </c>
      <c r="J7204" s="17">
        <v>23</v>
      </c>
      <c r="K7204" s="10">
        <v>1123</v>
      </c>
      <c r="P7204" s="17">
        <v>1</v>
      </c>
      <c r="Q7204" s="19">
        <v>1123</v>
      </c>
      <c r="R7204" s="14">
        <v>160</v>
      </c>
      <c r="S7204" s="19">
        <v>179680</v>
      </c>
      <c r="AJ7204" s="19">
        <v>0</v>
      </c>
      <c r="AK7204" s="23">
        <v>0</v>
      </c>
      <c r="AM7204" s="19">
        <v>0</v>
      </c>
      <c r="AN7204" s="19">
        <v>179680</v>
      </c>
      <c r="AP7204" s="14">
        <v>179680</v>
      </c>
      <c r="AR7204" s="19">
        <v>16425</v>
      </c>
    </row>
    <row r="7205" spans="1:45" x14ac:dyDescent="0.2">
      <c r="A7205" s="122">
        <f t="shared" si="719"/>
        <v>5922</v>
      </c>
      <c r="B7205" s="13">
        <v>3</v>
      </c>
      <c r="C7205" s="17" t="s">
        <v>52</v>
      </c>
      <c r="D7205" s="17">
        <v>1896</v>
      </c>
      <c r="E7205" s="17">
        <v>26</v>
      </c>
      <c r="F7205" s="17">
        <v>1286</v>
      </c>
      <c r="G7205" s="13">
        <v>2</v>
      </c>
      <c r="H7205" s="17">
        <v>1</v>
      </c>
      <c r="I7205" s="17">
        <v>0</v>
      </c>
      <c r="J7205" s="17">
        <v>16</v>
      </c>
      <c r="K7205" s="10">
        <v>416</v>
      </c>
      <c r="P7205" s="17">
        <v>1</v>
      </c>
      <c r="Q7205" s="19">
        <v>416</v>
      </c>
      <c r="R7205" s="14">
        <v>160</v>
      </c>
      <c r="S7205" s="19">
        <v>66560</v>
      </c>
      <c r="AJ7205" s="19">
        <v>0</v>
      </c>
      <c r="AK7205" s="23">
        <v>0</v>
      </c>
      <c r="AM7205" s="19">
        <v>0</v>
      </c>
      <c r="AN7205" s="19">
        <v>66560</v>
      </c>
      <c r="AP7205" s="14">
        <v>66560</v>
      </c>
    </row>
    <row r="7206" spans="1:45" x14ac:dyDescent="0.2">
      <c r="A7206" s="122">
        <f t="shared" si="719"/>
        <v>5923</v>
      </c>
      <c r="B7206" s="13">
        <v>4</v>
      </c>
      <c r="C7206" s="17" t="s">
        <v>52</v>
      </c>
      <c r="D7206" s="17">
        <v>13492</v>
      </c>
      <c r="E7206" s="17">
        <v>219</v>
      </c>
      <c r="F7206" s="17">
        <v>3284</v>
      </c>
      <c r="G7206" s="13">
        <v>2</v>
      </c>
      <c r="H7206" s="17">
        <v>0</v>
      </c>
      <c r="I7206" s="17">
        <v>2</v>
      </c>
      <c r="J7206" s="17">
        <v>25</v>
      </c>
      <c r="K7206" s="10">
        <v>225</v>
      </c>
      <c r="P7206" s="17">
        <v>1</v>
      </c>
      <c r="Q7206" s="19">
        <v>225</v>
      </c>
      <c r="R7206" s="14">
        <v>4500</v>
      </c>
      <c r="S7206" s="19">
        <v>1012500</v>
      </c>
      <c r="AJ7206" s="19">
        <v>0</v>
      </c>
      <c r="AK7206" s="23">
        <v>0</v>
      </c>
      <c r="AM7206" s="19">
        <v>0</v>
      </c>
      <c r="AN7206" s="19">
        <v>1012500</v>
      </c>
      <c r="AP7206" s="14">
        <v>1012500</v>
      </c>
    </row>
    <row r="7207" spans="1:45" x14ac:dyDescent="0.2">
      <c r="A7207" s="122">
        <f t="shared" si="719"/>
        <v>5924</v>
      </c>
      <c r="B7207" s="13">
        <v>5</v>
      </c>
      <c r="C7207" s="17" t="s">
        <v>52</v>
      </c>
      <c r="D7207" s="17">
        <v>31933</v>
      </c>
      <c r="E7207" s="17">
        <v>192</v>
      </c>
      <c r="F7207" s="17">
        <v>6160</v>
      </c>
      <c r="G7207" s="13">
        <v>2</v>
      </c>
      <c r="H7207" s="17">
        <v>0</v>
      </c>
      <c r="I7207" s="17">
        <v>0</v>
      </c>
      <c r="J7207" s="17">
        <v>50.09</v>
      </c>
      <c r="N7207" s="18">
        <v>50.09</v>
      </c>
      <c r="P7207" s="17">
        <v>4</v>
      </c>
      <c r="Q7207" s="19">
        <v>50.09</v>
      </c>
      <c r="R7207" s="14">
        <v>4500</v>
      </c>
      <c r="S7207" s="19">
        <v>225405.00000000003</v>
      </c>
      <c r="AJ7207" s="19">
        <v>0</v>
      </c>
      <c r="AK7207" s="23">
        <v>0</v>
      </c>
      <c r="AM7207" s="19">
        <v>0</v>
      </c>
      <c r="AN7207" s="19">
        <v>225405.00000000003</v>
      </c>
      <c r="AP7207" s="14">
        <v>225405.00000000003</v>
      </c>
      <c r="AQ7207" s="12">
        <v>3.0000000000000001E-3</v>
      </c>
    </row>
    <row r="7208" spans="1:45" x14ac:dyDescent="0.2">
      <c r="A7208" s="122">
        <f t="shared" si="719"/>
        <v>5925</v>
      </c>
      <c r="B7208" s="13">
        <v>6</v>
      </c>
      <c r="C7208" s="17" t="s">
        <v>52</v>
      </c>
      <c r="D7208" s="17">
        <v>1930</v>
      </c>
      <c r="E7208" s="17">
        <v>127</v>
      </c>
      <c r="F7208" s="17">
        <v>1293</v>
      </c>
      <c r="H7208" s="17">
        <v>4</v>
      </c>
      <c r="I7208" s="17">
        <v>2</v>
      </c>
      <c r="J7208" s="17">
        <v>19</v>
      </c>
      <c r="K7208" s="10">
        <v>1819</v>
      </c>
      <c r="P7208" s="17">
        <v>1</v>
      </c>
      <c r="Q7208" s="19">
        <v>1819</v>
      </c>
      <c r="R7208" s="14">
        <v>160</v>
      </c>
      <c r="S7208" s="19">
        <v>291040</v>
      </c>
      <c r="AJ7208" s="19">
        <v>0</v>
      </c>
      <c r="AK7208" s="23">
        <v>0</v>
      </c>
      <c r="AM7208" s="19">
        <v>0</v>
      </c>
      <c r="AN7208" s="19">
        <v>291040</v>
      </c>
      <c r="AP7208" s="14">
        <v>291040</v>
      </c>
    </row>
    <row r="7209" spans="1:45" ht="42" x14ac:dyDescent="0.2">
      <c r="A7209" s="122">
        <f t="shared" si="719"/>
        <v>5926</v>
      </c>
      <c r="B7209" s="13">
        <v>7</v>
      </c>
      <c r="C7209" s="17" t="s">
        <v>52</v>
      </c>
      <c r="D7209" s="17">
        <v>2310</v>
      </c>
      <c r="E7209" s="17">
        <v>104</v>
      </c>
      <c r="F7209" s="17">
        <v>1082</v>
      </c>
      <c r="H7209" s="17">
        <v>0</v>
      </c>
      <c r="I7209" s="17">
        <v>0</v>
      </c>
      <c r="J7209" s="17">
        <v>93</v>
      </c>
      <c r="L7209" s="17">
        <v>100</v>
      </c>
      <c r="P7209" s="17">
        <v>2</v>
      </c>
      <c r="Q7209" s="19">
        <v>93</v>
      </c>
      <c r="R7209" s="14">
        <v>2000</v>
      </c>
      <c r="S7209" s="19">
        <v>186000</v>
      </c>
      <c r="T7209" s="17">
        <v>1</v>
      </c>
      <c r="V7209" s="17" t="s">
        <v>530</v>
      </c>
      <c r="W7209" s="4">
        <v>400</v>
      </c>
      <c r="Y7209" s="4">
        <v>400</v>
      </c>
      <c r="AB7209" s="17">
        <v>29</v>
      </c>
      <c r="AJ7209" s="19">
        <v>0</v>
      </c>
      <c r="AK7209" s="23">
        <v>29</v>
      </c>
      <c r="AM7209" s="19">
        <v>0</v>
      </c>
      <c r="AN7209" s="19">
        <v>186000</v>
      </c>
      <c r="AP7209" s="14">
        <v>186000</v>
      </c>
    </row>
    <row r="7210" spans="1:45" ht="105" x14ac:dyDescent="0.2">
      <c r="A7210" s="122">
        <f t="shared" si="719"/>
        <v>5927</v>
      </c>
      <c r="B7210" s="13">
        <v>8</v>
      </c>
      <c r="C7210" s="17" t="s">
        <v>52</v>
      </c>
      <c r="D7210" s="17">
        <v>35345</v>
      </c>
      <c r="E7210" s="17">
        <v>278</v>
      </c>
      <c r="F7210" s="17">
        <v>7046</v>
      </c>
      <c r="H7210" s="17">
        <v>0</v>
      </c>
      <c r="I7210" s="17">
        <v>1</v>
      </c>
      <c r="J7210" s="17">
        <v>22</v>
      </c>
      <c r="L7210" s="17" t="s">
        <v>746</v>
      </c>
      <c r="P7210" s="17">
        <v>2</v>
      </c>
      <c r="Q7210" s="19">
        <v>122</v>
      </c>
      <c r="R7210" s="14">
        <v>2000</v>
      </c>
      <c r="S7210" s="19">
        <v>244000</v>
      </c>
      <c r="T7210" s="17">
        <v>1</v>
      </c>
      <c r="W7210" s="4">
        <v>64</v>
      </c>
      <c r="Z7210" s="17">
        <v>64</v>
      </c>
      <c r="AB7210" s="17">
        <v>6</v>
      </c>
      <c r="AC7210" s="14" t="s">
        <v>535</v>
      </c>
      <c r="AJ7210" s="19">
        <v>0</v>
      </c>
      <c r="AK7210" s="23">
        <v>6</v>
      </c>
      <c r="AM7210" s="19">
        <v>0</v>
      </c>
      <c r="AN7210" s="19">
        <v>244000</v>
      </c>
      <c r="AP7210" s="14">
        <v>244000</v>
      </c>
    </row>
    <row r="7211" spans="1:45" x14ac:dyDescent="0.2">
      <c r="B7211" s="13">
        <v>9</v>
      </c>
      <c r="C7211" s="17" t="s">
        <v>65</v>
      </c>
      <c r="D7211" s="17">
        <v>3728</v>
      </c>
      <c r="E7211" s="17">
        <v>665</v>
      </c>
      <c r="H7211" s="17">
        <v>0</v>
      </c>
      <c r="I7211" s="17">
        <v>0</v>
      </c>
      <c r="J7211" s="17">
        <v>52</v>
      </c>
      <c r="K7211" s="10">
        <v>52</v>
      </c>
      <c r="P7211" s="17">
        <v>1</v>
      </c>
      <c r="Q7211" s="19">
        <v>52</v>
      </c>
      <c r="R7211" s="14" t="e">
        <v>#N/A</v>
      </c>
      <c r="S7211" s="19" t="e">
        <v>#N/A</v>
      </c>
      <c r="AE7211" s="17" t="s">
        <v>95</v>
      </c>
      <c r="AJ7211" s="19">
        <v>0</v>
      </c>
      <c r="AK7211" s="23">
        <v>0</v>
      </c>
      <c r="AM7211" s="19">
        <v>0</v>
      </c>
      <c r="AN7211" s="19" t="e">
        <v>#N/A</v>
      </c>
      <c r="AP7211" s="14" t="e">
        <v>#N/A</v>
      </c>
      <c r="AQ7211" s="12">
        <v>1E-4</v>
      </c>
    </row>
    <row r="7212" spans="1:45" x14ac:dyDescent="0.2">
      <c r="A7212" s="2">
        <v>5928</v>
      </c>
      <c r="B7212" s="13">
        <v>1</v>
      </c>
      <c r="C7212" s="17" t="s">
        <v>52</v>
      </c>
      <c r="D7212" s="17">
        <v>30930</v>
      </c>
      <c r="E7212" s="17">
        <v>93</v>
      </c>
      <c r="F7212" s="17">
        <v>5882</v>
      </c>
      <c r="G7212" s="13">
        <v>2</v>
      </c>
      <c r="H7212" s="17">
        <v>1</v>
      </c>
      <c r="I7212" s="17">
        <v>2</v>
      </c>
      <c r="J7212" s="17">
        <v>31.06</v>
      </c>
      <c r="K7212" s="10">
        <v>631.05999999999995</v>
      </c>
      <c r="P7212" s="17">
        <v>1</v>
      </c>
      <c r="Q7212" s="19">
        <v>631.05999999999995</v>
      </c>
      <c r="R7212" s="14">
        <v>160</v>
      </c>
      <c r="S7212" s="19">
        <v>100969.59999999999</v>
      </c>
      <c r="AJ7212" s="19">
        <v>0</v>
      </c>
      <c r="AK7212" s="23">
        <v>0</v>
      </c>
      <c r="AM7212" s="19">
        <v>0</v>
      </c>
      <c r="AN7212" s="19">
        <v>100969.59999999999</v>
      </c>
      <c r="AP7212" s="14">
        <v>100969.59999999999</v>
      </c>
    </row>
    <row r="7213" spans="1:45" x14ac:dyDescent="0.2">
      <c r="A7213" s="2">
        <f>+A7212+1</f>
        <v>5929</v>
      </c>
      <c r="B7213" s="13">
        <v>2</v>
      </c>
      <c r="C7213" s="17" t="s">
        <v>52</v>
      </c>
      <c r="D7213" s="17">
        <v>30931</v>
      </c>
      <c r="E7213" s="17">
        <v>94</v>
      </c>
      <c r="F7213" s="17">
        <v>5883</v>
      </c>
      <c r="G7213" s="13">
        <v>2</v>
      </c>
      <c r="H7213" s="17">
        <v>2</v>
      </c>
      <c r="I7213" s="17">
        <v>2</v>
      </c>
      <c r="J7213" s="17">
        <v>3.07</v>
      </c>
      <c r="K7213" s="10">
        <v>1003.07</v>
      </c>
      <c r="P7213" s="17">
        <v>1</v>
      </c>
      <c r="Q7213" s="19">
        <v>1003.07</v>
      </c>
      <c r="R7213" s="14">
        <v>160</v>
      </c>
      <c r="S7213" s="19">
        <v>160491.20000000001</v>
      </c>
      <c r="AJ7213" s="19">
        <v>0</v>
      </c>
      <c r="AK7213" s="23">
        <v>0</v>
      </c>
      <c r="AM7213" s="19">
        <v>0</v>
      </c>
      <c r="AN7213" s="19">
        <v>160491.20000000001</v>
      </c>
      <c r="AP7213" s="14">
        <v>160491.20000000001</v>
      </c>
    </row>
    <row r="7214" spans="1:45" x14ac:dyDescent="0.2">
      <c r="A7214" s="122">
        <f t="shared" ref="A7214:A7221" si="720">+A7213+1</f>
        <v>5930</v>
      </c>
      <c r="B7214" s="13">
        <v>3</v>
      </c>
      <c r="C7214" s="17" t="s">
        <v>65</v>
      </c>
      <c r="D7214" s="17">
        <v>3623</v>
      </c>
      <c r="E7214" s="17">
        <v>229</v>
      </c>
      <c r="H7214" s="17">
        <v>3</v>
      </c>
      <c r="I7214" s="17">
        <v>3</v>
      </c>
      <c r="J7214" s="17">
        <v>85</v>
      </c>
      <c r="K7214" s="10">
        <v>1585</v>
      </c>
      <c r="P7214" s="17">
        <v>1</v>
      </c>
      <c r="Q7214" s="19">
        <v>1585</v>
      </c>
      <c r="R7214" s="14">
        <v>200</v>
      </c>
      <c r="S7214" s="19">
        <v>317000</v>
      </c>
      <c r="AE7214" s="17" t="s">
        <v>142</v>
      </c>
      <c r="AJ7214" s="19">
        <v>0</v>
      </c>
      <c r="AK7214" s="23">
        <v>0</v>
      </c>
      <c r="AM7214" s="19">
        <v>0</v>
      </c>
      <c r="AN7214" s="19">
        <v>317000</v>
      </c>
      <c r="AP7214" s="14">
        <v>317000</v>
      </c>
      <c r="AQ7214" s="12">
        <v>1E-4</v>
      </c>
    </row>
    <row r="7215" spans="1:45" x14ac:dyDescent="0.2">
      <c r="A7215" s="122">
        <f t="shared" si="720"/>
        <v>5931</v>
      </c>
      <c r="B7215" s="13">
        <v>1</v>
      </c>
      <c r="C7215" s="17" t="s">
        <v>52</v>
      </c>
      <c r="D7215" s="17">
        <v>30932</v>
      </c>
      <c r="E7215" s="17">
        <v>95</v>
      </c>
      <c r="F7215" s="17">
        <v>5884</v>
      </c>
      <c r="G7215" s="13">
        <v>2</v>
      </c>
      <c r="H7215" s="17">
        <v>1</v>
      </c>
      <c r="I7215" s="17">
        <v>2</v>
      </c>
      <c r="J7215" s="17">
        <v>96.06</v>
      </c>
      <c r="K7215" s="10">
        <v>696.06</v>
      </c>
      <c r="P7215" s="17">
        <v>1</v>
      </c>
      <c r="Q7215" s="19">
        <v>696.06</v>
      </c>
      <c r="R7215" s="14">
        <v>160</v>
      </c>
      <c r="S7215" s="19">
        <v>111369.59999999999</v>
      </c>
      <c r="AJ7215" s="19">
        <v>0</v>
      </c>
      <c r="AK7215" s="23">
        <v>0</v>
      </c>
      <c r="AM7215" s="19">
        <v>0</v>
      </c>
      <c r="AN7215" s="19">
        <v>111369.59999999999</v>
      </c>
      <c r="AP7215" s="14">
        <v>111369.59999999999</v>
      </c>
    </row>
    <row r="7216" spans="1:45" x14ac:dyDescent="0.2">
      <c r="A7216" s="122">
        <f t="shared" si="720"/>
        <v>5932</v>
      </c>
      <c r="B7216" s="13">
        <v>2</v>
      </c>
      <c r="C7216" s="17" t="s">
        <v>52</v>
      </c>
      <c r="D7216" s="17">
        <v>30933</v>
      </c>
      <c r="E7216" s="17">
        <v>96</v>
      </c>
      <c r="F7216" s="17">
        <v>5885</v>
      </c>
      <c r="G7216" s="13">
        <v>2</v>
      </c>
      <c r="H7216" s="17">
        <v>2</v>
      </c>
      <c r="I7216" s="17">
        <v>2</v>
      </c>
      <c r="J7216" s="17">
        <v>58.07</v>
      </c>
      <c r="K7216" s="10">
        <v>1058.07</v>
      </c>
      <c r="P7216" s="17">
        <v>1</v>
      </c>
      <c r="Q7216" s="19">
        <v>1058.07</v>
      </c>
      <c r="R7216" s="14">
        <v>160</v>
      </c>
      <c r="S7216" s="19">
        <v>169291.19999999998</v>
      </c>
      <c r="AJ7216" s="19">
        <v>0</v>
      </c>
      <c r="AK7216" s="23">
        <v>0</v>
      </c>
      <c r="AM7216" s="19">
        <v>0</v>
      </c>
      <c r="AN7216" s="19">
        <v>169291.19999999998</v>
      </c>
      <c r="AP7216" s="14">
        <v>169291.19999999998</v>
      </c>
    </row>
    <row r="7217" spans="1:45" x14ac:dyDescent="0.2">
      <c r="A7217" s="122">
        <f t="shared" si="720"/>
        <v>5933</v>
      </c>
      <c r="B7217" s="13">
        <v>1</v>
      </c>
      <c r="C7217" s="17" t="s">
        <v>52</v>
      </c>
      <c r="D7217" s="17">
        <v>21030</v>
      </c>
      <c r="E7217" s="17">
        <v>137</v>
      </c>
      <c r="F7217" s="17">
        <v>4691</v>
      </c>
      <c r="G7217" s="13">
        <v>2</v>
      </c>
      <c r="H7217" s="17">
        <v>0</v>
      </c>
      <c r="I7217" s="17">
        <v>0</v>
      </c>
      <c r="J7217" s="17">
        <v>47</v>
      </c>
      <c r="K7217" s="10">
        <v>47</v>
      </c>
      <c r="P7217" s="17">
        <v>1</v>
      </c>
      <c r="Q7217" s="19">
        <v>47</v>
      </c>
      <c r="R7217" s="14">
        <v>250</v>
      </c>
      <c r="S7217" s="19">
        <v>11750</v>
      </c>
      <c r="AJ7217" s="19">
        <v>0</v>
      </c>
      <c r="AK7217" s="23">
        <v>0</v>
      </c>
      <c r="AM7217" s="19">
        <v>0</v>
      </c>
      <c r="AN7217" s="19">
        <v>11750</v>
      </c>
      <c r="AP7217" s="14">
        <v>11750</v>
      </c>
    </row>
    <row r="7218" spans="1:45" x14ac:dyDescent="0.2">
      <c r="A7218" s="122">
        <f t="shared" si="720"/>
        <v>5934</v>
      </c>
      <c r="B7218" s="13">
        <v>2</v>
      </c>
      <c r="C7218" s="17" t="s">
        <v>52</v>
      </c>
      <c r="D7218" s="17">
        <v>23988</v>
      </c>
      <c r="E7218" s="17">
        <v>61</v>
      </c>
      <c r="F7218" s="17">
        <v>4916</v>
      </c>
      <c r="G7218" s="13">
        <v>3</v>
      </c>
      <c r="H7218" s="17">
        <v>15</v>
      </c>
      <c r="I7218" s="17">
        <v>0</v>
      </c>
      <c r="J7218" s="17">
        <v>0</v>
      </c>
      <c r="K7218" s="10">
        <v>6000</v>
      </c>
      <c r="P7218" s="17">
        <v>1</v>
      </c>
      <c r="Q7218" s="19">
        <v>6000</v>
      </c>
      <c r="R7218" s="14">
        <v>160</v>
      </c>
      <c r="S7218" s="19">
        <v>960000</v>
      </c>
      <c r="AJ7218" s="19">
        <v>0</v>
      </c>
      <c r="AK7218" s="23">
        <v>0</v>
      </c>
      <c r="AM7218" s="19">
        <v>0</v>
      </c>
      <c r="AN7218" s="19">
        <v>960000</v>
      </c>
      <c r="AP7218" s="14">
        <v>960000</v>
      </c>
    </row>
    <row r="7219" spans="1:45" x14ac:dyDescent="0.2">
      <c r="A7219" s="122">
        <f t="shared" si="720"/>
        <v>5935</v>
      </c>
      <c r="B7219" s="13">
        <v>3</v>
      </c>
      <c r="C7219" s="17" t="s">
        <v>52</v>
      </c>
      <c r="D7219" s="17">
        <v>958</v>
      </c>
      <c r="E7219" s="17">
        <v>108</v>
      </c>
      <c r="F7219" s="17">
        <v>365</v>
      </c>
      <c r="G7219" s="13">
        <v>1</v>
      </c>
      <c r="H7219" s="17">
        <v>13</v>
      </c>
      <c r="I7219" s="17">
        <v>1</v>
      </c>
      <c r="J7219" s="17">
        <v>20</v>
      </c>
      <c r="K7219" s="10">
        <v>5320</v>
      </c>
      <c r="P7219" s="17">
        <v>1</v>
      </c>
      <c r="Q7219" s="19">
        <v>5320</v>
      </c>
      <c r="R7219" s="14">
        <v>200</v>
      </c>
      <c r="S7219" s="19">
        <v>1064000</v>
      </c>
      <c r="AJ7219" s="19">
        <v>0</v>
      </c>
      <c r="AK7219" s="23">
        <v>0</v>
      </c>
      <c r="AM7219" s="19">
        <v>0</v>
      </c>
      <c r="AN7219" s="19">
        <v>1064000</v>
      </c>
      <c r="AP7219" s="14">
        <v>1064000</v>
      </c>
    </row>
    <row r="7220" spans="1:45" x14ac:dyDescent="0.2">
      <c r="A7220" s="122">
        <f t="shared" si="720"/>
        <v>5936</v>
      </c>
      <c r="B7220" s="13">
        <v>1</v>
      </c>
      <c r="C7220" s="17" t="s">
        <v>65</v>
      </c>
      <c r="D7220" s="17">
        <v>930</v>
      </c>
      <c r="E7220" s="17">
        <v>231</v>
      </c>
      <c r="H7220" s="17">
        <v>9</v>
      </c>
      <c r="I7220" s="17">
        <v>2</v>
      </c>
      <c r="J7220" s="17">
        <v>40</v>
      </c>
      <c r="K7220" s="10">
        <v>3840</v>
      </c>
      <c r="P7220" s="17">
        <v>1</v>
      </c>
      <c r="Q7220" s="19">
        <v>3840</v>
      </c>
      <c r="R7220" s="14">
        <v>250</v>
      </c>
      <c r="S7220" s="19">
        <v>960000</v>
      </c>
      <c r="AJ7220" s="19">
        <v>0</v>
      </c>
      <c r="AK7220" s="23">
        <v>0</v>
      </c>
      <c r="AM7220" s="19">
        <v>0</v>
      </c>
      <c r="AN7220" s="19">
        <v>960000</v>
      </c>
      <c r="AP7220" s="14">
        <v>960000</v>
      </c>
      <c r="AQ7220" s="12">
        <v>1E-4</v>
      </c>
    </row>
    <row r="7221" spans="1:45" x14ac:dyDescent="0.2">
      <c r="A7221" s="122">
        <f t="shared" si="720"/>
        <v>5937</v>
      </c>
      <c r="B7221" s="13">
        <v>1</v>
      </c>
      <c r="C7221" s="17" t="s">
        <v>69</v>
      </c>
      <c r="E7221" s="17">
        <v>160</v>
      </c>
      <c r="F7221" s="17">
        <v>1</v>
      </c>
      <c r="G7221" s="13">
        <v>2</v>
      </c>
      <c r="H7221" s="17">
        <v>16</v>
      </c>
      <c r="I7221" s="17">
        <v>2</v>
      </c>
      <c r="J7221" s="17">
        <v>96</v>
      </c>
      <c r="K7221" s="10">
        <v>6696</v>
      </c>
      <c r="P7221" s="17">
        <v>1</v>
      </c>
      <c r="Q7221" s="19">
        <v>6696</v>
      </c>
      <c r="R7221" s="14">
        <v>200</v>
      </c>
      <c r="S7221" s="19">
        <v>1339200</v>
      </c>
      <c r="AJ7221" s="19">
        <v>0</v>
      </c>
      <c r="AK7221" s="23">
        <v>0</v>
      </c>
      <c r="AM7221" s="19">
        <v>0</v>
      </c>
      <c r="AN7221" s="19">
        <v>1339200</v>
      </c>
      <c r="AP7221" s="14">
        <v>1339200</v>
      </c>
      <c r="AQ7221" s="12">
        <v>1E-4</v>
      </c>
    </row>
    <row r="7222" spans="1:45" ht="63" x14ac:dyDescent="0.2">
      <c r="B7222" s="13">
        <v>2</v>
      </c>
      <c r="C7222" s="17" t="s">
        <v>65</v>
      </c>
      <c r="D7222" s="17">
        <v>754</v>
      </c>
      <c r="E7222" s="17">
        <v>1</v>
      </c>
      <c r="H7222" s="17">
        <v>4</v>
      </c>
      <c r="I7222" s="17">
        <v>0</v>
      </c>
      <c r="J7222" s="17">
        <v>83</v>
      </c>
      <c r="K7222" s="10">
        <v>1683</v>
      </c>
      <c r="P7222" s="17">
        <v>1</v>
      </c>
      <c r="Q7222" s="19">
        <v>1683</v>
      </c>
      <c r="R7222" s="14" t="e">
        <v>#N/A</v>
      </c>
      <c r="S7222" s="19" t="e">
        <v>#N/A</v>
      </c>
      <c r="AD7222" s="14" t="s">
        <v>747</v>
      </c>
      <c r="AJ7222" s="19">
        <v>0</v>
      </c>
      <c r="AK7222" s="23">
        <v>0</v>
      </c>
      <c r="AM7222" s="19">
        <v>0</v>
      </c>
      <c r="AN7222" s="19" t="e">
        <v>#N/A</v>
      </c>
      <c r="AP7222" s="14" t="e">
        <v>#N/A</v>
      </c>
      <c r="AQ7222" s="12">
        <v>1E-4</v>
      </c>
    </row>
    <row r="7223" spans="1:45" x14ac:dyDescent="0.2">
      <c r="A7223" s="2">
        <v>5938</v>
      </c>
      <c r="B7223" s="13">
        <v>1</v>
      </c>
      <c r="C7223" s="17" t="s">
        <v>65</v>
      </c>
      <c r="D7223" s="17">
        <v>986</v>
      </c>
      <c r="E7223" s="17">
        <v>41</v>
      </c>
      <c r="H7223" s="17">
        <v>5</v>
      </c>
      <c r="I7223" s="17">
        <v>0</v>
      </c>
      <c r="J7223" s="17">
        <v>13</v>
      </c>
      <c r="K7223" s="10">
        <v>2013</v>
      </c>
      <c r="P7223" s="17">
        <v>1</v>
      </c>
      <c r="Q7223" s="19">
        <v>2013</v>
      </c>
      <c r="R7223" s="14">
        <v>500</v>
      </c>
      <c r="S7223" s="19">
        <v>1006500</v>
      </c>
      <c r="AJ7223" s="19">
        <v>0</v>
      </c>
      <c r="AK7223" s="23">
        <v>0</v>
      </c>
      <c r="AM7223" s="19">
        <v>0</v>
      </c>
      <c r="AN7223" s="19">
        <v>1006500</v>
      </c>
      <c r="AP7223" s="14">
        <v>1006500</v>
      </c>
      <c r="AQ7223" s="12">
        <v>1E-4</v>
      </c>
    </row>
    <row r="7224" spans="1:45" x14ac:dyDescent="0.2">
      <c r="A7224" s="2">
        <f>+A7223+1</f>
        <v>5939</v>
      </c>
      <c r="B7224" s="13">
        <v>1</v>
      </c>
      <c r="C7224" s="17" t="s">
        <v>52</v>
      </c>
      <c r="D7224" s="17">
        <v>1931</v>
      </c>
      <c r="E7224" s="17">
        <v>48</v>
      </c>
      <c r="F7224" s="17">
        <v>1296</v>
      </c>
      <c r="G7224" s="13">
        <v>2</v>
      </c>
      <c r="H7224" s="17">
        <v>4</v>
      </c>
      <c r="I7224" s="17">
        <v>1</v>
      </c>
      <c r="J7224" s="17">
        <v>20</v>
      </c>
      <c r="K7224" s="10">
        <v>1720</v>
      </c>
      <c r="P7224" s="17">
        <v>1</v>
      </c>
      <c r="Q7224" s="19">
        <v>1720</v>
      </c>
      <c r="R7224" s="14">
        <v>160</v>
      </c>
      <c r="S7224" s="19">
        <v>275200</v>
      </c>
      <c r="AJ7224" s="19">
        <v>0</v>
      </c>
      <c r="AK7224" s="23">
        <v>0</v>
      </c>
      <c r="AM7224" s="19">
        <v>0</v>
      </c>
      <c r="AN7224" s="19">
        <v>275200</v>
      </c>
      <c r="AP7224" s="14">
        <v>275200</v>
      </c>
    </row>
    <row r="7225" spans="1:45" x14ac:dyDescent="0.2">
      <c r="A7225" s="122">
        <f t="shared" ref="A7225:A7228" si="721">+A7224+1</f>
        <v>5940</v>
      </c>
      <c r="B7225" s="13">
        <v>1</v>
      </c>
      <c r="C7225" s="17" t="s">
        <v>52</v>
      </c>
      <c r="D7225" s="17">
        <v>2280</v>
      </c>
      <c r="E7225" s="17">
        <v>99</v>
      </c>
      <c r="F7225" s="17">
        <v>1764</v>
      </c>
      <c r="H7225" s="17">
        <v>0</v>
      </c>
      <c r="I7225" s="17">
        <v>2</v>
      </c>
      <c r="J7225" s="17">
        <v>27</v>
      </c>
      <c r="K7225" s="10">
        <v>227</v>
      </c>
      <c r="P7225" s="17">
        <v>1</v>
      </c>
      <c r="Q7225" s="19">
        <v>227</v>
      </c>
      <c r="R7225" s="14">
        <v>1500</v>
      </c>
      <c r="S7225" s="19">
        <v>340500</v>
      </c>
      <c r="AJ7225" s="19">
        <v>0</v>
      </c>
      <c r="AK7225" s="23">
        <v>0</v>
      </c>
      <c r="AM7225" s="19">
        <v>0</v>
      </c>
      <c r="AN7225" s="19">
        <v>340500</v>
      </c>
      <c r="AP7225" s="14">
        <v>340500</v>
      </c>
    </row>
    <row r="7226" spans="1:45" x14ac:dyDescent="0.2">
      <c r="A7226" s="122">
        <f t="shared" si="721"/>
        <v>5941</v>
      </c>
      <c r="B7226" s="13">
        <v>1</v>
      </c>
      <c r="C7226" s="17" t="s">
        <v>65</v>
      </c>
      <c r="D7226" s="17">
        <v>2116</v>
      </c>
      <c r="E7226" s="17">
        <v>8</v>
      </c>
      <c r="H7226" s="17">
        <v>8</v>
      </c>
      <c r="I7226" s="17">
        <v>0</v>
      </c>
      <c r="J7226" s="17">
        <v>53</v>
      </c>
      <c r="K7226" s="10">
        <v>3253</v>
      </c>
      <c r="P7226" s="17">
        <v>1</v>
      </c>
      <c r="Q7226" s="19">
        <v>3253</v>
      </c>
      <c r="R7226" s="14">
        <v>200</v>
      </c>
      <c r="S7226" s="19">
        <v>650600</v>
      </c>
      <c r="AJ7226" s="19">
        <v>0</v>
      </c>
      <c r="AK7226" s="23">
        <v>0</v>
      </c>
      <c r="AM7226" s="19">
        <v>0</v>
      </c>
      <c r="AN7226" s="19">
        <v>650600</v>
      </c>
      <c r="AP7226" s="14">
        <v>650600</v>
      </c>
      <c r="AQ7226" s="12">
        <v>1E-4</v>
      </c>
    </row>
    <row r="7227" spans="1:45" x14ac:dyDescent="0.2">
      <c r="A7227" s="122">
        <f t="shared" si="721"/>
        <v>5942</v>
      </c>
      <c r="B7227" s="13">
        <v>1</v>
      </c>
      <c r="C7227" s="17" t="s">
        <v>52</v>
      </c>
      <c r="D7227" s="17">
        <v>4801</v>
      </c>
      <c r="E7227" s="17">
        <v>21</v>
      </c>
      <c r="F7227" s="17">
        <v>2673</v>
      </c>
      <c r="G7227" s="13">
        <v>7</v>
      </c>
      <c r="H7227" s="17">
        <v>5</v>
      </c>
      <c r="I7227" s="17">
        <v>0</v>
      </c>
      <c r="J7227" s="17">
        <v>5</v>
      </c>
      <c r="K7227" s="10">
        <v>2005</v>
      </c>
      <c r="P7227" s="17">
        <v>1</v>
      </c>
      <c r="Q7227" s="19">
        <v>2005</v>
      </c>
      <c r="R7227" s="14">
        <v>160</v>
      </c>
      <c r="S7227" s="19">
        <v>320800</v>
      </c>
      <c r="AJ7227" s="19">
        <v>0</v>
      </c>
      <c r="AK7227" s="23">
        <v>0</v>
      </c>
      <c r="AM7227" s="19">
        <v>0</v>
      </c>
      <c r="AN7227" s="19">
        <v>320800</v>
      </c>
      <c r="AP7227" s="14">
        <v>320800</v>
      </c>
      <c r="AS7227" s="26">
        <v>28</v>
      </c>
    </row>
    <row r="7228" spans="1:45" x14ac:dyDescent="0.2">
      <c r="A7228" s="122">
        <f t="shared" si="721"/>
        <v>5943</v>
      </c>
      <c r="B7228" s="13">
        <v>1</v>
      </c>
      <c r="C7228" s="17" t="s">
        <v>52</v>
      </c>
      <c r="D7228" s="17">
        <v>27048</v>
      </c>
      <c r="E7228" s="17">
        <v>1</v>
      </c>
      <c r="F7228" s="17">
        <v>4977</v>
      </c>
      <c r="G7228" s="13">
        <v>3</v>
      </c>
      <c r="H7228" s="17">
        <v>1</v>
      </c>
      <c r="I7228" s="17">
        <v>2</v>
      </c>
      <c r="J7228" s="17">
        <v>58</v>
      </c>
      <c r="K7228" s="10" t="s">
        <v>748</v>
      </c>
      <c r="P7228" s="17">
        <v>1</v>
      </c>
      <c r="Q7228" s="19">
        <v>658</v>
      </c>
      <c r="R7228" s="14">
        <v>2000</v>
      </c>
      <c r="S7228" s="19">
        <v>1316000</v>
      </c>
      <c r="AJ7228" s="19">
        <v>0</v>
      </c>
      <c r="AK7228" s="23">
        <v>0</v>
      </c>
      <c r="AM7228" s="19">
        <v>0</v>
      </c>
      <c r="AN7228" s="19">
        <v>1316000</v>
      </c>
      <c r="AP7228" s="14">
        <v>1316000</v>
      </c>
    </row>
    <row r="7229" spans="1:45" x14ac:dyDescent="0.2">
      <c r="B7229" s="13">
        <v>2</v>
      </c>
      <c r="C7229" s="17" t="s">
        <v>52</v>
      </c>
      <c r="D7229" s="17">
        <v>37140</v>
      </c>
      <c r="E7229" s="17">
        <v>24</v>
      </c>
      <c r="F7229" s="17">
        <v>7407</v>
      </c>
      <c r="H7229" s="17">
        <v>23</v>
      </c>
      <c r="I7229" s="17">
        <v>0</v>
      </c>
      <c r="J7229" s="17">
        <v>30.1</v>
      </c>
      <c r="Q7229" s="19">
        <v>9230.1</v>
      </c>
      <c r="S7229" s="19">
        <v>0</v>
      </c>
      <c r="AJ7229" s="19">
        <v>0</v>
      </c>
      <c r="AK7229" s="23">
        <v>0</v>
      </c>
      <c r="AM7229" s="19">
        <v>0</v>
      </c>
      <c r="AN7229" s="19">
        <v>0</v>
      </c>
      <c r="AP7229" s="14">
        <v>0</v>
      </c>
    </row>
    <row r="7230" spans="1:45" ht="42" x14ac:dyDescent="0.2">
      <c r="A7230" s="2">
        <v>5944</v>
      </c>
      <c r="B7230" s="13">
        <v>1</v>
      </c>
      <c r="C7230" s="17" t="s">
        <v>52</v>
      </c>
      <c r="D7230" s="17">
        <v>22394</v>
      </c>
      <c r="E7230" s="17">
        <v>36</v>
      </c>
      <c r="F7230" s="17">
        <v>4802</v>
      </c>
      <c r="G7230" s="13">
        <v>7</v>
      </c>
      <c r="H7230" s="17">
        <v>0</v>
      </c>
      <c r="I7230" s="17">
        <v>1</v>
      </c>
      <c r="J7230" s="17">
        <v>20</v>
      </c>
      <c r="K7230" s="10">
        <v>91.18</v>
      </c>
      <c r="L7230" s="17">
        <v>28.12</v>
      </c>
      <c r="P7230" s="17">
        <v>5</v>
      </c>
      <c r="Q7230" s="19">
        <v>120</v>
      </c>
      <c r="R7230" s="14">
        <v>1000</v>
      </c>
      <c r="S7230" s="19">
        <v>120000</v>
      </c>
      <c r="T7230" s="17">
        <v>1</v>
      </c>
      <c r="V7230" s="17" t="s">
        <v>183</v>
      </c>
      <c r="W7230" s="4">
        <v>112.5</v>
      </c>
      <c r="Y7230" s="4">
        <v>112.5</v>
      </c>
      <c r="AB7230" s="17">
        <v>31</v>
      </c>
      <c r="AJ7230" s="19">
        <v>0</v>
      </c>
      <c r="AK7230" s="23">
        <v>31</v>
      </c>
      <c r="AM7230" s="19">
        <v>0</v>
      </c>
      <c r="AN7230" s="19">
        <v>120000</v>
      </c>
      <c r="AP7230" s="14">
        <v>120000</v>
      </c>
    </row>
    <row r="7231" spans="1:45" x14ac:dyDescent="0.2">
      <c r="A7231" s="2">
        <f>+A7230+1</f>
        <v>5945</v>
      </c>
      <c r="B7231" s="13">
        <v>1</v>
      </c>
      <c r="C7231" s="17" t="s">
        <v>52</v>
      </c>
      <c r="D7231" s="17">
        <v>807</v>
      </c>
      <c r="E7231" s="17">
        <v>18</v>
      </c>
      <c r="F7231" s="17">
        <v>279</v>
      </c>
      <c r="G7231" s="13">
        <v>6</v>
      </c>
      <c r="H7231" s="17">
        <v>1</v>
      </c>
      <c r="I7231" s="17">
        <v>2</v>
      </c>
      <c r="J7231" s="17">
        <v>93</v>
      </c>
      <c r="K7231" s="10">
        <v>666</v>
      </c>
      <c r="P7231" s="17">
        <v>1</v>
      </c>
      <c r="Q7231" s="19">
        <v>693</v>
      </c>
      <c r="R7231" s="14">
        <v>160</v>
      </c>
      <c r="S7231" s="19">
        <v>110880</v>
      </c>
      <c r="AJ7231" s="19">
        <v>0</v>
      </c>
      <c r="AK7231" s="23">
        <v>0</v>
      </c>
      <c r="AM7231" s="19">
        <v>0</v>
      </c>
      <c r="AN7231" s="19">
        <v>110880</v>
      </c>
      <c r="AP7231" s="14">
        <v>110880</v>
      </c>
      <c r="AS7231" s="26">
        <v>5</v>
      </c>
    </row>
    <row r="7232" spans="1:45" x14ac:dyDescent="0.2">
      <c r="A7232" s="122">
        <f t="shared" ref="A7232:A7239" si="722">+A7231+1</f>
        <v>5946</v>
      </c>
      <c r="B7232" s="13">
        <v>1</v>
      </c>
      <c r="C7232" s="17" t="s">
        <v>52</v>
      </c>
      <c r="D7232" s="17">
        <v>4190</v>
      </c>
      <c r="E7232" s="17">
        <v>30</v>
      </c>
      <c r="F7232" s="17">
        <v>2531</v>
      </c>
      <c r="G7232" s="13">
        <v>1</v>
      </c>
      <c r="H7232" s="17">
        <v>6</v>
      </c>
      <c r="I7232" s="17">
        <v>3</v>
      </c>
      <c r="J7232" s="17">
        <v>66</v>
      </c>
      <c r="K7232" s="10">
        <v>2766</v>
      </c>
      <c r="P7232" s="17">
        <v>1</v>
      </c>
      <c r="Q7232" s="19">
        <v>2766</v>
      </c>
      <c r="R7232" s="14">
        <v>200</v>
      </c>
      <c r="S7232" s="19">
        <v>553200</v>
      </c>
      <c r="AJ7232" s="19">
        <v>0</v>
      </c>
      <c r="AK7232" s="23">
        <v>0</v>
      </c>
      <c r="AM7232" s="19">
        <v>0</v>
      </c>
      <c r="AN7232" s="19">
        <v>553200</v>
      </c>
      <c r="AP7232" s="14">
        <v>553200</v>
      </c>
      <c r="AS7232" s="26">
        <v>263</v>
      </c>
    </row>
    <row r="7233" spans="1:45" s="19" customFormat="1" x14ac:dyDescent="0.2">
      <c r="A7233" s="122">
        <f t="shared" si="722"/>
        <v>5947</v>
      </c>
      <c r="B7233" s="13">
        <v>2</v>
      </c>
      <c r="C7233" s="17" t="s">
        <v>52</v>
      </c>
      <c r="D7233" s="17">
        <v>4191</v>
      </c>
      <c r="E7233" s="17">
        <v>31</v>
      </c>
      <c r="F7233" s="17">
        <v>2532</v>
      </c>
      <c r="G7233" s="13">
        <v>1</v>
      </c>
      <c r="H7233" s="17">
        <v>10</v>
      </c>
      <c r="I7233" s="17">
        <v>3</v>
      </c>
      <c r="J7233" s="17">
        <v>64</v>
      </c>
      <c r="K7233" s="10">
        <v>4364</v>
      </c>
      <c r="L7233" s="17"/>
      <c r="M7233" s="15"/>
      <c r="N7233" s="18"/>
      <c r="O7233" s="14"/>
      <c r="P7233" s="17">
        <v>1</v>
      </c>
      <c r="Q7233" s="19">
        <v>4364</v>
      </c>
      <c r="R7233" s="14">
        <v>200</v>
      </c>
      <c r="S7233" s="19">
        <v>872800</v>
      </c>
      <c r="T7233" s="17"/>
      <c r="U7233" s="17"/>
      <c r="V7233" s="17"/>
      <c r="W7233" s="4"/>
      <c r="X7233" s="17"/>
      <c r="Y7233" s="4"/>
      <c r="Z7233" s="17"/>
      <c r="AA7233" s="17"/>
      <c r="AB7233" s="17"/>
      <c r="AC7233" s="14"/>
      <c r="AD7233" s="14"/>
      <c r="AE7233" s="17"/>
      <c r="AF7233" s="14"/>
      <c r="AG7233" s="54"/>
      <c r="AH7233" s="11"/>
      <c r="AI7233" s="14"/>
      <c r="AJ7233" s="19">
        <v>0</v>
      </c>
      <c r="AK7233" s="23">
        <v>0</v>
      </c>
      <c r="AL7233" s="11"/>
      <c r="AM7233" s="19">
        <v>0</v>
      </c>
      <c r="AN7233" s="19">
        <v>872800</v>
      </c>
      <c r="AO7233" s="14"/>
      <c r="AP7233" s="14">
        <v>872800</v>
      </c>
      <c r="AQ7233" s="12"/>
      <c r="AS7233" s="26"/>
    </row>
    <row r="7234" spans="1:45" s="19" customFormat="1" x14ac:dyDescent="0.2">
      <c r="A7234" s="122">
        <f t="shared" si="722"/>
        <v>5948</v>
      </c>
      <c r="B7234" s="13">
        <v>3</v>
      </c>
      <c r="C7234" s="17" t="s">
        <v>52</v>
      </c>
      <c r="D7234" s="17">
        <v>4614</v>
      </c>
      <c r="E7234" s="17">
        <v>73</v>
      </c>
      <c r="F7234" s="17">
        <v>2434</v>
      </c>
      <c r="G7234" s="13">
        <v>1</v>
      </c>
      <c r="H7234" s="17">
        <v>21</v>
      </c>
      <c r="I7234" s="17">
        <v>0</v>
      </c>
      <c r="J7234" s="17">
        <v>90</v>
      </c>
      <c r="K7234" s="10">
        <v>8490</v>
      </c>
      <c r="L7234" s="17"/>
      <c r="M7234" s="15"/>
      <c r="N7234" s="18"/>
      <c r="O7234" s="14"/>
      <c r="P7234" s="17">
        <v>1</v>
      </c>
      <c r="Q7234" s="19">
        <v>8490</v>
      </c>
      <c r="R7234" s="14">
        <v>160</v>
      </c>
      <c r="S7234" s="19">
        <v>1358400</v>
      </c>
      <c r="T7234" s="17"/>
      <c r="U7234" s="17"/>
      <c r="V7234" s="17"/>
      <c r="W7234" s="4"/>
      <c r="X7234" s="17"/>
      <c r="Y7234" s="4"/>
      <c r="Z7234" s="17"/>
      <c r="AA7234" s="17"/>
      <c r="AB7234" s="17"/>
      <c r="AC7234" s="14"/>
      <c r="AD7234" s="14"/>
      <c r="AE7234" s="17"/>
      <c r="AF7234" s="14"/>
      <c r="AG7234" s="54"/>
      <c r="AH7234" s="11"/>
      <c r="AI7234" s="14"/>
      <c r="AJ7234" s="19">
        <v>0</v>
      </c>
      <c r="AK7234" s="23">
        <v>0</v>
      </c>
      <c r="AL7234" s="11"/>
      <c r="AM7234" s="19">
        <v>0</v>
      </c>
      <c r="AN7234" s="19">
        <v>1358400</v>
      </c>
      <c r="AO7234" s="14"/>
      <c r="AP7234" s="14">
        <v>1358400</v>
      </c>
      <c r="AQ7234" s="12"/>
      <c r="AS7234" s="26"/>
    </row>
    <row r="7235" spans="1:45" s="19" customFormat="1" x14ac:dyDescent="0.2">
      <c r="A7235" s="122">
        <f t="shared" si="722"/>
        <v>5949</v>
      </c>
      <c r="B7235" s="13">
        <v>4</v>
      </c>
      <c r="C7235" s="17" t="s">
        <v>52</v>
      </c>
      <c r="D7235" s="17">
        <v>4617</v>
      </c>
      <c r="E7235" s="17">
        <v>80</v>
      </c>
      <c r="F7235" s="17">
        <v>2437</v>
      </c>
      <c r="G7235" s="13">
        <v>1</v>
      </c>
      <c r="H7235" s="17">
        <v>8</v>
      </c>
      <c r="I7235" s="17">
        <v>1</v>
      </c>
      <c r="J7235" s="17">
        <v>89</v>
      </c>
      <c r="K7235" s="10">
        <v>3389</v>
      </c>
      <c r="L7235" s="17"/>
      <c r="M7235" s="15"/>
      <c r="N7235" s="18"/>
      <c r="O7235" s="14"/>
      <c r="P7235" s="17">
        <v>1</v>
      </c>
      <c r="Q7235" s="19">
        <v>3389</v>
      </c>
      <c r="R7235" s="14">
        <v>160</v>
      </c>
      <c r="S7235" s="19">
        <v>542240</v>
      </c>
      <c r="T7235" s="17"/>
      <c r="U7235" s="17"/>
      <c r="V7235" s="17"/>
      <c r="W7235" s="4"/>
      <c r="X7235" s="17"/>
      <c r="Y7235" s="4"/>
      <c r="Z7235" s="17"/>
      <c r="AA7235" s="17"/>
      <c r="AB7235" s="17"/>
      <c r="AC7235" s="14"/>
      <c r="AD7235" s="14"/>
      <c r="AE7235" s="17"/>
      <c r="AF7235" s="14"/>
      <c r="AG7235" s="54"/>
      <c r="AH7235" s="11"/>
      <c r="AI7235" s="14"/>
      <c r="AJ7235" s="19">
        <v>0</v>
      </c>
      <c r="AK7235" s="23">
        <v>0</v>
      </c>
      <c r="AL7235" s="11"/>
      <c r="AM7235" s="19">
        <v>0</v>
      </c>
      <c r="AN7235" s="19">
        <v>542240</v>
      </c>
      <c r="AO7235" s="14"/>
      <c r="AP7235" s="14">
        <v>542240</v>
      </c>
      <c r="AQ7235" s="12"/>
      <c r="AS7235" s="26"/>
    </row>
    <row r="7236" spans="1:45" s="19" customFormat="1" x14ac:dyDescent="0.2">
      <c r="A7236" s="122">
        <f t="shared" si="722"/>
        <v>5950</v>
      </c>
      <c r="B7236" s="13">
        <v>5</v>
      </c>
      <c r="C7236" s="17" t="s">
        <v>52</v>
      </c>
      <c r="D7236" s="17">
        <v>4653</v>
      </c>
      <c r="E7236" s="17">
        <v>37</v>
      </c>
      <c r="F7236" s="17">
        <v>2479</v>
      </c>
      <c r="G7236" s="13">
        <v>1</v>
      </c>
      <c r="H7236" s="17">
        <v>4</v>
      </c>
      <c r="I7236" s="17">
        <v>1</v>
      </c>
      <c r="J7236" s="17">
        <v>15</v>
      </c>
      <c r="K7236" s="10">
        <v>1715</v>
      </c>
      <c r="L7236" s="17"/>
      <c r="M7236" s="15"/>
      <c r="N7236" s="18"/>
      <c r="O7236" s="14"/>
      <c r="P7236" s="17">
        <v>1</v>
      </c>
      <c r="Q7236" s="19">
        <v>1715</v>
      </c>
      <c r="R7236" s="14">
        <v>200</v>
      </c>
      <c r="S7236" s="19">
        <v>343000</v>
      </c>
      <c r="T7236" s="17"/>
      <c r="U7236" s="17"/>
      <c r="V7236" s="17"/>
      <c r="W7236" s="4"/>
      <c r="X7236" s="17"/>
      <c r="Y7236" s="4"/>
      <c r="Z7236" s="17"/>
      <c r="AA7236" s="17"/>
      <c r="AB7236" s="17"/>
      <c r="AC7236" s="14"/>
      <c r="AD7236" s="14"/>
      <c r="AE7236" s="17"/>
      <c r="AF7236" s="14"/>
      <c r="AG7236" s="54"/>
      <c r="AH7236" s="11"/>
      <c r="AI7236" s="14"/>
      <c r="AJ7236" s="19">
        <v>0</v>
      </c>
      <c r="AK7236" s="23">
        <v>0</v>
      </c>
      <c r="AL7236" s="11"/>
      <c r="AM7236" s="19">
        <v>0</v>
      </c>
      <c r="AN7236" s="19">
        <v>343000</v>
      </c>
      <c r="AO7236" s="14"/>
      <c r="AP7236" s="14">
        <v>343000</v>
      </c>
      <c r="AQ7236" s="12"/>
      <c r="AS7236" s="26"/>
    </row>
    <row r="7237" spans="1:45" s="19" customFormat="1" ht="42" x14ac:dyDescent="0.2">
      <c r="A7237" s="122">
        <f t="shared" si="722"/>
        <v>5951</v>
      </c>
      <c r="B7237" s="13">
        <v>6</v>
      </c>
      <c r="C7237" s="17" t="s">
        <v>52</v>
      </c>
      <c r="D7237" s="17">
        <v>18444</v>
      </c>
      <c r="E7237" s="17">
        <v>160</v>
      </c>
      <c r="F7237" s="17">
        <v>3637</v>
      </c>
      <c r="G7237" s="13">
        <v>1</v>
      </c>
      <c r="H7237" s="17">
        <v>0</v>
      </c>
      <c r="I7237" s="17">
        <v>1</v>
      </c>
      <c r="J7237" s="17">
        <v>88</v>
      </c>
      <c r="K7237" s="10"/>
      <c r="L7237" s="17" t="s">
        <v>749</v>
      </c>
      <c r="M7237" s="15"/>
      <c r="N7237" s="18"/>
      <c r="O7237" s="14"/>
      <c r="P7237" s="17">
        <v>2</v>
      </c>
      <c r="Q7237" s="19">
        <v>188</v>
      </c>
      <c r="R7237" s="14">
        <v>200</v>
      </c>
      <c r="S7237" s="19">
        <v>37600</v>
      </c>
      <c r="T7237" s="17">
        <v>1</v>
      </c>
      <c r="U7237" s="17"/>
      <c r="V7237" s="17" t="s">
        <v>530</v>
      </c>
      <c r="W7237" s="4">
        <v>200</v>
      </c>
      <c r="X7237" s="17"/>
      <c r="Y7237" s="4">
        <v>200</v>
      </c>
      <c r="Z7237" s="17"/>
      <c r="AA7237" s="17"/>
      <c r="AB7237" s="17">
        <v>2</v>
      </c>
      <c r="AC7237" s="14"/>
      <c r="AD7237" s="14"/>
      <c r="AE7237" s="17"/>
      <c r="AF7237" s="14"/>
      <c r="AG7237" s="54"/>
      <c r="AH7237" s="11"/>
      <c r="AI7237" s="14"/>
      <c r="AJ7237" s="19">
        <v>0</v>
      </c>
      <c r="AK7237" s="23">
        <v>2</v>
      </c>
      <c r="AL7237" s="11"/>
      <c r="AM7237" s="19">
        <v>0</v>
      </c>
      <c r="AN7237" s="19">
        <v>37600</v>
      </c>
      <c r="AO7237" s="14"/>
      <c r="AP7237" s="14">
        <v>37600</v>
      </c>
      <c r="AQ7237" s="12"/>
      <c r="AS7237" s="26"/>
    </row>
    <row r="7238" spans="1:45" s="19" customFormat="1" x14ac:dyDescent="0.2">
      <c r="A7238" s="122">
        <f t="shared" si="722"/>
        <v>5952</v>
      </c>
      <c r="B7238" s="13">
        <v>7</v>
      </c>
      <c r="C7238" s="17" t="s">
        <v>52</v>
      </c>
      <c r="D7238" s="17">
        <v>32441</v>
      </c>
      <c r="E7238" s="17">
        <v>284</v>
      </c>
      <c r="F7238" s="17">
        <v>6416</v>
      </c>
      <c r="G7238" s="13">
        <v>1</v>
      </c>
      <c r="H7238" s="17">
        <v>0</v>
      </c>
      <c r="I7238" s="17">
        <v>3</v>
      </c>
      <c r="J7238" s="17">
        <v>32</v>
      </c>
      <c r="K7238" s="10">
        <v>282</v>
      </c>
      <c r="L7238" s="17">
        <v>50</v>
      </c>
      <c r="M7238" s="15"/>
      <c r="N7238" s="18"/>
      <c r="O7238" s="14"/>
      <c r="P7238" s="17">
        <v>5</v>
      </c>
      <c r="Q7238" s="19">
        <v>332</v>
      </c>
      <c r="R7238" s="14">
        <v>3000</v>
      </c>
      <c r="S7238" s="19">
        <v>996000</v>
      </c>
      <c r="T7238" s="17"/>
      <c r="U7238" s="17"/>
      <c r="V7238" s="17"/>
      <c r="W7238" s="4"/>
      <c r="X7238" s="17"/>
      <c r="Y7238" s="4"/>
      <c r="Z7238" s="17"/>
      <c r="AA7238" s="17"/>
      <c r="AB7238" s="17"/>
      <c r="AC7238" s="14"/>
      <c r="AD7238" s="14"/>
      <c r="AE7238" s="17"/>
      <c r="AF7238" s="14"/>
      <c r="AG7238" s="54"/>
      <c r="AH7238" s="11"/>
      <c r="AI7238" s="14"/>
      <c r="AJ7238" s="19">
        <v>0</v>
      </c>
      <c r="AK7238" s="23">
        <v>0</v>
      </c>
      <c r="AL7238" s="11"/>
      <c r="AM7238" s="19">
        <v>0</v>
      </c>
      <c r="AN7238" s="19">
        <v>996000</v>
      </c>
      <c r="AO7238" s="14"/>
      <c r="AP7238" s="14">
        <v>996000</v>
      </c>
      <c r="AQ7238" s="12"/>
      <c r="AS7238" s="26"/>
    </row>
    <row r="7239" spans="1:45" s="19" customFormat="1" ht="63" x14ac:dyDescent="0.2">
      <c r="A7239" s="122">
        <f t="shared" si="722"/>
        <v>5953</v>
      </c>
      <c r="B7239" s="13">
        <v>1</v>
      </c>
      <c r="C7239" s="17" t="s">
        <v>52</v>
      </c>
      <c r="D7239" s="17">
        <v>34305</v>
      </c>
      <c r="E7239" s="17">
        <v>266</v>
      </c>
      <c r="F7239" s="17">
        <v>6854</v>
      </c>
      <c r="G7239" s="13">
        <v>2</v>
      </c>
      <c r="H7239" s="17">
        <v>0</v>
      </c>
      <c r="I7239" s="17">
        <v>0</v>
      </c>
      <c r="J7239" s="17">
        <v>33</v>
      </c>
      <c r="K7239" s="10"/>
      <c r="L7239" s="17" t="s">
        <v>629</v>
      </c>
      <c r="M7239" s="15"/>
      <c r="N7239" s="18"/>
      <c r="O7239" s="14"/>
      <c r="P7239" s="17">
        <v>2</v>
      </c>
      <c r="Q7239" s="19">
        <v>33</v>
      </c>
      <c r="R7239" s="14">
        <v>4500</v>
      </c>
      <c r="S7239" s="19">
        <v>148500</v>
      </c>
      <c r="T7239" s="17"/>
      <c r="U7239" s="17" t="s">
        <v>63</v>
      </c>
      <c r="V7239" s="17" t="s">
        <v>56</v>
      </c>
      <c r="W7239" s="4">
        <v>160</v>
      </c>
      <c r="X7239" s="17"/>
      <c r="Y7239" s="4">
        <v>160</v>
      </c>
      <c r="Z7239" s="17"/>
      <c r="AA7239" s="17"/>
      <c r="AB7239" s="17">
        <v>6</v>
      </c>
      <c r="AC7239" s="14"/>
      <c r="AD7239" s="14"/>
      <c r="AE7239" s="17"/>
      <c r="AF7239" s="14">
        <v>2</v>
      </c>
      <c r="AG7239" s="54">
        <v>160</v>
      </c>
      <c r="AH7239" s="11">
        <v>1</v>
      </c>
      <c r="AI7239" s="14">
        <v>8100</v>
      </c>
      <c r="AJ7239" s="19">
        <v>1296000</v>
      </c>
      <c r="AK7239" s="23">
        <v>6</v>
      </c>
      <c r="AL7239" s="11">
        <v>0.06</v>
      </c>
      <c r="AM7239" s="19">
        <v>1218240</v>
      </c>
      <c r="AN7239" s="19">
        <v>1366740</v>
      </c>
      <c r="AO7239" s="14"/>
      <c r="AP7239" s="14">
        <v>1366740</v>
      </c>
      <c r="AQ7239" s="12">
        <v>2.0000000000000001E-4</v>
      </c>
      <c r="AS7239" s="26"/>
    </row>
    <row r="7240" spans="1:45" s="19" customFormat="1" x14ac:dyDescent="0.2">
      <c r="A7240" s="122">
        <f>+A7239+1</f>
        <v>5954</v>
      </c>
      <c r="B7240" s="13">
        <v>1</v>
      </c>
      <c r="C7240" s="17" t="s">
        <v>52</v>
      </c>
      <c r="D7240" s="17">
        <v>2508</v>
      </c>
      <c r="E7240" s="17">
        <v>65</v>
      </c>
      <c r="F7240" s="17">
        <v>1514</v>
      </c>
      <c r="G7240" s="13">
        <v>2</v>
      </c>
      <c r="H7240" s="17">
        <v>0</v>
      </c>
      <c r="I7240" s="17">
        <v>0</v>
      </c>
      <c r="J7240" s="17">
        <v>20</v>
      </c>
      <c r="K7240" s="10"/>
      <c r="L7240" s="17" t="s">
        <v>227</v>
      </c>
      <c r="M7240" s="15"/>
      <c r="N7240" s="18"/>
      <c r="O7240" s="14"/>
      <c r="P7240" s="17">
        <v>2</v>
      </c>
      <c r="Q7240" s="19">
        <v>20</v>
      </c>
      <c r="R7240" s="14">
        <v>2925</v>
      </c>
      <c r="S7240" s="19">
        <v>58500</v>
      </c>
      <c r="T7240" s="17"/>
      <c r="U7240" s="17"/>
      <c r="V7240" s="17"/>
      <c r="W7240" s="4"/>
      <c r="X7240" s="17"/>
      <c r="Y7240" s="4"/>
      <c r="Z7240" s="17"/>
      <c r="AA7240" s="17"/>
      <c r="AB7240" s="17"/>
      <c r="AC7240" s="14"/>
      <c r="AD7240" s="14"/>
      <c r="AE7240" s="17" t="s">
        <v>750</v>
      </c>
      <c r="AF7240" s="14"/>
      <c r="AG7240" s="54"/>
      <c r="AH7240" s="11"/>
      <c r="AI7240" s="14"/>
      <c r="AJ7240" s="19">
        <v>0</v>
      </c>
      <c r="AK7240" s="23">
        <v>0</v>
      </c>
      <c r="AL7240" s="11"/>
      <c r="AM7240" s="19">
        <v>0</v>
      </c>
      <c r="AN7240" s="19">
        <v>58500</v>
      </c>
      <c r="AO7240" s="14"/>
      <c r="AP7240" s="14">
        <v>58500</v>
      </c>
      <c r="AQ7240" s="12"/>
      <c r="AS7240" s="26"/>
    </row>
    <row r="7241" spans="1:45" s="19" customFormat="1" ht="63" x14ac:dyDescent="0.2">
      <c r="A7241" s="2"/>
      <c r="B7241" s="13"/>
      <c r="C7241" s="17"/>
      <c r="D7241" s="17"/>
      <c r="E7241" s="17"/>
      <c r="F7241" s="17"/>
      <c r="G7241" s="13"/>
      <c r="H7241" s="17"/>
      <c r="I7241" s="17"/>
      <c r="J7241" s="17"/>
      <c r="K7241" s="10"/>
      <c r="L7241" s="17"/>
      <c r="M7241" s="15"/>
      <c r="N7241" s="18"/>
      <c r="O7241" s="14"/>
      <c r="P7241" s="17"/>
      <c r="R7241" s="14"/>
      <c r="T7241" s="17"/>
      <c r="U7241" s="17" t="s">
        <v>63</v>
      </c>
      <c r="V7241" s="17" t="s">
        <v>56</v>
      </c>
      <c r="W7241" s="4" t="s">
        <v>550</v>
      </c>
      <c r="X7241" s="17"/>
      <c r="Y7241" s="4" t="s">
        <v>336</v>
      </c>
      <c r="Z7241" s="17"/>
      <c r="AA7241" s="17"/>
      <c r="AB7241" s="17" t="s">
        <v>272</v>
      </c>
      <c r="AC7241" s="14"/>
      <c r="AD7241" s="14"/>
      <c r="AE7241" s="17"/>
      <c r="AF7241" s="14">
        <v>2</v>
      </c>
      <c r="AG7241" s="54">
        <v>72</v>
      </c>
      <c r="AH7241" s="11">
        <v>0.35</v>
      </c>
      <c r="AI7241" s="14">
        <v>8100</v>
      </c>
      <c r="AJ7241" s="19">
        <v>204120</v>
      </c>
      <c r="AK7241" s="23">
        <v>15</v>
      </c>
      <c r="AL7241" s="11">
        <v>0.2</v>
      </c>
      <c r="AM7241" s="19">
        <v>163296</v>
      </c>
      <c r="AN7241" s="19">
        <v>183771</v>
      </c>
      <c r="AO7241" s="14">
        <v>50</v>
      </c>
      <c r="AP7241" s="14">
        <v>183771</v>
      </c>
      <c r="AQ7241" s="12"/>
      <c r="AS7241" s="26"/>
    </row>
    <row r="7242" spans="1:45" s="19" customFormat="1" x14ac:dyDescent="0.2">
      <c r="A7242" s="2"/>
      <c r="B7242" s="13"/>
      <c r="C7242" s="17"/>
      <c r="D7242" s="17"/>
      <c r="E7242" s="17"/>
      <c r="F7242" s="17"/>
      <c r="G7242" s="13"/>
      <c r="H7242" s="17"/>
      <c r="I7242" s="17"/>
      <c r="J7242" s="17"/>
      <c r="K7242" s="10"/>
      <c r="L7242" s="17"/>
      <c r="M7242" s="15"/>
      <c r="N7242" s="18"/>
      <c r="O7242" s="14"/>
      <c r="P7242" s="17"/>
      <c r="R7242" s="14"/>
      <c r="T7242" s="17"/>
      <c r="U7242" s="17"/>
      <c r="V7242" s="17"/>
      <c r="W7242" s="4"/>
      <c r="X7242" s="17"/>
      <c r="Y7242" s="4"/>
      <c r="Z7242" s="17" t="s">
        <v>587</v>
      </c>
      <c r="AA7242" s="17"/>
      <c r="AB7242" s="17"/>
      <c r="AC7242" s="14"/>
      <c r="AD7242" s="14"/>
      <c r="AE7242" s="17"/>
      <c r="AF7242" s="14">
        <v>3</v>
      </c>
      <c r="AG7242" s="54">
        <v>72</v>
      </c>
      <c r="AH7242" s="11">
        <v>0.65</v>
      </c>
      <c r="AI7242" s="14">
        <v>8100</v>
      </c>
      <c r="AJ7242" s="19">
        <v>379080.00000000006</v>
      </c>
      <c r="AK7242" s="23">
        <v>15</v>
      </c>
      <c r="AL7242" s="11">
        <v>0.2</v>
      </c>
      <c r="AM7242" s="19">
        <v>303264.00000000006</v>
      </c>
      <c r="AN7242" s="19">
        <v>341289.00000000006</v>
      </c>
      <c r="AO7242" s="14"/>
      <c r="AP7242" s="14">
        <v>341289.00000000006</v>
      </c>
      <c r="AQ7242" s="12">
        <v>3.0000000000000001E-3</v>
      </c>
      <c r="AS7242" s="26"/>
    </row>
    <row r="7243" spans="1:45" s="19" customFormat="1" x14ac:dyDescent="0.2">
      <c r="A7243" s="2">
        <v>5955</v>
      </c>
      <c r="B7243" s="13">
        <v>2</v>
      </c>
      <c r="C7243" s="17" t="s">
        <v>65</v>
      </c>
      <c r="D7243" s="17">
        <v>582</v>
      </c>
      <c r="E7243" s="17">
        <v>193</v>
      </c>
      <c r="F7243" s="17"/>
      <c r="G7243" s="13"/>
      <c r="H7243" s="17">
        <v>0</v>
      </c>
      <c r="I7243" s="17">
        <v>0</v>
      </c>
      <c r="J7243" s="17">
        <v>70</v>
      </c>
      <c r="K7243" s="10" t="s">
        <v>483</v>
      </c>
      <c r="L7243" s="17"/>
      <c r="M7243" s="15"/>
      <c r="N7243" s="18"/>
      <c r="O7243" s="14"/>
      <c r="P7243" s="17">
        <v>1</v>
      </c>
      <c r="Q7243" s="19">
        <v>70</v>
      </c>
      <c r="R7243" s="14">
        <v>4500</v>
      </c>
      <c r="S7243" s="19">
        <v>315000</v>
      </c>
      <c r="T7243" s="17"/>
      <c r="U7243" s="17"/>
      <c r="V7243" s="17"/>
      <c r="W7243" s="4"/>
      <c r="X7243" s="17"/>
      <c r="Y7243" s="4"/>
      <c r="Z7243" s="17"/>
      <c r="AA7243" s="17"/>
      <c r="AB7243" s="17"/>
      <c r="AC7243" s="14"/>
      <c r="AD7243" s="14"/>
      <c r="AE7243" s="17"/>
      <c r="AF7243" s="14"/>
      <c r="AG7243" s="54"/>
      <c r="AH7243" s="11"/>
      <c r="AI7243" s="14"/>
      <c r="AJ7243" s="19">
        <v>0</v>
      </c>
      <c r="AK7243" s="23">
        <v>0</v>
      </c>
      <c r="AL7243" s="11"/>
      <c r="AM7243" s="19">
        <v>0</v>
      </c>
      <c r="AN7243" s="19">
        <v>315000</v>
      </c>
      <c r="AO7243" s="14"/>
      <c r="AP7243" s="14">
        <v>315000</v>
      </c>
      <c r="AQ7243" s="12">
        <v>1E-4</v>
      </c>
      <c r="AS7243" s="26"/>
    </row>
    <row r="7244" spans="1:45" s="19" customFormat="1" x14ac:dyDescent="0.2">
      <c r="A7244" s="2">
        <f>+A7243+1</f>
        <v>5956</v>
      </c>
      <c r="B7244" s="13">
        <v>3</v>
      </c>
      <c r="C7244" s="17" t="s">
        <v>65</v>
      </c>
      <c r="D7244" s="17">
        <v>3081</v>
      </c>
      <c r="E7244" s="17">
        <v>359</v>
      </c>
      <c r="F7244" s="17"/>
      <c r="G7244" s="13"/>
      <c r="H7244" s="17">
        <v>0</v>
      </c>
      <c r="I7244" s="17">
        <v>0</v>
      </c>
      <c r="J7244" s="17">
        <v>35</v>
      </c>
      <c r="K7244" s="10">
        <v>35</v>
      </c>
      <c r="L7244" s="17"/>
      <c r="M7244" s="15"/>
      <c r="N7244" s="18"/>
      <c r="O7244" s="14"/>
      <c r="P7244" s="17">
        <v>1</v>
      </c>
      <c r="Q7244" s="19">
        <v>35</v>
      </c>
      <c r="R7244" s="14">
        <v>4500</v>
      </c>
      <c r="S7244" s="19">
        <v>157500</v>
      </c>
      <c r="T7244" s="17"/>
      <c r="U7244" s="17"/>
      <c r="V7244" s="17"/>
      <c r="W7244" s="4"/>
      <c r="X7244" s="17"/>
      <c r="Y7244" s="4"/>
      <c r="Z7244" s="17"/>
      <c r="AA7244" s="17"/>
      <c r="AB7244" s="17"/>
      <c r="AC7244" s="14"/>
      <c r="AD7244" s="14"/>
      <c r="AE7244" s="17"/>
      <c r="AF7244" s="14"/>
      <c r="AG7244" s="54"/>
      <c r="AH7244" s="11"/>
      <c r="AI7244" s="14"/>
      <c r="AJ7244" s="19">
        <v>0</v>
      </c>
      <c r="AK7244" s="23">
        <v>0</v>
      </c>
      <c r="AL7244" s="11"/>
      <c r="AM7244" s="19">
        <v>0</v>
      </c>
      <c r="AN7244" s="19">
        <v>157500</v>
      </c>
      <c r="AO7244" s="14"/>
      <c r="AP7244" s="14">
        <v>157500</v>
      </c>
      <c r="AQ7244" s="12">
        <v>1E-4</v>
      </c>
      <c r="AS7244" s="26"/>
    </row>
    <row r="7245" spans="1:45" s="19" customFormat="1" x14ac:dyDescent="0.2">
      <c r="A7245" s="122">
        <f t="shared" ref="A7245:A7249" si="723">+A7244+1</f>
        <v>5957</v>
      </c>
      <c r="B7245" s="13">
        <v>4</v>
      </c>
      <c r="C7245" s="17" t="s">
        <v>65</v>
      </c>
      <c r="D7245" s="17">
        <v>3082</v>
      </c>
      <c r="E7245" s="17">
        <v>360</v>
      </c>
      <c r="F7245" s="17"/>
      <c r="G7245" s="13"/>
      <c r="H7245" s="17">
        <v>0</v>
      </c>
      <c r="I7245" s="17">
        <v>0</v>
      </c>
      <c r="J7245" s="17">
        <v>33</v>
      </c>
      <c r="K7245" s="10">
        <v>33</v>
      </c>
      <c r="L7245" s="17"/>
      <c r="M7245" s="15"/>
      <c r="N7245" s="18"/>
      <c r="O7245" s="14"/>
      <c r="P7245" s="17">
        <v>1</v>
      </c>
      <c r="Q7245" s="19">
        <v>33</v>
      </c>
      <c r="R7245" s="14">
        <v>4500</v>
      </c>
      <c r="S7245" s="19">
        <v>148500</v>
      </c>
      <c r="T7245" s="17"/>
      <c r="U7245" s="17"/>
      <c r="V7245" s="17"/>
      <c r="W7245" s="4"/>
      <c r="X7245" s="17"/>
      <c r="Y7245" s="4"/>
      <c r="Z7245" s="17"/>
      <c r="AA7245" s="17"/>
      <c r="AB7245" s="17"/>
      <c r="AC7245" s="14"/>
      <c r="AD7245" s="14"/>
      <c r="AE7245" s="17"/>
      <c r="AF7245" s="14"/>
      <c r="AG7245" s="54"/>
      <c r="AH7245" s="11"/>
      <c r="AI7245" s="14"/>
      <c r="AJ7245" s="19">
        <v>0</v>
      </c>
      <c r="AK7245" s="23">
        <v>0</v>
      </c>
      <c r="AL7245" s="11"/>
      <c r="AM7245" s="19">
        <v>0</v>
      </c>
      <c r="AN7245" s="19">
        <v>148500</v>
      </c>
      <c r="AO7245" s="14"/>
      <c r="AP7245" s="14">
        <v>148500</v>
      </c>
      <c r="AQ7245" s="12">
        <v>1E-4</v>
      </c>
      <c r="AS7245" s="26"/>
    </row>
    <row r="7246" spans="1:45" s="19" customFormat="1" x14ac:dyDescent="0.2">
      <c r="A7246" s="122">
        <f t="shared" si="723"/>
        <v>5958</v>
      </c>
      <c r="B7246" s="13">
        <v>5</v>
      </c>
      <c r="C7246" s="17" t="s">
        <v>65</v>
      </c>
      <c r="D7246" s="17">
        <v>3083</v>
      </c>
      <c r="E7246" s="17">
        <v>361</v>
      </c>
      <c r="F7246" s="17"/>
      <c r="G7246" s="13"/>
      <c r="H7246" s="17">
        <v>0</v>
      </c>
      <c r="I7246" s="17">
        <v>0</v>
      </c>
      <c r="J7246" s="17">
        <v>25</v>
      </c>
      <c r="K7246" s="10">
        <v>25</v>
      </c>
      <c r="L7246" s="17"/>
      <c r="M7246" s="15"/>
      <c r="N7246" s="18"/>
      <c r="O7246" s="14"/>
      <c r="P7246" s="17">
        <v>1</v>
      </c>
      <c r="Q7246" s="19">
        <v>25</v>
      </c>
      <c r="R7246" s="14">
        <v>4500</v>
      </c>
      <c r="S7246" s="19">
        <v>112500</v>
      </c>
      <c r="T7246" s="17"/>
      <c r="U7246" s="17"/>
      <c r="V7246" s="17"/>
      <c r="W7246" s="4"/>
      <c r="X7246" s="17"/>
      <c r="Y7246" s="4"/>
      <c r="Z7246" s="17"/>
      <c r="AA7246" s="17"/>
      <c r="AB7246" s="17"/>
      <c r="AC7246" s="14"/>
      <c r="AD7246" s="14"/>
      <c r="AE7246" s="17"/>
      <c r="AF7246" s="14"/>
      <c r="AG7246" s="54"/>
      <c r="AH7246" s="11"/>
      <c r="AI7246" s="14"/>
      <c r="AJ7246" s="19">
        <v>0</v>
      </c>
      <c r="AK7246" s="23">
        <v>0</v>
      </c>
      <c r="AL7246" s="11"/>
      <c r="AM7246" s="19">
        <v>0</v>
      </c>
      <c r="AN7246" s="19">
        <v>112500</v>
      </c>
      <c r="AO7246" s="14"/>
      <c r="AP7246" s="14">
        <v>112500</v>
      </c>
      <c r="AQ7246" s="12">
        <v>1E-4</v>
      </c>
      <c r="AS7246" s="26"/>
    </row>
    <row r="7247" spans="1:45" s="19" customFormat="1" x14ac:dyDescent="0.2">
      <c r="A7247" s="122">
        <f t="shared" si="723"/>
        <v>5959</v>
      </c>
      <c r="B7247" s="13">
        <v>1</v>
      </c>
      <c r="C7247" s="17" t="s">
        <v>52</v>
      </c>
      <c r="D7247" s="17">
        <v>12640</v>
      </c>
      <c r="E7247" s="17">
        <v>517</v>
      </c>
      <c r="F7247" s="17">
        <v>3272</v>
      </c>
      <c r="G7247" s="13">
        <v>2</v>
      </c>
      <c r="H7247" s="17">
        <v>0</v>
      </c>
      <c r="I7247" s="17">
        <v>0</v>
      </c>
      <c r="J7247" s="17">
        <v>59.01</v>
      </c>
      <c r="K7247" s="10"/>
      <c r="L7247" s="17"/>
      <c r="M7247" s="15"/>
      <c r="N7247" s="18">
        <v>59.01</v>
      </c>
      <c r="O7247" s="14"/>
      <c r="P7247" s="17">
        <v>4</v>
      </c>
      <c r="Q7247" s="19">
        <v>59.01</v>
      </c>
      <c r="R7247" s="14">
        <v>250</v>
      </c>
      <c r="S7247" s="19">
        <v>14752.5</v>
      </c>
      <c r="T7247" s="17"/>
      <c r="U7247" s="17"/>
      <c r="V7247" s="17"/>
      <c r="W7247" s="4"/>
      <c r="X7247" s="17"/>
      <c r="Y7247" s="4"/>
      <c r="Z7247" s="17"/>
      <c r="AA7247" s="17"/>
      <c r="AB7247" s="17"/>
      <c r="AC7247" s="14"/>
      <c r="AD7247" s="14"/>
      <c r="AE7247" s="17"/>
      <c r="AF7247" s="14"/>
      <c r="AG7247" s="54"/>
      <c r="AH7247" s="11"/>
      <c r="AI7247" s="14"/>
      <c r="AJ7247" s="19">
        <v>0</v>
      </c>
      <c r="AK7247" s="23">
        <v>0</v>
      </c>
      <c r="AL7247" s="11"/>
      <c r="AM7247" s="19">
        <v>0</v>
      </c>
      <c r="AN7247" s="19">
        <v>14752.5</v>
      </c>
      <c r="AO7247" s="14"/>
      <c r="AP7247" s="14">
        <v>14752.5</v>
      </c>
      <c r="AQ7247" s="12">
        <v>3.0000000000000001E-3</v>
      </c>
      <c r="AS7247" s="26"/>
    </row>
    <row r="7248" spans="1:45" s="19" customFormat="1" x14ac:dyDescent="0.2">
      <c r="A7248" s="122">
        <f t="shared" si="723"/>
        <v>5960</v>
      </c>
      <c r="B7248" s="13">
        <v>1</v>
      </c>
      <c r="C7248" s="17" t="s">
        <v>52</v>
      </c>
      <c r="D7248" s="17">
        <v>1232</v>
      </c>
      <c r="E7248" s="17">
        <v>25</v>
      </c>
      <c r="F7248" s="17">
        <v>257</v>
      </c>
      <c r="G7248" s="13">
        <v>6</v>
      </c>
      <c r="H7248" s="17">
        <v>2</v>
      </c>
      <c r="I7248" s="17">
        <v>1</v>
      </c>
      <c r="J7248" s="17">
        <v>92</v>
      </c>
      <c r="K7248" s="10">
        <v>992</v>
      </c>
      <c r="L7248" s="17"/>
      <c r="M7248" s="15"/>
      <c r="N7248" s="18"/>
      <c r="O7248" s="14"/>
      <c r="P7248" s="17">
        <v>1</v>
      </c>
      <c r="Q7248" s="19">
        <v>992</v>
      </c>
      <c r="R7248" s="14">
        <v>1500</v>
      </c>
      <c r="S7248" s="19">
        <v>1488000</v>
      </c>
      <c r="T7248" s="17"/>
      <c r="U7248" s="17"/>
      <c r="V7248" s="17"/>
      <c r="W7248" s="4"/>
      <c r="X7248" s="17"/>
      <c r="Y7248" s="4"/>
      <c r="Z7248" s="17"/>
      <c r="AA7248" s="17"/>
      <c r="AB7248" s="17"/>
      <c r="AC7248" s="14"/>
      <c r="AD7248" s="14"/>
      <c r="AE7248" s="17"/>
      <c r="AF7248" s="14"/>
      <c r="AG7248" s="54"/>
      <c r="AH7248" s="11"/>
      <c r="AI7248" s="14"/>
      <c r="AJ7248" s="19">
        <v>0</v>
      </c>
      <c r="AK7248" s="23">
        <v>0</v>
      </c>
      <c r="AL7248" s="11"/>
      <c r="AM7248" s="19">
        <v>0</v>
      </c>
      <c r="AN7248" s="19">
        <v>1488000</v>
      </c>
      <c r="AO7248" s="14"/>
      <c r="AP7248" s="14">
        <v>1488000</v>
      </c>
      <c r="AQ7248" s="12"/>
      <c r="AS7248" s="26"/>
    </row>
    <row r="7249" spans="1:45" x14ac:dyDescent="0.2">
      <c r="A7249" s="122">
        <f t="shared" si="723"/>
        <v>5961</v>
      </c>
      <c r="B7249" s="13">
        <v>2</v>
      </c>
      <c r="C7249" s="17" t="s">
        <v>52</v>
      </c>
      <c r="D7249" s="17">
        <v>1233</v>
      </c>
      <c r="E7249" s="17">
        <v>24</v>
      </c>
      <c r="F7249" s="17">
        <v>258</v>
      </c>
      <c r="G7249" s="13">
        <v>6</v>
      </c>
      <c r="H7249" s="17">
        <v>0</v>
      </c>
      <c r="I7249" s="17">
        <v>3</v>
      </c>
      <c r="J7249" s="17">
        <v>80</v>
      </c>
      <c r="L7249" s="17">
        <v>380</v>
      </c>
      <c r="P7249" s="17">
        <v>2</v>
      </c>
      <c r="Q7249" s="19">
        <v>380</v>
      </c>
      <c r="R7249" s="14">
        <v>3000</v>
      </c>
      <c r="S7249" s="19">
        <v>1140000</v>
      </c>
      <c r="AJ7249" s="19">
        <v>0</v>
      </c>
      <c r="AK7249" s="23">
        <v>0</v>
      </c>
      <c r="AM7249" s="19">
        <v>0</v>
      </c>
      <c r="AN7249" s="19">
        <v>1140000</v>
      </c>
      <c r="AP7249" s="14">
        <v>1140000</v>
      </c>
    </row>
    <row r="7250" spans="1:45" x14ac:dyDescent="0.2">
      <c r="B7250" s="13">
        <v>1</v>
      </c>
      <c r="C7250" s="17" t="s">
        <v>97</v>
      </c>
      <c r="D7250" s="17">
        <v>481</v>
      </c>
      <c r="G7250" s="13">
        <v>2</v>
      </c>
      <c r="H7250" s="17">
        <v>0</v>
      </c>
      <c r="I7250" s="17">
        <v>0</v>
      </c>
      <c r="J7250" s="17">
        <v>37</v>
      </c>
      <c r="K7250" s="10">
        <v>37</v>
      </c>
      <c r="P7250" s="17">
        <v>1</v>
      </c>
      <c r="Q7250" s="19">
        <v>37</v>
      </c>
      <c r="S7250" s="19">
        <v>0</v>
      </c>
      <c r="AJ7250" s="19">
        <v>0</v>
      </c>
      <c r="AK7250" s="23">
        <v>0</v>
      </c>
      <c r="AM7250" s="19">
        <v>0</v>
      </c>
      <c r="AN7250" s="19">
        <v>0</v>
      </c>
      <c r="AP7250" s="14">
        <v>0</v>
      </c>
      <c r="AQ7250" s="12">
        <v>1E-4</v>
      </c>
    </row>
    <row r="7251" spans="1:45" x14ac:dyDescent="0.2">
      <c r="A7251" s="2">
        <v>5962</v>
      </c>
      <c r="B7251" s="13">
        <v>1</v>
      </c>
      <c r="C7251" s="17" t="s">
        <v>65</v>
      </c>
      <c r="D7251" s="17">
        <v>3348</v>
      </c>
      <c r="E7251" s="17">
        <v>13</v>
      </c>
      <c r="H7251" s="17">
        <v>0</v>
      </c>
      <c r="I7251" s="17">
        <v>1</v>
      </c>
      <c r="J7251" s="17">
        <v>20</v>
      </c>
      <c r="N7251" s="18">
        <v>120</v>
      </c>
      <c r="P7251" s="17">
        <v>4</v>
      </c>
      <c r="Q7251" s="19">
        <v>120</v>
      </c>
      <c r="R7251" s="14">
        <v>4500</v>
      </c>
      <c r="S7251" s="19">
        <v>540000</v>
      </c>
      <c r="AJ7251" s="19">
        <v>0</v>
      </c>
      <c r="AK7251" s="23">
        <v>0</v>
      </c>
      <c r="AM7251" s="19">
        <v>0</v>
      </c>
      <c r="AN7251" s="19">
        <v>540000</v>
      </c>
      <c r="AP7251" s="14">
        <v>540000</v>
      </c>
      <c r="AQ7251" s="12">
        <v>3.0000000000000001E-3</v>
      </c>
      <c r="AS7251" s="26">
        <v>47</v>
      </c>
    </row>
    <row r="7252" spans="1:45" ht="42" x14ac:dyDescent="0.2">
      <c r="A7252" s="2">
        <f>+A7251+1</f>
        <v>5963</v>
      </c>
      <c r="B7252" s="13">
        <v>1</v>
      </c>
      <c r="C7252" s="17" t="s">
        <v>52</v>
      </c>
      <c r="D7252" s="17">
        <v>2178</v>
      </c>
      <c r="E7252" s="17">
        <v>92</v>
      </c>
      <c r="F7252" s="17">
        <v>1781</v>
      </c>
      <c r="G7252" s="13">
        <v>3</v>
      </c>
      <c r="H7252" s="17">
        <v>0</v>
      </c>
      <c r="I7252" s="17">
        <v>1</v>
      </c>
      <c r="J7252" s="17">
        <v>21</v>
      </c>
      <c r="L7252" s="17" t="s">
        <v>751</v>
      </c>
      <c r="P7252" s="17">
        <v>2</v>
      </c>
      <c r="Q7252" s="19">
        <v>121</v>
      </c>
      <c r="R7252" s="14">
        <v>1500</v>
      </c>
      <c r="S7252" s="19">
        <v>181500</v>
      </c>
      <c r="T7252" s="17">
        <v>1</v>
      </c>
      <c r="V7252" s="17" t="s">
        <v>183</v>
      </c>
      <c r="W7252" s="4">
        <v>210</v>
      </c>
      <c r="Y7252" s="4">
        <v>210</v>
      </c>
      <c r="AB7252" s="17">
        <v>27</v>
      </c>
      <c r="AJ7252" s="19">
        <v>0</v>
      </c>
      <c r="AK7252" s="23">
        <v>27</v>
      </c>
      <c r="AM7252" s="19">
        <v>0</v>
      </c>
      <c r="AN7252" s="19">
        <v>181500</v>
      </c>
      <c r="AP7252" s="14">
        <v>181500</v>
      </c>
    </row>
    <row r="7253" spans="1:45" x14ac:dyDescent="0.2">
      <c r="A7253" s="122">
        <f t="shared" ref="A7253:A7255" si="724">+A7252+1</f>
        <v>5964</v>
      </c>
      <c r="B7253" s="13">
        <v>1</v>
      </c>
      <c r="C7253" s="17" t="s">
        <v>69</v>
      </c>
      <c r="E7253" s="17">
        <v>1512</v>
      </c>
      <c r="F7253" s="17">
        <v>5</v>
      </c>
      <c r="G7253" s="13">
        <v>6</v>
      </c>
      <c r="H7253" s="17">
        <v>10</v>
      </c>
      <c r="I7253" s="17">
        <v>0</v>
      </c>
      <c r="J7253" s="17">
        <v>63</v>
      </c>
      <c r="K7253" s="10">
        <v>4063</v>
      </c>
      <c r="P7253" s="17">
        <v>1</v>
      </c>
      <c r="Q7253" s="19">
        <v>4063</v>
      </c>
      <c r="R7253" s="14">
        <v>160</v>
      </c>
      <c r="S7253" s="19">
        <v>650080</v>
      </c>
      <c r="AJ7253" s="19">
        <v>0</v>
      </c>
      <c r="AK7253" s="23">
        <v>0</v>
      </c>
      <c r="AM7253" s="19">
        <v>0</v>
      </c>
      <c r="AN7253" s="19">
        <v>650080</v>
      </c>
      <c r="AP7253" s="14">
        <v>650080</v>
      </c>
    </row>
    <row r="7254" spans="1:45" ht="63" x14ac:dyDescent="0.2">
      <c r="A7254" s="122">
        <f t="shared" si="724"/>
        <v>5965</v>
      </c>
      <c r="B7254" s="13">
        <v>1</v>
      </c>
      <c r="C7254" s="17" t="s">
        <v>52</v>
      </c>
      <c r="D7254" s="17">
        <v>1762</v>
      </c>
      <c r="E7254" s="17">
        <v>19</v>
      </c>
      <c r="F7254" s="17">
        <v>770</v>
      </c>
      <c r="G7254" s="13">
        <v>6</v>
      </c>
      <c r="H7254" s="17">
        <v>0</v>
      </c>
      <c r="I7254" s="17">
        <v>2</v>
      </c>
      <c r="J7254" s="17">
        <v>11</v>
      </c>
      <c r="L7254" s="17" t="s">
        <v>752</v>
      </c>
      <c r="P7254" s="17">
        <v>2</v>
      </c>
      <c r="Q7254" s="19">
        <v>211</v>
      </c>
      <c r="R7254" s="14">
        <v>2250</v>
      </c>
      <c r="S7254" s="19">
        <v>474750</v>
      </c>
      <c r="T7254" s="17">
        <v>1</v>
      </c>
      <c r="U7254" s="17" t="s">
        <v>57</v>
      </c>
      <c r="V7254" s="17" t="s">
        <v>56</v>
      </c>
      <c r="W7254" s="4">
        <v>75</v>
      </c>
      <c r="Y7254" s="4" t="s">
        <v>403</v>
      </c>
      <c r="AB7254" s="17" t="s">
        <v>485</v>
      </c>
      <c r="AE7254" s="17" t="s">
        <v>753</v>
      </c>
      <c r="AF7254" s="14">
        <v>2</v>
      </c>
      <c r="AG7254" s="54">
        <v>75</v>
      </c>
      <c r="AH7254" s="11">
        <v>1</v>
      </c>
      <c r="AI7254" s="14">
        <v>7250</v>
      </c>
      <c r="AJ7254" s="19">
        <v>543750</v>
      </c>
      <c r="AK7254" s="23">
        <v>21</v>
      </c>
      <c r="AL7254" s="11">
        <v>0.32</v>
      </c>
      <c r="AM7254" s="19">
        <v>369750</v>
      </c>
      <c r="AN7254" s="19">
        <v>844500</v>
      </c>
      <c r="AP7254" s="14">
        <v>844500</v>
      </c>
      <c r="AQ7254" s="12">
        <v>2.0000000000000001E-4</v>
      </c>
      <c r="AS7254" s="26">
        <v>300</v>
      </c>
    </row>
    <row r="7255" spans="1:45" ht="231" x14ac:dyDescent="0.2">
      <c r="A7255" s="122">
        <f t="shared" si="724"/>
        <v>5966</v>
      </c>
      <c r="B7255" s="13">
        <v>2</v>
      </c>
      <c r="C7255" s="17" t="s">
        <v>52</v>
      </c>
      <c r="D7255" s="17">
        <v>1770</v>
      </c>
      <c r="E7255" s="17">
        <v>10</v>
      </c>
      <c r="F7255" s="17">
        <v>779</v>
      </c>
      <c r="G7255" s="13">
        <v>6</v>
      </c>
      <c r="H7255" s="17">
        <v>0</v>
      </c>
      <c r="I7255" s="17">
        <v>1</v>
      </c>
      <c r="J7255" s="17">
        <v>21</v>
      </c>
      <c r="L7255" s="17">
        <v>69</v>
      </c>
      <c r="N7255" s="18">
        <v>52</v>
      </c>
      <c r="P7255" s="17">
        <v>2</v>
      </c>
      <c r="Q7255" s="19">
        <v>121</v>
      </c>
      <c r="R7255" s="14">
        <v>4500</v>
      </c>
      <c r="S7255" s="19">
        <v>544500</v>
      </c>
      <c r="T7255" s="17">
        <v>1</v>
      </c>
      <c r="U7255" s="17" t="s">
        <v>57</v>
      </c>
      <c r="V7255" s="17" t="s">
        <v>56</v>
      </c>
      <c r="W7255" s="4">
        <v>276</v>
      </c>
      <c r="Y7255" s="4">
        <v>264</v>
      </c>
      <c r="Z7255" s="17" t="s">
        <v>437</v>
      </c>
      <c r="AB7255" s="17">
        <v>21</v>
      </c>
      <c r="AC7255" s="14" t="s">
        <v>486</v>
      </c>
      <c r="AF7255" s="14">
        <v>2</v>
      </c>
      <c r="AG7255" s="54">
        <v>276</v>
      </c>
      <c r="AH7255" s="11">
        <v>0.96</v>
      </c>
      <c r="AI7255" s="14">
        <v>7250</v>
      </c>
      <c r="AJ7255" s="19">
        <v>1920959.9999999998</v>
      </c>
      <c r="AK7255" s="23">
        <v>22</v>
      </c>
      <c r="AL7255" s="11">
        <v>0.34</v>
      </c>
      <c r="AM7255" s="19">
        <v>1267833.5999999996</v>
      </c>
      <c r="AN7255" s="19">
        <v>1812333.5999999996</v>
      </c>
      <c r="AP7255" s="14">
        <v>1812333.5999999996</v>
      </c>
      <c r="AR7255" s="19">
        <v>300</v>
      </c>
    </row>
    <row r="7256" spans="1:45" x14ac:dyDescent="0.2">
      <c r="T7256" s="17" t="s">
        <v>288</v>
      </c>
      <c r="AF7256" s="14">
        <v>3</v>
      </c>
      <c r="AG7256" s="54">
        <v>276</v>
      </c>
      <c r="AH7256" s="11">
        <v>0.04</v>
      </c>
      <c r="AI7256" s="14">
        <v>7250</v>
      </c>
      <c r="AJ7256" s="19">
        <v>80040</v>
      </c>
      <c r="AK7256" s="23">
        <v>22</v>
      </c>
      <c r="AL7256" s="11">
        <v>0.34</v>
      </c>
      <c r="AM7256" s="19">
        <v>52826.399999999994</v>
      </c>
      <c r="AN7256" s="19">
        <v>74606.399999999994</v>
      </c>
      <c r="AP7256" s="14">
        <v>74606.399999999994</v>
      </c>
      <c r="AQ7256" s="12">
        <v>3.0000000000000001E-3</v>
      </c>
    </row>
    <row r="7257" spans="1:45" x14ac:dyDescent="0.2">
      <c r="A7257" s="2">
        <v>5967</v>
      </c>
      <c r="B7257" s="13">
        <v>1</v>
      </c>
      <c r="C7257" s="17" t="s">
        <v>52</v>
      </c>
      <c r="D7257" s="17">
        <v>2117</v>
      </c>
      <c r="E7257" s="17">
        <v>9</v>
      </c>
      <c r="F7257" s="17">
        <v>1680</v>
      </c>
      <c r="G7257" s="13">
        <v>3</v>
      </c>
      <c r="H7257" s="17">
        <v>0</v>
      </c>
      <c r="I7257" s="17">
        <v>1</v>
      </c>
      <c r="J7257" s="17">
        <v>66</v>
      </c>
      <c r="N7257" s="18">
        <v>166</v>
      </c>
      <c r="P7257" s="17">
        <v>4</v>
      </c>
      <c r="Q7257" s="19">
        <v>166</v>
      </c>
      <c r="R7257" s="14">
        <v>2000</v>
      </c>
      <c r="S7257" s="19">
        <v>332000</v>
      </c>
      <c r="AJ7257" s="19">
        <v>0</v>
      </c>
      <c r="AK7257" s="23">
        <v>0</v>
      </c>
      <c r="AM7257" s="19">
        <v>0</v>
      </c>
      <c r="AN7257" s="19">
        <v>332000</v>
      </c>
      <c r="AP7257" s="14">
        <v>332000</v>
      </c>
      <c r="AQ7257" s="12">
        <v>3.0000000000000001E-3</v>
      </c>
      <c r="AS7257" s="26">
        <v>2</v>
      </c>
    </row>
    <row r="7258" spans="1:45" ht="42" x14ac:dyDescent="0.2">
      <c r="A7258" s="2">
        <f>+A7257+1</f>
        <v>5968</v>
      </c>
      <c r="B7258" s="13">
        <v>1</v>
      </c>
      <c r="C7258" s="17" t="s">
        <v>52</v>
      </c>
      <c r="D7258" s="17">
        <v>31273</v>
      </c>
      <c r="E7258" s="17">
        <v>124</v>
      </c>
      <c r="F7258" s="17">
        <v>5834</v>
      </c>
      <c r="G7258" s="13">
        <v>2</v>
      </c>
      <c r="H7258" s="17">
        <v>0</v>
      </c>
      <c r="I7258" s="17">
        <v>2</v>
      </c>
      <c r="J7258" s="17">
        <v>89</v>
      </c>
      <c r="K7258" s="10">
        <v>283</v>
      </c>
      <c r="L7258" s="17">
        <v>6</v>
      </c>
      <c r="P7258" s="17">
        <v>5</v>
      </c>
      <c r="Q7258" s="19">
        <v>289</v>
      </c>
      <c r="R7258" s="14">
        <v>160</v>
      </c>
      <c r="S7258" s="19">
        <v>46240</v>
      </c>
      <c r="T7258" s="17">
        <v>1</v>
      </c>
      <c r="V7258" s="17" t="s">
        <v>502</v>
      </c>
      <c r="W7258" s="4">
        <v>24</v>
      </c>
      <c r="Y7258" s="4">
        <v>24</v>
      </c>
      <c r="AB7258" s="17">
        <v>21</v>
      </c>
      <c r="AJ7258" s="19">
        <v>0</v>
      </c>
      <c r="AK7258" s="23">
        <v>21</v>
      </c>
      <c r="AM7258" s="19">
        <v>0</v>
      </c>
      <c r="AN7258" s="19">
        <v>46240</v>
      </c>
      <c r="AP7258" s="14">
        <v>46240</v>
      </c>
    </row>
    <row r="7259" spans="1:45" x14ac:dyDescent="0.2">
      <c r="A7259" s="122">
        <f t="shared" ref="A7259:A7280" si="725">+A7258+1</f>
        <v>5969</v>
      </c>
      <c r="B7259" s="13">
        <v>1</v>
      </c>
      <c r="C7259" s="17" t="s">
        <v>52</v>
      </c>
      <c r="D7259" s="17">
        <v>31274</v>
      </c>
      <c r="E7259" s="17">
        <v>125</v>
      </c>
      <c r="F7259" s="17">
        <v>5835</v>
      </c>
      <c r="G7259" s="13">
        <v>2</v>
      </c>
      <c r="H7259" s="17">
        <v>0</v>
      </c>
      <c r="I7259" s="17">
        <v>2</v>
      </c>
      <c r="J7259" s="17">
        <v>88</v>
      </c>
      <c r="K7259" s="10">
        <v>288</v>
      </c>
      <c r="P7259" s="17">
        <v>1</v>
      </c>
      <c r="Q7259" s="19">
        <v>288</v>
      </c>
      <c r="R7259" s="14">
        <v>160</v>
      </c>
      <c r="S7259" s="19">
        <v>46080</v>
      </c>
      <c r="AJ7259" s="19">
        <v>0</v>
      </c>
      <c r="AK7259" s="23">
        <v>0</v>
      </c>
      <c r="AM7259" s="19">
        <v>0</v>
      </c>
      <c r="AN7259" s="19">
        <v>46080</v>
      </c>
      <c r="AP7259" s="14">
        <v>46080</v>
      </c>
    </row>
    <row r="7260" spans="1:45" x14ac:dyDescent="0.2">
      <c r="A7260" s="122">
        <f t="shared" si="725"/>
        <v>5970</v>
      </c>
      <c r="B7260" s="13">
        <v>1</v>
      </c>
      <c r="C7260" s="17" t="s">
        <v>52</v>
      </c>
      <c r="D7260" s="17">
        <v>21265</v>
      </c>
      <c r="E7260" s="17">
        <v>68</v>
      </c>
      <c r="F7260" s="17">
        <v>4670</v>
      </c>
      <c r="G7260" s="13">
        <v>2</v>
      </c>
      <c r="H7260" s="17">
        <v>1</v>
      </c>
      <c r="I7260" s="17">
        <v>2</v>
      </c>
      <c r="J7260" s="17">
        <v>1</v>
      </c>
      <c r="K7260" s="10">
        <v>601</v>
      </c>
      <c r="P7260" s="17">
        <v>1</v>
      </c>
      <c r="Q7260" s="19">
        <v>601</v>
      </c>
      <c r="R7260" s="14">
        <v>160</v>
      </c>
      <c r="S7260" s="19">
        <v>96160</v>
      </c>
      <c r="AJ7260" s="19">
        <v>0</v>
      </c>
      <c r="AK7260" s="23">
        <v>0</v>
      </c>
      <c r="AM7260" s="19">
        <v>0</v>
      </c>
      <c r="AN7260" s="19">
        <v>96160</v>
      </c>
      <c r="AP7260" s="14">
        <v>96160</v>
      </c>
    </row>
    <row r="7261" spans="1:45" x14ac:dyDescent="0.2">
      <c r="A7261" s="122">
        <f t="shared" si="725"/>
        <v>5971</v>
      </c>
      <c r="B7261" s="13">
        <v>2</v>
      </c>
      <c r="C7261" s="17" t="s">
        <v>52</v>
      </c>
      <c r="D7261" s="17">
        <v>31271</v>
      </c>
      <c r="E7261" s="17">
        <v>122</v>
      </c>
      <c r="F7261" s="17">
        <v>5832</v>
      </c>
      <c r="G7261" s="13">
        <v>2</v>
      </c>
      <c r="H7261" s="17">
        <v>2</v>
      </c>
      <c r="I7261" s="17">
        <v>0</v>
      </c>
      <c r="J7261" s="17">
        <v>2</v>
      </c>
      <c r="K7261" s="10">
        <v>802</v>
      </c>
      <c r="P7261" s="17">
        <v>1</v>
      </c>
      <c r="Q7261" s="19">
        <v>802</v>
      </c>
      <c r="R7261" s="14">
        <v>250</v>
      </c>
      <c r="S7261" s="19">
        <v>200500</v>
      </c>
      <c r="AJ7261" s="19">
        <v>0</v>
      </c>
      <c r="AK7261" s="23">
        <v>0</v>
      </c>
      <c r="AM7261" s="19">
        <v>0</v>
      </c>
      <c r="AN7261" s="19">
        <v>200500</v>
      </c>
      <c r="AP7261" s="14">
        <v>200500</v>
      </c>
    </row>
    <row r="7262" spans="1:45" ht="42" x14ac:dyDescent="0.2">
      <c r="A7262" s="122">
        <f t="shared" si="725"/>
        <v>5972</v>
      </c>
      <c r="B7262" s="13">
        <v>1</v>
      </c>
      <c r="C7262" s="17" t="s">
        <v>52</v>
      </c>
      <c r="D7262" s="17">
        <v>3838</v>
      </c>
      <c r="E7262" s="17">
        <v>81</v>
      </c>
      <c r="F7262" s="17">
        <v>2332</v>
      </c>
      <c r="G7262" s="13">
        <v>2</v>
      </c>
      <c r="H7262" s="17">
        <v>0</v>
      </c>
      <c r="I7262" s="17">
        <v>1</v>
      </c>
      <c r="J7262" s="17">
        <v>37</v>
      </c>
      <c r="K7262" s="10">
        <v>96.5</v>
      </c>
      <c r="L7262" s="17">
        <v>40.5</v>
      </c>
      <c r="P7262" s="17">
        <v>5</v>
      </c>
      <c r="Q7262" s="19">
        <v>137</v>
      </c>
      <c r="R7262" s="14">
        <v>1200</v>
      </c>
      <c r="S7262" s="19">
        <v>164400</v>
      </c>
      <c r="T7262" s="17">
        <v>1</v>
      </c>
      <c r="V7262" s="17" t="s">
        <v>183</v>
      </c>
      <c r="W7262" s="4">
        <v>162</v>
      </c>
      <c r="Y7262" s="4">
        <v>162</v>
      </c>
      <c r="AB7262" s="17">
        <v>21</v>
      </c>
      <c r="AJ7262" s="19">
        <v>0</v>
      </c>
      <c r="AK7262" s="23">
        <v>21</v>
      </c>
      <c r="AM7262" s="19">
        <v>0</v>
      </c>
      <c r="AN7262" s="19">
        <v>164400</v>
      </c>
      <c r="AP7262" s="14">
        <v>164400</v>
      </c>
    </row>
    <row r="7263" spans="1:45" ht="42" x14ac:dyDescent="0.2">
      <c r="A7263" s="122">
        <f t="shared" si="725"/>
        <v>5973</v>
      </c>
      <c r="B7263" s="13">
        <v>1</v>
      </c>
      <c r="C7263" s="17" t="s">
        <v>65</v>
      </c>
      <c r="D7263" s="17">
        <v>1289</v>
      </c>
      <c r="E7263" s="17">
        <v>3</v>
      </c>
      <c r="H7263" s="17">
        <v>15</v>
      </c>
      <c r="I7263" s="17">
        <v>0</v>
      </c>
      <c r="J7263" s="17">
        <v>20</v>
      </c>
      <c r="K7263" s="10">
        <v>6020</v>
      </c>
      <c r="P7263" s="17">
        <v>1</v>
      </c>
      <c r="Q7263" s="19">
        <v>6020</v>
      </c>
      <c r="R7263" s="14">
        <v>2250</v>
      </c>
      <c r="S7263" s="19">
        <v>13545000</v>
      </c>
      <c r="AE7263" s="17" t="s">
        <v>94</v>
      </c>
      <c r="AJ7263" s="19">
        <v>0</v>
      </c>
      <c r="AK7263" s="23">
        <v>0</v>
      </c>
      <c r="AM7263" s="19">
        <v>0</v>
      </c>
      <c r="AN7263" s="19">
        <v>13545000</v>
      </c>
      <c r="AP7263" s="14">
        <v>13545000</v>
      </c>
      <c r="AQ7263" s="12">
        <v>1E-4</v>
      </c>
    </row>
    <row r="7264" spans="1:45" x14ac:dyDescent="0.2">
      <c r="A7264" s="122">
        <f t="shared" si="725"/>
        <v>5974</v>
      </c>
      <c r="B7264" s="13">
        <v>1</v>
      </c>
      <c r="C7264" s="17" t="s">
        <v>65</v>
      </c>
      <c r="D7264" s="17">
        <v>3074</v>
      </c>
      <c r="E7264" s="17">
        <v>52</v>
      </c>
      <c r="H7264" s="17">
        <v>10</v>
      </c>
      <c r="I7264" s="17">
        <v>1</v>
      </c>
      <c r="J7264" s="17">
        <v>32</v>
      </c>
      <c r="K7264" s="10">
        <v>4132</v>
      </c>
      <c r="P7264" s="17">
        <v>1</v>
      </c>
      <c r="Q7264" s="19">
        <v>4132</v>
      </c>
      <c r="R7264" s="14">
        <v>200</v>
      </c>
      <c r="S7264" s="19">
        <v>826400</v>
      </c>
      <c r="AJ7264" s="19">
        <v>0</v>
      </c>
      <c r="AK7264" s="23">
        <v>0</v>
      </c>
      <c r="AM7264" s="19">
        <v>0</v>
      </c>
      <c r="AN7264" s="19">
        <v>826400</v>
      </c>
      <c r="AP7264" s="14">
        <v>826400</v>
      </c>
      <c r="AQ7264" s="12">
        <v>1E-4</v>
      </c>
    </row>
    <row r="7265" spans="1:45" ht="42" x14ac:dyDescent="0.2">
      <c r="A7265" s="122">
        <f t="shared" si="725"/>
        <v>5975</v>
      </c>
      <c r="B7265" s="13">
        <v>1</v>
      </c>
      <c r="C7265" s="17" t="s">
        <v>52</v>
      </c>
      <c r="D7265" s="17">
        <v>775</v>
      </c>
      <c r="E7265" s="17">
        <v>513</v>
      </c>
      <c r="F7265" s="17">
        <v>109</v>
      </c>
      <c r="G7265" s="13">
        <v>2</v>
      </c>
      <c r="H7265" s="17">
        <v>0</v>
      </c>
      <c r="I7265" s="17">
        <v>0</v>
      </c>
      <c r="J7265" s="17">
        <v>26.09</v>
      </c>
      <c r="L7265" s="17" t="s">
        <v>754</v>
      </c>
      <c r="P7265" s="17">
        <v>2</v>
      </c>
      <c r="Q7265" s="19">
        <v>26.09</v>
      </c>
      <c r="R7265" s="14">
        <v>4500</v>
      </c>
      <c r="S7265" s="19">
        <v>117405</v>
      </c>
      <c r="T7265" s="17">
        <v>1</v>
      </c>
      <c r="V7265" s="17" t="s">
        <v>530</v>
      </c>
      <c r="W7265" s="4">
        <v>144</v>
      </c>
      <c r="Y7265" s="4" t="s">
        <v>453</v>
      </c>
      <c r="AB7265" s="17">
        <v>23</v>
      </c>
      <c r="AF7265" s="14">
        <v>2</v>
      </c>
      <c r="AG7265" s="54">
        <v>72</v>
      </c>
      <c r="AH7265" s="11">
        <v>1</v>
      </c>
      <c r="AI7265" s="14">
        <v>8100</v>
      </c>
      <c r="AJ7265" s="19">
        <v>583200</v>
      </c>
      <c r="AK7265" s="23">
        <v>23</v>
      </c>
      <c r="AL7265" s="11">
        <v>0.36</v>
      </c>
      <c r="AM7265" s="19">
        <v>373248</v>
      </c>
      <c r="AN7265" s="19">
        <v>490653</v>
      </c>
      <c r="AP7265" s="14">
        <v>490653</v>
      </c>
      <c r="AQ7265" s="12">
        <v>2.0000000000000001E-4</v>
      </c>
    </row>
    <row r="7266" spans="1:45" ht="105" x14ac:dyDescent="0.2">
      <c r="A7266" s="122">
        <f t="shared" si="725"/>
        <v>5976</v>
      </c>
      <c r="B7266" s="13">
        <v>2</v>
      </c>
      <c r="C7266" s="17" t="s">
        <v>52</v>
      </c>
      <c r="D7266" s="17">
        <v>1434</v>
      </c>
      <c r="E7266" s="17">
        <v>13</v>
      </c>
      <c r="F7266" s="17">
        <v>875</v>
      </c>
      <c r="G7266" s="13">
        <v>2</v>
      </c>
      <c r="H7266" s="17">
        <v>0</v>
      </c>
      <c r="I7266" s="17">
        <v>1</v>
      </c>
      <c r="J7266" s="17">
        <v>1</v>
      </c>
      <c r="L7266" s="17" t="s">
        <v>755</v>
      </c>
      <c r="P7266" s="17">
        <v>2</v>
      </c>
      <c r="Q7266" s="19">
        <v>101</v>
      </c>
      <c r="R7266" s="14">
        <v>1000</v>
      </c>
      <c r="S7266" s="19">
        <v>101000</v>
      </c>
      <c r="T7266" s="17">
        <v>1</v>
      </c>
      <c r="V7266" s="17" t="s">
        <v>183</v>
      </c>
      <c r="W7266" s="4">
        <v>121.5</v>
      </c>
      <c r="Y7266" s="4">
        <v>121.5</v>
      </c>
      <c r="AB7266" s="17">
        <v>25</v>
      </c>
      <c r="AC7266" s="14" t="s">
        <v>346</v>
      </c>
      <c r="AF7266" s="14">
        <v>2</v>
      </c>
      <c r="AG7266" s="54">
        <v>121.5</v>
      </c>
      <c r="AH7266" s="11">
        <v>1</v>
      </c>
      <c r="AI7266" s="14">
        <v>7250</v>
      </c>
      <c r="AJ7266" s="19">
        <v>880875</v>
      </c>
      <c r="AK7266" s="23">
        <v>25</v>
      </c>
      <c r="AL7266" s="11">
        <v>0.4</v>
      </c>
      <c r="AM7266" s="19">
        <v>528525</v>
      </c>
      <c r="AN7266" s="19">
        <v>629525</v>
      </c>
      <c r="AP7266" s="14">
        <v>629525</v>
      </c>
      <c r="AQ7266" s="12">
        <v>2.0000000000000001E-4</v>
      </c>
    </row>
    <row r="7267" spans="1:45" x14ac:dyDescent="0.2">
      <c r="A7267" s="122">
        <f t="shared" si="725"/>
        <v>5977</v>
      </c>
      <c r="B7267" s="13">
        <v>3</v>
      </c>
      <c r="C7267" s="17" t="s">
        <v>69</v>
      </c>
      <c r="E7267" s="17">
        <v>164</v>
      </c>
      <c r="F7267" s="17">
        <v>9</v>
      </c>
      <c r="G7267" s="13">
        <v>2</v>
      </c>
      <c r="H7267" s="17">
        <v>6</v>
      </c>
      <c r="I7267" s="17">
        <v>2</v>
      </c>
      <c r="J7267" s="17">
        <v>1</v>
      </c>
      <c r="K7267" s="10">
        <v>2601</v>
      </c>
      <c r="P7267" s="17">
        <v>1</v>
      </c>
      <c r="Q7267" s="19">
        <v>2601</v>
      </c>
      <c r="R7267" s="14">
        <v>200</v>
      </c>
      <c r="S7267" s="19">
        <v>520200</v>
      </c>
      <c r="AJ7267" s="19">
        <v>0</v>
      </c>
      <c r="AK7267" s="23">
        <v>0</v>
      </c>
      <c r="AM7267" s="19">
        <v>0</v>
      </c>
      <c r="AN7267" s="19">
        <v>520200</v>
      </c>
      <c r="AP7267" s="14">
        <v>520200</v>
      </c>
      <c r="AQ7267" s="12">
        <v>1E-4</v>
      </c>
    </row>
    <row r="7268" spans="1:45" ht="84" x14ac:dyDescent="0.2">
      <c r="A7268" s="122">
        <f t="shared" si="725"/>
        <v>5978</v>
      </c>
      <c r="B7268" s="13">
        <v>1</v>
      </c>
      <c r="C7268" s="17" t="s">
        <v>52</v>
      </c>
      <c r="D7268" s="17">
        <v>4981</v>
      </c>
      <c r="E7268" s="17">
        <v>39</v>
      </c>
      <c r="F7268" s="17">
        <v>2597</v>
      </c>
      <c r="G7268" s="13">
        <v>7</v>
      </c>
      <c r="H7268" s="17">
        <v>0</v>
      </c>
      <c r="I7268" s="17">
        <v>2</v>
      </c>
      <c r="J7268" s="17">
        <v>88</v>
      </c>
      <c r="K7268" s="10">
        <v>228</v>
      </c>
      <c r="M7268" s="15">
        <v>60</v>
      </c>
      <c r="P7268" s="17">
        <v>5</v>
      </c>
      <c r="Q7268" s="19">
        <v>288</v>
      </c>
      <c r="R7268" s="14">
        <v>4500</v>
      </c>
      <c r="S7268" s="19">
        <v>1296000</v>
      </c>
      <c r="T7268" s="17">
        <v>1</v>
      </c>
      <c r="V7268" s="17" t="s">
        <v>183</v>
      </c>
      <c r="W7268" s="4">
        <v>240</v>
      </c>
      <c r="Z7268" s="17">
        <v>240</v>
      </c>
      <c r="AB7268" s="17">
        <v>21</v>
      </c>
      <c r="AC7268" s="14" t="s">
        <v>756</v>
      </c>
      <c r="AJ7268" s="19">
        <v>0</v>
      </c>
      <c r="AK7268" s="23">
        <v>21</v>
      </c>
      <c r="AM7268" s="19">
        <v>0</v>
      </c>
      <c r="AN7268" s="19">
        <v>1296000</v>
      </c>
      <c r="AP7268" s="14">
        <v>1296000</v>
      </c>
    </row>
    <row r="7269" spans="1:45" x14ac:dyDescent="0.2">
      <c r="A7269" s="122">
        <f t="shared" si="725"/>
        <v>5979</v>
      </c>
      <c r="B7269" s="13">
        <v>1</v>
      </c>
      <c r="C7269" s="17" t="s">
        <v>52</v>
      </c>
      <c r="D7269" s="17">
        <v>4893</v>
      </c>
      <c r="E7269" s="17">
        <v>14</v>
      </c>
      <c r="F7269" s="17">
        <v>2751</v>
      </c>
      <c r="G7269" s="13">
        <v>7</v>
      </c>
      <c r="H7269" s="17">
        <v>33</v>
      </c>
      <c r="I7269" s="17">
        <v>1</v>
      </c>
      <c r="J7269" s="17">
        <v>17</v>
      </c>
      <c r="K7269" s="10">
        <v>13317</v>
      </c>
      <c r="P7269" s="17">
        <v>1</v>
      </c>
      <c r="Q7269" s="19">
        <v>13317</v>
      </c>
      <c r="R7269" s="14">
        <v>160</v>
      </c>
      <c r="S7269" s="19">
        <v>2130720</v>
      </c>
      <c r="AJ7269" s="19">
        <v>0</v>
      </c>
      <c r="AK7269" s="23">
        <v>0</v>
      </c>
      <c r="AM7269" s="19">
        <v>0</v>
      </c>
      <c r="AN7269" s="19">
        <v>2130720</v>
      </c>
      <c r="AP7269" s="14">
        <v>2130720</v>
      </c>
      <c r="AS7269" s="26">
        <v>144</v>
      </c>
    </row>
    <row r="7270" spans="1:45" x14ac:dyDescent="0.2">
      <c r="A7270" s="122">
        <f t="shared" si="725"/>
        <v>5980</v>
      </c>
      <c r="B7270" s="13">
        <v>2</v>
      </c>
      <c r="C7270" s="17" t="s">
        <v>52</v>
      </c>
      <c r="D7270" s="17">
        <v>5015</v>
      </c>
      <c r="E7270" s="17">
        <v>15</v>
      </c>
      <c r="F7270" s="17">
        <v>2756</v>
      </c>
      <c r="G7270" s="13">
        <v>7</v>
      </c>
      <c r="H7270" s="17">
        <v>24</v>
      </c>
      <c r="I7270" s="17">
        <v>2</v>
      </c>
      <c r="J7270" s="17">
        <v>71</v>
      </c>
      <c r="K7270" s="10">
        <v>9871</v>
      </c>
      <c r="P7270" s="17">
        <v>1</v>
      </c>
      <c r="Q7270" s="19">
        <v>9871</v>
      </c>
      <c r="R7270" s="14">
        <v>160</v>
      </c>
      <c r="S7270" s="19">
        <v>1579360</v>
      </c>
      <c r="AJ7270" s="19">
        <v>0</v>
      </c>
      <c r="AK7270" s="23">
        <v>0</v>
      </c>
      <c r="AM7270" s="19">
        <v>0</v>
      </c>
      <c r="AN7270" s="19">
        <v>1579360</v>
      </c>
      <c r="AP7270" s="14">
        <v>1579360</v>
      </c>
    </row>
    <row r="7271" spans="1:45" x14ac:dyDescent="0.2">
      <c r="A7271" s="122">
        <f t="shared" si="725"/>
        <v>5981</v>
      </c>
      <c r="B7271" s="13">
        <v>3</v>
      </c>
      <c r="C7271" s="17" t="s">
        <v>52</v>
      </c>
      <c r="D7271" s="17">
        <v>5016</v>
      </c>
      <c r="E7271" s="17">
        <v>17</v>
      </c>
      <c r="F7271" s="17">
        <v>2757</v>
      </c>
      <c r="G7271" s="13">
        <v>7</v>
      </c>
      <c r="H7271" s="17">
        <v>23</v>
      </c>
      <c r="I7271" s="17">
        <v>1</v>
      </c>
      <c r="J7271" s="17">
        <v>19</v>
      </c>
      <c r="K7271" s="10">
        <v>9319</v>
      </c>
      <c r="P7271" s="17">
        <v>1</v>
      </c>
      <c r="Q7271" s="19">
        <v>9319</v>
      </c>
      <c r="R7271" s="14">
        <v>160</v>
      </c>
      <c r="S7271" s="19">
        <v>1491040</v>
      </c>
      <c r="AJ7271" s="19">
        <v>0</v>
      </c>
      <c r="AK7271" s="23">
        <v>0</v>
      </c>
      <c r="AM7271" s="19">
        <v>0</v>
      </c>
      <c r="AN7271" s="19">
        <v>1491040</v>
      </c>
      <c r="AP7271" s="14">
        <v>1491040</v>
      </c>
    </row>
    <row r="7272" spans="1:45" x14ac:dyDescent="0.2">
      <c r="A7272" s="122">
        <f t="shared" si="725"/>
        <v>5982</v>
      </c>
      <c r="B7272" s="13">
        <v>4</v>
      </c>
      <c r="C7272" s="17" t="s">
        <v>52</v>
      </c>
      <c r="D7272" s="17">
        <v>5017</v>
      </c>
      <c r="E7272" s="17">
        <v>5</v>
      </c>
      <c r="F7272" s="17">
        <v>2758</v>
      </c>
      <c r="G7272" s="13">
        <v>7</v>
      </c>
      <c r="H7272" s="17">
        <v>10</v>
      </c>
      <c r="I7272" s="17">
        <v>0</v>
      </c>
      <c r="J7272" s="17">
        <v>34</v>
      </c>
      <c r="K7272" s="10">
        <v>4034</v>
      </c>
      <c r="P7272" s="17">
        <v>1</v>
      </c>
      <c r="Q7272" s="19">
        <v>4034</v>
      </c>
      <c r="R7272" s="14">
        <v>160</v>
      </c>
      <c r="S7272" s="19">
        <v>645440</v>
      </c>
      <c r="AJ7272" s="19">
        <v>0</v>
      </c>
      <c r="AK7272" s="23">
        <v>0</v>
      </c>
      <c r="AM7272" s="19">
        <v>0</v>
      </c>
      <c r="AN7272" s="19">
        <v>645440</v>
      </c>
      <c r="AP7272" s="14">
        <v>645440</v>
      </c>
    </row>
    <row r="7273" spans="1:45" x14ac:dyDescent="0.2">
      <c r="A7273" s="122">
        <f t="shared" si="725"/>
        <v>5983</v>
      </c>
      <c r="B7273" s="13">
        <v>5</v>
      </c>
      <c r="C7273" s="17" t="s">
        <v>52</v>
      </c>
      <c r="D7273" s="17">
        <v>5108</v>
      </c>
      <c r="E7273" s="17">
        <v>15</v>
      </c>
      <c r="F7273" s="17">
        <v>2873</v>
      </c>
      <c r="G7273" s="13">
        <v>7</v>
      </c>
      <c r="H7273" s="17">
        <v>22</v>
      </c>
      <c r="I7273" s="17">
        <v>3</v>
      </c>
      <c r="J7273" s="17">
        <v>84</v>
      </c>
      <c r="K7273" s="10">
        <v>9184</v>
      </c>
      <c r="P7273" s="17">
        <v>1</v>
      </c>
      <c r="Q7273" s="19">
        <v>9184</v>
      </c>
      <c r="R7273" s="14">
        <v>160</v>
      </c>
      <c r="S7273" s="19">
        <v>1469440</v>
      </c>
      <c r="AJ7273" s="19">
        <v>0</v>
      </c>
      <c r="AK7273" s="23">
        <v>0</v>
      </c>
      <c r="AM7273" s="19">
        <v>0</v>
      </c>
      <c r="AN7273" s="19">
        <v>1469440</v>
      </c>
      <c r="AP7273" s="14">
        <v>1469440</v>
      </c>
    </row>
    <row r="7274" spans="1:45" x14ac:dyDescent="0.2">
      <c r="A7274" s="122">
        <f t="shared" si="725"/>
        <v>5984</v>
      </c>
      <c r="B7274" s="13">
        <v>6</v>
      </c>
      <c r="C7274" s="17" t="s">
        <v>52</v>
      </c>
      <c r="D7274" s="17">
        <v>5124</v>
      </c>
      <c r="E7274" s="17">
        <v>10</v>
      </c>
      <c r="F7274" s="17">
        <v>2852</v>
      </c>
      <c r="G7274" s="13">
        <v>7</v>
      </c>
      <c r="H7274" s="17">
        <v>1</v>
      </c>
      <c r="I7274" s="17">
        <v>0</v>
      </c>
      <c r="J7274" s="17">
        <v>68</v>
      </c>
      <c r="K7274" s="10">
        <v>468</v>
      </c>
      <c r="P7274" s="17">
        <v>1</v>
      </c>
      <c r="Q7274" s="19">
        <v>468</v>
      </c>
      <c r="R7274" s="14">
        <v>4500</v>
      </c>
      <c r="S7274" s="19">
        <v>2106000</v>
      </c>
      <c r="AJ7274" s="19">
        <v>0</v>
      </c>
      <c r="AK7274" s="23">
        <v>0</v>
      </c>
      <c r="AM7274" s="19">
        <v>0</v>
      </c>
      <c r="AN7274" s="19">
        <v>2106000</v>
      </c>
      <c r="AP7274" s="14">
        <v>2106000</v>
      </c>
    </row>
    <row r="7275" spans="1:45" x14ac:dyDescent="0.2">
      <c r="A7275" s="122">
        <f t="shared" si="725"/>
        <v>5985</v>
      </c>
      <c r="B7275" s="13">
        <v>7</v>
      </c>
      <c r="C7275" s="17" t="s">
        <v>52</v>
      </c>
      <c r="D7275" s="17">
        <v>5126</v>
      </c>
      <c r="E7275" s="17">
        <v>12</v>
      </c>
      <c r="F7275" s="17">
        <v>2854</v>
      </c>
      <c r="G7275" s="13">
        <v>7</v>
      </c>
      <c r="H7275" s="17">
        <v>1</v>
      </c>
      <c r="I7275" s="17">
        <v>0</v>
      </c>
      <c r="J7275" s="17">
        <v>30</v>
      </c>
      <c r="K7275" s="10">
        <v>430</v>
      </c>
      <c r="P7275" s="17">
        <v>1</v>
      </c>
      <c r="Q7275" s="19">
        <v>430</v>
      </c>
      <c r="R7275" s="14">
        <v>4500</v>
      </c>
      <c r="S7275" s="19">
        <v>1935000</v>
      </c>
      <c r="AJ7275" s="19">
        <v>0</v>
      </c>
      <c r="AK7275" s="23">
        <v>0</v>
      </c>
      <c r="AM7275" s="19">
        <v>0</v>
      </c>
      <c r="AN7275" s="19">
        <v>1935000</v>
      </c>
      <c r="AP7275" s="14">
        <v>1935000</v>
      </c>
    </row>
    <row r="7276" spans="1:45" x14ac:dyDescent="0.2">
      <c r="A7276" s="122">
        <f t="shared" si="725"/>
        <v>5986</v>
      </c>
      <c r="B7276" s="13">
        <v>1</v>
      </c>
      <c r="C7276" s="17" t="s">
        <v>52</v>
      </c>
      <c r="D7276" s="17">
        <v>5012</v>
      </c>
      <c r="E7276" s="17">
        <v>9</v>
      </c>
      <c r="F7276" s="17">
        <v>2750</v>
      </c>
      <c r="G7276" s="13">
        <v>7</v>
      </c>
      <c r="H7276" s="17">
        <v>2</v>
      </c>
      <c r="I7276" s="17">
        <v>3</v>
      </c>
      <c r="J7276" s="17">
        <v>6</v>
      </c>
      <c r="K7276" s="10">
        <v>1106</v>
      </c>
      <c r="P7276" s="17">
        <v>1</v>
      </c>
      <c r="Q7276" s="19">
        <v>1106</v>
      </c>
      <c r="R7276" s="14">
        <v>2250</v>
      </c>
      <c r="S7276" s="19">
        <v>2488500</v>
      </c>
      <c r="AJ7276" s="19">
        <v>0</v>
      </c>
      <c r="AK7276" s="23">
        <v>0</v>
      </c>
      <c r="AM7276" s="19">
        <v>0</v>
      </c>
      <c r="AN7276" s="19">
        <v>2488500</v>
      </c>
      <c r="AP7276" s="14">
        <v>2488500</v>
      </c>
      <c r="AS7276" s="26">
        <v>25</v>
      </c>
    </row>
    <row r="7277" spans="1:45" x14ac:dyDescent="0.2">
      <c r="A7277" s="122">
        <f t="shared" si="725"/>
        <v>5987</v>
      </c>
      <c r="B7277" s="13">
        <v>2</v>
      </c>
      <c r="C7277" s="17" t="s">
        <v>52</v>
      </c>
      <c r="D7277" s="17">
        <v>5127</v>
      </c>
      <c r="E7277" s="17">
        <v>13</v>
      </c>
      <c r="F7277" s="17">
        <v>2855</v>
      </c>
      <c r="G7277" s="13">
        <v>7</v>
      </c>
      <c r="H7277" s="17">
        <v>0</v>
      </c>
      <c r="I7277" s="17">
        <v>3</v>
      </c>
      <c r="J7277" s="17">
        <v>48</v>
      </c>
      <c r="K7277" s="10">
        <v>348</v>
      </c>
      <c r="P7277" s="17">
        <v>1</v>
      </c>
      <c r="Q7277" s="19">
        <v>348</v>
      </c>
      <c r="R7277" s="14">
        <v>4500</v>
      </c>
      <c r="S7277" s="19">
        <v>1566000</v>
      </c>
      <c r="AJ7277" s="19">
        <v>0</v>
      </c>
      <c r="AK7277" s="23">
        <v>0</v>
      </c>
      <c r="AM7277" s="19">
        <v>0</v>
      </c>
      <c r="AN7277" s="19">
        <v>1566000</v>
      </c>
      <c r="AP7277" s="14">
        <v>1566000</v>
      </c>
    </row>
    <row r="7278" spans="1:45" x14ac:dyDescent="0.2">
      <c r="A7278" s="122">
        <f t="shared" si="725"/>
        <v>5988</v>
      </c>
      <c r="B7278" s="13">
        <v>1</v>
      </c>
      <c r="C7278" s="17" t="s">
        <v>52</v>
      </c>
      <c r="D7278" s="17">
        <v>5096</v>
      </c>
      <c r="E7278" s="17">
        <v>4</v>
      </c>
      <c r="F7278" s="17">
        <v>2862</v>
      </c>
      <c r="G7278" s="13">
        <v>7</v>
      </c>
      <c r="H7278" s="17">
        <v>12</v>
      </c>
      <c r="I7278" s="17">
        <v>3</v>
      </c>
      <c r="J7278" s="17">
        <v>26</v>
      </c>
      <c r="K7278" s="10">
        <v>5126</v>
      </c>
      <c r="P7278" s="17">
        <v>1</v>
      </c>
      <c r="Q7278" s="19">
        <v>5126</v>
      </c>
      <c r="R7278" s="14">
        <v>160</v>
      </c>
      <c r="S7278" s="19">
        <v>820160</v>
      </c>
      <c r="AJ7278" s="19">
        <v>0</v>
      </c>
      <c r="AK7278" s="23">
        <v>0</v>
      </c>
      <c r="AM7278" s="19">
        <v>0</v>
      </c>
      <c r="AN7278" s="19">
        <v>820160</v>
      </c>
      <c r="AP7278" s="14">
        <v>820160</v>
      </c>
      <c r="AS7278" s="26">
        <v>521</v>
      </c>
    </row>
    <row r="7279" spans="1:45" x14ac:dyDescent="0.2">
      <c r="A7279" s="122">
        <f t="shared" si="725"/>
        <v>5989</v>
      </c>
      <c r="B7279" s="13">
        <v>2</v>
      </c>
      <c r="C7279" s="17" t="s">
        <v>52</v>
      </c>
      <c r="D7279" s="17">
        <v>5125</v>
      </c>
      <c r="E7279" s="17">
        <v>11</v>
      </c>
      <c r="F7279" s="17">
        <v>2853</v>
      </c>
      <c r="G7279" s="13">
        <v>7</v>
      </c>
      <c r="H7279" s="17">
        <v>1</v>
      </c>
      <c r="I7279" s="17">
        <v>0</v>
      </c>
      <c r="J7279" s="17">
        <v>42</v>
      </c>
      <c r="K7279" s="10">
        <v>442</v>
      </c>
      <c r="P7279" s="17">
        <v>1</v>
      </c>
      <c r="Q7279" s="19">
        <v>442</v>
      </c>
      <c r="R7279" s="14">
        <v>4500</v>
      </c>
      <c r="S7279" s="19">
        <v>1989000</v>
      </c>
      <c r="AJ7279" s="19">
        <v>0</v>
      </c>
      <c r="AK7279" s="23">
        <v>0</v>
      </c>
      <c r="AM7279" s="19">
        <v>0</v>
      </c>
      <c r="AN7279" s="19">
        <v>1989000</v>
      </c>
      <c r="AP7279" s="14">
        <v>1989000</v>
      </c>
    </row>
    <row r="7280" spans="1:45" x14ac:dyDescent="0.2">
      <c r="A7280" s="122">
        <f t="shared" si="725"/>
        <v>5990</v>
      </c>
      <c r="B7280" s="13">
        <v>1</v>
      </c>
      <c r="C7280" s="17" t="s">
        <v>52</v>
      </c>
      <c r="D7280" s="17">
        <v>4049</v>
      </c>
      <c r="E7280" s="17">
        <v>66</v>
      </c>
      <c r="F7280" s="17">
        <v>2318</v>
      </c>
      <c r="G7280" s="13">
        <v>2</v>
      </c>
      <c r="H7280" s="17">
        <v>0</v>
      </c>
      <c r="I7280" s="17">
        <v>1</v>
      </c>
      <c r="J7280" s="17">
        <v>41</v>
      </c>
      <c r="N7280" s="18">
        <v>141</v>
      </c>
      <c r="P7280" s="17">
        <v>4</v>
      </c>
      <c r="Q7280" s="19">
        <v>141</v>
      </c>
      <c r="R7280" s="14">
        <v>1200</v>
      </c>
      <c r="S7280" s="19">
        <v>169200</v>
      </c>
      <c r="AJ7280" s="19">
        <v>0</v>
      </c>
      <c r="AK7280" s="23">
        <v>0</v>
      </c>
      <c r="AM7280" s="19">
        <v>0</v>
      </c>
      <c r="AN7280" s="19">
        <v>169200</v>
      </c>
      <c r="AP7280" s="14">
        <v>169200</v>
      </c>
      <c r="AQ7280" s="12">
        <v>3.0000000000000001E-3</v>
      </c>
      <c r="AS7280" s="26">
        <v>2</v>
      </c>
    </row>
    <row r="7281" spans="1:49" x14ac:dyDescent="0.2">
      <c r="R7281" s="14" t="e">
        <v>#N/A</v>
      </c>
    </row>
    <row r="7282" spans="1:49" x14ac:dyDescent="0.2">
      <c r="R7282" s="14" t="e">
        <v>#N/A</v>
      </c>
    </row>
    <row r="7283" spans="1:49" ht="42" x14ac:dyDescent="0.2">
      <c r="A7283" s="2">
        <v>5991</v>
      </c>
      <c r="B7283" s="13">
        <v>1</v>
      </c>
      <c r="C7283" s="17" t="s">
        <v>65</v>
      </c>
      <c r="D7283" s="17">
        <v>2050</v>
      </c>
      <c r="E7283" s="17">
        <v>11</v>
      </c>
      <c r="H7283" s="17">
        <v>4</v>
      </c>
      <c r="I7283" s="17">
        <v>0</v>
      </c>
      <c r="J7283" s="17">
        <v>86</v>
      </c>
      <c r="K7283" s="10">
        <v>1686</v>
      </c>
      <c r="P7283" s="17">
        <v>1</v>
      </c>
      <c r="Q7283" s="19">
        <v>1686</v>
      </c>
      <c r="R7283" s="14">
        <v>250</v>
      </c>
      <c r="S7283" s="19">
        <v>421500</v>
      </c>
      <c r="AJ7283" s="19">
        <v>0</v>
      </c>
      <c r="AK7283" s="23">
        <v>0</v>
      </c>
      <c r="AM7283" s="19">
        <v>0</v>
      </c>
      <c r="AN7283" s="19">
        <v>421500</v>
      </c>
      <c r="AP7283" s="14">
        <v>421500</v>
      </c>
      <c r="AQ7283" s="12">
        <v>1E-4</v>
      </c>
      <c r="AS7283" s="26" t="s">
        <v>757</v>
      </c>
    </row>
    <row r="7284" spans="1:49" x14ac:dyDescent="0.2">
      <c r="A7284" s="2">
        <f>+A7283+1</f>
        <v>5992</v>
      </c>
      <c r="B7284" s="13">
        <v>1</v>
      </c>
      <c r="C7284" s="17" t="s">
        <v>52</v>
      </c>
      <c r="D7284" s="17">
        <v>3624</v>
      </c>
      <c r="E7284" s="17">
        <v>3</v>
      </c>
      <c r="F7284" s="17">
        <v>2353</v>
      </c>
      <c r="G7284" s="13">
        <v>2</v>
      </c>
      <c r="H7284" s="17">
        <v>27</v>
      </c>
      <c r="I7284" s="17">
        <v>2</v>
      </c>
      <c r="J7284" s="17">
        <v>71</v>
      </c>
      <c r="K7284" s="10">
        <v>11071</v>
      </c>
      <c r="P7284" s="17">
        <v>1</v>
      </c>
      <c r="Q7284" s="19">
        <v>11071</v>
      </c>
      <c r="R7284" s="14">
        <v>200</v>
      </c>
      <c r="S7284" s="19">
        <v>2214200</v>
      </c>
      <c r="AJ7284" s="19">
        <v>0</v>
      </c>
      <c r="AK7284" s="23">
        <v>0</v>
      </c>
      <c r="AM7284" s="19">
        <v>0</v>
      </c>
      <c r="AN7284" s="19">
        <v>2214200</v>
      </c>
      <c r="AP7284" s="14">
        <v>2214200</v>
      </c>
    </row>
    <row r="7285" spans="1:49" ht="42" x14ac:dyDescent="0.2">
      <c r="A7285" s="122">
        <f t="shared" ref="A7285:A7348" si="726">+A7284+1</f>
        <v>5993</v>
      </c>
      <c r="B7285" s="13">
        <v>1</v>
      </c>
      <c r="C7285" s="17" t="s">
        <v>65</v>
      </c>
      <c r="D7285" s="17">
        <v>1898</v>
      </c>
      <c r="E7285" s="17">
        <v>59</v>
      </c>
      <c r="H7285" s="17">
        <v>3</v>
      </c>
      <c r="I7285" s="17">
        <v>0</v>
      </c>
      <c r="J7285" s="17">
        <v>0</v>
      </c>
      <c r="K7285" s="10">
        <v>1200</v>
      </c>
      <c r="P7285" s="17">
        <v>1</v>
      </c>
      <c r="Q7285" s="19">
        <v>1200</v>
      </c>
      <c r="R7285" s="14">
        <v>160</v>
      </c>
      <c r="S7285" s="19">
        <v>192000</v>
      </c>
      <c r="AJ7285" s="19">
        <v>0</v>
      </c>
      <c r="AK7285" s="23">
        <v>0</v>
      </c>
      <c r="AM7285" s="19">
        <v>0</v>
      </c>
      <c r="AN7285" s="19">
        <v>192000</v>
      </c>
      <c r="AP7285" s="14">
        <v>192000</v>
      </c>
      <c r="AQ7285" s="12">
        <v>1E-4</v>
      </c>
      <c r="AS7285" s="26" t="s">
        <v>231</v>
      </c>
    </row>
    <row r="7286" spans="1:49" x14ac:dyDescent="0.2">
      <c r="A7286" s="122">
        <f t="shared" si="726"/>
        <v>5994</v>
      </c>
      <c r="B7286" s="13">
        <v>2</v>
      </c>
      <c r="C7286" s="17" t="s">
        <v>65</v>
      </c>
      <c r="D7286" s="17">
        <v>1964</v>
      </c>
      <c r="E7286" s="17">
        <v>57</v>
      </c>
      <c r="H7286" s="17">
        <v>9</v>
      </c>
      <c r="I7286" s="17">
        <v>2</v>
      </c>
      <c r="J7286" s="17">
        <v>20</v>
      </c>
      <c r="K7286" s="10">
        <v>3820</v>
      </c>
      <c r="P7286" s="17">
        <v>1</v>
      </c>
      <c r="Q7286" s="19">
        <v>3820</v>
      </c>
      <c r="R7286" s="14">
        <v>160</v>
      </c>
      <c r="S7286" s="19">
        <v>611200</v>
      </c>
      <c r="AJ7286" s="19">
        <v>0</v>
      </c>
      <c r="AK7286" s="23">
        <v>0</v>
      </c>
      <c r="AM7286" s="19">
        <v>0</v>
      </c>
      <c r="AN7286" s="19">
        <v>611200</v>
      </c>
      <c r="AP7286" s="14">
        <v>611200</v>
      </c>
      <c r="AQ7286" s="12">
        <v>1E-4</v>
      </c>
    </row>
    <row r="7287" spans="1:49" x14ac:dyDescent="0.2">
      <c r="A7287" s="122">
        <f t="shared" si="726"/>
        <v>5995</v>
      </c>
      <c r="B7287" s="13">
        <v>1</v>
      </c>
      <c r="C7287" s="17" t="s">
        <v>52</v>
      </c>
      <c r="D7287" s="17">
        <v>2237</v>
      </c>
      <c r="E7287" s="17">
        <v>18</v>
      </c>
      <c r="F7287" s="17">
        <v>1571</v>
      </c>
      <c r="G7287" s="13">
        <v>3</v>
      </c>
      <c r="H7287" s="17">
        <v>8</v>
      </c>
      <c r="I7287" s="17">
        <v>2</v>
      </c>
      <c r="J7287" s="17">
        <v>47</v>
      </c>
      <c r="K7287" s="10">
        <v>3447</v>
      </c>
      <c r="P7287" s="17">
        <v>1</v>
      </c>
      <c r="Q7287" s="19">
        <v>3447</v>
      </c>
      <c r="R7287" s="14">
        <v>200</v>
      </c>
      <c r="S7287" s="19">
        <v>689400</v>
      </c>
      <c r="AJ7287" s="19">
        <v>0</v>
      </c>
      <c r="AK7287" s="23">
        <v>0</v>
      </c>
      <c r="AM7287" s="19">
        <v>0</v>
      </c>
      <c r="AN7287" s="19">
        <v>689400</v>
      </c>
      <c r="AP7287" s="14">
        <v>689400</v>
      </c>
    </row>
    <row r="7288" spans="1:49" ht="42" x14ac:dyDescent="0.2">
      <c r="A7288" s="122">
        <f t="shared" si="726"/>
        <v>5996</v>
      </c>
      <c r="B7288" s="13">
        <v>2</v>
      </c>
      <c r="C7288" s="17" t="s">
        <v>52</v>
      </c>
      <c r="D7288" s="17">
        <v>2356</v>
      </c>
      <c r="E7288" s="17">
        <v>80</v>
      </c>
      <c r="F7288" s="17">
        <v>1550</v>
      </c>
      <c r="G7288" s="13">
        <v>3</v>
      </c>
      <c r="H7288" s="17">
        <v>0</v>
      </c>
      <c r="I7288" s="17">
        <v>3</v>
      </c>
      <c r="J7288" s="17">
        <v>44</v>
      </c>
      <c r="K7288" s="10">
        <v>326</v>
      </c>
      <c r="L7288" s="17">
        <v>18</v>
      </c>
      <c r="P7288" s="17">
        <v>5</v>
      </c>
      <c r="Q7288" s="19">
        <v>344</v>
      </c>
      <c r="R7288" s="14">
        <v>160</v>
      </c>
      <c r="S7288" s="19">
        <v>55040</v>
      </c>
      <c r="T7288" s="17">
        <v>1</v>
      </c>
      <c r="V7288" s="17" t="s">
        <v>183</v>
      </c>
      <c r="W7288" s="4">
        <v>72</v>
      </c>
      <c r="Y7288" s="4">
        <v>72</v>
      </c>
      <c r="AB7288" s="17">
        <v>11</v>
      </c>
      <c r="AJ7288" s="19">
        <v>0</v>
      </c>
      <c r="AK7288" s="23">
        <v>11</v>
      </c>
      <c r="AM7288" s="19">
        <v>0</v>
      </c>
      <c r="AN7288" s="19">
        <v>55040</v>
      </c>
      <c r="AP7288" s="14">
        <v>55040</v>
      </c>
    </row>
    <row r="7289" spans="1:49" x14ac:dyDescent="0.2">
      <c r="A7289" s="122">
        <f t="shared" si="726"/>
        <v>5997</v>
      </c>
      <c r="B7289" s="13">
        <v>3</v>
      </c>
      <c r="C7289" s="17" t="s">
        <v>52</v>
      </c>
      <c r="D7289" s="17">
        <v>17986</v>
      </c>
      <c r="E7289" s="17">
        <v>56</v>
      </c>
      <c r="F7289" s="17">
        <v>3935</v>
      </c>
      <c r="G7289" s="13">
        <v>3</v>
      </c>
      <c r="H7289" s="17">
        <v>3</v>
      </c>
      <c r="I7289" s="17">
        <v>1</v>
      </c>
      <c r="J7289" s="17">
        <v>46</v>
      </c>
      <c r="K7289" s="10">
        <v>1346</v>
      </c>
      <c r="P7289" s="17">
        <v>1</v>
      </c>
      <c r="Q7289" s="19">
        <v>1346</v>
      </c>
      <c r="R7289" s="14">
        <v>200</v>
      </c>
      <c r="S7289" s="19">
        <v>269200</v>
      </c>
      <c r="AJ7289" s="19">
        <v>0</v>
      </c>
      <c r="AK7289" s="23">
        <v>0</v>
      </c>
      <c r="AM7289" s="19">
        <v>0</v>
      </c>
      <c r="AN7289" s="19">
        <v>269200</v>
      </c>
      <c r="AP7289" s="14">
        <v>269200</v>
      </c>
    </row>
    <row r="7290" spans="1:49" ht="42" x14ac:dyDescent="0.2">
      <c r="A7290" s="122">
        <f t="shared" si="726"/>
        <v>5998</v>
      </c>
      <c r="B7290" s="13">
        <v>4</v>
      </c>
      <c r="C7290" s="17" t="s">
        <v>52</v>
      </c>
      <c r="D7290" s="17">
        <v>23632</v>
      </c>
      <c r="E7290" s="17">
        <v>145</v>
      </c>
      <c r="F7290" s="17">
        <v>4814</v>
      </c>
      <c r="G7290" s="13">
        <v>3</v>
      </c>
      <c r="H7290" s="17">
        <v>0</v>
      </c>
      <c r="I7290" s="17">
        <v>1</v>
      </c>
      <c r="J7290" s="17">
        <v>42</v>
      </c>
      <c r="L7290" s="17" t="s">
        <v>758</v>
      </c>
      <c r="P7290" s="17">
        <v>2</v>
      </c>
      <c r="Q7290" s="19">
        <v>142</v>
      </c>
      <c r="R7290" s="14">
        <v>160</v>
      </c>
      <c r="S7290" s="19">
        <v>22720</v>
      </c>
      <c r="T7290" s="17">
        <v>1</v>
      </c>
      <c r="V7290" s="17" t="s">
        <v>183</v>
      </c>
      <c r="W7290" s="4">
        <v>78</v>
      </c>
      <c r="Y7290" s="4">
        <v>78</v>
      </c>
      <c r="AB7290" s="17">
        <v>14</v>
      </c>
      <c r="AJ7290" s="19">
        <v>0</v>
      </c>
      <c r="AK7290" s="23">
        <v>14</v>
      </c>
      <c r="AM7290" s="19">
        <v>0</v>
      </c>
      <c r="AN7290" s="19">
        <v>22720</v>
      </c>
      <c r="AP7290" s="14">
        <v>22720</v>
      </c>
    </row>
    <row r="7291" spans="1:49" ht="42" x14ac:dyDescent="0.2">
      <c r="A7291" s="122">
        <f t="shared" si="726"/>
        <v>5999</v>
      </c>
      <c r="B7291" s="13">
        <v>1</v>
      </c>
      <c r="C7291" s="17" t="s">
        <v>52</v>
      </c>
      <c r="D7291" s="17">
        <v>2238</v>
      </c>
      <c r="E7291" s="17">
        <v>17</v>
      </c>
      <c r="F7291" s="17">
        <v>1572</v>
      </c>
      <c r="G7291" s="13">
        <v>3</v>
      </c>
      <c r="H7291" s="17">
        <v>4</v>
      </c>
      <c r="I7291" s="17">
        <v>2</v>
      </c>
      <c r="J7291" s="17">
        <v>85</v>
      </c>
      <c r="K7291" s="10">
        <v>1873</v>
      </c>
      <c r="L7291" s="17">
        <v>12</v>
      </c>
      <c r="P7291" s="17">
        <v>5</v>
      </c>
      <c r="Q7291" s="19">
        <v>1885</v>
      </c>
      <c r="R7291" s="14">
        <v>200</v>
      </c>
      <c r="S7291" s="19">
        <v>377000</v>
      </c>
      <c r="T7291" s="17">
        <v>1</v>
      </c>
      <c r="V7291" s="17" t="s">
        <v>183</v>
      </c>
      <c r="W7291" s="4">
        <v>48</v>
      </c>
      <c r="Y7291" s="4">
        <v>48</v>
      </c>
      <c r="AB7291" s="17">
        <v>11</v>
      </c>
      <c r="AJ7291" s="19">
        <v>0</v>
      </c>
      <c r="AK7291" s="23">
        <v>11</v>
      </c>
      <c r="AM7291" s="19">
        <v>0</v>
      </c>
      <c r="AN7291" s="19">
        <v>377000</v>
      </c>
      <c r="AP7291" s="14">
        <v>377000</v>
      </c>
    </row>
    <row r="7292" spans="1:49" x14ac:dyDescent="0.2">
      <c r="A7292" s="122">
        <f t="shared" si="726"/>
        <v>6000</v>
      </c>
      <c r="B7292" s="13">
        <v>1</v>
      </c>
      <c r="C7292" s="17" t="s">
        <v>52</v>
      </c>
      <c r="D7292" s="17">
        <v>1476</v>
      </c>
      <c r="E7292" s="17">
        <v>8</v>
      </c>
      <c r="F7292" s="17">
        <v>1467</v>
      </c>
      <c r="G7292" s="13">
        <v>2</v>
      </c>
      <c r="H7292" s="17">
        <v>7</v>
      </c>
      <c r="I7292" s="17">
        <v>2</v>
      </c>
      <c r="J7292" s="17">
        <v>41</v>
      </c>
      <c r="K7292" s="10">
        <v>3041</v>
      </c>
      <c r="P7292" s="17">
        <v>1</v>
      </c>
      <c r="Q7292" s="19">
        <v>3041</v>
      </c>
      <c r="R7292" s="14">
        <v>750</v>
      </c>
      <c r="S7292" s="19">
        <v>2280750</v>
      </c>
      <c r="AJ7292" s="19">
        <v>0</v>
      </c>
      <c r="AK7292" s="23">
        <v>0</v>
      </c>
      <c r="AM7292" s="19">
        <v>0</v>
      </c>
      <c r="AN7292" s="19">
        <v>2280750</v>
      </c>
      <c r="AP7292" s="14">
        <v>2280750</v>
      </c>
      <c r="AS7292" s="26">
        <v>3984</v>
      </c>
      <c r="AW7292" s="14" t="s">
        <v>119</v>
      </c>
    </row>
    <row r="7293" spans="1:49" x14ac:dyDescent="0.2">
      <c r="A7293" s="122">
        <f t="shared" si="726"/>
        <v>6001</v>
      </c>
      <c r="B7293" s="13">
        <v>2</v>
      </c>
      <c r="C7293" s="17" t="s">
        <v>52</v>
      </c>
      <c r="D7293" s="17">
        <v>1533</v>
      </c>
      <c r="E7293" s="17">
        <v>26</v>
      </c>
      <c r="F7293" s="17">
        <v>449</v>
      </c>
      <c r="G7293" s="13">
        <v>2</v>
      </c>
      <c r="H7293" s="17">
        <v>12</v>
      </c>
      <c r="I7293" s="17">
        <v>3</v>
      </c>
      <c r="J7293" s="17">
        <v>49</v>
      </c>
      <c r="K7293" s="10">
        <v>5149</v>
      </c>
      <c r="P7293" s="17">
        <v>1</v>
      </c>
      <c r="Q7293" s="19">
        <v>5149</v>
      </c>
      <c r="R7293" s="14">
        <v>750</v>
      </c>
      <c r="S7293" s="19">
        <v>3861750</v>
      </c>
      <c r="AJ7293" s="19">
        <v>0</v>
      </c>
      <c r="AK7293" s="23">
        <v>0</v>
      </c>
      <c r="AM7293" s="19">
        <v>0</v>
      </c>
      <c r="AN7293" s="19">
        <v>3861750</v>
      </c>
      <c r="AP7293" s="14">
        <v>3861750</v>
      </c>
    </row>
    <row r="7294" spans="1:49" x14ac:dyDescent="0.2">
      <c r="A7294" s="122">
        <f t="shared" si="726"/>
        <v>6002</v>
      </c>
      <c r="B7294" s="13">
        <v>3</v>
      </c>
      <c r="C7294" s="17" t="s">
        <v>52</v>
      </c>
      <c r="D7294" s="17">
        <v>1534</v>
      </c>
      <c r="E7294" s="17">
        <v>67</v>
      </c>
      <c r="F7294" s="17">
        <v>450</v>
      </c>
      <c r="G7294" s="13">
        <v>2</v>
      </c>
      <c r="H7294" s="17">
        <v>12</v>
      </c>
      <c r="I7294" s="17">
        <v>0</v>
      </c>
      <c r="J7294" s="17">
        <v>5</v>
      </c>
      <c r="K7294" s="10">
        <v>4805</v>
      </c>
      <c r="P7294" s="17">
        <v>1</v>
      </c>
      <c r="Q7294" s="19">
        <v>4805</v>
      </c>
      <c r="R7294" s="14">
        <v>160</v>
      </c>
      <c r="S7294" s="19">
        <v>768800</v>
      </c>
      <c r="AJ7294" s="19">
        <v>0</v>
      </c>
      <c r="AK7294" s="23">
        <v>0</v>
      </c>
      <c r="AM7294" s="19">
        <v>0</v>
      </c>
      <c r="AN7294" s="19">
        <v>768800</v>
      </c>
      <c r="AP7294" s="14">
        <v>768800</v>
      </c>
    </row>
    <row r="7295" spans="1:49" x14ac:dyDescent="0.2">
      <c r="A7295" s="122">
        <f t="shared" si="726"/>
        <v>6003</v>
      </c>
      <c r="B7295" s="13">
        <v>4</v>
      </c>
      <c r="C7295" s="17" t="s">
        <v>52</v>
      </c>
      <c r="D7295" s="17">
        <v>1536</v>
      </c>
      <c r="E7295" s="17">
        <v>65</v>
      </c>
      <c r="F7295" s="17">
        <v>452</v>
      </c>
      <c r="G7295" s="13">
        <v>2</v>
      </c>
      <c r="H7295" s="17">
        <v>6</v>
      </c>
      <c r="I7295" s="17">
        <v>2</v>
      </c>
      <c r="J7295" s="17">
        <v>11</v>
      </c>
      <c r="K7295" s="10">
        <v>2611</v>
      </c>
      <c r="P7295" s="17">
        <v>1</v>
      </c>
      <c r="Q7295" s="19">
        <v>2611</v>
      </c>
      <c r="R7295" s="14">
        <v>160</v>
      </c>
      <c r="S7295" s="19">
        <v>417760</v>
      </c>
      <c r="AJ7295" s="19">
        <v>0</v>
      </c>
      <c r="AK7295" s="23">
        <v>0</v>
      </c>
      <c r="AM7295" s="19">
        <v>0</v>
      </c>
      <c r="AN7295" s="19">
        <v>417760</v>
      </c>
      <c r="AP7295" s="14">
        <v>417760</v>
      </c>
    </row>
    <row r="7296" spans="1:49" x14ac:dyDescent="0.2">
      <c r="A7296" s="122">
        <f t="shared" si="726"/>
        <v>6004</v>
      </c>
      <c r="B7296" s="13">
        <v>5</v>
      </c>
      <c r="C7296" s="17" t="s">
        <v>52</v>
      </c>
      <c r="D7296" s="17">
        <v>1537</v>
      </c>
      <c r="E7296" s="17">
        <v>27</v>
      </c>
      <c r="F7296" s="17">
        <v>453</v>
      </c>
      <c r="G7296" s="13">
        <v>2</v>
      </c>
      <c r="H7296" s="17">
        <v>0</v>
      </c>
      <c r="I7296" s="17">
        <v>3</v>
      </c>
      <c r="J7296" s="17">
        <v>16</v>
      </c>
      <c r="K7296" s="10">
        <v>316</v>
      </c>
      <c r="P7296" s="17">
        <v>1</v>
      </c>
      <c r="Q7296" s="19">
        <v>316</v>
      </c>
      <c r="R7296" s="14">
        <v>2250</v>
      </c>
      <c r="S7296" s="19">
        <v>711000</v>
      </c>
      <c r="AJ7296" s="19">
        <v>0</v>
      </c>
      <c r="AK7296" s="23">
        <v>0</v>
      </c>
      <c r="AM7296" s="19">
        <v>0</v>
      </c>
      <c r="AN7296" s="19">
        <v>711000</v>
      </c>
      <c r="AP7296" s="14">
        <v>711000</v>
      </c>
    </row>
    <row r="7297" spans="1:44" s="26" customFormat="1" x14ac:dyDescent="0.2">
      <c r="A7297" s="122">
        <f t="shared" si="726"/>
        <v>6005</v>
      </c>
      <c r="B7297" s="13">
        <v>6</v>
      </c>
      <c r="C7297" s="17" t="s">
        <v>52</v>
      </c>
      <c r="D7297" s="17">
        <v>1538</v>
      </c>
      <c r="E7297" s="17">
        <v>28</v>
      </c>
      <c r="F7297" s="17">
        <v>454</v>
      </c>
      <c r="G7297" s="13">
        <v>2</v>
      </c>
      <c r="H7297" s="17">
        <v>0</v>
      </c>
      <c r="I7297" s="17">
        <v>3</v>
      </c>
      <c r="J7297" s="17">
        <v>8</v>
      </c>
      <c r="K7297" s="10">
        <v>308</v>
      </c>
      <c r="L7297" s="17"/>
      <c r="M7297" s="15"/>
      <c r="N7297" s="18"/>
      <c r="O7297" s="14"/>
      <c r="P7297" s="17">
        <v>1</v>
      </c>
      <c r="Q7297" s="19">
        <v>308</v>
      </c>
      <c r="R7297" s="14">
        <v>2250</v>
      </c>
      <c r="S7297" s="19">
        <v>693000</v>
      </c>
      <c r="T7297" s="17"/>
      <c r="U7297" s="17"/>
      <c r="V7297" s="17"/>
      <c r="W7297" s="4"/>
      <c r="X7297" s="17"/>
      <c r="Y7297" s="4"/>
      <c r="Z7297" s="17"/>
      <c r="AA7297" s="17"/>
      <c r="AB7297" s="17"/>
      <c r="AC7297" s="14"/>
      <c r="AD7297" s="14"/>
      <c r="AE7297" s="17"/>
      <c r="AF7297" s="14"/>
      <c r="AG7297" s="54"/>
      <c r="AH7297" s="11"/>
      <c r="AI7297" s="14"/>
      <c r="AJ7297" s="19">
        <v>0</v>
      </c>
      <c r="AK7297" s="23">
        <v>0</v>
      </c>
      <c r="AL7297" s="11"/>
      <c r="AM7297" s="19">
        <v>0</v>
      </c>
      <c r="AN7297" s="19">
        <v>693000</v>
      </c>
      <c r="AO7297" s="14"/>
      <c r="AP7297" s="14">
        <v>693000</v>
      </c>
      <c r="AQ7297" s="12"/>
      <c r="AR7297" s="19"/>
    </row>
    <row r="7298" spans="1:44" s="26" customFormat="1" x14ac:dyDescent="0.2">
      <c r="A7298" s="122">
        <f t="shared" si="726"/>
        <v>6006</v>
      </c>
      <c r="B7298" s="13">
        <v>7</v>
      </c>
      <c r="C7298" s="17" t="s">
        <v>52</v>
      </c>
      <c r="D7298" s="17">
        <v>1539</v>
      </c>
      <c r="E7298" s="17">
        <v>29</v>
      </c>
      <c r="F7298" s="17">
        <v>455</v>
      </c>
      <c r="G7298" s="13">
        <v>2</v>
      </c>
      <c r="H7298" s="17">
        <v>0</v>
      </c>
      <c r="I7298" s="17">
        <v>2</v>
      </c>
      <c r="J7298" s="17">
        <v>48</v>
      </c>
      <c r="K7298" s="10">
        <v>248</v>
      </c>
      <c r="L7298" s="17"/>
      <c r="M7298" s="15"/>
      <c r="N7298" s="18"/>
      <c r="O7298" s="14"/>
      <c r="P7298" s="17">
        <v>1</v>
      </c>
      <c r="Q7298" s="19">
        <v>248</v>
      </c>
      <c r="R7298" s="14">
        <v>2250</v>
      </c>
      <c r="S7298" s="19">
        <v>558000</v>
      </c>
      <c r="T7298" s="17"/>
      <c r="U7298" s="17"/>
      <c r="V7298" s="17"/>
      <c r="W7298" s="4"/>
      <c r="X7298" s="17"/>
      <c r="Y7298" s="4"/>
      <c r="Z7298" s="17"/>
      <c r="AA7298" s="17"/>
      <c r="AB7298" s="17"/>
      <c r="AC7298" s="14"/>
      <c r="AD7298" s="14"/>
      <c r="AE7298" s="17"/>
      <c r="AF7298" s="14"/>
      <c r="AG7298" s="54"/>
      <c r="AH7298" s="11"/>
      <c r="AI7298" s="14"/>
      <c r="AJ7298" s="19">
        <v>0</v>
      </c>
      <c r="AK7298" s="23">
        <v>0</v>
      </c>
      <c r="AL7298" s="11"/>
      <c r="AM7298" s="19">
        <v>0</v>
      </c>
      <c r="AN7298" s="19">
        <v>558000</v>
      </c>
      <c r="AO7298" s="14"/>
      <c r="AP7298" s="14">
        <v>558000</v>
      </c>
      <c r="AQ7298" s="12"/>
      <c r="AR7298" s="19"/>
    </row>
    <row r="7299" spans="1:44" s="26" customFormat="1" ht="63" x14ac:dyDescent="0.2">
      <c r="A7299" s="122">
        <f t="shared" si="726"/>
        <v>6007</v>
      </c>
      <c r="B7299" s="13">
        <v>8</v>
      </c>
      <c r="C7299" s="17" t="s">
        <v>52</v>
      </c>
      <c r="D7299" s="17">
        <v>1904</v>
      </c>
      <c r="E7299" s="17">
        <v>80</v>
      </c>
      <c r="F7299" s="17">
        <v>490</v>
      </c>
      <c r="G7299" s="13">
        <v>2</v>
      </c>
      <c r="H7299" s="17">
        <v>0</v>
      </c>
      <c r="I7299" s="17">
        <v>1</v>
      </c>
      <c r="J7299" s="17">
        <v>42</v>
      </c>
      <c r="K7299" s="10"/>
      <c r="L7299" s="17" t="s">
        <v>758</v>
      </c>
      <c r="M7299" s="15"/>
      <c r="N7299" s="18"/>
      <c r="O7299" s="14"/>
      <c r="P7299" s="17">
        <v>3</v>
      </c>
      <c r="Q7299" s="19">
        <v>142</v>
      </c>
      <c r="R7299" s="14">
        <v>4500</v>
      </c>
      <c r="S7299" s="19">
        <v>639000</v>
      </c>
      <c r="T7299" s="17"/>
      <c r="U7299" s="17" t="s">
        <v>57</v>
      </c>
      <c r="V7299" s="17" t="s">
        <v>56</v>
      </c>
      <c r="W7299" s="4">
        <v>220</v>
      </c>
      <c r="X7299" s="17"/>
      <c r="Y7299" s="4"/>
      <c r="Z7299" s="17" t="s">
        <v>572</v>
      </c>
      <c r="AA7299" s="17"/>
      <c r="AB7299" s="17" t="s">
        <v>615</v>
      </c>
      <c r="AC7299" s="14"/>
      <c r="AD7299" s="14"/>
      <c r="AE7299" s="17" t="s">
        <v>125</v>
      </c>
      <c r="AF7299" s="14">
        <v>3</v>
      </c>
      <c r="AG7299" s="54">
        <v>220</v>
      </c>
      <c r="AH7299" s="11">
        <v>1</v>
      </c>
      <c r="AI7299" s="14">
        <v>7250</v>
      </c>
      <c r="AJ7299" s="19">
        <v>1595000</v>
      </c>
      <c r="AK7299" s="23" t="s">
        <v>615</v>
      </c>
      <c r="AL7299" s="11">
        <v>0.6</v>
      </c>
      <c r="AM7299" s="19">
        <v>638000</v>
      </c>
      <c r="AN7299" s="19">
        <v>1277000</v>
      </c>
      <c r="AO7299" s="14"/>
      <c r="AP7299" s="14">
        <v>1277000</v>
      </c>
      <c r="AQ7299" s="12">
        <v>3.0000000000000001E-3</v>
      </c>
      <c r="AR7299" s="19"/>
    </row>
    <row r="7300" spans="1:44" s="26" customFormat="1" x14ac:dyDescent="0.2">
      <c r="A7300" s="122">
        <f t="shared" si="726"/>
        <v>6008</v>
      </c>
      <c r="B7300" s="13">
        <v>9</v>
      </c>
      <c r="C7300" s="17" t="s">
        <v>52</v>
      </c>
      <c r="D7300" s="17">
        <v>3623</v>
      </c>
      <c r="E7300" s="17">
        <v>62</v>
      </c>
      <c r="F7300" s="17">
        <v>2352</v>
      </c>
      <c r="G7300" s="13">
        <v>2</v>
      </c>
      <c r="H7300" s="17">
        <v>30</v>
      </c>
      <c r="I7300" s="17">
        <v>2</v>
      </c>
      <c r="J7300" s="17">
        <v>74</v>
      </c>
      <c r="K7300" s="10">
        <v>12274</v>
      </c>
      <c r="L7300" s="17"/>
      <c r="M7300" s="15"/>
      <c r="N7300" s="18"/>
      <c r="O7300" s="14"/>
      <c r="P7300" s="17">
        <v>1</v>
      </c>
      <c r="Q7300" s="19">
        <v>12274</v>
      </c>
      <c r="R7300" s="14">
        <v>200</v>
      </c>
      <c r="S7300" s="19">
        <v>2454800</v>
      </c>
      <c r="T7300" s="17"/>
      <c r="U7300" s="17"/>
      <c r="V7300" s="17"/>
      <c r="W7300" s="4"/>
      <c r="X7300" s="17"/>
      <c r="Y7300" s="4"/>
      <c r="Z7300" s="17"/>
      <c r="AA7300" s="17"/>
      <c r="AB7300" s="17"/>
      <c r="AC7300" s="14"/>
      <c r="AD7300" s="14"/>
      <c r="AE7300" s="17"/>
      <c r="AF7300" s="14"/>
      <c r="AG7300" s="54"/>
      <c r="AH7300" s="11"/>
      <c r="AI7300" s="14"/>
      <c r="AJ7300" s="19">
        <v>0</v>
      </c>
      <c r="AK7300" s="23">
        <v>0</v>
      </c>
      <c r="AL7300" s="11"/>
      <c r="AM7300" s="19">
        <v>0</v>
      </c>
      <c r="AN7300" s="19">
        <v>2454800</v>
      </c>
      <c r="AO7300" s="14"/>
      <c r="AP7300" s="14">
        <v>2454800</v>
      </c>
      <c r="AQ7300" s="12"/>
      <c r="AR7300" s="19"/>
    </row>
    <row r="7301" spans="1:44" s="26" customFormat="1" x14ac:dyDescent="0.2">
      <c r="A7301" s="122">
        <f t="shared" si="726"/>
        <v>6009</v>
      </c>
      <c r="B7301" s="13">
        <v>10</v>
      </c>
      <c r="C7301" s="17" t="s">
        <v>52</v>
      </c>
      <c r="D7301" s="17">
        <v>3626</v>
      </c>
      <c r="E7301" s="17">
        <v>4</v>
      </c>
      <c r="F7301" s="17">
        <v>2356</v>
      </c>
      <c r="G7301" s="13">
        <v>2</v>
      </c>
      <c r="H7301" s="17">
        <v>18</v>
      </c>
      <c r="I7301" s="17">
        <v>3</v>
      </c>
      <c r="J7301" s="17">
        <v>94</v>
      </c>
      <c r="K7301" s="10">
        <v>7594</v>
      </c>
      <c r="L7301" s="17"/>
      <c r="M7301" s="15"/>
      <c r="N7301" s="18"/>
      <c r="O7301" s="14"/>
      <c r="P7301" s="17">
        <v>1</v>
      </c>
      <c r="Q7301" s="19">
        <v>7594</v>
      </c>
      <c r="R7301" s="14">
        <v>200</v>
      </c>
      <c r="S7301" s="19">
        <v>1518800</v>
      </c>
      <c r="T7301" s="17"/>
      <c r="U7301" s="17"/>
      <c r="V7301" s="17"/>
      <c r="W7301" s="4"/>
      <c r="X7301" s="17"/>
      <c r="Y7301" s="4"/>
      <c r="Z7301" s="17"/>
      <c r="AA7301" s="17"/>
      <c r="AB7301" s="17"/>
      <c r="AC7301" s="14"/>
      <c r="AD7301" s="14"/>
      <c r="AE7301" s="17"/>
      <c r="AF7301" s="14"/>
      <c r="AG7301" s="54"/>
      <c r="AH7301" s="11"/>
      <c r="AI7301" s="14"/>
      <c r="AJ7301" s="19">
        <v>0</v>
      </c>
      <c r="AK7301" s="23">
        <v>0</v>
      </c>
      <c r="AL7301" s="11"/>
      <c r="AM7301" s="19">
        <v>0</v>
      </c>
      <c r="AN7301" s="19">
        <v>1518800</v>
      </c>
      <c r="AO7301" s="14"/>
      <c r="AP7301" s="14">
        <v>1518800</v>
      </c>
      <c r="AQ7301" s="12"/>
      <c r="AR7301" s="19"/>
    </row>
    <row r="7302" spans="1:44" s="26" customFormat="1" x14ac:dyDescent="0.2">
      <c r="A7302" s="122">
        <f t="shared" si="726"/>
        <v>6010</v>
      </c>
      <c r="B7302" s="13">
        <v>11</v>
      </c>
      <c r="C7302" s="17" t="s">
        <v>52</v>
      </c>
      <c r="D7302" s="17">
        <v>3627</v>
      </c>
      <c r="E7302" s="17">
        <v>103</v>
      </c>
      <c r="F7302" s="17">
        <v>2357</v>
      </c>
      <c r="G7302" s="13">
        <v>2</v>
      </c>
      <c r="H7302" s="17">
        <v>27</v>
      </c>
      <c r="I7302" s="17">
        <v>1</v>
      </c>
      <c r="J7302" s="17">
        <v>13</v>
      </c>
      <c r="K7302" s="10">
        <v>10913</v>
      </c>
      <c r="L7302" s="17"/>
      <c r="M7302" s="15"/>
      <c r="N7302" s="18"/>
      <c r="O7302" s="14"/>
      <c r="P7302" s="17">
        <v>1</v>
      </c>
      <c r="Q7302" s="19">
        <v>10913</v>
      </c>
      <c r="R7302" s="14">
        <v>200</v>
      </c>
      <c r="S7302" s="19">
        <v>2182600</v>
      </c>
      <c r="T7302" s="17"/>
      <c r="U7302" s="17"/>
      <c r="V7302" s="17"/>
      <c r="W7302" s="4"/>
      <c r="X7302" s="17"/>
      <c r="Y7302" s="4"/>
      <c r="Z7302" s="17"/>
      <c r="AA7302" s="17"/>
      <c r="AB7302" s="17"/>
      <c r="AC7302" s="14"/>
      <c r="AD7302" s="14"/>
      <c r="AE7302" s="17"/>
      <c r="AF7302" s="14"/>
      <c r="AG7302" s="54"/>
      <c r="AH7302" s="11"/>
      <c r="AI7302" s="14"/>
      <c r="AJ7302" s="19">
        <v>0</v>
      </c>
      <c r="AK7302" s="23">
        <v>0</v>
      </c>
      <c r="AL7302" s="11"/>
      <c r="AM7302" s="19">
        <v>0</v>
      </c>
      <c r="AN7302" s="19">
        <v>2182600</v>
      </c>
      <c r="AO7302" s="14"/>
      <c r="AP7302" s="14">
        <v>2182600</v>
      </c>
      <c r="AQ7302" s="12"/>
      <c r="AR7302" s="19"/>
    </row>
    <row r="7303" spans="1:44" s="26" customFormat="1" x14ac:dyDescent="0.2">
      <c r="A7303" s="122">
        <f t="shared" si="726"/>
        <v>6011</v>
      </c>
      <c r="B7303" s="13">
        <v>12</v>
      </c>
      <c r="C7303" s="17" t="s">
        <v>52</v>
      </c>
      <c r="D7303" s="17">
        <v>3628</v>
      </c>
      <c r="E7303" s="17">
        <v>1</v>
      </c>
      <c r="F7303" s="17">
        <v>2358</v>
      </c>
      <c r="G7303" s="13">
        <v>2</v>
      </c>
      <c r="H7303" s="17">
        <v>17</v>
      </c>
      <c r="I7303" s="17">
        <v>1</v>
      </c>
      <c r="J7303" s="17">
        <v>84</v>
      </c>
      <c r="K7303" s="10">
        <v>6984</v>
      </c>
      <c r="L7303" s="17"/>
      <c r="M7303" s="15"/>
      <c r="N7303" s="18"/>
      <c r="O7303" s="14"/>
      <c r="P7303" s="17">
        <v>1</v>
      </c>
      <c r="Q7303" s="19">
        <v>6984</v>
      </c>
      <c r="R7303" s="14">
        <v>200</v>
      </c>
      <c r="S7303" s="19">
        <v>1396800</v>
      </c>
      <c r="T7303" s="17"/>
      <c r="U7303" s="17"/>
      <c r="V7303" s="17"/>
      <c r="W7303" s="4"/>
      <c r="X7303" s="17"/>
      <c r="Y7303" s="4"/>
      <c r="Z7303" s="17"/>
      <c r="AA7303" s="17"/>
      <c r="AB7303" s="17"/>
      <c r="AC7303" s="14"/>
      <c r="AD7303" s="14"/>
      <c r="AE7303" s="17"/>
      <c r="AF7303" s="14"/>
      <c r="AG7303" s="54"/>
      <c r="AH7303" s="11"/>
      <c r="AI7303" s="14"/>
      <c r="AJ7303" s="19">
        <v>0</v>
      </c>
      <c r="AK7303" s="23">
        <v>0</v>
      </c>
      <c r="AL7303" s="11"/>
      <c r="AM7303" s="19">
        <v>0</v>
      </c>
      <c r="AN7303" s="19">
        <v>1396800</v>
      </c>
      <c r="AO7303" s="14"/>
      <c r="AP7303" s="14">
        <v>1396800</v>
      </c>
      <c r="AQ7303" s="12"/>
      <c r="AR7303" s="19"/>
    </row>
    <row r="7304" spans="1:44" s="26" customFormat="1" x14ac:dyDescent="0.2">
      <c r="A7304" s="122">
        <f t="shared" si="726"/>
        <v>6012</v>
      </c>
      <c r="B7304" s="13">
        <v>13</v>
      </c>
      <c r="C7304" s="17" t="s">
        <v>52</v>
      </c>
      <c r="D7304" s="17">
        <v>3629</v>
      </c>
      <c r="E7304" s="17">
        <v>2</v>
      </c>
      <c r="F7304" s="17">
        <v>2359</v>
      </c>
      <c r="G7304" s="13">
        <v>2</v>
      </c>
      <c r="H7304" s="17">
        <v>15</v>
      </c>
      <c r="I7304" s="17">
        <v>1</v>
      </c>
      <c r="J7304" s="17">
        <v>87</v>
      </c>
      <c r="K7304" s="10">
        <v>6187</v>
      </c>
      <c r="L7304" s="17"/>
      <c r="M7304" s="15"/>
      <c r="N7304" s="18"/>
      <c r="O7304" s="14"/>
      <c r="P7304" s="17">
        <v>1</v>
      </c>
      <c r="Q7304" s="19">
        <v>6187</v>
      </c>
      <c r="R7304" s="14">
        <v>200</v>
      </c>
      <c r="S7304" s="19">
        <v>1237400</v>
      </c>
      <c r="T7304" s="17"/>
      <c r="U7304" s="17"/>
      <c r="V7304" s="17"/>
      <c r="W7304" s="4"/>
      <c r="X7304" s="17"/>
      <c r="Y7304" s="4"/>
      <c r="Z7304" s="17"/>
      <c r="AA7304" s="17"/>
      <c r="AB7304" s="17"/>
      <c r="AC7304" s="14"/>
      <c r="AD7304" s="14"/>
      <c r="AE7304" s="17"/>
      <c r="AF7304" s="14"/>
      <c r="AG7304" s="54"/>
      <c r="AH7304" s="11"/>
      <c r="AI7304" s="14"/>
      <c r="AJ7304" s="19">
        <v>0</v>
      </c>
      <c r="AK7304" s="23">
        <v>0</v>
      </c>
      <c r="AL7304" s="11"/>
      <c r="AM7304" s="19">
        <v>0</v>
      </c>
      <c r="AN7304" s="19">
        <v>1237400</v>
      </c>
      <c r="AO7304" s="14"/>
      <c r="AP7304" s="14">
        <v>1237400</v>
      </c>
      <c r="AQ7304" s="12"/>
      <c r="AR7304" s="19"/>
    </row>
    <row r="7305" spans="1:44" s="26" customFormat="1" x14ac:dyDescent="0.2">
      <c r="A7305" s="122">
        <f t="shared" si="726"/>
        <v>6013</v>
      </c>
      <c r="B7305" s="13">
        <v>14</v>
      </c>
      <c r="C7305" s="17" t="s">
        <v>52</v>
      </c>
      <c r="D7305" s="17">
        <v>3630</v>
      </c>
      <c r="E7305" s="17">
        <v>3</v>
      </c>
      <c r="F7305" s="17">
        <v>2360</v>
      </c>
      <c r="G7305" s="13">
        <v>2</v>
      </c>
      <c r="H7305" s="17">
        <v>28</v>
      </c>
      <c r="I7305" s="17">
        <v>1</v>
      </c>
      <c r="J7305" s="17">
        <v>55</v>
      </c>
      <c r="K7305" s="10">
        <v>11355</v>
      </c>
      <c r="L7305" s="17"/>
      <c r="M7305" s="15"/>
      <c r="N7305" s="18"/>
      <c r="O7305" s="14"/>
      <c r="P7305" s="17">
        <v>1</v>
      </c>
      <c r="Q7305" s="19">
        <v>11355</v>
      </c>
      <c r="R7305" s="14">
        <v>200</v>
      </c>
      <c r="S7305" s="19">
        <v>2271000</v>
      </c>
      <c r="T7305" s="17"/>
      <c r="U7305" s="17"/>
      <c r="V7305" s="17"/>
      <c r="W7305" s="4"/>
      <c r="X7305" s="17"/>
      <c r="Y7305" s="4"/>
      <c r="Z7305" s="17"/>
      <c r="AA7305" s="17"/>
      <c r="AB7305" s="17"/>
      <c r="AC7305" s="14"/>
      <c r="AD7305" s="14"/>
      <c r="AE7305" s="17"/>
      <c r="AF7305" s="14"/>
      <c r="AG7305" s="54"/>
      <c r="AH7305" s="11"/>
      <c r="AI7305" s="14"/>
      <c r="AJ7305" s="19">
        <v>0</v>
      </c>
      <c r="AK7305" s="23">
        <v>0</v>
      </c>
      <c r="AL7305" s="11"/>
      <c r="AM7305" s="19">
        <v>0</v>
      </c>
      <c r="AN7305" s="19">
        <v>2271000</v>
      </c>
      <c r="AO7305" s="14"/>
      <c r="AP7305" s="14">
        <v>2271000</v>
      </c>
      <c r="AQ7305" s="12"/>
      <c r="AR7305" s="19"/>
    </row>
    <row r="7306" spans="1:44" s="26" customFormat="1" x14ac:dyDescent="0.2">
      <c r="A7306" s="122">
        <f t="shared" si="726"/>
        <v>6014</v>
      </c>
      <c r="B7306" s="13">
        <v>15</v>
      </c>
      <c r="C7306" s="17" t="s">
        <v>52</v>
      </c>
      <c r="D7306" s="17">
        <v>3631</v>
      </c>
      <c r="E7306" s="17">
        <v>4</v>
      </c>
      <c r="F7306" s="17">
        <v>2361</v>
      </c>
      <c r="G7306" s="13">
        <v>2</v>
      </c>
      <c r="H7306" s="17">
        <v>27</v>
      </c>
      <c r="I7306" s="17">
        <v>3</v>
      </c>
      <c r="J7306" s="17">
        <v>31</v>
      </c>
      <c r="K7306" s="10">
        <v>11131</v>
      </c>
      <c r="L7306" s="17"/>
      <c r="M7306" s="15"/>
      <c r="N7306" s="18"/>
      <c r="O7306" s="14"/>
      <c r="P7306" s="17">
        <v>1</v>
      </c>
      <c r="Q7306" s="19">
        <v>11131</v>
      </c>
      <c r="R7306" s="14">
        <v>200</v>
      </c>
      <c r="S7306" s="19">
        <v>2226200</v>
      </c>
      <c r="T7306" s="17"/>
      <c r="U7306" s="17"/>
      <c r="V7306" s="17"/>
      <c r="W7306" s="4"/>
      <c r="X7306" s="17"/>
      <c r="Y7306" s="4"/>
      <c r="Z7306" s="17"/>
      <c r="AA7306" s="17"/>
      <c r="AB7306" s="17"/>
      <c r="AC7306" s="14"/>
      <c r="AD7306" s="14"/>
      <c r="AE7306" s="17"/>
      <c r="AF7306" s="14"/>
      <c r="AG7306" s="54"/>
      <c r="AH7306" s="11"/>
      <c r="AI7306" s="14"/>
      <c r="AJ7306" s="19">
        <v>0</v>
      </c>
      <c r="AK7306" s="23">
        <v>0</v>
      </c>
      <c r="AL7306" s="11"/>
      <c r="AM7306" s="19">
        <v>0</v>
      </c>
      <c r="AN7306" s="19">
        <v>2226200</v>
      </c>
      <c r="AO7306" s="14"/>
      <c r="AP7306" s="14">
        <v>2226200</v>
      </c>
      <c r="AQ7306" s="12"/>
      <c r="AR7306" s="19"/>
    </row>
    <row r="7307" spans="1:44" s="26" customFormat="1" x14ac:dyDescent="0.2">
      <c r="A7307" s="122">
        <f t="shared" si="726"/>
        <v>6015</v>
      </c>
      <c r="B7307" s="13">
        <v>16</v>
      </c>
      <c r="C7307" s="17" t="s">
        <v>52</v>
      </c>
      <c r="D7307" s="17">
        <v>3632</v>
      </c>
      <c r="E7307" s="17">
        <v>5</v>
      </c>
      <c r="F7307" s="17">
        <v>2362</v>
      </c>
      <c r="G7307" s="13">
        <v>2</v>
      </c>
      <c r="H7307" s="17">
        <v>21</v>
      </c>
      <c r="I7307" s="17">
        <v>1</v>
      </c>
      <c r="J7307" s="17">
        <v>45</v>
      </c>
      <c r="K7307" s="10">
        <v>8548</v>
      </c>
      <c r="L7307" s="17"/>
      <c r="M7307" s="15"/>
      <c r="N7307" s="18"/>
      <c r="O7307" s="14"/>
      <c r="P7307" s="17">
        <v>1</v>
      </c>
      <c r="Q7307" s="19">
        <v>8545</v>
      </c>
      <c r="R7307" s="14">
        <v>200</v>
      </c>
      <c r="S7307" s="19">
        <v>1709000</v>
      </c>
      <c r="T7307" s="17"/>
      <c r="U7307" s="17"/>
      <c r="V7307" s="17"/>
      <c r="W7307" s="4"/>
      <c r="X7307" s="17"/>
      <c r="Y7307" s="4"/>
      <c r="Z7307" s="17"/>
      <c r="AA7307" s="17"/>
      <c r="AB7307" s="17"/>
      <c r="AC7307" s="14"/>
      <c r="AD7307" s="14"/>
      <c r="AE7307" s="17"/>
      <c r="AF7307" s="14"/>
      <c r="AG7307" s="54"/>
      <c r="AH7307" s="11"/>
      <c r="AI7307" s="14"/>
      <c r="AJ7307" s="19">
        <v>0</v>
      </c>
      <c r="AK7307" s="23">
        <v>0</v>
      </c>
      <c r="AL7307" s="11"/>
      <c r="AM7307" s="19">
        <v>0</v>
      </c>
      <c r="AN7307" s="19">
        <v>1709000</v>
      </c>
      <c r="AO7307" s="14"/>
      <c r="AP7307" s="14">
        <v>1709000</v>
      </c>
      <c r="AQ7307" s="12"/>
      <c r="AR7307" s="19"/>
    </row>
    <row r="7308" spans="1:44" s="26" customFormat="1" x14ac:dyDescent="0.2">
      <c r="A7308" s="122">
        <f t="shared" si="726"/>
        <v>6016</v>
      </c>
      <c r="B7308" s="13">
        <v>17</v>
      </c>
      <c r="C7308" s="17" t="s">
        <v>52</v>
      </c>
      <c r="D7308" s="17">
        <v>3637</v>
      </c>
      <c r="E7308" s="17">
        <v>1</v>
      </c>
      <c r="F7308" s="17">
        <v>2367</v>
      </c>
      <c r="G7308" s="13">
        <v>2</v>
      </c>
      <c r="H7308" s="17">
        <v>16</v>
      </c>
      <c r="I7308" s="17">
        <v>1</v>
      </c>
      <c r="J7308" s="17">
        <v>58</v>
      </c>
      <c r="K7308" s="10">
        <v>6558</v>
      </c>
      <c r="L7308" s="17"/>
      <c r="M7308" s="15"/>
      <c r="N7308" s="18"/>
      <c r="O7308" s="14"/>
      <c r="P7308" s="17">
        <v>1</v>
      </c>
      <c r="Q7308" s="19">
        <v>6558</v>
      </c>
      <c r="R7308" s="14">
        <v>200</v>
      </c>
      <c r="S7308" s="19">
        <v>1311600</v>
      </c>
      <c r="T7308" s="17"/>
      <c r="U7308" s="17"/>
      <c r="V7308" s="17"/>
      <c r="W7308" s="4"/>
      <c r="X7308" s="17"/>
      <c r="Y7308" s="4"/>
      <c r="Z7308" s="17"/>
      <c r="AA7308" s="17"/>
      <c r="AB7308" s="17"/>
      <c r="AC7308" s="14"/>
      <c r="AD7308" s="14"/>
      <c r="AE7308" s="17"/>
      <c r="AF7308" s="14"/>
      <c r="AG7308" s="54"/>
      <c r="AH7308" s="11"/>
      <c r="AI7308" s="14"/>
      <c r="AJ7308" s="19">
        <v>0</v>
      </c>
      <c r="AK7308" s="23">
        <v>0</v>
      </c>
      <c r="AL7308" s="11"/>
      <c r="AM7308" s="19">
        <v>0</v>
      </c>
      <c r="AN7308" s="19">
        <v>1311600</v>
      </c>
      <c r="AO7308" s="14"/>
      <c r="AP7308" s="14">
        <v>1311600</v>
      </c>
      <c r="AQ7308" s="12"/>
      <c r="AR7308" s="19"/>
    </row>
    <row r="7309" spans="1:44" s="26" customFormat="1" x14ac:dyDescent="0.2">
      <c r="A7309" s="122">
        <f t="shared" si="726"/>
        <v>6017</v>
      </c>
      <c r="B7309" s="13">
        <v>18</v>
      </c>
      <c r="C7309" s="17" t="s">
        <v>52</v>
      </c>
      <c r="D7309" s="17">
        <v>3638</v>
      </c>
      <c r="E7309" s="17">
        <v>3</v>
      </c>
      <c r="F7309" s="17">
        <v>2368</v>
      </c>
      <c r="G7309" s="13">
        <v>2</v>
      </c>
      <c r="H7309" s="17">
        <v>9</v>
      </c>
      <c r="I7309" s="17">
        <v>2</v>
      </c>
      <c r="J7309" s="17">
        <v>79</v>
      </c>
      <c r="K7309" s="10">
        <v>3879</v>
      </c>
      <c r="L7309" s="17"/>
      <c r="M7309" s="15"/>
      <c r="N7309" s="18"/>
      <c r="O7309" s="14"/>
      <c r="P7309" s="17">
        <v>1</v>
      </c>
      <c r="Q7309" s="19">
        <v>3879</v>
      </c>
      <c r="R7309" s="14">
        <v>200</v>
      </c>
      <c r="S7309" s="19">
        <v>775800</v>
      </c>
      <c r="T7309" s="17"/>
      <c r="U7309" s="17"/>
      <c r="V7309" s="17"/>
      <c r="W7309" s="4"/>
      <c r="X7309" s="17"/>
      <c r="Y7309" s="4"/>
      <c r="Z7309" s="17"/>
      <c r="AA7309" s="17"/>
      <c r="AB7309" s="17"/>
      <c r="AC7309" s="14"/>
      <c r="AD7309" s="14"/>
      <c r="AE7309" s="17"/>
      <c r="AF7309" s="14"/>
      <c r="AG7309" s="54"/>
      <c r="AH7309" s="11"/>
      <c r="AI7309" s="14"/>
      <c r="AJ7309" s="19">
        <v>0</v>
      </c>
      <c r="AK7309" s="23">
        <v>0</v>
      </c>
      <c r="AL7309" s="11"/>
      <c r="AM7309" s="19">
        <v>0</v>
      </c>
      <c r="AN7309" s="19">
        <v>775800</v>
      </c>
      <c r="AO7309" s="14"/>
      <c r="AP7309" s="14">
        <v>775800</v>
      </c>
      <c r="AQ7309" s="12"/>
      <c r="AR7309" s="19"/>
    </row>
    <row r="7310" spans="1:44" s="26" customFormat="1" x14ac:dyDescent="0.2">
      <c r="A7310" s="122">
        <f t="shared" si="726"/>
        <v>6018</v>
      </c>
      <c r="B7310" s="13">
        <v>19</v>
      </c>
      <c r="C7310" s="17" t="s">
        <v>52</v>
      </c>
      <c r="D7310" s="17">
        <v>3639</v>
      </c>
      <c r="E7310" s="17">
        <v>4</v>
      </c>
      <c r="F7310" s="17">
        <v>2369</v>
      </c>
      <c r="G7310" s="13">
        <v>2</v>
      </c>
      <c r="H7310" s="17">
        <v>12</v>
      </c>
      <c r="I7310" s="17">
        <v>3</v>
      </c>
      <c r="J7310" s="17">
        <v>19</v>
      </c>
      <c r="K7310" s="10">
        <v>5119</v>
      </c>
      <c r="L7310" s="17"/>
      <c r="M7310" s="15"/>
      <c r="N7310" s="18"/>
      <c r="O7310" s="14"/>
      <c r="P7310" s="17">
        <v>1</v>
      </c>
      <c r="Q7310" s="19">
        <v>5119</v>
      </c>
      <c r="R7310" s="14">
        <v>200</v>
      </c>
      <c r="S7310" s="19">
        <v>1023800</v>
      </c>
      <c r="T7310" s="17"/>
      <c r="U7310" s="17"/>
      <c r="V7310" s="17"/>
      <c r="W7310" s="4"/>
      <c r="X7310" s="17"/>
      <c r="Y7310" s="4"/>
      <c r="Z7310" s="17"/>
      <c r="AA7310" s="17"/>
      <c r="AB7310" s="17"/>
      <c r="AC7310" s="14"/>
      <c r="AD7310" s="14"/>
      <c r="AE7310" s="17"/>
      <c r="AF7310" s="14"/>
      <c r="AG7310" s="54"/>
      <c r="AH7310" s="11"/>
      <c r="AI7310" s="14"/>
      <c r="AJ7310" s="19">
        <v>0</v>
      </c>
      <c r="AK7310" s="23">
        <v>0</v>
      </c>
      <c r="AL7310" s="11"/>
      <c r="AM7310" s="19">
        <v>0</v>
      </c>
      <c r="AN7310" s="19">
        <v>1023800</v>
      </c>
      <c r="AO7310" s="14"/>
      <c r="AP7310" s="14">
        <v>1023800</v>
      </c>
      <c r="AQ7310" s="12"/>
      <c r="AR7310" s="19"/>
    </row>
    <row r="7311" spans="1:44" s="26" customFormat="1" x14ac:dyDescent="0.2">
      <c r="A7311" s="122">
        <f t="shared" si="726"/>
        <v>6019</v>
      </c>
      <c r="B7311" s="13">
        <v>20</v>
      </c>
      <c r="C7311" s="17" t="s">
        <v>52</v>
      </c>
      <c r="D7311" s="17">
        <v>3640</v>
      </c>
      <c r="E7311" s="17">
        <v>6</v>
      </c>
      <c r="F7311" s="17">
        <v>2372</v>
      </c>
      <c r="G7311" s="13">
        <v>2</v>
      </c>
      <c r="H7311" s="17">
        <v>18</v>
      </c>
      <c r="I7311" s="17">
        <v>0</v>
      </c>
      <c r="J7311" s="17">
        <v>17</v>
      </c>
      <c r="K7311" s="10">
        <v>7217</v>
      </c>
      <c r="L7311" s="17"/>
      <c r="M7311" s="15"/>
      <c r="N7311" s="18"/>
      <c r="O7311" s="14"/>
      <c r="P7311" s="17">
        <v>1</v>
      </c>
      <c r="Q7311" s="19">
        <v>7217</v>
      </c>
      <c r="R7311" s="14">
        <v>200</v>
      </c>
      <c r="S7311" s="19">
        <v>1443400</v>
      </c>
      <c r="T7311" s="17"/>
      <c r="U7311" s="17"/>
      <c r="V7311" s="17"/>
      <c r="W7311" s="4"/>
      <c r="X7311" s="17"/>
      <c r="Y7311" s="4"/>
      <c r="Z7311" s="17"/>
      <c r="AA7311" s="17"/>
      <c r="AB7311" s="17"/>
      <c r="AC7311" s="14"/>
      <c r="AD7311" s="14"/>
      <c r="AE7311" s="17"/>
      <c r="AF7311" s="14"/>
      <c r="AG7311" s="54"/>
      <c r="AH7311" s="11"/>
      <c r="AI7311" s="14"/>
      <c r="AJ7311" s="19">
        <v>0</v>
      </c>
      <c r="AK7311" s="23">
        <v>0</v>
      </c>
      <c r="AL7311" s="11"/>
      <c r="AM7311" s="19">
        <v>0</v>
      </c>
      <c r="AN7311" s="19">
        <v>1443400</v>
      </c>
      <c r="AO7311" s="14"/>
      <c r="AP7311" s="14">
        <v>1443400</v>
      </c>
      <c r="AQ7311" s="12"/>
      <c r="AR7311" s="19"/>
    </row>
    <row r="7312" spans="1:44" s="26" customFormat="1" ht="105" x14ac:dyDescent="0.2">
      <c r="A7312" s="122">
        <f t="shared" si="726"/>
        <v>6020</v>
      </c>
      <c r="B7312" s="13">
        <v>21</v>
      </c>
      <c r="C7312" s="17" t="s">
        <v>52</v>
      </c>
      <c r="D7312" s="17">
        <v>3641</v>
      </c>
      <c r="E7312" s="17">
        <v>14</v>
      </c>
      <c r="F7312" s="17">
        <v>2373</v>
      </c>
      <c r="G7312" s="13">
        <v>2</v>
      </c>
      <c r="H7312" s="17">
        <v>16</v>
      </c>
      <c r="I7312" s="17">
        <v>2</v>
      </c>
      <c r="J7312" s="17">
        <v>89</v>
      </c>
      <c r="K7312" s="10">
        <v>6689</v>
      </c>
      <c r="L7312" s="17"/>
      <c r="M7312" s="15"/>
      <c r="N7312" s="18"/>
      <c r="O7312" s="14"/>
      <c r="P7312" s="17">
        <v>1</v>
      </c>
      <c r="Q7312" s="19">
        <v>6689</v>
      </c>
      <c r="R7312" s="14">
        <v>200</v>
      </c>
      <c r="S7312" s="19">
        <v>1337800</v>
      </c>
      <c r="T7312" s="17"/>
      <c r="U7312" s="17"/>
      <c r="V7312" s="17"/>
      <c r="W7312" s="4"/>
      <c r="X7312" s="17"/>
      <c r="Y7312" s="4"/>
      <c r="Z7312" s="17"/>
      <c r="AA7312" s="17"/>
      <c r="AB7312" s="17"/>
      <c r="AC7312" s="14"/>
      <c r="AD7312" s="14"/>
      <c r="AE7312" s="17"/>
      <c r="AF7312" s="14"/>
      <c r="AG7312" s="54"/>
      <c r="AH7312" s="11"/>
      <c r="AI7312" s="14"/>
      <c r="AJ7312" s="19">
        <v>0</v>
      </c>
      <c r="AK7312" s="23">
        <v>0</v>
      </c>
      <c r="AL7312" s="11"/>
      <c r="AM7312" s="19">
        <v>0</v>
      </c>
      <c r="AN7312" s="19">
        <v>1337800</v>
      </c>
      <c r="AO7312" s="14"/>
      <c r="AP7312" s="14">
        <v>1337800</v>
      </c>
      <c r="AQ7312" s="12"/>
      <c r="AR7312" s="19">
        <v>47540240</v>
      </c>
    </row>
    <row r="7313" spans="1:45" s="19" customFormat="1" x14ac:dyDescent="0.2">
      <c r="A7313" s="122">
        <f t="shared" si="726"/>
        <v>6021</v>
      </c>
      <c r="B7313" s="13">
        <v>22</v>
      </c>
      <c r="C7313" s="17" t="s">
        <v>52</v>
      </c>
      <c r="D7313" s="17">
        <v>3644</v>
      </c>
      <c r="E7313" s="17">
        <v>11</v>
      </c>
      <c r="F7313" s="17">
        <v>2376</v>
      </c>
      <c r="G7313" s="13">
        <v>2</v>
      </c>
      <c r="H7313" s="17">
        <v>12</v>
      </c>
      <c r="I7313" s="17">
        <v>2</v>
      </c>
      <c r="J7313" s="17">
        <v>11</v>
      </c>
      <c r="K7313" s="10">
        <v>5011</v>
      </c>
      <c r="L7313" s="17"/>
      <c r="M7313" s="15"/>
      <c r="N7313" s="18"/>
      <c r="O7313" s="14"/>
      <c r="P7313" s="17">
        <v>1</v>
      </c>
      <c r="Q7313" s="19">
        <v>5011</v>
      </c>
      <c r="R7313" s="14">
        <v>160</v>
      </c>
      <c r="S7313" s="19">
        <v>801760</v>
      </c>
      <c r="T7313" s="17"/>
      <c r="U7313" s="17"/>
      <c r="V7313" s="17"/>
      <c r="W7313" s="4"/>
      <c r="X7313" s="17"/>
      <c r="Y7313" s="4"/>
      <c r="Z7313" s="17"/>
      <c r="AA7313" s="17"/>
      <c r="AB7313" s="17"/>
      <c r="AC7313" s="14"/>
      <c r="AD7313" s="14"/>
      <c r="AE7313" s="17"/>
      <c r="AF7313" s="14"/>
      <c r="AG7313" s="54"/>
      <c r="AH7313" s="11"/>
      <c r="AI7313" s="14"/>
      <c r="AJ7313" s="19">
        <v>0</v>
      </c>
      <c r="AK7313" s="23">
        <v>0</v>
      </c>
      <c r="AL7313" s="11"/>
      <c r="AM7313" s="19">
        <v>0</v>
      </c>
      <c r="AN7313" s="19">
        <v>801760</v>
      </c>
      <c r="AO7313" s="14"/>
      <c r="AP7313" s="14">
        <v>801760</v>
      </c>
      <c r="AQ7313" s="12"/>
      <c r="AS7313" s="26"/>
    </row>
    <row r="7314" spans="1:45" s="19" customFormat="1" x14ac:dyDescent="0.2">
      <c r="A7314" s="122">
        <f t="shared" si="726"/>
        <v>6022</v>
      </c>
      <c r="B7314" s="13">
        <v>23</v>
      </c>
      <c r="C7314" s="17" t="s">
        <v>52</v>
      </c>
      <c r="D7314" s="17">
        <v>3645</v>
      </c>
      <c r="E7314" s="17">
        <v>12</v>
      </c>
      <c r="F7314" s="17">
        <v>2377</v>
      </c>
      <c r="G7314" s="13">
        <v>2</v>
      </c>
      <c r="H7314" s="17">
        <v>11</v>
      </c>
      <c r="I7314" s="17">
        <v>3</v>
      </c>
      <c r="J7314" s="17">
        <v>19</v>
      </c>
      <c r="K7314" s="10">
        <v>4719</v>
      </c>
      <c r="L7314" s="17"/>
      <c r="M7314" s="15"/>
      <c r="N7314" s="18"/>
      <c r="O7314" s="14"/>
      <c r="P7314" s="17">
        <v>1</v>
      </c>
      <c r="Q7314" s="19">
        <v>4719</v>
      </c>
      <c r="R7314" s="14">
        <v>200</v>
      </c>
      <c r="S7314" s="19">
        <v>943800</v>
      </c>
      <c r="T7314" s="17"/>
      <c r="U7314" s="17"/>
      <c r="V7314" s="17"/>
      <c r="W7314" s="4"/>
      <c r="X7314" s="17"/>
      <c r="Y7314" s="4"/>
      <c r="Z7314" s="17"/>
      <c r="AA7314" s="17"/>
      <c r="AB7314" s="17"/>
      <c r="AC7314" s="14"/>
      <c r="AD7314" s="14"/>
      <c r="AE7314" s="17"/>
      <c r="AF7314" s="14"/>
      <c r="AG7314" s="54"/>
      <c r="AH7314" s="11"/>
      <c r="AI7314" s="14"/>
      <c r="AJ7314" s="19">
        <v>0</v>
      </c>
      <c r="AK7314" s="23">
        <v>0</v>
      </c>
      <c r="AL7314" s="11"/>
      <c r="AM7314" s="19">
        <v>0</v>
      </c>
      <c r="AN7314" s="19">
        <v>943800</v>
      </c>
      <c r="AO7314" s="14"/>
      <c r="AP7314" s="14">
        <v>943800</v>
      </c>
      <c r="AQ7314" s="12"/>
      <c r="AS7314" s="26"/>
    </row>
    <row r="7315" spans="1:45" s="19" customFormat="1" x14ac:dyDescent="0.2">
      <c r="A7315" s="122">
        <f t="shared" si="726"/>
        <v>6023</v>
      </c>
      <c r="B7315" s="13">
        <v>24</v>
      </c>
      <c r="C7315" s="17" t="s">
        <v>52</v>
      </c>
      <c r="D7315" s="17">
        <v>3752</v>
      </c>
      <c r="E7315" s="17">
        <v>16</v>
      </c>
      <c r="F7315" s="17">
        <v>2274</v>
      </c>
      <c r="G7315" s="13">
        <v>2</v>
      </c>
      <c r="H7315" s="17">
        <v>12</v>
      </c>
      <c r="I7315" s="17">
        <v>1</v>
      </c>
      <c r="J7315" s="17">
        <v>56</v>
      </c>
      <c r="K7315" s="10">
        <v>4956</v>
      </c>
      <c r="L7315" s="17"/>
      <c r="M7315" s="15"/>
      <c r="N7315" s="18"/>
      <c r="O7315" s="14"/>
      <c r="P7315" s="17">
        <v>1</v>
      </c>
      <c r="Q7315" s="19">
        <v>4956</v>
      </c>
      <c r="R7315" s="14">
        <v>200</v>
      </c>
      <c r="S7315" s="19">
        <v>991200</v>
      </c>
      <c r="T7315" s="17"/>
      <c r="U7315" s="17"/>
      <c r="V7315" s="17"/>
      <c r="W7315" s="4"/>
      <c r="X7315" s="17"/>
      <c r="Y7315" s="4"/>
      <c r="Z7315" s="17"/>
      <c r="AA7315" s="17"/>
      <c r="AB7315" s="17"/>
      <c r="AC7315" s="14"/>
      <c r="AD7315" s="14"/>
      <c r="AE7315" s="17"/>
      <c r="AF7315" s="14"/>
      <c r="AG7315" s="54"/>
      <c r="AH7315" s="11"/>
      <c r="AI7315" s="14"/>
      <c r="AJ7315" s="19">
        <v>0</v>
      </c>
      <c r="AK7315" s="23">
        <v>0</v>
      </c>
      <c r="AL7315" s="11"/>
      <c r="AM7315" s="19">
        <v>0</v>
      </c>
      <c r="AN7315" s="19">
        <v>991200</v>
      </c>
      <c r="AO7315" s="14"/>
      <c r="AP7315" s="14">
        <v>991200</v>
      </c>
      <c r="AQ7315" s="12"/>
      <c r="AS7315" s="26"/>
    </row>
    <row r="7316" spans="1:45" s="19" customFormat="1" x14ac:dyDescent="0.2">
      <c r="A7316" s="122">
        <f t="shared" si="726"/>
        <v>6024</v>
      </c>
      <c r="B7316" s="13">
        <v>25</v>
      </c>
      <c r="C7316" s="17" t="s">
        <v>52</v>
      </c>
      <c r="D7316" s="17">
        <v>3829</v>
      </c>
      <c r="E7316" s="17">
        <v>19</v>
      </c>
      <c r="F7316" s="17">
        <v>2284</v>
      </c>
      <c r="G7316" s="13">
        <v>2</v>
      </c>
      <c r="H7316" s="17">
        <v>5</v>
      </c>
      <c r="I7316" s="17">
        <v>1</v>
      </c>
      <c r="J7316" s="17">
        <v>58</v>
      </c>
      <c r="K7316" s="10">
        <v>2158</v>
      </c>
      <c r="L7316" s="17"/>
      <c r="M7316" s="15"/>
      <c r="N7316" s="18"/>
      <c r="O7316" s="14"/>
      <c r="P7316" s="17">
        <v>1</v>
      </c>
      <c r="Q7316" s="19">
        <v>2158</v>
      </c>
      <c r="R7316" s="14">
        <v>200</v>
      </c>
      <c r="S7316" s="19">
        <v>431600</v>
      </c>
      <c r="T7316" s="17"/>
      <c r="U7316" s="17"/>
      <c r="V7316" s="17"/>
      <c r="W7316" s="4"/>
      <c r="X7316" s="17"/>
      <c r="Y7316" s="4"/>
      <c r="Z7316" s="17"/>
      <c r="AA7316" s="17"/>
      <c r="AB7316" s="17"/>
      <c r="AC7316" s="14"/>
      <c r="AD7316" s="14"/>
      <c r="AE7316" s="17"/>
      <c r="AF7316" s="14"/>
      <c r="AG7316" s="54"/>
      <c r="AH7316" s="11"/>
      <c r="AI7316" s="14"/>
      <c r="AJ7316" s="19">
        <v>0</v>
      </c>
      <c r="AK7316" s="23">
        <v>0</v>
      </c>
      <c r="AL7316" s="11"/>
      <c r="AM7316" s="19">
        <v>0</v>
      </c>
      <c r="AN7316" s="19">
        <v>431600</v>
      </c>
      <c r="AO7316" s="14"/>
      <c r="AP7316" s="14">
        <v>431600</v>
      </c>
      <c r="AQ7316" s="12"/>
      <c r="AS7316" s="26"/>
    </row>
    <row r="7317" spans="1:45" s="19" customFormat="1" x14ac:dyDescent="0.2">
      <c r="A7317" s="122">
        <f t="shared" si="726"/>
        <v>6025</v>
      </c>
      <c r="B7317" s="13">
        <v>26</v>
      </c>
      <c r="C7317" s="17" t="s">
        <v>52</v>
      </c>
      <c r="D7317" s="17">
        <v>3842</v>
      </c>
      <c r="E7317" s="17">
        <v>5</v>
      </c>
      <c r="F7317" s="17">
        <v>2387</v>
      </c>
      <c r="G7317" s="13">
        <v>2</v>
      </c>
      <c r="H7317" s="17">
        <v>25</v>
      </c>
      <c r="I7317" s="17">
        <v>0</v>
      </c>
      <c r="J7317" s="17">
        <v>36</v>
      </c>
      <c r="K7317" s="10">
        <v>10036</v>
      </c>
      <c r="L7317" s="17"/>
      <c r="M7317" s="15"/>
      <c r="N7317" s="18"/>
      <c r="O7317" s="14"/>
      <c r="P7317" s="17">
        <v>1</v>
      </c>
      <c r="Q7317" s="19">
        <v>10036</v>
      </c>
      <c r="R7317" s="14">
        <v>200</v>
      </c>
      <c r="S7317" s="19">
        <v>2007200</v>
      </c>
      <c r="T7317" s="17"/>
      <c r="U7317" s="17"/>
      <c r="V7317" s="17"/>
      <c r="W7317" s="4"/>
      <c r="X7317" s="17"/>
      <c r="Y7317" s="4"/>
      <c r="Z7317" s="17"/>
      <c r="AA7317" s="17"/>
      <c r="AB7317" s="17"/>
      <c r="AC7317" s="14"/>
      <c r="AD7317" s="14"/>
      <c r="AE7317" s="17"/>
      <c r="AF7317" s="14"/>
      <c r="AG7317" s="54"/>
      <c r="AH7317" s="11"/>
      <c r="AI7317" s="14"/>
      <c r="AJ7317" s="19">
        <v>0</v>
      </c>
      <c r="AK7317" s="23">
        <v>0</v>
      </c>
      <c r="AL7317" s="11"/>
      <c r="AM7317" s="19">
        <v>0</v>
      </c>
      <c r="AN7317" s="19">
        <v>2007200</v>
      </c>
      <c r="AO7317" s="14"/>
      <c r="AP7317" s="14">
        <v>2007200</v>
      </c>
      <c r="AQ7317" s="12"/>
      <c r="AS7317" s="26"/>
    </row>
    <row r="7318" spans="1:45" s="19" customFormat="1" x14ac:dyDescent="0.2">
      <c r="A7318" s="122">
        <f t="shared" si="726"/>
        <v>6026</v>
      </c>
      <c r="B7318" s="13">
        <v>27</v>
      </c>
      <c r="C7318" s="17" t="s">
        <v>52</v>
      </c>
      <c r="D7318" s="17">
        <v>3843</v>
      </c>
      <c r="E7318" s="17">
        <v>11</v>
      </c>
      <c r="F7318" s="17">
        <v>2388</v>
      </c>
      <c r="G7318" s="13">
        <v>2</v>
      </c>
      <c r="H7318" s="17">
        <v>21</v>
      </c>
      <c r="I7318" s="17">
        <v>3</v>
      </c>
      <c r="J7318" s="17">
        <v>38</v>
      </c>
      <c r="K7318" s="10">
        <v>8738</v>
      </c>
      <c r="L7318" s="17"/>
      <c r="M7318" s="15"/>
      <c r="N7318" s="18"/>
      <c r="O7318" s="14"/>
      <c r="P7318" s="17">
        <v>1</v>
      </c>
      <c r="Q7318" s="19">
        <v>8738</v>
      </c>
      <c r="R7318" s="14">
        <v>200</v>
      </c>
      <c r="S7318" s="19">
        <v>1747600</v>
      </c>
      <c r="T7318" s="17"/>
      <c r="U7318" s="17"/>
      <c r="V7318" s="17"/>
      <c r="W7318" s="4"/>
      <c r="X7318" s="17"/>
      <c r="Y7318" s="4"/>
      <c r="Z7318" s="17"/>
      <c r="AA7318" s="17"/>
      <c r="AB7318" s="17"/>
      <c r="AC7318" s="14"/>
      <c r="AD7318" s="14"/>
      <c r="AE7318" s="17"/>
      <c r="AF7318" s="14"/>
      <c r="AG7318" s="54"/>
      <c r="AH7318" s="11"/>
      <c r="AI7318" s="14"/>
      <c r="AJ7318" s="19">
        <v>0</v>
      </c>
      <c r="AK7318" s="23">
        <v>0</v>
      </c>
      <c r="AL7318" s="11"/>
      <c r="AM7318" s="19">
        <v>0</v>
      </c>
      <c r="AN7318" s="19">
        <v>1747600</v>
      </c>
      <c r="AO7318" s="14"/>
      <c r="AP7318" s="14">
        <v>1747600</v>
      </c>
      <c r="AQ7318" s="12"/>
      <c r="AS7318" s="26"/>
    </row>
    <row r="7319" spans="1:45" s="19" customFormat="1" x14ac:dyDescent="0.2">
      <c r="A7319" s="122">
        <f t="shared" si="726"/>
        <v>6027</v>
      </c>
      <c r="B7319" s="13">
        <v>28</v>
      </c>
      <c r="C7319" s="17" t="s">
        <v>52</v>
      </c>
      <c r="D7319" s="17">
        <v>3844</v>
      </c>
      <c r="E7319" s="17">
        <v>12</v>
      </c>
      <c r="F7319" s="17">
        <v>2389</v>
      </c>
      <c r="G7319" s="13">
        <v>2</v>
      </c>
      <c r="H7319" s="17">
        <v>20</v>
      </c>
      <c r="I7319" s="17">
        <v>1</v>
      </c>
      <c r="J7319" s="17">
        <v>73</v>
      </c>
      <c r="K7319" s="10">
        <v>8173</v>
      </c>
      <c r="L7319" s="17"/>
      <c r="M7319" s="15"/>
      <c r="N7319" s="18"/>
      <c r="O7319" s="14"/>
      <c r="P7319" s="17">
        <v>1</v>
      </c>
      <c r="Q7319" s="19">
        <v>8173</v>
      </c>
      <c r="R7319" s="14">
        <v>160</v>
      </c>
      <c r="S7319" s="19">
        <v>1307680</v>
      </c>
      <c r="T7319" s="17"/>
      <c r="U7319" s="17"/>
      <c r="V7319" s="17"/>
      <c r="W7319" s="4"/>
      <c r="X7319" s="17"/>
      <c r="Y7319" s="4"/>
      <c r="Z7319" s="17"/>
      <c r="AA7319" s="17"/>
      <c r="AB7319" s="17"/>
      <c r="AC7319" s="14"/>
      <c r="AD7319" s="14"/>
      <c r="AE7319" s="17"/>
      <c r="AF7319" s="14"/>
      <c r="AG7319" s="54"/>
      <c r="AH7319" s="11"/>
      <c r="AI7319" s="14"/>
      <c r="AJ7319" s="19">
        <v>0</v>
      </c>
      <c r="AK7319" s="23">
        <v>0</v>
      </c>
      <c r="AL7319" s="11"/>
      <c r="AM7319" s="19">
        <v>0</v>
      </c>
      <c r="AN7319" s="19">
        <v>1307680</v>
      </c>
      <c r="AO7319" s="14"/>
      <c r="AP7319" s="14">
        <v>1307680</v>
      </c>
      <c r="AQ7319" s="12"/>
      <c r="AS7319" s="26"/>
    </row>
    <row r="7320" spans="1:45" s="19" customFormat="1" x14ac:dyDescent="0.2">
      <c r="A7320" s="122">
        <f t="shared" si="726"/>
        <v>6028</v>
      </c>
      <c r="B7320" s="13">
        <v>29</v>
      </c>
      <c r="C7320" s="17" t="s">
        <v>52</v>
      </c>
      <c r="D7320" s="17">
        <v>3845</v>
      </c>
      <c r="E7320" s="17">
        <v>13</v>
      </c>
      <c r="F7320" s="17">
        <v>2390</v>
      </c>
      <c r="G7320" s="13">
        <v>2</v>
      </c>
      <c r="H7320" s="17">
        <v>17</v>
      </c>
      <c r="I7320" s="17">
        <v>0</v>
      </c>
      <c r="J7320" s="17">
        <v>20</v>
      </c>
      <c r="K7320" s="10">
        <v>6820</v>
      </c>
      <c r="L7320" s="17"/>
      <c r="M7320" s="15"/>
      <c r="N7320" s="18"/>
      <c r="O7320" s="14"/>
      <c r="P7320" s="17">
        <v>1</v>
      </c>
      <c r="Q7320" s="19">
        <v>6820</v>
      </c>
      <c r="R7320" s="14">
        <v>160</v>
      </c>
      <c r="S7320" s="19">
        <v>1091200</v>
      </c>
      <c r="T7320" s="17"/>
      <c r="U7320" s="17"/>
      <c r="V7320" s="17"/>
      <c r="W7320" s="4"/>
      <c r="X7320" s="17"/>
      <c r="Y7320" s="4"/>
      <c r="Z7320" s="17"/>
      <c r="AA7320" s="17"/>
      <c r="AB7320" s="17"/>
      <c r="AC7320" s="14"/>
      <c r="AD7320" s="14"/>
      <c r="AE7320" s="17"/>
      <c r="AF7320" s="14"/>
      <c r="AG7320" s="54"/>
      <c r="AH7320" s="11"/>
      <c r="AI7320" s="14"/>
      <c r="AJ7320" s="19">
        <v>0</v>
      </c>
      <c r="AK7320" s="23">
        <v>0</v>
      </c>
      <c r="AL7320" s="11"/>
      <c r="AM7320" s="19">
        <v>0</v>
      </c>
      <c r="AN7320" s="19">
        <v>1091200</v>
      </c>
      <c r="AO7320" s="14"/>
      <c r="AP7320" s="14">
        <v>1091200</v>
      </c>
      <c r="AQ7320" s="12"/>
      <c r="AS7320" s="26"/>
    </row>
    <row r="7321" spans="1:45" s="19" customFormat="1" x14ac:dyDescent="0.2">
      <c r="A7321" s="122">
        <f t="shared" si="726"/>
        <v>6029</v>
      </c>
      <c r="B7321" s="13">
        <v>30</v>
      </c>
      <c r="C7321" s="17" t="s">
        <v>52</v>
      </c>
      <c r="D7321" s="17">
        <v>4042</v>
      </c>
      <c r="E7321" s="17">
        <v>20</v>
      </c>
      <c r="F7321" s="17">
        <v>2283</v>
      </c>
      <c r="G7321" s="13">
        <v>2</v>
      </c>
      <c r="H7321" s="17">
        <v>4</v>
      </c>
      <c r="I7321" s="17">
        <v>3</v>
      </c>
      <c r="J7321" s="17">
        <v>50</v>
      </c>
      <c r="K7321" s="10">
        <v>1950</v>
      </c>
      <c r="L7321" s="17"/>
      <c r="M7321" s="15"/>
      <c r="N7321" s="18"/>
      <c r="O7321" s="14"/>
      <c r="P7321" s="17">
        <v>1</v>
      </c>
      <c r="Q7321" s="19">
        <v>1950</v>
      </c>
      <c r="R7321" s="14">
        <v>200</v>
      </c>
      <c r="S7321" s="19">
        <v>390000</v>
      </c>
      <c r="T7321" s="17"/>
      <c r="U7321" s="17"/>
      <c r="V7321" s="17"/>
      <c r="W7321" s="4"/>
      <c r="X7321" s="17"/>
      <c r="Y7321" s="4"/>
      <c r="Z7321" s="17"/>
      <c r="AA7321" s="17"/>
      <c r="AB7321" s="17"/>
      <c r="AC7321" s="14"/>
      <c r="AD7321" s="14"/>
      <c r="AE7321" s="17"/>
      <c r="AF7321" s="14"/>
      <c r="AG7321" s="54"/>
      <c r="AH7321" s="11"/>
      <c r="AI7321" s="14"/>
      <c r="AJ7321" s="19">
        <v>0</v>
      </c>
      <c r="AK7321" s="23">
        <v>0</v>
      </c>
      <c r="AL7321" s="11"/>
      <c r="AM7321" s="19">
        <v>0</v>
      </c>
      <c r="AN7321" s="19">
        <v>390000</v>
      </c>
      <c r="AO7321" s="14"/>
      <c r="AP7321" s="14">
        <v>390000</v>
      </c>
      <c r="AQ7321" s="12"/>
      <c r="AS7321" s="26"/>
    </row>
    <row r="7322" spans="1:45" s="19" customFormat="1" x14ac:dyDescent="0.2">
      <c r="A7322" s="122">
        <f t="shared" si="726"/>
        <v>6030</v>
      </c>
      <c r="B7322" s="13">
        <v>31</v>
      </c>
      <c r="C7322" s="17" t="s">
        <v>52</v>
      </c>
      <c r="D7322" s="17">
        <v>4053</v>
      </c>
      <c r="E7322" s="17">
        <v>63</v>
      </c>
      <c r="F7322" s="17">
        <v>2354</v>
      </c>
      <c r="G7322" s="13">
        <v>2</v>
      </c>
      <c r="H7322" s="17">
        <v>20</v>
      </c>
      <c r="I7322" s="17">
        <v>3</v>
      </c>
      <c r="J7322" s="17">
        <v>72</v>
      </c>
      <c r="K7322" s="10">
        <v>8372</v>
      </c>
      <c r="L7322" s="17"/>
      <c r="M7322" s="15"/>
      <c r="N7322" s="18"/>
      <c r="O7322" s="14"/>
      <c r="P7322" s="17">
        <v>1</v>
      </c>
      <c r="Q7322" s="19">
        <v>8372</v>
      </c>
      <c r="R7322" s="14">
        <v>200</v>
      </c>
      <c r="S7322" s="19">
        <v>1674400</v>
      </c>
      <c r="T7322" s="17"/>
      <c r="U7322" s="17"/>
      <c r="V7322" s="17"/>
      <c r="W7322" s="4"/>
      <c r="X7322" s="17"/>
      <c r="Y7322" s="4"/>
      <c r="Z7322" s="17"/>
      <c r="AA7322" s="17"/>
      <c r="AB7322" s="17"/>
      <c r="AC7322" s="14"/>
      <c r="AD7322" s="14"/>
      <c r="AE7322" s="17"/>
      <c r="AF7322" s="14"/>
      <c r="AG7322" s="54"/>
      <c r="AH7322" s="11"/>
      <c r="AI7322" s="14"/>
      <c r="AJ7322" s="19">
        <v>0</v>
      </c>
      <c r="AK7322" s="23">
        <v>0</v>
      </c>
      <c r="AL7322" s="11"/>
      <c r="AM7322" s="19">
        <v>0</v>
      </c>
      <c r="AN7322" s="19">
        <v>1674400</v>
      </c>
      <c r="AO7322" s="14"/>
      <c r="AP7322" s="14">
        <v>1674400</v>
      </c>
      <c r="AQ7322" s="12"/>
      <c r="AS7322" s="26"/>
    </row>
    <row r="7323" spans="1:45" s="19" customFormat="1" x14ac:dyDescent="0.2">
      <c r="A7323" s="122">
        <f t="shared" si="726"/>
        <v>6031</v>
      </c>
      <c r="B7323" s="13">
        <v>32</v>
      </c>
      <c r="C7323" s="17" t="s">
        <v>52</v>
      </c>
      <c r="D7323" s="17">
        <v>4055</v>
      </c>
      <c r="E7323" s="17">
        <v>5</v>
      </c>
      <c r="F7323" s="17">
        <v>2370</v>
      </c>
      <c r="G7323" s="13">
        <v>2</v>
      </c>
      <c r="H7323" s="17">
        <v>12</v>
      </c>
      <c r="I7323" s="17">
        <v>3</v>
      </c>
      <c r="J7323" s="17">
        <v>46</v>
      </c>
      <c r="K7323" s="10">
        <v>5146</v>
      </c>
      <c r="L7323" s="17"/>
      <c r="M7323" s="15"/>
      <c r="N7323" s="18"/>
      <c r="O7323" s="14"/>
      <c r="P7323" s="17">
        <v>1</v>
      </c>
      <c r="Q7323" s="19">
        <v>5146</v>
      </c>
      <c r="R7323" s="14">
        <v>200</v>
      </c>
      <c r="S7323" s="19">
        <v>1029200</v>
      </c>
      <c r="T7323" s="17"/>
      <c r="U7323" s="17"/>
      <c r="V7323" s="17"/>
      <c r="W7323" s="4"/>
      <c r="X7323" s="17"/>
      <c r="Y7323" s="4"/>
      <c r="Z7323" s="17"/>
      <c r="AA7323" s="17"/>
      <c r="AB7323" s="17"/>
      <c r="AC7323" s="14"/>
      <c r="AD7323" s="14"/>
      <c r="AE7323" s="17"/>
      <c r="AF7323" s="14"/>
      <c r="AG7323" s="54"/>
      <c r="AH7323" s="11"/>
      <c r="AI7323" s="14"/>
      <c r="AJ7323" s="19">
        <v>0</v>
      </c>
      <c r="AK7323" s="23">
        <v>0</v>
      </c>
      <c r="AL7323" s="11"/>
      <c r="AM7323" s="19">
        <v>0</v>
      </c>
      <c r="AN7323" s="19">
        <v>1029200</v>
      </c>
      <c r="AO7323" s="14"/>
      <c r="AP7323" s="14">
        <v>1029200</v>
      </c>
      <c r="AQ7323" s="12"/>
      <c r="AS7323" s="26"/>
    </row>
    <row r="7324" spans="1:45" s="19" customFormat="1" x14ac:dyDescent="0.2">
      <c r="A7324" s="122">
        <f t="shared" si="726"/>
        <v>6032</v>
      </c>
      <c r="B7324" s="13">
        <v>33</v>
      </c>
      <c r="C7324" s="17" t="s">
        <v>52</v>
      </c>
      <c r="D7324" s="17">
        <v>4056</v>
      </c>
      <c r="E7324" s="17">
        <v>15</v>
      </c>
      <c r="F7324" s="17">
        <v>2374</v>
      </c>
      <c r="G7324" s="13">
        <v>2</v>
      </c>
      <c r="H7324" s="17">
        <v>14</v>
      </c>
      <c r="I7324" s="17">
        <v>0</v>
      </c>
      <c r="J7324" s="17">
        <v>82</v>
      </c>
      <c r="K7324" s="10">
        <v>5682</v>
      </c>
      <c r="L7324" s="17"/>
      <c r="M7324" s="15"/>
      <c r="N7324" s="18"/>
      <c r="O7324" s="14"/>
      <c r="P7324" s="17">
        <v>1</v>
      </c>
      <c r="Q7324" s="19">
        <v>5682</v>
      </c>
      <c r="R7324" s="14">
        <v>200</v>
      </c>
      <c r="S7324" s="19">
        <v>1136400</v>
      </c>
      <c r="T7324" s="17"/>
      <c r="U7324" s="17"/>
      <c r="V7324" s="17"/>
      <c r="W7324" s="4"/>
      <c r="X7324" s="17"/>
      <c r="Y7324" s="4"/>
      <c r="Z7324" s="17"/>
      <c r="AA7324" s="17"/>
      <c r="AB7324" s="17"/>
      <c r="AC7324" s="14"/>
      <c r="AD7324" s="14"/>
      <c r="AE7324" s="17"/>
      <c r="AF7324" s="14"/>
      <c r="AG7324" s="54"/>
      <c r="AH7324" s="11"/>
      <c r="AI7324" s="14"/>
      <c r="AJ7324" s="19">
        <v>0</v>
      </c>
      <c r="AK7324" s="23">
        <v>0</v>
      </c>
      <c r="AL7324" s="11"/>
      <c r="AM7324" s="19">
        <v>0</v>
      </c>
      <c r="AN7324" s="19">
        <v>1136400</v>
      </c>
      <c r="AO7324" s="14"/>
      <c r="AP7324" s="14">
        <v>1136400</v>
      </c>
      <c r="AQ7324" s="12"/>
      <c r="AS7324" s="26"/>
    </row>
    <row r="7325" spans="1:45" s="19" customFormat="1" x14ac:dyDescent="0.2">
      <c r="A7325" s="122">
        <f t="shared" si="726"/>
        <v>6033</v>
      </c>
      <c r="B7325" s="13">
        <v>34</v>
      </c>
      <c r="C7325" s="17" t="s">
        <v>52</v>
      </c>
      <c r="D7325" s="17">
        <v>5825</v>
      </c>
      <c r="E7325" s="17">
        <v>2</v>
      </c>
      <c r="F7325" s="17">
        <v>2395</v>
      </c>
      <c r="G7325" s="13">
        <v>2</v>
      </c>
      <c r="H7325" s="17">
        <v>19</v>
      </c>
      <c r="I7325" s="17">
        <v>1</v>
      </c>
      <c r="J7325" s="17">
        <v>58</v>
      </c>
      <c r="K7325" s="10">
        <v>7758</v>
      </c>
      <c r="L7325" s="17"/>
      <c r="M7325" s="15"/>
      <c r="N7325" s="18"/>
      <c r="O7325" s="14"/>
      <c r="P7325" s="17">
        <v>1</v>
      </c>
      <c r="Q7325" s="19">
        <v>7758</v>
      </c>
      <c r="R7325" s="14">
        <v>200</v>
      </c>
      <c r="S7325" s="19">
        <v>1551600</v>
      </c>
      <c r="T7325" s="17"/>
      <c r="U7325" s="17"/>
      <c r="V7325" s="17"/>
      <c r="W7325" s="4"/>
      <c r="X7325" s="17"/>
      <c r="Y7325" s="4"/>
      <c r="Z7325" s="17"/>
      <c r="AA7325" s="17"/>
      <c r="AB7325" s="17"/>
      <c r="AC7325" s="14"/>
      <c r="AD7325" s="14"/>
      <c r="AE7325" s="17"/>
      <c r="AF7325" s="14"/>
      <c r="AG7325" s="54"/>
      <c r="AH7325" s="11"/>
      <c r="AI7325" s="14"/>
      <c r="AJ7325" s="19">
        <v>0</v>
      </c>
      <c r="AK7325" s="23">
        <v>0</v>
      </c>
      <c r="AL7325" s="11"/>
      <c r="AM7325" s="19">
        <v>0</v>
      </c>
      <c r="AN7325" s="19">
        <v>1551600</v>
      </c>
      <c r="AO7325" s="14"/>
      <c r="AP7325" s="14">
        <v>1551600</v>
      </c>
      <c r="AQ7325" s="12"/>
      <c r="AS7325" s="26"/>
    </row>
    <row r="7326" spans="1:45" s="19" customFormat="1" x14ac:dyDescent="0.2">
      <c r="A7326" s="122">
        <f t="shared" si="726"/>
        <v>6034</v>
      </c>
      <c r="B7326" s="13">
        <v>35</v>
      </c>
      <c r="C7326" s="17" t="s">
        <v>52</v>
      </c>
      <c r="D7326" s="17">
        <v>2219</v>
      </c>
      <c r="E7326" s="17">
        <v>22</v>
      </c>
      <c r="F7326" s="17">
        <v>1833</v>
      </c>
      <c r="G7326" s="13">
        <v>3</v>
      </c>
      <c r="H7326" s="17">
        <v>39</v>
      </c>
      <c r="I7326" s="17">
        <v>0</v>
      </c>
      <c r="J7326" s="17">
        <v>5</v>
      </c>
      <c r="K7326" s="10">
        <v>15605</v>
      </c>
      <c r="L7326" s="17"/>
      <c r="M7326" s="15"/>
      <c r="N7326" s="18"/>
      <c r="O7326" s="14"/>
      <c r="P7326" s="17">
        <v>1</v>
      </c>
      <c r="Q7326" s="19">
        <v>15605</v>
      </c>
      <c r="R7326" s="14">
        <v>500</v>
      </c>
      <c r="S7326" s="19">
        <v>7802500</v>
      </c>
      <c r="T7326" s="17"/>
      <c r="U7326" s="17"/>
      <c r="V7326" s="17"/>
      <c r="W7326" s="4"/>
      <c r="X7326" s="17"/>
      <c r="Y7326" s="4"/>
      <c r="Z7326" s="17"/>
      <c r="AA7326" s="17"/>
      <c r="AB7326" s="17"/>
      <c r="AC7326" s="14"/>
      <c r="AD7326" s="14"/>
      <c r="AE7326" s="17"/>
      <c r="AF7326" s="14"/>
      <c r="AG7326" s="54"/>
      <c r="AH7326" s="11"/>
      <c r="AI7326" s="14"/>
      <c r="AJ7326" s="19">
        <v>0</v>
      </c>
      <c r="AK7326" s="23">
        <v>0</v>
      </c>
      <c r="AL7326" s="11"/>
      <c r="AM7326" s="19">
        <v>0</v>
      </c>
      <c r="AN7326" s="19">
        <v>7802500</v>
      </c>
      <c r="AO7326" s="14"/>
      <c r="AP7326" s="14">
        <v>7802500</v>
      </c>
      <c r="AQ7326" s="12"/>
      <c r="AS7326" s="26"/>
    </row>
    <row r="7327" spans="1:45" s="19" customFormat="1" x14ac:dyDescent="0.2">
      <c r="A7327" s="122">
        <f t="shared" si="726"/>
        <v>6035</v>
      </c>
      <c r="B7327" s="13">
        <v>36</v>
      </c>
      <c r="C7327" s="17" t="s">
        <v>52</v>
      </c>
      <c r="D7327" s="17">
        <v>3847</v>
      </c>
      <c r="E7327" s="17">
        <v>18</v>
      </c>
      <c r="F7327" s="17">
        <v>2392</v>
      </c>
      <c r="G7327" s="13"/>
      <c r="H7327" s="17">
        <v>19</v>
      </c>
      <c r="I7327" s="17">
        <v>3</v>
      </c>
      <c r="J7327" s="17">
        <v>16</v>
      </c>
      <c r="K7327" s="10">
        <v>7916</v>
      </c>
      <c r="L7327" s="17"/>
      <c r="M7327" s="15"/>
      <c r="N7327" s="18"/>
      <c r="O7327" s="14"/>
      <c r="P7327" s="17">
        <v>1</v>
      </c>
      <c r="Q7327" s="19">
        <v>7916</v>
      </c>
      <c r="R7327" s="14">
        <v>200</v>
      </c>
      <c r="S7327" s="19">
        <v>1583200</v>
      </c>
      <c r="T7327" s="17"/>
      <c r="U7327" s="17"/>
      <c r="V7327" s="17"/>
      <c r="W7327" s="4"/>
      <c r="X7327" s="17"/>
      <c r="Y7327" s="4"/>
      <c r="Z7327" s="17"/>
      <c r="AA7327" s="17"/>
      <c r="AB7327" s="17"/>
      <c r="AC7327" s="14"/>
      <c r="AD7327" s="14"/>
      <c r="AE7327" s="17"/>
      <c r="AF7327" s="14"/>
      <c r="AG7327" s="54"/>
      <c r="AH7327" s="11"/>
      <c r="AI7327" s="14"/>
      <c r="AJ7327" s="19">
        <v>0</v>
      </c>
      <c r="AK7327" s="23">
        <v>0</v>
      </c>
      <c r="AL7327" s="11"/>
      <c r="AM7327" s="19">
        <v>0</v>
      </c>
      <c r="AN7327" s="19">
        <v>1583200</v>
      </c>
      <c r="AO7327" s="14"/>
      <c r="AP7327" s="14">
        <v>1583200</v>
      </c>
      <c r="AQ7327" s="12"/>
      <c r="AS7327" s="26"/>
    </row>
    <row r="7328" spans="1:45" s="19" customFormat="1" x14ac:dyDescent="0.2">
      <c r="A7328" s="122">
        <f t="shared" si="726"/>
        <v>6036</v>
      </c>
      <c r="B7328" s="13">
        <v>37</v>
      </c>
      <c r="C7328" s="17" t="s">
        <v>52</v>
      </c>
      <c r="D7328" s="17">
        <v>3849</v>
      </c>
      <c r="E7328" s="17">
        <v>4</v>
      </c>
      <c r="F7328" s="17">
        <v>2400</v>
      </c>
      <c r="G7328" s="13"/>
      <c r="H7328" s="17">
        <v>30</v>
      </c>
      <c r="I7328" s="17">
        <v>0</v>
      </c>
      <c r="J7328" s="17">
        <v>4</v>
      </c>
      <c r="K7328" s="10">
        <v>12004</v>
      </c>
      <c r="L7328" s="17"/>
      <c r="M7328" s="15"/>
      <c r="N7328" s="18"/>
      <c r="O7328" s="14"/>
      <c r="P7328" s="17">
        <v>1</v>
      </c>
      <c r="Q7328" s="19">
        <v>12004</v>
      </c>
      <c r="R7328" s="14">
        <v>160</v>
      </c>
      <c r="S7328" s="19">
        <v>1920640</v>
      </c>
      <c r="T7328" s="17"/>
      <c r="U7328" s="17"/>
      <c r="V7328" s="17"/>
      <c r="W7328" s="4"/>
      <c r="X7328" s="17"/>
      <c r="Y7328" s="4"/>
      <c r="Z7328" s="17"/>
      <c r="AA7328" s="17"/>
      <c r="AB7328" s="17"/>
      <c r="AC7328" s="14"/>
      <c r="AD7328" s="14"/>
      <c r="AE7328" s="17"/>
      <c r="AF7328" s="14"/>
      <c r="AG7328" s="54"/>
      <c r="AH7328" s="11"/>
      <c r="AI7328" s="14"/>
      <c r="AJ7328" s="19">
        <v>0</v>
      </c>
      <c r="AK7328" s="23">
        <v>0</v>
      </c>
      <c r="AL7328" s="11"/>
      <c r="AM7328" s="19">
        <v>0</v>
      </c>
      <c r="AN7328" s="19">
        <v>1920640</v>
      </c>
      <c r="AO7328" s="14"/>
      <c r="AP7328" s="14">
        <v>1920640</v>
      </c>
      <c r="AQ7328" s="12"/>
      <c r="AS7328" s="26"/>
    </row>
    <row r="7329" spans="1:45" s="19" customFormat="1" x14ac:dyDescent="0.2">
      <c r="A7329" s="122">
        <f t="shared" si="726"/>
        <v>6037</v>
      </c>
      <c r="B7329" s="13">
        <v>38</v>
      </c>
      <c r="C7329" s="17" t="s">
        <v>52</v>
      </c>
      <c r="D7329" s="17">
        <v>3850</v>
      </c>
      <c r="E7329" s="17">
        <v>6</v>
      </c>
      <c r="F7329" s="17">
        <v>2401</v>
      </c>
      <c r="G7329" s="13"/>
      <c r="H7329" s="17">
        <v>21</v>
      </c>
      <c r="I7329" s="17">
        <v>1</v>
      </c>
      <c r="J7329" s="17">
        <v>35</v>
      </c>
      <c r="K7329" s="10">
        <v>8535</v>
      </c>
      <c r="L7329" s="17"/>
      <c r="M7329" s="15"/>
      <c r="N7329" s="18"/>
      <c r="O7329" s="14"/>
      <c r="P7329" s="17">
        <v>1</v>
      </c>
      <c r="Q7329" s="19">
        <v>8535</v>
      </c>
      <c r="R7329" s="14">
        <v>160</v>
      </c>
      <c r="S7329" s="19">
        <v>1365600</v>
      </c>
      <c r="T7329" s="17"/>
      <c r="U7329" s="17"/>
      <c r="V7329" s="17"/>
      <c r="W7329" s="4"/>
      <c r="X7329" s="17"/>
      <c r="Y7329" s="4"/>
      <c r="Z7329" s="17"/>
      <c r="AA7329" s="17"/>
      <c r="AB7329" s="17"/>
      <c r="AC7329" s="14"/>
      <c r="AD7329" s="14"/>
      <c r="AE7329" s="17"/>
      <c r="AF7329" s="14"/>
      <c r="AG7329" s="54"/>
      <c r="AH7329" s="11"/>
      <c r="AI7329" s="14"/>
      <c r="AJ7329" s="19">
        <v>0</v>
      </c>
      <c r="AK7329" s="23">
        <v>0</v>
      </c>
      <c r="AL7329" s="11"/>
      <c r="AM7329" s="19">
        <v>0</v>
      </c>
      <c r="AN7329" s="19">
        <v>1365600</v>
      </c>
      <c r="AO7329" s="14"/>
      <c r="AP7329" s="14">
        <v>1365600</v>
      </c>
      <c r="AQ7329" s="12"/>
      <c r="AS7329" s="26"/>
    </row>
    <row r="7330" spans="1:45" s="19" customFormat="1" x14ac:dyDescent="0.2">
      <c r="A7330" s="122">
        <f t="shared" si="726"/>
        <v>6038</v>
      </c>
      <c r="B7330" s="13">
        <v>39</v>
      </c>
      <c r="C7330" s="17" t="s">
        <v>52</v>
      </c>
      <c r="D7330" s="17">
        <v>3851</v>
      </c>
      <c r="E7330" s="17">
        <v>12</v>
      </c>
      <c r="F7330" s="17">
        <v>2405</v>
      </c>
      <c r="G7330" s="13"/>
      <c r="H7330" s="17">
        <v>18</v>
      </c>
      <c r="I7330" s="17">
        <v>1</v>
      </c>
      <c r="J7330" s="17">
        <v>99</v>
      </c>
      <c r="K7330" s="10">
        <v>7399</v>
      </c>
      <c r="L7330" s="17"/>
      <c r="M7330" s="15"/>
      <c r="N7330" s="18"/>
      <c r="O7330" s="14"/>
      <c r="P7330" s="17">
        <v>1</v>
      </c>
      <c r="Q7330" s="19">
        <v>7399</v>
      </c>
      <c r="R7330" s="14">
        <v>160</v>
      </c>
      <c r="S7330" s="19">
        <v>1183840</v>
      </c>
      <c r="T7330" s="17"/>
      <c r="U7330" s="17"/>
      <c r="V7330" s="17"/>
      <c r="W7330" s="4"/>
      <c r="X7330" s="17"/>
      <c r="Y7330" s="4"/>
      <c r="Z7330" s="17"/>
      <c r="AA7330" s="17"/>
      <c r="AB7330" s="17"/>
      <c r="AC7330" s="14"/>
      <c r="AD7330" s="14"/>
      <c r="AE7330" s="17"/>
      <c r="AF7330" s="14"/>
      <c r="AG7330" s="54"/>
      <c r="AH7330" s="11"/>
      <c r="AI7330" s="14"/>
      <c r="AJ7330" s="19">
        <v>0</v>
      </c>
      <c r="AK7330" s="23">
        <v>0</v>
      </c>
      <c r="AL7330" s="11"/>
      <c r="AM7330" s="19">
        <v>0</v>
      </c>
      <c r="AN7330" s="19">
        <v>1183840</v>
      </c>
      <c r="AO7330" s="14"/>
      <c r="AP7330" s="14">
        <v>1183840</v>
      </c>
      <c r="AQ7330" s="12"/>
      <c r="AS7330" s="26"/>
    </row>
    <row r="7331" spans="1:45" s="19" customFormat="1" x14ac:dyDescent="0.2">
      <c r="A7331" s="122">
        <f t="shared" si="726"/>
        <v>6039</v>
      </c>
      <c r="B7331" s="13">
        <v>40</v>
      </c>
      <c r="C7331" s="17" t="s">
        <v>52</v>
      </c>
      <c r="D7331" s="17">
        <v>3852</v>
      </c>
      <c r="E7331" s="17">
        <v>13</v>
      </c>
      <c r="F7331" s="17">
        <v>2406</v>
      </c>
      <c r="G7331" s="13"/>
      <c r="H7331" s="17">
        <v>25</v>
      </c>
      <c r="I7331" s="17">
        <v>2</v>
      </c>
      <c r="J7331" s="17">
        <v>23</v>
      </c>
      <c r="K7331" s="10">
        <v>10223</v>
      </c>
      <c r="L7331" s="17"/>
      <c r="M7331" s="15"/>
      <c r="N7331" s="18"/>
      <c r="O7331" s="14"/>
      <c r="P7331" s="17">
        <v>1</v>
      </c>
      <c r="Q7331" s="19">
        <v>10223</v>
      </c>
      <c r="R7331" s="14">
        <v>160</v>
      </c>
      <c r="S7331" s="19">
        <v>1635680</v>
      </c>
      <c r="T7331" s="17"/>
      <c r="U7331" s="17"/>
      <c r="V7331" s="17"/>
      <c r="W7331" s="4"/>
      <c r="X7331" s="17"/>
      <c r="Y7331" s="4"/>
      <c r="Z7331" s="17"/>
      <c r="AA7331" s="17"/>
      <c r="AB7331" s="17"/>
      <c r="AC7331" s="14"/>
      <c r="AD7331" s="14"/>
      <c r="AE7331" s="17"/>
      <c r="AF7331" s="14"/>
      <c r="AG7331" s="54"/>
      <c r="AH7331" s="11"/>
      <c r="AI7331" s="14"/>
      <c r="AJ7331" s="19">
        <v>0</v>
      </c>
      <c r="AK7331" s="23">
        <v>0</v>
      </c>
      <c r="AL7331" s="11"/>
      <c r="AM7331" s="19">
        <v>0</v>
      </c>
      <c r="AN7331" s="19">
        <v>1635680</v>
      </c>
      <c r="AO7331" s="14"/>
      <c r="AP7331" s="14">
        <v>1635680</v>
      </c>
      <c r="AQ7331" s="12"/>
      <c r="AS7331" s="26"/>
    </row>
    <row r="7332" spans="1:45" s="19" customFormat="1" x14ac:dyDescent="0.2">
      <c r="A7332" s="122">
        <f t="shared" si="726"/>
        <v>6040</v>
      </c>
      <c r="B7332" s="13">
        <v>41</v>
      </c>
      <c r="C7332" s="17" t="s">
        <v>52</v>
      </c>
      <c r="D7332" s="17">
        <v>4057</v>
      </c>
      <c r="E7332" s="17">
        <v>7</v>
      </c>
      <c r="F7332" s="17">
        <v>2397</v>
      </c>
      <c r="G7332" s="13"/>
      <c r="H7332" s="17">
        <v>14</v>
      </c>
      <c r="I7332" s="17">
        <v>3</v>
      </c>
      <c r="J7332" s="17">
        <v>90</v>
      </c>
      <c r="K7332" s="10">
        <v>5990</v>
      </c>
      <c r="L7332" s="17"/>
      <c r="M7332" s="15"/>
      <c r="N7332" s="18"/>
      <c r="O7332" s="14"/>
      <c r="P7332" s="17">
        <v>1</v>
      </c>
      <c r="Q7332" s="19">
        <v>5990</v>
      </c>
      <c r="R7332" s="14">
        <v>160</v>
      </c>
      <c r="S7332" s="19">
        <v>958400</v>
      </c>
      <c r="T7332" s="17"/>
      <c r="U7332" s="17"/>
      <c r="V7332" s="17"/>
      <c r="W7332" s="4"/>
      <c r="X7332" s="17"/>
      <c r="Y7332" s="4"/>
      <c r="Z7332" s="17"/>
      <c r="AA7332" s="17"/>
      <c r="AB7332" s="17"/>
      <c r="AC7332" s="14"/>
      <c r="AD7332" s="14"/>
      <c r="AE7332" s="17"/>
      <c r="AF7332" s="14"/>
      <c r="AG7332" s="54"/>
      <c r="AH7332" s="11"/>
      <c r="AI7332" s="14"/>
      <c r="AJ7332" s="19">
        <v>0</v>
      </c>
      <c r="AK7332" s="23">
        <v>0</v>
      </c>
      <c r="AL7332" s="11"/>
      <c r="AM7332" s="19">
        <v>0</v>
      </c>
      <c r="AN7332" s="19">
        <v>958400</v>
      </c>
      <c r="AO7332" s="14"/>
      <c r="AP7332" s="14">
        <v>958400</v>
      </c>
      <c r="AQ7332" s="12"/>
      <c r="AS7332" s="26"/>
    </row>
    <row r="7333" spans="1:45" s="19" customFormat="1" x14ac:dyDescent="0.2">
      <c r="A7333" s="122">
        <f t="shared" si="726"/>
        <v>6041</v>
      </c>
      <c r="B7333" s="13">
        <v>42</v>
      </c>
      <c r="C7333" s="17" t="s">
        <v>52</v>
      </c>
      <c r="D7333" s="17">
        <v>4058</v>
      </c>
      <c r="E7333" s="17">
        <v>5</v>
      </c>
      <c r="F7333" s="17">
        <v>2398</v>
      </c>
      <c r="G7333" s="13"/>
      <c r="H7333" s="17">
        <v>18</v>
      </c>
      <c r="I7333" s="17">
        <v>3</v>
      </c>
      <c r="J7333" s="17">
        <v>47</v>
      </c>
      <c r="K7333" s="10">
        <v>7547</v>
      </c>
      <c r="L7333" s="17"/>
      <c r="M7333" s="15"/>
      <c r="N7333" s="18"/>
      <c r="O7333" s="14"/>
      <c r="P7333" s="17">
        <v>1</v>
      </c>
      <c r="Q7333" s="19">
        <v>7547</v>
      </c>
      <c r="R7333" s="14">
        <v>160</v>
      </c>
      <c r="S7333" s="19">
        <v>1207520</v>
      </c>
      <c r="T7333" s="17"/>
      <c r="U7333" s="17"/>
      <c r="V7333" s="17"/>
      <c r="W7333" s="4"/>
      <c r="X7333" s="17"/>
      <c r="Y7333" s="4"/>
      <c r="Z7333" s="17"/>
      <c r="AA7333" s="17"/>
      <c r="AB7333" s="17"/>
      <c r="AC7333" s="14"/>
      <c r="AD7333" s="14"/>
      <c r="AE7333" s="17"/>
      <c r="AF7333" s="14"/>
      <c r="AG7333" s="54"/>
      <c r="AH7333" s="11"/>
      <c r="AI7333" s="14"/>
      <c r="AJ7333" s="19">
        <v>0</v>
      </c>
      <c r="AK7333" s="23">
        <v>0</v>
      </c>
      <c r="AL7333" s="11"/>
      <c r="AM7333" s="19">
        <v>0</v>
      </c>
      <c r="AN7333" s="19">
        <v>1207520</v>
      </c>
      <c r="AO7333" s="14"/>
      <c r="AP7333" s="14">
        <v>1207520</v>
      </c>
      <c r="AQ7333" s="12"/>
      <c r="AS7333" s="26"/>
    </row>
    <row r="7334" spans="1:45" s="19" customFormat="1" x14ac:dyDescent="0.2">
      <c r="A7334" s="122">
        <f t="shared" si="726"/>
        <v>6042</v>
      </c>
      <c r="B7334" s="13">
        <v>43</v>
      </c>
      <c r="C7334" s="17" t="s">
        <v>52</v>
      </c>
      <c r="D7334" s="17">
        <v>4059</v>
      </c>
      <c r="E7334" s="17">
        <v>3</v>
      </c>
      <c r="F7334" s="17">
        <v>2399</v>
      </c>
      <c r="G7334" s="13"/>
      <c r="H7334" s="17">
        <v>20</v>
      </c>
      <c r="I7334" s="17">
        <v>0</v>
      </c>
      <c r="J7334" s="17">
        <v>42</v>
      </c>
      <c r="K7334" s="10">
        <v>8042</v>
      </c>
      <c r="L7334" s="17"/>
      <c r="M7334" s="15"/>
      <c r="N7334" s="18"/>
      <c r="O7334" s="14"/>
      <c r="P7334" s="17">
        <v>1</v>
      </c>
      <c r="Q7334" s="19">
        <v>8042</v>
      </c>
      <c r="R7334" s="14">
        <v>160</v>
      </c>
      <c r="S7334" s="19">
        <v>1286720</v>
      </c>
      <c r="T7334" s="17"/>
      <c r="U7334" s="17"/>
      <c r="V7334" s="17"/>
      <c r="W7334" s="4"/>
      <c r="X7334" s="17"/>
      <c r="Y7334" s="4"/>
      <c r="Z7334" s="17"/>
      <c r="AA7334" s="17"/>
      <c r="AB7334" s="17"/>
      <c r="AC7334" s="14"/>
      <c r="AD7334" s="14"/>
      <c r="AE7334" s="17"/>
      <c r="AF7334" s="14"/>
      <c r="AG7334" s="54"/>
      <c r="AH7334" s="11"/>
      <c r="AI7334" s="14"/>
      <c r="AJ7334" s="19">
        <v>0</v>
      </c>
      <c r="AK7334" s="23">
        <v>0</v>
      </c>
      <c r="AL7334" s="11"/>
      <c r="AM7334" s="19">
        <v>0</v>
      </c>
      <c r="AN7334" s="19">
        <v>1286720</v>
      </c>
      <c r="AO7334" s="14"/>
      <c r="AP7334" s="14">
        <v>1286720</v>
      </c>
      <c r="AQ7334" s="12"/>
      <c r="AS7334" s="26"/>
    </row>
    <row r="7335" spans="1:45" s="19" customFormat="1" x14ac:dyDescent="0.2">
      <c r="A7335" s="122">
        <f t="shared" si="726"/>
        <v>6043</v>
      </c>
      <c r="B7335" s="13">
        <v>44</v>
      </c>
      <c r="C7335" s="17" t="s">
        <v>52</v>
      </c>
      <c r="D7335" s="17">
        <v>4060</v>
      </c>
      <c r="E7335" s="17">
        <v>8</v>
      </c>
      <c r="F7335" s="17">
        <v>2402</v>
      </c>
      <c r="G7335" s="13"/>
      <c r="H7335" s="17">
        <v>13</v>
      </c>
      <c r="I7335" s="17">
        <v>1</v>
      </c>
      <c r="J7335" s="17">
        <v>93</v>
      </c>
      <c r="K7335" s="10">
        <v>5393</v>
      </c>
      <c r="L7335" s="17"/>
      <c r="M7335" s="15"/>
      <c r="N7335" s="18"/>
      <c r="O7335" s="14"/>
      <c r="P7335" s="17">
        <v>1</v>
      </c>
      <c r="Q7335" s="19">
        <v>5393</v>
      </c>
      <c r="R7335" s="14">
        <v>160</v>
      </c>
      <c r="S7335" s="19">
        <v>862880</v>
      </c>
      <c r="T7335" s="17"/>
      <c r="U7335" s="17"/>
      <c r="V7335" s="17"/>
      <c r="W7335" s="4"/>
      <c r="X7335" s="17"/>
      <c r="Y7335" s="4"/>
      <c r="Z7335" s="17"/>
      <c r="AA7335" s="17"/>
      <c r="AB7335" s="17"/>
      <c r="AC7335" s="14"/>
      <c r="AD7335" s="14"/>
      <c r="AE7335" s="17"/>
      <c r="AF7335" s="14"/>
      <c r="AG7335" s="54"/>
      <c r="AH7335" s="11"/>
      <c r="AI7335" s="14"/>
      <c r="AJ7335" s="19">
        <v>0</v>
      </c>
      <c r="AK7335" s="23">
        <v>0</v>
      </c>
      <c r="AL7335" s="11"/>
      <c r="AM7335" s="19">
        <v>0</v>
      </c>
      <c r="AN7335" s="19">
        <v>862880</v>
      </c>
      <c r="AO7335" s="14"/>
      <c r="AP7335" s="14">
        <v>862880</v>
      </c>
      <c r="AQ7335" s="12"/>
      <c r="AS7335" s="26"/>
    </row>
    <row r="7336" spans="1:45" s="19" customFormat="1" x14ac:dyDescent="0.2">
      <c r="A7336" s="122">
        <f t="shared" si="726"/>
        <v>6044</v>
      </c>
      <c r="B7336" s="13">
        <v>45</v>
      </c>
      <c r="C7336" s="17" t="s">
        <v>52</v>
      </c>
      <c r="D7336" s="17">
        <v>4061</v>
      </c>
      <c r="E7336" s="17">
        <v>9</v>
      </c>
      <c r="F7336" s="17">
        <v>2403</v>
      </c>
      <c r="G7336" s="13"/>
      <c r="H7336" s="17">
        <v>12</v>
      </c>
      <c r="I7336" s="17">
        <v>1</v>
      </c>
      <c r="J7336" s="17">
        <v>92</v>
      </c>
      <c r="K7336" s="10">
        <v>4992</v>
      </c>
      <c r="L7336" s="17"/>
      <c r="M7336" s="15"/>
      <c r="N7336" s="18"/>
      <c r="O7336" s="14"/>
      <c r="P7336" s="17">
        <v>1</v>
      </c>
      <c r="Q7336" s="19">
        <v>4992</v>
      </c>
      <c r="R7336" s="14">
        <v>160</v>
      </c>
      <c r="S7336" s="19">
        <v>798720</v>
      </c>
      <c r="T7336" s="17"/>
      <c r="U7336" s="17"/>
      <c r="V7336" s="17"/>
      <c r="W7336" s="4"/>
      <c r="X7336" s="17"/>
      <c r="Y7336" s="4"/>
      <c r="Z7336" s="17"/>
      <c r="AA7336" s="17"/>
      <c r="AB7336" s="17"/>
      <c r="AC7336" s="14"/>
      <c r="AD7336" s="14"/>
      <c r="AE7336" s="17"/>
      <c r="AF7336" s="14"/>
      <c r="AG7336" s="54"/>
      <c r="AH7336" s="11"/>
      <c r="AI7336" s="14"/>
      <c r="AJ7336" s="19">
        <v>0</v>
      </c>
      <c r="AK7336" s="23">
        <v>0</v>
      </c>
      <c r="AL7336" s="11"/>
      <c r="AM7336" s="19">
        <v>0</v>
      </c>
      <c r="AN7336" s="19">
        <v>798720</v>
      </c>
      <c r="AO7336" s="14"/>
      <c r="AP7336" s="14">
        <v>798720</v>
      </c>
      <c r="AQ7336" s="12"/>
      <c r="AS7336" s="26"/>
    </row>
    <row r="7337" spans="1:45" s="19" customFormat="1" x14ac:dyDescent="0.2">
      <c r="A7337" s="122">
        <f t="shared" si="726"/>
        <v>6045</v>
      </c>
      <c r="B7337" s="13">
        <v>46</v>
      </c>
      <c r="C7337" s="17" t="s">
        <v>52</v>
      </c>
      <c r="D7337" s="17">
        <v>4062</v>
      </c>
      <c r="E7337" s="17">
        <v>10</v>
      </c>
      <c r="F7337" s="17">
        <v>2404</v>
      </c>
      <c r="G7337" s="13"/>
      <c r="H7337" s="17">
        <v>11</v>
      </c>
      <c r="I7337" s="17">
        <v>2</v>
      </c>
      <c r="J7337" s="17">
        <v>70</v>
      </c>
      <c r="K7337" s="10">
        <v>4670</v>
      </c>
      <c r="L7337" s="17"/>
      <c r="M7337" s="15"/>
      <c r="N7337" s="18"/>
      <c r="O7337" s="14"/>
      <c r="P7337" s="17">
        <v>1</v>
      </c>
      <c r="Q7337" s="19">
        <v>4670</v>
      </c>
      <c r="R7337" s="14">
        <v>200</v>
      </c>
      <c r="S7337" s="19">
        <v>934000</v>
      </c>
      <c r="T7337" s="17"/>
      <c r="U7337" s="17"/>
      <c r="V7337" s="17"/>
      <c r="W7337" s="4"/>
      <c r="X7337" s="17"/>
      <c r="Y7337" s="4"/>
      <c r="Z7337" s="17"/>
      <c r="AA7337" s="17"/>
      <c r="AB7337" s="17"/>
      <c r="AC7337" s="14"/>
      <c r="AD7337" s="14"/>
      <c r="AE7337" s="17"/>
      <c r="AF7337" s="14"/>
      <c r="AG7337" s="54"/>
      <c r="AH7337" s="11"/>
      <c r="AI7337" s="14"/>
      <c r="AJ7337" s="19">
        <v>0</v>
      </c>
      <c r="AK7337" s="23">
        <v>0</v>
      </c>
      <c r="AL7337" s="11"/>
      <c r="AM7337" s="19">
        <v>0</v>
      </c>
      <c r="AN7337" s="19">
        <v>934000</v>
      </c>
      <c r="AO7337" s="14"/>
      <c r="AP7337" s="14">
        <v>934000</v>
      </c>
      <c r="AQ7337" s="12"/>
      <c r="AS7337" s="26"/>
    </row>
    <row r="7338" spans="1:45" s="19" customFormat="1" x14ac:dyDescent="0.2">
      <c r="A7338" s="122">
        <f t="shared" si="726"/>
        <v>6046</v>
      </c>
      <c r="B7338" s="13">
        <v>47</v>
      </c>
      <c r="C7338" s="17" t="s">
        <v>52</v>
      </c>
      <c r="D7338" s="17">
        <v>5072</v>
      </c>
      <c r="E7338" s="17">
        <v>2</v>
      </c>
      <c r="F7338" s="17">
        <v>2506</v>
      </c>
      <c r="G7338" s="13"/>
      <c r="H7338" s="17">
        <v>27</v>
      </c>
      <c r="I7338" s="17">
        <v>3</v>
      </c>
      <c r="J7338" s="17">
        <v>8</v>
      </c>
      <c r="K7338" s="10">
        <v>11108</v>
      </c>
      <c r="L7338" s="17"/>
      <c r="M7338" s="15"/>
      <c r="N7338" s="18"/>
      <c r="O7338" s="14"/>
      <c r="P7338" s="17">
        <v>1</v>
      </c>
      <c r="Q7338" s="19">
        <v>11108</v>
      </c>
      <c r="R7338" s="14">
        <v>200</v>
      </c>
      <c r="S7338" s="19">
        <v>2221600</v>
      </c>
      <c r="T7338" s="17"/>
      <c r="U7338" s="17"/>
      <c r="V7338" s="17"/>
      <c r="W7338" s="4"/>
      <c r="X7338" s="17"/>
      <c r="Y7338" s="4"/>
      <c r="Z7338" s="17"/>
      <c r="AA7338" s="17"/>
      <c r="AB7338" s="17"/>
      <c r="AC7338" s="14"/>
      <c r="AD7338" s="14"/>
      <c r="AE7338" s="17"/>
      <c r="AF7338" s="14"/>
      <c r="AG7338" s="54"/>
      <c r="AH7338" s="11"/>
      <c r="AI7338" s="14"/>
      <c r="AJ7338" s="19">
        <v>0</v>
      </c>
      <c r="AK7338" s="23">
        <v>0</v>
      </c>
      <c r="AL7338" s="11"/>
      <c r="AM7338" s="19">
        <v>0</v>
      </c>
      <c r="AN7338" s="19">
        <v>2221600</v>
      </c>
      <c r="AO7338" s="14"/>
      <c r="AP7338" s="14">
        <v>2221600</v>
      </c>
      <c r="AQ7338" s="12"/>
      <c r="AS7338" s="26"/>
    </row>
    <row r="7339" spans="1:45" s="19" customFormat="1" x14ac:dyDescent="0.2">
      <c r="A7339" s="122">
        <f t="shared" si="726"/>
        <v>6047</v>
      </c>
      <c r="B7339" s="13">
        <v>48</v>
      </c>
      <c r="C7339" s="17" t="s">
        <v>65</v>
      </c>
      <c r="D7339" s="17">
        <v>209</v>
      </c>
      <c r="E7339" s="17">
        <v>115</v>
      </c>
      <c r="F7339" s="17"/>
      <c r="G7339" s="13"/>
      <c r="H7339" s="17">
        <v>2</v>
      </c>
      <c r="I7339" s="17">
        <v>2</v>
      </c>
      <c r="J7339" s="17">
        <v>26</v>
      </c>
      <c r="K7339" s="10">
        <v>1026</v>
      </c>
      <c r="L7339" s="17"/>
      <c r="M7339" s="15"/>
      <c r="N7339" s="18"/>
      <c r="O7339" s="14"/>
      <c r="P7339" s="17">
        <v>1</v>
      </c>
      <c r="Q7339" s="19">
        <v>1026</v>
      </c>
      <c r="R7339" s="14">
        <v>4500</v>
      </c>
      <c r="S7339" s="19">
        <v>4617000</v>
      </c>
      <c r="T7339" s="17"/>
      <c r="U7339" s="17"/>
      <c r="V7339" s="17"/>
      <c r="W7339" s="4"/>
      <c r="X7339" s="17"/>
      <c r="Y7339" s="4"/>
      <c r="Z7339" s="17"/>
      <c r="AA7339" s="17"/>
      <c r="AB7339" s="17"/>
      <c r="AC7339" s="14"/>
      <c r="AD7339" s="14"/>
      <c r="AE7339" s="17"/>
      <c r="AF7339" s="14"/>
      <c r="AG7339" s="54"/>
      <c r="AH7339" s="11"/>
      <c r="AI7339" s="14"/>
      <c r="AJ7339" s="19">
        <v>0</v>
      </c>
      <c r="AK7339" s="23">
        <v>0</v>
      </c>
      <c r="AL7339" s="11"/>
      <c r="AM7339" s="19">
        <v>0</v>
      </c>
      <c r="AN7339" s="19">
        <v>4617000</v>
      </c>
      <c r="AO7339" s="14"/>
      <c r="AP7339" s="14">
        <v>4617000</v>
      </c>
      <c r="AQ7339" s="12">
        <v>1E-4</v>
      </c>
      <c r="AS7339" s="26"/>
    </row>
    <row r="7340" spans="1:45" s="19" customFormat="1" x14ac:dyDescent="0.2">
      <c r="A7340" s="122">
        <f t="shared" si="726"/>
        <v>6048</v>
      </c>
      <c r="B7340" s="13">
        <v>49</v>
      </c>
      <c r="C7340" s="17" t="s">
        <v>65</v>
      </c>
      <c r="D7340" s="17">
        <v>1668</v>
      </c>
      <c r="E7340" s="17">
        <v>5</v>
      </c>
      <c r="F7340" s="17"/>
      <c r="G7340" s="13"/>
      <c r="H7340" s="17">
        <v>0</v>
      </c>
      <c r="I7340" s="17">
        <v>3</v>
      </c>
      <c r="J7340" s="17">
        <v>53</v>
      </c>
      <c r="K7340" s="10">
        <v>353</v>
      </c>
      <c r="L7340" s="17"/>
      <c r="M7340" s="15"/>
      <c r="N7340" s="18"/>
      <c r="O7340" s="14"/>
      <c r="P7340" s="17">
        <v>1</v>
      </c>
      <c r="Q7340" s="19">
        <v>353</v>
      </c>
      <c r="R7340" s="14">
        <v>2000</v>
      </c>
      <c r="S7340" s="19">
        <v>706000</v>
      </c>
      <c r="T7340" s="17"/>
      <c r="U7340" s="17"/>
      <c r="V7340" s="17"/>
      <c r="W7340" s="4"/>
      <c r="X7340" s="17"/>
      <c r="Y7340" s="4"/>
      <c r="Z7340" s="17"/>
      <c r="AA7340" s="17"/>
      <c r="AB7340" s="17"/>
      <c r="AC7340" s="14"/>
      <c r="AD7340" s="14"/>
      <c r="AE7340" s="17"/>
      <c r="AF7340" s="14"/>
      <c r="AG7340" s="54"/>
      <c r="AH7340" s="11"/>
      <c r="AI7340" s="14"/>
      <c r="AJ7340" s="19">
        <v>0</v>
      </c>
      <c r="AK7340" s="23">
        <v>0</v>
      </c>
      <c r="AL7340" s="11"/>
      <c r="AM7340" s="19">
        <v>0</v>
      </c>
      <c r="AN7340" s="19">
        <v>706000</v>
      </c>
      <c r="AO7340" s="14"/>
      <c r="AP7340" s="14">
        <v>706000</v>
      </c>
      <c r="AQ7340" s="12">
        <v>1E-4</v>
      </c>
      <c r="AS7340" s="26"/>
    </row>
    <row r="7341" spans="1:45" s="19" customFormat="1" x14ac:dyDescent="0.2">
      <c r="A7341" s="122">
        <f t="shared" si="726"/>
        <v>6049</v>
      </c>
      <c r="B7341" s="13">
        <v>50</v>
      </c>
      <c r="C7341" s="17" t="s">
        <v>65</v>
      </c>
      <c r="D7341" s="17">
        <v>1768</v>
      </c>
      <c r="E7341" s="17">
        <v>4</v>
      </c>
      <c r="F7341" s="17"/>
      <c r="G7341" s="13"/>
      <c r="H7341" s="17">
        <v>3</v>
      </c>
      <c r="I7341" s="17">
        <v>1</v>
      </c>
      <c r="J7341" s="17">
        <v>43</v>
      </c>
      <c r="K7341" s="10">
        <v>1343</v>
      </c>
      <c r="L7341" s="17"/>
      <c r="M7341" s="15"/>
      <c r="N7341" s="18"/>
      <c r="O7341" s="14"/>
      <c r="P7341" s="17">
        <v>1</v>
      </c>
      <c r="Q7341" s="19">
        <v>1343</v>
      </c>
      <c r="R7341" s="14">
        <v>1500</v>
      </c>
      <c r="S7341" s="19">
        <v>2014500</v>
      </c>
      <c r="T7341" s="17"/>
      <c r="U7341" s="17"/>
      <c r="V7341" s="17"/>
      <c r="W7341" s="4"/>
      <c r="X7341" s="17"/>
      <c r="Y7341" s="4"/>
      <c r="Z7341" s="17"/>
      <c r="AA7341" s="17"/>
      <c r="AB7341" s="17"/>
      <c r="AC7341" s="14"/>
      <c r="AD7341" s="14"/>
      <c r="AE7341" s="17"/>
      <c r="AF7341" s="14"/>
      <c r="AG7341" s="54"/>
      <c r="AH7341" s="11"/>
      <c r="AI7341" s="14"/>
      <c r="AJ7341" s="19">
        <v>0</v>
      </c>
      <c r="AK7341" s="23">
        <v>0</v>
      </c>
      <c r="AL7341" s="11"/>
      <c r="AM7341" s="19">
        <v>0</v>
      </c>
      <c r="AN7341" s="19">
        <v>2014500</v>
      </c>
      <c r="AO7341" s="14"/>
      <c r="AP7341" s="14">
        <v>2014500</v>
      </c>
      <c r="AQ7341" s="12">
        <v>1E-4</v>
      </c>
      <c r="AS7341" s="26"/>
    </row>
    <row r="7342" spans="1:45" s="19" customFormat="1" ht="42" x14ac:dyDescent="0.2">
      <c r="A7342" s="122">
        <f t="shared" si="726"/>
        <v>6050</v>
      </c>
      <c r="B7342" s="13">
        <v>1</v>
      </c>
      <c r="C7342" s="17" t="s">
        <v>69</v>
      </c>
      <c r="D7342" s="17"/>
      <c r="E7342" s="17" t="s">
        <v>80</v>
      </c>
      <c r="F7342" s="17">
        <v>1</v>
      </c>
      <c r="G7342" s="13">
        <v>5</v>
      </c>
      <c r="H7342" s="17">
        <v>11</v>
      </c>
      <c r="I7342" s="17">
        <v>1</v>
      </c>
      <c r="J7342" s="17">
        <v>3</v>
      </c>
      <c r="K7342" s="10">
        <v>4503</v>
      </c>
      <c r="L7342" s="17"/>
      <c r="M7342" s="15"/>
      <c r="N7342" s="18"/>
      <c r="O7342" s="14"/>
      <c r="P7342" s="17">
        <v>1</v>
      </c>
      <c r="Q7342" s="19">
        <v>4503</v>
      </c>
      <c r="R7342" s="14">
        <v>160</v>
      </c>
      <c r="S7342" s="19">
        <v>720480</v>
      </c>
      <c r="T7342" s="17"/>
      <c r="U7342" s="17"/>
      <c r="V7342" s="17"/>
      <c r="W7342" s="4"/>
      <c r="X7342" s="17"/>
      <c r="Y7342" s="4"/>
      <c r="Z7342" s="17"/>
      <c r="AA7342" s="17"/>
      <c r="AB7342" s="17"/>
      <c r="AC7342" s="14"/>
      <c r="AD7342" s="14"/>
      <c r="AE7342" s="17"/>
      <c r="AF7342" s="14"/>
      <c r="AG7342" s="54"/>
      <c r="AH7342" s="11"/>
      <c r="AI7342" s="14"/>
      <c r="AJ7342" s="19">
        <v>0</v>
      </c>
      <c r="AK7342" s="23">
        <v>0</v>
      </c>
      <c r="AL7342" s="11"/>
      <c r="AM7342" s="19">
        <v>0</v>
      </c>
      <c r="AN7342" s="19">
        <v>720480</v>
      </c>
      <c r="AO7342" s="14"/>
      <c r="AP7342" s="14">
        <v>720480</v>
      </c>
      <c r="AQ7342" s="12">
        <v>1E-4</v>
      </c>
      <c r="AS7342" s="26"/>
    </row>
    <row r="7343" spans="1:45" s="19" customFormat="1" ht="42" x14ac:dyDescent="0.2">
      <c r="A7343" s="122">
        <f t="shared" si="726"/>
        <v>6051</v>
      </c>
      <c r="B7343" s="13">
        <v>1</v>
      </c>
      <c r="C7343" s="17" t="s">
        <v>52</v>
      </c>
      <c r="D7343" s="17">
        <v>2399</v>
      </c>
      <c r="E7343" s="17">
        <v>63</v>
      </c>
      <c r="F7343" s="17">
        <v>1738</v>
      </c>
      <c r="G7343" s="13">
        <v>4</v>
      </c>
      <c r="H7343" s="17">
        <v>0</v>
      </c>
      <c r="I7343" s="17">
        <v>0</v>
      </c>
      <c r="J7343" s="17">
        <v>40</v>
      </c>
      <c r="K7343" s="10"/>
      <c r="L7343" s="17" t="s">
        <v>595</v>
      </c>
      <c r="M7343" s="15"/>
      <c r="N7343" s="18"/>
      <c r="O7343" s="14"/>
      <c r="P7343" s="17" t="s">
        <v>288</v>
      </c>
      <c r="Q7343" s="19">
        <v>40</v>
      </c>
      <c r="R7343" s="14">
        <v>250</v>
      </c>
      <c r="S7343" s="19">
        <v>10000</v>
      </c>
      <c r="T7343" s="17">
        <v>1</v>
      </c>
      <c r="U7343" s="17"/>
      <c r="V7343" s="17" t="s">
        <v>183</v>
      </c>
      <c r="W7343" s="4">
        <v>108</v>
      </c>
      <c r="X7343" s="17"/>
      <c r="Y7343" s="4">
        <v>108</v>
      </c>
      <c r="Z7343" s="17"/>
      <c r="AA7343" s="17"/>
      <c r="AB7343" s="17">
        <v>27</v>
      </c>
      <c r="AC7343" s="14"/>
      <c r="AD7343" s="14"/>
      <c r="AE7343" s="17"/>
      <c r="AF7343" s="14"/>
      <c r="AG7343" s="54"/>
      <c r="AH7343" s="11"/>
      <c r="AI7343" s="14"/>
      <c r="AJ7343" s="19">
        <v>0</v>
      </c>
      <c r="AK7343" s="23">
        <v>27</v>
      </c>
      <c r="AL7343" s="11"/>
      <c r="AM7343" s="19">
        <v>0</v>
      </c>
      <c r="AN7343" s="19">
        <v>10000</v>
      </c>
      <c r="AO7343" s="14"/>
      <c r="AP7343" s="14">
        <v>10000</v>
      </c>
      <c r="AQ7343" s="12"/>
      <c r="AS7343" s="26"/>
    </row>
    <row r="7344" spans="1:45" s="19" customFormat="1" ht="42" x14ac:dyDescent="0.2">
      <c r="A7344" s="122">
        <f t="shared" si="726"/>
        <v>6052</v>
      </c>
      <c r="B7344" s="13">
        <v>1</v>
      </c>
      <c r="C7344" s="17" t="s">
        <v>52</v>
      </c>
      <c r="D7344" s="17">
        <v>2196</v>
      </c>
      <c r="E7344" s="17">
        <v>60</v>
      </c>
      <c r="F7344" s="17">
        <v>1790</v>
      </c>
      <c r="G7344" s="13"/>
      <c r="H7344" s="17">
        <v>0</v>
      </c>
      <c r="I7344" s="17">
        <v>0</v>
      </c>
      <c r="J7344" s="17">
        <v>88</v>
      </c>
      <c r="K7344" s="10"/>
      <c r="L7344" s="17" t="s">
        <v>252</v>
      </c>
      <c r="M7344" s="15"/>
      <c r="N7344" s="18"/>
      <c r="O7344" s="14"/>
      <c r="P7344" s="17" t="s">
        <v>288</v>
      </c>
      <c r="Q7344" s="19">
        <v>88</v>
      </c>
      <c r="R7344" s="14">
        <v>2000</v>
      </c>
      <c r="S7344" s="19">
        <v>176000</v>
      </c>
      <c r="T7344" s="17">
        <v>1</v>
      </c>
      <c r="U7344" s="17"/>
      <c r="V7344" s="17" t="s">
        <v>183</v>
      </c>
      <c r="W7344" s="4">
        <v>75</v>
      </c>
      <c r="X7344" s="17"/>
      <c r="Y7344" s="4">
        <v>75</v>
      </c>
      <c r="Z7344" s="17"/>
      <c r="AA7344" s="17"/>
      <c r="AB7344" s="17">
        <v>25</v>
      </c>
      <c r="AC7344" s="14"/>
      <c r="AD7344" s="14"/>
      <c r="AE7344" s="17"/>
      <c r="AF7344" s="14"/>
      <c r="AG7344" s="54"/>
      <c r="AH7344" s="11"/>
      <c r="AI7344" s="14"/>
      <c r="AJ7344" s="19">
        <v>0</v>
      </c>
      <c r="AK7344" s="23">
        <v>25</v>
      </c>
      <c r="AL7344" s="11"/>
      <c r="AM7344" s="19">
        <v>0</v>
      </c>
      <c r="AN7344" s="19">
        <v>176000</v>
      </c>
      <c r="AO7344" s="14"/>
      <c r="AP7344" s="14">
        <v>176000</v>
      </c>
      <c r="AQ7344" s="12"/>
      <c r="AS7344" s="26"/>
    </row>
    <row r="7345" spans="1:45" x14ac:dyDescent="0.2">
      <c r="A7345" s="122">
        <f t="shared" si="726"/>
        <v>6053</v>
      </c>
      <c r="B7345" s="13">
        <v>1</v>
      </c>
      <c r="C7345" s="17" t="s">
        <v>52</v>
      </c>
      <c r="D7345" s="17">
        <v>29626</v>
      </c>
      <c r="E7345" s="17">
        <v>202</v>
      </c>
      <c r="F7345" s="17">
        <v>5500</v>
      </c>
      <c r="H7345" s="17">
        <v>0</v>
      </c>
      <c r="I7345" s="17">
        <v>1</v>
      </c>
      <c r="J7345" s="17">
        <v>56</v>
      </c>
      <c r="K7345" s="10" t="s">
        <v>759</v>
      </c>
      <c r="P7345" s="17" t="s">
        <v>122</v>
      </c>
      <c r="Q7345" s="19">
        <v>156</v>
      </c>
      <c r="R7345" s="14">
        <v>200</v>
      </c>
      <c r="S7345" s="19">
        <v>31200</v>
      </c>
      <c r="AJ7345" s="19">
        <v>0</v>
      </c>
      <c r="AK7345" s="23">
        <v>0</v>
      </c>
      <c r="AM7345" s="19">
        <v>0</v>
      </c>
      <c r="AN7345" s="19">
        <v>31200</v>
      </c>
      <c r="AP7345" s="14">
        <v>31200</v>
      </c>
    </row>
    <row r="7346" spans="1:45" x14ac:dyDescent="0.2">
      <c r="A7346" s="122">
        <f t="shared" si="726"/>
        <v>6054</v>
      </c>
      <c r="B7346" s="13">
        <v>1</v>
      </c>
      <c r="C7346" s="17" t="s">
        <v>52</v>
      </c>
      <c r="D7346" s="17">
        <v>1715</v>
      </c>
      <c r="E7346" s="17">
        <v>4</v>
      </c>
      <c r="F7346" s="17">
        <v>1420</v>
      </c>
      <c r="H7346" s="17">
        <v>1</v>
      </c>
      <c r="I7346" s="17">
        <v>2</v>
      </c>
      <c r="J7346" s="17">
        <v>80</v>
      </c>
      <c r="K7346" s="10">
        <v>680</v>
      </c>
      <c r="P7346" s="17" t="s">
        <v>122</v>
      </c>
      <c r="Q7346" s="19">
        <v>680</v>
      </c>
      <c r="R7346" s="14">
        <v>160</v>
      </c>
      <c r="S7346" s="19">
        <v>108800</v>
      </c>
      <c r="AJ7346" s="19">
        <v>0</v>
      </c>
      <c r="AK7346" s="23">
        <v>0</v>
      </c>
      <c r="AM7346" s="19">
        <v>0</v>
      </c>
      <c r="AN7346" s="19">
        <v>108800</v>
      </c>
      <c r="AP7346" s="14">
        <v>108800</v>
      </c>
    </row>
    <row r="7347" spans="1:45" x14ac:dyDescent="0.2">
      <c r="A7347" s="122">
        <f t="shared" si="726"/>
        <v>6055</v>
      </c>
      <c r="B7347" s="13">
        <v>2</v>
      </c>
      <c r="C7347" s="17" t="s">
        <v>52</v>
      </c>
      <c r="D7347" s="17">
        <v>1738</v>
      </c>
      <c r="E7347" s="17">
        <v>5</v>
      </c>
      <c r="F7347" s="17">
        <v>1421</v>
      </c>
      <c r="H7347" s="17">
        <v>3</v>
      </c>
      <c r="I7347" s="17">
        <v>0</v>
      </c>
      <c r="J7347" s="17">
        <v>34</v>
      </c>
      <c r="K7347" s="10">
        <v>1234</v>
      </c>
      <c r="P7347" s="17" t="s">
        <v>122</v>
      </c>
      <c r="Q7347" s="19">
        <v>1234</v>
      </c>
      <c r="R7347" s="14">
        <v>160</v>
      </c>
      <c r="S7347" s="19">
        <v>197440</v>
      </c>
      <c r="AJ7347" s="19">
        <v>0</v>
      </c>
      <c r="AK7347" s="23">
        <v>0</v>
      </c>
      <c r="AM7347" s="19">
        <v>0</v>
      </c>
      <c r="AN7347" s="19">
        <v>197440</v>
      </c>
      <c r="AP7347" s="14">
        <v>197440</v>
      </c>
    </row>
    <row r="7348" spans="1:45" x14ac:dyDescent="0.2">
      <c r="A7348" s="122">
        <f t="shared" si="726"/>
        <v>6056</v>
      </c>
      <c r="B7348" s="13">
        <v>1</v>
      </c>
      <c r="C7348" s="17" t="s">
        <v>52</v>
      </c>
      <c r="D7348" s="17">
        <v>29627</v>
      </c>
      <c r="E7348" s="17">
        <v>203</v>
      </c>
      <c r="F7348" s="17">
        <v>5501</v>
      </c>
      <c r="H7348" s="17">
        <v>0</v>
      </c>
      <c r="I7348" s="17">
        <v>2</v>
      </c>
      <c r="J7348" s="17">
        <v>9</v>
      </c>
      <c r="K7348" s="10">
        <v>209</v>
      </c>
      <c r="P7348" s="17" t="s">
        <v>122</v>
      </c>
      <c r="Q7348" s="19">
        <v>209</v>
      </c>
      <c r="R7348" s="14">
        <v>200</v>
      </c>
      <c r="S7348" s="19">
        <v>41800</v>
      </c>
      <c r="AJ7348" s="19">
        <v>0</v>
      </c>
      <c r="AK7348" s="23">
        <v>0</v>
      </c>
      <c r="AM7348" s="19">
        <v>0</v>
      </c>
      <c r="AN7348" s="19">
        <v>41800</v>
      </c>
      <c r="AP7348" s="14">
        <v>41800</v>
      </c>
    </row>
    <row r="7349" spans="1:45" x14ac:dyDescent="0.2">
      <c r="A7349" s="122">
        <f t="shared" ref="A7349:A7352" si="727">+A7348+1</f>
        <v>6057</v>
      </c>
      <c r="B7349" s="13">
        <v>1</v>
      </c>
      <c r="C7349" s="17" t="s">
        <v>52</v>
      </c>
      <c r="D7349" s="17">
        <v>1811</v>
      </c>
      <c r="E7349" s="17">
        <v>119</v>
      </c>
      <c r="F7349" s="17">
        <v>1195</v>
      </c>
      <c r="G7349" s="13">
        <v>2</v>
      </c>
      <c r="H7349" s="17">
        <v>4</v>
      </c>
      <c r="I7349" s="17">
        <v>3</v>
      </c>
      <c r="J7349" s="17">
        <v>88</v>
      </c>
      <c r="K7349" s="10">
        <v>1988</v>
      </c>
      <c r="P7349" s="17" t="s">
        <v>122</v>
      </c>
      <c r="Q7349" s="19">
        <v>1988</v>
      </c>
      <c r="R7349" s="14">
        <v>160</v>
      </c>
      <c r="S7349" s="19">
        <v>318080</v>
      </c>
      <c r="AJ7349" s="19">
        <v>0</v>
      </c>
      <c r="AK7349" s="23">
        <v>0</v>
      </c>
      <c r="AM7349" s="19">
        <v>0</v>
      </c>
      <c r="AN7349" s="19">
        <v>318080</v>
      </c>
      <c r="AP7349" s="14">
        <v>318080</v>
      </c>
      <c r="AS7349" s="26">
        <v>94</v>
      </c>
    </row>
    <row r="7350" spans="1:45" x14ac:dyDescent="0.2">
      <c r="A7350" s="122">
        <f t="shared" si="727"/>
        <v>6058</v>
      </c>
      <c r="B7350" s="13">
        <v>2</v>
      </c>
      <c r="C7350" s="17" t="s">
        <v>52</v>
      </c>
      <c r="D7350" s="17">
        <v>2949</v>
      </c>
      <c r="E7350" s="17">
        <v>136</v>
      </c>
      <c r="F7350" s="17">
        <v>2011</v>
      </c>
      <c r="G7350" s="13">
        <v>2</v>
      </c>
      <c r="H7350" s="17">
        <v>8</v>
      </c>
      <c r="I7350" s="17">
        <v>1</v>
      </c>
      <c r="J7350" s="17">
        <v>13.07</v>
      </c>
      <c r="K7350" s="10">
        <v>3313</v>
      </c>
      <c r="P7350" s="17" t="s">
        <v>122</v>
      </c>
      <c r="Q7350" s="19">
        <v>3313.07</v>
      </c>
      <c r="R7350" s="14">
        <v>200</v>
      </c>
      <c r="S7350" s="19">
        <v>662614</v>
      </c>
      <c r="AJ7350" s="19">
        <v>0</v>
      </c>
      <c r="AK7350" s="23">
        <v>0</v>
      </c>
      <c r="AM7350" s="19">
        <v>0</v>
      </c>
      <c r="AN7350" s="19">
        <v>662614</v>
      </c>
      <c r="AP7350" s="14">
        <v>662614</v>
      </c>
    </row>
    <row r="7351" spans="1:45" x14ac:dyDescent="0.2">
      <c r="A7351" s="122">
        <f t="shared" si="727"/>
        <v>6059</v>
      </c>
      <c r="B7351" s="13">
        <v>3</v>
      </c>
      <c r="C7351" s="17" t="s">
        <v>52</v>
      </c>
      <c r="D7351" s="17">
        <v>3763</v>
      </c>
      <c r="E7351" s="17">
        <v>38</v>
      </c>
      <c r="F7351" s="17">
        <v>2287</v>
      </c>
      <c r="G7351" s="13">
        <v>2</v>
      </c>
      <c r="H7351" s="17">
        <v>8</v>
      </c>
      <c r="I7351" s="17">
        <v>2</v>
      </c>
      <c r="J7351" s="17">
        <v>57</v>
      </c>
      <c r="K7351" s="10">
        <v>3457</v>
      </c>
      <c r="P7351" s="17" t="s">
        <v>122</v>
      </c>
      <c r="Q7351" s="19">
        <v>3457</v>
      </c>
      <c r="R7351" s="14">
        <v>200</v>
      </c>
      <c r="S7351" s="19">
        <v>691400</v>
      </c>
      <c r="AJ7351" s="19">
        <v>0</v>
      </c>
      <c r="AK7351" s="23">
        <v>0</v>
      </c>
      <c r="AM7351" s="19">
        <v>0</v>
      </c>
      <c r="AN7351" s="19">
        <v>691400</v>
      </c>
      <c r="AP7351" s="14">
        <v>691400</v>
      </c>
    </row>
    <row r="7352" spans="1:45" ht="63" x14ac:dyDescent="0.2">
      <c r="A7352" s="122">
        <f t="shared" si="727"/>
        <v>6060</v>
      </c>
      <c r="B7352" s="13">
        <v>1</v>
      </c>
      <c r="C7352" s="17" t="s">
        <v>52</v>
      </c>
      <c r="D7352" s="17">
        <v>1625</v>
      </c>
      <c r="E7352" s="17">
        <v>37</v>
      </c>
      <c r="F7352" s="17">
        <v>1365</v>
      </c>
      <c r="G7352" s="13">
        <v>2</v>
      </c>
      <c r="H7352" s="17">
        <v>0</v>
      </c>
      <c r="I7352" s="17">
        <v>0</v>
      </c>
      <c r="J7352" s="17">
        <v>56</v>
      </c>
      <c r="L7352" s="17">
        <v>100</v>
      </c>
      <c r="P7352" s="17" t="s">
        <v>288</v>
      </c>
      <c r="Q7352" s="19">
        <v>56</v>
      </c>
      <c r="R7352" s="14">
        <v>4500</v>
      </c>
      <c r="S7352" s="19">
        <v>252000</v>
      </c>
      <c r="T7352" s="17">
        <v>1</v>
      </c>
      <c r="U7352" s="17" t="s">
        <v>63</v>
      </c>
      <c r="V7352" s="17" t="s">
        <v>56</v>
      </c>
      <c r="W7352" s="4">
        <v>100</v>
      </c>
      <c r="Y7352" s="4" t="s">
        <v>253</v>
      </c>
      <c r="AB7352" s="17">
        <v>30</v>
      </c>
      <c r="AJ7352" s="19">
        <v>0</v>
      </c>
      <c r="AK7352" s="23">
        <v>30</v>
      </c>
      <c r="AM7352" s="19">
        <v>0</v>
      </c>
      <c r="AN7352" s="19">
        <v>252000</v>
      </c>
      <c r="AP7352" s="14">
        <v>252000</v>
      </c>
      <c r="AS7352" s="26">
        <v>9</v>
      </c>
    </row>
    <row r="7353" spans="1:45" ht="84" x14ac:dyDescent="0.2">
      <c r="R7353" s="14" t="e">
        <v>#N/A</v>
      </c>
      <c r="U7353" s="17" t="s">
        <v>101</v>
      </c>
      <c r="V7353" s="17" t="s">
        <v>56</v>
      </c>
      <c r="W7353" s="4">
        <v>28</v>
      </c>
      <c r="Z7353" s="17" t="s">
        <v>626</v>
      </c>
      <c r="AB7353" s="17" t="s">
        <v>288</v>
      </c>
      <c r="AF7353" s="14">
        <v>3</v>
      </c>
      <c r="AG7353" s="54">
        <v>28</v>
      </c>
      <c r="AH7353" s="11">
        <v>1</v>
      </c>
      <c r="AI7353" s="14">
        <v>3750</v>
      </c>
      <c r="AJ7353" s="19">
        <v>105000</v>
      </c>
      <c r="AK7353" s="23">
        <v>2</v>
      </c>
      <c r="AL7353" s="11">
        <v>0.02</v>
      </c>
      <c r="AM7353" s="19">
        <v>102900</v>
      </c>
      <c r="AN7353" s="19">
        <v>158340</v>
      </c>
      <c r="AP7353" s="14">
        <v>158340</v>
      </c>
      <c r="AQ7353" s="12">
        <v>3.0000000000000001E-3</v>
      </c>
    </row>
    <row r="7354" spans="1:45" x14ac:dyDescent="0.2">
      <c r="A7354" s="2">
        <v>6061</v>
      </c>
      <c r="B7354" s="13">
        <v>2</v>
      </c>
      <c r="C7354" s="17" t="s">
        <v>69</v>
      </c>
      <c r="E7354" s="17">
        <v>1516</v>
      </c>
      <c r="F7354" s="17">
        <v>5</v>
      </c>
      <c r="G7354" s="13">
        <v>2</v>
      </c>
      <c r="H7354" s="17">
        <v>3</v>
      </c>
      <c r="I7354" s="17">
        <v>0</v>
      </c>
      <c r="J7354" s="17">
        <v>34</v>
      </c>
      <c r="K7354" s="10">
        <v>1234</v>
      </c>
      <c r="P7354" s="17" t="s">
        <v>122</v>
      </c>
      <c r="Q7354" s="19">
        <v>1234</v>
      </c>
      <c r="R7354" s="14">
        <v>160</v>
      </c>
      <c r="S7354" s="19">
        <v>197440</v>
      </c>
      <c r="AJ7354" s="19">
        <v>0</v>
      </c>
      <c r="AK7354" s="23">
        <v>0</v>
      </c>
      <c r="AM7354" s="19">
        <v>0</v>
      </c>
      <c r="AN7354" s="19">
        <v>197440</v>
      </c>
      <c r="AP7354" s="14">
        <v>197440</v>
      </c>
      <c r="AQ7354" s="12">
        <v>1E-4</v>
      </c>
    </row>
    <row r="7355" spans="1:45" x14ac:dyDescent="0.2">
      <c r="A7355" s="2">
        <f>+A7354+1</f>
        <v>6062</v>
      </c>
      <c r="B7355" s="13">
        <v>1</v>
      </c>
      <c r="C7355" s="17" t="s">
        <v>65</v>
      </c>
      <c r="D7355" s="17">
        <v>1642</v>
      </c>
      <c r="E7355" s="17">
        <v>125</v>
      </c>
      <c r="H7355" s="17">
        <v>2</v>
      </c>
      <c r="I7355" s="17">
        <v>0</v>
      </c>
      <c r="J7355" s="17">
        <v>73</v>
      </c>
      <c r="K7355" s="10">
        <v>873</v>
      </c>
      <c r="P7355" s="17" t="s">
        <v>122</v>
      </c>
      <c r="Q7355" s="19">
        <v>873</v>
      </c>
      <c r="R7355" s="14">
        <v>160</v>
      </c>
      <c r="S7355" s="19">
        <v>139680</v>
      </c>
      <c r="AJ7355" s="19">
        <v>0</v>
      </c>
      <c r="AK7355" s="23">
        <v>0</v>
      </c>
      <c r="AM7355" s="19">
        <v>0</v>
      </c>
      <c r="AN7355" s="19">
        <v>139680</v>
      </c>
      <c r="AP7355" s="14">
        <v>139680</v>
      </c>
      <c r="AQ7355" s="12">
        <v>1E-4</v>
      </c>
    </row>
    <row r="7356" spans="1:45" x14ac:dyDescent="0.2">
      <c r="A7356" s="122">
        <f t="shared" ref="A7356:A7359" si="728">+A7355+1</f>
        <v>6063</v>
      </c>
      <c r="B7356" s="13">
        <v>1</v>
      </c>
      <c r="C7356" s="17" t="s">
        <v>52</v>
      </c>
      <c r="D7356" s="17">
        <v>28027</v>
      </c>
      <c r="E7356" s="17">
        <v>79</v>
      </c>
      <c r="F7356" s="17">
        <v>5064</v>
      </c>
      <c r="G7356" s="13">
        <v>1</v>
      </c>
      <c r="H7356" s="17">
        <v>0</v>
      </c>
      <c r="I7356" s="17">
        <v>0</v>
      </c>
      <c r="J7356" s="17">
        <v>60.09</v>
      </c>
      <c r="K7356" s="10">
        <v>60.09</v>
      </c>
      <c r="P7356" s="17" t="s">
        <v>122</v>
      </c>
      <c r="Q7356" s="19">
        <v>60.09</v>
      </c>
      <c r="R7356" s="14">
        <v>160</v>
      </c>
      <c r="S7356" s="19">
        <v>9614.4000000000015</v>
      </c>
      <c r="AJ7356" s="19">
        <v>0</v>
      </c>
      <c r="AK7356" s="23">
        <v>0</v>
      </c>
      <c r="AM7356" s="19">
        <v>0</v>
      </c>
      <c r="AN7356" s="19">
        <v>9614.4000000000015</v>
      </c>
      <c r="AP7356" s="14">
        <v>9614.4000000000015</v>
      </c>
    </row>
    <row r="7357" spans="1:45" x14ac:dyDescent="0.2">
      <c r="A7357" s="122">
        <f t="shared" si="728"/>
        <v>6064</v>
      </c>
      <c r="B7357" s="13">
        <v>1</v>
      </c>
      <c r="C7357" s="17" t="s">
        <v>52</v>
      </c>
      <c r="D7357" s="17">
        <v>34190</v>
      </c>
      <c r="E7357" s="17">
        <v>148</v>
      </c>
      <c r="F7357" s="17">
        <v>6785</v>
      </c>
      <c r="G7357" s="13">
        <v>1</v>
      </c>
      <c r="H7357" s="17">
        <v>0</v>
      </c>
      <c r="I7357" s="17">
        <v>0</v>
      </c>
      <c r="J7357" s="17">
        <v>44</v>
      </c>
      <c r="L7357" s="17">
        <v>44</v>
      </c>
      <c r="P7357" s="17">
        <v>2</v>
      </c>
      <c r="Q7357" s="19">
        <v>44</v>
      </c>
      <c r="R7357" s="14">
        <v>160</v>
      </c>
      <c r="S7357" s="19">
        <v>7040</v>
      </c>
      <c r="AJ7357" s="19">
        <v>0</v>
      </c>
      <c r="AK7357" s="23">
        <v>0</v>
      </c>
      <c r="AM7357" s="19">
        <v>0</v>
      </c>
      <c r="AN7357" s="19">
        <v>7040</v>
      </c>
      <c r="AP7357" s="14">
        <v>7040</v>
      </c>
    </row>
    <row r="7358" spans="1:45" x14ac:dyDescent="0.2">
      <c r="A7358" s="122">
        <f t="shared" si="728"/>
        <v>6065</v>
      </c>
      <c r="B7358" s="13">
        <v>1</v>
      </c>
      <c r="C7358" s="17" t="s">
        <v>52</v>
      </c>
      <c r="D7358" s="17">
        <v>34189</v>
      </c>
      <c r="E7358" s="17">
        <v>147</v>
      </c>
      <c r="F7358" s="17">
        <v>6784</v>
      </c>
      <c r="G7358" s="13">
        <v>1</v>
      </c>
      <c r="H7358" s="17">
        <v>0</v>
      </c>
      <c r="I7358" s="17">
        <v>2</v>
      </c>
      <c r="J7358" s="17">
        <v>23</v>
      </c>
      <c r="K7358" s="10">
        <v>223</v>
      </c>
      <c r="P7358" s="17" t="s">
        <v>122</v>
      </c>
      <c r="Q7358" s="19">
        <v>223</v>
      </c>
      <c r="R7358" s="14">
        <v>160</v>
      </c>
      <c r="S7358" s="19">
        <v>35680</v>
      </c>
      <c r="AJ7358" s="19">
        <v>0</v>
      </c>
      <c r="AK7358" s="23">
        <v>0</v>
      </c>
      <c r="AM7358" s="19">
        <v>0</v>
      </c>
      <c r="AN7358" s="19">
        <v>35680</v>
      </c>
      <c r="AP7358" s="14">
        <v>35680</v>
      </c>
    </row>
    <row r="7359" spans="1:45" ht="126" x14ac:dyDescent="0.2">
      <c r="A7359" s="122">
        <f t="shared" si="728"/>
        <v>6066</v>
      </c>
      <c r="B7359" s="13">
        <v>1</v>
      </c>
      <c r="C7359" s="17" t="s">
        <v>52</v>
      </c>
      <c r="D7359" s="17">
        <v>1751</v>
      </c>
      <c r="E7359" s="17">
        <v>16</v>
      </c>
      <c r="F7359" s="17">
        <v>728</v>
      </c>
      <c r="G7359" s="13">
        <v>6</v>
      </c>
      <c r="H7359" s="17">
        <v>0</v>
      </c>
      <c r="I7359" s="17">
        <v>0</v>
      </c>
      <c r="J7359" s="17">
        <v>85</v>
      </c>
      <c r="M7359" s="15">
        <v>43</v>
      </c>
      <c r="N7359" s="18">
        <v>42</v>
      </c>
      <c r="P7359" s="17" t="s">
        <v>592</v>
      </c>
      <c r="Q7359" s="19">
        <v>85</v>
      </c>
      <c r="R7359" s="14">
        <v>4500</v>
      </c>
      <c r="S7359" s="19">
        <v>382500</v>
      </c>
      <c r="T7359" s="17">
        <v>1</v>
      </c>
      <c r="U7359" s="17" t="s">
        <v>101</v>
      </c>
      <c r="V7359" s="17" t="s">
        <v>56</v>
      </c>
      <c r="W7359" s="4">
        <v>127.5</v>
      </c>
      <c r="Y7359" s="4">
        <v>42.5</v>
      </c>
      <c r="Z7359" s="17">
        <v>85</v>
      </c>
      <c r="AB7359" s="17" t="s">
        <v>732</v>
      </c>
      <c r="AC7359" s="14" t="s">
        <v>566</v>
      </c>
      <c r="AF7359" s="14">
        <v>3</v>
      </c>
      <c r="AG7359" s="54">
        <v>127.5</v>
      </c>
      <c r="AH7359" s="11">
        <v>0.67</v>
      </c>
      <c r="AI7359" s="14">
        <v>3750</v>
      </c>
      <c r="AJ7359" s="19">
        <v>320343.75000000006</v>
      </c>
      <c r="AK7359" s="23" t="s">
        <v>732</v>
      </c>
      <c r="AL7359" s="11">
        <v>0.12</v>
      </c>
      <c r="AM7359" s="19">
        <v>281902.50000000006</v>
      </c>
      <c r="AN7359" s="19">
        <v>538177.50000000012</v>
      </c>
      <c r="AP7359" s="14">
        <v>538177.50000000012</v>
      </c>
      <c r="AQ7359" s="12">
        <v>3.0000000000000001E-3</v>
      </c>
      <c r="AS7359" s="26">
        <v>1125</v>
      </c>
    </row>
    <row r="7360" spans="1:45" x14ac:dyDescent="0.2">
      <c r="AF7360" s="14">
        <v>2</v>
      </c>
      <c r="AG7360" s="54">
        <v>127.5</v>
      </c>
      <c r="AH7360" s="11">
        <v>0.33</v>
      </c>
      <c r="AI7360" s="14">
        <v>3750</v>
      </c>
      <c r="AJ7360" s="19">
        <v>157781.25</v>
      </c>
      <c r="AK7360" s="23">
        <v>11</v>
      </c>
      <c r="AL7360" s="11">
        <v>0.12</v>
      </c>
      <c r="AM7360" s="19">
        <v>138847.5</v>
      </c>
      <c r="AN7360" s="19">
        <v>138847.5</v>
      </c>
    </row>
    <row r="7361" spans="1:45" ht="126" x14ac:dyDescent="0.2">
      <c r="A7361" s="2">
        <v>6067</v>
      </c>
      <c r="B7361" s="13">
        <v>2</v>
      </c>
      <c r="C7361" s="17" t="s">
        <v>52</v>
      </c>
      <c r="D7361" s="17">
        <v>25816</v>
      </c>
      <c r="E7361" s="17">
        <v>37</v>
      </c>
      <c r="F7361" s="17">
        <v>4997</v>
      </c>
      <c r="G7361" s="13">
        <v>6</v>
      </c>
      <c r="H7361" s="17">
        <v>0</v>
      </c>
      <c r="I7361" s="17">
        <v>1</v>
      </c>
      <c r="J7361" s="17">
        <v>1</v>
      </c>
      <c r="M7361" s="15">
        <v>12.5</v>
      </c>
      <c r="N7361" s="18">
        <v>88.5</v>
      </c>
      <c r="P7361" s="17" t="s">
        <v>592</v>
      </c>
      <c r="Q7361" s="19">
        <v>101</v>
      </c>
      <c r="R7361" s="14">
        <v>4500</v>
      </c>
      <c r="S7361" s="19">
        <v>454500</v>
      </c>
      <c r="T7361" s="17">
        <v>1</v>
      </c>
      <c r="U7361" s="17" t="s">
        <v>63</v>
      </c>
      <c r="V7361" s="17" t="s">
        <v>56</v>
      </c>
      <c r="W7361" s="4">
        <v>120</v>
      </c>
      <c r="Y7361" s="4" t="s">
        <v>282</v>
      </c>
      <c r="AB7361" s="17">
        <v>18</v>
      </c>
      <c r="AC7361" s="14" t="s">
        <v>566</v>
      </c>
      <c r="AF7361" s="14">
        <v>2</v>
      </c>
      <c r="AG7361" s="54">
        <v>120</v>
      </c>
      <c r="AH7361" s="11">
        <v>1</v>
      </c>
      <c r="AI7361" s="14">
        <v>8100</v>
      </c>
      <c r="AJ7361" s="19">
        <v>972000</v>
      </c>
      <c r="AK7361" s="23">
        <v>18</v>
      </c>
      <c r="AL7361" s="11">
        <v>0.26</v>
      </c>
      <c r="AM7361" s="19">
        <v>719280</v>
      </c>
      <c r="AN7361" s="19">
        <v>1173780</v>
      </c>
      <c r="AP7361" s="14">
        <v>1173780</v>
      </c>
      <c r="AR7361" s="19">
        <v>1125</v>
      </c>
    </row>
    <row r="7362" spans="1:45" x14ac:dyDescent="0.2">
      <c r="A7362" s="2">
        <v>6068</v>
      </c>
      <c r="B7362" s="13">
        <v>1</v>
      </c>
      <c r="C7362" s="17" t="s">
        <v>52</v>
      </c>
      <c r="D7362" s="17">
        <v>32045</v>
      </c>
      <c r="E7362" s="17">
        <v>29</v>
      </c>
      <c r="F7362" s="17">
        <v>6270</v>
      </c>
      <c r="G7362" s="13">
        <v>6</v>
      </c>
      <c r="H7362" s="17">
        <v>0</v>
      </c>
      <c r="I7362" s="17">
        <v>0</v>
      </c>
      <c r="J7362" s="17">
        <v>77</v>
      </c>
      <c r="K7362" s="10">
        <v>77</v>
      </c>
      <c r="P7362" s="17" t="s">
        <v>122</v>
      </c>
      <c r="Q7362" s="19">
        <v>77</v>
      </c>
      <c r="R7362" s="14">
        <v>750</v>
      </c>
      <c r="S7362" s="19">
        <v>57750</v>
      </c>
      <c r="AJ7362" s="19">
        <v>0</v>
      </c>
      <c r="AK7362" s="23">
        <v>0</v>
      </c>
      <c r="AM7362" s="19">
        <v>0</v>
      </c>
      <c r="AN7362" s="19">
        <v>57750</v>
      </c>
      <c r="AP7362" s="14">
        <v>57750</v>
      </c>
    </row>
    <row r="7363" spans="1:45" x14ac:dyDescent="0.2">
      <c r="A7363" s="2">
        <f>+A7362+1</f>
        <v>6069</v>
      </c>
      <c r="B7363" s="13">
        <v>1</v>
      </c>
      <c r="C7363" s="17" t="s">
        <v>52</v>
      </c>
      <c r="D7363" s="17">
        <v>4929</v>
      </c>
      <c r="E7363" s="17">
        <v>66</v>
      </c>
      <c r="F7363" s="17">
        <v>2805</v>
      </c>
      <c r="G7363" s="13">
        <v>7</v>
      </c>
      <c r="H7363" s="17">
        <v>0</v>
      </c>
      <c r="I7363" s="17">
        <v>1</v>
      </c>
      <c r="J7363" s="17">
        <v>18</v>
      </c>
      <c r="L7363" s="17">
        <v>118</v>
      </c>
      <c r="P7363" s="17" t="s">
        <v>288</v>
      </c>
      <c r="Q7363" s="19">
        <v>118</v>
      </c>
      <c r="R7363" s="14">
        <v>1000</v>
      </c>
      <c r="S7363" s="19">
        <v>118000</v>
      </c>
      <c r="AJ7363" s="19">
        <v>0</v>
      </c>
      <c r="AK7363" s="23">
        <v>0</v>
      </c>
      <c r="AM7363" s="19">
        <v>0</v>
      </c>
      <c r="AN7363" s="19">
        <v>118000</v>
      </c>
      <c r="AP7363" s="14">
        <v>118000</v>
      </c>
    </row>
    <row r="7364" spans="1:45" x14ac:dyDescent="0.2">
      <c r="A7364" s="122">
        <f t="shared" ref="A7364:A7374" si="729">+A7363+1</f>
        <v>6070</v>
      </c>
      <c r="B7364" s="13">
        <v>1</v>
      </c>
      <c r="C7364" s="17" t="s">
        <v>52</v>
      </c>
      <c r="D7364" s="17">
        <v>1423</v>
      </c>
      <c r="E7364" s="17">
        <v>3</v>
      </c>
      <c r="F7364" s="17">
        <v>862</v>
      </c>
      <c r="G7364" s="13">
        <v>2</v>
      </c>
      <c r="H7364" s="17">
        <v>0</v>
      </c>
      <c r="I7364" s="17">
        <v>0</v>
      </c>
      <c r="J7364" s="17">
        <v>74</v>
      </c>
      <c r="K7364" s="10">
        <v>74</v>
      </c>
      <c r="P7364" s="17" t="s">
        <v>122</v>
      </c>
      <c r="Q7364" s="19">
        <v>74</v>
      </c>
      <c r="R7364" s="14">
        <v>1500</v>
      </c>
      <c r="S7364" s="19">
        <v>111000</v>
      </c>
      <c r="AJ7364" s="19">
        <v>0</v>
      </c>
      <c r="AK7364" s="23">
        <v>0</v>
      </c>
      <c r="AM7364" s="19">
        <v>0</v>
      </c>
      <c r="AN7364" s="19">
        <v>111000</v>
      </c>
      <c r="AP7364" s="14">
        <v>111000</v>
      </c>
    </row>
    <row r="7365" spans="1:45" x14ac:dyDescent="0.2">
      <c r="A7365" s="122">
        <f t="shared" si="729"/>
        <v>6071</v>
      </c>
      <c r="B7365" s="13">
        <v>1</v>
      </c>
      <c r="C7365" s="17" t="s">
        <v>52</v>
      </c>
      <c r="D7365" s="17">
        <v>22247</v>
      </c>
      <c r="E7365" s="17">
        <v>144</v>
      </c>
      <c r="F7365" s="17">
        <v>4758</v>
      </c>
      <c r="G7365" s="13">
        <v>2</v>
      </c>
      <c r="H7365" s="17">
        <v>2</v>
      </c>
      <c r="I7365" s="17">
        <v>1</v>
      </c>
      <c r="J7365" s="17">
        <v>38</v>
      </c>
      <c r="K7365" s="10">
        <v>938</v>
      </c>
      <c r="P7365" s="17" t="s">
        <v>122</v>
      </c>
      <c r="Q7365" s="19">
        <v>938</v>
      </c>
      <c r="R7365" s="14">
        <v>160</v>
      </c>
      <c r="S7365" s="19">
        <v>150080</v>
      </c>
      <c r="AJ7365" s="19">
        <v>0</v>
      </c>
      <c r="AK7365" s="23">
        <v>0</v>
      </c>
      <c r="AM7365" s="19">
        <v>0</v>
      </c>
      <c r="AN7365" s="19">
        <v>150080</v>
      </c>
      <c r="AP7365" s="14">
        <v>150080</v>
      </c>
    </row>
    <row r="7366" spans="1:45" x14ac:dyDescent="0.2">
      <c r="A7366" s="122">
        <f t="shared" si="729"/>
        <v>6072</v>
      </c>
      <c r="B7366" s="13">
        <v>2</v>
      </c>
      <c r="C7366" s="17" t="s">
        <v>52</v>
      </c>
      <c r="D7366" s="17">
        <v>31715</v>
      </c>
      <c r="E7366" s="17">
        <v>158</v>
      </c>
      <c r="F7366" s="17">
        <v>6209</v>
      </c>
      <c r="G7366" s="13">
        <v>2</v>
      </c>
      <c r="H7366" s="17">
        <v>2</v>
      </c>
      <c r="I7366" s="17">
        <v>2</v>
      </c>
      <c r="J7366" s="17">
        <v>67</v>
      </c>
      <c r="K7366" s="10">
        <v>1067</v>
      </c>
      <c r="P7366" s="17" t="s">
        <v>122</v>
      </c>
      <c r="Q7366" s="19">
        <v>1067</v>
      </c>
      <c r="R7366" s="14">
        <v>160</v>
      </c>
      <c r="S7366" s="19">
        <v>170720</v>
      </c>
      <c r="AJ7366" s="19">
        <v>0</v>
      </c>
      <c r="AK7366" s="23">
        <v>0</v>
      </c>
      <c r="AM7366" s="19">
        <v>0</v>
      </c>
      <c r="AN7366" s="19">
        <v>170720</v>
      </c>
      <c r="AP7366" s="14">
        <v>170720</v>
      </c>
    </row>
    <row r="7367" spans="1:45" ht="42" x14ac:dyDescent="0.2">
      <c r="A7367" s="122">
        <f t="shared" si="729"/>
        <v>6073</v>
      </c>
      <c r="B7367" s="13">
        <v>3</v>
      </c>
      <c r="C7367" s="17" t="s">
        <v>52</v>
      </c>
      <c r="D7367" s="17">
        <v>2112</v>
      </c>
      <c r="E7367" s="17">
        <v>74</v>
      </c>
      <c r="F7367" s="17">
        <v>1673</v>
      </c>
      <c r="H7367" s="17">
        <v>0</v>
      </c>
      <c r="I7367" s="17">
        <v>0</v>
      </c>
      <c r="J7367" s="17">
        <v>32</v>
      </c>
      <c r="L7367" s="17" t="s">
        <v>574</v>
      </c>
      <c r="P7367" s="17" t="s">
        <v>288</v>
      </c>
      <c r="Q7367" s="19">
        <v>32</v>
      </c>
      <c r="R7367" s="14">
        <v>2000</v>
      </c>
      <c r="S7367" s="19">
        <v>64000</v>
      </c>
      <c r="T7367" s="17">
        <v>1</v>
      </c>
      <c r="V7367" s="17" t="s">
        <v>183</v>
      </c>
      <c r="W7367" s="4">
        <v>54</v>
      </c>
      <c r="Y7367" s="4">
        <v>54</v>
      </c>
      <c r="AB7367" s="17">
        <v>20</v>
      </c>
      <c r="AJ7367" s="19">
        <v>0</v>
      </c>
      <c r="AK7367" s="23">
        <v>20</v>
      </c>
      <c r="AM7367" s="19">
        <v>0</v>
      </c>
      <c r="AN7367" s="19">
        <v>64000</v>
      </c>
      <c r="AP7367" s="14">
        <v>64000</v>
      </c>
    </row>
    <row r="7368" spans="1:45" ht="42" x14ac:dyDescent="0.2">
      <c r="A7368" s="122">
        <f t="shared" si="729"/>
        <v>6074</v>
      </c>
      <c r="B7368" s="13">
        <v>4</v>
      </c>
      <c r="C7368" s="17" t="s">
        <v>52</v>
      </c>
      <c r="D7368" s="17">
        <v>12314</v>
      </c>
      <c r="E7368" s="17">
        <v>136</v>
      </c>
      <c r="F7368" s="17">
        <v>3226</v>
      </c>
      <c r="H7368" s="17">
        <v>0</v>
      </c>
      <c r="I7368" s="17">
        <v>0</v>
      </c>
      <c r="J7368" s="17">
        <v>35.01</v>
      </c>
      <c r="L7368" s="17" t="s">
        <v>760</v>
      </c>
      <c r="P7368" s="17" t="s">
        <v>288</v>
      </c>
      <c r="Q7368" s="19">
        <v>35.01</v>
      </c>
      <c r="R7368" s="14">
        <v>2000</v>
      </c>
      <c r="S7368" s="19">
        <v>70020</v>
      </c>
      <c r="T7368" s="17">
        <v>1</v>
      </c>
      <c r="V7368" s="17" t="s">
        <v>183</v>
      </c>
      <c r="W7368" s="4">
        <v>88</v>
      </c>
      <c r="Y7368" s="4">
        <v>88</v>
      </c>
      <c r="AB7368" s="17">
        <v>20</v>
      </c>
      <c r="AJ7368" s="19">
        <v>0</v>
      </c>
      <c r="AK7368" s="23">
        <v>20</v>
      </c>
      <c r="AM7368" s="19">
        <v>0</v>
      </c>
      <c r="AN7368" s="19">
        <v>70020</v>
      </c>
      <c r="AP7368" s="14">
        <v>70020</v>
      </c>
    </row>
    <row r="7369" spans="1:45" x14ac:dyDescent="0.2">
      <c r="A7369" s="122">
        <f t="shared" si="729"/>
        <v>6075</v>
      </c>
      <c r="B7369" s="13">
        <v>5</v>
      </c>
      <c r="C7369" s="17" t="s">
        <v>65</v>
      </c>
      <c r="D7369" s="17">
        <v>2699</v>
      </c>
      <c r="E7369" s="17">
        <v>342</v>
      </c>
      <c r="H7369" s="17">
        <v>1</v>
      </c>
      <c r="I7369" s="17">
        <v>3</v>
      </c>
      <c r="J7369" s="17">
        <v>64</v>
      </c>
      <c r="K7369" s="10">
        <v>764</v>
      </c>
      <c r="P7369" s="17" t="s">
        <v>122</v>
      </c>
      <c r="Q7369" s="19">
        <v>764</v>
      </c>
      <c r="R7369" s="14">
        <v>250</v>
      </c>
      <c r="S7369" s="19">
        <v>191000</v>
      </c>
      <c r="AJ7369" s="19">
        <v>0</v>
      </c>
      <c r="AK7369" s="23">
        <v>0</v>
      </c>
      <c r="AM7369" s="19">
        <v>0</v>
      </c>
      <c r="AN7369" s="19">
        <v>191000</v>
      </c>
      <c r="AP7369" s="14">
        <v>191000</v>
      </c>
      <c r="AQ7369" s="12">
        <v>1E-4</v>
      </c>
    </row>
    <row r="7370" spans="1:45" x14ac:dyDescent="0.2">
      <c r="A7370" s="122">
        <f t="shared" si="729"/>
        <v>6076</v>
      </c>
      <c r="B7370" s="13">
        <v>1</v>
      </c>
      <c r="C7370" s="17" t="s">
        <v>65</v>
      </c>
      <c r="D7370" s="17">
        <v>314</v>
      </c>
      <c r="E7370" s="17">
        <v>59</v>
      </c>
      <c r="H7370" s="17">
        <v>8</v>
      </c>
      <c r="I7370" s="17">
        <v>2</v>
      </c>
      <c r="J7370" s="17">
        <v>7</v>
      </c>
      <c r="K7370" s="10">
        <v>3407</v>
      </c>
      <c r="P7370" s="17" t="s">
        <v>122</v>
      </c>
      <c r="Q7370" s="19">
        <v>3407</v>
      </c>
      <c r="R7370" s="14">
        <v>160</v>
      </c>
      <c r="S7370" s="19">
        <v>545120</v>
      </c>
      <c r="AJ7370" s="19">
        <v>0</v>
      </c>
      <c r="AK7370" s="23">
        <v>0</v>
      </c>
      <c r="AM7370" s="19">
        <v>0</v>
      </c>
      <c r="AN7370" s="19">
        <v>545120</v>
      </c>
      <c r="AP7370" s="14">
        <v>545120</v>
      </c>
      <c r="AQ7370" s="12">
        <v>1E-4</v>
      </c>
    </row>
    <row r="7371" spans="1:45" ht="42" x14ac:dyDescent="0.2">
      <c r="A7371" s="122">
        <f t="shared" si="729"/>
        <v>6077</v>
      </c>
      <c r="B7371" s="13">
        <v>1</v>
      </c>
      <c r="C7371" s="17" t="s">
        <v>52</v>
      </c>
      <c r="D7371" s="17">
        <v>4990</v>
      </c>
      <c r="E7371" s="17">
        <v>54</v>
      </c>
      <c r="F7371" s="17">
        <v>2608</v>
      </c>
      <c r="G7371" s="13">
        <v>7</v>
      </c>
      <c r="H7371" s="17">
        <v>0</v>
      </c>
      <c r="I7371" s="17">
        <v>0</v>
      </c>
      <c r="J7371" s="17">
        <v>39</v>
      </c>
      <c r="L7371" s="17" t="s">
        <v>761</v>
      </c>
      <c r="P7371" s="17" t="s">
        <v>288</v>
      </c>
      <c r="Q7371" s="19">
        <v>39</v>
      </c>
      <c r="R7371" s="14">
        <v>4500</v>
      </c>
      <c r="S7371" s="19">
        <v>175500</v>
      </c>
      <c r="T7371" s="17">
        <v>1</v>
      </c>
      <c r="V7371" s="17" t="s">
        <v>183</v>
      </c>
      <c r="W7371" s="4">
        <v>32</v>
      </c>
      <c r="Y7371" s="4">
        <v>32</v>
      </c>
      <c r="AB7371" s="17">
        <v>30</v>
      </c>
      <c r="AJ7371" s="19">
        <v>0</v>
      </c>
      <c r="AK7371" s="23">
        <v>30</v>
      </c>
      <c r="AM7371" s="19">
        <v>0</v>
      </c>
      <c r="AN7371" s="19">
        <v>175500</v>
      </c>
      <c r="AP7371" s="14">
        <v>175500</v>
      </c>
      <c r="AS7371" s="26" t="s">
        <v>111</v>
      </c>
    </row>
    <row r="7372" spans="1:45" x14ac:dyDescent="0.2">
      <c r="A7372" s="122">
        <f t="shared" si="729"/>
        <v>6078</v>
      </c>
      <c r="B7372" s="13">
        <v>1</v>
      </c>
      <c r="C7372" s="17" t="s">
        <v>65</v>
      </c>
      <c r="D7372" s="17">
        <v>2556</v>
      </c>
      <c r="E7372" s="17">
        <v>140</v>
      </c>
      <c r="H7372" s="17">
        <v>0</v>
      </c>
      <c r="I7372" s="17">
        <v>3</v>
      </c>
      <c r="J7372" s="17">
        <v>20</v>
      </c>
      <c r="K7372" s="10">
        <v>320</v>
      </c>
      <c r="P7372" s="17" t="s">
        <v>122</v>
      </c>
      <c r="Q7372" s="19">
        <v>320</v>
      </c>
      <c r="R7372" s="14">
        <v>2000</v>
      </c>
      <c r="S7372" s="19">
        <v>640000</v>
      </c>
      <c r="AJ7372" s="19">
        <v>0</v>
      </c>
      <c r="AK7372" s="23">
        <v>0</v>
      </c>
      <c r="AM7372" s="19">
        <v>0</v>
      </c>
      <c r="AN7372" s="19">
        <v>640000</v>
      </c>
      <c r="AP7372" s="14">
        <v>640000</v>
      </c>
      <c r="AQ7372" s="12">
        <v>3.0000000000000001E-3</v>
      </c>
    </row>
    <row r="7373" spans="1:45" x14ac:dyDescent="0.2">
      <c r="A7373" s="122">
        <f t="shared" si="729"/>
        <v>6079</v>
      </c>
      <c r="B7373" s="13">
        <v>1</v>
      </c>
      <c r="C7373" s="17" t="s">
        <v>52</v>
      </c>
      <c r="D7373" s="17">
        <v>1291</v>
      </c>
      <c r="E7373" s="17">
        <v>4</v>
      </c>
      <c r="F7373" s="17">
        <v>790</v>
      </c>
      <c r="H7373" s="17">
        <v>4</v>
      </c>
      <c r="I7373" s="17">
        <v>1</v>
      </c>
      <c r="J7373" s="17">
        <v>25</v>
      </c>
      <c r="K7373" s="10">
        <v>1725</v>
      </c>
      <c r="P7373" s="17" t="s">
        <v>122</v>
      </c>
      <c r="Q7373" s="19">
        <v>1725</v>
      </c>
      <c r="R7373" s="14">
        <v>160</v>
      </c>
      <c r="S7373" s="19">
        <v>276000</v>
      </c>
      <c r="AJ7373" s="19">
        <v>0</v>
      </c>
      <c r="AK7373" s="23">
        <v>0</v>
      </c>
      <c r="AM7373" s="19">
        <v>0</v>
      </c>
      <c r="AN7373" s="19">
        <v>276000</v>
      </c>
      <c r="AP7373" s="14">
        <v>276000</v>
      </c>
      <c r="AS7373" s="26">
        <v>185</v>
      </c>
    </row>
    <row r="7374" spans="1:45" x14ac:dyDescent="0.2">
      <c r="A7374" s="122">
        <f t="shared" si="729"/>
        <v>6080</v>
      </c>
      <c r="B7374" s="13">
        <v>2</v>
      </c>
      <c r="C7374" s="17" t="s">
        <v>52</v>
      </c>
      <c r="D7374" s="17">
        <v>1292</v>
      </c>
      <c r="E7374" s="17">
        <v>7</v>
      </c>
      <c r="F7374" s="17">
        <v>791</v>
      </c>
      <c r="H7374" s="17">
        <v>6</v>
      </c>
      <c r="I7374" s="17">
        <v>0</v>
      </c>
      <c r="J7374" s="17">
        <v>79</v>
      </c>
      <c r="K7374" s="10">
        <v>2336.5</v>
      </c>
      <c r="L7374" s="17">
        <v>142.5</v>
      </c>
      <c r="P7374" s="17" t="s">
        <v>592</v>
      </c>
      <c r="Q7374" s="19">
        <v>2479</v>
      </c>
      <c r="R7374" s="14">
        <v>3350</v>
      </c>
      <c r="S7374" s="19">
        <v>8304650</v>
      </c>
      <c r="AJ7374" s="19">
        <v>0</v>
      </c>
      <c r="AK7374" s="23">
        <v>0</v>
      </c>
      <c r="AM7374" s="19">
        <v>0</v>
      </c>
      <c r="AN7374" s="19">
        <v>8304650</v>
      </c>
      <c r="AP7374" s="14">
        <v>8304650</v>
      </c>
    </row>
    <row r="7375" spans="1:45" ht="42" x14ac:dyDescent="0.2">
      <c r="P7375" s="17" t="s">
        <v>122</v>
      </c>
      <c r="T7375" s="17">
        <v>1</v>
      </c>
      <c r="V7375" s="17" t="s">
        <v>530</v>
      </c>
      <c r="W7375" s="4">
        <v>120</v>
      </c>
      <c r="Y7375" s="4">
        <v>120</v>
      </c>
      <c r="AB7375" s="17">
        <v>18</v>
      </c>
      <c r="AJ7375" s="19">
        <v>0</v>
      </c>
      <c r="AK7375" s="23">
        <v>18</v>
      </c>
      <c r="AM7375" s="19">
        <v>0</v>
      </c>
      <c r="AN7375" s="19">
        <v>0</v>
      </c>
      <c r="AP7375" s="14">
        <v>0</v>
      </c>
    </row>
    <row r="7376" spans="1:45" ht="42" x14ac:dyDescent="0.2">
      <c r="P7376" s="17" t="s">
        <v>288</v>
      </c>
      <c r="Q7376" s="19">
        <v>0</v>
      </c>
      <c r="S7376" s="19">
        <v>0</v>
      </c>
      <c r="T7376" s="17">
        <v>2</v>
      </c>
      <c r="V7376" s="17" t="s">
        <v>183</v>
      </c>
      <c r="W7376" s="4">
        <v>450</v>
      </c>
      <c r="Y7376" s="4">
        <v>450</v>
      </c>
      <c r="AB7376" s="17">
        <v>28</v>
      </c>
      <c r="AJ7376" s="19">
        <v>0</v>
      </c>
      <c r="AK7376" s="23">
        <v>28</v>
      </c>
      <c r="AM7376" s="19">
        <v>0</v>
      </c>
      <c r="AN7376" s="19">
        <v>0</v>
      </c>
      <c r="AP7376" s="14">
        <v>0</v>
      </c>
    </row>
    <row r="7377" spans="1:45" x14ac:dyDescent="0.2">
      <c r="A7377" s="2">
        <v>6081</v>
      </c>
      <c r="B7377" s="13">
        <v>3</v>
      </c>
      <c r="C7377" s="17" t="s">
        <v>52</v>
      </c>
      <c r="D7377" s="17">
        <v>1297</v>
      </c>
      <c r="E7377" s="17">
        <v>10</v>
      </c>
      <c r="F7377" s="17">
        <v>796</v>
      </c>
      <c r="H7377" s="17">
        <v>2</v>
      </c>
      <c r="I7377" s="17">
        <v>1</v>
      </c>
      <c r="J7377" s="17">
        <v>19</v>
      </c>
      <c r="K7377" s="10">
        <v>919</v>
      </c>
      <c r="P7377" s="17" t="s">
        <v>122</v>
      </c>
      <c r="Q7377" s="19">
        <v>919</v>
      </c>
      <c r="R7377" s="14">
        <v>4500</v>
      </c>
      <c r="S7377" s="19">
        <v>4135500</v>
      </c>
      <c r="AJ7377" s="19">
        <v>0</v>
      </c>
      <c r="AK7377" s="23">
        <v>0</v>
      </c>
      <c r="AM7377" s="19">
        <v>0</v>
      </c>
      <c r="AN7377" s="19">
        <v>4135500</v>
      </c>
      <c r="AP7377" s="14">
        <v>4135500</v>
      </c>
    </row>
    <row r="7378" spans="1:45" x14ac:dyDescent="0.2">
      <c r="A7378" s="2">
        <f>+A7377+1</f>
        <v>6082</v>
      </c>
      <c r="B7378" s="13">
        <v>4</v>
      </c>
      <c r="C7378" s="17" t="s">
        <v>52</v>
      </c>
      <c r="D7378" s="17">
        <v>1298</v>
      </c>
      <c r="E7378" s="17">
        <v>1</v>
      </c>
      <c r="F7378" s="17">
        <v>797</v>
      </c>
      <c r="H7378" s="17">
        <v>15</v>
      </c>
      <c r="I7378" s="17">
        <v>1</v>
      </c>
      <c r="J7378" s="17">
        <v>22</v>
      </c>
      <c r="K7378" s="10">
        <v>6122</v>
      </c>
      <c r="P7378" s="17" t="s">
        <v>122</v>
      </c>
      <c r="Q7378" s="19">
        <v>6122</v>
      </c>
      <c r="R7378" s="14">
        <v>160</v>
      </c>
      <c r="S7378" s="19">
        <v>979520</v>
      </c>
      <c r="AJ7378" s="19">
        <v>0</v>
      </c>
      <c r="AK7378" s="23">
        <v>0</v>
      </c>
      <c r="AM7378" s="19">
        <v>0</v>
      </c>
      <c r="AN7378" s="19">
        <v>979520</v>
      </c>
      <c r="AP7378" s="14">
        <v>979520</v>
      </c>
    </row>
    <row r="7379" spans="1:45" x14ac:dyDescent="0.2">
      <c r="A7379" s="122">
        <f t="shared" ref="A7379:A7388" si="730">+A7378+1</f>
        <v>6083</v>
      </c>
      <c r="B7379" s="13">
        <v>5</v>
      </c>
      <c r="C7379" s="17" t="s">
        <v>52</v>
      </c>
      <c r="D7379" s="17">
        <v>1683</v>
      </c>
      <c r="E7379" s="17">
        <v>14</v>
      </c>
      <c r="F7379" s="17">
        <v>1404</v>
      </c>
      <c r="H7379" s="17">
        <v>16</v>
      </c>
      <c r="I7379" s="17">
        <v>0</v>
      </c>
      <c r="J7379" s="17">
        <v>75</v>
      </c>
      <c r="K7379" s="10">
        <v>6475</v>
      </c>
      <c r="P7379" s="17" t="s">
        <v>122</v>
      </c>
      <c r="Q7379" s="19">
        <v>6475</v>
      </c>
      <c r="R7379" s="14">
        <v>1100</v>
      </c>
      <c r="S7379" s="19">
        <v>7122500</v>
      </c>
      <c r="AJ7379" s="19">
        <v>0</v>
      </c>
      <c r="AK7379" s="23">
        <v>0</v>
      </c>
      <c r="AM7379" s="19">
        <v>0</v>
      </c>
      <c r="AN7379" s="19">
        <v>7122500</v>
      </c>
      <c r="AP7379" s="14">
        <v>7122500</v>
      </c>
    </row>
    <row r="7380" spans="1:45" x14ac:dyDescent="0.2">
      <c r="A7380" s="122">
        <f t="shared" si="730"/>
        <v>6084</v>
      </c>
      <c r="B7380" s="13">
        <v>6</v>
      </c>
      <c r="C7380" s="17" t="s">
        <v>65</v>
      </c>
      <c r="D7380" s="17">
        <v>2040</v>
      </c>
      <c r="E7380" s="17">
        <v>165</v>
      </c>
      <c r="H7380" s="17">
        <v>14</v>
      </c>
      <c r="I7380" s="17">
        <v>1</v>
      </c>
      <c r="J7380" s="17">
        <v>53</v>
      </c>
      <c r="K7380" s="10">
        <v>5753</v>
      </c>
      <c r="P7380" s="17" t="s">
        <v>122</v>
      </c>
      <c r="Q7380" s="19">
        <v>5753</v>
      </c>
      <c r="R7380" s="14">
        <v>160</v>
      </c>
      <c r="S7380" s="19">
        <v>920480</v>
      </c>
      <c r="AJ7380" s="19">
        <v>0</v>
      </c>
      <c r="AK7380" s="23">
        <v>0</v>
      </c>
      <c r="AM7380" s="19">
        <v>0</v>
      </c>
      <c r="AN7380" s="19">
        <v>920480</v>
      </c>
      <c r="AP7380" s="14">
        <v>920480</v>
      </c>
      <c r="AQ7380" s="12">
        <v>1E-4</v>
      </c>
    </row>
    <row r="7381" spans="1:45" ht="42" x14ac:dyDescent="0.2">
      <c r="A7381" s="122">
        <f t="shared" si="730"/>
        <v>6085</v>
      </c>
      <c r="B7381" s="13">
        <v>7</v>
      </c>
      <c r="C7381" s="17" t="s">
        <v>65</v>
      </c>
      <c r="D7381" s="17">
        <v>2045</v>
      </c>
      <c r="E7381" s="17">
        <v>6</v>
      </c>
      <c r="H7381" s="17">
        <v>42</v>
      </c>
      <c r="I7381" s="17">
        <v>1</v>
      </c>
      <c r="J7381" s="17">
        <v>20</v>
      </c>
      <c r="K7381" s="10">
        <v>16920</v>
      </c>
      <c r="P7381" s="17" t="s">
        <v>122</v>
      </c>
      <c r="Q7381" s="19">
        <v>16920</v>
      </c>
      <c r="R7381" s="14">
        <v>750</v>
      </c>
      <c r="S7381" s="19">
        <v>12690000</v>
      </c>
      <c r="AJ7381" s="19">
        <v>0</v>
      </c>
      <c r="AK7381" s="23">
        <v>0</v>
      </c>
      <c r="AM7381" s="19">
        <v>0</v>
      </c>
      <c r="AN7381" s="19">
        <v>12690000</v>
      </c>
      <c r="AP7381" s="14">
        <v>12690000</v>
      </c>
      <c r="AQ7381" s="12">
        <v>1E-4</v>
      </c>
    </row>
    <row r="7382" spans="1:45" x14ac:dyDescent="0.2">
      <c r="A7382" s="122">
        <f t="shared" si="730"/>
        <v>6086</v>
      </c>
      <c r="B7382" s="13">
        <v>1</v>
      </c>
      <c r="C7382" s="17" t="s">
        <v>52</v>
      </c>
      <c r="D7382" s="17">
        <v>30280</v>
      </c>
      <c r="E7382" s="17">
        <v>77</v>
      </c>
      <c r="F7382" s="17">
        <v>5814</v>
      </c>
      <c r="G7382" s="13">
        <v>6</v>
      </c>
      <c r="H7382" s="17">
        <v>0</v>
      </c>
      <c r="I7382" s="17">
        <v>2</v>
      </c>
      <c r="J7382" s="17">
        <v>1</v>
      </c>
      <c r="N7382" s="18">
        <v>201</v>
      </c>
      <c r="P7382" s="17" t="s">
        <v>121</v>
      </c>
      <c r="Q7382" s="19">
        <v>201</v>
      </c>
      <c r="R7382" s="14">
        <v>1100</v>
      </c>
      <c r="S7382" s="19">
        <v>221100</v>
      </c>
      <c r="AJ7382" s="19">
        <v>0</v>
      </c>
      <c r="AK7382" s="23">
        <v>0</v>
      </c>
      <c r="AM7382" s="19">
        <v>0</v>
      </c>
      <c r="AN7382" s="19">
        <v>221100</v>
      </c>
      <c r="AP7382" s="14">
        <v>221100</v>
      </c>
      <c r="AQ7382" s="12">
        <v>3.0000000000000001E-3</v>
      </c>
      <c r="AS7382" s="26">
        <v>41</v>
      </c>
    </row>
    <row r="7383" spans="1:45" x14ac:dyDescent="0.2">
      <c r="A7383" s="122">
        <f t="shared" si="730"/>
        <v>6087</v>
      </c>
      <c r="B7383" s="13">
        <v>2</v>
      </c>
      <c r="C7383" s="17" t="s">
        <v>52</v>
      </c>
      <c r="D7383" s="17">
        <v>1293</v>
      </c>
      <c r="E7383" s="17">
        <v>8</v>
      </c>
      <c r="F7383" s="17">
        <v>792</v>
      </c>
      <c r="H7383" s="17">
        <v>4</v>
      </c>
      <c r="I7383" s="17">
        <v>0</v>
      </c>
      <c r="J7383" s="17">
        <v>57</v>
      </c>
      <c r="K7383" s="10">
        <v>1657</v>
      </c>
      <c r="P7383" s="17" t="s">
        <v>122</v>
      </c>
      <c r="Q7383" s="19">
        <v>1657</v>
      </c>
      <c r="R7383" s="14">
        <v>3350</v>
      </c>
      <c r="S7383" s="19">
        <v>5550950</v>
      </c>
      <c r="AJ7383" s="19">
        <v>0</v>
      </c>
      <c r="AK7383" s="23">
        <v>0</v>
      </c>
      <c r="AM7383" s="19">
        <v>0</v>
      </c>
      <c r="AN7383" s="19">
        <v>5550950</v>
      </c>
      <c r="AP7383" s="14">
        <v>5550950</v>
      </c>
    </row>
    <row r="7384" spans="1:45" x14ac:dyDescent="0.2">
      <c r="A7384" s="122">
        <f t="shared" si="730"/>
        <v>6088</v>
      </c>
      <c r="B7384" s="13">
        <v>3</v>
      </c>
      <c r="C7384" s="17" t="s">
        <v>52</v>
      </c>
      <c r="D7384" s="17">
        <v>1294</v>
      </c>
      <c r="E7384" s="17">
        <v>3</v>
      </c>
      <c r="F7384" s="17">
        <v>793</v>
      </c>
      <c r="H7384" s="17">
        <v>3</v>
      </c>
      <c r="I7384" s="17">
        <v>0</v>
      </c>
      <c r="J7384" s="17">
        <v>56</v>
      </c>
      <c r="K7384" s="10">
        <v>1256</v>
      </c>
      <c r="P7384" s="17" t="s">
        <v>122</v>
      </c>
      <c r="Q7384" s="19">
        <v>1256</v>
      </c>
      <c r="R7384" s="14">
        <v>160</v>
      </c>
      <c r="S7384" s="19">
        <v>200960</v>
      </c>
      <c r="AJ7384" s="19">
        <v>0</v>
      </c>
      <c r="AK7384" s="23">
        <v>0</v>
      </c>
      <c r="AM7384" s="19">
        <v>0</v>
      </c>
      <c r="AN7384" s="19">
        <v>200960</v>
      </c>
      <c r="AP7384" s="14">
        <v>200960</v>
      </c>
    </row>
    <row r="7385" spans="1:45" x14ac:dyDescent="0.2">
      <c r="A7385" s="122">
        <f t="shared" si="730"/>
        <v>6089</v>
      </c>
      <c r="B7385" s="13">
        <v>1</v>
      </c>
      <c r="C7385" s="17" t="s">
        <v>52</v>
      </c>
      <c r="D7385" s="17">
        <v>1288</v>
      </c>
      <c r="E7385" s="17">
        <v>1</v>
      </c>
      <c r="F7385" s="17">
        <v>787</v>
      </c>
      <c r="G7385" s="13">
        <v>6</v>
      </c>
      <c r="H7385" s="17">
        <v>8</v>
      </c>
      <c r="I7385" s="17">
        <v>1</v>
      </c>
      <c r="J7385" s="17">
        <v>82</v>
      </c>
      <c r="K7385" s="10">
        <v>3382</v>
      </c>
      <c r="P7385" s="17" t="s">
        <v>122</v>
      </c>
      <c r="Q7385" s="19">
        <v>3382</v>
      </c>
      <c r="R7385" s="14">
        <v>1100</v>
      </c>
      <c r="S7385" s="19">
        <v>3720200</v>
      </c>
      <c r="AJ7385" s="19">
        <v>0</v>
      </c>
      <c r="AK7385" s="23">
        <v>0</v>
      </c>
      <c r="AM7385" s="19">
        <v>0</v>
      </c>
      <c r="AN7385" s="19">
        <v>3720200</v>
      </c>
      <c r="AP7385" s="14">
        <v>3720200</v>
      </c>
      <c r="AS7385" s="26">
        <v>59</v>
      </c>
    </row>
    <row r="7386" spans="1:45" x14ac:dyDescent="0.2">
      <c r="A7386" s="122">
        <f t="shared" si="730"/>
        <v>6090</v>
      </c>
      <c r="B7386" s="13">
        <v>1</v>
      </c>
      <c r="C7386" s="17" t="s">
        <v>69</v>
      </c>
      <c r="E7386" s="17">
        <v>1497</v>
      </c>
      <c r="F7386" s="17">
        <v>4</v>
      </c>
      <c r="G7386" s="13">
        <v>6</v>
      </c>
      <c r="H7386" s="17">
        <v>38</v>
      </c>
      <c r="I7386" s="17">
        <v>1</v>
      </c>
      <c r="J7386" s="17">
        <v>93</v>
      </c>
      <c r="K7386" s="10">
        <v>15393</v>
      </c>
      <c r="P7386" s="17" t="s">
        <v>122</v>
      </c>
      <c r="Q7386" s="19">
        <v>15393</v>
      </c>
      <c r="R7386" s="14">
        <v>160</v>
      </c>
      <c r="S7386" s="19">
        <v>2462880</v>
      </c>
      <c r="AJ7386" s="19">
        <v>0</v>
      </c>
      <c r="AK7386" s="23">
        <v>0</v>
      </c>
      <c r="AM7386" s="19">
        <v>0</v>
      </c>
      <c r="AN7386" s="19">
        <v>2462880</v>
      </c>
      <c r="AP7386" s="14">
        <v>2462880</v>
      </c>
      <c r="AQ7386" s="12">
        <v>1E-4</v>
      </c>
    </row>
    <row r="7387" spans="1:45" x14ac:dyDescent="0.2">
      <c r="A7387" s="122">
        <f t="shared" si="730"/>
        <v>6091</v>
      </c>
      <c r="B7387" s="13">
        <v>1</v>
      </c>
      <c r="C7387" s="17" t="s">
        <v>52</v>
      </c>
      <c r="D7387" s="17">
        <v>828</v>
      </c>
      <c r="E7387" s="17">
        <v>3</v>
      </c>
      <c r="F7387" s="17">
        <v>748</v>
      </c>
      <c r="G7387" s="13">
        <v>6</v>
      </c>
      <c r="H7387" s="17">
        <v>0</v>
      </c>
      <c r="I7387" s="17">
        <v>3</v>
      </c>
      <c r="J7387" s="17">
        <v>43</v>
      </c>
      <c r="K7387" s="10">
        <v>343</v>
      </c>
      <c r="P7387" s="17" t="s">
        <v>122</v>
      </c>
      <c r="Q7387" s="19">
        <v>343</v>
      </c>
      <c r="R7387" s="14">
        <v>1500</v>
      </c>
      <c r="S7387" s="19">
        <v>514500</v>
      </c>
      <c r="AJ7387" s="19">
        <v>0</v>
      </c>
      <c r="AK7387" s="23">
        <v>0</v>
      </c>
      <c r="AM7387" s="19">
        <v>0</v>
      </c>
      <c r="AN7387" s="19">
        <v>514500</v>
      </c>
      <c r="AP7387" s="14">
        <v>514500</v>
      </c>
      <c r="AS7387" s="26">
        <v>94</v>
      </c>
    </row>
    <row r="7388" spans="1:45" ht="42" x14ac:dyDescent="0.2">
      <c r="A7388" s="122">
        <f t="shared" si="730"/>
        <v>6092</v>
      </c>
      <c r="B7388" s="13">
        <v>2</v>
      </c>
      <c r="C7388" s="17" t="s">
        <v>52</v>
      </c>
      <c r="D7388" s="17">
        <v>1275</v>
      </c>
      <c r="E7388" s="17">
        <v>4</v>
      </c>
      <c r="F7388" s="17">
        <v>746</v>
      </c>
      <c r="G7388" s="13">
        <v>6</v>
      </c>
      <c r="H7388" s="17">
        <v>17</v>
      </c>
      <c r="I7388" s="17">
        <v>0</v>
      </c>
      <c r="J7388" s="17">
        <v>11</v>
      </c>
      <c r="K7388" s="10">
        <v>6789.25</v>
      </c>
      <c r="L7388" s="17">
        <v>21.75</v>
      </c>
      <c r="P7388" s="17" t="s">
        <v>592</v>
      </c>
      <c r="Q7388" s="19">
        <v>6811</v>
      </c>
      <c r="R7388" s="14">
        <v>375</v>
      </c>
      <c r="S7388" s="19">
        <v>2554125</v>
      </c>
      <c r="T7388" s="17">
        <v>1</v>
      </c>
      <c r="V7388" s="17" t="s">
        <v>502</v>
      </c>
      <c r="W7388" s="4">
        <v>15</v>
      </c>
      <c r="Y7388" s="4">
        <v>15</v>
      </c>
      <c r="AB7388" s="17">
        <v>36</v>
      </c>
      <c r="AJ7388" s="19">
        <v>0</v>
      </c>
      <c r="AK7388" s="23">
        <v>36</v>
      </c>
      <c r="AM7388" s="19">
        <v>0</v>
      </c>
      <c r="AN7388" s="19">
        <v>2554125</v>
      </c>
      <c r="AP7388" s="14">
        <v>2554125</v>
      </c>
    </row>
    <row r="7389" spans="1:45" ht="210" x14ac:dyDescent="0.2">
      <c r="Q7389" s="19">
        <v>0</v>
      </c>
      <c r="S7389" s="19">
        <v>0</v>
      </c>
      <c r="T7389" s="17">
        <v>2</v>
      </c>
      <c r="V7389" s="17" t="s">
        <v>183</v>
      </c>
      <c r="W7389" s="4">
        <v>72</v>
      </c>
      <c r="Z7389" s="17">
        <v>72</v>
      </c>
      <c r="AB7389" s="17">
        <v>36</v>
      </c>
      <c r="AC7389" s="14" t="s">
        <v>563</v>
      </c>
      <c r="AJ7389" s="19">
        <v>0</v>
      </c>
      <c r="AK7389" s="23">
        <v>36</v>
      </c>
      <c r="AM7389" s="19">
        <v>0</v>
      </c>
      <c r="AN7389" s="19">
        <v>0</v>
      </c>
      <c r="AP7389" s="14">
        <v>0</v>
      </c>
    </row>
    <row r="7390" spans="1:45" x14ac:dyDescent="0.2">
      <c r="A7390" s="2">
        <v>6093</v>
      </c>
      <c r="B7390" s="13">
        <v>3</v>
      </c>
      <c r="C7390" s="17" t="s">
        <v>52</v>
      </c>
      <c r="D7390" s="17">
        <v>1660</v>
      </c>
      <c r="E7390" s="17">
        <v>2</v>
      </c>
      <c r="F7390" s="17">
        <v>747</v>
      </c>
      <c r="G7390" s="13">
        <v>6</v>
      </c>
      <c r="H7390" s="17">
        <v>10</v>
      </c>
      <c r="I7390" s="17">
        <v>3</v>
      </c>
      <c r="J7390" s="17">
        <v>43</v>
      </c>
      <c r="K7390" s="10">
        <v>4343</v>
      </c>
      <c r="P7390" s="17" t="s">
        <v>122</v>
      </c>
      <c r="Q7390" s="19">
        <v>4343</v>
      </c>
      <c r="R7390" s="14">
        <v>160</v>
      </c>
      <c r="S7390" s="19">
        <v>694880</v>
      </c>
      <c r="AJ7390" s="19">
        <v>0</v>
      </c>
      <c r="AK7390" s="23">
        <v>0</v>
      </c>
      <c r="AM7390" s="19">
        <v>0</v>
      </c>
      <c r="AN7390" s="19">
        <v>694880</v>
      </c>
      <c r="AP7390" s="14">
        <v>694880</v>
      </c>
    </row>
    <row r="7391" spans="1:45" x14ac:dyDescent="0.2">
      <c r="A7391" s="2">
        <f>+A7390+1</f>
        <v>6094</v>
      </c>
      <c r="B7391" s="13">
        <v>4</v>
      </c>
      <c r="C7391" s="17" t="s">
        <v>52</v>
      </c>
      <c r="D7391" s="17">
        <v>1295</v>
      </c>
      <c r="E7391" s="17">
        <v>2</v>
      </c>
      <c r="F7391" s="17">
        <v>794</v>
      </c>
      <c r="H7391" s="17">
        <v>7</v>
      </c>
      <c r="I7391" s="17">
        <v>1</v>
      </c>
      <c r="J7391" s="17">
        <v>13</v>
      </c>
      <c r="K7391" s="10">
        <v>2913</v>
      </c>
      <c r="P7391" s="17" t="s">
        <v>122</v>
      </c>
      <c r="Q7391" s="19">
        <v>2913</v>
      </c>
      <c r="R7391" s="14">
        <v>160</v>
      </c>
      <c r="S7391" s="19">
        <v>466080</v>
      </c>
      <c r="AJ7391" s="19">
        <v>0</v>
      </c>
      <c r="AK7391" s="23">
        <v>0</v>
      </c>
      <c r="AM7391" s="19">
        <v>0</v>
      </c>
      <c r="AN7391" s="19">
        <v>466080</v>
      </c>
      <c r="AP7391" s="14">
        <v>466080</v>
      </c>
    </row>
    <row r="7392" spans="1:45" x14ac:dyDescent="0.2">
      <c r="A7392" s="122">
        <f t="shared" ref="A7392:A7394" si="731">+A7391+1</f>
        <v>6095</v>
      </c>
      <c r="B7392" s="13">
        <v>5</v>
      </c>
      <c r="C7392" s="17" t="s">
        <v>52</v>
      </c>
      <c r="D7392" s="17">
        <v>1296</v>
      </c>
      <c r="E7392" s="17">
        <v>9</v>
      </c>
      <c r="F7392" s="17">
        <v>795</v>
      </c>
      <c r="H7392" s="17">
        <v>2</v>
      </c>
      <c r="I7392" s="17">
        <v>0</v>
      </c>
      <c r="J7392" s="17">
        <v>46</v>
      </c>
      <c r="K7392" s="10">
        <v>846</v>
      </c>
      <c r="P7392" s="17" t="s">
        <v>122</v>
      </c>
      <c r="Q7392" s="19">
        <v>846</v>
      </c>
      <c r="R7392" s="14">
        <v>4500</v>
      </c>
      <c r="S7392" s="19">
        <v>3807000</v>
      </c>
      <c r="AJ7392" s="19">
        <v>0</v>
      </c>
      <c r="AK7392" s="23">
        <v>0</v>
      </c>
      <c r="AM7392" s="19">
        <v>0</v>
      </c>
      <c r="AN7392" s="19">
        <v>3807000</v>
      </c>
      <c r="AP7392" s="14">
        <v>3807000</v>
      </c>
    </row>
    <row r="7393" spans="1:45" x14ac:dyDescent="0.2">
      <c r="A7393" s="122">
        <f t="shared" si="731"/>
        <v>6096</v>
      </c>
      <c r="B7393" s="13">
        <v>6</v>
      </c>
      <c r="C7393" s="17" t="s">
        <v>52</v>
      </c>
      <c r="D7393" s="17">
        <v>1684</v>
      </c>
      <c r="E7393" s="17">
        <v>15</v>
      </c>
      <c r="F7393" s="17">
        <v>1405</v>
      </c>
      <c r="H7393" s="17">
        <v>3</v>
      </c>
      <c r="I7393" s="17">
        <v>1</v>
      </c>
      <c r="J7393" s="17">
        <v>11</v>
      </c>
      <c r="K7393" s="10">
        <v>1311</v>
      </c>
      <c r="P7393" s="17" t="s">
        <v>122</v>
      </c>
      <c r="Q7393" s="19">
        <v>1311</v>
      </c>
      <c r="R7393" s="14">
        <v>1100</v>
      </c>
      <c r="S7393" s="19">
        <v>1442100</v>
      </c>
      <c r="AJ7393" s="19">
        <v>0</v>
      </c>
      <c r="AK7393" s="23">
        <v>0</v>
      </c>
      <c r="AM7393" s="19">
        <v>0</v>
      </c>
      <c r="AN7393" s="19">
        <v>1442100</v>
      </c>
      <c r="AP7393" s="14">
        <v>1442100</v>
      </c>
    </row>
    <row r="7394" spans="1:45" x14ac:dyDescent="0.2">
      <c r="A7394" s="122">
        <f t="shared" si="731"/>
        <v>6097</v>
      </c>
      <c r="B7394" s="13">
        <v>1</v>
      </c>
      <c r="C7394" s="17" t="s">
        <v>52</v>
      </c>
      <c r="D7394" s="17">
        <v>1841</v>
      </c>
      <c r="E7394" s="17">
        <v>90</v>
      </c>
      <c r="F7394" s="17">
        <v>1231</v>
      </c>
      <c r="H7394" s="17">
        <v>0</v>
      </c>
      <c r="I7394" s="17">
        <v>0</v>
      </c>
      <c r="J7394" s="17">
        <v>75</v>
      </c>
      <c r="N7394" s="18">
        <v>75</v>
      </c>
      <c r="P7394" s="17" t="s">
        <v>121</v>
      </c>
      <c r="Q7394" s="19">
        <v>75</v>
      </c>
      <c r="R7394" s="14">
        <v>2000</v>
      </c>
      <c r="S7394" s="19">
        <v>150000</v>
      </c>
      <c r="AJ7394" s="19">
        <v>0</v>
      </c>
      <c r="AK7394" s="23">
        <v>0</v>
      </c>
      <c r="AM7394" s="19">
        <v>0</v>
      </c>
      <c r="AN7394" s="19">
        <v>150000</v>
      </c>
      <c r="AP7394" s="14">
        <v>150000</v>
      </c>
      <c r="AQ7394" s="12">
        <v>3.0000000000000001E-3</v>
      </c>
      <c r="AS7394" s="26">
        <v>1</v>
      </c>
    </row>
    <row r="7395" spans="1:45" ht="42" x14ac:dyDescent="0.2">
      <c r="B7395" s="13">
        <v>1</v>
      </c>
      <c r="C7395" s="17" t="s">
        <v>52</v>
      </c>
      <c r="D7395" s="17">
        <v>4877</v>
      </c>
      <c r="E7395" s="17">
        <v>22</v>
      </c>
      <c r="F7395" s="17">
        <v>2692</v>
      </c>
      <c r="G7395" s="13">
        <v>7</v>
      </c>
      <c r="H7395" s="17">
        <v>1</v>
      </c>
      <c r="I7395" s="17">
        <v>0</v>
      </c>
      <c r="J7395" s="17">
        <v>33</v>
      </c>
      <c r="K7395" s="10">
        <v>400</v>
      </c>
      <c r="L7395" s="17">
        <v>33</v>
      </c>
      <c r="P7395" s="17" t="s">
        <v>592</v>
      </c>
      <c r="Q7395" s="19">
        <v>433</v>
      </c>
      <c r="R7395" s="14" t="e">
        <v>#N/A</v>
      </c>
      <c r="S7395" s="19" t="e">
        <v>#N/A</v>
      </c>
      <c r="T7395" s="17">
        <v>1</v>
      </c>
      <c r="V7395" s="17" t="s">
        <v>183</v>
      </c>
      <c r="W7395" s="4">
        <v>36</v>
      </c>
      <c r="Y7395" s="4">
        <v>36</v>
      </c>
      <c r="AB7395" s="17">
        <v>41</v>
      </c>
      <c r="AJ7395" s="19">
        <v>0</v>
      </c>
      <c r="AK7395" s="23">
        <v>41</v>
      </c>
      <c r="AM7395" s="19">
        <v>0</v>
      </c>
      <c r="AN7395" s="19" t="e">
        <v>#N/A</v>
      </c>
      <c r="AP7395" s="14" t="e">
        <v>#N/A</v>
      </c>
    </row>
    <row r="7396" spans="1:45" ht="42" x14ac:dyDescent="0.2">
      <c r="Q7396" s="19">
        <v>0</v>
      </c>
      <c r="R7396" s="14" t="e">
        <v>#N/A</v>
      </c>
      <c r="S7396" s="19" t="e">
        <v>#N/A</v>
      </c>
      <c r="T7396" s="17">
        <v>2</v>
      </c>
      <c r="V7396" s="17" t="s">
        <v>183</v>
      </c>
      <c r="W7396" s="4">
        <v>96</v>
      </c>
      <c r="Y7396" s="4">
        <v>96</v>
      </c>
      <c r="AB7396" s="17">
        <v>30</v>
      </c>
      <c r="AJ7396" s="19">
        <v>0</v>
      </c>
      <c r="AK7396" s="23">
        <v>30</v>
      </c>
      <c r="AM7396" s="19">
        <v>0</v>
      </c>
      <c r="AN7396" s="19" t="e">
        <v>#N/A</v>
      </c>
      <c r="AP7396" s="14" t="e">
        <v>#N/A</v>
      </c>
    </row>
    <row r="7397" spans="1:45" x14ac:dyDescent="0.2">
      <c r="A7397" s="2">
        <v>6098</v>
      </c>
      <c r="B7397" s="13">
        <v>1</v>
      </c>
      <c r="C7397" s="17" t="s">
        <v>52</v>
      </c>
      <c r="D7397" s="17">
        <v>32235</v>
      </c>
      <c r="E7397" s="17">
        <v>131</v>
      </c>
      <c r="F7397" s="17">
        <v>6379</v>
      </c>
      <c r="G7397" s="13">
        <v>7</v>
      </c>
      <c r="H7397" s="17">
        <v>6</v>
      </c>
      <c r="I7397" s="17">
        <v>3</v>
      </c>
      <c r="J7397" s="17">
        <v>32</v>
      </c>
      <c r="K7397" s="10">
        <v>2732</v>
      </c>
      <c r="P7397" s="17" t="s">
        <v>122</v>
      </c>
      <c r="Q7397" s="19">
        <v>2732</v>
      </c>
      <c r="R7397" s="14">
        <v>160</v>
      </c>
      <c r="S7397" s="19">
        <v>437120</v>
      </c>
      <c r="AJ7397" s="19">
        <v>0</v>
      </c>
      <c r="AK7397" s="23">
        <v>0</v>
      </c>
      <c r="AM7397" s="19">
        <v>0</v>
      </c>
      <c r="AN7397" s="19">
        <v>437120</v>
      </c>
      <c r="AP7397" s="14">
        <v>437120</v>
      </c>
    </row>
    <row r="7398" spans="1:45" ht="42" x14ac:dyDescent="0.2">
      <c r="A7398" s="2">
        <f>+A7397+1</f>
        <v>6099</v>
      </c>
      <c r="B7398" s="13">
        <v>1</v>
      </c>
      <c r="C7398" s="17" t="s">
        <v>52</v>
      </c>
      <c r="D7398" s="17">
        <v>22395</v>
      </c>
      <c r="E7398" s="17">
        <v>37</v>
      </c>
      <c r="F7398" s="17">
        <v>4803</v>
      </c>
      <c r="G7398" s="13">
        <v>7</v>
      </c>
      <c r="H7398" s="17">
        <v>0</v>
      </c>
      <c r="I7398" s="17">
        <v>1</v>
      </c>
      <c r="J7398" s="17">
        <v>1</v>
      </c>
      <c r="K7398" s="10">
        <v>60.75</v>
      </c>
      <c r="L7398" s="17">
        <v>40.25</v>
      </c>
      <c r="P7398" s="17" t="s">
        <v>592</v>
      </c>
      <c r="Q7398" s="19">
        <v>101</v>
      </c>
      <c r="R7398" s="14">
        <v>1000</v>
      </c>
      <c r="S7398" s="19">
        <v>101000</v>
      </c>
      <c r="T7398" s="17">
        <v>1</v>
      </c>
      <c r="V7398" s="17" t="s">
        <v>183</v>
      </c>
      <c r="W7398" s="4">
        <v>161</v>
      </c>
      <c r="Y7398" s="4">
        <v>161</v>
      </c>
      <c r="AB7398" s="17">
        <v>17</v>
      </c>
      <c r="AJ7398" s="19">
        <v>0</v>
      </c>
      <c r="AK7398" s="23">
        <v>17</v>
      </c>
      <c r="AM7398" s="19">
        <v>0</v>
      </c>
      <c r="AN7398" s="19">
        <v>101000</v>
      </c>
      <c r="AP7398" s="14">
        <v>101000</v>
      </c>
      <c r="AS7398" s="26">
        <v>30</v>
      </c>
    </row>
    <row r="7399" spans="1:45" x14ac:dyDescent="0.2">
      <c r="A7399" s="122">
        <f t="shared" ref="A7399:A7414" si="732">+A7398+1</f>
        <v>6100</v>
      </c>
      <c r="B7399" s="13">
        <v>2</v>
      </c>
      <c r="C7399" s="17" t="s">
        <v>52</v>
      </c>
      <c r="D7399" s="17">
        <v>32234</v>
      </c>
      <c r="E7399" s="17">
        <v>130</v>
      </c>
      <c r="F7399" s="17">
        <v>6378</v>
      </c>
      <c r="G7399" s="13">
        <v>7</v>
      </c>
      <c r="H7399" s="17">
        <v>9</v>
      </c>
      <c r="I7399" s="17">
        <v>3</v>
      </c>
      <c r="J7399" s="17">
        <v>82</v>
      </c>
      <c r="K7399" s="10">
        <v>3982</v>
      </c>
      <c r="P7399" s="17" t="s">
        <v>122</v>
      </c>
      <c r="Q7399" s="19">
        <v>3982</v>
      </c>
      <c r="R7399" s="14">
        <v>160</v>
      </c>
      <c r="S7399" s="19">
        <v>637120</v>
      </c>
      <c r="AJ7399" s="19">
        <v>0</v>
      </c>
      <c r="AK7399" s="23">
        <v>0</v>
      </c>
      <c r="AM7399" s="19">
        <v>0</v>
      </c>
      <c r="AN7399" s="19">
        <v>637120</v>
      </c>
      <c r="AP7399" s="14">
        <v>637120</v>
      </c>
    </row>
    <row r="7400" spans="1:45" x14ac:dyDescent="0.2">
      <c r="A7400" s="122">
        <f t="shared" si="732"/>
        <v>6101</v>
      </c>
      <c r="B7400" s="13">
        <v>3</v>
      </c>
      <c r="C7400" s="17" t="s">
        <v>52</v>
      </c>
      <c r="D7400" s="17">
        <v>37036</v>
      </c>
      <c r="E7400" s="17">
        <v>84</v>
      </c>
      <c r="F7400" s="17">
        <v>7281</v>
      </c>
      <c r="G7400" s="13">
        <v>7</v>
      </c>
      <c r="H7400" s="17">
        <v>0</v>
      </c>
      <c r="I7400" s="17">
        <v>0</v>
      </c>
      <c r="J7400" s="17">
        <v>19.09</v>
      </c>
      <c r="K7400" s="10">
        <v>19.09</v>
      </c>
      <c r="P7400" s="17" t="s">
        <v>122</v>
      </c>
      <c r="Q7400" s="19">
        <v>19.09</v>
      </c>
      <c r="R7400" s="14">
        <v>250</v>
      </c>
      <c r="S7400" s="19">
        <v>4772.5</v>
      </c>
      <c r="AJ7400" s="19">
        <v>0</v>
      </c>
      <c r="AK7400" s="23">
        <v>0</v>
      </c>
      <c r="AM7400" s="19">
        <v>0</v>
      </c>
      <c r="AN7400" s="19">
        <v>4772.5</v>
      </c>
      <c r="AP7400" s="14">
        <v>4772.5</v>
      </c>
    </row>
    <row r="7401" spans="1:45" x14ac:dyDescent="0.2">
      <c r="A7401" s="122">
        <f t="shared" si="732"/>
        <v>6102</v>
      </c>
      <c r="B7401" s="13">
        <v>1</v>
      </c>
      <c r="C7401" s="17" t="s">
        <v>52</v>
      </c>
      <c r="D7401" s="17">
        <v>32233</v>
      </c>
      <c r="E7401" s="17">
        <v>129</v>
      </c>
      <c r="F7401" s="17">
        <v>6377</v>
      </c>
      <c r="G7401" s="13">
        <v>7</v>
      </c>
      <c r="H7401" s="17">
        <v>4</v>
      </c>
      <c r="I7401" s="17">
        <v>2</v>
      </c>
      <c r="J7401" s="17">
        <v>31</v>
      </c>
      <c r="K7401" s="10">
        <v>1831</v>
      </c>
      <c r="P7401" s="17" t="s">
        <v>122</v>
      </c>
      <c r="Q7401" s="19">
        <v>1831</v>
      </c>
      <c r="R7401" s="14">
        <v>160</v>
      </c>
      <c r="S7401" s="19">
        <v>292960</v>
      </c>
      <c r="AJ7401" s="19">
        <v>0</v>
      </c>
      <c r="AK7401" s="23">
        <v>0</v>
      </c>
      <c r="AM7401" s="19">
        <v>0</v>
      </c>
      <c r="AN7401" s="19">
        <v>292960</v>
      </c>
      <c r="AP7401" s="14">
        <v>292960</v>
      </c>
    </row>
    <row r="7402" spans="1:45" x14ac:dyDescent="0.2">
      <c r="A7402" s="122">
        <f t="shared" si="732"/>
        <v>6103</v>
      </c>
      <c r="B7402" s="13">
        <v>1</v>
      </c>
      <c r="C7402" s="17" t="s">
        <v>52</v>
      </c>
      <c r="D7402" s="17">
        <v>4839</v>
      </c>
      <c r="E7402" s="17">
        <v>25</v>
      </c>
      <c r="F7402" s="17">
        <v>2729</v>
      </c>
      <c r="G7402" s="13">
        <v>7</v>
      </c>
      <c r="H7402" s="17">
        <v>5</v>
      </c>
      <c r="I7402" s="17">
        <v>2</v>
      </c>
      <c r="J7402" s="17">
        <v>43</v>
      </c>
      <c r="K7402" s="10">
        <v>2243</v>
      </c>
      <c r="P7402" s="17" t="s">
        <v>122</v>
      </c>
      <c r="Q7402" s="19">
        <v>2243</v>
      </c>
      <c r="R7402" s="14">
        <v>160</v>
      </c>
      <c r="S7402" s="19">
        <v>358880</v>
      </c>
      <c r="AJ7402" s="19">
        <v>0</v>
      </c>
      <c r="AK7402" s="23">
        <v>0</v>
      </c>
      <c r="AM7402" s="19">
        <v>0</v>
      </c>
      <c r="AN7402" s="19">
        <v>358880</v>
      </c>
      <c r="AP7402" s="14">
        <v>358880</v>
      </c>
    </row>
    <row r="7403" spans="1:45" x14ac:dyDescent="0.2">
      <c r="A7403" s="122">
        <f t="shared" si="732"/>
        <v>6104</v>
      </c>
      <c r="B7403" s="13">
        <v>1</v>
      </c>
      <c r="C7403" s="17" t="s">
        <v>65</v>
      </c>
      <c r="D7403" s="17">
        <v>761</v>
      </c>
      <c r="E7403" s="17">
        <v>8</v>
      </c>
      <c r="H7403" s="17">
        <v>3</v>
      </c>
      <c r="I7403" s="17">
        <v>3</v>
      </c>
      <c r="J7403" s="17">
        <v>24</v>
      </c>
      <c r="K7403" s="10">
        <v>1524</v>
      </c>
      <c r="P7403" s="17" t="s">
        <v>122</v>
      </c>
      <c r="Q7403" s="19">
        <v>1524</v>
      </c>
      <c r="R7403" s="14">
        <v>160</v>
      </c>
      <c r="S7403" s="19">
        <v>243840</v>
      </c>
      <c r="AJ7403" s="19">
        <v>0</v>
      </c>
      <c r="AK7403" s="23">
        <v>0</v>
      </c>
      <c r="AM7403" s="19">
        <v>0</v>
      </c>
      <c r="AN7403" s="19">
        <v>243840</v>
      </c>
      <c r="AP7403" s="14">
        <v>243840</v>
      </c>
      <c r="AQ7403" s="12">
        <v>1E-4</v>
      </c>
    </row>
    <row r="7404" spans="1:45" x14ac:dyDescent="0.2">
      <c r="A7404" s="122">
        <f t="shared" si="732"/>
        <v>6105</v>
      </c>
      <c r="B7404" s="13">
        <v>2</v>
      </c>
      <c r="C7404" s="17" t="s">
        <v>65</v>
      </c>
      <c r="D7404" s="17">
        <v>762</v>
      </c>
      <c r="E7404" s="17">
        <v>9</v>
      </c>
      <c r="H7404" s="17">
        <v>3</v>
      </c>
      <c r="I7404" s="17">
        <v>3</v>
      </c>
      <c r="J7404" s="17">
        <v>45</v>
      </c>
      <c r="K7404" s="10">
        <v>1545</v>
      </c>
      <c r="P7404" s="17" t="s">
        <v>122</v>
      </c>
      <c r="Q7404" s="19">
        <v>1545</v>
      </c>
      <c r="R7404" s="14">
        <v>160</v>
      </c>
      <c r="S7404" s="19">
        <v>247200</v>
      </c>
      <c r="AJ7404" s="19">
        <v>0</v>
      </c>
      <c r="AK7404" s="23">
        <v>0</v>
      </c>
      <c r="AM7404" s="19">
        <v>0</v>
      </c>
      <c r="AN7404" s="19">
        <v>247200</v>
      </c>
      <c r="AP7404" s="14">
        <v>247200</v>
      </c>
      <c r="AQ7404" s="12">
        <v>1E-4</v>
      </c>
    </row>
    <row r="7405" spans="1:45" x14ac:dyDescent="0.2">
      <c r="A7405" s="122">
        <f t="shared" si="732"/>
        <v>6106</v>
      </c>
      <c r="B7405" s="13">
        <v>1</v>
      </c>
      <c r="C7405" s="17" t="s">
        <v>52</v>
      </c>
      <c r="D7405" s="17">
        <v>3786</v>
      </c>
      <c r="E7405" s="17">
        <v>94</v>
      </c>
      <c r="F7405" s="17">
        <v>2341</v>
      </c>
      <c r="G7405" s="13">
        <v>2</v>
      </c>
      <c r="H7405" s="17">
        <v>0</v>
      </c>
      <c r="I7405" s="17">
        <v>1</v>
      </c>
      <c r="J7405" s="17">
        <v>3</v>
      </c>
      <c r="N7405" s="18">
        <v>103</v>
      </c>
      <c r="P7405" s="17" t="s">
        <v>121</v>
      </c>
      <c r="Q7405" s="19">
        <v>103</v>
      </c>
      <c r="R7405" s="14">
        <v>250</v>
      </c>
      <c r="S7405" s="19">
        <v>25750</v>
      </c>
      <c r="AJ7405" s="19">
        <v>0</v>
      </c>
      <c r="AK7405" s="23">
        <v>0</v>
      </c>
      <c r="AM7405" s="19">
        <v>0</v>
      </c>
      <c r="AN7405" s="19">
        <v>25750</v>
      </c>
      <c r="AP7405" s="14">
        <v>25750</v>
      </c>
      <c r="AQ7405" s="12">
        <v>3.0000000000000001E-3</v>
      </c>
    </row>
    <row r="7406" spans="1:45" x14ac:dyDescent="0.2">
      <c r="A7406" s="122">
        <f t="shared" si="732"/>
        <v>6107</v>
      </c>
      <c r="B7406" s="13">
        <v>1</v>
      </c>
      <c r="C7406" s="17" t="s">
        <v>69</v>
      </c>
      <c r="E7406" s="17">
        <v>1516</v>
      </c>
      <c r="F7406" s="17">
        <v>13</v>
      </c>
      <c r="G7406" s="13">
        <v>2</v>
      </c>
      <c r="H7406" s="17">
        <v>3</v>
      </c>
      <c r="I7406" s="17">
        <v>2</v>
      </c>
      <c r="J7406" s="17">
        <v>17</v>
      </c>
      <c r="K7406" s="10">
        <v>1417</v>
      </c>
      <c r="P7406" s="17" t="s">
        <v>122</v>
      </c>
      <c r="Q7406" s="19">
        <v>1417</v>
      </c>
      <c r="R7406" s="14">
        <v>200</v>
      </c>
      <c r="S7406" s="19">
        <v>283400</v>
      </c>
      <c r="AJ7406" s="19">
        <v>0</v>
      </c>
      <c r="AK7406" s="23">
        <v>0</v>
      </c>
      <c r="AM7406" s="19">
        <v>0</v>
      </c>
      <c r="AN7406" s="19">
        <v>283400</v>
      </c>
      <c r="AP7406" s="14">
        <v>283400</v>
      </c>
      <c r="AQ7406" s="12">
        <v>1E-4</v>
      </c>
    </row>
    <row r="7407" spans="1:45" ht="42" x14ac:dyDescent="0.2">
      <c r="A7407" s="122">
        <f t="shared" si="732"/>
        <v>6108</v>
      </c>
      <c r="B7407" s="13">
        <v>1</v>
      </c>
      <c r="C7407" s="17" t="s">
        <v>52</v>
      </c>
      <c r="D7407" s="17">
        <v>5130</v>
      </c>
      <c r="E7407" s="17">
        <v>4</v>
      </c>
      <c r="F7407" s="17">
        <v>2857</v>
      </c>
      <c r="G7407" s="13">
        <v>7</v>
      </c>
      <c r="H7407" s="17">
        <v>0</v>
      </c>
      <c r="I7407" s="17">
        <v>2</v>
      </c>
      <c r="J7407" s="17">
        <v>36</v>
      </c>
      <c r="L7407" s="17" t="s">
        <v>762</v>
      </c>
      <c r="P7407" s="17" t="s">
        <v>288</v>
      </c>
      <c r="Q7407" s="19">
        <v>236</v>
      </c>
      <c r="R7407" s="14">
        <v>2250</v>
      </c>
      <c r="S7407" s="19">
        <v>531000</v>
      </c>
      <c r="T7407" s="17">
        <v>1</v>
      </c>
      <c r="V7407" s="17" t="s">
        <v>183</v>
      </c>
      <c r="W7407" s="4">
        <v>144</v>
      </c>
      <c r="Y7407" s="4">
        <v>144</v>
      </c>
      <c r="AB7407" s="17">
        <v>31</v>
      </c>
      <c r="AJ7407" s="19">
        <v>0</v>
      </c>
      <c r="AK7407" s="23">
        <v>31</v>
      </c>
      <c r="AM7407" s="19">
        <v>0</v>
      </c>
      <c r="AN7407" s="19">
        <v>531000</v>
      </c>
      <c r="AP7407" s="14">
        <v>531000</v>
      </c>
    </row>
    <row r="7408" spans="1:45" x14ac:dyDescent="0.2">
      <c r="A7408" s="122">
        <f t="shared" si="732"/>
        <v>6109</v>
      </c>
      <c r="B7408" s="13">
        <v>1</v>
      </c>
      <c r="C7408" s="17" t="s">
        <v>52</v>
      </c>
      <c r="D7408" s="17">
        <v>5940</v>
      </c>
      <c r="E7408" s="17">
        <v>4</v>
      </c>
      <c r="F7408" s="17">
        <v>2947</v>
      </c>
      <c r="G7408" s="13">
        <v>5</v>
      </c>
      <c r="H7408" s="17">
        <v>8</v>
      </c>
      <c r="I7408" s="17">
        <v>3</v>
      </c>
      <c r="J7408" s="17">
        <v>18</v>
      </c>
      <c r="K7408" s="10">
        <v>3518</v>
      </c>
      <c r="P7408" s="17" t="s">
        <v>122</v>
      </c>
      <c r="Q7408" s="19">
        <v>3518</v>
      </c>
      <c r="R7408" s="14">
        <v>200</v>
      </c>
      <c r="S7408" s="19">
        <v>703600</v>
      </c>
      <c r="AJ7408" s="19">
        <v>0</v>
      </c>
      <c r="AK7408" s="23">
        <v>0</v>
      </c>
      <c r="AM7408" s="19">
        <v>0</v>
      </c>
      <c r="AN7408" s="19">
        <v>703600</v>
      </c>
      <c r="AP7408" s="14">
        <v>703600</v>
      </c>
      <c r="AS7408" s="26">
        <v>48</v>
      </c>
    </row>
    <row r="7409" spans="1:45" x14ac:dyDescent="0.2">
      <c r="A7409" s="122">
        <f t="shared" si="732"/>
        <v>6110</v>
      </c>
      <c r="B7409" s="13">
        <v>1</v>
      </c>
      <c r="C7409" s="17" t="s">
        <v>52</v>
      </c>
      <c r="D7409" s="17">
        <v>5109</v>
      </c>
      <c r="E7409" s="17">
        <v>17</v>
      </c>
      <c r="F7409" s="17">
        <v>2874</v>
      </c>
      <c r="G7409" s="13">
        <v>7</v>
      </c>
      <c r="H7409" s="17">
        <v>18</v>
      </c>
      <c r="I7409" s="17">
        <v>2</v>
      </c>
      <c r="J7409" s="17">
        <v>78</v>
      </c>
      <c r="K7409" s="10">
        <v>7478</v>
      </c>
      <c r="P7409" s="17" t="s">
        <v>122</v>
      </c>
      <c r="Q7409" s="19">
        <v>7478</v>
      </c>
      <c r="R7409" s="14">
        <v>160</v>
      </c>
      <c r="S7409" s="19">
        <v>1196480</v>
      </c>
      <c r="AJ7409" s="19">
        <v>0</v>
      </c>
      <c r="AK7409" s="23">
        <v>0</v>
      </c>
      <c r="AM7409" s="19">
        <v>0</v>
      </c>
      <c r="AN7409" s="19">
        <v>1196480</v>
      </c>
      <c r="AP7409" s="14">
        <v>1196480</v>
      </c>
    </row>
    <row r="7410" spans="1:45" x14ac:dyDescent="0.2">
      <c r="A7410" s="122">
        <f t="shared" si="732"/>
        <v>6111</v>
      </c>
      <c r="B7410" s="13">
        <v>1</v>
      </c>
      <c r="C7410" s="17" t="s">
        <v>69</v>
      </c>
      <c r="E7410" s="17">
        <v>1515</v>
      </c>
      <c r="F7410" s="17">
        <v>7</v>
      </c>
      <c r="G7410" s="13">
        <v>6</v>
      </c>
      <c r="H7410" s="17">
        <v>12</v>
      </c>
      <c r="I7410" s="17">
        <v>1</v>
      </c>
      <c r="J7410" s="17">
        <v>17</v>
      </c>
      <c r="K7410" s="10">
        <v>4917</v>
      </c>
      <c r="P7410" s="17" t="s">
        <v>122</v>
      </c>
      <c r="Q7410" s="19">
        <v>4917</v>
      </c>
      <c r="R7410" s="14">
        <v>200</v>
      </c>
      <c r="S7410" s="19">
        <v>983400</v>
      </c>
      <c r="AJ7410" s="19">
        <v>0</v>
      </c>
      <c r="AK7410" s="23">
        <v>0</v>
      </c>
      <c r="AM7410" s="19">
        <v>0</v>
      </c>
      <c r="AN7410" s="19">
        <v>983400</v>
      </c>
      <c r="AP7410" s="14">
        <v>983400</v>
      </c>
      <c r="AQ7410" s="12">
        <v>1E-4</v>
      </c>
    </row>
    <row r="7411" spans="1:45" x14ac:dyDescent="0.2">
      <c r="A7411" s="122">
        <f t="shared" si="732"/>
        <v>6112</v>
      </c>
      <c r="B7411" s="13">
        <v>1</v>
      </c>
      <c r="C7411" s="17" t="s">
        <v>52</v>
      </c>
      <c r="D7411" s="17">
        <v>32923</v>
      </c>
      <c r="E7411" s="17">
        <v>79</v>
      </c>
      <c r="F7411" s="17">
        <v>6469</v>
      </c>
      <c r="G7411" s="13">
        <v>4</v>
      </c>
      <c r="H7411" s="17">
        <v>0</v>
      </c>
      <c r="I7411" s="17">
        <v>0</v>
      </c>
      <c r="J7411" s="17">
        <v>63</v>
      </c>
      <c r="N7411" s="18">
        <v>63</v>
      </c>
      <c r="P7411" s="17" t="s">
        <v>121</v>
      </c>
      <c r="Q7411" s="19">
        <v>63</v>
      </c>
      <c r="R7411" s="14">
        <v>250</v>
      </c>
      <c r="S7411" s="19">
        <v>15750</v>
      </c>
      <c r="AJ7411" s="19">
        <v>0</v>
      </c>
      <c r="AK7411" s="23">
        <v>0</v>
      </c>
      <c r="AM7411" s="19">
        <v>0</v>
      </c>
      <c r="AN7411" s="19">
        <v>15750</v>
      </c>
      <c r="AP7411" s="14">
        <v>15750</v>
      </c>
      <c r="AQ7411" s="12">
        <v>3.0000000000000001E-3</v>
      </c>
    </row>
    <row r="7412" spans="1:45" ht="63" x14ac:dyDescent="0.2">
      <c r="A7412" s="122">
        <f t="shared" si="732"/>
        <v>6113</v>
      </c>
      <c r="B7412" s="13">
        <v>1</v>
      </c>
      <c r="C7412" s="17" t="s">
        <v>52</v>
      </c>
      <c r="D7412" s="17">
        <v>768</v>
      </c>
      <c r="E7412" s="17">
        <v>520</v>
      </c>
      <c r="F7412" s="17">
        <v>102</v>
      </c>
      <c r="G7412" s="13">
        <v>2</v>
      </c>
      <c r="H7412" s="17">
        <v>0</v>
      </c>
      <c r="I7412" s="17">
        <v>0</v>
      </c>
      <c r="J7412" s="17">
        <v>52.08</v>
      </c>
      <c r="M7412" s="15" t="s">
        <v>763</v>
      </c>
      <c r="P7412" s="17" t="s">
        <v>515</v>
      </c>
      <c r="Q7412" s="19">
        <v>52.08</v>
      </c>
      <c r="R7412" s="14">
        <v>4500</v>
      </c>
      <c r="S7412" s="19">
        <v>234360</v>
      </c>
      <c r="T7412" s="17">
        <v>1</v>
      </c>
      <c r="U7412" s="17" t="s">
        <v>63</v>
      </c>
      <c r="V7412" s="17" t="s">
        <v>56</v>
      </c>
      <c r="W7412" s="4">
        <v>288</v>
      </c>
      <c r="Y7412" s="4" t="s">
        <v>657</v>
      </c>
      <c r="AB7412" s="17" t="s">
        <v>534</v>
      </c>
      <c r="AE7412" s="17" t="s">
        <v>125</v>
      </c>
      <c r="AF7412" s="14">
        <v>2</v>
      </c>
      <c r="AG7412" s="54">
        <v>288</v>
      </c>
      <c r="AH7412" s="11">
        <v>1</v>
      </c>
      <c r="AI7412" s="14">
        <v>8100</v>
      </c>
      <c r="AJ7412" s="19">
        <v>2332800</v>
      </c>
      <c r="AK7412" s="23" t="s">
        <v>534</v>
      </c>
      <c r="AL7412" s="11">
        <v>0.5</v>
      </c>
      <c r="AM7412" s="19">
        <v>1166400</v>
      </c>
      <c r="AN7412" s="19">
        <v>1400760</v>
      </c>
      <c r="AP7412" s="14">
        <v>1400760</v>
      </c>
      <c r="AQ7412" s="12">
        <v>3.0000000000000001E-3</v>
      </c>
    </row>
    <row r="7413" spans="1:45" x14ac:dyDescent="0.2">
      <c r="A7413" s="122">
        <f t="shared" si="732"/>
        <v>6114</v>
      </c>
      <c r="B7413" s="13">
        <v>1</v>
      </c>
      <c r="C7413" s="17" t="s">
        <v>52</v>
      </c>
      <c r="D7413" s="17">
        <v>22316</v>
      </c>
      <c r="E7413" s="17">
        <v>88</v>
      </c>
      <c r="F7413" s="17">
        <v>4808</v>
      </c>
      <c r="G7413" s="13">
        <v>7</v>
      </c>
      <c r="H7413" s="17">
        <v>0</v>
      </c>
      <c r="I7413" s="17">
        <v>0</v>
      </c>
      <c r="J7413" s="17">
        <v>85</v>
      </c>
      <c r="L7413" s="17" t="s">
        <v>371</v>
      </c>
      <c r="P7413" s="17" t="s">
        <v>288</v>
      </c>
      <c r="Q7413" s="19">
        <v>85</v>
      </c>
      <c r="R7413" s="14">
        <v>4500</v>
      </c>
      <c r="S7413" s="19">
        <v>382500</v>
      </c>
      <c r="T7413" s="17">
        <v>1</v>
      </c>
      <c r="V7413" s="17" t="s">
        <v>764</v>
      </c>
      <c r="W7413" s="4">
        <v>120</v>
      </c>
      <c r="Y7413" s="4">
        <v>120</v>
      </c>
      <c r="AB7413" s="17">
        <v>20</v>
      </c>
      <c r="AJ7413" s="19">
        <v>0</v>
      </c>
      <c r="AK7413" s="23">
        <v>20</v>
      </c>
      <c r="AM7413" s="19">
        <v>0</v>
      </c>
      <c r="AN7413" s="19">
        <v>382500</v>
      </c>
      <c r="AP7413" s="14">
        <v>382500</v>
      </c>
    </row>
    <row r="7414" spans="1:45" x14ac:dyDescent="0.2">
      <c r="A7414" s="122">
        <f t="shared" si="732"/>
        <v>6115</v>
      </c>
      <c r="B7414" s="13">
        <v>1</v>
      </c>
      <c r="C7414" s="17" t="s">
        <v>65</v>
      </c>
      <c r="D7414" s="17">
        <v>1817</v>
      </c>
      <c r="E7414" s="17">
        <v>16</v>
      </c>
      <c r="H7414" s="17">
        <v>14</v>
      </c>
      <c r="I7414" s="17">
        <v>1</v>
      </c>
      <c r="J7414" s="17">
        <v>66</v>
      </c>
      <c r="K7414" s="10">
        <v>5766</v>
      </c>
      <c r="P7414" s="17" t="s">
        <v>122</v>
      </c>
      <c r="Q7414" s="19">
        <v>5766</v>
      </c>
      <c r="R7414" s="14">
        <v>500</v>
      </c>
      <c r="S7414" s="19">
        <v>2883000</v>
      </c>
      <c r="AJ7414" s="19">
        <v>0</v>
      </c>
      <c r="AK7414" s="23">
        <v>0</v>
      </c>
      <c r="AM7414" s="19">
        <v>0</v>
      </c>
      <c r="AN7414" s="19">
        <v>2883000</v>
      </c>
      <c r="AP7414" s="14">
        <v>2883000</v>
      </c>
      <c r="AQ7414" s="12">
        <v>1E-4</v>
      </c>
      <c r="AS7414" s="26">
        <v>79</v>
      </c>
    </row>
    <row r="7415" spans="1:45" x14ac:dyDescent="0.2">
      <c r="B7415" s="13">
        <v>1</v>
      </c>
      <c r="C7415" s="17" t="s">
        <v>97</v>
      </c>
      <c r="D7415" s="17">
        <v>127</v>
      </c>
      <c r="G7415" s="13">
        <v>6</v>
      </c>
      <c r="H7415" s="17">
        <v>39</v>
      </c>
      <c r="I7415" s="17">
        <v>0</v>
      </c>
      <c r="J7415" s="17">
        <v>0</v>
      </c>
      <c r="K7415" s="10">
        <v>15600</v>
      </c>
      <c r="P7415" s="17" t="s">
        <v>122</v>
      </c>
      <c r="Q7415" s="19">
        <v>15600</v>
      </c>
      <c r="R7415" s="14" t="e">
        <v>#N/A</v>
      </c>
      <c r="S7415" s="19" t="e">
        <v>#N/A</v>
      </c>
      <c r="AJ7415" s="19">
        <v>0</v>
      </c>
      <c r="AK7415" s="23">
        <v>0</v>
      </c>
      <c r="AM7415" s="19">
        <v>0</v>
      </c>
      <c r="AN7415" s="19" t="e">
        <v>#N/A</v>
      </c>
      <c r="AP7415" s="14" t="e">
        <v>#N/A</v>
      </c>
      <c r="AQ7415" s="12">
        <v>1E-4</v>
      </c>
    </row>
    <row r="7416" spans="1:45" x14ac:dyDescent="0.2">
      <c r="A7416" s="2">
        <v>6116</v>
      </c>
      <c r="B7416" s="13">
        <v>1</v>
      </c>
      <c r="C7416" s="17" t="s">
        <v>52</v>
      </c>
      <c r="D7416" s="17">
        <v>5158</v>
      </c>
      <c r="E7416" s="17">
        <v>114</v>
      </c>
      <c r="F7416" s="17">
        <v>2934</v>
      </c>
      <c r="G7416" s="13">
        <v>7</v>
      </c>
      <c r="H7416" s="17">
        <v>40</v>
      </c>
      <c r="I7416" s="17">
        <v>3</v>
      </c>
      <c r="J7416" s="17">
        <v>82</v>
      </c>
      <c r="K7416" s="10">
        <v>16382</v>
      </c>
      <c r="P7416" s="17" t="s">
        <v>122</v>
      </c>
      <c r="Q7416" s="19">
        <v>16382</v>
      </c>
      <c r="R7416" s="14">
        <v>160</v>
      </c>
      <c r="S7416" s="19">
        <v>2621120</v>
      </c>
      <c r="AJ7416" s="19">
        <v>0</v>
      </c>
      <c r="AK7416" s="23">
        <v>0</v>
      </c>
      <c r="AM7416" s="19">
        <v>0</v>
      </c>
      <c r="AN7416" s="19">
        <v>2621120</v>
      </c>
      <c r="AP7416" s="14">
        <v>2621120</v>
      </c>
    </row>
    <row r="7417" spans="1:45" ht="42" x14ac:dyDescent="0.2">
      <c r="A7417" s="2">
        <f>+A7416+1</f>
        <v>6117</v>
      </c>
      <c r="B7417" s="13">
        <v>1</v>
      </c>
      <c r="C7417" s="17" t="s">
        <v>52</v>
      </c>
      <c r="D7417" s="17">
        <v>5044</v>
      </c>
      <c r="E7417" s="17">
        <v>48</v>
      </c>
      <c r="F7417" s="17">
        <v>2826</v>
      </c>
      <c r="G7417" s="13">
        <v>7</v>
      </c>
      <c r="H7417" s="17">
        <v>35</v>
      </c>
      <c r="I7417" s="17">
        <v>1</v>
      </c>
      <c r="J7417" s="17">
        <v>91</v>
      </c>
      <c r="K7417" s="10">
        <v>14169.88</v>
      </c>
      <c r="L7417" s="17">
        <v>21.12</v>
      </c>
      <c r="P7417" s="17" t="s">
        <v>592</v>
      </c>
      <c r="Q7417" s="19">
        <v>14191</v>
      </c>
      <c r="R7417" s="14">
        <v>410</v>
      </c>
      <c r="S7417" s="19">
        <v>5818310</v>
      </c>
      <c r="T7417" s="17">
        <v>1</v>
      </c>
      <c r="V7417" s="17" t="s">
        <v>183</v>
      </c>
      <c r="W7417" s="4">
        <v>84.5</v>
      </c>
      <c r="Y7417" s="4">
        <v>84.5</v>
      </c>
      <c r="AB7417" s="17">
        <v>25</v>
      </c>
      <c r="AJ7417" s="19">
        <v>0</v>
      </c>
      <c r="AK7417" s="23">
        <v>25</v>
      </c>
      <c r="AM7417" s="19">
        <v>0</v>
      </c>
      <c r="AN7417" s="19">
        <v>5818310</v>
      </c>
      <c r="AP7417" s="14">
        <v>5818310</v>
      </c>
    </row>
    <row r="7418" spans="1:45" ht="231" x14ac:dyDescent="0.2">
      <c r="A7418" s="122">
        <f>+A7417+1</f>
        <v>6118</v>
      </c>
      <c r="B7418" s="13">
        <v>1</v>
      </c>
      <c r="C7418" s="17" t="s">
        <v>52</v>
      </c>
      <c r="D7418" s="17">
        <v>2146</v>
      </c>
      <c r="E7418" s="17">
        <v>29</v>
      </c>
      <c r="F7418" s="17">
        <v>1733</v>
      </c>
      <c r="G7418" s="13">
        <v>4</v>
      </c>
      <c r="H7418" s="17">
        <v>0</v>
      </c>
      <c r="I7418" s="17">
        <v>0</v>
      </c>
      <c r="J7418" s="17">
        <v>33</v>
      </c>
      <c r="L7418" s="17" t="s">
        <v>629</v>
      </c>
      <c r="P7418" s="17" t="s">
        <v>288</v>
      </c>
      <c r="Q7418" s="19">
        <v>33</v>
      </c>
      <c r="R7418" s="14">
        <v>250</v>
      </c>
      <c r="S7418" s="19">
        <v>8250</v>
      </c>
      <c r="T7418" s="17">
        <v>1</v>
      </c>
      <c r="U7418" s="17" t="s">
        <v>57</v>
      </c>
      <c r="V7418" s="17" t="s">
        <v>56</v>
      </c>
      <c r="W7418" s="4" t="s">
        <v>765</v>
      </c>
      <c r="Y7418" s="4" t="s">
        <v>766</v>
      </c>
      <c r="Z7418" s="17" t="s">
        <v>595</v>
      </c>
      <c r="AB7418" s="17" t="s">
        <v>686</v>
      </c>
      <c r="AC7418" s="14" t="s">
        <v>486</v>
      </c>
      <c r="AE7418" s="17">
        <v>6.25E-2</v>
      </c>
      <c r="AF7418" s="14">
        <v>2</v>
      </c>
      <c r="AG7418" s="54">
        <v>640</v>
      </c>
      <c r="AH7418" s="11">
        <v>0.97</v>
      </c>
      <c r="AI7418" s="14">
        <v>8100</v>
      </c>
      <c r="AJ7418" s="19">
        <v>5028480</v>
      </c>
      <c r="AK7418" s="23" t="s">
        <v>686</v>
      </c>
      <c r="AL7418" s="11">
        <v>0.42</v>
      </c>
      <c r="AM7418" s="19">
        <v>2916518.4</v>
      </c>
      <c r="AN7418" s="19">
        <v>2924768.4</v>
      </c>
      <c r="AP7418" s="14">
        <v>2924768.4</v>
      </c>
      <c r="AS7418" s="26">
        <v>720</v>
      </c>
    </row>
    <row r="7419" spans="1:45" x14ac:dyDescent="0.2">
      <c r="T7419" s="17" t="s">
        <v>288</v>
      </c>
      <c r="AF7419" s="14">
        <v>3</v>
      </c>
      <c r="AG7419" s="54">
        <v>640</v>
      </c>
      <c r="AH7419" s="11">
        <v>0.06</v>
      </c>
      <c r="AI7419" s="14">
        <v>8100</v>
      </c>
      <c r="AJ7419" s="19">
        <v>311040</v>
      </c>
      <c r="AK7419" s="23">
        <v>26</v>
      </c>
      <c r="AL7419" s="11">
        <v>0.42</v>
      </c>
      <c r="AM7419" s="19">
        <v>180403.20000000001</v>
      </c>
      <c r="AN7419" s="19">
        <v>181333.2</v>
      </c>
      <c r="AP7419" s="14">
        <v>181333.2</v>
      </c>
      <c r="AQ7419" s="12">
        <v>3.0000000000000001E-3</v>
      </c>
    </row>
    <row r="7420" spans="1:45" x14ac:dyDescent="0.2">
      <c r="A7420" s="2">
        <v>6119</v>
      </c>
      <c r="B7420" s="13">
        <v>2</v>
      </c>
      <c r="C7420" s="17" t="s">
        <v>52</v>
      </c>
      <c r="D7420" s="17">
        <v>2394</v>
      </c>
      <c r="E7420" s="17">
        <v>30</v>
      </c>
      <c r="F7420" s="17">
        <v>1732</v>
      </c>
      <c r="G7420" s="13">
        <v>4</v>
      </c>
      <c r="H7420" s="17">
        <v>0</v>
      </c>
      <c r="I7420" s="17">
        <v>0</v>
      </c>
      <c r="J7420" s="17">
        <v>29</v>
      </c>
      <c r="L7420" s="17">
        <v>29</v>
      </c>
      <c r="P7420" s="17" t="s">
        <v>288</v>
      </c>
      <c r="Q7420" s="19">
        <v>29</v>
      </c>
      <c r="R7420" s="14">
        <v>250</v>
      </c>
      <c r="S7420" s="19">
        <v>7250</v>
      </c>
      <c r="AJ7420" s="19">
        <v>0</v>
      </c>
      <c r="AK7420" s="23">
        <v>0</v>
      </c>
      <c r="AM7420" s="19">
        <v>0</v>
      </c>
      <c r="AN7420" s="19">
        <v>7250</v>
      </c>
      <c r="AP7420" s="14">
        <v>7250</v>
      </c>
    </row>
    <row r="7421" spans="1:45" x14ac:dyDescent="0.2">
      <c r="A7421" s="2">
        <f>+A7420+1</f>
        <v>6120</v>
      </c>
      <c r="B7421" s="13">
        <v>1</v>
      </c>
      <c r="C7421" s="17" t="s">
        <v>52</v>
      </c>
      <c r="D7421" s="17">
        <v>2925</v>
      </c>
      <c r="E7421" s="17">
        <v>143</v>
      </c>
      <c r="F7421" s="17">
        <v>1924</v>
      </c>
      <c r="G7421" s="13">
        <v>1</v>
      </c>
      <c r="H7421" s="17">
        <v>0</v>
      </c>
      <c r="I7421" s="17">
        <v>1</v>
      </c>
      <c r="J7421" s="17">
        <v>50</v>
      </c>
      <c r="L7421" s="17" t="s">
        <v>279</v>
      </c>
      <c r="P7421" s="17" t="s">
        <v>288</v>
      </c>
      <c r="Q7421" s="19">
        <v>150</v>
      </c>
      <c r="R7421" s="14">
        <v>3000</v>
      </c>
      <c r="S7421" s="19">
        <v>450000</v>
      </c>
      <c r="T7421" s="17">
        <v>1</v>
      </c>
      <c r="V7421" s="17" t="s">
        <v>764</v>
      </c>
      <c r="W7421" s="4">
        <v>200</v>
      </c>
      <c r="Y7421" s="4">
        <v>200</v>
      </c>
      <c r="AB7421" s="17">
        <v>15</v>
      </c>
      <c r="AJ7421" s="19">
        <v>0</v>
      </c>
      <c r="AK7421" s="23">
        <v>15</v>
      </c>
      <c r="AM7421" s="19">
        <v>0</v>
      </c>
      <c r="AN7421" s="19">
        <v>450000</v>
      </c>
      <c r="AP7421" s="14">
        <v>450000</v>
      </c>
    </row>
    <row r="7422" spans="1:45" x14ac:dyDescent="0.2">
      <c r="A7422" s="122">
        <f t="shared" ref="A7422:A7444" si="733">+A7421+1</f>
        <v>6121</v>
      </c>
      <c r="B7422" s="13">
        <v>1</v>
      </c>
      <c r="C7422" s="17" t="s">
        <v>52</v>
      </c>
      <c r="D7422" s="17">
        <v>1758</v>
      </c>
      <c r="E7422" s="17">
        <v>1</v>
      </c>
      <c r="F7422" s="17">
        <v>766</v>
      </c>
      <c r="G7422" s="13">
        <v>7</v>
      </c>
      <c r="H7422" s="17">
        <v>3</v>
      </c>
      <c r="I7422" s="17">
        <v>0</v>
      </c>
      <c r="J7422" s="17">
        <v>91</v>
      </c>
      <c r="N7422" s="18" t="s">
        <v>767</v>
      </c>
      <c r="P7422" s="17" t="s">
        <v>121</v>
      </c>
      <c r="Q7422" s="19">
        <v>1291</v>
      </c>
      <c r="R7422" s="14">
        <v>2250</v>
      </c>
      <c r="S7422" s="19">
        <v>2904750</v>
      </c>
      <c r="AJ7422" s="19">
        <v>0</v>
      </c>
      <c r="AK7422" s="23">
        <v>0</v>
      </c>
      <c r="AM7422" s="19">
        <v>0</v>
      </c>
      <c r="AN7422" s="19">
        <v>2904750</v>
      </c>
      <c r="AP7422" s="14">
        <v>2904750</v>
      </c>
      <c r="AQ7422" s="12">
        <v>3.0000000000000001E-3</v>
      </c>
      <c r="AS7422" s="26">
        <v>45</v>
      </c>
    </row>
    <row r="7423" spans="1:45" x14ac:dyDescent="0.2">
      <c r="A7423" s="122">
        <f t="shared" si="733"/>
        <v>6122</v>
      </c>
      <c r="B7423" s="13">
        <v>1</v>
      </c>
      <c r="C7423" s="17" t="s">
        <v>52</v>
      </c>
      <c r="D7423" s="17">
        <v>14464</v>
      </c>
      <c r="E7423" s="17">
        <v>43</v>
      </c>
      <c r="F7423" s="17">
        <v>3338</v>
      </c>
      <c r="H7423" s="17">
        <v>7</v>
      </c>
      <c r="I7423" s="17">
        <v>1</v>
      </c>
      <c r="J7423" s="17">
        <v>23.06</v>
      </c>
      <c r="N7423" s="18">
        <v>2923</v>
      </c>
      <c r="P7423" s="17" t="s">
        <v>121</v>
      </c>
      <c r="Q7423" s="19">
        <v>2923.06</v>
      </c>
      <c r="R7423" s="14">
        <v>1100</v>
      </c>
      <c r="S7423" s="19">
        <v>3215366</v>
      </c>
      <c r="AJ7423" s="19">
        <v>0</v>
      </c>
      <c r="AK7423" s="23">
        <v>0</v>
      </c>
      <c r="AM7423" s="19">
        <v>0</v>
      </c>
      <c r="AN7423" s="19">
        <v>3215366</v>
      </c>
      <c r="AP7423" s="14">
        <v>3215366</v>
      </c>
      <c r="AQ7423" s="12">
        <v>3.0000000000000001E-3</v>
      </c>
      <c r="AS7423" s="26">
        <v>102</v>
      </c>
    </row>
    <row r="7424" spans="1:45" x14ac:dyDescent="0.2">
      <c r="A7424" s="122">
        <f t="shared" si="733"/>
        <v>6123</v>
      </c>
      <c r="B7424" s="13">
        <v>2</v>
      </c>
      <c r="C7424" s="17" t="s">
        <v>65</v>
      </c>
      <c r="D7424" s="17">
        <v>1142</v>
      </c>
      <c r="E7424" s="17">
        <v>232</v>
      </c>
      <c r="H7424" s="17">
        <v>15</v>
      </c>
      <c r="I7424" s="17">
        <v>1</v>
      </c>
      <c r="J7424" s="17">
        <v>40</v>
      </c>
      <c r="K7424" s="10">
        <v>6140</v>
      </c>
      <c r="P7424" s="17" t="s">
        <v>122</v>
      </c>
      <c r="Q7424" s="19">
        <v>6140</v>
      </c>
      <c r="R7424" s="14">
        <v>160</v>
      </c>
      <c r="S7424" s="19">
        <v>982400</v>
      </c>
      <c r="AJ7424" s="19">
        <v>0</v>
      </c>
      <c r="AK7424" s="23">
        <v>0</v>
      </c>
      <c r="AM7424" s="19">
        <v>0</v>
      </c>
      <c r="AN7424" s="19">
        <v>982400</v>
      </c>
      <c r="AP7424" s="14">
        <v>982400</v>
      </c>
      <c r="AQ7424" s="12">
        <v>1E-4</v>
      </c>
    </row>
    <row r="7425" spans="1:45" x14ac:dyDescent="0.2">
      <c r="A7425" s="122">
        <f t="shared" si="733"/>
        <v>6124</v>
      </c>
      <c r="B7425" s="13">
        <v>1</v>
      </c>
      <c r="C7425" s="17" t="s">
        <v>52</v>
      </c>
      <c r="D7425" s="17">
        <v>4846</v>
      </c>
      <c r="E7425" s="17">
        <v>8</v>
      </c>
      <c r="F7425" s="17">
        <v>2736</v>
      </c>
      <c r="G7425" s="13">
        <v>7</v>
      </c>
      <c r="H7425" s="17">
        <v>10</v>
      </c>
      <c r="I7425" s="17">
        <v>3</v>
      </c>
      <c r="J7425" s="17">
        <v>47</v>
      </c>
      <c r="K7425" s="10">
        <v>4347</v>
      </c>
      <c r="P7425" s="17" t="s">
        <v>122</v>
      </c>
      <c r="Q7425" s="19">
        <v>4347</v>
      </c>
      <c r="R7425" s="14">
        <v>160</v>
      </c>
      <c r="S7425" s="19">
        <v>695520</v>
      </c>
      <c r="AJ7425" s="19">
        <v>0</v>
      </c>
      <c r="AK7425" s="23">
        <v>0</v>
      </c>
      <c r="AM7425" s="19">
        <v>0</v>
      </c>
      <c r="AN7425" s="19">
        <v>695520</v>
      </c>
      <c r="AP7425" s="14">
        <v>695520</v>
      </c>
    </row>
    <row r="7426" spans="1:45" x14ac:dyDescent="0.2">
      <c r="A7426" s="122">
        <f t="shared" si="733"/>
        <v>6125</v>
      </c>
      <c r="B7426" s="13">
        <v>2</v>
      </c>
      <c r="C7426" s="17" t="s">
        <v>52</v>
      </c>
      <c r="D7426" s="17">
        <v>4847</v>
      </c>
      <c r="E7426" s="17">
        <v>9</v>
      </c>
      <c r="F7426" s="17">
        <v>2745</v>
      </c>
      <c r="G7426" s="13">
        <v>7</v>
      </c>
      <c r="H7426" s="17">
        <v>39</v>
      </c>
      <c r="I7426" s="17">
        <v>3</v>
      </c>
      <c r="J7426" s="17">
        <v>95</v>
      </c>
      <c r="K7426" s="10">
        <v>15995</v>
      </c>
      <c r="P7426" s="17" t="s">
        <v>122</v>
      </c>
      <c r="Q7426" s="19">
        <v>15995</v>
      </c>
      <c r="R7426" s="14">
        <v>160</v>
      </c>
      <c r="S7426" s="19">
        <v>2559200</v>
      </c>
      <c r="AJ7426" s="19">
        <v>0</v>
      </c>
      <c r="AK7426" s="23">
        <v>0</v>
      </c>
      <c r="AM7426" s="19">
        <v>0</v>
      </c>
      <c r="AN7426" s="19">
        <v>2559200</v>
      </c>
      <c r="AP7426" s="14">
        <v>2559200</v>
      </c>
    </row>
    <row r="7427" spans="1:45" x14ac:dyDescent="0.2">
      <c r="A7427" s="122">
        <f t="shared" si="733"/>
        <v>6126</v>
      </c>
      <c r="B7427" s="13">
        <v>1</v>
      </c>
      <c r="C7427" s="17" t="s">
        <v>52</v>
      </c>
      <c r="D7427" s="17">
        <v>950</v>
      </c>
      <c r="E7427" s="17">
        <v>11</v>
      </c>
      <c r="F7427" s="17">
        <v>344</v>
      </c>
      <c r="G7427" s="13">
        <v>1</v>
      </c>
      <c r="H7427" s="17">
        <v>0</v>
      </c>
      <c r="I7427" s="17">
        <v>0</v>
      </c>
      <c r="J7427" s="17">
        <v>64</v>
      </c>
      <c r="N7427" s="18">
        <v>64</v>
      </c>
      <c r="P7427" s="17" t="s">
        <v>121</v>
      </c>
      <c r="Q7427" s="19">
        <v>64</v>
      </c>
      <c r="R7427" s="14">
        <v>3000</v>
      </c>
      <c r="S7427" s="19">
        <v>192000</v>
      </c>
      <c r="AJ7427" s="19">
        <v>0</v>
      </c>
      <c r="AK7427" s="23">
        <v>0</v>
      </c>
      <c r="AM7427" s="19">
        <v>0</v>
      </c>
      <c r="AN7427" s="19">
        <v>192000</v>
      </c>
      <c r="AP7427" s="14">
        <v>192000</v>
      </c>
      <c r="AQ7427" s="12">
        <v>3.0000000000000001E-3</v>
      </c>
      <c r="AS7427" s="26">
        <v>4</v>
      </c>
    </row>
    <row r="7428" spans="1:45" ht="42" x14ac:dyDescent="0.2">
      <c r="A7428" s="122">
        <f t="shared" si="733"/>
        <v>6127</v>
      </c>
      <c r="B7428" s="13">
        <v>1</v>
      </c>
      <c r="C7428" s="17" t="s">
        <v>52</v>
      </c>
      <c r="D7428" s="17">
        <v>28813</v>
      </c>
      <c r="E7428" s="17">
        <v>219</v>
      </c>
      <c r="F7428" s="17">
        <v>5468</v>
      </c>
      <c r="H7428" s="17">
        <v>0</v>
      </c>
      <c r="I7428" s="17">
        <v>1</v>
      </c>
      <c r="J7428" s="17">
        <v>85</v>
      </c>
      <c r="K7428" s="10">
        <v>185</v>
      </c>
      <c r="P7428" s="17" t="s">
        <v>122</v>
      </c>
      <c r="Q7428" s="19">
        <v>185</v>
      </c>
      <c r="R7428" s="14">
        <v>160</v>
      </c>
      <c r="S7428" s="19">
        <v>29600</v>
      </c>
      <c r="AJ7428" s="19">
        <v>0</v>
      </c>
      <c r="AK7428" s="23">
        <v>0</v>
      </c>
      <c r="AM7428" s="19">
        <v>0</v>
      </c>
      <c r="AN7428" s="19">
        <v>29600</v>
      </c>
      <c r="AP7428" s="14">
        <v>29600</v>
      </c>
      <c r="AQ7428" s="12">
        <v>3.0000000000000001E-3</v>
      </c>
      <c r="AR7428" s="19">
        <v>8.8800000000000008</v>
      </c>
    </row>
    <row r="7429" spans="1:45" x14ac:dyDescent="0.2">
      <c r="A7429" s="122">
        <f t="shared" si="733"/>
        <v>6128</v>
      </c>
      <c r="B7429" s="13">
        <v>1</v>
      </c>
      <c r="C7429" s="17" t="s">
        <v>69</v>
      </c>
      <c r="E7429" s="17">
        <v>152</v>
      </c>
      <c r="F7429" s="17">
        <v>9</v>
      </c>
      <c r="G7429" s="13">
        <v>2</v>
      </c>
      <c r="H7429" s="17">
        <v>9</v>
      </c>
      <c r="I7429" s="17">
        <v>3</v>
      </c>
      <c r="J7429" s="17">
        <v>6</v>
      </c>
      <c r="K7429" s="10">
        <v>3906</v>
      </c>
      <c r="P7429" s="17" t="s">
        <v>122</v>
      </c>
      <c r="Q7429" s="19">
        <v>3906</v>
      </c>
      <c r="R7429" s="14">
        <v>160</v>
      </c>
      <c r="S7429" s="19">
        <v>624960</v>
      </c>
      <c r="AJ7429" s="19">
        <v>0</v>
      </c>
      <c r="AK7429" s="23">
        <v>0</v>
      </c>
      <c r="AM7429" s="19">
        <v>0</v>
      </c>
      <c r="AN7429" s="19">
        <v>624960</v>
      </c>
      <c r="AP7429" s="14">
        <v>624960</v>
      </c>
      <c r="AQ7429" s="12">
        <v>1E-4</v>
      </c>
      <c r="AS7429" s="26">
        <v>97</v>
      </c>
    </row>
    <row r="7430" spans="1:45" x14ac:dyDescent="0.2">
      <c r="A7430" s="122">
        <f t="shared" si="733"/>
        <v>6129</v>
      </c>
      <c r="B7430" s="13">
        <v>2</v>
      </c>
      <c r="C7430" s="17" t="s">
        <v>69</v>
      </c>
      <c r="E7430" s="17">
        <v>152</v>
      </c>
      <c r="F7430" s="17">
        <v>18</v>
      </c>
      <c r="G7430" s="13">
        <v>2</v>
      </c>
      <c r="H7430" s="17">
        <v>5</v>
      </c>
      <c r="I7430" s="17">
        <v>3</v>
      </c>
      <c r="J7430" s="17">
        <v>86</v>
      </c>
      <c r="K7430" s="10">
        <v>2386</v>
      </c>
      <c r="P7430" s="17" t="s">
        <v>122</v>
      </c>
      <c r="Q7430" s="19">
        <v>2386</v>
      </c>
      <c r="R7430" s="14">
        <v>160</v>
      </c>
      <c r="S7430" s="19">
        <v>381760</v>
      </c>
      <c r="AJ7430" s="19">
        <v>0</v>
      </c>
      <c r="AK7430" s="23">
        <v>0</v>
      </c>
      <c r="AM7430" s="19">
        <v>0</v>
      </c>
      <c r="AN7430" s="19">
        <v>381760</v>
      </c>
      <c r="AP7430" s="14">
        <v>381760</v>
      </c>
      <c r="AQ7430" s="12">
        <v>1E-4</v>
      </c>
    </row>
    <row r="7431" spans="1:45" x14ac:dyDescent="0.2">
      <c r="A7431" s="122">
        <f t="shared" si="733"/>
        <v>6130</v>
      </c>
      <c r="B7431" s="13">
        <v>3</v>
      </c>
      <c r="C7431" s="17" t="s">
        <v>69</v>
      </c>
      <c r="E7431" s="17">
        <v>164</v>
      </c>
      <c r="F7431" s="17">
        <v>11</v>
      </c>
      <c r="G7431" s="13">
        <v>2</v>
      </c>
      <c r="H7431" s="17">
        <v>6</v>
      </c>
      <c r="I7431" s="17">
        <v>1</v>
      </c>
      <c r="J7431" s="17">
        <v>22</v>
      </c>
      <c r="K7431" s="10">
        <v>2522</v>
      </c>
      <c r="P7431" s="17" t="s">
        <v>122</v>
      </c>
      <c r="Q7431" s="19">
        <v>2522</v>
      </c>
      <c r="R7431" s="14">
        <v>200</v>
      </c>
      <c r="S7431" s="19">
        <v>504400</v>
      </c>
      <c r="AJ7431" s="19">
        <v>0</v>
      </c>
      <c r="AK7431" s="23">
        <v>0</v>
      </c>
      <c r="AM7431" s="19">
        <v>0</v>
      </c>
      <c r="AN7431" s="19">
        <v>504400</v>
      </c>
      <c r="AP7431" s="14">
        <v>504400</v>
      </c>
      <c r="AQ7431" s="12">
        <v>1E-4</v>
      </c>
    </row>
    <row r="7432" spans="1:45" x14ac:dyDescent="0.2">
      <c r="A7432" s="122">
        <f t="shared" si="733"/>
        <v>6131</v>
      </c>
      <c r="B7432" s="13">
        <v>1</v>
      </c>
      <c r="C7432" s="17" t="s">
        <v>52</v>
      </c>
      <c r="D7432" s="17">
        <v>16405</v>
      </c>
      <c r="E7432" s="17">
        <v>104</v>
      </c>
      <c r="F7432" s="17">
        <v>3404</v>
      </c>
      <c r="G7432" s="13">
        <v>1</v>
      </c>
      <c r="H7432" s="17">
        <v>3</v>
      </c>
      <c r="I7432" s="17">
        <v>2</v>
      </c>
      <c r="J7432" s="17">
        <v>25</v>
      </c>
      <c r="K7432" s="10">
        <v>1425</v>
      </c>
      <c r="P7432" s="17" t="s">
        <v>122</v>
      </c>
      <c r="Q7432" s="19">
        <v>1425</v>
      </c>
      <c r="R7432" s="14">
        <v>160</v>
      </c>
      <c r="S7432" s="19">
        <v>228000</v>
      </c>
      <c r="AJ7432" s="19">
        <v>0</v>
      </c>
      <c r="AK7432" s="23">
        <v>0</v>
      </c>
      <c r="AM7432" s="19">
        <v>0</v>
      </c>
      <c r="AN7432" s="19">
        <v>228000</v>
      </c>
      <c r="AP7432" s="14">
        <v>228000</v>
      </c>
      <c r="AS7432" s="26">
        <v>11</v>
      </c>
    </row>
    <row r="7433" spans="1:45" x14ac:dyDescent="0.2">
      <c r="A7433" s="122">
        <f t="shared" si="733"/>
        <v>6132</v>
      </c>
      <c r="B7433" s="13">
        <v>2</v>
      </c>
      <c r="C7433" s="17" t="s">
        <v>52</v>
      </c>
      <c r="D7433" s="17">
        <v>2994</v>
      </c>
      <c r="E7433" s="17">
        <v>6</v>
      </c>
      <c r="F7433" s="17">
        <v>2062</v>
      </c>
      <c r="G7433" s="13">
        <v>2</v>
      </c>
      <c r="H7433" s="17">
        <v>0</v>
      </c>
      <c r="I7433" s="17">
        <v>1</v>
      </c>
      <c r="J7433" s="17">
        <v>37</v>
      </c>
      <c r="K7433" s="10" t="s">
        <v>694</v>
      </c>
      <c r="P7433" s="17" t="s">
        <v>122</v>
      </c>
      <c r="Q7433" s="19">
        <v>137</v>
      </c>
      <c r="R7433" s="14">
        <v>250</v>
      </c>
      <c r="S7433" s="19">
        <v>34250</v>
      </c>
      <c r="AJ7433" s="19">
        <v>0</v>
      </c>
      <c r="AK7433" s="23">
        <v>0</v>
      </c>
      <c r="AM7433" s="19">
        <v>0</v>
      </c>
      <c r="AN7433" s="19">
        <v>34250</v>
      </c>
      <c r="AP7433" s="14">
        <v>34250</v>
      </c>
    </row>
    <row r="7434" spans="1:45" ht="42" x14ac:dyDescent="0.2">
      <c r="A7434" s="122">
        <f t="shared" si="733"/>
        <v>6133</v>
      </c>
      <c r="B7434" s="13">
        <v>3</v>
      </c>
      <c r="C7434" s="17" t="s">
        <v>52</v>
      </c>
      <c r="D7434" s="17">
        <v>3616</v>
      </c>
      <c r="E7434" s="17">
        <v>100</v>
      </c>
      <c r="F7434" s="17">
        <v>2247</v>
      </c>
      <c r="G7434" s="13">
        <v>2</v>
      </c>
      <c r="H7434" s="17">
        <v>0</v>
      </c>
      <c r="I7434" s="17">
        <v>3</v>
      </c>
      <c r="J7434" s="17">
        <v>68</v>
      </c>
      <c r="L7434" s="17" t="s">
        <v>768</v>
      </c>
      <c r="P7434" s="17">
        <v>2</v>
      </c>
      <c r="Q7434" s="19">
        <v>368</v>
      </c>
      <c r="R7434" s="14">
        <v>200</v>
      </c>
      <c r="S7434" s="19">
        <v>73600</v>
      </c>
      <c r="T7434" s="17">
        <v>1</v>
      </c>
      <c r="V7434" s="17" t="s">
        <v>183</v>
      </c>
      <c r="W7434" s="4">
        <v>299</v>
      </c>
      <c r="Y7434" s="4">
        <v>299</v>
      </c>
      <c r="AB7434" s="17">
        <v>40</v>
      </c>
      <c r="AJ7434" s="19">
        <v>0</v>
      </c>
      <c r="AK7434" s="23">
        <v>40</v>
      </c>
      <c r="AM7434" s="19">
        <v>0</v>
      </c>
      <c r="AN7434" s="19">
        <v>73600</v>
      </c>
      <c r="AP7434" s="14">
        <v>73600</v>
      </c>
    </row>
    <row r="7435" spans="1:45" x14ac:dyDescent="0.2">
      <c r="A7435" s="122">
        <f t="shared" si="733"/>
        <v>6134</v>
      </c>
      <c r="B7435" s="13">
        <v>4</v>
      </c>
      <c r="C7435" s="17" t="s">
        <v>52</v>
      </c>
      <c r="D7435" s="17">
        <v>20165</v>
      </c>
      <c r="E7435" s="17">
        <v>164</v>
      </c>
      <c r="F7435" s="17">
        <v>4402</v>
      </c>
      <c r="G7435" s="13">
        <v>2</v>
      </c>
      <c r="H7435" s="17">
        <v>0</v>
      </c>
      <c r="I7435" s="17">
        <v>0</v>
      </c>
      <c r="J7435" s="17">
        <v>51</v>
      </c>
      <c r="K7435" s="10">
        <v>51</v>
      </c>
      <c r="P7435" s="17">
        <v>1</v>
      </c>
      <c r="Q7435" s="19">
        <v>51</v>
      </c>
      <c r="R7435" s="14">
        <v>4500</v>
      </c>
      <c r="S7435" s="19">
        <v>229500</v>
      </c>
      <c r="AJ7435" s="19">
        <v>0</v>
      </c>
      <c r="AK7435" s="23">
        <v>0</v>
      </c>
      <c r="AM7435" s="19">
        <v>0</v>
      </c>
      <c r="AN7435" s="19">
        <v>229500</v>
      </c>
      <c r="AP7435" s="14">
        <v>229500</v>
      </c>
    </row>
    <row r="7436" spans="1:45" x14ac:dyDescent="0.2">
      <c r="A7436" s="122">
        <f t="shared" si="733"/>
        <v>6135</v>
      </c>
      <c r="B7436" s="13">
        <v>1</v>
      </c>
      <c r="C7436" s="17" t="s">
        <v>52</v>
      </c>
      <c r="D7436" s="17">
        <v>4819</v>
      </c>
      <c r="E7436" s="17">
        <v>2</v>
      </c>
      <c r="F7436" s="17">
        <v>2708</v>
      </c>
      <c r="G7436" s="13">
        <v>7</v>
      </c>
      <c r="H7436" s="17">
        <v>25</v>
      </c>
      <c r="I7436" s="17">
        <v>1</v>
      </c>
      <c r="J7436" s="17">
        <v>2</v>
      </c>
      <c r="K7436" s="10">
        <v>10102</v>
      </c>
      <c r="P7436" s="17">
        <v>1</v>
      </c>
      <c r="Q7436" s="19">
        <v>10102</v>
      </c>
      <c r="R7436" s="14">
        <v>470</v>
      </c>
      <c r="S7436" s="19">
        <v>4747940</v>
      </c>
      <c r="AJ7436" s="19">
        <v>0</v>
      </c>
      <c r="AK7436" s="23">
        <v>0</v>
      </c>
      <c r="AM7436" s="19">
        <v>0</v>
      </c>
      <c r="AN7436" s="19">
        <v>4747940</v>
      </c>
      <c r="AP7436" s="14">
        <v>4747940</v>
      </c>
      <c r="AS7436" s="26">
        <v>507</v>
      </c>
    </row>
    <row r="7437" spans="1:45" x14ac:dyDescent="0.2">
      <c r="A7437" s="122">
        <f t="shared" si="733"/>
        <v>6136</v>
      </c>
      <c r="B7437" s="13">
        <v>2</v>
      </c>
      <c r="C7437" s="17" t="s">
        <v>52</v>
      </c>
      <c r="D7437" s="17">
        <v>4820</v>
      </c>
      <c r="E7437" s="17">
        <v>32</v>
      </c>
      <c r="F7437" s="17">
        <v>2710</v>
      </c>
      <c r="G7437" s="13">
        <v>7</v>
      </c>
      <c r="H7437" s="17">
        <v>31</v>
      </c>
      <c r="I7437" s="17">
        <v>2</v>
      </c>
      <c r="J7437" s="17">
        <v>99</v>
      </c>
      <c r="K7437" s="10">
        <v>12699</v>
      </c>
      <c r="P7437" s="17">
        <v>1</v>
      </c>
      <c r="Q7437" s="19">
        <v>12699</v>
      </c>
      <c r="R7437" s="14">
        <v>410</v>
      </c>
      <c r="S7437" s="19">
        <v>5206590</v>
      </c>
      <c r="AJ7437" s="19">
        <v>0</v>
      </c>
      <c r="AK7437" s="23">
        <v>0</v>
      </c>
      <c r="AM7437" s="19">
        <v>0</v>
      </c>
      <c r="AN7437" s="19">
        <v>5206590</v>
      </c>
      <c r="AP7437" s="14">
        <v>5206590</v>
      </c>
    </row>
    <row r="7438" spans="1:45" x14ac:dyDescent="0.2">
      <c r="A7438" s="122">
        <f t="shared" si="733"/>
        <v>6137</v>
      </c>
      <c r="B7438" s="13">
        <v>3</v>
      </c>
      <c r="C7438" s="17" t="s">
        <v>52</v>
      </c>
      <c r="D7438" s="17">
        <v>4821</v>
      </c>
      <c r="E7438" s="17">
        <v>38</v>
      </c>
      <c r="F7438" s="17">
        <v>2711</v>
      </c>
      <c r="G7438" s="13">
        <v>7</v>
      </c>
      <c r="H7438" s="17">
        <v>27</v>
      </c>
      <c r="I7438" s="17">
        <v>1</v>
      </c>
      <c r="J7438" s="17">
        <v>25</v>
      </c>
      <c r="K7438" s="10">
        <v>10925</v>
      </c>
      <c r="P7438" s="17">
        <v>1</v>
      </c>
      <c r="Q7438" s="19">
        <v>10925</v>
      </c>
      <c r="R7438" s="14">
        <v>470</v>
      </c>
      <c r="S7438" s="19">
        <v>5134750</v>
      </c>
      <c r="AJ7438" s="19">
        <v>0</v>
      </c>
      <c r="AK7438" s="23">
        <v>0</v>
      </c>
      <c r="AM7438" s="19">
        <v>0</v>
      </c>
      <c r="AN7438" s="19">
        <v>5134750</v>
      </c>
      <c r="AP7438" s="14">
        <v>5134750</v>
      </c>
    </row>
    <row r="7439" spans="1:45" x14ac:dyDescent="0.2">
      <c r="A7439" s="122">
        <f t="shared" si="733"/>
        <v>6138</v>
      </c>
      <c r="B7439" s="13">
        <v>4</v>
      </c>
      <c r="C7439" s="17" t="s">
        <v>52</v>
      </c>
      <c r="D7439" s="17">
        <v>5009</v>
      </c>
      <c r="E7439" s="17">
        <v>31</v>
      </c>
      <c r="F7439" s="17">
        <v>2709</v>
      </c>
      <c r="G7439" s="13">
        <v>7</v>
      </c>
      <c r="H7439" s="17">
        <v>7</v>
      </c>
      <c r="I7439" s="17">
        <v>3</v>
      </c>
      <c r="J7439" s="17">
        <v>76</v>
      </c>
      <c r="K7439" s="10">
        <v>3176</v>
      </c>
      <c r="P7439" s="17">
        <v>1</v>
      </c>
      <c r="Q7439" s="19">
        <v>3176</v>
      </c>
      <c r="R7439" s="14">
        <v>470</v>
      </c>
      <c r="S7439" s="19">
        <v>1492720</v>
      </c>
      <c r="AJ7439" s="19">
        <v>0</v>
      </c>
      <c r="AK7439" s="23">
        <v>0</v>
      </c>
      <c r="AM7439" s="19">
        <v>0</v>
      </c>
      <c r="AN7439" s="19">
        <v>1492720</v>
      </c>
      <c r="AP7439" s="14">
        <v>1492720</v>
      </c>
    </row>
    <row r="7440" spans="1:45" x14ac:dyDescent="0.2">
      <c r="A7440" s="122">
        <f t="shared" si="733"/>
        <v>6139</v>
      </c>
      <c r="B7440" s="13">
        <v>1</v>
      </c>
      <c r="C7440" s="17" t="s">
        <v>52</v>
      </c>
      <c r="D7440" s="17">
        <v>2374</v>
      </c>
      <c r="E7440" s="17">
        <v>58</v>
      </c>
      <c r="F7440" s="17">
        <v>1839</v>
      </c>
      <c r="G7440" s="13">
        <v>4</v>
      </c>
      <c r="H7440" s="17">
        <v>0</v>
      </c>
      <c r="I7440" s="17">
        <v>0</v>
      </c>
      <c r="J7440" s="17">
        <v>16</v>
      </c>
      <c r="L7440" s="17" t="s">
        <v>726</v>
      </c>
      <c r="P7440" s="17">
        <v>2</v>
      </c>
      <c r="Q7440" s="19">
        <v>16</v>
      </c>
      <c r="R7440" s="14">
        <v>250</v>
      </c>
      <c r="S7440" s="19">
        <v>4000</v>
      </c>
      <c r="AJ7440" s="19">
        <v>0</v>
      </c>
      <c r="AK7440" s="23">
        <v>0</v>
      </c>
      <c r="AM7440" s="19">
        <v>0</v>
      </c>
      <c r="AN7440" s="19">
        <v>4000</v>
      </c>
      <c r="AP7440" s="14">
        <v>4000</v>
      </c>
      <c r="AS7440" s="26">
        <v>900</v>
      </c>
    </row>
    <row r="7441" spans="1:45" ht="63" x14ac:dyDescent="0.2">
      <c r="A7441" s="122">
        <f t="shared" si="733"/>
        <v>6140</v>
      </c>
      <c r="B7441" s="13">
        <v>2</v>
      </c>
      <c r="C7441" s="17" t="s">
        <v>52</v>
      </c>
      <c r="D7441" s="17">
        <v>2406</v>
      </c>
      <c r="E7441" s="17">
        <v>64</v>
      </c>
      <c r="F7441" s="17">
        <v>1739</v>
      </c>
      <c r="G7441" s="13">
        <v>4</v>
      </c>
      <c r="H7441" s="17">
        <v>0</v>
      </c>
      <c r="I7441" s="17">
        <v>0</v>
      </c>
      <c r="J7441" s="17">
        <v>33</v>
      </c>
      <c r="N7441" s="18" t="s">
        <v>629</v>
      </c>
      <c r="P7441" s="17">
        <v>4</v>
      </c>
      <c r="Q7441" s="19">
        <v>33</v>
      </c>
      <c r="R7441" s="14">
        <v>250</v>
      </c>
      <c r="S7441" s="19">
        <v>8250</v>
      </c>
      <c r="AJ7441" s="19">
        <v>0</v>
      </c>
      <c r="AK7441" s="23">
        <v>0</v>
      </c>
      <c r="AM7441" s="19">
        <v>0</v>
      </c>
      <c r="AN7441" s="19">
        <v>8250</v>
      </c>
      <c r="AP7441" s="14">
        <v>8250</v>
      </c>
      <c r="AR7441" s="19">
        <v>900</v>
      </c>
    </row>
    <row r="7442" spans="1:45" x14ac:dyDescent="0.2">
      <c r="A7442" s="122">
        <f t="shared" si="733"/>
        <v>6141</v>
      </c>
      <c r="B7442" s="13">
        <v>3</v>
      </c>
      <c r="C7442" s="17" t="s">
        <v>52</v>
      </c>
      <c r="D7442" s="17">
        <v>2415</v>
      </c>
      <c r="E7442" s="17">
        <v>57</v>
      </c>
      <c r="F7442" s="17">
        <v>1759</v>
      </c>
      <c r="G7442" s="13">
        <v>4</v>
      </c>
      <c r="H7442" s="17">
        <v>0</v>
      </c>
      <c r="I7442" s="17">
        <v>0</v>
      </c>
      <c r="J7442" s="17">
        <v>20</v>
      </c>
      <c r="L7442" s="17" t="s">
        <v>227</v>
      </c>
      <c r="P7442" s="17">
        <v>2</v>
      </c>
      <c r="Q7442" s="19">
        <v>20</v>
      </c>
      <c r="R7442" s="14">
        <v>250</v>
      </c>
      <c r="S7442" s="19">
        <v>5000</v>
      </c>
      <c r="AJ7442" s="19">
        <v>0</v>
      </c>
      <c r="AK7442" s="23">
        <v>0</v>
      </c>
      <c r="AM7442" s="19">
        <v>0</v>
      </c>
      <c r="AN7442" s="19">
        <v>5000</v>
      </c>
      <c r="AP7442" s="14">
        <v>5000</v>
      </c>
    </row>
    <row r="7443" spans="1:45" x14ac:dyDescent="0.2">
      <c r="A7443" s="122">
        <f t="shared" si="733"/>
        <v>6142</v>
      </c>
      <c r="B7443" s="13">
        <v>4</v>
      </c>
      <c r="C7443" s="17" t="s">
        <v>52</v>
      </c>
      <c r="D7443" s="17">
        <v>2416</v>
      </c>
      <c r="E7443" s="17">
        <v>56</v>
      </c>
      <c r="F7443" s="17">
        <v>1760</v>
      </c>
      <c r="G7443" s="13">
        <v>4</v>
      </c>
      <c r="H7443" s="17">
        <v>0</v>
      </c>
      <c r="I7443" s="17">
        <v>0</v>
      </c>
      <c r="J7443" s="17">
        <v>24</v>
      </c>
      <c r="L7443" s="17" t="s">
        <v>559</v>
      </c>
      <c r="P7443" s="17">
        <v>2</v>
      </c>
      <c r="Q7443" s="19">
        <v>24</v>
      </c>
      <c r="R7443" s="14">
        <v>160</v>
      </c>
      <c r="S7443" s="19">
        <v>3840</v>
      </c>
      <c r="AJ7443" s="19">
        <v>0</v>
      </c>
      <c r="AK7443" s="23">
        <v>0</v>
      </c>
      <c r="AM7443" s="19">
        <v>0</v>
      </c>
      <c r="AN7443" s="19">
        <v>3840</v>
      </c>
      <c r="AP7443" s="14">
        <v>3840</v>
      </c>
    </row>
    <row r="7444" spans="1:45" x14ac:dyDescent="0.2">
      <c r="A7444" s="122">
        <f t="shared" si="733"/>
        <v>6143</v>
      </c>
      <c r="G7444" s="13">
        <v>4</v>
      </c>
      <c r="J7444" s="17">
        <v>47.15</v>
      </c>
      <c r="O7444" s="14" t="s">
        <v>769</v>
      </c>
      <c r="P7444" s="17">
        <v>4</v>
      </c>
      <c r="Q7444" s="19">
        <v>47.15</v>
      </c>
      <c r="R7444" s="14">
        <v>250</v>
      </c>
      <c r="S7444" s="19">
        <v>11787.5</v>
      </c>
      <c r="W7444" s="4">
        <v>188.6</v>
      </c>
      <c r="Y7444" s="4" t="s">
        <v>770</v>
      </c>
      <c r="AE7444" s="17">
        <v>9.7560975609756087E-2</v>
      </c>
      <c r="AF7444" s="14">
        <v>2</v>
      </c>
      <c r="AG7444" s="54">
        <v>188.6</v>
      </c>
      <c r="AH7444" s="11">
        <v>0.9</v>
      </c>
      <c r="AI7444" s="14">
        <v>7250</v>
      </c>
      <c r="AJ7444" s="19">
        <v>1230615</v>
      </c>
      <c r="AK7444" s="23">
        <v>40</v>
      </c>
      <c r="AL7444" s="11">
        <v>0.7</v>
      </c>
      <c r="AM7444" s="19">
        <v>369184.5</v>
      </c>
      <c r="AN7444" s="19">
        <v>379793.25</v>
      </c>
      <c r="AP7444" s="14">
        <v>379793.25</v>
      </c>
      <c r="AQ7444" s="12">
        <v>2.0000000000000001E-4</v>
      </c>
    </row>
    <row r="7445" spans="1:45" x14ac:dyDescent="0.2">
      <c r="Z7445" s="17" t="s">
        <v>771</v>
      </c>
      <c r="AE7445" s="17">
        <v>170.2</v>
      </c>
      <c r="AF7445" s="14">
        <v>3</v>
      </c>
      <c r="AG7445" s="54">
        <v>188.6</v>
      </c>
      <c r="AH7445" s="11">
        <v>0.1</v>
      </c>
      <c r="AI7445" s="14">
        <v>7250</v>
      </c>
      <c r="AJ7445" s="19">
        <v>136735</v>
      </c>
      <c r="AK7445" s="23">
        <v>40</v>
      </c>
      <c r="AL7445" s="11">
        <v>0.7</v>
      </c>
      <c r="AM7445" s="19">
        <v>41020.5</v>
      </c>
      <c r="AN7445" s="19">
        <v>41020.5</v>
      </c>
      <c r="AP7445" s="14">
        <v>41020.5</v>
      </c>
      <c r="AQ7445" s="12">
        <v>3.0000000000000001E-3</v>
      </c>
    </row>
    <row r="7446" spans="1:45" x14ac:dyDescent="0.2">
      <c r="A7446" s="2">
        <v>6144</v>
      </c>
      <c r="B7446" s="13">
        <v>1</v>
      </c>
      <c r="C7446" s="17" t="s">
        <v>65</v>
      </c>
      <c r="D7446" s="17">
        <v>1743</v>
      </c>
      <c r="E7446" s="17">
        <v>69</v>
      </c>
      <c r="H7446" s="17">
        <v>7</v>
      </c>
      <c r="I7446" s="17">
        <v>2</v>
      </c>
      <c r="J7446" s="17">
        <v>76</v>
      </c>
      <c r="K7446" s="10">
        <v>3076</v>
      </c>
      <c r="P7446" s="17">
        <v>1</v>
      </c>
      <c r="Q7446" s="19">
        <v>3076</v>
      </c>
      <c r="R7446" s="14">
        <v>160</v>
      </c>
      <c r="S7446" s="19">
        <v>492160</v>
      </c>
      <c r="AJ7446" s="19">
        <v>0</v>
      </c>
      <c r="AK7446" s="23">
        <v>0</v>
      </c>
      <c r="AM7446" s="19">
        <v>0</v>
      </c>
      <c r="AN7446" s="19">
        <v>492160</v>
      </c>
      <c r="AP7446" s="14">
        <v>492160</v>
      </c>
      <c r="AQ7446" s="12">
        <v>1E-4</v>
      </c>
    </row>
    <row r="7447" spans="1:45" x14ac:dyDescent="0.2">
      <c r="A7447" s="2">
        <f>+A7446+1</f>
        <v>6145</v>
      </c>
      <c r="B7447" s="13">
        <v>2</v>
      </c>
      <c r="C7447" s="17" t="s">
        <v>65</v>
      </c>
      <c r="D7447" s="17">
        <v>2128</v>
      </c>
      <c r="E7447" s="17">
        <v>123</v>
      </c>
      <c r="H7447" s="17">
        <v>1</v>
      </c>
      <c r="I7447" s="17">
        <v>2</v>
      </c>
      <c r="J7447" s="17">
        <v>60</v>
      </c>
      <c r="K7447" s="10">
        <v>660</v>
      </c>
      <c r="P7447" s="17">
        <v>1</v>
      </c>
      <c r="Q7447" s="19">
        <v>660</v>
      </c>
      <c r="R7447" s="14">
        <v>160</v>
      </c>
      <c r="S7447" s="19">
        <v>105600</v>
      </c>
      <c r="AJ7447" s="19">
        <v>0</v>
      </c>
      <c r="AK7447" s="23">
        <v>0</v>
      </c>
      <c r="AM7447" s="19">
        <v>0</v>
      </c>
      <c r="AN7447" s="19">
        <v>105600</v>
      </c>
      <c r="AP7447" s="14">
        <v>105600</v>
      </c>
      <c r="AQ7447" s="12">
        <v>1E-4</v>
      </c>
    </row>
    <row r="7448" spans="1:45" ht="42" x14ac:dyDescent="0.2">
      <c r="A7448" s="122">
        <f t="shared" ref="A7448:A7459" si="734">+A7447+1</f>
        <v>6146</v>
      </c>
      <c r="B7448" s="13">
        <v>3</v>
      </c>
      <c r="C7448" s="17" t="s">
        <v>65</v>
      </c>
      <c r="D7448" s="17">
        <v>2043</v>
      </c>
      <c r="E7448" s="17">
        <v>3</v>
      </c>
      <c r="H7448" s="17">
        <v>39</v>
      </c>
      <c r="I7448" s="17">
        <v>2</v>
      </c>
      <c r="J7448" s="17">
        <v>40</v>
      </c>
      <c r="K7448" s="10">
        <v>15840</v>
      </c>
      <c r="P7448" s="17">
        <v>1</v>
      </c>
      <c r="Q7448" s="19">
        <v>15840</v>
      </c>
      <c r="R7448" s="14">
        <v>750</v>
      </c>
      <c r="S7448" s="19">
        <v>11880000</v>
      </c>
      <c r="AJ7448" s="19">
        <v>0</v>
      </c>
      <c r="AK7448" s="23">
        <v>0</v>
      </c>
      <c r="AM7448" s="19">
        <v>0</v>
      </c>
      <c r="AN7448" s="19">
        <v>11880000</v>
      </c>
      <c r="AP7448" s="14">
        <v>11880000</v>
      </c>
      <c r="AQ7448" s="12">
        <v>1E-4</v>
      </c>
    </row>
    <row r="7449" spans="1:45" x14ac:dyDescent="0.2">
      <c r="A7449" s="122">
        <f t="shared" si="734"/>
        <v>6147</v>
      </c>
      <c r="B7449" s="13">
        <v>1</v>
      </c>
      <c r="C7449" s="17" t="s">
        <v>52</v>
      </c>
      <c r="D7449" s="17">
        <v>5075</v>
      </c>
      <c r="E7449" s="17">
        <v>6</v>
      </c>
      <c r="F7449" s="17">
        <v>2842</v>
      </c>
      <c r="G7449" s="13">
        <v>7</v>
      </c>
      <c r="H7449" s="17">
        <v>15</v>
      </c>
      <c r="I7449" s="17">
        <v>3</v>
      </c>
      <c r="J7449" s="17">
        <v>74</v>
      </c>
      <c r="K7449" s="10">
        <v>6374</v>
      </c>
      <c r="P7449" s="17">
        <v>1</v>
      </c>
      <c r="Q7449" s="19">
        <v>6374</v>
      </c>
      <c r="R7449" s="14">
        <v>160</v>
      </c>
      <c r="S7449" s="19">
        <v>1019840</v>
      </c>
      <c r="AJ7449" s="19">
        <v>0</v>
      </c>
      <c r="AK7449" s="23">
        <v>0</v>
      </c>
      <c r="AM7449" s="19">
        <v>0</v>
      </c>
      <c r="AN7449" s="19">
        <v>1019840</v>
      </c>
      <c r="AP7449" s="14">
        <v>1019840</v>
      </c>
    </row>
    <row r="7450" spans="1:45" ht="42" x14ac:dyDescent="0.2">
      <c r="A7450" s="122">
        <f t="shared" si="734"/>
        <v>6148</v>
      </c>
      <c r="B7450" s="13">
        <v>1</v>
      </c>
      <c r="C7450" s="17" t="s">
        <v>52</v>
      </c>
      <c r="D7450" s="17">
        <v>30417</v>
      </c>
      <c r="E7450" s="17">
        <v>93</v>
      </c>
      <c r="F7450" s="17">
        <v>5498</v>
      </c>
      <c r="G7450" s="13">
        <v>7</v>
      </c>
      <c r="H7450" s="17">
        <v>0</v>
      </c>
      <c r="I7450" s="17">
        <v>0</v>
      </c>
      <c r="J7450" s="17">
        <v>48</v>
      </c>
      <c r="L7450" s="17" t="s">
        <v>226</v>
      </c>
      <c r="P7450" s="17">
        <v>2</v>
      </c>
      <c r="Q7450" s="19">
        <v>48</v>
      </c>
      <c r="R7450" s="14">
        <v>4500</v>
      </c>
      <c r="S7450" s="19">
        <v>216000</v>
      </c>
      <c r="T7450" s="17">
        <v>1</v>
      </c>
      <c r="V7450" s="17" t="s">
        <v>183</v>
      </c>
      <c r="W7450" s="4">
        <v>157.5</v>
      </c>
      <c r="Y7450" s="4">
        <v>157.5</v>
      </c>
      <c r="AB7450" s="17">
        <v>12</v>
      </c>
      <c r="AJ7450" s="19">
        <v>0</v>
      </c>
      <c r="AK7450" s="23">
        <v>12</v>
      </c>
      <c r="AM7450" s="19">
        <v>0</v>
      </c>
      <c r="AN7450" s="19">
        <v>216000</v>
      </c>
      <c r="AP7450" s="14">
        <v>216000</v>
      </c>
    </row>
    <row r="7451" spans="1:45" x14ac:dyDescent="0.2">
      <c r="A7451" s="122">
        <f t="shared" si="734"/>
        <v>6149</v>
      </c>
      <c r="B7451" s="13">
        <v>2</v>
      </c>
      <c r="C7451" s="17" t="s">
        <v>65</v>
      </c>
      <c r="D7451" s="17">
        <v>1547</v>
      </c>
      <c r="E7451" s="17">
        <v>15</v>
      </c>
      <c r="H7451" s="17">
        <v>40</v>
      </c>
      <c r="I7451" s="17">
        <v>1</v>
      </c>
      <c r="J7451" s="17">
        <v>70</v>
      </c>
      <c r="K7451" s="10">
        <v>16170</v>
      </c>
      <c r="P7451" s="17">
        <v>1</v>
      </c>
      <c r="Q7451" s="19">
        <v>16170</v>
      </c>
      <c r="R7451" s="14">
        <v>375</v>
      </c>
      <c r="S7451" s="19">
        <v>6063750</v>
      </c>
      <c r="AJ7451" s="19">
        <v>0</v>
      </c>
      <c r="AK7451" s="23">
        <v>0</v>
      </c>
      <c r="AM7451" s="19">
        <v>0</v>
      </c>
      <c r="AN7451" s="19">
        <v>6063750</v>
      </c>
      <c r="AP7451" s="14">
        <v>6063750</v>
      </c>
      <c r="AQ7451" s="12">
        <v>1E-4</v>
      </c>
    </row>
    <row r="7452" spans="1:45" x14ac:dyDescent="0.2">
      <c r="A7452" s="122">
        <f t="shared" si="734"/>
        <v>6150</v>
      </c>
      <c r="B7452" s="13">
        <v>1</v>
      </c>
      <c r="C7452" s="17" t="s">
        <v>52</v>
      </c>
      <c r="D7452" s="17">
        <v>23937</v>
      </c>
      <c r="E7452" s="17">
        <v>18</v>
      </c>
      <c r="F7452" s="17">
        <v>4847</v>
      </c>
      <c r="G7452" s="13">
        <v>4</v>
      </c>
      <c r="H7452" s="17">
        <v>27</v>
      </c>
      <c r="I7452" s="17">
        <v>0</v>
      </c>
      <c r="J7452" s="17">
        <v>36</v>
      </c>
      <c r="K7452" s="10">
        <v>10836</v>
      </c>
      <c r="P7452" s="17">
        <v>1</v>
      </c>
      <c r="Q7452" s="19">
        <v>10836</v>
      </c>
      <c r="R7452" s="14">
        <v>160</v>
      </c>
      <c r="S7452" s="19">
        <v>1733760</v>
      </c>
      <c r="AJ7452" s="19">
        <v>0</v>
      </c>
      <c r="AK7452" s="23">
        <v>0</v>
      </c>
      <c r="AM7452" s="19">
        <v>0</v>
      </c>
      <c r="AN7452" s="19">
        <v>1733760</v>
      </c>
      <c r="AP7452" s="14">
        <v>1733760</v>
      </c>
    </row>
    <row r="7453" spans="1:45" x14ac:dyDescent="0.2">
      <c r="A7453" s="122">
        <f t="shared" si="734"/>
        <v>6151</v>
      </c>
      <c r="B7453" s="13">
        <v>2</v>
      </c>
      <c r="C7453" s="17" t="s">
        <v>52</v>
      </c>
      <c r="D7453" s="17">
        <v>23938</v>
      </c>
      <c r="E7453" s="17">
        <v>16</v>
      </c>
      <c r="F7453" s="17">
        <v>4845</v>
      </c>
      <c r="G7453" s="13">
        <v>4</v>
      </c>
      <c r="H7453" s="17">
        <v>37</v>
      </c>
      <c r="I7453" s="17">
        <v>0</v>
      </c>
      <c r="J7453" s="17">
        <v>62</v>
      </c>
      <c r="K7453" s="10">
        <v>14862</v>
      </c>
      <c r="P7453" s="17">
        <v>1</v>
      </c>
      <c r="Q7453" s="19">
        <v>14862</v>
      </c>
      <c r="R7453" s="14">
        <v>160</v>
      </c>
      <c r="S7453" s="19">
        <v>2377920</v>
      </c>
      <c r="AJ7453" s="19">
        <v>0</v>
      </c>
      <c r="AK7453" s="23">
        <v>0</v>
      </c>
      <c r="AM7453" s="19">
        <v>0</v>
      </c>
      <c r="AN7453" s="19">
        <v>2377920</v>
      </c>
      <c r="AP7453" s="14">
        <v>2377920</v>
      </c>
    </row>
    <row r="7454" spans="1:45" x14ac:dyDescent="0.2">
      <c r="A7454" s="122">
        <f t="shared" si="734"/>
        <v>6152</v>
      </c>
      <c r="B7454" s="13">
        <v>3</v>
      </c>
      <c r="C7454" s="17" t="s">
        <v>52</v>
      </c>
      <c r="D7454" s="17">
        <v>23939</v>
      </c>
      <c r="E7454" s="17">
        <v>17</v>
      </c>
      <c r="F7454" s="17">
        <v>4846</v>
      </c>
      <c r="G7454" s="13">
        <v>4</v>
      </c>
      <c r="H7454" s="17">
        <v>15</v>
      </c>
      <c r="I7454" s="17">
        <v>3</v>
      </c>
      <c r="J7454" s="17">
        <v>22</v>
      </c>
      <c r="K7454" s="10">
        <v>6322</v>
      </c>
      <c r="P7454" s="17">
        <v>1</v>
      </c>
      <c r="Q7454" s="19">
        <v>6322</v>
      </c>
      <c r="R7454" s="14">
        <v>160</v>
      </c>
      <c r="S7454" s="19">
        <v>1011520</v>
      </c>
      <c r="AJ7454" s="19">
        <v>0</v>
      </c>
      <c r="AK7454" s="23">
        <v>0</v>
      </c>
      <c r="AM7454" s="19">
        <v>0</v>
      </c>
      <c r="AN7454" s="19">
        <v>1011520</v>
      </c>
      <c r="AP7454" s="14">
        <v>1011520</v>
      </c>
    </row>
    <row r="7455" spans="1:45" x14ac:dyDescent="0.2">
      <c r="A7455" s="122">
        <f t="shared" si="734"/>
        <v>6153</v>
      </c>
      <c r="B7455" s="13">
        <v>1</v>
      </c>
      <c r="C7455" s="17" t="s">
        <v>52</v>
      </c>
      <c r="D7455" s="17">
        <v>1087</v>
      </c>
      <c r="E7455" s="17">
        <v>6</v>
      </c>
      <c r="F7455" s="17">
        <v>947</v>
      </c>
      <c r="G7455" s="13">
        <v>1</v>
      </c>
      <c r="H7455" s="17">
        <v>5</v>
      </c>
      <c r="I7455" s="17">
        <v>2</v>
      </c>
      <c r="J7455" s="17">
        <v>12</v>
      </c>
      <c r="N7455" s="18">
        <v>2212</v>
      </c>
      <c r="P7455" s="17">
        <v>4</v>
      </c>
      <c r="Q7455" s="19">
        <v>2212</v>
      </c>
      <c r="R7455" s="14">
        <v>2250</v>
      </c>
      <c r="S7455" s="19">
        <v>4977000</v>
      </c>
      <c r="AJ7455" s="19">
        <v>0</v>
      </c>
      <c r="AK7455" s="23">
        <v>0</v>
      </c>
      <c r="AM7455" s="19">
        <v>0</v>
      </c>
      <c r="AN7455" s="19">
        <v>4977000</v>
      </c>
      <c r="AP7455" s="14">
        <v>4977000</v>
      </c>
      <c r="AQ7455" s="12">
        <v>3.0000000000000001E-3</v>
      </c>
    </row>
    <row r="7456" spans="1:45" ht="42" x14ac:dyDescent="0.2">
      <c r="A7456" s="122">
        <f t="shared" si="734"/>
        <v>6154</v>
      </c>
      <c r="B7456" s="13">
        <v>1</v>
      </c>
      <c r="C7456" s="17" t="s">
        <v>52</v>
      </c>
      <c r="D7456" s="17">
        <v>4753</v>
      </c>
      <c r="E7456" s="17">
        <v>62</v>
      </c>
      <c r="F7456" s="17">
        <v>2622</v>
      </c>
      <c r="G7456" s="13">
        <v>7</v>
      </c>
      <c r="H7456" s="17">
        <v>1</v>
      </c>
      <c r="I7456" s="17">
        <v>2</v>
      </c>
      <c r="J7456" s="17">
        <v>18</v>
      </c>
      <c r="K7456" s="10">
        <v>618</v>
      </c>
      <c r="P7456" s="17">
        <v>1</v>
      </c>
      <c r="Q7456" s="19">
        <v>618</v>
      </c>
      <c r="R7456" s="14">
        <v>160</v>
      </c>
      <c r="S7456" s="19">
        <v>98880</v>
      </c>
      <c r="AJ7456" s="19">
        <v>0</v>
      </c>
      <c r="AK7456" s="23">
        <v>0</v>
      </c>
      <c r="AM7456" s="19">
        <v>0</v>
      </c>
      <c r="AN7456" s="19">
        <v>98880</v>
      </c>
      <c r="AP7456" s="14">
        <v>98880</v>
      </c>
      <c r="AS7456" s="26" t="s">
        <v>170</v>
      </c>
    </row>
    <row r="7457" spans="1:45" x14ac:dyDescent="0.2">
      <c r="A7457" s="122">
        <f t="shared" si="734"/>
        <v>6155</v>
      </c>
      <c r="B7457" s="13">
        <v>1</v>
      </c>
      <c r="C7457" s="17" t="s">
        <v>52</v>
      </c>
      <c r="D7457" s="17">
        <v>1667</v>
      </c>
      <c r="E7457" s="17">
        <v>22</v>
      </c>
      <c r="F7457" s="17">
        <v>896</v>
      </c>
      <c r="G7457" s="13">
        <v>6</v>
      </c>
      <c r="H7457" s="17">
        <v>1</v>
      </c>
      <c r="I7457" s="17">
        <v>1</v>
      </c>
      <c r="J7457" s="17">
        <v>96</v>
      </c>
      <c r="N7457" s="18">
        <v>596</v>
      </c>
      <c r="P7457" s="17">
        <v>4</v>
      </c>
      <c r="Q7457" s="19">
        <v>596</v>
      </c>
      <c r="R7457" s="14">
        <v>2250</v>
      </c>
      <c r="S7457" s="19">
        <v>1341000</v>
      </c>
      <c r="AJ7457" s="19">
        <v>0</v>
      </c>
      <c r="AK7457" s="23">
        <v>0</v>
      </c>
      <c r="AM7457" s="19">
        <v>0</v>
      </c>
      <c r="AN7457" s="19">
        <v>1341000</v>
      </c>
      <c r="AP7457" s="14">
        <v>1341000</v>
      </c>
      <c r="AQ7457" s="12">
        <v>3.0000000000000001E-3</v>
      </c>
    </row>
    <row r="7458" spans="1:45" x14ac:dyDescent="0.2">
      <c r="A7458" s="122">
        <f t="shared" si="734"/>
        <v>6156</v>
      </c>
      <c r="B7458" s="13">
        <v>1</v>
      </c>
      <c r="C7458" s="17" t="s">
        <v>52</v>
      </c>
      <c r="D7458" s="17">
        <v>25579</v>
      </c>
      <c r="E7458" s="17">
        <v>94</v>
      </c>
      <c r="F7458" s="17">
        <v>4737</v>
      </c>
      <c r="G7458" s="13">
        <v>5</v>
      </c>
      <c r="H7458" s="17">
        <v>0</v>
      </c>
      <c r="I7458" s="17">
        <v>0</v>
      </c>
      <c r="J7458" s="17">
        <v>71</v>
      </c>
      <c r="N7458" s="18">
        <v>71</v>
      </c>
      <c r="P7458" s="17">
        <v>4</v>
      </c>
      <c r="Q7458" s="19">
        <v>71</v>
      </c>
      <c r="R7458" s="14">
        <v>1500</v>
      </c>
      <c r="S7458" s="19">
        <v>106500</v>
      </c>
      <c r="AJ7458" s="19">
        <v>0</v>
      </c>
      <c r="AK7458" s="23">
        <v>0</v>
      </c>
      <c r="AM7458" s="19">
        <v>0</v>
      </c>
      <c r="AN7458" s="19">
        <v>106500</v>
      </c>
      <c r="AP7458" s="14">
        <v>106500</v>
      </c>
      <c r="AQ7458" s="12">
        <v>3.0000000000000001E-3</v>
      </c>
    </row>
    <row r="7459" spans="1:45" x14ac:dyDescent="0.2">
      <c r="A7459" s="122">
        <f t="shared" si="734"/>
        <v>6157</v>
      </c>
      <c r="B7459" s="13">
        <v>1</v>
      </c>
      <c r="C7459" s="17" t="s">
        <v>52</v>
      </c>
      <c r="D7459" s="17">
        <v>4750</v>
      </c>
      <c r="E7459" s="17">
        <v>55</v>
      </c>
      <c r="F7459" s="17">
        <v>2619</v>
      </c>
      <c r="G7459" s="13">
        <v>7</v>
      </c>
      <c r="H7459" s="17">
        <v>3</v>
      </c>
      <c r="I7459" s="17">
        <v>1</v>
      </c>
      <c r="J7459" s="17">
        <v>4</v>
      </c>
      <c r="K7459" s="10">
        <v>1327.1</v>
      </c>
      <c r="L7459" s="17">
        <v>12.9</v>
      </c>
      <c r="P7459" s="17">
        <v>5</v>
      </c>
      <c r="Q7459" s="19">
        <v>1304</v>
      </c>
      <c r="R7459" s="14">
        <v>200</v>
      </c>
      <c r="S7459" s="19">
        <v>260800</v>
      </c>
      <c r="AK7459" s="23">
        <v>0</v>
      </c>
      <c r="AP7459" s="14">
        <v>0</v>
      </c>
      <c r="AS7459" s="26">
        <v>18</v>
      </c>
    </row>
    <row r="7460" spans="1:45" x14ac:dyDescent="0.2">
      <c r="P7460" s="17">
        <v>1</v>
      </c>
      <c r="Q7460" s="19">
        <v>0</v>
      </c>
      <c r="R7460" s="14" t="e">
        <v>#N/A</v>
      </c>
      <c r="S7460" s="19" t="e">
        <v>#N/A</v>
      </c>
      <c r="AJ7460" s="19">
        <v>0</v>
      </c>
      <c r="AK7460" s="23">
        <v>0</v>
      </c>
      <c r="AM7460" s="19">
        <v>0</v>
      </c>
      <c r="AN7460" s="19" t="e">
        <v>#N/A</v>
      </c>
      <c r="AP7460" s="14" t="e">
        <v>#N/A</v>
      </c>
    </row>
    <row r="7461" spans="1:45" ht="42" x14ac:dyDescent="0.2">
      <c r="P7461" s="17">
        <v>2</v>
      </c>
      <c r="Q7461" s="19">
        <v>0</v>
      </c>
      <c r="R7461" s="14" t="e">
        <v>#N/A</v>
      </c>
      <c r="S7461" s="19" t="e">
        <v>#N/A</v>
      </c>
      <c r="T7461" s="17">
        <v>1</v>
      </c>
      <c r="V7461" s="17" t="s">
        <v>183</v>
      </c>
      <c r="W7461" s="4">
        <v>51.6</v>
      </c>
      <c r="Y7461" s="4">
        <v>51.6</v>
      </c>
      <c r="AB7461" s="17">
        <v>17</v>
      </c>
      <c r="AF7461" s="14">
        <v>2</v>
      </c>
      <c r="AG7461" s="54">
        <v>51.6</v>
      </c>
      <c r="AH7461" s="11">
        <v>1</v>
      </c>
      <c r="AI7461" s="14">
        <v>7250</v>
      </c>
      <c r="AJ7461" s="19">
        <v>374100</v>
      </c>
      <c r="AK7461" s="23">
        <v>17</v>
      </c>
      <c r="AL7461" s="11">
        <v>0.24</v>
      </c>
      <c r="AM7461" s="19">
        <v>284316</v>
      </c>
      <c r="AN7461" s="19" t="e">
        <v>#N/A</v>
      </c>
      <c r="AP7461" s="14" t="e">
        <v>#N/A</v>
      </c>
      <c r="AQ7461" s="12">
        <v>2.0000000000000001E-4</v>
      </c>
    </row>
    <row r="7462" spans="1:45" x14ac:dyDescent="0.2">
      <c r="A7462" s="2">
        <v>6158</v>
      </c>
      <c r="B7462" s="13">
        <v>1</v>
      </c>
      <c r="C7462" s="17" t="s">
        <v>52</v>
      </c>
      <c r="D7462" s="17">
        <v>4751</v>
      </c>
      <c r="E7462" s="17">
        <v>60</v>
      </c>
      <c r="F7462" s="17">
        <v>2620</v>
      </c>
      <c r="G7462" s="13">
        <v>7</v>
      </c>
      <c r="H7462" s="17">
        <v>0</v>
      </c>
      <c r="I7462" s="17">
        <v>3</v>
      </c>
      <c r="J7462" s="17">
        <v>42</v>
      </c>
      <c r="K7462" s="10">
        <v>317.95</v>
      </c>
      <c r="L7462" s="17">
        <v>24.05</v>
      </c>
      <c r="P7462" s="17">
        <v>5</v>
      </c>
      <c r="Q7462" s="19">
        <v>342</v>
      </c>
      <c r="R7462" s="14">
        <v>160</v>
      </c>
      <c r="S7462" s="19">
        <v>54720</v>
      </c>
      <c r="AJ7462" s="19">
        <v>0</v>
      </c>
      <c r="AK7462" s="23">
        <v>0</v>
      </c>
      <c r="AM7462" s="19">
        <v>0</v>
      </c>
      <c r="AN7462" s="19">
        <v>54720</v>
      </c>
      <c r="AP7462" s="14">
        <v>54720</v>
      </c>
      <c r="AS7462" s="26">
        <v>32</v>
      </c>
    </row>
    <row r="7463" spans="1:45" ht="42" x14ac:dyDescent="0.2">
      <c r="Q7463" s="19">
        <v>0</v>
      </c>
      <c r="R7463" s="14" t="e">
        <v>#N/A</v>
      </c>
      <c r="T7463" s="17">
        <v>1</v>
      </c>
      <c r="V7463" s="17" t="s">
        <v>183</v>
      </c>
      <c r="W7463" s="4">
        <v>96.2</v>
      </c>
      <c r="Y7463" s="4">
        <v>96.2</v>
      </c>
      <c r="AB7463" s="17">
        <v>23</v>
      </c>
      <c r="AF7463" s="14">
        <v>2</v>
      </c>
      <c r="AG7463" s="54">
        <v>96.1</v>
      </c>
      <c r="AH7463" s="11">
        <v>1</v>
      </c>
      <c r="AI7463" s="14">
        <v>7250</v>
      </c>
      <c r="AJ7463" s="19">
        <v>696725</v>
      </c>
      <c r="AK7463" s="23">
        <v>23</v>
      </c>
      <c r="AL7463" s="11">
        <v>0.36</v>
      </c>
      <c r="AM7463" s="19">
        <v>445904</v>
      </c>
      <c r="AN7463" s="19">
        <v>445904</v>
      </c>
      <c r="AP7463" s="14">
        <v>445904</v>
      </c>
    </row>
    <row r="7464" spans="1:45" x14ac:dyDescent="0.2">
      <c r="Q7464" s="19">
        <v>0</v>
      </c>
      <c r="R7464" s="14" t="e">
        <v>#N/A</v>
      </c>
      <c r="AJ7464" s="19">
        <v>0</v>
      </c>
      <c r="AK7464" s="23">
        <v>0</v>
      </c>
      <c r="AM7464" s="19">
        <v>0</v>
      </c>
      <c r="AN7464" s="19">
        <v>0</v>
      </c>
      <c r="AP7464" s="14">
        <v>0</v>
      </c>
    </row>
    <row r="7465" spans="1:45" x14ac:dyDescent="0.2">
      <c r="A7465" s="2">
        <v>6159</v>
      </c>
      <c r="B7465" s="13">
        <v>2</v>
      </c>
      <c r="C7465" s="17" t="s">
        <v>52</v>
      </c>
      <c r="D7465" s="17">
        <v>4756</v>
      </c>
      <c r="E7465" s="17">
        <v>56</v>
      </c>
      <c r="F7465" s="17">
        <v>2625</v>
      </c>
      <c r="G7465" s="13">
        <v>7</v>
      </c>
      <c r="H7465" s="17">
        <v>5</v>
      </c>
      <c r="I7465" s="17">
        <v>1</v>
      </c>
      <c r="J7465" s="17">
        <v>67</v>
      </c>
      <c r="K7465" s="10">
        <v>2167</v>
      </c>
      <c r="P7465" s="17">
        <v>1</v>
      </c>
      <c r="Q7465" s="19">
        <v>2167</v>
      </c>
      <c r="R7465" s="14">
        <v>160</v>
      </c>
      <c r="S7465" s="19">
        <v>346720</v>
      </c>
      <c r="AJ7465" s="19">
        <v>0</v>
      </c>
      <c r="AK7465" s="23">
        <v>0</v>
      </c>
      <c r="AM7465" s="19">
        <v>0</v>
      </c>
      <c r="AN7465" s="19">
        <v>346720</v>
      </c>
      <c r="AP7465" s="14">
        <v>346720</v>
      </c>
    </row>
    <row r="7466" spans="1:45" x14ac:dyDescent="0.2">
      <c r="A7466" s="2">
        <f>+A7465+1</f>
        <v>6160</v>
      </c>
      <c r="B7466" s="13">
        <v>1</v>
      </c>
      <c r="C7466" s="17" t="s">
        <v>65</v>
      </c>
      <c r="D7466" s="17">
        <v>1410</v>
      </c>
      <c r="E7466" s="17">
        <v>101</v>
      </c>
      <c r="H7466" s="17">
        <v>7</v>
      </c>
      <c r="I7466" s="17">
        <v>0</v>
      </c>
      <c r="J7466" s="17">
        <v>0</v>
      </c>
      <c r="K7466" s="10">
        <v>2800</v>
      </c>
      <c r="P7466" s="17">
        <v>1</v>
      </c>
      <c r="Q7466" s="19">
        <v>2800</v>
      </c>
      <c r="R7466" s="14">
        <v>160</v>
      </c>
      <c r="S7466" s="19">
        <v>448000</v>
      </c>
      <c r="AJ7466" s="19">
        <v>0</v>
      </c>
      <c r="AK7466" s="23">
        <v>0</v>
      </c>
      <c r="AM7466" s="19">
        <v>0</v>
      </c>
      <c r="AN7466" s="19">
        <v>448000</v>
      </c>
      <c r="AP7466" s="14">
        <v>448000</v>
      </c>
      <c r="AQ7466" s="12">
        <v>1E-4</v>
      </c>
    </row>
    <row r="7467" spans="1:45" x14ac:dyDescent="0.2">
      <c r="A7467" s="122">
        <f t="shared" ref="A7467:A7530" si="735">+A7466+1</f>
        <v>6161</v>
      </c>
      <c r="B7467" s="13">
        <v>2</v>
      </c>
      <c r="C7467" s="17" t="s">
        <v>65</v>
      </c>
      <c r="D7467" s="17">
        <v>1773</v>
      </c>
      <c r="E7467" s="17">
        <v>12</v>
      </c>
      <c r="H7467" s="17">
        <v>8</v>
      </c>
      <c r="I7467" s="17">
        <v>3</v>
      </c>
      <c r="J7467" s="17">
        <v>46</v>
      </c>
      <c r="K7467" s="10">
        <v>3546</v>
      </c>
      <c r="P7467" s="17">
        <v>1</v>
      </c>
      <c r="Q7467" s="19">
        <v>3546</v>
      </c>
      <c r="R7467" s="14">
        <v>160</v>
      </c>
      <c r="S7467" s="19">
        <v>567360</v>
      </c>
      <c r="AJ7467" s="19">
        <v>0</v>
      </c>
      <c r="AK7467" s="23">
        <v>0</v>
      </c>
      <c r="AM7467" s="19">
        <v>0</v>
      </c>
      <c r="AN7467" s="19">
        <v>567360</v>
      </c>
      <c r="AP7467" s="14">
        <v>567360</v>
      </c>
      <c r="AQ7467" s="12">
        <v>1E-4</v>
      </c>
    </row>
    <row r="7468" spans="1:45" x14ac:dyDescent="0.2">
      <c r="A7468" s="122">
        <f t="shared" si="735"/>
        <v>6162</v>
      </c>
      <c r="B7468" s="13">
        <v>1</v>
      </c>
      <c r="C7468" s="17" t="s">
        <v>69</v>
      </c>
      <c r="E7468" s="17">
        <v>1501</v>
      </c>
      <c r="F7468" s="17">
        <v>1</v>
      </c>
      <c r="G7468" s="13">
        <v>6</v>
      </c>
      <c r="H7468" s="17">
        <v>42</v>
      </c>
      <c r="I7468" s="17">
        <v>0</v>
      </c>
      <c r="J7468" s="17">
        <v>63</v>
      </c>
      <c r="K7468" s="10">
        <v>16863</v>
      </c>
      <c r="P7468" s="17">
        <v>1</v>
      </c>
      <c r="Q7468" s="19">
        <v>16863</v>
      </c>
      <c r="R7468" s="14">
        <v>200</v>
      </c>
      <c r="S7468" s="19">
        <v>3372600</v>
      </c>
      <c r="AJ7468" s="19">
        <v>0</v>
      </c>
      <c r="AK7468" s="23">
        <v>0</v>
      </c>
      <c r="AM7468" s="19">
        <v>0</v>
      </c>
      <c r="AN7468" s="19">
        <v>3372600</v>
      </c>
      <c r="AP7468" s="14">
        <v>3372600</v>
      </c>
      <c r="AQ7468" s="12">
        <v>1E-4</v>
      </c>
    </row>
    <row r="7469" spans="1:45" ht="105" x14ac:dyDescent="0.2">
      <c r="A7469" s="122">
        <f t="shared" si="735"/>
        <v>6163</v>
      </c>
      <c r="B7469" s="13">
        <v>1</v>
      </c>
      <c r="C7469" s="17" t="s">
        <v>52</v>
      </c>
      <c r="D7469" s="17">
        <v>2496</v>
      </c>
      <c r="E7469" s="17">
        <v>49</v>
      </c>
      <c r="F7469" s="17">
        <v>1500</v>
      </c>
      <c r="G7469" s="13">
        <v>2</v>
      </c>
      <c r="H7469" s="17">
        <v>0</v>
      </c>
      <c r="I7469" s="17">
        <v>0</v>
      </c>
      <c r="J7469" s="17">
        <v>49</v>
      </c>
      <c r="N7469" s="18">
        <v>19</v>
      </c>
      <c r="P7469" s="17">
        <v>4</v>
      </c>
      <c r="Q7469" s="19">
        <v>49</v>
      </c>
      <c r="R7469" s="14">
        <v>4500</v>
      </c>
      <c r="S7469" s="19">
        <v>220500</v>
      </c>
      <c r="T7469" s="17">
        <v>1</v>
      </c>
      <c r="V7469" s="17" t="s">
        <v>183</v>
      </c>
      <c r="W7469" s="4">
        <v>120</v>
      </c>
      <c r="Y7469" s="4">
        <v>120</v>
      </c>
      <c r="AB7469" s="17">
        <v>25</v>
      </c>
      <c r="AC7469" s="14" t="s">
        <v>346</v>
      </c>
      <c r="AF7469" s="14">
        <v>3</v>
      </c>
      <c r="AG7469" s="54">
        <v>120</v>
      </c>
      <c r="AH7469" s="11">
        <v>1</v>
      </c>
      <c r="AI7469" s="14">
        <v>8100</v>
      </c>
      <c r="AJ7469" s="19">
        <v>972000</v>
      </c>
      <c r="AK7469" s="23">
        <v>25</v>
      </c>
      <c r="AL7469" s="11">
        <v>0.4</v>
      </c>
      <c r="AM7469" s="19">
        <v>583200</v>
      </c>
      <c r="AN7469" s="19">
        <v>803700</v>
      </c>
      <c r="AP7469" s="14">
        <v>803700</v>
      </c>
      <c r="AQ7469" s="12">
        <v>3.0000000000000001E-3</v>
      </c>
      <c r="AR7469" s="19">
        <v>14</v>
      </c>
      <c r="AS7469" s="26">
        <v>3014</v>
      </c>
    </row>
    <row r="7470" spans="1:45" ht="63" x14ac:dyDescent="0.2">
      <c r="A7470" s="122">
        <f t="shared" si="735"/>
        <v>6164</v>
      </c>
      <c r="B7470" s="13">
        <v>2</v>
      </c>
      <c r="C7470" s="17" t="s">
        <v>52</v>
      </c>
      <c r="D7470" s="17">
        <v>21019</v>
      </c>
      <c r="E7470" s="17">
        <v>295</v>
      </c>
      <c r="F7470" s="17">
        <v>4688</v>
      </c>
      <c r="G7470" s="13">
        <v>2</v>
      </c>
      <c r="H7470" s="17">
        <v>0</v>
      </c>
      <c r="I7470" s="17">
        <v>0</v>
      </c>
      <c r="J7470" s="17">
        <v>11</v>
      </c>
      <c r="M7470" s="15" t="s">
        <v>732</v>
      </c>
      <c r="P7470" s="17">
        <v>3</v>
      </c>
      <c r="Q7470" s="19">
        <v>11</v>
      </c>
      <c r="R7470" s="14">
        <v>4500</v>
      </c>
      <c r="S7470" s="19">
        <v>49500</v>
      </c>
      <c r="AJ7470" s="19">
        <v>0</v>
      </c>
      <c r="AK7470" s="23">
        <v>0</v>
      </c>
      <c r="AM7470" s="19">
        <v>0</v>
      </c>
      <c r="AN7470" s="19">
        <v>49500</v>
      </c>
      <c r="AP7470" s="14">
        <v>49500</v>
      </c>
      <c r="AR7470" s="19">
        <v>3000</v>
      </c>
    </row>
    <row r="7471" spans="1:45" x14ac:dyDescent="0.2">
      <c r="A7471" s="122">
        <f t="shared" si="735"/>
        <v>6165</v>
      </c>
      <c r="B7471" s="13">
        <v>3</v>
      </c>
      <c r="C7471" s="17" t="s">
        <v>65</v>
      </c>
      <c r="D7471" s="17">
        <v>205</v>
      </c>
      <c r="E7471" s="17">
        <v>105</v>
      </c>
      <c r="H7471" s="17">
        <v>0</v>
      </c>
      <c r="I7471" s="17">
        <v>0</v>
      </c>
      <c r="J7471" s="17">
        <v>51</v>
      </c>
      <c r="K7471" s="10">
        <v>51</v>
      </c>
      <c r="P7471" s="17">
        <v>1</v>
      </c>
      <c r="Q7471" s="19">
        <v>51</v>
      </c>
      <c r="R7471" s="14">
        <v>4500</v>
      </c>
      <c r="S7471" s="19">
        <v>229500</v>
      </c>
      <c r="AJ7471" s="19">
        <v>0</v>
      </c>
      <c r="AK7471" s="23">
        <v>0</v>
      </c>
      <c r="AM7471" s="19">
        <v>0</v>
      </c>
      <c r="AN7471" s="19">
        <v>229500</v>
      </c>
      <c r="AP7471" s="14">
        <v>229500</v>
      </c>
      <c r="AQ7471" s="12">
        <v>1E-4</v>
      </c>
    </row>
    <row r="7472" spans="1:45" ht="63" x14ac:dyDescent="0.2">
      <c r="A7472" s="122">
        <f t="shared" si="735"/>
        <v>6166</v>
      </c>
      <c r="B7472" s="13">
        <v>4</v>
      </c>
      <c r="C7472" s="17" t="s">
        <v>65</v>
      </c>
      <c r="D7472" s="17">
        <v>2669</v>
      </c>
      <c r="E7472" s="17">
        <v>327</v>
      </c>
      <c r="H7472" s="17">
        <v>0</v>
      </c>
      <c r="I7472" s="17">
        <v>2</v>
      </c>
      <c r="J7472" s="17">
        <v>8</v>
      </c>
      <c r="K7472" s="10">
        <v>189.25</v>
      </c>
      <c r="L7472" s="17">
        <v>18.75</v>
      </c>
      <c r="P7472" s="17">
        <v>5</v>
      </c>
      <c r="Q7472" s="19">
        <v>208</v>
      </c>
      <c r="R7472" s="14">
        <v>750</v>
      </c>
      <c r="S7472" s="19">
        <v>156000</v>
      </c>
      <c r="T7472" s="17">
        <v>1</v>
      </c>
      <c r="V7472" s="17" t="s">
        <v>772</v>
      </c>
      <c r="W7472" s="4">
        <v>75</v>
      </c>
      <c r="Y7472" s="4">
        <v>75</v>
      </c>
      <c r="AB7472" s="17">
        <v>31</v>
      </c>
      <c r="AJ7472" s="19">
        <v>0</v>
      </c>
      <c r="AK7472" s="23">
        <v>31</v>
      </c>
      <c r="AM7472" s="19">
        <v>0</v>
      </c>
      <c r="AN7472" s="19">
        <v>156000</v>
      </c>
      <c r="AP7472" s="14">
        <v>156000</v>
      </c>
      <c r="AQ7472" s="12">
        <v>2.0000000000000001E-4</v>
      </c>
    </row>
    <row r="7473" spans="1:45" x14ac:dyDescent="0.2">
      <c r="A7473" s="122">
        <f t="shared" si="735"/>
        <v>6167</v>
      </c>
      <c r="B7473" s="13">
        <v>5</v>
      </c>
      <c r="C7473" s="17" t="s">
        <v>65</v>
      </c>
      <c r="D7473" s="17">
        <v>3334</v>
      </c>
      <c r="E7473" s="17">
        <v>585</v>
      </c>
      <c r="H7473" s="17">
        <v>0</v>
      </c>
      <c r="I7473" s="17">
        <v>0</v>
      </c>
      <c r="J7473" s="17">
        <v>60</v>
      </c>
      <c r="K7473" s="10">
        <v>60</v>
      </c>
      <c r="P7473" s="17">
        <v>1</v>
      </c>
      <c r="Q7473" s="19">
        <v>60</v>
      </c>
      <c r="R7473" s="14">
        <v>250</v>
      </c>
      <c r="S7473" s="19">
        <v>15000</v>
      </c>
      <c r="AJ7473" s="19">
        <v>0</v>
      </c>
      <c r="AK7473" s="23">
        <v>0</v>
      </c>
      <c r="AM7473" s="19">
        <v>0</v>
      </c>
      <c r="AN7473" s="19">
        <v>15000</v>
      </c>
      <c r="AP7473" s="14">
        <v>15000</v>
      </c>
      <c r="AQ7473" s="12">
        <v>1E-4</v>
      </c>
    </row>
    <row r="7474" spans="1:45" x14ac:dyDescent="0.2">
      <c r="A7474" s="122">
        <f t="shared" si="735"/>
        <v>6168</v>
      </c>
      <c r="B7474" s="13">
        <v>6</v>
      </c>
      <c r="C7474" s="17" t="s">
        <v>65</v>
      </c>
      <c r="D7474" s="17">
        <v>3335</v>
      </c>
      <c r="E7474" s="17">
        <v>586</v>
      </c>
      <c r="H7474" s="17">
        <v>0</v>
      </c>
      <c r="I7474" s="17">
        <v>0</v>
      </c>
      <c r="J7474" s="17">
        <v>53</v>
      </c>
      <c r="K7474" s="10">
        <v>53</v>
      </c>
      <c r="P7474" s="17">
        <v>1</v>
      </c>
      <c r="Q7474" s="19">
        <v>53</v>
      </c>
      <c r="R7474" s="14">
        <v>250</v>
      </c>
      <c r="S7474" s="19">
        <v>13250</v>
      </c>
      <c r="AJ7474" s="19">
        <v>0</v>
      </c>
      <c r="AK7474" s="23">
        <v>0</v>
      </c>
      <c r="AM7474" s="19">
        <v>0</v>
      </c>
      <c r="AN7474" s="19">
        <v>13250</v>
      </c>
      <c r="AP7474" s="14">
        <v>13250</v>
      </c>
      <c r="AQ7474" s="12">
        <v>1E-4</v>
      </c>
    </row>
    <row r="7475" spans="1:45" x14ac:dyDescent="0.2">
      <c r="A7475" s="122">
        <f t="shared" si="735"/>
        <v>6169</v>
      </c>
      <c r="B7475" s="13">
        <v>7</v>
      </c>
      <c r="C7475" s="17" t="s">
        <v>65</v>
      </c>
      <c r="D7475" s="17">
        <v>3336</v>
      </c>
      <c r="E7475" s="17">
        <v>587</v>
      </c>
      <c r="H7475" s="17">
        <v>0</v>
      </c>
      <c r="I7475" s="17">
        <v>0</v>
      </c>
      <c r="J7475" s="17">
        <v>47</v>
      </c>
      <c r="K7475" s="10">
        <v>47</v>
      </c>
      <c r="P7475" s="17">
        <v>1</v>
      </c>
      <c r="Q7475" s="19">
        <v>47</v>
      </c>
      <c r="R7475" s="14">
        <v>250</v>
      </c>
      <c r="S7475" s="19">
        <v>11750</v>
      </c>
      <c r="AJ7475" s="19">
        <v>0</v>
      </c>
      <c r="AK7475" s="23">
        <v>0</v>
      </c>
      <c r="AM7475" s="19">
        <v>0</v>
      </c>
      <c r="AN7475" s="19">
        <v>11750</v>
      </c>
      <c r="AP7475" s="14">
        <v>11750</v>
      </c>
      <c r="AQ7475" s="12">
        <v>1E-4</v>
      </c>
    </row>
    <row r="7476" spans="1:45" x14ac:dyDescent="0.2">
      <c r="A7476" s="122">
        <f t="shared" si="735"/>
        <v>6170</v>
      </c>
      <c r="B7476" s="13">
        <v>8</v>
      </c>
      <c r="C7476" s="17" t="s">
        <v>65</v>
      </c>
      <c r="D7476" s="17">
        <v>3337</v>
      </c>
      <c r="E7476" s="17">
        <v>588</v>
      </c>
      <c r="H7476" s="17">
        <v>0</v>
      </c>
      <c r="I7476" s="17">
        <v>0</v>
      </c>
      <c r="J7476" s="17">
        <v>58</v>
      </c>
      <c r="K7476" s="10">
        <v>58</v>
      </c>
      <c r="P7476" s="17">
        <v>1</v>
      </c>
      <c r="Q7476" s="19">
        <v>58</v>
      </c>
      <c r="R7476" s="14">
        <v>250</v>
      </c>
      <c r="S7476" s="19">
        <v>14500</v>
      </c>
      <c r="AJ7476" s="19">
        <v>0</v>
      </c>
      <c r="AK7476" s="23">
        <v>0</v>
      </c>
      <c r="AM7476" s="19">
        <v>0</v>
      </c>
      <c r="AN7476" s="19">
        <v>14500</v>
      </c>
      <c r="AP7476" s="14">
        <v>14500</v>
      </c>
      <c r="AQ7476" s="12">
        <v>1E-4</v>
      </c>
    </row>
    <row r="7477" spans="1:45" x14ac:dyDescent="0.2">
      <c r="A7477" s="122">
        <f t="shared" si="735"/>
        <v>6171</v>
      </c>
      <c r="B7477" s="13">
        <v>1</v>
      </c>
      <c r="C7477" s="17" t="s">
        <v>52</v>
      </c>
      <c r="D7477" s="17">
        <v>28320</v>
      </c>
      <c r="E7477" s="17">
        <v>47</v>
      </c>
      <c r="F7477" s="17">
        <v>5061</v>
      </c>
      <c r="G7477" s="13">
        <v>2</v>
      </c>
      <c r="H7477" s="17">
        <v>5</v>
      </c>
      <c r="I7477" s="17">
        <v>3</v>
      </c>
      <c r="J7477" s="17">
        <v>74</v>
      </c>
      <c r="K7477" s="10">
        <v>2374</v>
      </c>
      <c r="P7477" s="17">
        <v>1</v>
      </c>
      <c r="Q7477" s="19">
        <v>2374</v>
      </c>
      <c r="R7477" s="14">
        <v>160</v>
      </c>
      <c r="S7477" s="19">
        <v>379840</v>
      </c>
      <c r="AJ7477" s="19">
        <v>0</v>
      </c>
      <c r="AK7477" s="23">
        <v>0</v>
      </c>
      <c r="AM7477" s="19">
        <v>0</v>
      </c>
      <c r="AN7477" s="19">
        <v>379840</v>
      </c>
      <c r="AP7477" s="14">
        <v>379840</v>
      </c>
    </row>
    <row r="7478" spans="1:45" ht="42" x14ac:dyDescent="0.2">
      <c r="A7478" s="122">
        <f t="shared" si="735"/>
        <v>6172</v>
      </c>
      <c r="B7478" s="13">
        <v>1</v>
      </c>
      <c r="C7478" s="17" t="s">
        <v>65</v>
      </c>
      <c r="D7478" s="17">
        <v>963</v>
      </c>
      <c r="E7478" s="17">
        <v>17</v>
      </c>
      <c r="H7478" s="17">
        <v>21</v>
      </c>
      <c r="I7478" s="17">
        <v>3</v>
      </c>
      <c r="J7478" s="17">
        <v>6</v>
      </c>
      <c r="K7478" s="10">
        <v>8706</v>
      </c>
      <c r="P7478" s="17">
        <v>1</v>
      </c>
      <c r="Q7478" s="19">
        <v>8706</v>
      </c>
      <c r="R7478" s="14">
        <v>500</v>
      </c>
      <c r="S7478" s="19">
        <v>4353000</v>
      </c>
      <c r="AJ7478" s="19">
        <v>0</v>
      </c>
      <c r="AK7478" s="23">
        <v>0</v>
      </c>
      <c r="AM7478" s="19">
        <v>0</v>
      </c>
      <c r="AN7478" s="19">
        <v>4353000</v>
      </c>
      <c r="AP7478" s="14">
        <v>4353000</v>
      </c>
      <c r="AQ7478" s="12">
        <v>1E-4</v>
      </c>
      <c r="AS7478" s="26" t="s">
        <v>773</v>
      </c>
    </row>
    <row r="7479" spans="1:45" x14ac:dyDescent="0.2">
      <c r="A7479" s="122">
        <f t="shared" si="735"/>
        <v>6173</v>
      </c>
      <c r="B7479" s="13">
        <v>1</v>
      </c>
      <c r="C7479" s="17" t="s">
        <v>52</v>
      </c>
      <c r="D7479" s="17">
        <v>32603</v>
      </c>
      <c r="E7479" s="17">
        <v>1</v>
      </c>
      <c r="F7479" s="17">
        <v>6473</v>
      </c>
      <c r="G7479" s="13">
        <v>4</v>
      </c>
      <c r="H7479" s="17">
        <v>0</v>
      </c>
      <c r="I7479" s="17">
        <v>0</v>
      </c>
      <c r="J7479" s="17">
        <v>35</v>
      </c>
      <c r="N7479" s="18">
        <v>35</v>
      </c>
      <c r="P7479" s="17">
        <v>4</v>
      </c>
      <c r="Q7479" s="19">
        <v>35</v>
      </c>
      <c r="R7479" s="14">
        <v>2000</v>
      </c>
      <c r="S7479" s="19">
        <v>70000</v>
      </c>
      <c r="AJ7479" s="19">
        <v>0</v>
      </c>
      <c r="AK7479" s="23">
        <v>0</v>
      </c>
      <c r="AM7479" s="19">
        <v>0</v>
      </c>
      <c r="AN7479" s="19">
        <v>70000</v>
      </c>
      <c r="AP7479" s="14">
        <v>70000</v>
      </c>
      <c r="AQ7479" s="12">
        <v>3.0000000000000001E-3</v>
      </c>
      <c r="AS7479" s="26">
        <v>147</v>
      </c>
    </row>
    <row r="7480" spans="1:45" x14ac:dyDescent="0.2">
      <c r="A7480" s="122">
        <f t="shared" si="735"/>
        <v>6174</v>
      </c>
      <c r="B7480" s="13">
        <v>2</v>
      </c>
      <c r="C7480" s="17" t="s">
        <v>52</v>
      </c>
      <c r="D7480" s="17">
        <v>32604</v>
      </c>
      <c r="E7480" s="17">
        <v>2</v>
      </c>
      <c r="F7480" s="17">
        <v>6474</v>
      </c>
      <c r="G7480" s="13">
        <v>4</v>
      </c>
      <c r="H7480" s="17">
        <v>0</v>
      </c>
      <c r="I7480" s="17">
        <v>0</v>
      </c>
      <c r="J7480" s="17">
        <v>35</v>
      </c>
      <c r="N7480" s="18">
        <v>35</v>
      </c>
      <c r="P7480" s="17">
        <v>4</v>
      </c>
      <c r="Q7480" s="19">
        <v>35</v>
      </c>
      <c r="R7480" s="14">
        <v>2000</v>
      </c>
      <c r="S7480" s="19">
        <v>70000</v>
      </c>
      <c r="AJ7480" s="19">
        <v>0</v>
      </c>
      <c r="AK7480" s="23">
        <v>0</v>
      </c>
      <c r="AM7480" s="19">
        <v>0</v>
      </c>
      <c r="AN7480" s="19">
        <v>70000</v>
      </c>
      <c r="AP7480" s="14">
        <v>70000</v>
      </c>
      <c r="AQ7480" s="12">
        <v>3.0000000000000001E-3</v>
      </c>
    </row>
    <row r="7481" spans="1:45" x14ac:dyDescent="0.2">
      <c r="A7481" s="122">
        <f t="shared" si="735"/>
        <v>6175</v>
      </c>
      <c r="B7481" s="13">
        <v>3</v>
      </c>
      <c r="C7481" s="17" t="s">
        <v>52</v>
      </c>
      <c r="D7481" s="17">
        <v>32605</v>
      </c>
      <c r="E7481" s="17">
        <v>3</v>
      </c>
      <c r="F7481" s="17">
        <v>6475</v>
      </c>
      <c r="G7481" s="13">
        <v>4</v>
      </c>
      <c r="H7481" s="17">
        <v>0</v>
      </c>
      <c r="I7481" s="17">
        <v>0</v>
      </c>
      <c r="J7481" s="17">
        <v>35</v>
      </c>
      <c r="N7481" s="18">
        <v>35</v>
      </c>
      <c r="P7481" s="17">
        <v>4</v>
      </c>
      <c r="Q7481" s="19">
        <v>35</v>
      </c>
      <c r="R7481" s="14">
        <v>2000</v>
      </c>
      <c r="S7481" s="19">
        <v>70000</v>
      </c>
      <c r="AJ7481" s="19">
        <v>0</v>
      </c>
      <c r="AK7481" s="23">
        <v>0</v>
      </c>
      <c r="AM7481" s="19">
        <v>0</v>
      </c>
      <c r="AN7481" s="19">
        <v>70000</v>
      </c>
      <c r="AP7481" s="14">
        <v>70000</v>
      </c>
      <c r="AQ7481" s="12">
        <v>3.0000000000000001E-3</v>
      </c>
    </row>
    <row r="7482" spans="1:45" x14ac:dyDescent="0.2">
      <c r="A7482" s="122">
        <f t="shared" si="735"/>
        <v>6176</v>
      </c>
      <c r="B7482" s="13">
        <v>4</v>
      </c>
      <c r="C7482" s="17" t="s">
        <v>52</v>
      </c>
      <c r="D7482" s="17">
        <v>32606</v>
      </c>
      <c r="E7482" s="17">
        <v>4</v>
      </c>
      <c r="F7482" s="17">
        <v>6476</v>
      </c>
      <c r="G7482" s="13">
        <v>4</v>
      </c>
      <c r="H7482" s="17">
        <v>0</v>
      </c>
      <c r="I7482" s="17">
        <v>0</v>
      </c>
      <c r="J7482" s="17">
        <v>35</v>
      </c>
      <c r="N7482" s="18">
        <v>35</v>
      </c>
      <c r="P7482" s="17">
        <v>4</v>
      </c>
      <c r="Q7482" s="19">
        <v>35</v>
      </c>
      <c r="R7482" s="14">
        <v>2000</v>
      </c>
      <c r="S7482" s="19">
        <v>70000</v>
      </c>
      <c r="AJ7482" s="19">
        <v>0</v>
      </c>
      <c r="AK7482" s="23">
        <v>0</v>
      </c>
      <c r="AM7482" s="19">
        <v>0</v>
      </c>
      <c r="AN7482" s="19">
        <v>70000</v>
      </c>
      <c r="AP7482" s="14">
        <v>70000</v>
      </c>
      <c r="AQ7482" s="12">
        <v>3.0000000000000001E-3</v>
      </c>
    </row>
    <row r="7483" spans="1:45" x14ac:dyDescent="0.2">
      <c r="A7483" s="122">
        <f t="shared" si="735"/>
        <v>6177</v>
      </c>
      <c r="B7483" s="13">
        <v>5</v>
      </c>
      <c r="C7483" s="17" t="s">
        <v>52</v>
      </c>
      <c r="D7483" s="17">
        <v>32607</v>
      </c>
      <c r="E7483" s="17">
        <v>5</v>
      </c>
      <c r="F7483" s="17">
        <v>6477</v>
      </c>
      <c r="G7483" s="13">
        <v>4</v>
      </c>
      <c r="H7483" s="17">
        <v>0</v>
      </c>
      <c r="I7483" s="17">
        <v>0</v>
      </c>
      <c r="J7483" s="17">
        <v>35.08</v>
      </c>
      <c r="N7483" s="18">
        <v>35.08</v>
      </c>
      <c r="P7483" s="17">
        <v>4</v>
      </c>
      <c r="Q7483" s="19">
        <v>35.08</v>
      </c>
      <c r="R7483" s="14">
        <v>2000</v>
      </c>
      <c r="S7483" s="19">
        <v>70160</v>
      </c>
      <c r="AJ7483" s="19">
        <v>0</v>
      </c>
      <c r="AK7483" s="23">
        <v>0</v>
      </c>
      <c r="AM7483" s="19">
        <v>0</v>
      </c>
      <c r="AN7483" s="19">
        <v>70160</v>
      </c>
      <c r="AP7483" s="14">
        <v>70160</v>
      </c>
      <c r="AQ7483" s="12">
        <v>3.0000000000000001E-3</v>
      </c>
    </row>
    <row r="7484" spans="1:45" x14ac:dyDescent="0.2">
      <c r="A7484" s="122">
        <f t="shared" si="735"/>
        <v>6178</v>
      </c>
      <c r="B7484" s="13">
        <v>6</v>
      </c>
      <c r="C7484" s="17" t="s">
        <v>52</v>
      </c>
      <c r="D7484" s="17">
        <v>32608</v>
      </c>
      <c r="E7484" s="17">
        <v>6</v>
      </c>
      <c r="F7484" s="17">
        <v>6478</v>
      </c>
      <c r="G7484" s="13">
        <v>4</v>
      </c>
      <c r="H7484" s="17">
        <v>0</v>
      </c>
      <c r="I7484" s="17">
        <v>0</v>
      </c>
      <c r="J7484" s="17">
        <v>25</v>
      </c>
      <c r="N7484" s="18">
        <v>25</v>
      </c>
      <c r="P7484" s="17">
        <v>4</v>
      </c>
      <c r="Q7484" s="19">
        <v>25</v>
      </c>
      <c r="R7484" s="14">
        <v>160</v>
      </c>
      <c r="S7484" s="19">
        <v>4000</v>
      </c>
      <c r="AJ7484" s="19">
        <v>0</v>
      </c>
      <c r="AK7484" s="23">
        <v>0</v>
      </c>
      <c r="AM7484" s="19">
        <v>0</v>
      </c>
      <c r="AN7484" s="19">
        <v>4000</v>
      </c>
      <c r="AP7484" s="14">
        <v>4000</v>
      </c>
      <c r="AQ7484" s="12">
        <v>3.0000000000000001E-3</v>
      </c>
    </row>
    <row r="7485" spans="1:45" x14ac:dyDescent="0.2">
      <c r="A7485" s="122">
        <f t="shared" si="735"/>
        <v>6179</v>
      </c>
      <c r="B7485" s="13">
        <v>7</v>
      </c>
      <c r="C7485" s="17" t="s">
        <v>52</v>
      </c>
      <c r="D7485" s="17">
        <v>32609</v>
      </c>
      <c r="E7485" s="17">
        <v>7</v>
      </c>
      <c r="F7485" s="17">
        <v>6479</v>
      </c>
      <c r="G7485" s="13">
        <v>4</v>
      </c>
      <c r="H7485" s="17">
        <v>0</v>
      </c>
      <c r="I7485" s="17">
        <v>0</v>
      </c>
      <c r="J7485" s="17">
        <v>25</v>
      </c>
      <c r="N7485" s="18">
        <v>25</v>
      </c>
      <c r="P7485" s="17">
        <v>4</v>
      </c>
      <c r="Q7485" s="19">
        <v>25</v>
      </c>
      <c r="R7485" s="14">
        <v>160</v>
      </c>
      <c r="S7485" s="19">
        <v>4000</v>
      </c>
      <c r="AJ7485" s="19">
        <v>0</v>
      </c>
      <c r="AK7485" s="23">
        <v>0</v>
      </c>
      <c r="AM7485" s="19">
        <v>0</v>
      </c>
      <c r="AN7485" s="19">
        <v>4000</v>
      </c>
      <c r="AP7485" s="14">
        <v>4000</v>
      </c>
      <c r="AQ7485" s="12">
        <v>3.0000000000000001E-3</v>
      </c>
    </row>
    <row r="7486" spans="1:45" x14ac:dyDescent="0.2">
      <c r="A7486" s="122">
        <f t="shared" si="735"/>
        <v>6180</v>
      </c>
      <c r="B7486" s="13">
        <v>8</v>
      </c>
      <c r="C7486" s="17" t="s">
        <v>52</v>
      </c>
      <c r="D7486" s="17">
        <v>32610</v>
      </c>
      <c r="E7486" s="17">
        <v>8</v>
      </c>
      <c r="F7486" s="17">
        <v>6480</v>
      </c>
      <c r="G7486" s="13">
        <v>4</v>
      </c>
      <c r="H7486" s="17">
        <v>0</v>
      </c>
      <c r="I7486" s="17">
        <v>0</v>
      </c>
      <c r="J7486" s="17">
        <v>25</v>
      </c>
      <c r="N7486" s="18">
        <v>25</v>
      </c>
      <c r="P7486" s="17">
        <v>4</v>
      </c>
      <c r="Q7486" s="19">
        <v>25</v>
      </c>
      <c r="R7486" s="14">
        <v>160</v>
      </c>
      <c r="S7486" s="19">
        <v>4000</v>
      </c>
      <c r="AJ7486" s="19">
        <v>0</v>
      </c>
      <c r="AK7486" s="23">
        <v>0</v>
      </c>
      <c r="AM7486" s="19">
        <v>0</v>
      </c>
      <c r="AN7486" s="19">
        <v>4000</v>
      </c>
      <c r="AP7486" s="14">
        <v>4000</v>
      </c>
      <c r="AQ7486" s="12">
        <v>3.0000000000000001E-3</v>
      </c>
    </row>
    <row r="7487" spans="1:45" x14ac:dyDescent="0.2">
      <c r="A7487" s="122">
        <f t="shared" si="735"/>
        <v>6181</v>
      </c>
      <c r="B7487" s="13">
        <v>9</v>
      </c>
      <c r="C7487" s="17" t="s">
        <v>52</v>
      </c>
      <c r="D7487" s="17">
        <v>32611</v>
      </c>
      <c r="E7487" s="17">
        <v>9</v>
      </c>
      <c r="F7487" s="17">
        <v>6481</v>
      </c>
      <c r="G7487" s="13">
        <v>4</v>
      </c>
      <c r="H7487" s="17">
        <v>0</v>
      </c>
      <c r="I7487" s="17">
        <v>0</v>
      </c>
      <c r="J7487" s="17">
        <v>25</v>
      </c>
      <c r="N7487" s="18">
        <v>25</v>
      </c>
      <c r="P7487" s="17">
        <v>4</v>
      </c>
      <c r="Q7487" s="19">
        <v>25</v>
      </c>
      <c r="R7487" s="14">
        <v>160</v>
      </c>
      <c r="S7487" s="19">
        <v>4000</v>
      </c>
      <c r="AJ7487" s="19">
        <v>0</v>
      </c>
      <c r="AK7487" s="23">
        <v>0</v>
      </c>
      <c r="AM7487" s="19">
        <v>0</v>
      </c>
      <c r="AN7487" s="19">
        <v>4000</v>
      </c>
      <c r="AP7487" s="14">
        <v>4000</v>
      </c>
      <c r="AQ7487" s="12">
        <v>3.0000000000000001E-3</v>
      </c>
    </row>
    <row r="7488" spans="1:45" x14ac:dyDescent="0.2">
      <c r="A7488" s="122">
        <f t="shared" si="735"/>
        <v>6182</v>
      </c>
      <c r="B7488" s="13">
        <v>10</v>
      </c>
      <c r="C7488" s="17" t="s">
        <v>52</v>
      </c>
      <c r="D7488" s="17">
        <v>32612</v>
      </c>
      <c r="E7488" s="17">
        <v>10</v>
      </c>
      <c r="F7488" s="17">
        <v>6482</v>
      </c>
      <c r="G7488" s="13">
        <v>4</v>
      </c>
      <c r="H7488" s="17">
        <v>0</v>
      </c>
      <c r="I7488" s="17">
        <v>0</v>
      </c>
      <c r="J7488" s="17">
        <v>25</v>
      </c>
      <c r="N7488" s="18">
        <v>25</v>
      </c>
      <c r="P7488" s="17">
        <v>4</v>
      </c>
      <c r="Q7488" s="19">
        <v>25</v>
      </c>
      <c r="R7488" s="14">
        <v>160</v>
      </c>
      <c r="S7488" s="19">
        <v>4000</v>
      </c>
      <c r="AJ7488" s="19">
        <v>0</v>
      </c>
      <c r="AK7488" s="23">
        <v>0</v>
      </c>
      <c r="AM7488" s="19">
        <v>0</v>
      </c>
      <c r="AN7488" s="19">
        <v>4000</v>
      </c>
      <c r="AP7488" s="14">
        <v>4000</v>
      </c>
      <c r="AQ7488" s="12">
        <v>3.0000000000000001E-3</v>
      </c>
    </row>
    <row r="7489" spans="1:45" s="19" customFormat="1" x14ac:dyDescent="0.2">
      <c r="A7489" s="122">
        <f t="shared" si="735"/>
        <v>6183</v>
      </c>
      <c r="B7489" s="13">
        <v>11</v>
      </c>
      <c r="C7489" s="17" t="s">
        <v>52</v>
      </c>
      <c r="D7489" s="17">
        <v>32613</v>
      </c>
      <c r="E7489" s="17">
        <v>11</v>
      </c>
      <c r="F7489" s="17">
        <v>6483</v>
      </c>
      <c r="G7489" s="13">
        <v>4</v>
      </c>
      <c r="H7489" s="17">
        <v>0</v>
      </c>
      <c r="I7489" s="17">
        <v>0</v>
      </c>
      <c r="J7489" s="17">
        <v>25</v>
      </c>
      <c r="K7489" s="10"/>
      <c r="L7489" s="17"/>
      <c r="M7489" s="15"/>
      <c r="N7489" s="18">
        <v>25</v>
      </c>
      <c r="O7489" s="14"/>
      <c r="P7489" s="17">
        <v>4</v>
      </c>
      <c r="Q7489" s="19">
        <v>25</v>
      </c>
      <c r="R7489" s="14">
        <v>160</v>
      </c>
      <c r="S7489" s="19">
        <v>4000</v>
      </c>
      <c r="T7489" s="17"/>
      <c r="U7489" s="17"/>
      <c r="V7489" s="17"/>
      <c r="W7489" s="4"/>
      <c r="X7489" s="17"/>
      <c r="Y7489" s="4"/>
      <c r="Z7489" s="17"/>
      <c r="AA7489" s="17"/>
      <c r="AB7489" s="17"/>
      <c r="AC7489" s="14"/>
      <c r="AD7489" s="14"/>
      <c r="AE7489" s="17"/>
      <c r="AF7489" s="14"/>
      <c r="AG7489" s="54"/>
      <c r="AH7489" s="11"/>
      <c r="AI7489" s="14"/>
      <c r="AJ7489" s="19">
        <v>0</v>
      </c>
      <c r="AK7489" s="23">
        <v>0</v>
      </c>
      <c r="AL7489" s="11"/>
      <c r="AM7489" s="19">
        <v>0</v>
      </c>
      <c r="AN7489" s="19">
        <v>4000</v>
      </c>
      <c r="AO7489" s="14"/>
      <c r="AP7489" s="14">
        <v>4000</v>
      </c>
      <c r="AQ7489" s="12">
        <v>3.0000000000000001E-3</v>
      </c>
      <c r="AS7489" s="26"/>
    </row>
    <row r="7490" spans="1:45" s="19" customFormat="1" x14ac:dyDescent="0.2">
      <c r="A7490" s="122">
        <f t="shared" si="735"/>
        <v>6184</v>
      </c>
      <c r="B7490" s="13">
        <v>12</v>
      </c>
      <c r="C7490" s="17" t="s">
        <v>52</v>
      </c>
      <c r="D7490" s="17">
        <v>32614</v>
      </c>
      <c r="E7490" s="17">
        <v>12</v>
      </c>
      <c r="F7490" s="17">
        <v>6484</v>
      </c>
      <c r="G7490" s="13">
        <v>4</v>
      </c>
      <c r="H7490" s="17">
        <v>0</v>
      </c>
      <c r="I7490" s="17">
        <v>0</v>
      </c>
      <c r="J7490" s="17">
        <v>25</v>
      </c>
      <c r="K7490" s="10"/>
      <c r="L7490" s="17"/>
      <c r="M7490" s="15"/>
      <c r="N7490" s="18">
        <v>25</v>
      </c>
      <c r="O7490" s="14"/>
      <c r="P7490" s="17">
        <v>4</v>
      </c>
      <c r="Q7490" s="19">
        <v>25</v>
      </c>
      <c r="R7490" s="14">
        <v>160</v>
      </c>
      <c r="S7490" s="19">
        <v>4000</v>
      </c>
      <c r="T7490" s="17"/>
      <c r="U7490" s="17"/>
      <c r="V7490" s="17"/>
      <c r="W7490" s="4"/>
      <c r="X7490" s="17"/>
      <c r="Y7490" s="4"/>
      <c r="Z7490" s="17"/>
      <c r="AA7490" s="17"/>
      <c r="AB7490" s="17"/>
      <c r="AC7490" s="14"/>
      <c r="AD7490" s="14"/>
      <c r="AE7490" s="17"/>
      <c r="AF7490" s="14"/>
      <c r="AG7490" s="54"/>
      <c r="AH7490" s="11"/>
      <c r="AI7490" s="14"/>
      <c r="AJ7490" s="19">
        <v>0</v>
      </c>
      <c r="AK7490" s="23">
        <v>0</v>
      </c>
      <c r="AL7490" s="11"/>
      <c r="AM7490" s="19">
        <v>0</v>
      </c>
      <c r="AN7490" s="19">
        <v>4000</v>
      </c>
      <c r="AO7490" s="14"/>
      <c r="AP7490" s="14">
        <v>4000</v>
      </c>
      <c r="AQ7490" s="12">
        <v>3.0000000000000001E-3</v>
      </c>
      <c r="AS7490" s="26"/>
    </row>
    <row r="7491" spans="1:45" s="19" customFormat="1" x14ac:dyDescent="0.2">
      <c r="A7491" s="122">
        <f t="shared" si="735"/>
        <v>6185</v>
      </c>
      <c r="B7491" s="13">
        <v>13</v>
      </c>
      <c r="C7491" s="17" t="s">
        <v>52</v>
      </c>
      <c r="D7491" s="17">
        <v>32615</v>
      </c>
      <c r="E7491" s="17">
        <v>13</v>
      </c>
      <c r="F7491" s="17">
        <v>6485</v>
      </c>
      <c r="G7491" s="13">
        <v>4</v>
      </c>
      <c r="H7491" s="17">
        <v>0</v>
      </c>
      <c r="I7491" s="17">
        <v>0</v>
      </c>
      <c r="J7491" s="17">
        <v>24.05</v>
      </c>
      <c r="K7491" s="10"/>
      <c r="L7491" s="17"/>
      <c r="M7491" s="15"/>
      <c r="N7491" s="18">
        <v>24.05</v>
      </c>
      <c r="O7491" s="14"/>
      <c r="P7491" s="17">
        <v>4</v>
      </c>
      <c r="Q7491" s="19">
        <v>24.05</v>
      </c>
      <c r="R7491" s="14">
        <v>160</v>
      </c>
      <c r="S7491" s="19">
        <v>3848</v>
      </c>
      <c r="T7491" s="17"/>
      <c r="U7491" s="17"/>
      <c r="V7491" s="17"/>
      <c r="W7491" s="4"/>
      <c r="X7491" s="17"/>
      <c r="Y7491" s="4"/>
      <c r="Z7491" s="17"/>
      <c r="AA7491" s="17"/>
      <c r="AB7491" s="17"/>
      <c r="AC7491" s="14"/>
      <c r="AD7491" s="14"/>
      <c r="AE7491" s="17"/>
      <c r="AF7491" s="14"/>
      <c r="AG7491" s="54"/>
      <c r="AH7491" s="11"/>
      <c r="AI7491" s="14"/>
      <c r="AJ7491" s="19">
        <v>0</v>
      </c>
      <c r="AK7491" s="23">
        <v>0</v>
      </c>
      <c r="AL7491" s="11"/>
      <c r="AM7491" s="19">
        <v>0</v>
      </c>
      <c r="AN7491" s="19">
        <v>3848</v>
      </c>
      <c r="AO7491" s="14"/>
      <c r="AP7491" s="14">
        <v>3848</v>
      </c>
      <c r="AQ7491" s="12">
        <v>3.0000000000000001E-3</v>
      </c>
      <c r="AS7491" s="26"/>
    </row>
    <row r="7492" spans="1:45" s="19" customFormat="1" x14ac:dyDescent="0.2">
      <c r="A7492" s="122">
        <f t="shared" si="735"/>
        <v>6186</v>
      </c>
      <c r="B7492" s="13">
        <v>14</v>
      </c>
      <c r="C7492" s="17" t="s">
        <v>52</v>
      </c>
      <c r="D7492" s="17">
        <v>32616</v>
      </c>
      <c r="E7492" s="17">
        <v>14</v>
      </c>
      <c r="F7492" s="17">
        <v>6486</v>
      </c>
      <c r="G7492" s="13">
        <v>4</v>
      </c>
      <c r="H7492" s="17">
        <v>0</v>
      </c>
      <c r="I7492" s="17">
        <v>0</v>
      </c>
      <c r="J7492" s="17">
        <v>25</v>
      </c>
      <c r="K7492" s="10"/>
      <c r="L7492" s="17"/>
      <c r="M7492" s="15"/>
      <c r="N7492" s="18">
        <v>25</v>
      </c>
      <c r="O7492" s="14"/>
      <c r="P7492" s="17">
        <v>4</v>
      </c>
      <c r="Q7492" s="19">
        <v>25</v>
      </c>
      <c r="R7492" s="14">
        <v>160</v>
      </c>
      <c r="S7492" s="19">
        <v>4000</v>
      </c>
      <c r="T7492" s="17"/>
      <c r="U7492" s="17"/>
      <c r="V7492" s="17"/>
      <c r="W7492" s="4"/>
      <c r="X7492" s="17"/>
      <c r="Y7492" s="4"/>
      <c r="Z7492" s="17"/>
      <c r="AA7492" s="17"/>
      <c r="AB7492" s="17"/>
      <c r="AC7492" s="14"/>
      <c r="AD7492" s="14"/>
      <c r="AE7492" s="17"/>
      <c r="AF7492" s="14"/>
      <c r="AG7492" s="54"/>
      <c r="AH7492" s="11"/>
      <c r="AI7492" s="14"/>
      <c r="AJ7492" s="19">
        <v>0</v>
      </c>
      <c r="AK7492" s="23">
        <v>0</v>
      </c>
      <c r="AL7492" s="11"/>
      <c r="AM7492" s="19">
        <v>0</v>
      </c>
      <c r="AN7492" s="19">
        <v>4000</v>
      </c>
      <c r="AO7492" s="14"/>
      <c r="AP7492" s="14">
        <v>4000</v>
      </c>
      <c r="AQ7492" s="12">
        <v>3.0000000000000001E-3</v>
      </c>
      <c r="AS7492" s="26"/>
    </row>
    <row r="7493" spans="1:45" s="19" customFormat="1" x14ac:dyDescent="0.2">
      <c r="A7493" s="122">
        <f t="shared" si="735"/>
        <v>6187</v>
      </c>
      <c r="B7493" s="13">
        <v>15</v>
      </c>
      <c r="C7493" s="17" t="s">
        <v>52</v>
      </c>
      <c r="D7493" s="17">
        <v>32617</v>
      </c>
      <c r="E7493" s="17">
        <v>15</v>
      </c>
      <c r="F7493" s="17">
        <v>6487</v>
      </c>
      <c r="G7493" s="13">
        <v>4</v>
      </c>
      <c r="H7493" s="17">
        <v>0</v>
      </c>
      <c r="I7493" s="17">
        <v>0</v>
      </c>
      <c r="J7493" s="17">
        <v>25</v>
      </c>
      <c r="K7493" s="10"/>
      <c r="L7493" s="17"/>
      <c r="M7493" s="15"/>
      <c r="N7493" s="18">
        <v>25</v>
      </c>
      <c r="O7493" s="14"/>
      <c r="P7493" s="17">
        <v>4</v>
      </c>
      <c r="Q7493" s="19">
        <v>25</v>
      </c>
      <c r="R7493" s="14">
        <v>160</v>
      </c>
      <c r="S7493" s="19">
        <v>4000</v>
      </c>
      <c r="T7493" s="17"/>
      <c r="U7493" s="17"/>
      <c r="V7493" s="17"/>
      <c r="W7493" s="4"/>
      <c r="X7493" s="17"/>
      <c r="Y7493" s="4"/>
      <c r="Z7493" s="17"/>
      <c r="AA7493" s="17"/>
      <c r="AB7493" s="17"/>
      <c r="AC7493" s="14"/>
      <c r="AD7493" s="14"/>
      <c r="AE7493" s="17"/>
      <c r="AF7493" s="14"/>
      <c r="AG7493" s="54"/>
      <c r="AH7493" s="11"/>
      <c r="AI7493" s="14"/>
      <c r="AJ7493" s="19">
        <v>0</v>
      </c>
      <c r="AK7493" s="23">
        <v>0</v>
      </c>
      <c r="AL7493" s="11"/>
      <c r="AM7493" s="19">
        <v>0</v>
      </c>
      <c r="AN7493" s="19">
        <v>4000</v>
      </c>
      <c r="AO7493" s="14"/>
      <c r="AP7493" s="14">
        <v>4000</v>
      </c>
      <c r="AQ7493" s="12">
        <v>3.0000000000000001E-3</v>
      </c>
      <c r="AS7493" s="26"/>
    </row>
    <row r="7494" spans="1:45" s="19" customFormat="1" x14ac:dyDescent="0.2">
      <c r="A7494" s="122">
        <f t="shared" si="735"/>
        <v>6188</v>
      </c>
      <c r="B7494" s="13">
        <v>16</v>
      </c>
      <c r="C7494" s="17" t="s">
        <v>52</v>
      </c>
      <c r="D7494" s="17">
        <v>32618</v>
      </c>
      <c r="E7494" s="17">
        <v>16</v>
      </c>
      <c r="F7494" s="17">
        <v>6488</v>
      </c>
      <c r="G7494" s="13">
        <v>4</v>
      </c>
      <c r="H7494" s="17">
        <v>0</v>
      </c>
      <c r="I7494" s="17">
        <v>0</v>
      </c>
      <c r="J7494" s="17">
        <v>25</v>
      </c>
      <c r="K7494" s="10"/>
      <c r="L7494" s="17"/>
      <c r="M7494" s="15"/>
      <c r="N7494" s="18">
        <v>25</v>
      </c>
      <c r="O7494" s="14"/>
      <c r="P7494" s="17">
        <v>4</v>
      </c>
      <c r="Q7494" s="19">
        <v>25</v>
      </c>
      <c r="R7494" s="14">
        <v>160</v>
      </c>
      <c r="S7494" s="19">
        <v>4000</v>
      </c>
      <c r="T7494" s="17"/>
      <c r="U7494" s="17"/>
      <c r="V7494" s="17"/>
      <c r="W7494" s="4"/>
      <c r="X7494" s="17"/>
      <c r="Y7494" s="4"/>
      <c r="Z7494" s="17"/>
      <c r="AA7494" s="17"/>
      <c r="AB7494" s="17"/>
      <c r="AC7494" s="14"/>
      <c r="AD7494" s="14"/>
      <c r="AE7494" s="17"/>
      <c r="AF7494" s="14"/>
      <c r="AG7494" s="54"/>
      <c r="AH7494" s="11"/>
      <c r="AI7494" s="14"/>
      <c r="AJ7494" s="19">
        <v>0</v>
      </c>
      <c r="AK7494" s="23">
        <v>0</v>
      </c>
      <c r="AL7494" s="11"/>
      <c r="AM7494" s="19">
        <v>0</v>
      </c>
      <c r="AN7494" s="19">
        <v>4000</v>
      </c>
      <c r="AO7494" s="14"/>
      <c r="AP7494" s="14">
        <v>4000</v>
      </c>
      <c r="AQ7494" s="12">
        <v>3.0000000000000001E-3</v>
      </c>
      <c r="AS7494" s="26"/>
    </row>
    <row r="7495" spans="1:45" s="19" customFormat="1" x14ac:dyDescent="0.2">
      <c r="A7495" s="122">
        <f t="shared" si="735"/>
        <v>6189</v>
      </c>
      <c r="B7495" s="13">
        <v>17</v>
      </c>
      <c r="C7495" s="17" t="s">
        <v>52</v>
      </c>
      <c r="D7495" s="17">
        <v>32619</v>
      </c>
      <c r="E7495" s="17">
        <v>17</v>
      </c>
      <c r="F7495" s="17">
        <v>6489</v>
      </c>
      <c r="G7495" s="13">
        <v>4</v>
      </c>
      <c r="H7495" s="17">
        <v>0</v>
      </c>
      <c r="I7495" s="17">
        <v>0</v>
      </c>
      <c r="J7495" s="17">
        <v>25</v>
      </c>
      <c r="K7495" s="10"/>
      <c r="L7495" s="17"/>
      <c r="M7495" s="15"/>
      <c r="N7495" s="18">
        <v>25</v>
      </c>
      <c r="O7495" s="14"/>
      <c r="P7495" s="17">
        <v>4</v>
      </c>
      <c r="Q7495" s="19">
        <v>25</v>
      </c>
      <c r="R7495" s="14">
        <v>160</v>
      </c>
      <c r="S7495" s="19">
        <v>4000</v>
      </c>
      <c r="T7495" s="17"/>
      <c r="U7495" s="17"/>
      <c r="V7495" s="17"/>
      <c r="W7495" s="4"/>
      <c r="X7495" s="17"/>
      <c r="Y7495" s="4"/>
      <c r="Z7495" s="17"/>
      <c r="AA7495" s="17"/>
      <c r="AB7495" s="17"/>
      <c r="AC7495" s="14"/>
      <c r="AD7495" s="14"/>
      <c r="AE7495" s="17"/>
      <c r="AF7495" s="14"/>
      <c r="AG7495" s="54"/>
      <c r="AH7495" s="11"/>
      <c r="AI7495" s="14"/>
      <c r="AJ7495" s="19">
        <v>0</v>
      </c>
      <c r="AK7495" s="23">
        <v>0</v>
      </c>
      <c r="AL7495" s="11"/>
      <c r="AM7495" s="19">
        <v>0</v>
      </c>
      <c r="AN7495" s="19">
        <v>4000</v>
      </c>
      <c r="AO7495" s="14"/>
      <c r="AP7495" s="14">
        <v>4000</v>
      </c>
      <c r="AQ7495" s="12">
        <v>3.0000000000000001E-3</v>
      </c>
      <c r="AS7495" s="26"/>
    </row>
    <row r="7496" spans="1:45" s="19" customFormat="1" x14ac:dyDescent="0.2">
      <c r="A7496" s="122">
        <f t="shared" si="735"/>
        <v>6190</v>
      </c>
      <c r="B7496" s="13">
        <v>18</v>
      </c>
      <c r="C7496" s="17" t="s">
        <v>52</v>
      </c>
      <c r="D7496" s="17">
        <v>32620</v>
      </c>
      <c r="E7496" s="17">
        <v>18</v>
      </c>
      <c r="F7496" s="17">
        <v>6490</v>
      </c>
      <c r="G7496" s="13">
        <v>4</v>
      </c>
      <c r="H7496" s="17">
        <v>0</v>
      </c>
      <c r="I7496" s="17">
        <v>0</v>
      </c>
      <c r="J7496" s="17">
        <v>25</v>
      </c>
      <c r="K7496" s="10"/>
      <c r="L7496" s="17"/>
      <c r="M7496" s="15"/>
      <c r="N7496" s="18">
        <v>25</v>
      </c>
      <c r="O7496" s="14"/>
      <c r="P7496" s="17">
        <v>4</v>
      </c>
      <c r="Q7496" s="19">
        <v>25</v>
      </c>
      <c r="R7496" s="14">
        <v>160</v>
      </c>
      <c r="S7496" s="19">
        <v>4000</v>
      </c>
      <c r="T7496" s="17"/>
      <c r="U7496" s="17"/>
      <c r="V7496" s="17"/>
      <c r="W7496" s="4"/>
      <c r="X7496" s="17"/>
      <c r="Y7496" s="4"/>
      <c r="Z7496" s="17"/>
      <c r="AA7496" s="17"/>
      <c r="AB7496" s="17"/>
      <c r="AC7496" s="14"/>
      <c r="AD7496" s="14"/>
      <c r="AE7496" s="17"/>
      <c r="AF7496" s="14"/>
      <c r="AG7496" s="54"/>
      <c r="AH7496" s="11"/>
      <c r="AI7496" s="14"/>
      <c r="AJ7496" s="19">
        <v>0</v>
      </c>
      <c r="AK7496" s="23">
        <v>0</v>
      </c>
      <c r="AL7496" s="11"/>
      <c r="AM7496" s="19">
        <v>0</v>
      </c>
      <c r="AN7496" s="19">
        <v>4000</v>
      </c>
      <c r="AO7496" s="14"/>
      <c r="AP7496" s="14">
        <v>4000</v>
      </c>
      <c r="AQ7496" s="12">
        <v>3.0000000000000001E-3</v>
      </c>
      <c r="AS7496" s="26"/>
    </row>
    <row r="7497" spans="1:45" s="19" customFormat="1" x14ac:dyDescent="0.2">
      <c r="A7497" s="122">
        <f t="shared" si="735"/>
        <v>6191</v>
      </c>
      <c r="B7497" s="13">
        <v>19</v>
      </c>
      <c r="C7497" s="17" t="s">
        <v>52</v>
      </c>
      <c r="D7497" s="17">
        <v>32621</v>
      </c>
      <c r="E7497" s="17">
        <v>19</v>
      </c>
      <c r="F7497" s="17">
        <v>6491</v>
      </c>
      <c r="G7497" s="13">
        <v>4</v>
      </c>
      <c r="H7497" s="17">
        <v>0</v>
      </c>
      <c r="I7497" s="17">
        <v>0</v>
      </c>
      <c r="J7497" s="17">
        <v>25</v>
      </c>
      <c r="K7497" s="10"/>
      <c r="L7497" s="17"/>
      <c r="M7497" s="15"/>
      <c r="N7497" s="18">
        <v>25</v>
      </c>
      <c r="O7497" s="14"/>
      <c r="P7497" s="17">
        <v>4</v>
      </c>
      <c r="Q7497" s="19">
        <v>25</v>
      </c>
      <c r="R7497" s="14">
        <v>160</v>
      </c>
      <c r="S7497" s="19">
        <v>4000</v>
      </c>
      <c r="T7497" s="17"/>
      <c r="U7497" s="17"/>
      <c r="V7497" s="17"/>
      <c r="W7497" s="4"/>
      <c r="X7497" s="17"/>
      <c r="Y7497" s="4"/>
      <c r="Z7497" s="17"/>
      <c r="AA7497" s="17"/>
      <c r="AB7497" s="17"/>
      <c r="AC7497" s="14"/>
      <c r="AD7497" s="14"/>
      <c r="AE7497" s="17"/>
      <c r="AF7497" s="14"/>
      <c r="AG7497" s="54"/>
      <c r="AH7497" s="11"/>
      <c r="AI7497" s="14"/>
      <c r="AJ7497" s="19">
        <v>0</v>
      </c>
      <c r="AK7497" s="23">
        <v>0</v>
      </c>
      <c r="AL7497" s="11"/>
      <c r="AM7497" s="19">
        <v>0</v>
      </c>
      <c r="AN7497" s="19">
        <v>4000</v>
      </c>
      <c r="AO7497" s="14"/>
      <c r="AP7497" s="14">
        <v>4000</v>
      </c>
      <c r="AQ7497" s="12">
        <v>3.0000000000000001E-3</v>
      </c>
      <c r="AS7497" s="26"/>
    </row>
    <row r="7498" spans="1:45" s="19" customFormat="1" x14ac:dyDescent="0.2">
      <c r="A7498" s="122">
        <f t="shared" si="735"/>
        <v>6192</v>
      </c>
      <c r="B7498" s="13">
        <v>20</v>
      </c>
      <c r="C7498" s="17" t="s">
        <v>52</v>
      </c>
      <c r="D7498" s="17">
        <v>32622</v>
      </c>
      <c r="E7498" s="17">
        <v>20</v>
      </c>
      <c r="F7498" s="17">
        <v>6492</v>
      </c>
      <c r="G7498" s="13">
        <v>4</v>
      </c>
      <c r="H7498" s="17">
        <v>0</v>
      </c>
      <c r="I7498" s="17">
        <v>0</v>
      </c>
      <c r="J7498" s="17">
        <v>25</v>
      </c>
      <c r="K7498" s="10"/>
      <c r="L7498" s="17"/>
      <c r="M7498" s="15"/>
      <c r="N7498" s="18">
        <v>25</v>
      </c>
      <c r="O7498" s="14"/>
      <c r="P7498" s="17">
        <v>4</v>
      </c>
      <c r="Q7498" s="19">
        <v>25</v>
      </c>
      <c r="R7498" s="14">
        <v>160</v>
      </c>
      <c r="S7498" s="19">
        <v>4000</v>
      </c>
      <c r="T7498" s="17"/>
      <c r="U7498" s="17"/>
      <c r="V7498" s="17"/>
      <c r="W7498" s="4"/>
      <c r="X7498" s="17"/>
      <c r="Y7498" s="4"/>
      <c r="Z7498" s="17"/>
      <c r="AA7498" s="17"/>
      <c r="AB7498" s="17"/>
      <c r="AC7498" s="14"/>
      <c r="AD7498" s="14"/>
      <c r="AE7498" s="17"/>
      <c r="AF7498" s="14"/>
      <c r="AG7498" s="54"/>
      <c r="AH7498" s="11"/>
      <c r="AI7498" s="14"/>
      <c r="AJ7498" s="19">
        <v>0</v>
      </c>
      <c r="AK7498" s="23">
        <v>0</v>
      </c>
      <c r="AL7498" s="11"/>
      <c r="AM7498" s="19">
        <v>0</v>
      </c>
      <c r="AN7498" s="19">
        <v>4000</v>
      </c>
      <c r="AO7498" s="14"/>
      <c r="AP7498" s="14">
        <v>4000</v>
      </c>
      <c r="AQ7498" s="12">
        <v>3.0000000000000001E-3</v>
      </c>
      <c r="AS7498" s="26"/>
    </row>
    <row r="7499" spans="1:45" s="19" customFormat="1" x14ac:dyDescent="0.2">
      <c r="A7499" s="122">
        <f t="shared" si="735"/>
        <v>6193</v>
      </c>
      <c r="B7499" s="13">
        <v>21</v>
      </c>
      <c r="C7499" s="17" t="s">
        <v>52</v>
      </c>
      <c r="D7499" s="17">
        <v>32623</v>
      </c>
      <c r="E7499" s="17">
        <v>21</v>
      </c>
      <c r="F7499" s="17">
        <v>6493</v>
      </c>
      <c r="G7499" s="13">
        <v>4</v>
      </c>
      <c r="H7499" s="17">
        <v>0</v>
      </c>
      <c r="I7499" s="17">
        <v>0</v>
      </c>
      <c r="J7499" s="17">
        <v>25</v>
      </c>
      <c r="K7499" s="10"/>
      <c r="L7499" s="17"/>
      <c r="M7499" s="15"/>
      <c r="N7499" s="18">
        <v>25</v>
      </c>
      <c r="O7499" s="14"/>
      <c r="P7499" s="17">
        <v>4</v>
      </c>
      <c r="Q7499" s="19">
        <v>25</v>
      </c>
      <c r="R7499" s="14">
        <v>160</v>
      </c>
      <c r="S7499" s="19">
        <v>4000</v>
      </c>
      <c r="T7499" s="17"/>
      <c r="U7499" s="17"/>
      <c r="V7499" s="17"/>
      <c r="W7499" s="4"/>
      <c r="X7499" s="17"/>
      <c r="Y7499" s="4"/>
      <c r="Z7499" s="17"/>
      <c r="AA7499" s="17"/>
      <c r="AB7499" s="17"/>
      <c r="AC7499" s="14"/>
      <c r="AD7499" s="14"/>
      <c r="AE7499" s="17"/>
      <c r="AF7499" s="14"/>
      <c r="AG7499" s="54"/>
      <c r="AH7499" s="11"/>
      <c r="AI7499" s="14"/>
      <c r="AJ7499" s="19">
        <v>0</v>
      </c>
      <c r="AK7499" s="23">
        <v>0</v>
      </c>
      <c r="AL7499" s="11"/>
      <c r="AM7499" s="19">
        <v>0</v>
      </c>
      <c r="AN7499" s="19">
        <v>4000</v>
      </c>
      <c r="AO7499" s="14"/>
      <c r="AP7499" s="14">
        <v>4000</v>
      </c>
      <c r="AQ7499" s="12">
        <v>3.0000000000000001E-3</v>
      </c>
      <c r="AS7499" s="26"/>
    </row>
    <row r="7500" spans="1:45" s="19" customFormat="1" x14ac:dyDescent="0.2">
      <c r="A7500" s="122">
        <f t="shared" si="735"/>
        <v>6194</v>
      </c>
      <c r="B7500" s="13">
        <v>22</v>
      </c>
      <c r="C7500" s="17" t="s">
        <v>52</v>
      </c>
      <c r="D7500" s="17">
        <v>32624</v>
      </c>
      <c r="E7500" s="17">
        <v>22</v>
      </c>
      <c r="F7500" s="17">
        <v>6494</v>
      </c>
      <c r="G7500" s="13">
        <v>4</v>
      </c>
      <c r="H7500" s="17">
        <v>0</v>
      </c>
      <c r="I7500" s="17">
        <v>0</v>
      </c>
      <c r="J7500" s="17">
        <v>25</v>
      </c>
      <c r="K7500" s="10"/>
      <c r="L7500" s="17"/>
      <c r="M7500" s="15"/>
      <c r="N7500" s="18">
        <v>25</v>
      </c>
      <c r="O7500" s="14"/>
      <c r="P7500" s="17">
        <v>4</v>
      </c>
      <c r="Q7500" s="19">
        <v>25</v>
      </c>
      <c r="R7500" s="14">
        <v>160</v>
      </c>
      <c r="S7500" s="19">
        <v>4000</v>
      </c>
      <c r="T7500" s="17"/>
      <c r="U7500" s="17"/>
      <c r="V7500" s="17"/>
      <c r="W7500" s="4"/>
      <c r="X7500" s="17"/>
      <c r="Y7500" s="4"/>
      <c r="Z7500" s="17"/>
      <c r="AA7500" s="17"/>
      <c r="AB7500" s="17"/>
      <c r="AC7500" s="14"/>
      <c r="AD7500" s="14"/>
      <c r="AE7500" s="17"/>
      <c r="AF7500" s="14"/>
      <c r="AG7500" s="54"/>
      <c r="AH7500" s="11"/>
      <c r="AI7500" s="14"/>
      <c r="AJ7500" s="19">
        <v>0</v>
      </c>
      <c r="AK7500" s="23">
        <v>0</v>
      </c>
      <c r="AL7500" s="11"/>
      <c r="AM7500" s="19">
        <v>0</v>
      </c>
      <c r="AN7500" s="19">
        <v>4000</v>
      </c>
      <c r="AO7500" s="14"/>
      <c r="AP7500" s="14">
        <v>4000</v>
      </c>
      <c r="AQ7500" s="12">
        <v>3.0000000000000001E-3</v>
      </c>
      <c r="AS7500" s="26"/>
    </row>
    <row r="7501" spans="1:45" s="19" customFormat="1" x14ac:dyDescent="0.2">
      <c r="A7501" s="122">
        <f t="shared" si="735"/>
        <v>6195</v>
      </c>
      <c r="B7501" s="13">
        <v>23</v>
      </c>
      <c r="C7501" s="17" t="s">
        <v>52</v>
      </c>
      <c r="D7501" s="17">
        <v>32625</v>
      </c>
      <c r="E7501" s="17">
        <v>23</v>
      </c>
      <c r="F7501" s="17">
        <v>6495</v>
      </c>
      <c r="G7501" s="13">
        <v>4</v>
      </c>
      <c r="H7501" s="17">
        <v>0</v>
      </c>
      <c r="I7501" s="17">
        <v>0</v>
      </c>
      <c r="J7501" s="17">
        <v>25</v>
      </c>
      <c r="K7501" s="10"/>
      <c r="L7501" s="17"/>
      <c r="M7501" s="15"/>
      <c r="N7501" s="18">
        <v>25</v>
      </c>
      <c r="O7501" s="14"/>
      <c r="P7501" s="17">
        <v>4</v>
      </c>
      <c r="Q7501" s="19">
        <v>25</v>
      </c>
      <c r="R7501" s="14">
        <v>160</v>
      </c>
      <c r="S7501" s="19">
        <v>4000</v>
      </c>
      <c r="T7501" s="17"/>
      <c r="U7501" s="17"/>
      <c r="V7501" s="17"/>
      <c r="W7501" s="4"/>
      <c r="X7501" s="17"/>
      <c r="Y7501" s="4"/>
      <c r="Z7501" s="17"/>
      <c r="AA7501" s="17"/>
      <c r="AB7501" s="17"/>
      <c r="AC7501" s="14"/>
      <c r="AD7501" s="14"/>
      <c r="AE7501" s="17"/>
      <c r="AF7501" s="14"/>
      <c r="AG7501" s="54"/>
      <c r="AH7501" s="11"/>
      <c r="AI7501" s="14"/>
      <c r="AJ7501" s="19">
        <v>0</v>
      </c>
      <c r="AK7501" s="23">
        <v>0</v>
      </c>
      <c r="AL7501" s="11"/>
      <c r="AM7501" s="19">
        <v>0</v>
      </c>
      <c r="AN7501" s="19">
        <v>4000</v>
      </c>
      <c r="AO7501" s="14"/>
      <c r="AP7501" s="14">
        <v>4000</v>
      </c>
      <c r="AQ7501" s="12">
        <v>3.0000000000000001E-3</v>
      </c>
      <c r="AS7501" s="26"/>
    </row>
    <row r="7502" spans="1:45" s="19" customFormat="1" x14ac:dyDescent="0.2">
      <c r="A7502" s="122">
        <f t="shared" si="735"/>
        <v>6196</v>
      </c>
      <c r="B7502" s="13">
        <v>24</v>
      </c>
      <c r="C7502" s="17" t="s">
        <v>52</v>
      </c>
      <c r="D7502" s="17">
        <v>32626</v>
      </c>
      <c r="E7502" s="17">
        <v>24</v>
      </c>
      <c r="F7502" s="17">
        <v>6496</v>
      </c>
      <c r="G7502" s="13">
        <v>4</v>
      </c>
      <c r="H7502" s="17">
        <v>0</v>
      </c>
      <c r="I7502" s="17">
        <v>0</v>
      </c>
      <c r="J7502" s="17">
        <v>25</v>
      </c>
      <c r="K7502" s="10"/>
      <c r="L7502" s="17"/>
      <c r="M7502" s="15"/>
      <c r="N7502" s="18">
        <v>25</v>
      </c>
      <c r="O7502" s="14"/>
      <c r="P7502" s="17">
        <v>4</v>
      </c>
      <c r="Q7502" s="19">
        <v>25</v>
      </c>
      <c r="R7502" s="14">
        <v>160</v>
      </c>
      <c r="S7502" s="19">
        <v>4000</v>
      </c>
      <c r="T7502" s="17"/>
      <c r="U7502" s="17"/>
      <c r="V7502" s="17"/>
      <c r="W7502" s="4"/>
      <c r="X7502" s="17"/>
      <c r="Y7502" s="4"/>
      <c r="Z7502" s="17"/>
      <c r="AA7502" s="17"/>
      <c r="AB7502" s="17"/>
      <c r="AC7502" s="14"/>
      <c r="AD7502" s="14"/>
      <c r="AE7502" s="17"/>
      <c r="AF7502" s="14"/>
      <c r="AG7502" s="54"/>
      <c r="AH7502" s="11"/>
      <c r="AI7502" s="14"/>
      <c r="AJ7502" s="19">
        <v>0</v>
      </c>
      <c r="AK7502" s="23">
        <v>0</v>
      </c>
      <c r="AL7502" s="11"/>
      <c r="AM7502" s="19">
        <v>0</v>
      </c>
      <c r="AN7502" s="19">
        <v>4000</v>
      </c>
      <c r="AO7502" s="14"/>
      <c r="AP7502" s="14">
        <v>4000</v>
      </c>
      <c r="AQ7502" s="12">
        <v>3.0000000000000001E-3</v>
      </c>
      <c r="AS7502" s="26"/>
    </row>
    <row r="7503" spans="1:45" s="19" customFormat="1" x14ac:dyDescent="0.2">
      <c r="A7503" s="122">
        <f t="shared" si="735"/>
        <v>6197</v>
      </c>
      <c r="B7503" s="13">
        <v>25</v>
      </c>
      <c r="C7503" s="17" t="s">
        <v>52</v>
      </c>
      <c r="D7503" s="17">
        <v>32627</v>
      </c>
      <c r="E7503" s="17">
        <v>25</v>
      </c>
      <c r="F7503" s="17">
        <v>6497</v>
      </c>
      <c r="G7503" s="13">
        <v>4</v>
      </c>
      <c r="H7503" s="17">
        <v>0</v>
      </c>
      <c r="I7503" s="17">
        <v>0</v>
      </c>
      <c r="J7503" s="17">
        <v>25.08</v>
      </c>
      <c r="K7503" s="10"/>
      <c r="L7503" s="17"/>
      <c r="M7503" s="15"/>
      <c r="N7503" s="18">
        <v>25.08</v>
      </c>
      <c r="O7503" s="14"/>
      <c r="P7503" s="17">
        <v>4</v>
      </c>
      <c r="Q7503" s="19">
        <v>25.08</v>
      </c>
      <c r="R7503" s="14">
        <v>160</v>
      </c>
      <c r="S7503" s="19">
        <v>4012.7999999999997</v>
      </c>
      <c r="T7503" s="17"/>
      <c r="U7503" s="17"/>
      <c r="V7503" s="17"/>
      <c r="W7503" s="4"/>
      <c r="X7503" s="17"/>
      <c r="Y7503" s="4"/>
      <c r="Z7503" s="17"/>
      <c r="AA7503" s="17"/>
      <c r="AB7503" s="17"/>
      <c r="AC7503" s="14"/>
      <c r="AD7503" s="14"/>
      <c r="AE7503" s="17"/>
      <c r="AF7503" s="14"/>
      <c r="AG7503" s="54"/>
      <c r="AH7503" s="11"/>
      <c r="AI7503" s="14"/>
      <c r="AJ7503" s="19">
        <v>0</v>
      </c>
      <c r="AK7503" s="23">
        <v>0</v>
      </c>
      <c r="AL7503" s="11"/>
      <c r="AM7503" s="19">
        <v>0</v>
      </c>
      <c r="AN7503" s="19">
        <v>4012.7999999999997</v>
      </c>
      <c r="AO7503" s="14"/>
      <c r="AP7503" s="14">
        <v>4012.7999999999997</v>
      </c>
      <c r="AQ7503" s="12">
        <v>3.0000000000000001E-3</v>
      </c>
      <c r="AS7503" s="26"/>
    </row>
    <row r="7504" spans="1:45" s="19" customFormat="1" x14ac:dyDescent="0.2">
      <c r="A7504" s="122">
        <f t="shared" si="735"/>
        <v>6198</v>
      </c>
      <c r="B7504" s="13">
        <v>26</v>
      </c>
      <c r="C7504" s="17" t="s">
        <v>52</v>
      </c>
      <c r="D7504" s="17">
        <v>32628</v>
      </c>
      <c r="E7504" s="17">
        <v>26</v>
      </c>
      <c r="F7504" s="17">
        <v>6498</v>
      </c>
      <c r="G7504" s="13">
        <v>4</v>
      </c>
      <c r="H7504" s="17">
        <v>0</v>
      </c>
      <c r="I7504" s="17">
        <v>0</v>
      </c>
      <c r="J7504" s="17">
        <v>25</v>
      </c>
      <c r="K7504" s="10"/>
      <c r="L7504" s="17"/>
      <c r="M7504" s="15"/>
      <c r="N7504" s="18" t="s">
        <v>336</v>
      </c>
      <c r="O7504" s="14"/>
      <c r="P7504" s="17">
        <v>4</v>
      </c>
      <c r="Q7504" s="19">
        <v>25</v>
      </c>
      <c r="R7504" s="14">
        <v>160</v>
      </c>
      <c r="S7504" s="19">
        <v>4000</v>
      </c>
      <c r="T7504" s="17"/>
      <c r="U7504" s="17"/>
      <c r="V7504" s="17"/>
      <c r="W7504" s="4"/>
      <c r="X7504" s="17"/>
      <c r="Y7504" s="4"/>
      <c r="Z7504" s="17"/>
      <c r="AA7504" s="17"/>
      <c r="AB7504" s="17"/>
      <c r="AC7504" s="14"/>
      <c r="AD7504" s="14"/>
      <c r="AE7504" s="17"/>
      <c r="AF7504" s="14"/>
      <c r="AG7504" s="54"/>
      <c r="AH7504" s="11"/>
      <c r="AI7504" s="14"/>
      <c r="AJ7504" s="19">
        <v>0</v>
      </c>
      <c r="AK7504" s="23">
        <v>0</v>
      </c>
      <c r="AL7504" s="11"/>
      <c r="AM7504" s="19">
        <v>0</v>
      </c>
      <c r="AN7504" s="19">
        <v>4000</v>
      </c>
      <c r="AO7504" s="14"/>
      <c r="AP7504" s="14">
        <v>4000</v>
      </c>
      <c r="AQ7504" s="12">
        <v>3.0000000000000001E-3</v>
      </c>
      <c r="AS7504" s="26"/>
    </row>
    <row r="7505" spans="1:45" s="19" customFormat="1" x14ac:dyDescent="0.2">
      <c r="A7505" s="122">
        <f t="shared" si="735"/>
        <v>6199</v>
      </c>
      <c r="B7505" s="13">
        <v>27</v>
      </c>
      <c r="C7505" s="17" t="s">
        <v>52</v>
      </c>
      <c r="D7505" s="17">
        <v>32629</v>
      </c>
      <c r="E7505" s="17">
        <v>27</v>
      </c>
      <c r="F7505" s="17">
        <v>6499</v>
      </c>
      <c r="G7505" s="13">
        <v>4</v>
      </c>
      <c r="H7505" s="17">
        <v>0</v>
      </c>
      <c r="I7505" s="17">
        <v>0</v>
      </c>
      <c r="J7505" s="17">
        <v>25</v>
      </c>
      <c r="K7505" s="10"/>
      <c r="L7505" s="17"/>
      <c r="M7505" s="15"/>
      <c r="N7505" s="18">
        <v>25</v>
      </c>
      <c r="O7505" s="14"/>
      <c r="P7505" s="17">
        <v>4</v>
      </c>
      <c r="Q7505" s="19">
        <v>25</v>
      </c>
      <c r="R7505" s="14">
        <v>160</v>
      </c>
      <c r="S7505" s="19">
        <v>4000</v>
      </c>
      <c r="T7505" s="17"/>
      <c r="U7505" s="17"/>
      <c r="V7505" s="17"/>
      <c r="W7505" s="4"/>
      <c r="X7505" s="17"/>
      <c r="Y7505" s="4"/>
      <c r="Z7505" s="17"/>
      <c r="AA7505" s="17"/>
      <c r="AB7505" s="17"/>
      <c r="AC7505" s="14"/>
      <c r="AD7505" s="14"/>
      <c r="AE7505" s="17"/>
      <c r="AF7505" s="14"/>
      <c r="AG7505" s="54"/>
      <c r="AH7505" s="11"/>
      <c r="AI7505" s="14"/>
      <c r="AJ7505" s="19">
        <v>0</v>
      </c>
      <c r="AK7505" s="23">
        <v>0</v>
      </c>
      <c r="AL7505" s="11"/>
      <c r="AM7505" s="19">
        <v>0</v>
      </c>
      <c r="AN7505" s="19">
        <v>4000</v>
      </c>
      <c r="AO7505" s="14"/>
      <c r="AP7505" s="14">
        <v>4000</v>
      </c>
      <c r="AQ7505" s="12">
        <v>3.0000000000000001E-3</v>
      </c>
      <c r="AS7505" s="26"/>
    </row>
    <row r="7506" spans="1:45" s="19" customFormat="1" x14ac:dyDescent="0.2">
      <c r="A7506" s="122">
        <f t="shared" si="735"/>
        <v>6200</v>
      </c>
      <c r="B7506" s="13">
        <v>28</v>
      </c>
      <c r="C7506" s="17" t="s">
        <v>52</v>
      </c>
      <c r="D7506" s="17">
        <v>32630</v>
      </c>
      <c r="E7506" s="17">
        <v>28</v>
      </c>
      <c r="F7506" s="17">
        <v>6500</v>
      </c>
      <c r="G7506" s="13">
        <v>4</v>
      </c>
      <c r="H7506" s="17">
        <v>0</v>
      </c>
      <c r="I7506" s="17">
        <v>0</v>
      </c>
      <c r="J7506" s="17">
        <v>25</v>
      </c>
      <c r="K7506" s="10"/>
      <c r="L7506" s="17"/>
      <c r="M7506" s="15"/>
      <c r="N7506" s="18">
        <v>25</v>
      </c>
      <c r="O7506" s="14"/>
      <c r="P7506" s="17">
        <v>4</v>
      </c>
      <c r="Q7506" s="19">
        <v>25</v>
      </c>
      <c r="R7506" s="14">
        <v>160</v>
      </c>
      <c r="S7506" s="19">
        <v>4000</v>
      </c>
      <c r="T7506" s="17"/>
      <c r="U7506" s="17"/>
      <c r="V7506" s="17"/>
      <c r="W7506" s="4"/>
      <c r="X7506" s="17"/>
      <c r="Y7506" s="4"/>
      <c r="Z7506" s="17"/>
      <c r="AA7506" s="17"/>
      <c r="AB7506" s="17"/>
      <c r="AC7506" s="14"/>
      <c r="AD7506" s="14"/>
      <c r="AE7506" s="17"/>
      <c r="AF7506" s="14"/>
      <c r="AG7506" s="54"/>
      <c r="AH7506" s="11"/>
      <c r="AI7506" s="14"/>
      <c r="AJ7506" s="19">
        <v>0</v>
      </c>
      <c r="AK7506" s="23">
        <v>0</v>
      </c>
      <c r="AL7506" s="11"/>
      <c r="AM7506" s="19">
        <v>0</v>
      </c>
      <c r="AN7506" s="19">
        <v>4000</v>
      </c>
      <c r="AO7506" s="14"/>
      <c r="AP7506" s="14">
        <v>4000</v>
      </c>
      <c r="AQ7506" s="12">
        <v>3.0000000000000001E-3</v>
      </c>
      <c r="AS7506" s="26"/>
    </row>
    <row r="7507" spans="1:45" s="19" customFormat="1" x14ac:dyDescent="0.2">
      <c r="A7507" s="122">
        <f t="shared" si="735"/>
        <v>6201</v>
      </c>
      <c r="B7507" s="13">
        <v>29</v>
      </c>
      <c r="C7507" s="17" t="s">
        <v>52</v>
      </c>
      <c r="D7507" s="17">
        <v>32631</v>
      </c>
      <c r="E7507" s="17">
        <v>29</v>
      </c>
      <c r="F7507" s="17">
        <v>6501</v>
      </c>
      <c r="G7507" s="13">
        <v>4</v>
      </c>
      <c r="H7507" s="17">
        <v>0</v>
      </c>
      <c r="I7507" s="17">
        <v>0</v>
      </c>
      <c r="J7507" s="17">
        <v>27.05</v>
      </c>
      <c r="K7507" s="10"/>
      <c r="L7507" s="17"/>
      <c r="M7507" s="15"/>
      <c r="N7507" s="18">
        <v>27.05</v>
      </c>
      <c r="O7507" s="14"/>
      <c r="P7507" s="17">
        <v>4</v>
      </c>
      <c r="Q7507" s="19">
        <v>27.05</v>
      </c>
      <c r="R7507" s="14">
        <v>160</v>
      </c>
      <c r="S7507" s="19">
        <v>4328</v>
      </c>
      <c r="T7507" s="17"/>
      <c r="U7507" s="17"/>
      <c r="V7507" s="17"/>
      <c r="W7507" s="4"/>
      <c r="X7507" s="17"/>
      <c r="Y7507" s="4"/>
      <c r="Z7507" s="17"/>
      <c r="AA7507" s="17"/>
      <c r="AB7507" s="17"/>
      <c r="AC7507" s="14"/>
      <c r="AD7507" s="14"/>
      <c r="AE7507" s="17"/>
      <c r="AF7507" s="14"/>
      <c r="AG7507" s="54"/>
      <c r="AH7507" s="11"/>
      <c r="AI7507" s="14"/>
      <c r="AJ7507" s="19">
        <v>0</v>
      </c>
      <c r="AK7507" s="23">
        <v>0</v>
      </c>
      <c r="AL7507" s="11"/>
      <c r="AM7507" s="19">
        <v>0</v>
      </c>
      <c r="AN7507" s="19">
        <v>4328</v>
      </c>
      <c r="AO7507" s="14"/>
      <c r="AP7507" s="14">
        <v>4328</v>
      </c>
      <c r="AQ7507" s="12">
        <v>3.0000000000000001E-3</v>
      </c>
      <c r="AS7507" s="26"/>
    </row>
    <row r="7508" spans="1:45" s="19" customFormat="1" x14ac:dyDescent="0.2">
      <c r="A7508" s="122">
        <f t="shared" si="735"/>
        <v>6202</v>
      </c>
      <c r="B7508" s="13">
        <v>30</v>
      </c>
      <c r="C7508" s="17" t="s">
        <v>52</v>
      </c>
      <c r="D7508" s="17">
        <v>32632</v>
      </c>
      <c r="E7508" s="17">
        <v>1</v>
      </c>
      <c r="F7508" s="17">
        <v>6502</v>
      </c>
      <c r="G7508" s="13">
        <v>4</v>
      </c>
      <c r="H7508" s="17">
        <v>0</v>
      </c>
      <c r="I7508" s="17">
        <v>0</v>
      </c>
      <c r="J7508" s="17">
        <v>25</v>
      </c>
      <c r="K7508" s="10"/>
      <c r="L7508" s="17"/>
      <c r="M7508" s="15"/>
      <c r="N7508" s="18">
        <v>25</v>
      </c>
      <c r="O7508" s="14"/>
      <c r="P7508" s="17">
        <v>4</v>
      </c>
      <c r="Q7508" s="19">
        <v>25</v>
      </c>
      <c r="R7508" s="14">
        <v>160</v>
      </c>
      <c r="S7508" s="19">
        <v>4000</v>
      </c>
      <c r="T7508" s="17"/>
      <c r="U7508" s="17"/>
      <c r="V7508" s="17"/>
      <c r="W7508" s="4"/>
      <c r="X7508" s="17"/>
      <c r="Y7508" s="4"/>
      <c r="Z7508" s="17"/>
      <c r="AA7508" s="17"/>
      <c r="AB7508" s="17"/>
      <c r="AC7508" s="14"/>
      <c r="AD7508" s="14"/>
      <c r="AE7508" s="17"/>
      <c r="AF7508" s="14"/>
      <c r="AG7508" s="54"/>
      <c r="AH7508" s="11"/>
      <c r="AI7508" s="14"/>
      <c r="AJ7508" s="19">
        <v>0</v>
      </c>
      <c r="AK7508" s="23">
        <v>0</v>
      </c>
      <c r="AL7508" s="11"/>
      <c r="AM7508" s="19">
        <v>0</v>
      </c>
      <c r="AN7508" s="19">
        <v>4000</v>
      </c>
      <c r="AO7508" s="14"/>
      <c r="AP7508" s="14">
        <v>4000</v>
      </c>
      <c r="AQ7508" s="12">
        <v>3.0000000000000001E-3</v>
      </c>
      <c r="AS7508" s="26"/>
    </row>
    <row r="7509" spans="1:45" s="19" customFormat="1" x14ac:dyDescent="0.2">
      <c r="A7509" s="122">
        <f t="shared" si="735"/>
        <v>6203</v>
      </c>
      <c r="B7509" s="13">
        <v>31</v>
      </c>
      <c r="C7509" s="17" t="s">
        <v>52</v>
      </c>
      <c r="D7509" s="17">
        <v>32633</v>
      </c>
      <c r="E7509" s="17">
        <v>2</v>
      </c>
      <c r="F7509" s="17">
        <v>6503</v>
      </c>
      <c r="G7509" s="13">
        <v>4</v>
      </c>
      <c r="H7509" s="17">
        <v>0</v>
      </c>
      <c r="I7509" s="17">
        <v>0</v>
      </c>
      <c r="J7509" s="17">
        <v>25</v>
      </c>
      <c r="K7509" s="10"/>
      <c r="L7509" s="17"/>
      <c r="M7509" s="15"/>
      <c r="N7509" s="18">
        <v>25</v>
      </c>
      <c r="O7509" s="14"/>
      <c r="P7509" s="17">
        <v>4</v>
      </c>
      <c r="Q7509" s="19">
        <v>25</v>
      </c>
      <c r="R7509" s="14">
        <v>160</v>
      </c>
      <c r="S7509" s="19">
        <v>4000</v>
      </c>
      <c r="T7509" s="17"/>
      <c r="U7509" s="17"/>
      <c r="V7509" s="17"/>
      <c r="W7509" s="4"/>
      <c r="X7509" s="17"/>
      <c r="Y7509" s="4"/>
      <c r="Z7509" s="17"/>
      <c r="AA7509" s="17"/>
      <c r="AB7509" s="17"/>
      <c r="AC7509" s="14"/>
      <c r="AD7509" s="14"/>
      <c r="AE7509" s="17"/>
      <c r="AF7509" s="14"/>
      <c r="AG7509" s="54"/>
      <c r="AH7509" s="11"/>
      <c r="AI7509" s="14"/>
      <c r="AJ7509" s="19">
        <v>0</v>
      </c>
      <c r="AK7509" s="23">
        <v>0</v>
      </c>
      <c r="AL7509" s="11"/>
      <c r="AM7509" s="19">
        <v>0</v>
      </c>
      <c r="AN7509" s="19">
        <v>4000</v>
      </c>
      <c r="AO7509" s="14"/>
      <c r="AP7509" s="14">
        <v>4000</v>
      </c>
      <c r="AQ7509" s="12">
        <v>3.0000000000000001E-3</v>
      </c>
      <c r="AS7509" s="26"/>
    </row>
    <row r="7510" spans="1:45" s="19" customFormat="1" x14ac:dyDescent="0.2">
      <c r="A7510" s="122">
        <f t="shared" si="735"/>
        <v>6204</v>
      </c>
      <c r="B7510" s="13">
        <v>32</v>
      </c>
      <c r="C7510" s="17" t="s">
        <v>52</v>
      </c>
      <c r="D7510" s="17">
        <v>32634</v>
      </c>
      <c r="E7510" s="17">
        <v>3</v>
      </c>
      <c r="F7510" s="17">
        <v>6504</v>
      </c>
      <c r="G7510" s="13">
        <v>4</v>
      </c>
      <c r="H7510" s="17">
        <v>0</v>
      </c>
      <c r="I7510" s="17">
        <v>0</v>
      </c>
      <c r="J7510" s="17">
        <v>25</v>
      </c>
      <c r="K7510" s="10"/>
      <c r="L7510" s="17"/>
      <c r="M7510" s="15"/>
      <c r="N7510" s="18">
        <v>25</v>
      </c>
      <c r="O7510" s="14"/>
      <c r="P7510" s="17">
        <v>4</v>
      </c>
      <c r="Q7510" s="19">
        <v>25</v>
      </c>
      <c r="R7510" s="14">
        <v>160</v>
      </c>
      <c r="S7510" s="19">
        <v>4000</v>
      </c>
      <c r="T7510" s="17"/>
      <c r="U7510" s="17"/>
      <c r="V7510" s="17"/>
      <c r="W7510" s="4"/>
      <c r="X7510" s="17"/>
      <c r="Y7510" s="4"/>
      <c r="Z7510" s="17"/>
      <c r="AA7510" s="17"/>
      <c r="AB7510" s="17"/>
      <c r="AC7510" s="14"/>
      <c r="AD7510" s="14"/>
      <c r="AE7510" s="17"/>
      <c r="AF7510" s="14"/>
      <c r="AG7510" s="54"/>
      <c r="AH7510" s="11"/>
      <c r="AI7510" s="14"/>
      <c r="AJ7510" s="19">
        <v>0</v>
      </c>
      <c r="AK7510" s="23">
        <v>0</v>
      </c>
      <c r="AL7510" s="11"/>
      <c r="AM7510" s="19">
        <v>0</v>
      </c>
      <c r="AN7510" s="19">
        <v>4000</v>
      </c>
      <c r="AO7510" s="14"/>
      <c r="AP7510" s="14">
        <v>4000</v>
      </c>
      <c r="AQ7510" s="12">
        <v>3.0000000000000001E-3</v>
      </c>
      <c r="AS7510" s="26"/>
    </row>
    <row r="7511" spans="1:45" s="19" customFormat="1" x14ac:dyDescent="0.2">
      <c r="A7511" s="122">
        <f t="shared" si="735"/>
        <v>6205</v>
      </c>
      <c r="B7511" s="13">
        <v>33</v>
      </c>
      <c r="C7511" s="17" t="s">
        <v>52</v>
      </c>
      <c r="D7511" s="17">
        <v>32635</v>
      </c>
      <c r="E7511" s="17">
        <v>4</v>
      </c>
      <c r="F7511" s="17">
        <v>6505</v>
      </c>
      <c r="G7511" s="13">
        <v>4</v>
      </c>
      <c r="H7511" s="17">
        <v>0</v>
      </c>
      <c r="I7511" s="17">
        <v>0</v>
      </c>
      <c r="J7511" s="17">
        <v>25</v>
      </c>
      <c r="K7511" s="10"/>
      <c r="L7511" s="17"/>
      <c r="M7511" s="15"/>
      <c r="N7511" s="18">
        <v>25</v>
      </c>
      <c r="O7511" s="14"/>
      <c r="P7511" s="17">
        <v>4</v>
      </c>
      <c r="Q7511" s="19">
        <v>25</v>
      </c>
      <c r="R7511" s="14">
        <v>160</v>
      </c>
      <c r="S7511" s="19">
        <v>4000</v>
      </c>
      <c r="T7511" s="17"/>
      <c r="U7511" s="17"/>
      <c r="V7511" s="17"/>
      <c r="W7511" s="4"/>
      <c r="X7511" s="17"/>
      <c r="Y7511" s="4"/>
      <c r="Z7511" s="17"/>
      <c r="AA7511" s="17"/>
      <c r="AB7511" s="17"/>
      <c r="AC7511" s="14"/>
      <c r="AD7511" s="14"/>
      <c r="AE7511" s="17"/>
      <c r="AF7511" s="14"/>
      <c r="AG7511" s="54"/>
      <c r="AH7511" s="11"/>
      <c r="AI7511" s="14"/>
      <c r="AJ7511" s="19">
        <v>0</v>
      </c>
      <c r="AK7511" s="23">
        <v>0</v>
      </c>
      <c r="AL7511" s="11"/>
      <c r="AM7511" s="19">
        <v>0</v>
      </c>
      <c r="AN7511" s="19">
        <v>4000</v>
      </c>
      <c r="AO7511" s="14"/>
      <c r="AP7511" s="14">
        <v>4000</v>
      </c>
      <c r="AQ7511" s="12">
        <v>3.0000000000000001E-3</v>
      </c>
      <c r="AS7511" s="26"/>
    </row>
    <row r="7512" spans="1:45" s="19" customFormat="1" x14ac:dyDescent="0.2">
      <c r="A7512" s="122">
        <f t="shared" si="735"/>
        <v>6206</v>
      </c>
      <c r="B7512" s="13">
        <v>34</v>
      </c>
      <c r="C7512" s="17" t="s">
        <v>52</v>
      </c>
      <c r="D7512" s="17">
        <v>32636</v>
      </c>
      <c r="E7512" s="17">
        <v>5</v>
      </c>
      <c r="F7512" s="17">
        <v>6506</v>
      </c>
      <c r="G7512" s="13">
        <v>4</v>
      </c>
      <c r="H7512" s="17">
        <v>0</v>
      </c>
      <c r="I7512" s="17">
        <v>0</v>
      </c>
      <c r="J7512" s="17">
        <v>25</v>
      </c>
      <c r="K7512" s="10"/>
      <c r="L7512" s="17"/>
      <c r="M7512" s="15"/>
      <c r="N7512" s="18">
        <v>25</v>
      </c>
      <c r="O7512" s="14"/>
      <c r="P7512" s="17">
        <v>4</v>
      </c>
      <c r="Q7512" s="19">
        <v>25</v>
      </c>
      <c r="R7512" s="14">
        <v>160</v>
      </c>
      <c r="S7512" s="19">
        <v>4000</v>
      </c>
      <c r="T7512" s="17"/>
      <c r="U7512" s="17"/>
      <c r="V7512" s="17"/>
      <c r="W7512" s="4"/>
      <c r="X7512" s="17"/>
      <c r="Y7512" s="4"/>
      <c r="Z7512" s="17"/>
      <c r="AA7512" s="17"/>
      <c r="AB7512" s="17"/>
      <c r="AC7512" s="14"/>
      <c r="AD7512" s="14"/>
      <c r="AE7512" s="17"/>
      <c r="AF7512" s="14"/>
      <c r="AG7512" s="54"/>
      <c r="AH7512" s="11"/>
      <c r="AI7512" s="14"/>
      <c r="AJ7512" s="19">
        <v>0</v>
      </c>
      <c r="AK7512" s="23">
        <v>0</v>
      </c>
      <c r="AL7512" s="11"/>
      <c r="AM7512" s="19">
        <v>0</v>
      </c>
      <c r="AN7512" s="19">
        <v>4000</v>
      </c>
      <c r="AO7512" s="14"/>
      <c r="AP7512" s="14">
        <v>4000</v>
      </c>
      <c r="AQ7512" s="12">
        <v>3.0000000000000001E-3</v>
      </c>
      <c r="AS7512" s="26"/>
    </row>
    <row r="7513" spans="1:45" s="19" customFormat="1" x14ac:dyDescent="0.2">
      <c r="A7513" s="122">
        <f t="shared" si="735"/>
        <v>6207</v>
      </c>
      <c r="B7513" s="13">
        <v>35</v>
      </c>
      <c r="C7513" s="17" t="s">
        <v>52</v>
      </c>
      <c r="D7513" s="17">
        <v>32637</v>
      </c>
      <c r="E7513" s="17">
        <v>6</v>
      </c>
      <c r="F7513" s="17">
        <v>6507</v>
      </c>
      <c r="G7513" s="13">
        <v>4</v>
      </c>
      <c r="H7513" s="17">
        <v>0</v>
      </c>
      <c r="I7513" s="17">
        <v>0</v>
      </c>
      <c r="J7513" s="17">
        <v>25</v>
      </c>
      <c r="K7513" s="10"/>
      <c r="L7513" s="17"/>
      <c r="M7513" s="15"/>
      <c r="N7513" s="18">
        <v>25</v>
      </c>
      <c r="O7513" s="14"/>
      <c r="P7513" s="17">
        <v>4</v>
      </c>
      <c r="Q7513" s="19">
        <v>25</v>
      </c>
      <c r="R7513" s="14">
        <v>160</v>
      </c>
      <c r="S7513" s="19">
        <v>4000</v>
      </c>
      <c r="T7513" s="17"/>
      <c r="U7513" s="17"/>
      <c r="V7513" s="17"/>
      <c r="W7513" s="4"/>
      <c r="X7513" s="17"/>
      <c r="Y7513" s="4"/>
      <c r="Z7513" s="17"/>
      <c r="AA7513" s="17"/>
      <c r="AB7513" s="17"/>
      <c r="AC7513" s="14"/>
      <c r="AD7513" s="14"/>
      <c r="AE7513" s="17"/>
      <c r="AF7513" s="14"/>
      <c r="AG7513" s="54"/>
      <c r="AH7513" s="11"/>
      <c r="AI7513" s="14"/>
      <c r="AJ7513" s="19">
        <v>0</v>
      </c>
      <c r="AK7513" s="23">
        <v>0</v>
      </c>
      <c r="AL7513" s="11"/>
      <c r="AM7513" s="19">
        <v>0</v>
      </c>
      <c r="AN7513" s="19">
        <v>4000</v>
      </c>
      <c r="AO7513" s="14"/>
      <c r="AP7513" s="14">
        <v>4000</v>
      </c>
      <c r="AQ7513" s="12">
        <v>3.0000000000000001E-3</v>
      </c>
      <c r="AS7513" s="26"/>
    </row>
    <row r="7514" spans="1:45" s="19" customFormat="1" x14ac:dyDescent="0.2">
      <c r="A7514" s="122">
        <f t="shared" si="735"/>
        <v>6208</v>
      </c>
      <c r="B7514" s="13">
        <v>36</v>
      </c>
      <c r="C7514" s="17" t="s">
        <v>52</v>
      </c>
      <c r="D7514" s="17">
        <v>32638</v>
      </c>
      <c r="E7514" s="17">
        <v>7</v>
      </c>
      <c r="F7514" s="17">
        <v>6508</v>
      </c>
      <c r="G7514" s="13">
        <v>4</v>
      </c>
      <c r="H7514" s="17">
        <v>0</v>
      </c>
      <c r="I7514" s="17">
        <v>0</v>
      </c>
      <c r="J7514" s="17">
        <v>25</v>
      </c>
      <c r="K7514" s="10"/>
      <c r="L7514" s="17"/>
      <c r="M7514" s="15"/>
      <c r="N7514" s="18">
        <v>25</v>
      </c>
      <c r="O7514" s="14"/>
      <c r="P7514" s="17">
        <v>4</v>
      </c>
      <c r="Q7514" s="19">
        <v>25</v>
      </c>
      <c r="R7514" s="14">
        <v>160</v>
      </c>
      <c r="S7514" s="19">
        <v>4000</v>
      </c>
      <c r="T7514" s="17"/>
      <c r="U7514" s="17"/>
      <c r="V7514" s="17"/>
      <c r="W7514" s="4"/>
      <c r="X7514" s="17"/>
      <c r="Y7514" s="4"/>
      <c r="Z7514" s="17"/>
      <c r="AA7514" s="17"/>
      <c r="AB7514" s="17"/>
      <c r="AC7514" s="14"/>
      <c r="AD7514" s="14"/>
      <c r="AE7514" s="17"/>
      <c r="AF7514" s="14"/>
      <c r="AG7514" s="54"/>
      <c r="AH7514" s="11"/>
      <c r="AI7514" s="14"/>
      <c r="AJ7514" s="19">
        <v>0</v>
      </c>
      <c r="AK7514" s="23">
        <v>0</v>
      </c>
      <c r="AL7514" s="11"/>
      <c r="AM7514" s="19">
        <v>0</v>
      </c>
      <c r="AN7514" s="19">
        <v>4000</v>
      </c>
      <c r="AO7514" s="14"/>
      <c r="AP7514" s="14">
        <v>4000</v>
      </c>
      <c r="AQ7514" s="12">
        <v>3.0000000000000001E-3</v>
      </c>
      <c r="AS7514" s="26"/>
    </row>
    <row r="7515" spans="1:45" s="19" customFormat="1" x14ac:dyDescent="0.2">
      <c r="A7515" s="122">
        <f t="shared" si="735"/>
        <v>6209</v>
      </c>
      <c r="B7515" s="13">
        <v>37</v>
      </c>
      <c r="C7515" s="17" t="s">
        <v>52</v>
      </c>
      <c r="D7515" s="17">
        <v>32639</v>
      </c>
      <c r="E7515" s="17">
        <v>8</v>
      </c>
      <c r="F7515" s="17">
        <v>6509</v>
      </c>
      <c r="G7515" s="13">
        <v>4</v>
      </c>
      <c r="H7515" s="17">
        <v>0</v>
      </c>
      <c r="I7515" s="17">
        <v>0</v>
      </c>
      <c r="J7515" s="17">
        <v>25</v>
      </c>
      <c r="K7515" s="10"/>
      <c r="L7515" s="17"/>
      <c r="M7515" s="15"/>
      <c r="N7515" s="18">
        <v>25</v>
      </c>
      <c r="O7515" s="14"/>
      <c r="P7515" s="17">
        <v>4</v>
      </c>
      <c r="Q7515" s="19">
        <v>25</v>
      </c>
      <c r="R7515" s="14">
        <v>160</v>
      </c>
      <c r="S7515" s="19">
        <v>4000</v>
      </c>
      <c r="T7515" s="17"/>
      <c r="U7515" s="17"/>
      <c r="V7515" s="17"/>
      <c r="W7515" s="4"/>
      <c r="X7515" s="17"/>
      <c r="Y7515" s="4"/>
      <c r="Z7515" s="17"/>
      <c r="AA7515" s="17"/>
      <c r="AB7515" s="17"/>
      <c r="AC7515" s="14"/>
      <c r="AD7515" s="14"/>
      <c r="AE7515" s="17"/>
      <c r="AF7515" s="14"/>
      <c r="AG7515" s="54"/>
      <c r="AH7515" s="11"/>
      <c r="AI7515" s="14"/>
      <c r="AJ7515" s="19">
        <v>0</v>
      </c>
      <c r="AK7515" s="23">
        <v>0</v>
      </c>
      <c r="AL7515" s="11"/>
      <c r="AM7515" s="19">
        <v>0</v>
      </c>
      <c r="AN7515" s="19">
        <v>4000</v>
      </c>
      <c r="AO7515" s="14"/>
      <c r="AP7515" s="14">
        <v>4000</v>
      </c>
      <c r="AQ7515" s="12">
        <v>3.0000000000000001E-3</v>
      </c>
      <c r="AS7515" s="26"/>
    </row>
    <row r="7516" spans="1:45" s="19" customFormat="1" x14ac:dyDescent="0.2">
      <c r="A7516" s="122">
        <f t="shared" si="735"/>
        <v>6210</v>
      </c>
      <c r="B7516" s="13">
        <v>38</v>
      </c>
      <c r="C7516" s="17" t="s">
        <v>52</v>
      </c>
      <c r="D7516" s="17">
        <v>32640</v>
      </c>
      <c r="E7516" s="17">
        <v>9</v>
      </c>
      <c r="F7516" s="17">
        <v>6510</v>
      </c>
      <c r="G7516" s="13">
        <v>4</v>
      </c>
      <c r="H7516" s="17">
        <v>0</v>
      </c>
      <c r="I7516" s="17">
        <v>0</v>
      </c>
      <c r="J7516" s="17">
        <v>25</v>
      </c>
      <c r="K7516" s="10"/>
      <c r="L7516" s="17"/>
      <c r="M7516" s="15"/>
      <c r="N7516" s="18">
        <v>25</v>
      </c>
      <c r="O7516" s="14"/>
      <c r="P7516" s="17">
        <v>4</v>
      </c>
      <c r="Q7516" s="19">
        <v>25</v>
      </c>
      <c r="R7516" s="14">
        <v>160</v>
      </c>
      <c r="S7516" s="19">
        <v>4000</v>
      </c>
      <c r="T7516" s="17"/>
      <c r="U7516" s="17"/>
      <c r="V7516" s="17"/>
      <c r="W7516" s="4"/>
      <c r="X7516" s="17"/>
      <c r="Y7516" s="4"/>
      <c r="Z7516" s="17"/>
      <c r="AA7516" s="17"/>
      <c r="AB7516" s="17"/>
      <c r="AC7516" s="14"/>
      <c r="AD7516" s="14"/>
      <c r="AE7516" s="17"/>
      <c r="AF7516" s="14"/>
      <c r="AG7516" s="54"/>
      <c r="AH7516" s="11"/>
      <c r="AI7516" s="14"/>
      <c r="AJ7516" s="19">
        <v>0</v>
      </c>
      <c r="AK7516" s="23">
        <v>0</v>
      </c>
      <c r="AL7516" s="11"/>
      <c r="AM7516" s="19">
        <v>0</v>
      </c>
      <c r="AN7516" s="19">
        <v>4000</v>
      </c>
      <c r="AO7516" s="14"/>
      <c r="AP7516" s="14">
        <v>4000</v>
      </c>
      <c r="AQ7516" s="12">
        <v>3.0000000000000001E-3</v>
      </c>
      <c r="AS7516" s="26"/>
    </row>
    <row r="7517" spans="1:45" s="19" customFormat="1" x14ac:dyDescent="0.2">
      <c r="A7517" s="122">
        <f t="shared" si="735"/>
        <v>6211</v>
      </c>
      <c r="B7517" s="13">
        <v>39</v>
      </c>
      <c r="C7517" s="17" t="s">
        <v>52</v>
      </c>
      <c r="D7517" s="17">
        <v>32641</v>
      </c>
      <c r="E7517" s="17">
        <v>10</v>
      </c>
      <c r="F7517" s="17">
        <v>6511</v>
      </c>
      <c r="G7517" s="13">
        <v>4</v>
      </c>
      <c r="H7517" s="17">
        <v>0</v>
      </c>
      <c r="I7517" s="17">
        <v>0</v>
      </c>
      <c r="J7517" s="17">
        <v>25</v>
      </c>
      <c r="K7517" s="10"/>
      <c r="L7517" s="17"/>
      <c r="M7517" s="15"/>
      <c r="N7517" s="18">
        <v>25</v>
      </c>
      <c r="O7517" s="14"/>
      <c r="P7517" s="17">
        <v>4</v>
      </c>
      <c r="Q7517" s="19">
        <v>25</v>
      </c>
      <c r="R7517" s="14">
        <v>160</v>
      </c>
      <c r="S7517" s="19">
        <v>4000</v>
      </c>
      <c r="T7517" s="17"/>
      <c r="U7517" s="17"/>
      <c r="V7517" s="17"/>
      <c r="W7517" s="4"/>
      <c r="X7517" s="17"/>
      <c r="Y7517" s="4"/>
      <c r="Z7517" s="17"/>
      <c r="AA7517" s="17"/>
      <c r="AB7517" s="17"/>
      <c r="AC7517" s="14"/>
      <c r="AD7517" s="14"/>
      <c r="AE7517" s="17"/>
      <c r="AF7517" s="14"/>
      <c r="AG7517" s="54"/>
      <c r="AH7517" s="11"/>
      <c r="AI7517" s="14"/>
      <c r="AJ7517" s="19">
        <v>0</v>
      </c>
      <c r="AK7517" s="23">
        <v>0</v>
      </c>
      <c r="AL7517" s="11"/>
      <c r="AM7517" s="19">
        <v>0</v>
      </c>
      <c r="AN7517" s="19">
        <v>4000</v>
      </c>
      <c r="AO7517" s="14"/>
      <c r="AP7517" s="14">
        <v>4000</v>
      </c>
      <c r="AQ7517" s="12">
        <v>3.0000000000000001E-3</v>
      </c>
      <c r="AS7517" s="26"/>
    </row>
    <row r="7518" spans="1:45" s="19" customFormat="1" x14ac:dyDescent="0.2">
      <c r="A7518" s="122">
        <f t="shared" si="735"/>
        <v>6212</v>
      </c>
      <c r="B7518" s="13">
        <v>40</v>
      </c>
      <c r="C7518" s="17" t="s">
        <v>52</v>
      </c>
      <c r="D7518" s="17">
        <v>32642</v>
      </c>
      <c r="E7518" s="17">
        <v>11</v>
      </c>
      <c r="F7518" s="17">
        <v>6512</v>
      </c>
      <c r="G7518" s="13">
        <v>4</v>
      </c>
      <c r="H7518" s="17">
        <v>0</v>
      </c>
      <c r="I7518" s="17">
        <v>0</v>
      </c>
      <c r="J7518" s="17">
        <v>25</v>
      </c>
      <c r="K7518" s="10"/>
      <c r="L7518" s="17"/>
      <c r="M7518" s="15"/>
      <c r="N7518" s="18">
        <v>25</v>
      </c>
      <c r="O7518" s="14"/>
      <c r="P7518" s="17">
        <v>4</v>
      </c>
      <c r="Q7518" s="19">
        <v>25</v>
      </c>
      <c r="R7518" s="14">
        <v>160</v>
      </c>
      <c r="S7518" s="19">
        <v>4000</v>
      </c>
      <c r="T7518" s="17"/>
      <c r="U7518" s="17"/>
      <c r="V7518" s="17"/>
      <c r="W7518" s="4"/>
      <c r="X7518" s="17"/>
      <c r="Y7518" s="4"/>
      <c r="Z7518" s="17"/>
      <c r="AA7518" s="17"/>
      <c r="AB7518" s="17"/>
      <c r="AC7518" s="14"/>
      <c r="AD7518" s="14"/>
      <c r="AE7518" s="17"/>
      <c r="AF7518" s="14"/>
      <c r="AG7518" s="54"/>
      <c r="AH7518" s="11"/>
      <c r="AI7518" s="14"/>
      <c r="AJ7518" s="19">
        <v>0</v>
      </c>
      <c r="AK7518" s="23">
        <v>0</v>
      </c>
      <c r="AL7518" s="11"/>
      <c r="AM7518" s="19">
        <v>0</v>
      </c>
      <c r="AN7518" s="19">
        <v>4000</v>
      </c>
      <c r="AO7518" s="14"/>
      <c r="AP7518" s="14">
        <v>4000</v>
      </c>
      <c r="AQ7518" s="12">
        <v>3.0000000000000001E-3</v>
      </c>
      <c r="AS7518" s="26"/>
    </row>
    <row r="7519" spans="1:45" s="19" customFormat="1" x14ac:dyDescent="0.2">
      <c r="A7519" s="122">
        <f t="shared" si="735"/>
        <v>6213</v>
      </c>
      <c r="B7519" s="13">
        <v>41</v>
      </c>
      <c r="C7519" s="17" t="s">
        <v>52</v>
      </c>
      <c r="D7519" s="17">
        <v>32643</v>
      </c>
      <c r="E7519" s="17">
        <v>12</v>
      </c>
      <c r="F7519" s="17">
        <v>6513</v>
      </c>
      <c r="G7519" s="13">
        <v>4</v>
      </c>
      <c r="H7519" s="17">
        <v>0</v>
      </c>
      <c r="I7519" s="17">
        <v>0</v>
      </c>
      <c r="J7519" s="17">
        <v>40.090000000000003</v>
      </c>
      <c r="K7519" s="10"/>
      <c r="L7519" s="17"/>
      <c r="M7519" s="15"/>
      <c r="N7519" s="18">
        <v>40.090000000000003</v>
      </c>
      <c r="O7519" s="14"/>
      <c r="P7519" s="17">
        <v>4</v>
      </c>
      <c r="Q7519" s="19">
        <v>40.090000000000003</v>
      </c>
      <c r="R7519" s="14">
        <v>160</v>
      </c>
      <c r="S7519" s="19">
        <v>6414.4000000000005</v>
      </c>
      <c r="T7519" s="17"/>
      <c r="U7519" s="17"/>
      <c r="V7519" s="17"/>
      <c r="W7519" s="4"/>
      <c r="X7519" s="17"/>
      <c r="Y7519" s="4"/>
      <c r="Z7519" s="17"/>
      <c r="AA7519" s="17"/>
      <c r="AB7519" s="17"/>
      <c r="AC7519" s="14"/>
      <c r="AD7519" s="14"/>
      <c r="AE7519" s="17"/>
      <c r="AF7519" s="14"/>
      <c r="AG7519" s="54"/>
      <c r="AH7519" s="11"/>
      <c r="AI7519" s="14"/>
      <c r="AJ7519" s="19">
        <v>0</v>
      </c>
      <c r="AK7519" s="23">
        <v>0</v>
      </c>
      <c r="AL7519" s="11"/>
      <c r="AM7519" s="19">
        <v>0</v>
      </c>
      <c r="AN7519" s="19">
        <v>6414.4000000000005</v>
      </c>
      <c r="AO7519" s="14"/>
      <c r="AP7519" s="14">
        <v>6414.4000000000005</v>
      </c>
      <c r="AQ7519" s="12">
        <v>3.0000000000000001E-3</v>
      </c>
      <c r="AS7519" s="26"/>
    </row>
    <row r="7520" spans="1:45" s="19" customFormat="1" x14ac:dyDescent="0.2">
      <c r="A7520" s="122">
        <f t="shared" si="735"/>
        <v>6214</v>
      </c>
      <c r="B7520" s="13">
        <v>42</v>
      </c>
      <c r="C7520" s="17" t="s">
        <v>52</v>
      </c>
      <c r="D7520" s="17">
        <v>32644</v>
      </c>
      <c r="E7520" s="17">
        <v>13</v>
      </c>
      <c r="F7520" s="17">
        <v>6514</v>
      </c>
      <c r="G7520" s="13">
        <v>4</v>
      </c>
      <c r="H7520" s="17">
        <v>0</v>
      </c>
      <c r="I7520" s="17">
        <v>0</v>
      </c>
      <c r="J7520" s="17">
        <v>25</v>
      </c>
      <c r="K7520" s="10"/>
      <c r="L7520" s="17"/>
      <c r="M7520" s="15"/>
      <c r="N7520" s="18">
        <v>24</v>
      </c>
      <c r="O7520" s="14"/>
      <c r="P7520" s="17">
        <v>4</v>
      </c>
      <c r="Q7520" s="19">
        <v>25</v>
      </c>
      <c r="R7520" s="14">
        <v>160</v>
      </c>
      <c r="S7520" s="19">
        <v>4000</v>
      </c>
      <c r="T7520" s="17"/>
      <c r="U7520" s="17"/>
      <c r="V7520" s="17"/>
      <c r="W7520" s="4"/>
      <c r="X7520" s="17"/>
      <c r="Y7520" s="4"/>
      <c r="Z7520" s="17"/>
      <c r="AA7520" s="17"/>
      <c r="AB7520" s="17"/>
      <c r="AC7520" s="14"/>
      <c r="AD7520" s="14"/>
      <c r="AE7520" s="17"/>
      <c r="AF7520" s="14"/>
      <c r="AG7520" s="54"/>
      <c r="AH7520" s="11"/>
      <c r="AI7520" s="14"/>
      <c r="AJ7520" s="19">
        <v>0</v>
      </c>
      <c r="AK7520" s="23">
        <v>0</v>
      </c>
      <c r="AL7520" s="11"/>
      <c r="AM7520" s="19">
        <v>0</v>
      </c>
      <c r="AN7520" s="19">
        <v>4000</v>
      </c>
      <c r="AO7520" s="14"/>
      <c r="AP7520" s="14">
        <v>4000</v>
      </c>
      <c r="AQ7520" s="12">
        <v>3.0000000000000001E-3</v>
      </c>
      <c r="AS7520" s="26"/>
    </row>
    <row r="7521" spans="1:45" s="19" customFormat="1" x14ac:dyDescent="0.2">
      <c r="A7521" s="122">
        <f t="shared" si="735"/>
        <v>6215</v>
      </c>
      <c r="B7521" s="13">
        <v>43</v>
      </c>
      <c r="C7521" s="17" t="s">
        <v>52</v>
      </c>
      <c r="D7521" s="17">
        <v>32645</v>
      </c>
      <c r="E7521" s="17">
        <v>14</v>
      </c>
      <c r="F7521" s="17">
        <v>6515</v>
      </c>
      <c r="G7521" s="13">
        <v>4</v>
      </c>
      <c r="H7521" s="17">
        <v>0</v>
      </c>
      <c r="I7521" s="17">
        <v>0</v>
      </c>
      <c r="J7521" s="17">
        <v>25</v>
      </c>
      <c r="K7521" s="10"/>
      <c r="L7521" s="17"/>
      <c r="M7521" s="15"/>
      <c r="N7521" s="18">
        <v>25</v>
      </c>
      <c r="O7521" s="14"/>
      <c r="P7521" s="17">
        <v>4</v>
      </c>
      <c r="Q7521" s="19">
        <v>25</v>
      </c>
      <c r="R7521" s="14">
        <v>160</v>
      </c>
      <c r="S7521" s="19">
        <v>4000</v>
      </c>
      <c r="T7521" s="17"/>
      <c r="U7521" s="17"/>
      <c r="V7521" s="17"/>
      <c r="W7521" s="4"/>
      <c r="X7521" s="17"/>
      <c r="Y7521" s="4"/>
      <c r="Z7521" s="17"/>
      <c r="AA7521" s="17"/>
      <c r="AB7521" s="17"/>
      <c r="AC7521" s="14"/>
      <c r="AD7521" s="14"/>
      <c r="AE7521" s="17"/>
      <c r="AF7521" s="14"/>
      <c r="AG7521" s="54"/>
      <c r="AH7521" s="11"/>
      <c r="AI7521" s="14"/>
      <c r="AJ7521" s="19">
        <v>0</v>
      </c>
      <c r="AK7521" s="23">
        <v>0</v>
      </c>
      <c r="AL7521" s="11"/>
      <c r="AM7521" s="19">
        <v>0</v>
      </c>
      <c r="AN7521" s="19">
        <v>4000</v>
      </c>
      <c r="AO7521" s="14"/>
      <c r="AP7521" s="14">
        <v>4000</v>
      </c>
      <c r="AQ7521" s="12">
        <v>3.0000000000000001E-3</v>
      </c>
      <c r="AS7521" s="26"/>
    </row>
    <row r="7522" spans="1:45" s="19" customFormat="1" x14ac:dyDescent="0.2">
      <c r="A7522" s="122">
        <f t="shared" si="735"/>
        <v>6216</v>
      </c>
      <c r="B7522" s="13">
        <v>44</v>
      </c>
      <c r="C7522" s="17" t="s">
        <v>52</v>
      </c>
      <c r="D7522" s="17">
        <v>32646</v>
      </c>
      <c r="E7522" s="17">
        <v>15</v>
      </c>
      <c r="F7522" s="17">
        <v>6516</v>
      </c>
      <c r="G7522" s="13">
        <v>4</v>
      </c>
      <c r="H7522" s="17">
        <v>0</v>
      </c>
      <c r="I7522" s="17">
        <v>0</v>
      </c>
      <c r="J7522" s="17">
        <v>25</v>
      </c>
      <c r="K7522" s="10"/>
      <c r="L7522" s="17"/>
      <c r="M7522" s="15"/>
      <c r="N7522" s="18">
        <v>25</v>
      </c>
      <c r="O7522" s="14"/>
      <c r="P7522" s="17">
        <v>4</v>
      </c>
      <c r="Q7522" s="19">
        <v>25</v>
      </c>
      <c r="R7522" s="14">
        <v>160</v>
      </c>
      <c r="S7522" s="19">
        <v>4000</v>
      </c>
      <c r="T7522" s="17"/>
      <c r="U7522" s="17"/>
      <c r="V7522" s="17"/>
      <c r="W7522" s="4"/>
      <c r="X7522" s="17"/>
      <c r="Y7522" s="4"/>
      <c r="Z7522" s="17"/>
      <c r="AA7522" s="17"/>
      <c r="AB7522" s="17"/>
      <c r="AC7522" s="14"/>
      <c r="AD7522" s="14"/>
      <c r="AE7522" s="17"/>
      <c r="AF7522" s="14"/>
      <c r="AG7522" s="54"/>
      <c r="AH7522" s="11"/>
      <c r="AI7522" s="14"/>
      <c r="AJ7522" s="19">
        <v>0</v>
      </c>
      <c r="AK7522" s="23">
        <v>0</v>
      </c>
      <c r="AL7522" s="11"/>
      <c r="AM7522" s="19">
        <v>0</v>
      </c>
      <c r="AN7522" s="19">
        <v>4000</v>
      </c>
      <c r="AO7522" s="14"/>
      <c r="AP7522" s="14">
        <v>4000</v>
      </c>
      <c r="AQ7522" s="12">
        <v>3.0000000000000001E-3</v>
      </c>
      <c r="AS7522" s="26"/>
    </row>
    <row r="7523" spans="1:45" s="19" customFormat="1" x14ac:dyDescent="0.2">
      <c r="A7523" s="122">
        <f t="shared" si="735"/>
        <v>6217</v>
      </c>
      <c r="B7523" s="13">
        <v>45</v>
      </c>
      <c r="C7523" s="17" t="s">
        <v>52</v>
      </c>
      <c r="D7523" s="17">
        <v>32647</v>
      </c>
      <c r="E7523" s="17">
        <v>16</v>
      </c>
      <c r="F7523" s="17">
        <v>6517</v>
      </c>
      <c r="G7523" s="13">
        <v>4</v>
      </c>
      <c r="H7523" s="17">
        <v>0</v>
      </c>
      <c r="I7523" s="17">
        <v>0</v>
      </c>
      <c r="J7523" s="17">
        <v>25</v>
      </c>
      <c r="K7523" s="10"/>
      <c r="L7523" s="17"/>
      <c r="M7523" s="15"/>
      <c r="N7523" s="18">
        <v>25</v>
      </c>
      <c r="O7523" s="14"/>
      <c r="P7523" s="17">
        <v>4</v>
      </c>
      <c r="Q7523" s="19">
        <v>25</v>
      </c>
      <c r="R7523" s="14">
        <v>160</v>
      </c>
      <c r="S7523" s="19">
        <v>4000</v>
      </c>
      <c r="T7523" s="17"/>
      <c r="U7523" s="17"/>
      <c r="V7523" s="17"/>
      <c r="W7523" s="4"/>
      <c r="X7523" s="17"/>
      <c r="Y7523" s="4"/>
      <c r="Z7523" s="17"/>
      <c r="AA7523" s="17"/>
      <c r="AB7523" s="17"/>
      <c r="AC7523" s="14"/>
      <c r="AD7523" s="14"/>
      <c r="AE7523" s="17"/>
      <c r="AF7523" s="14"/>
      <c r="AG7523" s="54"/>
      <c r="AH7523" s="11"/>
      <c r="AI7523" s="14"/>
      <c r="AJ7523" s="19">
        <v>0</v>
      </c>
      <c r="AK7523" s="23">
        <v>0</v>
      </c>
      <c r="AL7523" s="11"/>
      <c r="AM7523" s="19">
        <v>0</v>
      </c>
      <c r="AN7523" s="19">
        <v>4000</v>
      </c>
      <c r="AO7523" s="14"/>
      <c r="AP7523" s="14">
        <v>4000</v>
      </c>
      <c r="AQ7523" s="12">
        <v>3.0000000000000001E-3</v>
      </c>
      <c r="AS7523" s="26"/>
    </row>
    <row r="7524" spans="1:45" s="19" customFormat="1" x14ac:dyDescent="0.2">
      <c r="A7524" s="122">
        <f t="shared" si="735"/>
        <v>6218</v>
      </c>
      <c r="B7524" s="13">
        <v>46</v>
      </c>
      <c r="C7524" s="17" t="s">
        <v>52</v>
      </c>
      <c r="D7524" s="17">
        <v>32648</v>
      </c>
      <c r="E7524" s="17">
        <v>17</v>
      </c>
      <c r="F7524" s="17">
        <v>6518</v>
      </c>
      <c r="G7524" s="13">
        <v>4</v>
      </c>
      <c r="H7524" s="17">
        <v>0</v>
      </c>
      <c r="I7524" s="17">
        <v>0</v>
      </c>
      <c r="J7524" s="17">
        <v>27</v>
      </c>
      <c r="K7524" s="10"/>
      <c r="L7524" s="17"/>
      <c r="M7524" s="15"/>
      <c r="N7524" s="18">
        <v>27</v>
      </c>
      <c r="O7524" s="14"/>
      <c r="P7524" s="17">
        <v>4</v>
      </c>
      <c r="Q7524" s="19">
        <v>27</v>
      </c>
      <c r="R7524" s="14">
        <v>160</v>
      </c>
      <c r="S7524" s="19">
        <v>4320</v>
      </c>
      <c r="T7524" s="17"/>
      <c r="U7524" s="17"/>
      <c r="V7524" s="17"/>
      <c r="W7524" s="4"/>
      <c r="X7524" s="17"/>
      <c r="Y7524" s="4"/>
      <c r="Z7524" s="17"/>
      <c r="AA7524" s="17"/>
      <c r="AB7524" s="17"/>
      <c r="AC7524" s="14"/>
      <c r="AD7524" s="14"/>
      <c r="AE7524" s="17"/>
      <c r="AF7524" s="14"/>
      <c r="AG7524" s="54"/>
      <c r="AH7524" s="11"/>
      <c r="AI7524" s="14"/>
      <c r="AJ7524" s="19">
        <v>0</v>
      </c>
      <c r="AK7524" s="23">
        <v>0</v>
      </c>
      <c r="AL7524" s="11"/>
      <c r="AM7524" s="19">
        <v>0</v>
      </c>
      <c r="AN7524" s="19">
        <v>4320</v>
      </c>
      <c r="AO7524" s="14"/>
      <c r="AP7524" s="14">
        <v>4320</v>
      </c>
      <c r="AQ7524" s="12">
        <v>3.0000000000000001E-3</v>
      </c>
      <c r="AS7524" s="26"/>
    </row>
    <row r="7525" spans="1:45" s="19" customFormat="1" x14ac:dyDescent="0.2">
      <c r="A7525" s="122">
        <f t="shared" si="735"/>
        <v>6219</v>
      </c>
      <c r="B7525" s="13">
        <v>47</v>
      </c>
      <c r="C7525" s="17" t="s">
        <v>52</v>
      </c>
      <c r="D7525" s="17">
        <v>32649</v>
      </c>
      <c r="E7525" s="17">
        <v>18</v>
      </c>
      <c r="F7525" s="17">
        <v>6519</v>
      </c>
      <c r="G7525" s="13">
        <v>4</v>
      </c>
      <c r="H7525" s="17">
        <v>0</v>
      </c>
      <c r="I7525" s="17">
        <v>0</v>
      </c>
      <c r="J7525" s="17">
        <v>25</v>
      </c>
      <c r="K7525" s="10"/>
      <c r="L7525" s="17"/>
      <c r="M7525" s="15"/>
      <c r="N7525" s="18">
        <v>25</v>
      </c>
      <c r="O7525" s="14"/>
      <c r="P7525" s="17">
        <v>4</v>
      </c>
      <c r="Q7525" s="19">
        <v>25</v>
      </c>
      <c r="R7525" s="14">
        <v>160</v>
      </c>
      <c r="S7525" s="19">
        <v>4000</v>
      </c>
      <c r="T7525" s="17"/>
      <c r="U7525" s="17"/>
      <c r="V7525" s="17"/>
      <c r="W7525" s="4"/>
      <c r="X7525" s="17"/>
      <c r="Y7525" s="4"/>
      <c r="Z7525" s="17"/>
      <c r="AA7525" s="17"/>
      <c r="AB7525" s="17"/>
      <c r="AC7525" s="14"/>
      <c r="AD7525" s="14"/>
      <c r="AE7525" s="17"/>
      <c r="AF7525" s="14"/>
      <c r="AG7525" s="54"/>
      <c r="AH7525" s="11"/>
      <c r="AI7525" s="14"/>
      <c r="AJ7525" s="19">
        <v>0</v>
      </c>
      <c r="AK7525" s="23">
        <v>0</v>
      </c>
      <c r="AL7525" s="11"/>
      <c r="AM7525" s="19">
        <v>0</v>
      </c>
      <c r="AN7525" s="19">
        <v>4000</v>
      </c>
      <c r="AO7525" s="14"/>
      <c r="AP7525" s="14">
        <v>4000</v>
      </c>
      <c r="AQ7525" s="12">
        <v>3.0000000000000001E-3</v>
      </c>
      <c r="AS7525" s="26"/>
    </row>
    <row r="7526" spans="1:45" s="19" customFormat="1" x14ac:dyDescent="0.2">
      <c r="A7526" s="122">
        <f t="shared" si="735"/>
        <v>6220</v>
      </c>
      <c r="B7526" s="13">
        <v>48</v>
      </c>
      <c r="C7526" s="17" t="s">
        <v>52</v>
      </c>
      <c r="D7526" s="17">
        <v>32650</v>
      </c>
      <c r="E7526" s="17">
        <v>19</v>
      </c>
      <c r="F7526" s="17">
        <v>6520</v>
      </c>
      <c r="G7526" s="13">
        <v>4</v>
      </c>
      <c r="H7526" s="17">
        <v>0</v>
      </c>
      <c r="I7526" s="17">
        <v>0</v>
      </c>
      <c r="J7526" s="17">
        <v>25</v>
      </c>
      <c r="K7526" s="10"/>
      <c r="L7526" s="17"/>
      <c r="M7526" s="15"/>
      <c r="N7526" s="18">
        <v>25</v>
      </c>
      <c r="O7526" s="14"/>
      <c r="P7526" s="17">
        <v>4</v>
      </c>
      <c r="Q7526" s="19">
        <v>25</v>
      </c>
      <c r="R7526" s="14">
        <v>160</v>
      </c>
      <c r="S7526" s="19">
        <v>4000</v>
      </c>
      <c r="T7526" s="17"/>
      <c r="U7526" s="17"/>
      <c r="V7526" s="17"/>
      <c r="W7526" s="4"/>
      <c r="X7526" s="17"/>
      <c r="Y7526" s="4"/>
      <c r="Z7526" s="17"/>
      <c r="AA7526" s="17"/>
      <c r="AB7526" s="17"/>
      <c r="AC7526" s="14"/>
      <c r="AD7526" s="14"/>
      <c r="AE7526" s="17"/>
      <c r="AF7526" s="14"/>
      <c r="AG7526" s="54"/>
      <c r="AH7526" s="11"/>
      <c r="AI7526" s="14"/>
      <c r="AJ7526" s="19">
        <v>0</v>
      </c>
      <c r="AK7526" s="23">
        <v>0</v>
      </c>
      <c r="AL7526" s="11"/>
      <c r="AM7526" s="19">
        <v>0</v>
      </c>
      <c r="AN7526" s="19">
        <v>4000</v>
      </c>
      <c r="AO7526" s="14"/>
      <c r="AP7526" s="14">
        <v>4000</v>
      </c>
      <c r="AQ7526" s="12">
        <v>3.0000000000000001E-3</v>
      </c>
      <c r="AS7526" s="26"/>
    </row>
    <row r="7527" spans="1:45" s="19" customFormat="1" x14ac:dyDescent="0.2">
      <c r="A7527" s="122">
        <f t="shared" si="735"/>
        <v>6221</v>
      </c>
      <c r="B7527" s="13">
        <v>49</v>
      </c>
      <c r="C7527" s="17" t="s">
        <v>52</v>
      </c>
      <c r="D7527" s="17">
        <v>32651</v>
      </c>
      <c r="E7527" s="17">
        <v>20</v>
      </c>
      <c r="F7527" s="17">
        <v>6521</v>
      </c>
      <c r="G7527" s="13">
        <v>4</v>
      </c>
      <c r="H7527" s="17">
        <v>0</v>
      </c>
      <c r="I7527" s="17">
        <v>0</v>
      </c>
      <c r="J7527" s="17">
        <v>25</v>
      </c>
      <c r="K7527" s="10"/>
      <c r="L7527" s="17"/>
      <c r="M7527" s="15"/>
      <c r="N7527" s="18">
        <v>25</v>
      </c>
      <c r="O7527" s="14"/>
      <c r="P7527" s="17">
        <v>4</v>
      </c>
      <c r="Q7527" s="19">
        <v>25</v>
      </c>
      <c r="R7527" s="14">
        <v>160</v>
      </c>
      <c r="S7527" s="19">
        <v>4000</v>
      </c>
      <c r="T7527" s="17"/>
      <c r="U7527" s="17"/>
      <c r="V7527" s="17"/>
      <c r="W7527" s="4"/>
      <c r="X7527" s="17"/>
      <c r="Y7527" s="4"/>
      <c r="Z7527" s="17"/>
      <c r="AA7527" s="17"/>
      <c r="AB7527" s="17"/>
      <c r="AC7527" s="14"/>
      <c r="AD7527" s="14"/>
      <c r="AE7527" s="17"/>
      <c r="AF7527" s="14"/>
      <c r="AG7527" s="54"/>
      <c r="AH7527" s="11"/>
      <c r="AI7527" s="14"/>
      <c r="AJ7527" s="19">
        <v>0</v>
      </c>
      <c r="AK7527" s="23">
        <v>0</v>
      </c>
      <c r="AL7527" s="11"/>
      <c r="AM7527" s="19">
        <v>0</v>
      </c>
      <c r="AN7527" s="19">
        <v>4000</v>
      </c>
      <c r="AO7527" s="14"/>
      <c r="AP7527" s="14">
        <v>4000</v>
      </c>
      <c r="AQ7527" s="12">
        <v>3.0000000000000001E-3</v>
      </c>
      <c r="AS7527" s="26"/>
    </row>
    <row r="7528" spans="1:45" s="19" customFormat="1" x14ac:dyDescent="0.2">
      <c r="A7528" s="122">
        <f t="shared" si="735"/>
        <v>6222</v>
      </c>
      <c r="B7528" s="13">
        <v>50</v>
      </c>
      <c r="C7528" s="17" t="s">
        <v>52</v>
      </c>
      <c r="D7528" s="17">
        <v>32652</v>
      </c>
      <c r="E7528" s="17">
        <v>21</v>
      </c>
      <c r="F7528" s="17">
        <v>6522</v>
      </c>
      <c r="G7528" s="13">
        <v>4</v>
      </c>
      <c r="H7528" s="17">
        <v>0</v>
      </c>
      <c r="I7528" s="17">
        <v>0</v>
      </c>
      <c r="J7528" s="17">
        <v>25</v>
      </c>
      <c r="K7528" s="10"/>
      <c r="L7528" s="17"/>
      <c r="M7528" s="15"/>
      <c r="N7528" s="18">
        <v>25</v>
      </c>
      <c r="O7528" s="14"/>
      <c r="P7528" s="17">
        <v>4</v>
      </c>
      <c r="Q7528" s="19">
        <v>25</v>
      </c>
      <c r="R7528" s="14">
        <v>160</v>
      </c>
      <c r="S7528" s="19">
        <v>4000</v>
      </c>
      <c r="T7528" s="17"/>
      <c r="U7528" s="17"/>
      <c r="V7528" s="17"/>
      <c r="W7528" s="4"/>
      <c r="X7528" s="17"/>
      <c r="Y7528" s="4"/>
      <c r="Z7528" s="17"/>
      <c r="AA7528" s="17"/>
      <c r="AB7528" s="17"/>
      <c r="AC7528" s="14"/>
      <c r="AD7528" s="14"/>
      <c r="AE7528" s="17"/>
      <c r="AF7528" s="14"/>
      <c r="AG7528" s="54"/>
      <c r="AH7528" s="11"/>
      <c r="AI7528" s="14"/>
      <c r="AJ7528" s="19">
        <v>0</v>
      </c>
      <c r="AK7528" s="23">
        <v>0</v>
      </c>
      <c r="AL7528" s="11"/>
      <c r="AM7528" s="19">
        <v>0</v>
      </c>
      <c r="AN7528" s="19">
        <v>4000</v>
      </c>
      <c r="AO7528" s="14"/>
      <c r="AP7528" s="14">
        <v>4000</v>
      </c>
      <c r="AQ7528" s="12">
        <v>3.0000000000000001E-3</v>
      </c>
      <c r="AS7528" s="26"/>
    </row>
    <row r="7529" spans="1:45" s="19" customFormat="1" x14ac:dyDescent="0.2">
      <c r="A7529" s="122">
        <f t="shared" si="735"/>
        <v>6223</v>
      </c>
      <c r="B7529" s="13">
        <v>51</v>
      </c>
      <c r="C7529" s="17" t="s">
        <v>52</v>
      </c>
      <c r="D7529" s="17">
        <v>32653</v>
      </c>
      <c r="E7529" s="17">
        <v>26</v>
      </c>
      <c r="F7529" s="17">
        <v>6523</v>
      </c>
      <c r="G7529" s="13">
        <v>4</v>
      </c>
      <c r="H7529" s="17">
        <v>0</v>
      </c>
      <c r="I7529" s="17">
        <v>0</v>
      </c>
      <c r="J7529" s="17">
        <v>25</v>
      </c>
      <c r="K7529" s="10"/>
      <c r="L7529" s="17"/>
      <c r="M7529" s="15"/>
      <c r="N7529" s="18">
        <v>25</v>
      </c>
      <c r="O7529" s="14"/>
      <c r="P7529" s="17">
        <v>4</v>
      </c>
      <c r="Q7529" s="19">
        <v>25</v>
      </c>
      <c r="R7529" s="14">
        <v>160</v>
      </c>
      <c r="S7529" s="19">
        <v>4000</v>
      </c>
      <c r="T7529" s="17"/>
      <c r="U7529" s="17"/>
      <c r="V7529" s="17"/>
      <c r="W7529" s="4"/>
      <c r="X7529" s="17"/>
      <c r="Y7529" s="4"/>
      <c r="Z7529" s="17"/>
      <c r="AA7529" s="17"/>
      <c r="AB7529" s="17"/>
      <c r="AC7529" s="14"/>
      <c r="AD7529" s="14"/>
      <c r="AE7529" s="17"/>
      <c r="AF7529" s="14"/>
      <c r="AG7529" s="54"/>
      <c r="AH7529" s="11"/>
      <c r="AI7529" s="14"/>
      <c r="AJ7529" s="19">
        <v>0</v>
      </c>
      <c r="AK7529" s="23">
        <v>0</v>
      </c>
      <c r="AL7529" s="11"/>
      <c r="AM7529" s="19">
        <v>0</v>
      </c>
      <c r="AN7529" s="19">
        <v>4000</v>
      </c>
      <c r="AO7529" s="14"/>
      <c r="AP7529" s="14">
        <v>4000</v>
      </c>
      <c r="AQ7529" s="12">
        <v>3.0000000000000001E-3</v>
      </c>
      <c r="AS7529" s="26"/>
    </row>
    <row r="7530" spans="1:45" s="19" customFormat="1" x14ac:dyDescent="0.2">
      <c r="A7530" s="122">
        <f t="shared" si="735"/>
        <v>6224</v>
      </c>
      <c r="B7530" s="13">
        <v>52</v>
      </c>
      <c r="C7530" s="17" t="s">
        <v>52</v>
      </c>
      <c r="D7530" s="17">
        <v>32654</v>
      </c>
      <c r="E7530" s="17">
        <v>27</v>
      </c>
      <c r="F7530" s="17">
        <v>6524</v>
      </c>
      <c r="G7530" s="13">
        <v>4</v>
      </c>
      <c r="H7530" s="17">
        <v>0</v>
      </c>
      <c r="I7530" s="17">
        <v>0</v>
      </c>
      <c r="J7530" s="17">
        <v>25</v>
      </c>
      <c r="K7530" s="10"/>
      <c r="L7530" s="17"/>
      <c r="M7530" s="15"/>
      <c r="N7530" s="18">
        <v>25</v>
      </c>
      <c r="O7530" s="14"/>
      <c r="P7530" s="17">
        <v>4</v>
      </c>
      <c r="Q7530" s="19">
        <v>25</v>
      </c>
      <c r="R7530" s="14">
        <v>160</v>
      </c>
      <c r="S7530" s="19">
        <v>4000</v>
      </c>
      <c r="T7530" s="17"/>
      <c r="U7530" s="17"/>
      <c r="V7530" s="17"/>
      <c r="W7530" s="4"/>
      <c r="X7530" s="17"/>
      <c r="Y7530" s="4"/>
      <c r="Z7530" s="17"/>
      <c r="AA7530" s="17"/>
      <c r="AB7530" s="17"/>
      <c r="AC7530" s="14"/>
      <c r="AD7530" s="14"/>
      <c r="AE7530" s="17"/>
      <c r="AF7530" s="14"/>
      <c r="AG7530" s="54"/>
      <c r="AH7530" s="11"/>
      <c r="AI7530" s="14"/>
      <c r="AJ7530" s="19">
        <v>0</v>
      </c>
      <c r="AK7530" s="23">
        <v>0</v>
      </c>
      <c r="AL7530" s="11"/>
      <c r="AM7530" s="19">
        <v>0</v>
      </c>
      <c r="AN7530" s="19">
        <v>4000</v>
      </c>
      <c r="AO7530" s="14"/>
      <c r="AP7530" s="14">
        <v>4000</v>
      </c>
      <c r="AQ7530" s="12">
        <v>3.0000000000000001E-3</v>
      </c>
      <c r="AS7530" s="26"/>
    </row>
    <row r="7531" spans="1:45" s="19" customFormat="1" x14ac:dyDescent="0.2">
      <c r="A7531" s="122">
        <f t="shared" ref="A7531:A7581" si="736">+A7530+1</f>
        <v>6225</v>
      </c>
      <c r="B7531" s="13">
        <v>53</v>
      </c>
      <c r="C7531" s="17" t="s">
        <v>52</v>
      </c>
      <c r="D7531" s="17">
        <v>32655</v>
      </c>
      <c r="E7531" s="17">
        <v>28</v>
      </c>
      <c r="F7531" s="17">
        <v>6525</v>
      </c>
      <c r="G7531" s="13">
        <v>4</v>
      </c>
      <c r="H7531" s="17">
        <v>0</v>
      </c>
      <c r="I7531" s="17">
        <v>0</v>
      </c>
      <c r="J7531" s="17">
        <v>25</v>
      </c>
      <c r="K7531" s="10"/>
      <c r="L7531" s="17"/>
      <c r="M7531" s="15"/>
      <c r="N7531" s="18">
        <v>25</v>
      </c>
      <c r="O7531" s="14"/>
      <c r="P7531" s="17">
        <v>4</v>
      </c>
      <c r="Q7531" s="19">
        <v>25</v>
      </c>
      <c r="R7531" s="14">
        <v>160</v>
      </c>
      <c r="S7531" s="19">
        <v>4000</v>
      </c>
      <c r="T7531" s="17"/>
      <c r="U7531" s="17"/>
      <c r="V7531" s="17"/>
      <c r="W7531" s="4"/>
      <c r="X7531" s="17"/>
      <c r="Y7531" s="4"/>
      <c r="Z7531" s="17"/>
      <c r="AA7531" s="17"/>
      <c r="AB7531" s="17"/>
      <c r="AC7531" s="14"/>
      <c r="AD7531" s="14"/>
      <c r="AE7531" s="17"/>
      <c r="AF7531" s="14"/>
      <c r="AG7531" s="54"/>
      <c r="AH7531" s="11"/>
      <c r="AI7531" s="14"/>
      <c r="AJ7531" s="19">
        <v>0</v>
      </c>
      <c r="AK7531" s="23">
        <v>0</v>
      </c>
      <c r="AL7531" s="11"/>
      <c r="AM7531" s="19">
        <v>0</v>
      </c>
      <c r="AN7531" s="19">
        <v>4000</v>
      </c>
      <c r="AO7531" s="14"/>
      <c r="AP7531" s="14">
        <v>4000</v>
      </c>
      <c r="AQ7531" s="12">
        <v>3.0000000000000001E-3</v>
      </c>
      <c r="AS7531" s="26"/>
    </row>
    <row r="7532" spans="1:45" s="19" customFormat="1" x14ac:dyDescent="0.2">
      <c r="A7532" s="122">
        <f t="shared" si="736"/>
        <v>6226</v>
      </c>
      <c r="B7532" s="13">
        <v>54</v>
      </c>
      <c r="C7532" s="17" t="s">
        <v>52</v>
      </c>
      <c r="D7532" s="17">
        <v>32656</v>
      </c>
      <c r="E7532" s="17">
        <v>29</v>
      </c>
      <c r="F7532" s="17">
        <v>6526</v>
      </c>
      <c r="G7532" s="13">
        <v>4</v>
      </c>
      <c r="H7532" s="17">
        <v>0</v>
      </c>
      <c r="I7532" s="17">
        <v>0</v>
      </c>
      <c r="J7532" s="17">
        <v>25</v>
      </c>
      <c r="K7532" s="10"/>
      <c r="L7532" s="17"/>
      <c r="M7532" s="15"/>
      <c r="N7532" s="18">
        <v>25</v>
      </c>
      <c r="O7532" s="14"/>
      <c r="P7532" s="17">
        <v>4</v>
      </c>
      <c r="Q7532" s="19">
        <v>25</v>
      </c>
      <c r="R7532" s="14">
        <v>160</v>
      </c>
      <c r="S7532" s="19">
        <v>4000</v>
      </c>
      <c r="T7532" s="17"/>
      <c r="U7532" s="17"/>
      <c r="V7532" s="17"/>
      <c r="W7532" s="4"/>
      <c r="X7532" s="17"/>
      <c r="Y7532" s="4"/>
      <c r="Z7532" s="17"/>
      <c r="AA7532" s="17"/>
      <c r="AB7532" s="17"/>
      <c r="AC7532" s="14"/>
      <c r="AD7532" s="14"/>
      <c r="AE7532" s="17"/>
      <c r="AF7532" s="14"/>
      <c r="AG7532" s="54"/>
      <c r="AH7532" s="11"/>
      <c r="AI7532" s="14"/>
      <c r="AJ7532" s="19">
        <v>0</v>
      </c>
      <c r="AK7532" s="23">
        <v>0</v>
      </c>
      <c r="AL7532" s="11"/>
      <c r="AM7532" s="19">
        <v>0</v>
      </c>
      <c r="AN7532" s="19">
        <v>4000</v>
      </c>
      <c r="AO7532" s="14"/>
      <c r="AP7532" s="14">
        <v>4000</v>
      </c>
      <c r="AQ7532" s="12">
        <v>3.0000000000000001E-3</v>
      </c>
      <c r="AS7532" s="26"/>
    </row>
    <row r="7533" spans="1:45" s="19" customFormat="1" x14ac:dyDescent="0.2">
      <c r="A7533" s="122">
        <f t="shared" si="736"/>
        <v>6227</v>
      </c>
      <c r="B7533" s="13">
        <v>55</v>
      </c>
      <c r="C7533" s="17" t="s">
        <v>52</v>
      </c>
      <c r="D7533" s="17">
        <v>32657</v>
      </c>
      <c r="E7533" s="17">
        <v>30</v>
      </c>
      <c r="F7533" s="17">
        <v>6527</v>
      </c>
      <c r="G7533" s="13">
        <v>4</v>
      </c>
      <c r="H7533" s="17">
        <v>0</v>
      </c>
      <c r="I7533" s="17">
        <v>0</v>
      </c>
      <c r="J7533" s="17">
        <v>41.06</v>
      </c>
      <c r="K7533" s="10"/>
      <c r="L7533" s="17"/>
      <c r="M7533" s="15"/>
      <c r="N7533" s="18">
        <v>41.06</v>
      </c>
      <c r="O7533" s="14"/>
      <c r="P7533" s="17">
        <v>4</v>
      </c>
      <c r="Q7533" s="19">
        <v>41.06</v>
      </c>
      <c r="R7533" s="14">
        <v>160</v>
      </c>
      <c r="S7533" s="19">
        <v>6569.6</v>
      </c>
      <c r="T7533" s="17"/>
      <c r="U7533" s="17"/>
      <c r="V7533" s="17"/>
      <c r="W7533" s="4"/>
      <c r="X7533" s="17"/>
      <c r="Y7533" s="4"/>
      <c r="Z7533" s="17"/>
      <c r="AA7533" s="17"/>
      <c r="AB7533" s="17"/>
      <c r="AC7533" s="14"/>
      <c r="AD7533" s="14"/>
      <c r="AE7533" s="17"/>
      <c r="AF7533" s="14"/>
      <c r="AG7533" s="54"/>
      <c r="AH7533" s="11"/>
      <c r="AI7533" s="14"/>
      <c r="AJ7533" s="19">
        <v>0</v>
      </c>
      <c r="AK7533" s="23">
        <v>0</v>
      </c>
      <c r="AL7533" s="11"/>
      <c r="AM7533" s="19">
        <v>0</v>
      </c>
      <c r="AN7533" s="19">
        <v>6569.6</v>
      </c>
      <c r="AO7533" s="14"/>
      <c r="AP7533" s="14">
        <v>6569.6</v>
      </c>
      <c r="AQ7533" s="12">
        <v>3.0000000000000001E-3</v>
      </c>
      <c r="AS7533" s="26"/>
    </row>
    <row r="7534" spans="1:45" s="19" customFormat="1" x14ac:dyDescent="0.2">
      <c r="A7534" s="122">
        <f t="shared" si="736"/>
        <v>6228</v>
      </c>
      <c r="B7534" s="13">
        <v>56</v>
      </c>
      <c r="C7534" s="17" t="s">
        <v>52</v>
      </c>
      <c r="D7534" s="17">
        <v>32658</v>
      </c>
      <c r="E7534" s="17">
        <v>35</v>
      </c>
      <c r="F7534" s="17">
        <v>6528</v>
      </c>
      <c r="G7534" s="13">
        <v>4</v>
      </c>
      <c r="H7534" s="17">
        <v>0</v>
      </c>
      <c r="I7534" s="17">
        <v>0</v>
      </c>
      <c r="J7534" s="17">
        <v>52.01</v>
      </c>
      <c r="K7534" s="10"/>
      <c r="L7534" s="17"/>
      <c r="M7534" s="15"/>
      <c r="N7534" s="18">
        <v>52.01</v>
      </c>
      <c r="O7534" s="14"/>
      <c r="P7534" s="17">
        <v>4</v>
      </c>
      <c r="Q7534" s="19">
        <v>52.01</v>
      </c>
      <c r="R7534" s="14">
        <v>160</v>
      </c>
      <c r="S7534" s="19">
        <v>8321.6</v>
      </c>
      <c r="T7534" s="17"/>
      <c r="U7534" s="17"/>
      <c r="V7534" s="17"/>
      <c r="W7534" s="4"/>
      <c r="X7534" s="17"/>
      <c r="Y7534" s="4"/>
      <c r="Z7534" s="17"/>
      <c r="AA7534" s="17"/>
      <c r="AB7534" s="17"/>
      <c r="AC7534" s="14"/>
      <c r="AD7534" s="14"/>
      <c r="AE7534" s="17"/>
      <c r="AF7534" s="14"/>
      <c r="AG7534" s="54"/>
      <c r="AH7534" s="11"/>
      <c r="AI7534" s="14"/>
      <c r="AJ7534" s="19">
        <v>0</v>
      </c>
      <c r="AK7534" s="23">
        <v>0</v>
      </c>
      <c r="AL7534" s="11"/>
      <c r="AM7534" s="19">
        <v>0</v>
      </c>
      <c r="AN7534" s="19">
        <v>8321.6</v>
      </c>
      <c r="AO7534" s="14"/>
      <c r="AP7534" s="14">
        <v>8321.6</v>
      </c>
      <c r="AQ7534" s="12">
        <v>3.0000000000000001E-3</v>
      </c>
      <c r="AS7534" s="26"/>
    </row>
    <row r="7535" spans="1:45" s="19" customFormat="1" x14ac:dyDescent="0.2">
      <c r="A7535" s="122">
        <f t="shared" si="736"/>
        <v>6229</v>
      </c>
      <c r="B7535" s="13">
        <v>57</v>
      </c>
      <c r="C7535" s="17" t="s">
        <v>52</v>
      </c>
      <c r="D7535" s="17">
        <v>32659</v>
      </c>
      <c r="E7535" s="17">
        <v>34</v>
      </c>
      <c r="F7535" s="17">
        <v>6529</v>
      </c>
      <c r="G7535" s="13">
        <v>4</v>
      </c>
      <c r="H7535" s="17">
        <v>0</v>
      </c>
      <c r="I7535" s="17">
        <v>0</v>
      </c>
      <c r="J7535" s="17">
        <v>25</v>
      </c>
      <c r="K7535" s="10"/>
      <c r="L7535" s="17"/>
      <c r="M7535" s="15"/>
      <c r="N7535" s="18">
        <v>25</v>
      </c>
      <c r="O7535" s="14"/>
      <c r="P7535" s="17">
        <v>4</v>
      </c>
      <c r="Q7535" s="19">
        <v>25</v>
      </c>
      <c r="R7535" s="14">
        <v>160</v>
      </c>
      <c r="S7535" s="19">
        <v>4000</v>
      </c>
      <c r="T7535" s="17"/>
      <c r="U7535" s="17"/>
      <c r="V7535" s="17"/>
      <c r="W7535" s="4"/>
      <c r="X7535" s="17"/>
      <c r="Y7535" s="4"/>
      <c r="Z7535" s="17"/>
      <c r="AA7535" s="17"/>
      <c r="AB7535" s="17"/>
      <c r="AC7535" s="14"/>
      <c r="AD7535" s="14"/>
      <c r="AE7535" s="17"/>
      <c r="AF7535" s="14"/>
      <c r="AG7535" s="54"/>
      <c r="AH7535" s="11"/>
      <c r="AI7535" s="14"/>
      <c r="AJ7535" s="19">
        <v>0</v>
      </c>
      <c r="AK7535" s="23">
        <v>0</v>
      </c>
      <c r="AL7535" s="11"/>
      <c r="AM7535" s="19">
        <v>0</v>
      </c>
      <c r="AN7535" s="19">
        <v>4000</v>
      </c>
      <c r="AO7535" s="14"/>
      <c r="AP7535" s="14">
        <v>4000</v>
      </c>
      <c r="AQ7535" s="12">
        <v>3.0000000000000001E-3</v>
      </c>
      <c r="AS7535" s="26"/>
    </row>
    <row r="7536" spans="1:45" s="19" customFormat="1" x14ac:dyDescent="0.2">
      <c r="A7536" s="122">
        <f t="shared" si="736"/>
        <v>6230</v>
      </c>
      <c r="B7536" s="13">
        <v>58</v>
      </c>
      <c r="C7536" s="17" t="s">
        <v>52</v>
      </c>
      <c r="D7536" s="17">
        <v>32660</v>
      </c>
      <c r="E7536" s="17">
        <v>33</v>
      </c>
      <c r="F7536" s="17">
        <v>6530</v>
      </c>
      <c r="G7536" s="13">
        <v>4</v>
      </c>
      <c r="H7536" s="17">
        <v>0</v>
      </c>
      <c r="I7536" s="17">
        <v>0</v>
      </c>
      <c r="J7536" s="17">
        <v>25</v>
      </c>
      <c r="K7536" s="10"/>
      <c r="L7536" s="17"/>
      <c r="M7536" s="15"/>
      <c r="N7536" s="18">
        <v>25</v>
      </c>
      <c r="O7536" s="14"/>
      <c r="P7536" s="17">
        <v>4</v>
      </c>
      <c r="Q7536" s="19">
        <v>25</v>
      </c>
      <c r="R7536" s="14">
        <v>160</v>
      </c>
      <c r="S7536" s="19">
        <v>4000</v>
      </c>
      <c r="T7536" s="17"/>
      <c r="U7536" s="17"/>
      <c r="V7536" s="17"/>
      <c r="W7536" s="4"/>
      <c r="X7536" s="17"/>
      <c r="Y7536" s="4"/>
      <c r="Z7536" s="17"/>
      <c r="AA7536" s="17"/>
      <c r="AB7536" s="17"/>
      <c r="AC7536" s="14"/>
      <c r="AD7536" s="14"/>
      <c r="AE7536" s="17"/>
      <c r="AF7536" s="14"/>
      <c r="AG7536" s="54"/>
      <c r="AH7536" s="11"/>
      <c r="AI7536" s="14"/>
      <c r="AJ7536" s="19">
        <v>0</v>
      </c>
      <c r="AK7536" s="23">
        <v>0</v>
      </c>
      <c r="AL7536" s="11"/>
      <c r="AM7536" s="19">
        <v>0</v>
      </c>
      <c r="AN7536" s="19">
        <v>4000</v>
      </c>
      <c r="AO7536" s="14"/>
      <c r="AP7536" s="14">
        <v>4000</v>
      </c>
      <c r="AQ7536" s="12">
        <v>3.0000000000000001E-3</v>
      </c>
      <c r="AS7536" s="26"/>
    </row>
    <row r="7537" spans="1:45" s="19" customFormat="1" x14ac:dyDescent="0.2">
      <c r="A7537" s="122">
        <f t="shared" si="736"/>
        <v>6231</v>
      </c>
      <c r="B7537" s="13">
        <v>59</v>
      </c>
      <c r="C7537" s="17" t="s">
        <v>52</v>
      </c>
      <c r="D7537" s="17">
        <v>32661</v>
      </c>
      <c r="E7537" s="17">
        <v>32</v>
      </c>
      <c r="F7537" s="17">
        <v>6531</v>
      </c>
      <c r="G7537" s="13">
        <v>4</v>
      </c>
      <c r="H7537" s="17">
        <v>0</v>
      </c>
      <c r="I7537" s="17">
        <v>0</v>
      </c>
      <c r="J7537" s="17">
        <v>25</v>
      </c>
      <c r="K7537" s="10"/>
      <c r="L7537" s="17"/>
      <c r="M7537" s="15"/>
      <c r="N7537" s="18">
        <v>25</v>
      </c>
      <c r="O7537" s="14"/>
      <c r="P7537" s="17">
        <v>4</v>
      </c>
      <c r="Q7537" s="19">
        <v>25</v>
      </c>
      <c r="R7537" s="14">
        <v>160</v>
      </c>
      <c r="S7537" s="19">
        <v>4000</v>
      </c>
      <c r="T7537" s="17"/>
      <c r="U7537" s="17"/>
      <c r="V7537" s="17"/>
      <c r="W7537" s="4"/>
      <c r="X7537" s="17"/>
      <c r="Y7537" s="4"/>
      <c r="Z7537" s="17"/>
      <c r="AA7537" s="17"/>
      <c r="AB7537" s="17"/>
      <c r="AC7537" s="14"/>
      <c r="AD7537" s="14"/>
      <c r="AE7537" s="17"/>
      <c r="AF7537" s="14"/>
      <c r="AG7537" s="54"/>
      <c r="AH7537" s="11"/>
      <c r="AI7537" s="14"/>
      <c r="AJ7537" s="19">
        <v>0</v>
      </c>
      <c r="AK7537" s="23">
        <v>0</v>
      </c>
      <c r="AL7537" s="11"/>
      <c r="AM7537" s="19">
        <v>0</v>
      </c>
      <c r="AN7537" s="19">
        <v>4000</v>
      </c>
      <c r="AO7537" s="14"/>
      <c r="AP7537" s="14">
        <v>4000</v>
      </c>
      <c r="AQ7537" s="12">
        <v>3.0000000000000001E-3</v>
      </c>
      <c r="AS7537" s="26"/>
    </row>
    <row r="7538" spans="1:45" s="19" customFormat="1" x14ac:dyDescent="0.2">
      <c r="A7538" s="122">
        <f t="shared" si="736"/>
        <v>6232</v>
      </c>
      <c r="B7538" s="13">
        <v>60</v>
      </c>
      <c r="C7538" s="17" t="s">
        <v>52</v>
      </c>
      <c r="D7538" s="17">
        <v>32662</v>
      </c>
      <c r="E7538" s="17">
        <v>31</v>
      </c>
      <c r="F7538" s="17">
        <v>6532</v>
      </c>
      <c r="G7538" s="13">
        <v>4</v>
      </c>
      <c r="H7538" s="17">
        <v>0</v>
      </c>
      <c r="I7538" s="17">
        <v>0</v>
      </c>
      <c r="J7538" s="17">
        <v>25</v>
      </c>
      <c r="K7538" s="10"/>
      <c r="L7538" s="17"/>
      <c r="M7538" s="15"/>
      <c r="N7538" s="18">
        <v>25</v>
      </c>
      <c r="O7538" s="14"/>
      <c r="P7538" s="17">
        <v>4</v>
      </c>
      <c r="Q7538" s="19">
        <v>25</v>
      </c>
      <c r="R7538" s="14">
        <v>160</v>
      </c>
      <c r="S7538" s="19">
        <v>4000</v>
      </c>
      <c r="T7538" s="17"/>
      <c r="U7538" s="17"/>
      <c r="V7538" s="17"/>
      <c r="W7538" s="4"/>
      <c r="X7538" s="17"/>
      <c r="Y7538" s="4"/>
      <c r="Z7538" s="17"/>
      <c r="AA7538" s="17"/>
      <c r="AB7538" s="17"/>
      <c r="AC7538" s="14"/>
      <c r="AD7538" s="14"/>
      <c r="AE7538" s="17"/>
      <c r="AF7538" s="14"/>
      <c r="AG7538" s="54"/>
      <c r="AH7538" s="11"/>
      <c r="AI7538" s="14"/>
      <c r="AJ7538" s="19">
        <v>0</v>
      </c>
      <c r="AK7538" s="23">
        <v>0</v>
      </c>
      <c r="AL7538" s="11"/>
      <c r="AM7538" s="19">
        <v>0</v>
      </c>
      <c r="AN7538" s="19">
        <v>4000</v>
      </c>
      <c r="AO7538" s="14"/>
      <c r="AP7538" s="14">
        <v>4000</v>
      </c>
      <c r="AQ7538" s="12">
        <v>3.0000000000000001E-3</v>
      </c>
      <c r="AS7538" s="26"/>
    </row>
    <row r="7539" spans="1:45" s="19" customFormat="1" x14ac:dyDescent="0.2">
      <c r="A7539" s="122">
        <f t="shared" si="736"/>
        <v>6233</v>
      </c>
      <c r="B7539" s="13">
        <v>61</v>
      </c>
      <c r="C7539" s="17" t="s">
        <v>52</v>
      </c>
      <c r="D7539" s="17">
        <v>32663</v>
      </c>
      <c r="E7539" s="17">
        <v>22</v>
      </c>
      <c r="F7539" s="17">
        <v>6533</v>
      </c>
      <c r="G7539" s="13">
        <v>4</v>
      </c>
      <c r="H7539" s="17">
        <v>0</v>
      </c>
      <c r="I7539" s="17">
        <v>0</v>
      </c>
      <c r="J7539" s="17">
        <v>25</v>
      </c>
      <c r="K7539" s="10"/>
      <c r="L7539" s="17"/>
      <c r="M7539" s="15"/>
      <c r="N7539" s="18">
        <v>25</v>
      </c>
      <c r="O7539" s="14"/>
      <c r="P7539" s="17">
        <v>4</v>
      </c>
      <c r="Q7539" s="19">
        <v>25</v>
      </c>
      <c r="R7539" s="14">
        <v>160</v>
      </c>
      <c r="S7539" s="19">
        <v>4000</v>
      </c>
      <c r="T7539" s="17"/>
      <c r="U7539" s="17"/>
      <c r="V7539" s="17"/>
      <c r="W7539" s="4"/>
      <c r="X7539" s="17"/>
      <c r="Y7539" s="4"/>
      <c r="Z7539" s="17"/>
      <c r="AA7539" s="17"/>
      <c r="AB7539" s="17"/>
      <c r="AC7539" s="14"/>
      <c r="AD7539" s="14"/>
      <c r="AE7539" s="17"/>
      <c r="AF7539" s="14"/>
      <c r="AG7539" s="54"/>
      <c r="AH7539" s="11"/>
      <c r="AI7539" s="14"/>
      <c r="AJ7539" s="19">
        <v>0</v>
      </c>
      <c r="AK7539" s="23">
        <v>0</v>
      </c>
      <c r="AL7539" s="11"/>
      <c r="AM7539" s="19">
        <v>0</v>
      </c>
      <c r="AN7539" s="19">
        <v>4000</v>
      </c>
      <c r="AO7539" s="14"/>
      <c r="AP7539" s="14">
        <v>4000</v>
      </c>
      <c r="AQ7539" s="12">
        <v>3.0000000000000001E-3</v>
      </c>
      <c r="AS7539" s="26"/>
    </row>
    <row r="7540" spans="1:45" s="19" customFormat="1" x14ac:dyDescent="0.2">
      <c r="A7540" s="122">
        <f t="shared" si="736"/>
        <v>6234</v>
      </c>
      <c r="B7540" s="13">
        <v>62</v>
      </c>
      <c r="C7540" s="17" t="s">
        <v>52</v>
      </c>
      <c r="D7540" s="17">
        <v>32664</v>
      </c>
      <c r="E7540" s="17">
        <v>23</v>
      </c>
      <c r="F7540" s="17">
        <v>6534</v>
      </c>
      <c r="G7540" s="13">
        <v>4</v>
      </c>
      <c r="H7540" s="17">
        <v>0</v>
      </c>
      <c r="I7540" s="17">
        <v>0</v>
      </c>
      <c r="J7540" s="17">
        <v>25</v>
      </c>
      <c r="K7540" s="10"/>
      <c r="L7540" s="17"/>
      <c r="M7540" s="15"/>
      <c r="N7540" s="18">
        <v>25</v>
      </c>
      <c r="O7540" s="14"/>
      <c r="P7540" s="17">
        <v>4</v>
      </c>
      <c r="Q7540" s="19">
        <v>25</v>
      </c>
      <c r="R7540" s="14">
        <v>160</v>
      </c>
      <c r="S7540" s="19">
        <v>4000</v>
      </c>
      <c r="T7540" s="17"/>
      <c r="U7540" s="17"/>
      <c r="V7540" s="17"/>
      <c r="W7540" s="4"/>
      <c r="X7540" s="17"/>
      <c r="Y7540" s="4"/>
      <c r="Z7540" s="17"/>
      <c r="AA7540" s="17"/>
      <c r="AB7540" s="17"/>
      <c r="AC7540" s="14"/>
      <c r="AD7540" s="14"/>
      <c r="AE7540" s="17"/>
      <c r="AF7540" s="14"/>
      <c r="AG7540" s="54"/>
      <c r="AH7540" s="11"/>
      <c r="AI7540" s="14"/>
      <c r="AJ7540" s="19">
        <v>0</v>
      </c>
      <c r="AK7540" s="23">
        <v>0</v>
      </c>
      <c r="AL7540" s="11"/>
      <c r="AM7540" s="19">
        <v>0</v>
      </c>
      <c r="AN7540" s="19">
        <v>4000</v>
      </c>
      <c r="AO7540" s="14"/>
      <c r="AP7540" s="14">
        <v>4000</v>
      </c>
      <c r="AQ7540" s="12">
        <v>3.0000000000000001E-3</v>
      </c>
      <c r="AS7540" s="26"/>
    </row>
    <row r="7541" spans="1:45" s="19" customFormat="1" x14ac:dyDescent="0.2">
      <c r="A7541" s="122">
        <f t="shared" si="736"/>
        <v>6235</v>
      </c>
      <c r="B7541" s="13">
        <v>63</v>
      </c>
      <c r="C7541" s="17" t="s">
        <v>52</v>
      </c>
      <c r="D7541" s="17">
        <v>32665</v>
      </c>
      <c r="E7541" s="17">
        <v>24</v>
      </c>
      <c r="F7541" s="17">
        <v>6535</v>
      </c>
      <c r="G7541" s="13">
        <v>4</v>
      </c>
      <c r="H7541" s="17">
        <v>0</v>
      </c>
      <c r="I7541" s="17">
        <v>0</v>
      </c>
      <c r="J7541" s="17">
        <v>25</v>
      </c>
      <c r="K7541" s="10"/>
      <c r="L7541" s="17"/>
      <c r="M7541" s="15"/>
      <c r="N7541" s="18">
        <v>25</v>
      </c>
      <c r="O7541" s="14"/>
      <c r="P7541" s="17">
        <v>4</v>
      </c>
      <c r="Q7541" s="19">
        <v>25</v>
      </c>
      <c r="R7541" s="14">
        <v>160</v>
      </c>
      <c r="S7541" s="19">
        <v>4000</v>
      </c>
      <c r="T7541" s="17"/>
      <c r="U7541" s="17"/>
      <c r="V7541" s="17"/>
      <c r="W7541" s="4"/>
      <c r="X7541" s="17"/>
      <c r="Y7541" s="4"/>
      <c r="Z7541" s="17"/>
      <c r="AA7541" s="17"/>
      <c r="AB7541" s="17"/>
      <c r="AC7541" s="14"/>
      <c r="AD7541" s="14"/>
      <c r="AE7541" s="17"/>
      <c r="AF7541" s="14"/>
      <c r="AG7541" s="54"/>
      <c r="AH7541" s="11"/>
      <c r="AI7541" s="14"/>
      <c r="AJ7541" s="19">
        <v>0</v>
      </c>
      <c r="AK7541" s="23">
        <v>0</v>
      </c>
      <c r="AL7541" s="11"/>
      <c r="AM7541" s="19">
        <v>0</v>
      </c>
      <c r="AN7541" s="19">
        <v>4000</v>
      </c>
      <c r="AO7541" s="14"/>
      <c r="AP7541" s="14">
        <v>4000</v>
      </c>
      <c r="AQ7541" s="12">
        <v>3.0000000000000001E-3</v>
      </c>
      <c r="AS7541" s="26"/>
    </row>
    <row r="7542" spans="1:45" s="19" customFormat="1" x14ac:dyDescent="0.2">
      <c r="A7542" s="122">
        <f t="shared" si="736"/>
        <v>6236</v>
      </c>
      <c r="B7542" s="13">
        <v>64</v>
      </c>
      <c r="C7542" s="17" t="s">
        <v>52</v>
      </c>
      <c r="D7542" s="17">
        <v>32666</v>
      </c>
      <c r="E7542" s="17">
        <v>25</v>
      </c>
      <c r="F7542" s="17">
        <v>6536</v>
      </c>
      <c r="G7542" s="13">
        <v>4</v>
      </c>
      <c r="H7542" s="17">
        <v>0</v>
      </c>
      <c r="I7542" s="17">
        <v>0</v>
      </c>
      <c r="J7542" s="17">
        <v>25</v>
      </c>
      <c r="K7542" s="10"/>
      <c r="L7542" s="17"/>
      <c r="M7542" s="15"/>
      <c r="N7542" s="18">
        <v>25</v>
      </c>
      <c r="O7542" s="14"/>
      <c r="P7542" s="17">
        <v>4</v>
      </c>
      <c r="Q7542" s="19">
        <v>25</v>
      </c>
      <c r="R7542" s="14">
        <v>160</v>
      </c>
      <c r="S7542" s="19">
        <v>4000</v>
      </c>
      <c r="T7542" s="17"/>
      <c r="U7542" s="17"/>
      <c r="V7542" s="17"/>
      <c r="W7542" s="4"/>
      <c r="X7542" s="17"/>
      <c r="Y7542" s="4"/>
      <c r="Z7542" s="17"/>
      <c r="AA7542" s="17"/>
      <c r="AB7542" s="17"/>
      <c r="AC7542" s="14"/>
      <c r="AD7542" s="14"/>
      <c r="AE7542" s="17"/>
      <c r="AF7542" s="14"/>
      <c r="AG7542" s="54"/>
      <c r="AH7542" s="11"/>
      <c r="AI7542" s="14"/>
      <c r="AJ7542" s="19">
        <v>0</v>
      </c>
      <c r="AK7542" s="23">
        <v>0</v>
      </c>
      <c r="AL7542" s="11"/>
      <c r="AM7542" s="19">
        <v>0</v>
      </c>
      <c r="AN7542" s="19">
        <v>4000</v>
      </c>
      <c r="AO7542" s="14"/>
      <c r="AP7542" s="14">
        <v>4000</v>
      </c>
      <c r="AQ7542" s="12">
        <v>3.0000000000000001E-3</v>
      </c>
      <c r="AS7542" s="26"/>
    </row>
    <row r="7543" spans="1:45" s="19" customFormat="1" x14ac:dyDescent="0.2">
      <c r="A7543" s="122">
        <f t="shared" si="736"/>
        <v>6237</v>
      </c>
      <c r="B7543" s="13">
        <v>65</v>
      </c>
      <c r="C7543" s="17" t="s">
        <v>52</v>
      </c>
      <c r="D7543" s="17">
        <v>32667</v>
      </c>
      <c r="E7543" s="17">
        <v>36</v>
      </c>
      <c r="F7543" s="17">
        <v>6537</v>
      </c>
      <c r="G7543" s="13">
        <v>4</v>
      </c>
      <c r="H7543" s="17">
        <v>0</v>
      </c>
      <c r="I7543" s="17">
        <v>0</v>
      </c>
      <c r="J7543" s="17">
        <v>25</v>
      </c>
      <c r="K7543" s="10"/>
      <c r="L7543" s="17"/>
      <c r="M7543" s="15"/>
      <c r="N7543" s="18">
        <v>25</v>
      </c>
      <c r="O7543" s="14"/>
      <c r="P7543" s="17">
        <v>4</v>
      </c>
      <c r="Q7543" s="19">
        <v>25</v>
      </c>
      <c r="R7543" s="14">
        <v>160</v>
      </c>
      <c r="S7543" s="19">
        <v>4000</v>
      </c>
      <c r="T7543" s="17"/>
      <c r="U7543" s="17"/>
      <c r="V7543" s="17"/>
      <c r="W7543" s="4"/>
      <c r="X7543" s="17"/>
      <c r="Y7543" s="4"/>
      <c r="Z7543" s="17"/>
      <c r="AA7543" s="17"/>
      <c r="AB7543" s="17"/>
      <c r="AC7543" s="14"/>
      <c r="AD7543" s="14"/>
      <c r="AE7543" s="17"/>
      <c r="AF7543" s="14"/>
      <c r="AG7543" s="54"/>
      <c r="AH7543" s="11"/>
      <c r="AI7543" s="14"/>
      <c r="AJ7543" s="19">
        <v>0</v>
      </c>
      <c r="AK7543" s="23">
        <v>0</v>
      </c>
      <c r="AL7543" s="11"/>
      <c r="AM7543" s="19">
        <v>0</v>
      </c>
      <c r="AN7543" s="19">
        <v>4000</v>
      </c>
      <c r="AO7543" s="14"/>
      <c r="AP7543" s="14">
        <v>4000</v>
      </c>
      <c r="AQ7543" s="12">
        <v>3.0000000000000001E-3</v>
      </c>
      <c r="AS7543" s="26"/>
    </row>
    <row r="7544" spans="1:45" s="19" customFormat="1" x14ac:dyDescent="0.2">
      <c r="A7544" s="122">
        <f t="shared" si="736"/>
        <v>6238</v>
      </c>
      <c r="B7544" s="13">
        <v>66</v>
      </c>
      <c r="C7544" s="17" t="s">
        <v>52</v>
      </c>
      <c r="D7544" s="17">
        <v>32668</v>
      </c>
      <c r="E7544" s="17">
        <v>37</v>
      </c>
      <c r="F7544" s="17">
        <v>6538</v>
      </c>
      <c r="G7544" s="13">
        <v>4</v>
      </c>
      <c r="H7544" s="17">
        <v>0</v>
      </c>
      <c r="I7544" s="17">
        <v>0</v>
      </c>
      <c r="J7544" s="17">
        <v>25</v>
      </c>
      <c r="K7544" s="10"/>
      <c r="L7544" s="17"/>
      <c r="M7544" s="15"/>
      <c r="N7544" s="18">
        <v>25</v>
      </c>
      <c r="O7544" s="14"/>
      <c r="P7544" s="17">
        <v>4</v>
      </c>
      <c r="Q7544" s="19">
        <v>25</v>
      </c>
      <c r="R7544" s="14">
        <v>160</v>
      </c>
      <c r="S7544" s="19">
        <v>4000</v>
      </c>
      <c r="T7544" s="17"/>
      <c r="U7544" s="17"/>
      <c r="V7544" s="17"/>
      <c r="W7544" s="4"/>
      <c r="X7544" s="17"/>
      <c r="Y7544" s="4"/>
      <c r="Z7544" s="17"/>
      <c r="AA7544" s="17"/>
      <c r="AB7544" s="17"/>
      <c r="AC7544" s="14"/>
      <c r="AD7544" s="14"/>
      <c r="AE7544" s="17"/>
      <c r="AF7544" s="14"/>
      <c r="AG7544" s="54"/>
      <c r="AH7544" s="11"/>
      <c r="AI7544" s="14"/>
      <c r="AJ7544" s="19">
        <v>0</v>
      </c>
      <c r="AK7544" s="23">
        <v>0</v>
      </c>
      <c r="AL7544" s="11"/>
      <c r="AM7544" s="19">
        <v>0</v>
      </c>
      <c r="AN7544" s="19">
        <v>4000</v>
      </c>
      <c r="AO7544" s="14"/>
      <c r="AP7544" s="14">
        <v>4000</v>
      </c>
      <c r="AQ7544" s="12">
        <v>3.0000000000000001E-3</v>
      </c>
      <c r="AS7544" s="26"/>
    </row>
    <row r="7545" spans="1:45" s="19" customFormat="1" x14ac:dyDescent="0.2">
      <c r="A7545" s="122">
        <f t="shared" si="736"/>
        <v>6239</v>
      </c>
      <c r="B7545" s="13">
        <v>67</v>
      </c>
      <c r="C7545" s="17" t="s">
        <v>52</v>
      </c>
      <c r="D7545" s="17">
        <v>32669</v>
      </c>
      <c r="E7545" s="17">
        <v>38</v>
      </c>
      <c r="F7545" s="17">
        <v>6539</v>
      </c>
      <c r="G7545" s="13">
        <v>4</v>
      </c>
      <c r="H7545" s="17">
        <v>0</v>
      </c>
      <c r="I7545" s="17">
        <v>0</v>
      </c>
      <c r="J7545" s="17">
        <v>25</v>
      </c>
      <c r="K7545" s="10"/>
      <c r="L7545" s="17"/>
      <c r="M7545" s="15"/>
      <c r="N7545" s="18">
        <v>25</v>
      </c>
      <c r="O7545" s="14"/>
      <c r="P7545" s="17">
        <v>4</v>
      </c>
      <c r="Q7545" s="19">
        <v>25</v>
      </c>
      <c r="R7545" s="14">
        <v>160</v>
      </c>
      <c r="S7545" s="19">
        <v>4000</v>
      </c>
      <c r="T7545" s="17"/>
      <c r="U7545" s="17"/>
      <c r="V7545" s="17"/>
      <c r="W7545" s="4"/>
      <c r="X7545" s="17"/>
      <c r="Y7545" s="4"/>
      <c r="Z7545" s="17"/>
      <c r="AA7545" s="17"/>
      <c r="AB7545" s="17"/>
      <c r="AC7545" s="14"/>
      <c r="AD7545" s="14"/>
      <c r="AE7545" s="17"/>
      <c r="AF7545" s="14"/>
      <c r="AG7545" s="54"/>
      <c r="AH7545" s="11"/>
      <c r="AI7545" s="14"/>
      <c r="AJ7545" s="19">
        <v>0</v>
      </c>
      <c r="AK7545" s="23">
        <v>0</v>
      </c>
      <c r="AL7545" s="11"/>
      <c r="AM7545" s="19">
        <v>0</v>
      </c>
      <c r="AN7545" s="19">
        <v>4000</v>
      </c>
      <c r="AO7545" s="14"/>
      <c r="AP7545" s="14">
        <v>4000</v>
      </c>
      <c r="AQ7545" s="12">
        <v>3.0000000000000001E-3</v>
      </c>
      <c r="AS7545" s="26"/>
    </row>
    <row r="7546" spans="1:45" s="19" customFormat="1" x14ac:dyDescent="0.2">
      <c r="A7546" s="122">
        <f t="shared" si="736"/>
        <v>6240</v>
      </c>
      <c r="B7546" s="13">
        <v>68</v>
      </c>
      <c r="C7546" s="17" t="s">
        <v>52</v>
      </c>
      <c r="D7546" s="17">
        <v>32670</v>
      </c>
      <c r="E7546" s="17">
        <v>39</v>
      </c>
      <c r="F7546" s="17">
        <v>6540</v>
      </c>
      <c r="G7546" s="13">
        <v>4</v>
      </c>
      <c r="H7546" s="17">
        <v>0</v>
      </c>
      <c r="I7546" s="17">
        <v>0</v>
      </c>
      <c r="J7546" s="17">
        <v>25</v>
      </c>
      <c r="K7546" s="10"/>
      <c r="L7546" s="17"/>
      <c r="M7546" s="15"/>
      <c r="N7546" s="18">
        <v>25</v>
      </c>
      <c r="O7546" s="14"/>
      <c r="P7546" s="17">
        <v>4</v>
      </c>
      <c r="Q7546" s="19">
        <v>25</v>
      </c>
      <c r="R7546" s="14">
        <v>160</v>
      </c>
      <c r="S7546" s="19">
        <v>4000</v>
      </c>
      <c r="T7546" s="17"/>
      <c r="U7546" s="17"/>
      <c r="V7546" s="17"/>
      <c r="W7546" s="4"/>
      <c r="X7546" s="17"/>
      <c r="Y7546" s="4"/>
      <c r="Z7546" s="17"/>
      <c r="AA7546" s="17"/>
      <c r="AB7546" s="17"/>
      <c r="AC7546" s="14"/>
      <c r="AD7546" s="14"/>
      <c r="AE7546" s="17"/>
      <c r="AF7546" s="14"/>
      <c r="AG7546" s="54"/>
      <c r="AH7546" s="11"/>
      <c r="AI7546" s="14"/>
      <c r="AJ7546" s="19">
        <v>0</v>
      </c>
      <c r="AK7546" s="23">
        <v>0</v>
      </c>
      <c r="AL7546" s="11"/>
      <c r="AM7546" s="19">
        <v>0</v>
      </c>
      <c r="AN7546" s="19">
        <v>4000</v>
      </c>
      <c r="AO7546" s="14"/>
      <c r="AP7546" s="14">
        <v>4000</v>
      </c>
      <c r="AQ7546" s="12">
        <v>3.0000000000000001E-3</v>
      </c>
      <c r="AS7546" s="26"/>
    </row>
    <row r="7547" spans="1:45" s="19" customFormat="1" x14ac:dyDescent="0.2">
      <c r="A7547" s="122">
        <f t="shared" si="736"/>
        <v>6241</v>
      </c>
      <c r="B7547" s="13">
        <v>69</v>
      </c>
      <c r="C7547" s="17" t="s">
        <v>52</v>
      </c>
      <c r="D7547" s="17">
        <v>32671</v>
      </c>
      <c r="E7547" s="17">
        <v>40</v>
      </c>
      <c r="F7547" s="17">
        <v>6541</v>
      </c>
      <c r="G7547" s="13">
        <v>4</v>
      </c>
      <c r="H7547" s="17">
        <v>0</v>
      </c>
      <c r="I7547" s="17">
        <v>0</v>
      </c>
      <c r="J7547" s="17">
        <v>25</v>
      </c>
      <c r="K7547" s="10"/>
      <c r="L7547" s="17"/>
      <c r="M7547" s="15"/>
      <c r="N7547" s="18">
        <v>25</v>
      </c>
      <c r="O7547" s="14"/>
      <c r="P7547" s="17">
        <v>4</v>
      </c>
      <c r="Q7547" s="19">
        <v>25</v>
      </c>
      <c r="R7547" s="14">
        <v>160</v>
      </c>
      <c r="S7547" s="19">
        <v>4000</v>
      </c>
      <c r="T7547" s="17"/>
      <c r="U7547" s="17"/>
      <c r="V7547" s="17"/>
      <c r="W7547" s="4"/>
      <c r="X7547" s="17"/>
      <c r="Y7547" s="4"/>
      <c r="Z7547" s="17"/>
      <c r="AA7547" s="17"/>
      <c r="AB7547" s="17"/>
      <c r="AC7547" s="14"/>
      <c r="AD7547" s="14"/>
      <c r="AE7547" s="17"/>
      <c r="AF7547" s="14"/>
      <c r="AG7547" s="54"/>
      <c r="AH7547" s="11"/>
      <c r="AI7547" s="14"/>
      <c r="AJ7547" s="19">
        <v>0</v>
      </c>
      <c r="AK7547" s="23">
        <v>0</v>
      </c>
      <c r="AL7547" s="11"/>
      <c r="AM7547" s="19">
        <v>0</v>
      </c>
      <c r="AN7547" s="19">
        <v>4000</v>
      </c>
      <c r="AO7547" s="14"/>
      <c r="AP7547" s="14">
        <v>4000</v>
      </c>
      <c r="AQ7547" s="12">
        <v>3.0000000000000001E-3</v>
      </c>
      <c r="AS7547" s="26"/>
    </row>
    <row r="7548" spans="1:45" s="19" customFormat="1" x14ac:dyDescent="0.2">
      <c r="A7548" s="122">
        <f t="shared" si="736"/>
        <v>6242</v>
      </c>
      <c r="B7548" s="13">
        <v>70</v>
      </c>
      <c r="C7548" s="17" t="s">
        <v>52</v>
      </c>
      <c r="D7548" s="17">
        <v>32672</v>
      </c>
      <c r="E7548" s="17">
        <v>41</v>
      </c>
      <c r="F7548" s="17">
        <v>6542</v>
      </c>
      <c r="G7548" s="13">
        <v>4</v>
      </c>
      <c r="H7548" s="17">
        <v>0</v>
      </c>
      <c r="I7548" s="17">
        <v>0</v>
      </c>
      <c r="J7548" s="17">
        <v>25</v>
      </c>
      <c r="K7548" s="10"/>
      <c r="L7548" s="17"/>
      <c r="M7548" s="15"/>
      <c r="N7548" s="18">
        <v>25</v>
      </c>
      <c r="O7548" s="14"/>
      <c r="P7548" s="17">
        <v>4</v>
      </c>
      <c r="Q7548" s="19">
        <v>25</v>
      </c>
      <c r="R7548" s="14">
        <v>160</v>
      </c>
      <c r="S7548" s="19">
        <v>4000</v>
      </c>
      <c r="T7548" s="17"/>
      <c r="U7548" s="17"/>
      <c r="V7548" s="17"/>
      <c r="W7548" s="4"/>
      <c r="X7548" s="17"/>
      <c r="Y7548" s="4"/>
      <c r="Z7548" s="17"/>
      <c r="AA7548" s="17"/>
      <c r="AB7548" s="17"/>
      <c r="AC7548" s="14"/>
      <c r="AD7548" s="14"/>
      <c r="AE7548" s="17"/>
      <c r="AF7548" s="14"/>
      <c r="AG7548" s="54"/>
      <c r="AH7548" s="11"/>
      <c r="AI7548" s="14"/>
      <c r="AJ7548" s="19">
        <v>0</v>
      </c>
      <c r="AK7548" s="23">
        <v>0</v>
      </c>
      <c r="AL7548" s="11"/>
      <c r="AM7548" s="19">
        <v>0</v>
      </c>
      <c r="AN7548" s="19">
        <v>4000</v>
      </c>
      <c r="AO7548" s="14"/>
      <c r="AP7548" s="14">
        <v>4000</v>
      </c>
      <c r="AQ7548" s="12">
        <v>3.0000000000000001E-3</v>
      </c>
      <c r="AS7548" s="26"/>
    </row>
    <row r="7549" spans="1:45" s="19" customFormat="1" x14ac:dyDescent="0.2">
      <c r="A7549" s="122">
        <f t="shared" si="736"/>
        <v>6243</v>
      </c>
      <c r="B7549" s="13">
        <v>71</v>
      </c>
      <c r="C7549" s="17" t="s">
        <v>52</v>
      </c>
      <c r="D7549" s="17">
        <v>32673</v>
      </c>
      <c r="E7549" s="17">
        <v>42</v>
      </c>
      <c r="F7549" s="17">
        <v>6543</v>
      </c>
      <c r="G7549" s="13">
        <v>4</v>
      </c>
      <c r="H7549" s="17">
        <v>0</v>
      </c>
      <c r="I7549" s="17">
        <v>0</v>
      </c>
      <c r="J7549" s="17">
        <v>75.03</v>
      </c>
      <c r="K7549" s="10"/>
      <c r="L7549" s="17"/>
      <c r="M7549" s="15"/>
      <c r="N7549" s="18">
        <v>75.03</v>
      </c>
      <c r="O7549" s="14"/>
      <c r="P7549" s="17">
        <v>4</v>
      </c>
      <c r="Q7549" s="19">
        <v>75.03</v>
      </c>
      <c r="R7549" s="14">
        <v>160</v>
      </c>
      <c r="S7549" s="19">
        <v>12004.8</v>
      </c>
      <c r="T7549" s="17"/>
      <c r="U7549" s="17"/>
      <c r="V7549" s="17"/>
      <c r="W7549" s="4"/>
      <c r="X7549" s="17"/>
      <c r="Y7549" s="4"/>
      <c r="Z7549" s="17"/>
      <c r="AA7549" s="17"/>
      <c r="AB7549" s="17"/>
      <c r="AC7549" s="14"/>
      <c r="AD7549" s="14"/>
      <c r="AE7549" s="17"/>
      <c r="AF7549" s="14"/>
      <c r="AG7549" s="54"/>
      <c r="AH7549" s="11"/>
      <c r="AI7549" s="14"/>
      <c r="AJ7549" s="19">
        <v>0</v>
      </c>
      <c r="AK7549" s="23">
        <v>0</v>
      </c>
      <c r="AL7549" s="11"/>
      <c r="AM7549" s="19">
        <v>0</v>
      </c>
      <c r="AN7549" s="19">
        <v>12004.8</v>
      </c>
      <c r="AO7549" s="14"/>
      <c r="AP7549" s="14">
        <v>12004.8</v>
      </c>
      <c r="AQ7549" s="12">
        <v>3.0000000000000001E-3</v>
      </c>
      <c r="AS7549" s="26"/>
    </row>
    <row r="7550" spans="1:45" s="19" customFormat="1" x14ac:dyDescent="0.2">
      <c r="A7550" s="122">
        <f t="shared" si="736"/>
        <v>6244</v>
      </c>
      <c r="B7550" s="13">
        <v>72</v>
      </c>
      <c r="C7550" s="17" t="s">
        <v>52</v>
      </c>
      <c r="D7550" s="17">
        <v>32674</v>
      </c>
      <c r="E7550" s="17">
        <v>43</v>
      </c>
      <c r="F7550" s="17">
        <v>6544</v>
      </c>
      <c r="G7550" s="13">
        <v>4</v>
      </c>
      <c r="H7550" s="17">
        <v>0</v>
      </c>
      <c r="I7550" s="17">
        <v>1</v>
      </c>
      <c r="J7550" s="17">
        <v>23.07</v>
      </c>
      <c r="K7550" s="10"/>
      <c r="L7550" s="17"/>
      <c r="M7550" s="15"/>
      <c r="N7550" s="18">
        <v>123.07</v>
      </c>
      <c r="O7550" s="14"/>
      <c r="P7550" s="17">
        <v>4</v>
      </c>
      <c r="Q7550" s="19">
        <v>123.07</v>
      </c>
      <c r="R7550" s="14">
        <v>160</v>
      </c>
      <c r="S7550" s="19">
        <v>19691.199999999997</v>
      </c>
      <c r="T7550" s="17"/>
      <c r="U7550" s="17"/>
      <c r="V7550" s="17"/>
      <c r="W7550" s="4"/>
      <c r="X7550" s="17"/>
      <c r="Y7550" s="4"/>
      <c r="Z7550" s="17"/>
      <c r="AA7550" s="17"/>
      <c r="AB7550" s="17"/>
      <c r="AC7550" s="14"/>
      <c r="AD7550" s="14"/>
      <c r="AE7550" s="17"/>
      <c r="AF7550" s="14"/>
      <c r="AG7550" s="54"/>
      <c r="AH7550" s="11"/>
      <c r="AI7550" s="14"/>
      <c r="AJ7550" s="19">
        <v>0</v>
      </c>
      <c r="AK7550" s="23">
        <v>0</v>
      </c>
      <c r="AL7550" s="11"/>
      <c r="AM7550" s="19">
        <v>0</v>
      </c>
      <c r="AN7550" s="19">
        <v>19691.199999999997</v>
      </c>
      <c r="AO7550" s="14"/>
      <c r="AP7550" s="14">
        <v>19691.199999999997</v>
      </c>
      <c r="AQ7550" s="12">
        <v>3.0000000000000001E-3</v>
      </c>
      <c r="AS7550" s="26"/>
    </row>
    <row r="7551" spans="1:45" s="19" customFormat="1" x14ac:dyDescent="0.2">
      <c r="A7551" s="122">
        <f t="shared" si="736"/>
        <v>6245</v>
      </c>
      <c r="B7551" s="13">
        <v>73</v>
      </c>
      <c r="C7551" s="17" t="s">
        <v>52</v>
      </c>
      <c r="D7551" s="17">
        <v>32675</v>
      </c>
      <c r="E7551" s="17">
        <v>47</v>
      </c>
      <c r="F7551" s="17">
        <v>6545</v>
      </c>
      <c r="G7551" s="13">
        <v>4</v>
      </c>
      <c r="H7551" s="17">
        <v>1</v>
      </c>
      <c r="I7551" s="17">
        <v>2</v>
      </c>
      <c r="J7551" s="17">
        <v>77.02</v>
      </c>
      <c r="K7551" s="10"/>
      <c r="L7551" s="17"/>
      <c r="M7551" s="15"/>
      <c r="N7551" s="18">
        <v>677.02</v>
      </c>
      <c r="O7551" s="14"/>
      <c r="P7551" s="17">
        <v>4</v>
      </c>
      <c r="Q7551" s="19">
        <v>677.02</v>
      </c>
      <c r="R7551" s="14">
        <v>160</v>
      </c>
      <c r="S7551" s="19">
        <v>108323.2</v>
      </c>
      <c r="T7551" s="17"/>
      <c r="U7551" s="17"/>
      <c r="V7551" s="17"/>
      <c r="W7551" s="4"/>
      <c r="X7551" s="17"/>
      <c r="Y7551" s="4"/>
      <c r="Z7551" s="17"/>
      <c r="AA7551" s="17"/>
      <c r="AB7551" s="17"/>
      <c r="AC7551" s="14"/>
      <c r="AD7551" s="14"/>
      <c r="AE7551" s="17"/>
      <c r="AF7551" s="14"/>
      <c r="AG7551" s="54"/>
      <c r="AH7551" s="11"/>
      <c r="AI7551" s="14"/>
      <c r="AJ7551" s="19">
        <v>0</v>
      </c>
      <c r="AK7551" s="23">
        <v>0</v>
      </c>
      <c r="AL7551" s="11"/>
      <c r="AM7551" s="19">
        <v>0</v>
      </c>
      <c r="AN7551" s="19">
        <v>108323.2</v>
      </c>
      <c r="AO7551" s="14"/>
      <c r="AP7551" s="14">
        <v>108323.2</v>
      </c>
      <c r="AQ7551" s="12">
        <v>3.0000000000000001E-3</v>
      </c>
      <c r="AS7551" s="26"/>
    </row>
    <row r="7552" spans="1:45" s="19" customFormat="1" x14ac:dyDescent="0.2">
      <c r="A7552" s="122">
        <f t="shared" si="736"/>
        <v>6246</v>
      </c>
      <c r="B7552" s="13">
        <v>74</v>
      </c>
      <c r="C7552" s="17" t="s">
        <v>52</v>
      </c>
      <c r="D7552" s="17">
        <v>32676</v>
      </c>
      <c r="E7552" s="17">
        <v>46</v>
      </c>
      <c r="F7552" s="17">
        <v>6546</v>
      </c>
      <c r="G7552" s="13">
        <v>4</v>
      </c>
      <c r="H7552" s="17">
        <v>1</v>
      </c>
      <c r="I7552" s="17">
        <v>0</v>
      </c>
      <c r="J7552" s="17">
        <v>3.05</v>
      </c>
      <c r="K7552" s="10"/>
      <c r="L7552" s="17"/>
      <c r="M7552" s="15"/>
      <c r="N7552" s="18">
        <v>403.05</v>
      </c>
      <c r="O7552" s="14"/>
      <c r="P7552" s="17">
        <v>4</v>
      </c>
      <c r="Q7552" s="19">
        <v>403.05</v>
      </c>
      <c r="R7552" s="14">
        <v>160</v>
      </c>
      <c r="S7552" s="19">
        <v>64488</v>
      </c>
      <c r="T7552" s="17"/>
      <c r="U7552" s="17"/>
      <c r="V7552" s="17"/>
      <c r="W7552" s="4"/>
      <c r="X7552" s="17"/>
      <c r="Y7552" s="4"/>
      <c r="Z7552" s="17"/>
      <c r="AA7552" s="17"/>
      <c r="AB7552" s="17"/>
      <c r="AC7552" s="14"/>
      <c r="AD7552" s="14"/>
      <c r="AE7552" s="17"/>
      <c r="AF7552" s="14"/>
      <c r="AG7552" s="54"/>
      <c r="AH7552" s="11"/>
      <c r="AI7552" s="14"/>
      <c r="AJ7552" s="19">
        <v>0</v>
      </c>
      <c r="AK7552" s="23">
        <v>0</v>
      </c>
      <c r="AL7552" s="11"/>
      <c r="AM7552" s="19">
        <v>0</v>
      </c>
      <c r="AN7552" s="19">
        <v>64488</v>
      </c>
      <c r="AO7552" s="14"/>
      <c r="AP7552" s="14">
        <v>64488</v>
      </c>
      <c r="AQ7552" s="12">
        <v>3.0000000000000001E-3</v>
      </c>
      <c r="AS7552" s="26"/>
    </row>
    <row r="7553" spans="1:45" x14ac:dyDescent="0.2">
      <c r="A7553" s="122">
        <f t="shared" si="736"/>
        <v>6247</v>
      </c>
      <c r="B7553" s="13">
        <v>75</v>
      </c>
      <c r="C7553" s="17" t="s">
        <v>52</v>
      </c>
      <c r="D7553" s="17">
        <v>32677</v>
      </c>
      <c r="E7553" s="17">
        <v>45</v>
      </c>
      <c r="F7553" s="17">
        <v>6547</v>
      </c>
      <c r="G7553" s="13">
        <v>4</v>
      </c>
      <c r="H7553" s="17">
        <v>1</v>
      </c>
      <c r="I7553" s="17">
        <v>0</v>
      </c>
      <c r="J7553" s="17">
        <v>20.09</v>
      </c>
      <c r="N7553" s="18">
        <v>420.09</v>
      </c>
      <c r="P7553" s="17">
        <v>4</v>
      </c>
      <c r="Q7553" s="19">
        <v>420.09</v>
      </c>
      <c r="R7553" s="14">
        <v>160</v>
      </c>
      <c r="S7553" s="19">
        <v>67214.399999999994</v>
      </c>
      <c r="AJ7553" s="19">
        <v>0</v>
      </c>
      <c r="AK7553" s="23">
        <v>0</v>
      </c>
      <c r="AM7553" s="19">
        <v>0</v>
      </c>
      <c r="AN7553" s="19">
        <v>67214.399999999994</v>
      </c>
      <c r="AP7553" s="14">
        <v>67214.399999999994</v>
      </c>
      <c r="AQ7553" s="12">
        <v>3.0000000000000001E-3</v>
      </c>
    </row>
    <row r="7554" spans="1:45" x14ac:dyDescent="0.2">
      <c r="A7554" s="122">
        <f t="shared" si="736"/>
        <v>6248</v>
      </c>
      <c r="B7554" s="13">
        <v>76</v>
      </c>
      <c r="C7554" s="17" t="s">
        <v>52</v>
      </c>
      <c r="D7554" s="17">
        <v>32678</v>
      </c>
      <c r="E7554" s="17">
        <v>31</v>
      </c>
      <c r="F7554" s="17">
        <v>6548</v>
      </c>
      <c r="G7554" s="13">
        <v>4</v>
      </c>
      <c r="H7554" s="17">
        <v>1</v>
      </c>
      <c r="I7554" s="17">
        <v>0</v>
      </c>
      <c r="J7554" s="17">
        <v>35.04</v>
      </c>
      <c r="N7554" s="18">
        <v>435.04</v>
      </c>
      <c r="P7554" s="17">
        <v>4</v>
      </c>
      <c r="Q7554" s="19">
        <v>435.04</v>
      </c>
      <c r="R7554" s="14">
        <v>160</v>
      </c>
      <c r="S7554" s="19">
        <v>69606.400000000009</v>
      </c>
      <c r="AJ7554" s="19">
        <v>0</v>
      </c>
      <c r="AK7554" s="23">
        <v>0</v>
      </c>
      <c r="AM7554" s="19">
        <v>0</v>
      </c>
      <c r="AN7554" s="19">
        <v>69606.400000000009</v>
      </c>
      <c r="AP7554" s="14">
        <v>69606.400000000009</v>
      </c>
      <c r="AQ7554" s="12">
        <v>3.0000000000000001E-3</v>
      </c>
    </row>
    <row r="7555" spans="1:45" x14ac:dyDescent="0.2">
      <c r="A7555" s="122">
        <f t="shared" si="736"/>
        <v>6249</v>
      </c>
      <c r="B7555" s="13">
        <v>77</v>
      </c>
      <c r="C7555" s="17" t="s">
        <v>52</v>
      </c>
      <c r="D7555" s="17">
        <v>32679</v>
      </c>
      <c r="E7555" s="17">
        <v>30</v>
      </c>
      <c r="F7555" s="17">
        <v>6549</v>
      </c>
      <c r="G7555" s="13">
        <v>4</v>
      </c>
      <c r="H7555" s="17">
        <v>1</v>
      </c>
      <c r="I7555" s="17">
        <v>1</v>
      </c>
      <c r="J7555" s="17">
        <v>37.08</v>
      </c>
      <c r="N7555" s="18">
        <v>537.08000000000004</v>
      </c>
      <c r="P7555" s="17">
        <v>4</v>
      </c>
      <c r="Q7555" s="19">
        <v>537.08000000000004</v>
      </c>
      <c r="R7555" s="14">
        <v>160</v>
      </c>
      <c r="S7555" s="19">
        <v>85932.800000000003</v>
      </c>
      <c r="AJ7555" s="19">
        <v>0</v>
      </c>
      <c r="AK7555" s="23">
        <v>0</v>
      </c>
      <c r="AM7555" s="19">
        <v>0</v>
      </c>
      <c r="AN7555" s="19">
        <v>85932.800000000003</v>
      </c>
      <c r="AP7555" s="14">
        <v>85932.800000000003</v>
      </c>
      <c r="AQ7555" s="12">
        <v>3.0000000000000001E-3</v>
      </c>
    </row>
    <row r="7556" spans="1:45" x14ac:dyDescent="0.2">
      <c r="A7556" s="122">
        <f t="shared" si="736"/>
        <v>6250</v>
      </c>
      <c r="B7556" s="13">
        <v>78</v>
      </c>
      <c r="C7556" s="17" t="s">
        <v>52</v>
      </c>
      <c r="D7556" s="17">
        <v>32680</v>
      </c>
      <c r="E7556" s="17">
        <v>44</v>
      </c>
      <c r="F7556" s="17">
        <v>6550</v>
      </c>
      <c r="G7556" s="13">
        <v>4</v>
      </c>
      <c r="H7556" s="17">
        <v>0</v>
      </c>
      <c r="I7556" s="17">
        <v>0</v>
      </c>
      <c r="J7556" s="17">
        <v>91.05</v>
      </c>
      <c r="N7556" s="18">
        <v>91.05</v>
      </c>
      <c r="P7556" s="17">
        <v>4</v>
      </c>
      <c r="Q7556" s="19">
        <v>91.05</v>
      </c>
      <c r="R7556" s="14">
        <v>160</v>
      </c>
      <c r="S7556" s="19">
        <v>14568</v>
      </c>
      <c r="AJ7556" s="19">
        <v>0</v>
      </c>
      <c r="AK7556" s="23">
        <v>0</v>
      </c>
      <c r="AM7556" s="19">
        <v>0</v>
      </c>
      <c r="AN7556" s="19">
        <v>14568</v>
      </c>
      <c r="AP7556" s="14">
        <v>14568</v>
      </c>
      <c r="AQ7556" s="12">
        <v>3.0000000000000001E-3</v>
      </c>
    </row>
    <row r="7557" spans="1:45" ht="42" x14ac:dyDescent="0.2">
      <c r="A7557" s="122">
        <f t="shared" si="736"/>
        <v>6251</v>
      </c>
      <c r="B7557" s="13">
        <v>1</v>
      </c>
      <c r="C7557" s="17" t="s">
        <v>52</v>
      </c>
      <c r="D7557" s="17">
        <v>822</v>
      </c>
      <c r="E7557" s="17">
        <v>47</v>
      </c>
      <c r="F7557" s="17">
        <v>306</v>
      </c>
      <c r="G7557" s="13">
        <v>6</v>
      </c>
      <c r="H7557" s="17">
        <v>1</v>
      </c>
      <c r="I7557" s="17">
        <v>3</v>
      </c>
      <c r="J7557" s="17">
        <v>88.07</v>
      </c>
      <c r="K7557" s="10">
        <v>747.57</v>
      </c>
      <c r="L7557" s="17">
        <v>40.5</v>
      </c>
      <c r="P7557" s="17">
        <v>5</v>
      </c>
      <c r="Q7557" s="19">
        <v>788.06999999999994</v>
      </c>
      <c r="R7557" s="14">
        <v>750</v>
      </c>
      <c r="S7557" s="19">
        <v>591052.5</v>
      </c>
      <c r="T7557" s="17">
        <v>1</v>
      </c>
      <c r="V7557" s="17" t="s">
        <v>183</v>
      </c>
      <c r="W7557" s="4">
        <v>162</v>
      </c>
      <c r="Y7557" s="4">
        <v>162</v>
      </c>
      <c r="AB7557" s="17">
        <v>20</v>
      </c>
      <c r="AJ7557" s="19">
        <v>0</v>
      </c>
      <c r="AK7557" s="23">
        <v>20</v>
      </c>
      <c r="AM7557" s="19">
        <v>0</v>
      </c>
      <c r="AN7557" s="19">
        <v>591052.5</v>
      </c>
      <c r="AP7557" s="14">
        <v>591052.5</v>
      </c>
    </row>
    <row r="7558" spans="1:45" x14ac:dyDescent="0.2">
      <c r="A7558" s="122">
        <f t="shared" si="736"/>
        <v>6252</v>
      </c>
      <c r="B7558" s="13">
        <v>2</v>
      </c>
      <c r="C7558" s="17" t="s">
        <v>52</v>
      </c>
      <c r="D7558" s="17">
        <v>2228</v>
      </c>
      <c r="E7558" s="17">
        <v>12</v>
      </c>
      <c r="F7558" s="17">
        <v>1552</v>
      </c>
      <c r="G7558" s="13">
        <v>3</v>
      </c>
      <c r="H7558" s="17">
        <v>0</v>
      </c>
      <c r="I7558" s="17">
        <v>0</v>
      </c>
      <c r="J7558" s="17">
        <v>96</v>
      </c>
      <c r="K7558" s="10">
        <v>96</v>
      </c>
      <c r="P7558" s="17">
        <v>1</v>
      </c>
      <c r="Q7558" s="19">
        <v>96</v>
      </c>
      <c r="R7558" s="14">
        <v>250</v>
      </c>
      <c r="S7558" s="19">
        <v>24000</v>
      </c>
      <c r="AJ7558" s="19">
        <v>0</v>
      </c>
      <c r="AK7558" s="23">
        <v>0</v>
      </c>
      <c r="AM7558" s="19">
        <v>0</v>
      </c>
      <c r="AN7558" s="19">
        <v>24000</v>
      </c>
      <c r="AP7558" s="14">
        <v>24000</v>
      </c>
    </row>
    <row r="7559" spans="1:45" x14ac:dyDescent="0.2">
      <c r="A7559" s="122">
        <f t="shared" si="736"/>
        <v>6253</v>
      </c>
      <c r="B7559" s="13">
        <v>3</v>
      </c>
      <c r="C7559" s="17" t="s">
        <v>52</v>
      </c>
      <c r="D7559" s="17">
        <v>5006</v>
      </c>
      <c r="E7559" s="17">
        <v>5</v>
      </c>
      <c r="F7559" s="17">
        <v>2690</v>
      </c>
      <c r="G7559" s="13">
        <v>7</v>
      </c>
      <c r="H7559" s="17">
        <v>0</v>
      </c>
      <c r="I7559" s="17">
        <v>0</v>
      </c>
      <c r="J7559" s="17">
        <v>53</v>
      </c>
      <c r="N7559" s="18">
        <v>53</v>
      </c>
      <c r="P7559" s="17">
        <v>4</v>
      </c>
      <c r="Q7559" s="19">
        <v>53</v>
      </c>
      <c r="R7559" s="14">
        <v>4500</v>
      </c>
      <c r="S7559" s="19">
        <v>238500</v>
      </c>
      <c r="AE7559" s="17" t="s">
        <v>775</v>
      </c>
      <c r="AJ7559" s="19">
        <v>0</v>
      </c>
      <c r="AK7559" s="23">
        <v>0</v>
      </c>
      <c r="AM7559" s="19">
        <v>0</v>
      </c>
      <c r="AN7559" s="19">
        <v>238500</v>
      </c>
      <c r="AP7559" s="14">
        <v>238500</v>
      </c>
      <c r="AQ7559" s="12">
        <v>3.0000000000000001E-3</v>
      </c>
    </row>
    <row r="7560" spans="1:45" x14ac:dyDescent="0.2">
      <c r="A7560" s="122">
        <f t="shared" si="736"/>
        <v>6254</v>
      </c>
      <c r="B7560" s="13">
        <v>4</v>
      </c>
      <c r="C7560" s="17" t="s">
        <v>52</v>
      </c>
      <c r="D7560" s="17">
        <v>29628</v>
      </c>
      <c r="E7560" s="17">
        <v>218</v>
      </c>
      <c r="F7560" s="17">
        <v>5502</v>
      </c>
      <c r="H7560" s="17">
        <v>0</v>
      </c>
      <c r="I7560" s="17">
        <v>1</v>
      </c>
      <c r="J7560" s="17">
        <v>6</v>
      </c>
      <c r="K7560" s="10">
        <v>106</v>
      </c>
      <c r="P7560" s="17">
        <v>1</v>
      </c>
      <c r="Q7560" s="19">
        <v>106</v>
      </c>
      <c r="R7560" s="14">
        <v>200</v>
      </c>
      <c r="S7560" s="19">
        <v>21200</v>
      </c>
      <c r="AJ7560" s="19">
        <v>0</v>
      </c>
      <c r="AK7560" s="23">
        <v>0</v>
      </c>
      <c r="AM7560" s="19">
        <v>0</v>
      </c>
      <c r="AN7560" s="19">
        <v>21200</v>
      </c>
      <c r="AP7560" s="14">
        <v>21200</v>
      </c>
    </row>
    <row r="7561" spans="1:45" x14ac:dyDescent="0.2">
      <c r="A7561" s="122">
        <f t="shared" si="736"/>
        <v>6255</v>
      </c>
      <c r="B7561" s="13">
        <v>5</v>
      </c>
      <c r="C7561" s="17" t="s">
        <v>52</v>
      </c>
      <c r="D7561" s="17">
        <v>31439</v>
      </c>
      <c r="E7561" s="17">
        <v>47</v>
      </c>
      <c r="F7561" s="17">
        <v>6218</v>
      </c>
      <c r="G7561" s="13">
        <v>5</v>
      </c>
      <c r="H7561" s="17">
        <v>0</v>
      </c>
      <c r="I7561" s="17">
        <v>0</v>
      </c>
      <c r="J7561" s="17">
        <v>48</v>
      </c>
      <c r="K7561" s="10">
        <v>48</v>
      </c>
      <c r="P7561" s="17">
        <v>1</v>
      </c>
      <c r="Q7561" s="19">
        <v>48</v>
      </c>
      <c r="R7561" s="14">
        <v>160</v>
      </c>
      <c r="S7561" s="19">
        <v>7680</v>
      </c>
      <c r="AJ7561" s="19">
        <v>0</v>
      </c>
      <c r="AK7561" s="23">
        <v>0</v>
      </c>
      <c r="AM7561" s="19">
        <v>0</v>
      </c>
      <c r="AN7561" s="19">
        <v>7680</v>
      </c>
      <c r="AP7561" s="14">
        <v>7680</v>
      </c>
    </row>
    <row r="7562" spans="1:45" ht="42" x14ac:dyDescent="0.2">
      <c r="A7562" s="122">
        <f t="shared" si="736"/>
        <v>6256</v>
      </c>
      <c r="B7562" s="13">
        <v>6</v>
      </c>
      <c r="C7562" s="17" t="s">
        <v>52</v>
      </c>
      <c r="D7562" s="17">
        <v>32180</v>
      </c>
      <c r="E7562" s="17">
        <v>54</v>
      </c>
      <c r="F7562" s="17">
        <v>6260</v>
      </c>
      <c r="G7562" s="13">
        <v>3</v>
      </c>
      <c r="H7562" s="17">
        <v>0</v>
      </c>
      <c r="I7562" s="17">
        <v>1</v>
      </c>
      <c r="J7562" s="17">
        <v>19</v>
      </c>
      <c r="N7562" s="18">
        <v>119</v>
      </c>
      <c r="P7562" s="17">
        <v>4</v>
      </c>
      <c r="Q7562" s="19">
        <v>119</v>
      </c>
      <c r="R7562" s="14">
        <v>2000</v>
      </c>
      <c r="S7562" s="19">
        <v>238000</v>
      </c>
      <c r="AE7562" s="17" t="s">
        <v>776</v>
      </c>
      <c r="AJ7562" s="19">
        <v>0</v>
      </c>
      <c r="AK7562" s="23">
        <v>0</v>
      </c>
      <c r="AM7562" s="19">
        <v>0</v>
      </c>
      <c r="AN7562" s="19">
        <v>238000</v>
      </c>
      <c r="AP7562" s="14">
        <v>238000</v>
      </c>
      <c r="AQ7562" s="12">
        <v>3.0000000000000001E-3</v>
      </c>
      <c r="AS7562" s="26" t="s">
        <v>66</v>
      </c>
    </row>
    <row r="7563" spans="1:45" x14ac:dyDescent="0.2">
      <c r="A7563" s="122">
        <f t="shared" si="736"/>
        <v>6257</v>
      </c>
      <c r="B7563" s="13">
        <v>7</v>
      </c>
      <c r="C7563" s="17" t="s">
        <v>52</v>
      </c>
      <c r="D7563" s="17">
        <v>32922</v>
      </c>
      <c r="E7563" s="17">
        <v>78</v>
      </c>
      <c r="F7563" s="17">
        <v>6468</v>
      </c>
      <c r="G7563" s="13">
        <v>4</v>
      </c>
      <c r="H7563" s="17">
        <v>0</v>
      </c>
      <c r="I7563" s="17">
        <v>0</v>
      </c>
      <c r="J7563" s="17">
        <v>63</v>
      </c>
      <c r="N7563" s="18">
        <v>63</v>
      </c>
      <c r="P7563" s="17">
        <v>4</v>
      </c>
      <c r="Q7563" s="19">
        <v>63</v>
      </c>
      <c r="R7563" s="14">
        <v>250</v>
      </c>
      <c r="S7563" s="19">
        <v>15750</v>
      </c>
      <c r="AJ7563" s="19">
        <v>0</v>
      </c>
      <c r="AK7563" s="23">
        <v>0</v>
      </c>
      <c r="AM7563" s="19">
        <v>0</v>
      </c>
      <c r="AN7563" s="19">
        <v>15750</v>
      </c>
      <c r="AP7563" s="14">
        <v>15750</v>
      </c>
      <c r="AQ7563" s="12">
        <v>3.0000000000000001E-3</v>
      </c>
    </row>
    <row r="7564" spans="1:45" x14ac:dyDescent="0.2">
      <c r="A7564" s="122">
        <f t="shared" si="736"/>
        <v>6258</v>
      </c>
      <c r="B7564" s="13">
        <v>8</v>
      </c>
      <c r="C7564" s="17" t="s">
        <v>52</v>
      </c>
      <c r="D7564" s="17">
        <v>34186</v>
      </c>
      <c r="E7564" s="17">
        <v>181</v>
      </c>
      <c r="F7564" s="17">
        <v>6797</v>
      </c>
      <c r="H7564" s="17">
        <v>0</v>
      </c>
      <c r="I7564" s="17">
        <v>0</v>
      </c>
      <c r="J7564" s="17">
        <v>32</v>
      </c>
      <c r="K7564" s="10">
        <v>32</v>
      </c>
      <c r="P7564" s="17">
        <v>1</v>
      </c>
      <c r="Q7564" s="19">
        <v>32</v>
      </c>
      <c r="R7564" s="14">
        <v>2000</v>
      </c>
      <c r="S7564" s="19">
        <v>64000</v>
      </c>
      <c r="AJ7564" s="19">
        <v>0</v>
      </c>
      <c r="AK7564" s="23">
        <v>0</v>
      </c>
      <c r="AM7564" s="19">
        <v>0</v>
      </c>
      <c r="AN7564" s="19">
        <v>64000</v>
      </c>
      <c r="AP7564" s="14">
        <v>64000</v>
      </c>
    </row>
    <row r="7565" spans="1:45" x14ac:dyDescent="0.2">
      <c r="A7565" s="122">
        <f t="shared" si="736"/>
        <v>6259</v>
      </c>
      <c r="B7565" s="13">
        <v>9</v>
      </c>
      <c r="C7565" s="17" t="s">
        <v>52</v>
      </c>
      <c r="D7565" s="17">
        <v>36046</v>
      </c>
      <c r="E7565" s="17">
        <v>108</v>
      </c>
      <c r="F7565" s="17">
        <v>3669</v>
      </c>
      <c r="G7565" s="13">
        <v>3</v>
      </c>
      <c r="H7565" s="17">
        <v>0</v>
      </c>
      <c r="I7565" s="17">
        <v>1</v>
      </c>
      <c r="J7565" s="17">
        <v>9</v>
      </c>
      <c r="K7565" s="10">
        <v>109</v>
      </c>
      <c r="P7565" s="17">
        <v>1</v>
      </c>
      <c r="Q7565" s="19">
        <v>109</v>
      </c>
      <c r="R7565" s="14">
        <v>2000</v>
      </c>
      <c r="S7565" s="19">
        <v>218000</v>
      </c>
      <c r="AJ7565" s="19">
        <v>0</v>
      </c>
      <c r="AK7565" s="23">
        <v>0</v>
      </c>
      <c r="AM7565" s="19">
        <v>0</v>
      </c>
      <c r="AN7565" s="19">
        <v>218000</v>
      </c>
      <c r="AP7565" s="14">
        <v>218000</v>
      </c>
    </row>
    <row r="7566" spans="1:45" x14ac:dyDescent="0.2">
      <c r="A7566" s="122">
        <f t="shared" si="736"/>
        <v>6260</v>
      </c>
      <c r="B7566" s="13">
        <v>1</v>
      </c>
      <c r="C7566" s="17" t="s">
        <v>65</v>
      </c>
      <c r="D7566" s="17">
        <v>974</v>
      </c>
      <c r="E7566" s="17">
        <v>29</v>
      </c>
      <c r="H7566" s="17">
        <v>8</v>
      </c>
      <c r="I7566" s="17">
        <v>3</v>
      </c>
      <c r="J7566" s="17">
        <v>55</v>
      </c>
      <c r="K7566" s="10">
        <v>3555</v>
      </c>
      <c r="P7566" s="17">
        <v>1</v>
      </c>
      <c r="Q7566" s="19">
        <v>3555</v>
      </c>
      <c r="R7566" s="14">
        <v>1000</v>
      </c>
      <c r="S7566" s="19">
        <v>3555000</v>
      </c>
      <c r="AJ7566" s="19">
        <v>0</v>
      </c>
      <c r="AK7566" s="23">
        <v>0</v>
      </c>
      <c r="AM7566" s="19">
        <v>0</v>
      </c>
      <c r="AN7566" s="19">
        <v>3555000</v>
      </c>
      <c r="AP7566" s="14">
        <v>3555000</v>
      </c>
    </row>
    <row r="7567" spans="1:45" x14ac:dyDescent="0.2">
      <c r="A7567" s="122">
        <f t="shared" si="736"/>
        <v>6261</v>
      </c>
      <c r="B7567" s="13">
        <v>1</v>
      </c>
      <c r="C7567" s="17" t="s">
        <v>52</v>
      </c>
      <c r="D7567" s="17">
        <v>29800</v>
      </c>
      <c r="E7567" s="17">
        <v>102</v>
      </c>
      <c r="F7567" s="17">
        <v>5536</v>
      </c>
      <c r="G7567" s="13">
        <v>1</v>
      </c>
      <c r="H7567" s="17">
        <v>0</v>
      </c>
      <c r="I7567" s="17">
        <v>0</v>
      </c>
      <c r="J7567" s="17">
        <v>49</v>
      </c>
      <c r="N7567" s="18">
        <v>49</v>
      </c>
      <c r="P7567" s="17">
        <v>4</v>
      </c>
      <c r="Q7567" s="19">
        <v>49</v>
      </c>
      <c r="R7567" s="14">
        <v>160</v>
      </c>
      <c r="S7567" s="19">
        <v>7840</v>
      </c>
      <c r="AJ7567" s="19">
        <v>0</v>
      </c>
      <c r="AK7567" s="23">
        <v>0</v>
      </c>
      <c r="AM7567" s="19">
        <v>0</v>
      </c>
      <c r="AN7567" s="19">
        <v>7840</v>
      </c>
      <c r="AP7567" s="14">
        <v>7840</v>
      </c>
      <c r="AQ7567" s="12">
        <v>3.0000000000000001E-3</v>
      </c>
    </row>
    <row r="7568" spans="1:45" x14ac:dyDescent="0.2">
      <c r="A7568" s="122">
        <f t="shared" si="736"/>
        <v>6262</v>
      </c>
      <c r="B7568" s="13">
        <v>2</v>
      </c>
      <c r="C7568" s="17" t="s">
        <v>52</v>
      </c>
      <c r="D7568" s="17">
        <v>29939</v>
      </c>
      <c r="E7568" s="17">
        <v>161</v>
      </c>
      <c r="F7568" s="17">
        <v>5767</v>
      </c>
      <c r="G7568" s="13">
        <v>1</v>
      </c>
      <c r="H7568" s="17">
        <v>0</v>
      </c>
      <c r="I7568" s="17">
        <v>0</v>
      </c>
      <c r="J7568" s="17">
        <v>48</v>
      </c>
      <c r="N7568" s="18">
        <v>48</v>
      </c>
      <c r="P7568" s="17">
        <v>4</v>
      </c>
      <c r="Q7568" s="19">
        <v>48</v>
      </c>
      <c r="R7568" s="14">
        <v>250</v>
      </c>
      <c r="S7568" s="19">
        <v>12000</v>
      </c>
      <c r="AJ7568" s="19">
        <v>0</v>
      </c>
      <c r="AK7568" s="23">
        <v>0</v>
      </c>
      <c r="AM7568" s="19">
        <v>0</v>
      </c>
      <c r="AN7568" s="19">
        <v>12000</v>
      </c>
      <c r="AP7568" s="14">
        <v>12000</v>
      </c>
      <c r="AQ7568" s="12">
        <v>3.0000000000000001E-3</v>
      </c>
    </row>
    <row r="7569" spans="1:45" x14ac:dyDescent="0.2">
      <c r="A7569" s="122">
        <f t="shared" si="736"/>
        <v>6263</v>
      </c>
      <c r="B7569" s="13">
        <v>3</v>
      </c>
      <c r="C7569" s="17" t="s">
        <v>52</v>
      </c>
      <c r="D7569" s="17">
        <v>29940</v>
      </c>
      <c r="E7569" s="17">
        <v>162</v>
      </c>
      <c r="F7569" s="17">
        <v>5768</v>
      </c>
      <c r="G7569" s="13">
        <v>1</v>
      </c>
      <c r="H7569" s="17">
        <v>0</v>
      </c>
      <c r="I7569" s="17">
        <v>0</v>
      </c>
      <c r="J7569" s="17">
        <v>48</v>
      </c>
      <c r="N7569" s="18">
        <v>48</v>
      </c>
      <c r="P7569" s="17">
        <v>4</v>
      </c>
      <c r="Q7569" s="19">
        <v>48</v>
      </c>
      <c r="R7569" s="14">
        <v>250</v>
      </c>
      <c r="S7569" s="19">
        <v>12000</v>
      </c>
      <c r="AJ7569" s="19">
        <v>0</v>
      </c>
      <c r="AK7569" s="23">
        <v>0</v>
      </c>
      <c r="AM7569" s="19">
        <v>0</v>
      </c>
      <c r="AN7569" s="19">
        <v>12000</v>
      </c>
      <c r="AP7569" s="14">
        <v>12000</v>
      </c>
      <c r="AQ7569" s="12">
        <v>3.0000000000000001E-3</v>
      </c>
    </row>
    <row r="7570" spans="1:45" x14ac:dyDescent="0.2">
      <c r="A7570" s="122">
        <f t="shared" si="736"/>
        <v>6264</v>
      </c>
      <c r="B7570" s="13">
        <v>1</v>
      </c>
      <c r="C7570" s="17" t="s">
        <v>52</v>
      </c>
      <c r="D7570" s="17">
        <v>4998</v>
      </c>
      <c r="E7570" s="17">
        <v>12</v>
      </c>
      <c r="F7570" s="17">
        <v>2617</v>
      </c>
      <c r="G7570" s="13">
        <v>7</v>
      </c>
      <c r="H7570" s="17">
        <v>1</v>
      </c>
      <c r="I7570" s="17">
        <v>1</v>
      </c>
      <c r="J7570" s="17">
        <v>74</v>
      </c>
      <c r="K7570" s="10">
        <v>574</v>
      </c>
      <c r="P7570" s="17">
        <v>1</v>
      </c>
      <c r="Q7570" s="19">
        <v>574</v>
      </c>
      <c r="R7570" s="14">
        <v>2250</v>
      </c>
      <c r="S7570" s="19">
        <v>1291500</v>
      </c>
      <c r="AJ7570" s="19">
        <v>0</v>
      </c>
      <c r="AK7570" s="23">
        <v>0</v>
      </c>
      <c r="AM7570" s="19">
        <v>0</v>
      </c>
      <c r="AN7570" s="19">
        <v>1291500</v>
      </c>
      <c r="AP7570" s="14">
        <v>1291500</v>
      </c>
    </row>
    <row r="7571" spans="1:45" x14ac:dyDescent="0.2">
      <c r="A7571" s="122">
        <f t="shared" si="736"/>
        <v>6265</v>
      </c>
      <c r="B7571" s="13">
        <v>1</v>
      </c>
      <c r="C7571" s="17" t="s">
        <v>52</v>
      </c>
      <c r="D7571" s="17">
        <v>4800</v>
      </c>
      <c r="E7571" s="17">
        <v>19</v>
      </c>
      <c r="F7571" s="17">
        <v>2672</v>
      </c>
      <c r="G7571" s="13">
        <v>7</v>
      </c>
      <c r="H7571" s="17">
        <v>4</v>
      </c>
      <c r="I7571" s="17">
        <v>1</v>
      </c>
      <c r="J7571" s="17">
        <v>25.05</v>
      </c>
      <c r="K7571" s="10">
        <v>1725</v>
      </c>
      <c r="P7571" s="17">
        <v>1</v>
      </c>
      <c r="Q7571" s="19">
        <v>1725.05</v>
      </c>
      <c r="R7571" s="14">
        <v>750</v>
      </c>
      <c r="S7571" s="19">
        <v>1293787.5</v>
      </c>
      <c r="AJ7571" s="19">
        <v>0</v>
      </c>
      <c r="AK7571" s="23">
        <v>0</v>
      </c>
      <c r="AM7571" s="19">
        <v>0</v>
      </c>
      <c r="AN7571" s="19">
        <v>1293787.5</v>
      </c>
      <c r="AP7571" s="14">
        <v>1293787.5</v>
      </c>
      <c r="AS7571" s="26">
        <v>83</v>
      </c>
    </row>
    <row r="7572" spans="1:45" x14ac:dyDescent="0.2">
      <c r="A7572" s="122">
        <f t="shared" si="736"/>
        <v>6266</v>
      </c>
      <c r="B7572" s="13">
        <v>2</v>
      </c>
      <c r="C7572" s="17" t="s">
        <v>52</v>
      </c>
      <c r="D7572" s="17">
        <v>4803</v>
      </c>
      <c r="E7572" s="17">
        <v>20</v>
      </c>
      <c r="F7572" s="17">
        <v>2675</v>
      </c>
      <c r="G7572" s="13">
        <v>7</v>
      </c>
      <c r="H7572" s="17">
        <v>5</v>
      </c>
      <c r="I7572" s="17">
        <v>2</v>
      </c>
      <c r="J7572" s="17">
        <v>57</v>
      </c>
      <c r="K7572" s="10">
        <v>2257</v>
      </c>
      <c r="P7572" s="17">
        <v>1</v>
      </c>
      <c r="Q7572" s="19">
        <v>2257</v>
      </c>
      <c r="R7572" s="14">
        <v>630</v>
      </c>
      <c r="S7572" s="19">
        <v>1421910</v>
      </c>
      <c r="AJ7572" s="19">
        <v>0</v>
      </c>
      <c r="AK7572" s="23">
        <v>0</v>
      </c>
      <c r="AM7572" s="19">
        <v>0</v>
      </c>
      <c r="AN7572" s="19">
        <v>1421910</v>
      </c>
      <c r="AP7572" s="14">
        <v>1421910</v>
      </c>
    </row>
    <row r="7573" spans="1:45" x14ac:dyDescent="0.2">
      <c r="A7573" s="122">
        <f t="shared" si="736"/>
        <v>6267</v>
      </c>
      <c r="B7573" s="13">
        <v>3</v>
      </c>
      <c r="C7573" s="17" t="s">
        <v>52</v>
      </c>
      <c r="D7573" s="17">
        <v>12549</v>
      </c>
      <c r="E7573" s="17">
        <v>122</v>
      </c>
      <c r="F7573" s="17">
        <v>3249</v>
      </c>
      <c r="G7573" s="13">
        <v>7</v>
      </c>
      <c r="H7573" s="17">
        <v>2</v>
      </c>
      <c r="I7573" s="17">
        <v>0</v>
      </c>
      <c r="J7573" s="17">
        <v>46</v>
      </c>
      <c r="K7573" s="10">
        <v>846</v>
      </c>
      <c r="P7573" s="17">
        <v>1</v>
      </c>
      <c r="Q7573" s="19">
        <v>846</v>
      </c>
      <c r="R7573" s="14">
        <v>880</v>
      </c>
      <c r="S7573" s="19">
        <v>744480</v>
      </c>
      <c r="AJ7573" s="19">
        <v>0</v>
      </c>
      <c r="AK7573" s="23">
        <v>0</v>
      </c>
      <c r="AM7573" s="19">
        <v>0</v>
      </c>
      <c r="AN7573" s="19">
        <v>744480</v>
      </c>
      <c r="AP7573" s="14">
        <v>744480</v>
      </c>
    </row>
    <row r="7574" spans="1:45" x14ac:dyDescent="0.2">
      <c r="A7574" s="122">
        <f t="shared" si="736"/>
        <v>6268</v>
      </c>
      <c r="B7574" s="13">
        <v>1</v>
      </c>
      <c r="C7574" s="17" t="s">
        <v>52</v>
      </c>
      <c r="D7574" s="17">
        <v>31653</v>
      </c>
      <c r="E7574" s="17">
        <v>161</v>
      </c>
      <c r="F7574" s="17">
        <v>6235</v>
      </c>
      <c r="G7574" s="13">
        <v>2</v>
      </c>
      <c r="H7574" s="17">
        <v>0</v>
      </c>
      <c r="I7574" s="17">
        <v>0</v>
      </c>
      <c r="J7574" s="17">
        <v>47</v>
      </c>
      <c r="K7574" s="10">
        <v>47</v>
      </c>
      <c r="P7574" s="17">
        <v>1</v>
      </c>
      <c r="Q7574" s="19">
        <v>47</v>
      </c>
      <c r="R7574" s="14">
        <v>160</v>
      </c>
      <c r="S7574" s="19">
        <v>7520</v>
      </c>
      <c r="AJ7574" s="19">
        <v>0</v>
      </c>
      <c r="AK7574" s="23">
        <v>0</v>
      </c>
      <c r="AM7574" s="19">
        <v>0</v>
      </c>
      <c r="AN7574" s="19">
        <v>7520</v>
      </c>
      <c r="AP7574" s="14">
        <v>7520</v>
      </c>
    </row>
    <row r="7575" spans="1:45" ht="63" x14ac:dyDescent="0.2">
      <c r="A7575" s="122">
        <f t="shared" si="736"/>
        <v>6269</v>
      </c>
      <c r="B7575" s="13">
        <v>1</v>
      </c>
      <c r="C7575" s="17" t="s">
        <v>52</v>
      </c>
      <c r="D7575" s="17">
        <v>4982</v>
      </c>
      <c r="E7575" s="17">
        <v>40</v>
      </c>
      <c r="F7575" s="17">
        <v>2598</v>
      </c>
      <c r="G7575" s="13">
        <v>7</v>
      </c>
      <c r="H7575" s="17">
        <v>0</v>
      </c>
      <c r="I7575" s="17">
        <v>1</v>
      </c>
      <c r="J7575" s="17">
        <v>25</v>
      </c>
      <c r="L7575" s="17">
        <v>125</v>
      </c>
      <c r="P7575" s="17">
        <v>2</v>
      </c>
      <c r="Q7575" s="19">
        <v>125</v>
      </c>
      <c r="R7575" s="14">
        <v>4500</v>
      </c>
      <c r="S7575" s="19">
        <v>562500</v>
      </c>
      <c r="U7575" s="17" t="s">
        <v>63</v>
      </c>
      <c r="V7575" s="17" t="s">
        <v>56</v>
      </c>
      <c r="W7575" s="4" t="s">
        <v>234</v>
      </c>
      <c r="AB7575" s="17" t="s">
        <v>534</v>
      </c>
      <c r="AE7575" s="17" t="s">
        <v>777</v>
      </c>
      <c r="AF7575" s="14">
        <v>2</v>
      </c>
      <c r="AG7575" s="54">
        <v>80</v>
      </c>
      <c r="AH7575" s="11">
        <v>1</v>
      </c>
      <c r="AI7575" s="14">
        <v>7250</v>
      </c>
      <c r="AJ7575" s="19">
        <v>580000</v>
      </c>
      <c r="AK7575" s="23" t="s">
        <v>534</v>
      </c>
      <c r="AM7575" s="19">
        <v>580000</v>
      </c>
      <c r="AN7575" s="19">
        <v>1142500</v>
      </c>
      <c r="AP7575" s="14">
        <v>1142500</v>
      </c>
      <c r="AQ7575" s="12">
        <v>2.0000000000000001E-4</v>
      </c>
    </row>
    <row r="7576" spans="1:45" x14ac:dyDescent="0.2">
      <c r="A7576" s="122">
        <f t="shared" si="736"/>
        <v>6270</v>
      </c>
      <c r="B7576" s="13">
        <v>1</v>
      </c>
      <c r="C7576" s="17" t="s">
        <v>52</v>
      </c>
      <c r="D7576" s="17">
        <v>5076</v>
      </c>
      <c r="E7576" s="17">
        <v>11</v>
      </c>
      <c r="F7576" s="17">
        <v>2843</v>
      </c>
      <c r="G7576" s="13">
        <v>7</v>
      </c>
      <c r="H7576" s="17">
        <v>9</v>
      </c>
      <c r="I7576" s="17">
        <v>3</v>
      </c>
      <c r="J7576" s="17">
        <v>17</v>
      </c>
      <c r="K7576" s="10">
        <v>3917</v>
      </c>
      <c r="P7576" s="17">
        <v>1</v>
      </c>
      <c r="Q7576" s="19">
        <v>3917</v>
      </c>
      <c r="R7576" s="14">
        <v>160</v>
      </c>
      <c r="S7576" s="19">
        <v>626720</v>
      </c>
      <c r="AJ7576" s="19">
        <v>0</v>
      </c>
      <c r="AK7576" s="23">
        <v>0</v>
      </c>
      <c r="AM7576" s="19">
        <v>0</v>
      </c>
      <c r="AN7576" s="19">
        <v>626720</v>
      </c>
      <c r="AP7576" s="14">
        <v>626720</v>
      </c>
    </row>
    <row r="7577" spans="1:45" x14ac:dyDescent="0.2">
      <c r="A7577" s="122">
        <f t="shared" si="736"/>
        <v>6271</v>
      </c>
      <c r="B7577" s="13">
        <v>1</v>
      </c>
      <c r="C7577" s="17" t="s">
        <v>65</v>
      </c>
      <c r="D7577" s="17">
        <v>1660</v>
      </c>
      <c r="E7577" s="17">
        <v>13</v>
      </c>
      <c r="H7577" s="17">
        <v>2</v>
      </c>
      <c r="I7577" s="17">
        <v>3</v>
      </c>
      <c r="J7577" s="17">
        <v>73</v>
      </c>
      <c r="K7577" s="10">
        <v>1173</v>
      </c>
      <c r="P7577" s="17">
        <v>1</v>
      </c>
      <c r="Q7577" s="19">
        <v>1173</v>
      </c>
      <c r="R7577" s="14">
        <v>160</v>
      </c>
      <c r="S7577" s="19">
        <v>187680</v>
      </c>
      <c r="AJ7577" s="19">
        <v>0</v>
      </c>
      <c r="AK7577" s="23">
        <v>0</v>
      </c>
      <c r="AM7577" s="19">
        <v>0</v>
      </c>
      <c r="AN7577" s="19">
        <v>187680</v>
      </c>
      <c r="AP7577" s="14">
        <v>187680</v>
      </c>
      <c r="AQ7577" s="12">
        <v>1E-4</v>
      </c>
    </row>
    <row r="7578" spans="1:45" x14ac:dyDescent="0.2">
      <c r="A7578" s="122">
        <f t="shared" si="736"/>
        <v>6272</v>
      </c>
      <c r="B7578" s="13">
        <v>2</v>
      </c>
      <c r="C7578" s="17" t="s">
        <v>65</v>
      </c>
      <c r="D7578" s="17">
        <v>1907</v>
      </c>
      <c r="E7578" s="17">
        <v>79</v>
      </c>
      <c r="H7578" s="17">
        <v>1</v>
      </c>
      <c r="I7578" s="17">
        <v>2</v>
      </c>
      <c r="J7578" s="17">
        <v>6</v>
      </c>
      <c r="N7578" s="18">
        <v>606</v>
      </c>
      <c r="P7578" s="17">
        <v>4</v>
      </c>
      <c r="Q7578" s="19">
        <v>606</v>
      </c>
      <c r="R7578" s="14">
        <v>1500</v>
      </c>
      <c r="S7578" s="19">
        <v>909000</v>
      </c>
      <c r="AJ7578" s="19">
        <v>0</v>
      </c>
      <c r="AK7578" s="23">
        <v>0</v>
      </c>
      <c r="AM7578" s="19">
        <v>0</v>
      </c>
      <c r="AN7578" s="19">
        <v>909000</v>
      </c>
      <c r="AP7578" s="14">
        <v>909000</v>
      </c>
      <c r="AQ7578" s="12">
        <v>3.0000000000000001E-3</v>
      </c>
    </row>
    <row r="7579" spans="1:45" x14ac:dyDescent="0.2">
      <c r="A7579" s="122">
        <f t="shared" si="736"/>
        <v>6273</v>
      </c>
      <c r="B7579" s="13">
        <v>3</v>
      </c>
      <c r="C7579" s="17" t="s">
        <v>65</v>
      </c>
      <c r="D7579" s="17">
        <v>1978</v>
      </c>
      <c r="E7579" s="17">
        <v>86</v>
      </c>
      <c r="H7579" s="17">
        <v>3</v>
      </c>
      <c r="I7579" s="17">
        <v>0</v>
      </c>
      <c r="J7579" s="17">
        <v>56</v>
      </c>
      <c r="K7579" s="10">
        <v>1256</v>
      </c>
      <c r="P7579" s="17">
        <v>1</v>
      </c>
      <c r="Q7579" s="19">
        <v>1256</v>
      </c>
      <c r="R7579" s="14">
        <v>160</v>
      </c>
      <c r="S7579" s="19">
        <v>200960</v>
      </c>
      <c r="AJ7579" s="19">
        <v>0</v>
      </c>
      <c r="AK7579" s="23">
        <v>0</v>
      </c>
      <c r="AM7579" s="19">
        <v>0</v>
      </c>
      <c r="AN7579" s="19">
        <v>200960</v>
      </c>
      <c r="AP7579" s="14">
        <v>200960</v>
      </c>
      <c r="AQ7579" s="12">
        <v>1E-4</v>
      </c>
    </row>
    <row r="7580" spans="1:45" x14ac:dyDescent="0.2">
      <c r="A7580" s="122">
        <f t="shared" si="736"/>
        <v>6274</v>
      </c>
      <c r="B7580" s="13">
        <v>4</v>
      </c>
      <c r="C7580" s="17" t="s">
        <v>65</v>
      </c>
      <c r="D7580" s="17">
        <v>2570</v>
      </c>
      <c r="E7580" s="17">
        <v>139</v>
      </c>
      <c r="H7580" s="17">
        <v>1</v>
      </c>
      <c r="I7580" s="17">
        <v>1</v>
      </c>
      <c r="J7580" s="17">
        <v>69</v>
      </c>
      <c r="N7580" s="18">
        <v>569</v>
      </c>
      <c r="P7580" s="17">
        <v>4</v>
      </c>
      <c r="Q7580" s="19">
        <v>569</v>
      </c>
      <c r="R7580" s="14">
        <v>160</v>
      </c>
      <c r="S7580" s="19">
        <v>91040</v>
      </c>
      <c r="AJ7580" s="19">
        <v>0</v>
      </c>
      <c r="AK7580" s="23">
        <v>0</v>
      </c>
      <c r="AM7580" s="19">
        <v>0</v>
      </c>
      <c r="AN7580" s="19">
        <v>91040</v>
      </c>
      <c r="AP7580" s="14">
        <v>91040</v>
      </c>
      <c r="AQ7580" s="12">
        <v>3.0000000000000001E-3</v>
      </c>
    </row>
    <row r="7581" spans="1:45" ht="231" x14ac:dyDescent="0.2">
      <c r="A7581" s="122">
        <f t="shared" si="736"/>
        <v>6275</v>
      </c>
      <c r="B7581" s="13">
        <v>5</v>
      </c>
      <c r="C7581" s="17" t="s">
        <v>65</v>
      </c>
      <c r="D7581" s="17">
        <v>2576</v>
      </c>
      <c r="E7581" s="17">
        <v>140</v>
      </c>
      <c r="H7581" s="17">
        <v>1</v>
      </c>
      <c r="I7581" s="17">
        <v>3</v>
      </c>
      <c r="J7581" s="17">
        <v>75</v>
      </c>
      <c r="O7581" s="14" t="s">
        <v>778</v>
      </c>
      <c r="P7581" s="17">
        <v>5</v>
      </c>
      <c r="Q7581" s="19">
        <v>775</v>
      </c>
      <c r="R7581" s="14">
        <v>200</v>
      </c>
      <c r="S7581" s="19">
        <v>155000</v>
      </c>
      <c r="T7581" s="17">
        <v>1</v>
      </c>
      <c r="V7581" s="17" t="s">
        <v>183</v>
      </c>
      <c r="W7581" s="4">
        <v>54</v>
      </c>
      <c r="Y7581" s="4">
        <v>54</v>
      </c>
      <c r="AB7581" s="17">
        <v>25</v>
      </c>
      <c r="AC7581" s="14" t="s">
        <v>486</v>
      </c>
      <c r="AJ7581" s="19">
        <v>0</v>
      </c>
      <c r="AK7581" s="23">
        <v>25</v>
      </c>
      <c r="AM7581" s="19">
        <v>0</v>
      </c>
      <c r="AN7581" s="19">
        <v>155000</v>
      </c>
      <c r="AP7581" s="14">
        <v>155000</v>
      </c>
    </row>
    <row r="7582" spans="1:45" ht="42" x14ac:dyDescent="0.2">
      <c r="Q7582" s="19">
        <v>0</v>
      </c>
      <c r="S7582" s="19">
        <v>0</v>
      </c>
      <c r="T7582" s="17">
        <v>2</v>
      </c>
      <c r="V7582" s="17" t="s">
        <v>183</v>
      </c>
      <c r="W7582" s="4">
        <v>15</v>
      </c>
      <c r="Y7582" s="4">
        <v>15</v>
      </c>
      <c r="AB7582" s="17">
        <v>13</v>
      </c>
      <c r="AJ7582" s="19">
        <v>0</v>
      </c>
      <c r="AK7582" s="23">
        <v>13</v>
      </c>
      <c r="AM7582" s="19">
        <v>0</v>
      </c>
      <c r="AN7582" s="19">
        <v>0</v>
      </c>
      <c r="AP7582" s="14">
        <v>0</v>
      </c>
    </row>
    <row r="7583" spans="1:45" x14ac:dyDescent="0.2">
      <c r="A7583" s="2">
        <v>6276</v>
      </c>
      <c r="B7583" s="13">
        <v>1</v>
      </c>
      <c r="C7583" s="17" t="s">
        <v>52</v>
      </c>
      <c r="D7583" s="17">
        <v>17940</v>
      </c>
      <c r="E7583" s="17">
        <v>25</v>
      </c>
      <c r="F7583" s="17">
        <v>3889</v>
      </c>
      <c r="G7583" s="13">
        <v>4</v>
      </c>
      <c r="H7583" s="17">
        <v>15</v>
      </c>
      <c r="I7583" s="17">
        <v>3</v>
      </c>
      <c r="J7583" s="17">
        <v>64</v>
      </c>
      <c r="K7583" s="10">
        <v>6364</v>
      </c>
      <c r="P7583" s="17">
        <v>1</v>
      </c>
      <c r="Q7583" s="19">
        <v>6364</v>
      </c>
      <c r="R7583" s="14">
        <v>160</v>
      </c>
      <c r="S7583" s="19">
        <v>1018240</v>
      </c>
      <c r="AJ7583" s="19">
        <v>0</v>
      </c>
      <c r="AK7583" s="23">
        <v>0</v>
      </c>
      <c r="AM7583" s="19">
        <v>0</v>
      </c>
      <c r="AN7583" s="19">
        <v>1018240</v>
      </c>
      <c r="AP7583" s="14">
        <v>1018240</v>
      </c>
    </row>
    <row r="7584" spans="1:45" x14ac:dyDescent="0.2">
      <c r="A7584" s="2">
        <f>+A7583+1</f>
        <v>6277</v>
      </c>
      <c r="B7584" s="13">
        <v>2</v>
      </c>
      <c r="C7584" s="17" t="s">
        <v>65</v>
      </c>
      <c r="D7584" s="17">
        <v>1379</v>
      </c>
      <c r="E7584" s="17">
        <v>67</v>
      </c>
      <c r="H7584" s="17">
        <v>7</v>
      </c>
      <c r="I7584" s="17">
        <v>2</v>
      </c>
      <c r="J7584" s="17">
        <v>0</v>
      </c>
      <c r="K7584" s="10">
        <v>3000</v>
      </c>
      <c r="P7584" s="17">
        <v>1</v>
      </c>
      <c r="Q7584" s="19">
        <v>3000</v>
      </c>
      <c r="R7584" s="14">
        <v>160</v>
      </c>
      <c r="S7584" s="19">
        <v>480000</v>
      </c>
      <c r="AJ7584" s="19">
        <v>0</v>
      </c>
      <c r="AK7584" s="23">
        <v>0</v>
      </c>
      <c r="AM7584" s="19">
        <v>0</v>
      </c>
      <c r="AN7584" s="19">
        <v>480000</v>
      </c>
      <c r="AP7584" s="14">
        <v>480000</v>
      </c>
      <c r="AQ7584" s="12">
        <v>1E-4</v>
      </c>
    </row>
    <row r="7585" spans="1:45" x14ac:dyDescent="0.2">
      <c r="A7585" s="122">
        <f t="shared" ref="A7585:A7591" si="737">+A7584+1</f>
        <v>6278</v>
      </c>
      <c r="B7585" s="13">
        <v>3</v>
      </c>
      <c r="C7585" s="17" t="s">
        <v>65</v>
      </c>
      <c r="D7585" s="17">
        <v>1959</v>
      </c>
      <c r="E7585" s="17">
        <v>52</v>
      </c>
      <c r="H7585" s="17">
        <v>9</v>
      </c>
      <c r="I7585" s="17">
        <v>2</v>
      </c>
      <c r="J7585" s="17">
        <v>20</v>
      </c>
      <c r="K7585" s="10">
        <v>3820</v>
      </c>
      <c r="P7585" s="17">
        <v>1</v>
      </c>
      <c r="Q7585" s="19">
        <v>3820</v>
      </c>
      <c r="R7585" s="14">
        <v>160</v>
      </c>
      <c r="S7585" s="19">
        <v>611200</v>
      </c>
      <c r="AJ7585" s="19">
        <v>0</v>
      </c>
      <c r="AK7585" s="23">
        <v>0</v>
      </c>
      <c r="AM7585" s="19">
        <v>0</v>
      </c>
      <c r="AN7585" s="19">
        <v>611200</v>
      </c>
      <c r="AP7585" s="14">
        <v>611200</v>
      </c>
      <c r="AQ7585" s="12">
        <v>1E-4</v>
      </c>
    </row>
    <row r="7586" spans="1:45" x14ac:dyDescent="0.2">
      <c r="A7586" s="122">
        <f t="shared" si="737"/>
        <v>6279</v>
      </c>
      <c r="B7586" s="13">
        <v>4</v>
      </c>
      <c r="C7586" s="17" t="s">
        <v>65</v>
      </c>
      <c r="D7586" s="17">
        <v>1960</v>
      </c>
      <c r="E7586" s="17">
        <v>53</v>
      </c>
      <c r="H7586" s="17">
        <v>5</v>
      </c>
      <c r="I7586" s="17">
        <v>2</v>
      </c>
      <c r="J7586" s="17">
        <v>60</v>
      </c>
      <c r="K7586" s="10">
        <v>2260</v>
      </c>
      <c r="P7586" s="17">
        <v>1</v>
      </c>
      <c r="Q7586" s="19">
        <v>2260</v>
      </c>
      <c r="R7586" s="14">
        <v>160</v>
      </c>
      <c r="S7586" s="19">
        <v>361600</v>
      </c>
      <c r="AJ7586" s="19">
        <v>0</v>
      </c>
      <c r="AK7586" s="23">
        <v>0</v>
      </c>
      <c r="AM7586" s="19">
        <v>0</v>
      </c>
      <c r="AN7586" s="19">
        <v>361600</v>
      </c>
      <c r="AP7586" s="14">
        <v>361600</v>
      </c>
      <c r="AQ7586" s="12">
        <v>1E-4</v>
      </c>
    </row>
    <row r="7587" spans="1:45" x14ac:dyDescent="0.2">
      <c r="A7587" s="122">
        <f t="shared" si="737"/>
        <v>6280</v>
      </c>
      <c r="B7587" s="13">
        <v>5</v>
      </c>
      <c r="C7587" s="17" t="s">
        <v>65</v>
      </c>
      <c r="D7587" s="17">
        <v>3206</v>
      </c>
      <c r="E7587" s="17">
        <v>146</v>
      </c>
      <c r="H7587" s="17">
        <v>27</v>
      </c>
      <c r="I7587" s="17">
        <v>0</v>
      </c>
      <c r="J7587" s="17">
        <v>39</v>
      </c>
      <c r="K7587" s="10" t="s">
        <v>779</v>
      </c>
      <c r="P7587" s="17">
        <v>1</v>
      </c>
      <c r="Q7587" s="19">
        <v>10839</v>
      </c>
      <c r="R7587" s="14">
        <v>200</v>
      </c>
      <c r="S7587" s="19">
        <v>2167800</v>
      </c>
      <c r="AJ7587" s="19">
        <v>0</v>
      </c>
      <c r="AK7587" s="23">
        <v>0</v>
      </c>
      <c r="AM7587" s="19">
        <v>0</v>
      </c>
      <c r="AN7587" s="19">
        <v>2167800</v>
      </c>
      <c r="AP7587" s="14">
        <v>2167800</v>
      </c>
      <c r="AQ7587" s="12">
        <v>1E-4</v>
      </c>
    </row>
    <row r="7588" spans="1:45" ht="42" x14ac:dyDescent="0.2">
      <c r="A7588" s="122">
        <f t="shared" si="737"/>
        <v>6281</v>
      </c>
      <c r="B7588" s="13">
        <v>1</v>
      </c>
      <c r="C7588" s="17" t="s">
        <v>52</v>
      </c>
      <c r="D7588" s="17">
        <v>18452</v>
      </c>
      <c r="E7588" s="17">
        <v>65</v>
      </c>
      <c r="F7588" s="17">
        <v>3688</v>
      </c>
      <c r="G7588" s="13">
        <v>7</v>
      </c>
      <c r="H7588" s="17">
        <v>0</v>
      </c>
      <c r="I7588" s="17">
        <v>1</v>
      </c>
      <c r="J7588" s="17">
        <v>22</v>
      </c>
      <c r="L7588" s="17" t="s">
        <v>746</v>
      </c>
      <c r="P7588" s="17">
        <v>2</v>
      </c>
      <c r="Q7588" s="19">
        <v>122</v>
      </c>
      <c r="R7588" s="14">
        <v>4500</v>
      </c>
      <c r="S7588" s="19">
        <v>549000</v>
      </c>
      <c r="T7588" s="17">
        <v>1</v>
      </c>
      <c r="V7588" s="17" t="s">
        <v>183</v>
      </c>
      <c r="W7588" s="4">
        <v>272</v>
      </c>
      <c r="Y7588" s="4">
        <v>272</v>
      </c>
      <c r="AB7588" s="17">
        <v>21</v>
      </c>
      <c r="AD7588" s="14" t="s">
        <v>74</v>
      </c>
      <c r="AJ7588" s="19">
        <v>0</v>
      </c>
      <c r="AK7588" s="23">
        <v>21</v>
      </c>
      <c r="AM7588" s="19">
        <v>0</v>
      </c>
      <c r="AN7588" s="19">
        <v>549000</v>
      </c>
      <c r="AP7588" s="14">
        <v>549000</v>
      </c>
    </row>
    <row r="7589" spans="1:45" x14ac:dyDescent="0.2">
      <c r="A7589" s="122">
        <f t="shared" si="737"/>
        <v>6282</v>
      </c>
      <c r="B7589" s="13">
        <v>2</v>
      </c>
      <c r="C7589" s="17" t="s">
        <v>52</v>
      </c>
      <c r="D7589" s="17">
        <v>21122</v>
      </c>
      <c r="E7589" s="17">
        <v>85</v>
      </c>
      <c r="F7589" s="17">
        <v>4672</v>
      </c>
      <c r="G7589" s="13">
        <v>7</v>
      </c>
      <c r="H7589" s="17">
        <v>1</v>
      </c>
      <c r="I7589" s="17">
        <v>1</v>
      </c>
      <c r="J7589" s="17">
        <v>49</v>
      </c>
      <c r="K7589" s="10">
        <v>549</v>
      </c>
      <c r="P7589" s="17">
        <v>1</v>
      </c>
      <c r="Q7589" s="19">
        <v>549</v>
      </c>
      <c r="R7589" s="14">
        <v>160</v>
      </c>
      <c r="S7589" s="19">
        <v>87840</v>
      </c>
      <c r="AJ7589" s="19">
        <v>0</v>
      </c>
      <c r="AK7589" s="23">
        <v>0</v>
      </c>
      <c r="AM7589" s="19">
        <v>0</v>
      </c>
      <c r="AN7589" s="19">
        <v>87840</v>
      </c>
      <c r="AP7589" s="14">
        <v>87840</v>
      </c>
    </row>
    <row r="7590" spans="1:45" x14ac:dyDescent="0.2">
      <c r="A7590" s="122">
        <f t="shared" si="737"/>
        <v>6283</v>
      </c>
      <c r="B7590" s="13">
        <v>1</v>
      </c>
      <c r="C7590" s="17" t="s">
        <v>52</v>
      </c>
      <c r="D7590" s="17">
        <v>34398</v>
      </c>
      <c r="E7590" s="17">
        <v>91</v>
      </c>
      <c r="F7590" s="17">
        <v>6876</v>
      </c>
      <c r="G7590" s="13">
        <v>3</v>
      </c>
      <c r="H7590" s="17">
        <v>1</v>
      </c>
      <c r="I7590" s="17">
        <v>0</v>
      </c>
      <c r="J7590" s="17">
        <v>0</v>
      </c>
      <c r="K7590" s="10">
        <v>400</v>
      </c>
      <c r="P7590" s="17">
        <v>1</v>
      </c>
      <c r="Q7590" s="19">
        <v>400</v>
      </c>
      <c r="R7590" s="14">
        <v>2000</v>
      </c>
      <c r="S7590" s="19">
        <v>800000</v>
      </c>
      <c r="AJ7590" s="19">
        <v>0</v>
      </c>
      <c r="AK7590" s="23">
        <v>0</v>
      </c>
      <c r="AM7590" s="19">
        <v>0</v>
      </c>
      <c r="AN7590" s="19">
        <v>800000</v>
      </c>
      <c r="AP7590" s="14">
        <v>800000</v>
      </c>
    </row>
    <row r="7591" spans="1:45" x14ac:dyDescent="0.2">
      <c r="A7591" s="122">
        <f t="shared" si="737"/>
        <v>6284</v>
      </c>
      <c r="B7591" s="13">
        <v>1</v>
      </c>
      <c r="C7591" s="17" t="s">
        <v>69</v>
      </c>
      <c r="E7591" s="17">
        <v>152</v>
      </c>
      <c r="F7591" s="17">
        <v>16</v>
      </c>
      <c r="G7591" s="13">
        <v>2</v>
      </c>
      <c r="H7591" s="17">
        <v>12</v>
      </c>
      <c r="I7591" s="17">
        <v>1</v>
      </c>
      <c r="J7591" s="17">
        <v>82</v>
      </c>
      <c r="K7591" s="10">
        <v>4982</v>
      </c>
      <c r="P7591" s="17">
        <v>5</v>
      </c>
      <c r="Q7591" s="19">
        <v>4982</v>
      </c>
      <c r="R7591" s="14">
        <v>200</v>
      </c>
      <c r="S7591" s="19">
        <v>996400</v>
      </c>
      <c r="AE7591" s="17">
        <v>4582</v>
      </c>
      <c r="AJ7591" s="19">
        <v>0</v>
      </c>
      <c r="AK7591" s="23">
        <v>0</v>
      </c>
      <c r="AM7591" s="19">
        <v>0</v>
      </c>
      <c r="AN7591" s="19">
        <v>996400</v>
      </c>
      <c r="AP7591" s="14">
        <v>996400</v>
      </c>
    </row>
    <row r="7592" spans="1:45" x14ac:dyDescent="0.2">
      <c r="P7592" s="17">
        <v>1</v>
      </c>
      <c r="Q7592" s="19">
        <v>4582</v>
      </c>
      <c r="R7592" s="14">
        <v>200</v>
      </c>
      <c r="S7592" s="19">
        <v>916400</v>
      </c>
      <c r="AE7592" s="17">
        <v>14</v>
      </c>
      <c r="AJ7592" s="19">
        <v>0</v>
      </c>
      <c r="AK7592" s="23">
        <v>0</v>
      </c>
      <c r="AM7592" s="19">
        <v>0</v>
      </c>
      <c r="AN7592" s="19">
        <v>916400</v>
      </c>
      <c r="AP7592" s="14">
        <v>916400</v>
      </c>
      <c r="AQ7592" s="12">
        <v>1E-4</v>
      </c>
    </row>
    <row r="7593" spans="1:45" x14ac:dyDescent="0.2">
      <c r="P7593" s="17">
        <v>2</v>
      </c>
      <c r="Q7593" s="19">
        <v>400</v>
      </c>
      <c r="R7593" s="14">
        <v>200</v>
      </c>
      <c r="S7593" s="19">
        <v>80000</v>
      </c>
      <c r="T7593" s="17" t="s">
        <v>122</v>
      </c>
      <c r="AF7593" s="14">
        <v>2</v>
      </c>
      <c r="AG7593" s="54">
        <v>24</v>
      </c>
      <c r="AH7593" s="11">
        <v>1</v>
      </c>
      <c r="AI7593" s="14">
        <v>7250</v>
      </c>
      <c r="AJ7593" s="19">
        <v>174000</v>
      </c>
      <c r="AK7593" s="23">
        <v>2</v>
      </c>
      <c r="AL7593" s="11">
        <v>0.02</v>
      </c>
      <c r="AM7593" s="19">
        <v>170520</v>
      </c>
      <c r="AN7593" s="19">
        <v>250520</v>
      </c>
      <c r="AP7593" s="14">
        <v>250520</v>
      </c>
      <c r="AQ7593" s="12">
        <v>2.0000000000000001E-4</v>
      </c>
    </row>
    <row r="7594" spans="1:45" x14ac:dyDescent="0.2">
      <c r="AF7594" s="14">
        <v>2</v>
      </c>
      <c r="AG7594" s="54">
        <v>24</v>
      </c>
      <c r="AH7594" s="11">
        <v>1</v>
      </c>
      <c r="AI7594" s="14">
        <v>7250</v>
      </c>
      <c r="AJ7594" s="19">
        <v>174000</v>
      </c>
      <c r="AK7594" s="23">
        <v>2</v>
      </c>
      <c r="AL7594" s="11">
        <v>0.02</v>
      </c>
      <c r="AM7594" s="19">
        <v>170520</v>
      </c>
      <c r="AN7594" s="19">
        <v>170520</v>
      </c>
      <c r="AP7594" s="14">
        <v>170520</v>
      </c>
      <c r="AQ7594" s="12">
        <v>3.0000000000000001E-3</v>
      </c>
    </row>
    <row r="7595" spans="1:45" ht="63" x14ac:dyDescent="0.2">
      <c r="A7595" s="2">
        <v>6285</v>
      </c>
      <c r="B7595" s="13">
        <v>1</v>
      </c>
      <c r="C7595" s="17" t="s">
        <v>52</v>
      </c>
      <c r="D7595" s="17">
        <v>31642</v>
      </c>
      <c r="E7595" s="17">
        <v>319</v>
      </c>
      <c r="F7595" s="17">
        <v>6212</v>
      </c>
      <c r="G7595" s="13">
        <v>1</v>
      </c>
      <c r="H7595" s="17">
        <v>0</v>
      </c>
      <c r="I7595" s="17">
        <v>1</v>
      </c>
      <c r="J7595" s="17">
        <v>10</v>
      </c>
      <c r="L7595" s="17" t="s">
        <v>780</v>
      </c>
      <c r="P7595" s="17">
        <v>2</v>
      </c>
      <c r="Q7595" s="19">
        <v>110</v>
      </c>
      <c r="R7595" s="14">
        <v>3000</v>
      </c>
      <c r="S7595" s="19">
        <v>330000</v>
      </c>
      <c r="T7595" s="17">
        <v>1</v>
      </c>
      <c r="V7595" s="17" t="s">
        <v>618</v>
      </c>
      <c r="W7595" s="4">
        <v>225</v>
      </c>
      <c r="Y7595" s="4">
        <v>225</v>
      </c>
      <c r="AB7595" s="17">
        <v>29</v>
      </c>
      <c r="AJ7595" s="19">
        <v>0</v>
      </c>
      <c r="AK7595" s="23">
        <v>29</v>
      </c>
      <c r="AM7595" s="19">
        <v>0</v>
      </c>
      <c r="AN7595" s="19">
        <v>330000</v>
      </c>
      <c r="AP7595" s="14">
        <v>330000</v>
      </c>
    </row>
    <row r="7596" spans="1:45" x14ac:dyDescent="0.2">
      <c r="B7596" s="13">
        <v>1</v>
      </c>
      <c r="C7596" s="17" t="s">
        <v>65</v>
      </c>
      <c r="D7596" s="17">
        <v>2624</v>
      </c>
      <c r="E7596" s="17">
        <v>163</v>
      </c>
      <c r="H7596" s="17">
        <v>2</v>
      </c>
      <c r="I7596" s="17">
        <v>3</v>
      </c>
      <c r="J7596" s="17">
        <v>21</v>
      </c>
      <c r="K7596" s="10">
        <v>1121</v>
      </c>
      <c r="P7596" s="17">
        <v>1</v>
      </c>
      <c r="Q7596" s="19">
        <v>1121</v>
      </c>
      <c r="R7596" s="14" t="e">
        <v>#N/A</v>
      </c>
      <c r="S7596" s="19" t="e">
        <v>#N/A</v>
      </c>
      <c r="AE7596" s="17" t="s">
        <v>95</v>
      </c>
      <c r="AJ7596" s="19">
        <v>0</v>
      </c>
      <c r="AK7596" s="23">
        <v>0</v>
      </c>
      <c r="AM7596" s="19">
        <v>0</v>
      </c>
      <c r="AN7596" s="19" t="e">
        <v>#N/A</v>
      </c>
      <c r="AP7596" s="14" t="e">
        <v>#N/A</v>
      </c>
      <c r="AQ7596" s="12">
        <v>1E-4</v>
      </c>
    </row>
    <row r="7597" spans="1:45" x14ac:dyDescent="0.2">
      <c r="B7597" s="13">
        <v>2</v>
      </c>
      <c r="C7597" s="17" t="s">
        <v>65</v>
      </c>
      <c r="D7597" s="17">
        <v>3896</v>
      </c>
      <c r="E7597" s="17">
        <v>222</v>
      </c>
      <c r="H7597" s="17">
        <v>0</v>
      </c>
      <c r="I7597" s="17">
        <v>0</v>
      </c>
      <c r="J7597" s="17">
        <v>74</v>
      </c>
      <c r="K7597" s="10">
        <v>74</v>
      </c>
      <c r="P7597" s="17">
        <v>1</v>
      </c>
      <c r="Q7597" s="19">
        <v>74</v>
      </c>
      <c r="R7597" s="14" t="e">
        <v>#N/A</v>
      </c>
      <c r="S7597" s="19" t="e">
        <v>#N/A</v>
      </c>
      <c r="AJ7597" s="19">
        <v>0</v>
      </c>
      <c r="AK7597" s="23">
        <v>0</v>
      </c>
      <c r="AM7597" s="19">
        <v>0</v>
      </c>
      <c r="AN7597" s="19" t="e">
        <v>#N/A</v>
      </c>
      <c r="AP7597" s="14" t="e">
        <v>#N/A</v>
      </c>
      <c r="AQ7597" s="12">
        <v>1E-4</v>
      </c>
    </row>
    <row r="7598" spans="1:45" x14ac:dyDescent="0.2">
      <c r="A7598" s="2">
        <v>6286</v>
      </c>
      <c r="B7598" s="13">
        <v>1</v>
      </c>
      <c r="C7598" s="17" t="s">
        <v>52</v>
      </c>
      <c r="D7598" s="17">
        <v>4816</v>
      </c>
      <c r="E7598" s="17">
        <v>5</v>
      </c>
      <c r="F7598" s="17">
        <v>2705</v>
      </c>
      <c r="G7598" s="13">
        <v>7</v>
      </c>
      <c r="H7598" s="17">
        <v>3</v>
      </c>
      <c r="I7598" s="17">
        <v>2</v>
      </c>
      <c r="J7598" s="17">
        <v>65</v>
      </c>
      <c r="K7598" s="10">
        <v>1465</v>
      </c>
      <c r="P7598" s="17">
        <v>1</v>
      </c>
      <c r="Q7598" s="19">
        <v>1465</v>
      </c>
      <c r="R7598" s="14">
        <v>160</v>
      </c>
      <c r="S7598" s="19">
        <v>234400</v>
      </c>
      <c r="AJ7598" s="19">
        <v>0</v>
      </c>
      <c r="AK7598" s="23">
        <v>0</v>
      </c>
      <c r="AM7598" s="19">
        <v>0</v>
      </c>
      <c r="AN7598" s="19">
        <v>234400</v>
      </c>
      <c r="AP7598" s="14">
        <v>234400</v>
      </c>
      <c r="AS7598" s="26">
        <v>11</v>
      </c>
    </row>
    <row r="7599" spans="1:45" ht="42" x14ac:dyDescent="0.2">
      <c r="A7599" s="2">
        <f>+A7598+1</f>
        <v>6287</v>
      </c>
      <c r="B7599" s="13">
        <v>1</v>
      </c>
      <c r="C7599" s="17" t="s">
        <v>52</v>
      </c>
      <c r="D7599" s="17">
        <v>5008</v>
      </c>
      <c r="E7599" s="17">
        <v>6</v>
      </c>
      <c r="F7599" s="17">
        <v>2704</v>
      </c>
      <c r="G7599" s="13">
        <v>7</v>
      </c>
      <c r="H7599" s="17">
        <v>2</v>
      </c>
      <c r="I7599" s="17">
        <v>2</v>
      </c>
      <c r="J7599" s="17">
        <v>40</v>
      </c>
      <c r="K7599" s="10">
        <v>995</v>
      </c>
      <c r="L7599" s="17">
        <v>45</v>
      </c>
      <c r="P7599" s="17">
        <v>5</v>
      </c>
      <c r="Q7599" s="19">
        <v>1040</v>
      </c>
      <c r="R7599" s="14">
        <v>160</v>
      </c>
      <c r="S7599" s="19">
        <v>166400</v>
      </c>
      <c r="T7599" s="17">
        <v>1</v>
      </c>
      <c r="V7599" s="17" t="s">
        <v>183</v>
      </c>
      <c r="W7599" s="4">
        <v>180</v>
      </c>
      <c r="Y7599" s="4">
        <v>180</v>
      </c>
      <c r="AB7599" s="17">
        <v>24</v>
      </c>
      <c r="AJ7599" s="19">
        <v>0</v>
      </c>
      <c r="AK7599" s="23">
        <v>24</v>
      </c>
      <c r="AM7599" s="19">
        <v>0</v>
      </c>
      <c r="AN7599" s="19">
        <v>166400</v>
      </c>
      <c r="AP7599" s="14">
        <v>166400</v>
      </c>
    </row>
    <row r="7600" spans="1:45" ht="42" x14ac:dyDescent="0.2">
      <c r="A7600" s="122">
        <f t="shared" ref="A7600:A7604" si="738">+A7599+1</f>
        <v>6288</v>
      </c>
      <c r="B7600" s="13">
        <v>1</v>
      </c>
      <c r="C7600" s="17" t="s">
        <v>52</v>
      </c>
      <c r="D7600" s="17">
        <v>4817</v>
      </c>
      <c r="E7600" s="17">
        <v>4</v>
      </c>
      <c r="F7600" s="17">
        <v>2706</v>
      </c>
      <c r="G7600" s="13">
        <v>7</v>
      </c>
      <c r="H7600" s="17">
        <v>3</v>
      </c>
      <c r="I7600" s="17">
        <v>1</v>
      </c>
      <c r="J7600" s="17">
        <v>81</v>
      </c>
      <c r="K7600" s="10">
        <v>1323</v>
      </c>
      <c r="L7600" s="17">
        <v>58</v>
      </c>
      <c r="P7600" s="17">
        <v>5</v>
      </c>
      <c r="Q7600" s="19">
        <v>1381</v>
      </c>
      <c r="R7600" s="14">
        <v>160</v>
      </c>
      <c r="S7600" s="19">
        <v>220960</v>
      </c>
      <c r="T7600" s="17">
        <v>1</v>
      </c>
      <c r="V7600" s="17" t="s">
        <v>183</v>
      </c>
      <c r="W7600" s="4">
        <v>154</v>
      </c>
      <c r="Y7600" s="4">
        <v>154</v>
      </c>
      <c r="AB7600" s="17">
        <v>15</v>
      </c>
      <c r="AJ7600" s="19">
        <v>0</v>
      </c>
      <c r="AK7600" s="23">
        <v>15</v>
      </c>
      <c r="AM7600" s="19">
        <v>0</v>
      </c>
      <c r="AN7600" s="19">
        <v>220960</v>
      </c>
      <c r="AP7600" s="14">
        <v>220960</v>
      </c>
      <c r="AS7600" s="26">
        <v>13</v>
      </c>
    </row>
    <row r="7601" spans="1:45" ht="42" x14ac:dyDescent="0.2">
      <c r="A7601" s="122">
        <f t="shared" si="738"/>
        <v>6289</v>
      </c>
      <c r="B7601" s="13">
        <v>1</v>
      </c>
      <c r="C7601" s="17" t="s">
        <v>52</v>
      </c>
      <c r="D7601" s="17">
        <v>1957</v>
      </c>
      <c r="E7601" s="17">
        <v>14</v>
      </c>
      <c r="F7601" s="17">
        <v>1314</v>
      </c>
      <c r="G7601" s="13">
        <v>2</v>
      </c>
      <c r="H7601" s="17">
        <v>4</v>
      </c>
      <c r="I7601" s="17">
        <v>1</v>
      </c>
      <c r="J7601" s="17">
        <v>9</v>
      </c>
      <c r="K7601" s="10">
        <v>1709</v>
      </c>
      <c r="P7601" s="17">
        <v>1</v>
      </c>
      <c r="Q7601" s="19">
        <v>1709</v>
      </c>
      <c r="R7601" s="14">
        <v>160</v>
      </c>
      <c r="S7601" s="19">
        <v>273440</v>
      </c>
      <c r="AJ7601" s="19">
        <v>0</v>
      </c>
      <c r="AK7601" s="23">
        <v>0</v>
      </c>
      <c r="AM7601" s="19">
        <v>0</v>
      </c>
      <c r="AN7601" s="19">
        <v>273440</v>
      </c>
      <c r="AP7601" s="14">
        <v>273440</v>
      </c>
      <c r="AS7601" s="26" t="s">
        <v>259</v>
      </c>
    </row>
    <row r="7602" spans="1:45" x14ac:dyDescent="0.2">
      <c r="A7602" s="122">
        <f t="shared" si="738"/>
        <v>6290</v>
      </c>
      <c r="B7602" s="13">
        <v>1</v>
      </c>
      <c r="C7602" s="17" t="s">
        <v>52</v>
      </c>
      <c r="D7602" s="17">
        <v>1884</v>
      </c>
      <c r="E7602" s="17">
        <v>23</v>
      </c>
      <c r="F7602" s="17">
        <v>1274</v>
      </c>
      <c r="G7602" s="13">
        <v>2</v>
      </c>
      <c r="H7602" s="17">
        <v>4</v>
      </c>
      <c r="I7602" s="17">
        <v>2</v>
      </c>
      <c r="J7602" s="17">
        <v>61</v>
      </c>
      <c r="K7602" s="10">
        <v>1861</v>
      </c>
      <c r="P7602" s="17">
        <v>1</v>
      </c>
      <c r="Q7602" s="19">
        <v>1861</v>
      </c>
      <c r="R7602" s="14">
        <v>160</v>
      </c>
      <c r="S7602" s="19">
        <v>297760</v>
      </c>
      <c r="AJ7602" s="19">
        <v>0</v>
      </c>
      <c r="AK7602" s="23">
        <v>0</v>
      </c>
      <c r="AM7602" s="19">
        <v>0</v>
      </c>
      <c r="AN7602" s="19">
        <v>297760</v>
      </c>
      <c r="AP7602" s="14">
        <v>297760</v>
      </c>
      <c r="AS7602" s="26">
        <v>4500</v>
      </c>
    </row>
    <row r="7603" spans="1:45" x14ac:dyDescent="0.2">
      <c r="A7603" s="122">
        <f t="shared" si="738"/>
        <v>6291</v>
      </c>
      <c r="B7603" s="13">
        <v>2</v>
      </c>
      <c r="C7603" s="17" t="s">
        <v>52</v>
      </c>
      <c r="D7603" s="17">
        <v>1955</v>
      </c>
      <c r="E7603" s="17">
        <v>26</v>
      </c>
      <c r="F7603" s="17">
        <v>1312</v>
      </c>
      <c r="G7603" s="13">
        <v>2</v>
      </c>
      <c r="H7603" s="17">
        <v>5</v>
      </c>
      <c r="I7603" s="17">
        <v>1</v>
      </c>
      <c r="J7603" s="17">
        <v>22</v>
      </c>
      <c r="K7603" s="10">
        <v>2122</v>
      </c>
      <c r="P7603" s="17">
        <v>1</v>
      </c>
      <c r="Q7603" s="19">
        <v>2122</v>
      </c>
      <c r="R7603" s="14">
        <v>160</v>
      </c>
      <c r="S7603" s="19">
        <v>339520</v>
      </c>
      <c r="AE7603" s="17" t="s">
        <v>258</v>
      </c>
      <c r="AJ7603" s="19">
        <v>0</v>
      </c>
      <c r="AK7603" s="23">
        <v>0</v>
      </c>
      <c r="AM7603" s="19">
        <v>0</v>
      </c>
      <c r="AN7603" s="19">
        <v>339520</v>
      </c>
      <c r="AP7603" s="14">
        <v>339520</v>
      </c>
    </row>
    <row r="7604" spans="1:45" ht="63" x14ac:dyDescent="0.2">
      <c r="A7604" s="122">
        <f t="shared" si="738"/>
        <v>6292</v>
      </c>
      <c r="B7604" s="13">
        <v>3</v>
      </c>
      <c r="C7604" s="17" t="s">
        <v>52</v>
      </c>
      <c r="D7604" s="17">
        <v>28321</v>
      </c>
      <c r="E7604" s="17">
        <v>97</v>
      </c>
      <c r="F7604" s="17">
        <v>5058</v>
      </c>
      <c r="G7604" s="13">
        <v>2</v>
      </c>
      <c r="H7604" s="17">
        <v>1</v>
      </c>
      <c r="I7604" s="17">
        <v>1</v>
      </c>
      <c r="J7604" s="17">
        <v>69</v>
      </c>
      <c r="K7604" s="10">
        <v>447.75</v>
      </c>
      <c r="L7604" s="17">
        <v>121.25</v>
      </c>
      <c r="P7604" s="17">
        <v>5</v>
      </c>
      <c r="Q7604" s="19">
        <v>569</v>
      </c>
      <c r="R7604" s="14">
        <v>200</v>
      </c>
      <c r="S7604" s="19">
        <v>113800</v>
      </c>
      <c r="T7604" s="17">
        <v>1</v>
      </c>
      <c r="V7604" s="17" t="s">
        <v>183</v>
      </c>
      <c r="W7604" s="4">
        <v>170</v>
      </c>
      <c r="Y7604" s="4">
        <v>170</v>
      </c>
      <c r="AB7604" s="17">
        <v>13</v>
      </c>
      <c r="AJ7604" s="19">
        <v>0</v>
      </c>
      <c r="AK7604" s="23">
        <v>13</v>
      </c>
      <c r="AM7604" s="19">
        <v>0</v>
      </c>
      <c r="AN7604" s="19">
        <v>113800</v>
      </c>
      <c r="AP7604" s="14">
        <v>113800</v>
      </c>
      <c r="AR7604" s="19">
        <v>4500</v>
      </c>
    </row>
    <row r="7605" spans="1:45" ht="42" x14ac:dyDescent="0.2">
      <c r="Q7605" s="19">
        <v>0</v>
      </c>
      <c r="R7605" s="14" t="e">
        <v>#N/A</v>
      </c>
      <c r="S7605" s="19" t="e">
        <v>#N/A</v>
      </c>
      <c r="T7605" s="17">
        <v>2</v>
      </c>
      <c r="V7605" s="17" t="s">
        <v>183</v>
      </c>
      <c r="W7605" s="4">
        <v>315</v>
      </c>
      <c r="Y7605" s="4">
        <v>315</v>
      </c>
      <c r="AB7605" s="17">
        <v>24</v>
      </c>
      <c r="AJ7605" s="19">
        <v>0</v>
      </c>
      <c r="AK7605" s="23">
        <v>24</v>
      </c>
      <c r="AM7605" s="19">
        <v>0</v>
      </c>
      <c r="AN7605" s="19" t="e">
        <v>#N/A</v>
      </c>
      <c r="AP7605" s="14" t="e">
        <v>#N/A</v>
      </c>
    </row>
    <row r="7606" spans="1:45" x14ac:dyDescent="0.2">
      <c r="A7606" s="2">
        <v>6293</v>
      </c>
      <c r="B7606" s="13">
        <v>1</v>
      </c>
      <c r="C7606" s="17" t="s">
        <v>69</v>
      </c>
      <c r="E7606" s="17">
        <v>152</v>
      </c>
      <c r="F7606" s="17">
        <v>4</v>
      </c>
      <c r="G7606" s="13">
        <v>2</v>
      </c>
      <c r="H7606" s="17">
        <v>8</v>
      </c>
      <c r="I7606" s="17">
        <v>2</v>
      </c>
      <c r="J7606" s="17">
        <v>77</v>
      </c>
      <c r="K7606" s="10">
        <v>3477</v>
      </c>
      <c r="P7606" s="17">
        <v>1</v>
      </c>
      <c r="Q7606" s="19">
        <v>3477</v>
      </c>
      <c r="R7606" s="14">
        <v>160</v>
      </c>
      <c r="S7606" s="19">
        <v>556320</v>
      </c>
      <c r="AJ7606" s="19">
        <v>0</v>
      </c>
      <c r="AK7606" s="23">
        <v>0</v>
      </c>
      <c r="AM7606" s="19">
        <v>0</v>
      </c>
      <c r="AN7606" s="19">
        <v>556320</v>
      </c>
      <c r="AP7606" s="14">
        <v>556320</v>
      </c>
      <c r="AQ7606" s="12">
        <v>1E-4</v>
      </c>
      <c r="AS7606" s="26">
        <v>34</v>
      </c>
    </row>
    <row r="7607" spans="1:45" x14ac:dyDescent="0.2">
      <c r="A7607" s="2">
        <f>+A7606+1</f>
        <v>6294</v>
      </c>
      <c r="B7607" s="13">
        <v>2</v>
      </c>
      <c r="C7607" s="17" t="s">
        <v>69</v>
      </c>
      <c r="E7607" s="17">
        <v>155</v>
      </c>
      <c r="F7607" s="17">
        <v>2</v>
      </c>
      <c r="G7607" s="13">
        <v>2</v>
      </c>
      <c r="H7607" s="17">
        <v>6</v>
      </c>
      <c r="I7607" s="17">
        <v>0</v>
      </c>
      <c r="J7607" s="17">
        <v>64</v>
      </c>
      <c r="K7607" s="10">
        <v>2464</v>
      </c>
      <c r="P7607" s="17">
        <v>1</v>
      </c>
      <c r="Q7607" s="19">
        <v>2464</v>
      </c>
      <c r="R7607" s="14">
        <v>200</v>
      </c>
      <c r="S7607" s="19">
        <v>492800</v>
      </c>
      <c r="AJ7607" s="19">
        <v>0</v>
      </c>
      <c r="AK7607" s="23">
        <v>0</v>
      </c>
      <c r="AM7607" s="19">
        <v>0</v>
      </c>
      <c r="AN7607" s="19">
        <v>492800</v>
      </c>
      <c r="AP7607" s="14">
        <v>492800</v>
      </c>
      <c r="AQ7607" s="12">
        <v>1E-4</v>
      </c>
    </row>
    <row r="7608" spans="1:45" x14ac:dyDescent="0.2">
      <c r="A7608" s="122">
        <f t="shared" ref="A7608:A7613" si="739">+A7607+1</f>
        <v>6295</v>
      </c>
      <c r="B7608" s="13">
        <v>3</v>
      </c>
      <c r="C7608" s="17" t="s">
        <v>69</v>
      </c>
      <c r="E7608" s="17">
        <v>162</v>
      </c>
      <c r="F7608" s="17">
        <v>3</v>
      </c>
      <c r="G7608" s="13">
        <v>1</v>
      </c>
      <c r="H7608" s="17">
        <v>0</v>
      </c>
      <c r="I7608" s="17">
        <v>3</v>
      </c>
      <c r="J7608" s="17">
        <v>67</v>
      </c>
      <c r="K7608" s="10">
        <v>367</v>
      </c>
      <c r="P7608" s="17">
        <v>1</v>
      </c>
      <c r="Q7608" s="19">
        <v>367</v>
      </c>
      <c r="R7608" s="14">
        <v>160</v>
      </c>
      <c r="S7608" s="19">
        <v>58720</v>
      </c>
      <c r="AJ7608" s="19">
        <v>0</v>
      </c>
      <c r="AK7608" s="23">
        <v>0</v>
      </c>
      <c r="AM7608" s="19">
        <v>0</v>
      </c>
      <c r="AN7608" s="19">
        <v>58720</v>
      </c>
      <c r="AP7608" s="14">
        <v>58720</v>
      </c>
      <c r="AQ7608" s="12">
        <v>1E-4</v>
      </c>
    </row>
    <row r="7609" spans="1:45" ht="42" x14ac:dyDescent="0.2">
      <c r="A7609" s="122">
        <f t="shared" si="739"/>
        <v>6296</v>
      </c>
      <c r="B7609" s="13">
        <v>1</v>
      </c>
      <c r="C7609" s="17" t="s">
        <v>52</v>
      </c>
      <c r="D7609" s="17">
        <v>14533</v>
      </c>
      <c r="E7609" s="17">
        <v>98</v>
      </c>
      <c r="F7609" s="17">
        <v>3390</v>
      </c>
      <c r="G7609" s="13">
        <v>2</v>
      </c>
      <c r="H7609" s="17">
        <v>0</v>
      </c>
      <c r="I7609" s="17">
        <v>2</v>
      </c>
      <c r="J7609" s="17">
        <v>38</v>
      </c>
      <c r="K7609" s="10">
        <v>211.75</v>
      </c>
      <c r="L7609" s="17">
        <v>26.25</v>
      </c>
      <c r="P7609" s="17">
        <v>5</v>
      </c>
      <c r="Q7609" s="19">
        <v>238</v>
      </c>
      <c r="R7609" s="14">
        <v>250</v>
      </c>
      <c r="S7609" s="19">
        <v>59500</v>
      </c>
      <c r="T7609" s="17">
        <v>1</v>
      </c>
      <c r="V7609" s="17" t="s">
        <v>183</v>
      </c>
      <c r="W7609" s="4">
        <v>105</v>
      </c>
      <c r="Y7609" s="4">
        <v>105</v>
      </c>
      <c r="AB7609" s="17">
        <v>29</v>
      </c>
      <c r="AJ7609" s="19">
        <v>0</v>
      </c>
      <c r="AK7609" s="23">
        <v>29</v>
      </c>
      <c r="AM7609" s="19">
        <v>0</v>
      </c>
      <c r="AN7609" s="19">
        <v>59500</v>
      </c>
      <c r="AP7609" s="14">
        <v>59500</v>
      </c>
    </row>
    <row r="7610" spans="1:45" x14ac:dyDescent="0.2">
      <c r="A7610" s="122">
        <f t="shared" si="739"/>
        <v>6297</v>
      </c>
      <c r="B7610" s="13">
        <v>1</v>
      </c>
      <c r="C7610" s="17" t="s">
        <v>52</v>
      </c>
      <c r="D7610" s="17">
        <v>2425</v>
      </c>
      <c r="E7610" s="17">
        <v>65</v>
      </c>
      <c r="F7610" s="17">
        <v>426</v>
      </c>
      <c r="G7610" s="13">
        <v>2</v>
      </c>
      <c r="H7610" s="17">
        <v>0</v>
      </c>
      <c r="I7610" s="17">
        <v>0</v>
      </c>
      <c r="J7610" s="17">
        <v>51</v>
      </c>
      <c r="N7610" s="18">
        <v>51</v>
      </c>
      <c r="P7610" s="17">
        <v>4</v>
      </c>
      <c r="Q7610" s="19">
        <v>51</v>
      </c>
      <c r="R7610" s="14">
        <v>4500</v>
      </c>
      <c r="S7610" s="19">
        <v>229500</v>
      </c>
      <c r="AJ7610" s="19">
        <v>0</v>
      </c>
      <c r="AK7610" s="23">
        <v>0</v>
      </c>
      <c r="AM7610" s="19">
        <v>0</v>
      </c>
      <c r="AN7610" s="19">
        <v>229500</v>
      </c>
      <c r="AP7610" s="14">
        <v>229500</v>
      </c>
      <c r="AQ7610" s="12">
        <v>3.0000000000000001E-3</v>
      </c>
    </row>
    <row r="7611" spans="1:45" ht="42" x14ac:dyDescent="0.2">
      <c r="A7611" s="122">
        <f t="shared" si="739"/>
        <v>6298</v>
      </c>
      <c r="B7611" s="13">
        <v>1</v>
      </c>
      <c r="C7611" s="17" t="s">
        <v>52</v>
      </c>
      <c r="D7611" s="17">
        <v>30977</v>
      </c>
      <c r="E7611" s="17">
        <v>82</v>
      </c>
      <c r="F7611" s="17">
        <v>5929</v>
      </c>
      <c r="G7611" s="13">
        <v>2</v>
      </c>
      <c r="H7611" s="17">
        <v>4</v>
      </c>
      <c r="I7611" s="17">
        <v>0</v>
      </c>
      <c r="J7611" s="17">
        <v>34.06</v>
      </c>
      <c r="K7611" s="10" t="s">
        <v>781</v>
      </c>
      <c r="L7611" s="17">
        <v>24</v>
      </c>
      <c r="P7611" s="17">
        <v>5</v>
      </c>
      <c r="Q7611" s="19">
        <v>1634.06</v>
      </c>
      <c r="R7611" s="14">
        <v>160</v>
      </c>
      <c r="S7611" s="19">
        <v>261449.59999999998</v>
      </c>
      <c r="T7611" s="17">
        <v>1</v>
      </c>
      <c r="V7611" s="17" t="s">
        <v>183</v>
      </c>
      <c r="W7611" s="4">
        <v>96</v>
      </c>
      <c r="Y7611" s="4">
        <v>96</v>
      </c>
      <c r="AB7611" s="17">
        <v>30</v>
      </c>
      <c r="AJ7611" s="19">
        <v>0</v>
      </c>
      <c r="AK7611" s="23">
        <v>30</v>
      </c>
      <c r="AM7611" s="19">
        <v>0</v>
      </c>
      <c r="AN7611" s="19">
        <v>261449.59999999998</v>
      </c>
      <c r="AP7611" s="14">
        <v>261449.59999999998</v>
      </c>
    </row>
    <row r="7612" spans="1:45" x14ac:dyDescent="0.2">
      <c r="A7612" s="122">
        <f t="shared" si="739"/>
        <v>6299</v>
      </c>
      <c r="B7612" s="13">
        <v>2</v>
      </c>
      <c r="C7612" s="17" t="s">
        <v>52</v>
      </c>
      <c r="D7612" s="17">
        <v>30979</v>
      </c>
      <c r="E7612" s="17">
        <v>85</v>
      </c>
      <c r="F7612" s="17">
        <v>5931</v>
      </c>
      <c r="G7612" s="13">
        <v>2</v>
      </c>
      <c r="H7612" s="17">
        <v>6</v>
      </c>
      <c r="I7612" s="17">
        <v>0</v>
      </c>
      <c r="J7612" s="17">
        <v>34.06</v>
      </c>
      <c r="K7612" s="10">
        <v>2434</v>
      </c>
      <c r="P7612" s="17">
        <v>1</v>
      </c>
      <c r="Q7612" s="19">
        <v>2434.06</v>
      </c>
      <c r="R7612" s="14">
        <v>160</v>
      </c>
      <c r="S7612" s="19">
        <v>389449.6</v>
      </c>
      <c r="AJ7612" s="19">
        <v>0</v>
      </c>
      <c r="AK7612" s="23">
        <v>0</v>
      </c>
      <c r="AM7612" s="19">
        <v>0</v>
      </c>
      <c r="AN7612" s="19">
        <v>389449.6</v>
      </c>
      <c r="AP7612" s="14">
        <v>389449.6</v>
      </c>
    </row>
    <row r="7613" spans="1:45" ht="63" x14ac:dyDescent="0.2">
      <c r="A7613" s="122">
        <f t="shared" si="739"/>
        <v>6300</v>
      </c>
      <c r="B7613" s="13">
        <v>1</v>
      </c>
      <c r="C7613" s="17" t="s">
        <v>65</v>
      </c>
      <c r="D7613" s="17">
        <v>1026</v>
      </c>
      <c r="E7613" s="17">
        <v>194</v>
      </c>
      <c r="H7613" s="17">
        <v>11</v>
      </c>
      <c r="I7613" s="17">
        <v>1</v>
      </c>
      <c r="J7613" s="17">
        <v>92</v>
      </c>
      <c r="K7613" s="10">
        <v>4592</v>
      </c>
      <c r="P7613" s="17">
        <v>1</v>
      </c>
      <c r="Q7613" s="19">
        <v>4592</v>
      </c>
      <c r="R7613" s="14">
        <v>200</v>
      </c>
      <c r="S7613" s="19">
        <v>918400</v>
      </c>
      <c r="AD7613" s="14" t="s">
        <v>782</v>
      </c>
      <c r="AE7613" s="17" t="s">
        <v>94</v>
      </c>
      <c r="AJ7613" s="19">
        <v>0</v>
      </c>
      <c r="AK7613" s="23">
        <v>0</v>
      </c>
      <c r="AM7613" s="19">
        <v>0</v>
      </c>
      <c r="AN7613" s="19">
        <v>918400</v>
      </c>
      <c r="AP7613" s="14">
        <v>918400</v>
      </c>
      <c r="AQ7613" s="12">
        <v>1E-4</v>
      </c>
    </row>
    <row r="7614" spans="1:45" ht="42" x14ac:dyDescent="0.2">
      <c r="B7614" s="13">
        <v>3</v>
      </c>
      <c r="C7614" s="17" t="s">
        <v>65</v>
      </c>
      <c r="D7614" s="17">
        <v>3557</v>
      </c>
      <c r="E7614" s="17">
        <v>265</v>
      </c>
      <c r="H7614" s="17">
        <v>4</v>
      </c>
      <c r="I7614" s="17">
        <v>0</v>
      </c>
      <c r="J7614" s="17">
        <v>39</v>
      </c>
      <c r="K7614" s="10">
        <v>1639</v>
      </c>
      <c r="P7614" s="17">
        <v>1</v>
      </c>
      <c r="Q7614" s="19">
        <v>1639</v>
      </c>
      <c r="R7614" s="14" t="e">
        <v>#N/A</v>
      </c>
      <c r="S7614" s="19" t="e">
        <v>#N/A</v>
      </c>
      <c r="AD7614" s="14" t="s">
        <v>783</v>
      </c>
      <c r="AE7614" s="17" t="s">
        <v>94</v>
      </c>
      <c r="AJ7614" s="19">
        <v>0</v>
      </c>
      <c r="AK7614" s="23">
        <v>0</v>
      </c>
      <c r="AM7614" s="19">
        <v>0</v>
      </c>
      <c r="AN7614" s="19" t="e">
        <v>#N/A</v>
      </c>
      <c r="AP7614" s="14" t="e">
        <v>#N/A</v>
      </c>
      <c r="AQ7614" s="12">
        <v>1E-4</v>
      </c>
    </row>
    <row r="7615" spans="1:45" x14ac:dyDescent="0.2">
      <c r="B7615" s="13">
        <v>1</v>
      </c>
      <c r="C7615" s="17" t="s">
        <v>65</v>
      </c>
      <c r="D7615" s="17">
        <v>3556</v>
      </c>
      <c r="E7615" s="17">
        <v>264</v>
      </c>
      <c r="H7615" s="17">
        <v>2</v>
      </c>
      <c r="I7615" s="17">
        <v>2</v>
      </c>
      <c r="J7615" s="17">
        <v>30</v>
      </c>
      <c r="K7615" s="10">
        <v>1030</v>
      </c>
      <c r="P7615" s="17">
        <v>1</v>
      </c>
      <c r="Q7615" s="19">
        <v>1030</v>
      </c>
      <c r="R7615" s="14" t="e">
        <v>#N/A</v>
      </c>
      <c r="S7615" s="19" t="e">
        <v>#N/A</v>
      </c>
      <c r="AJ7615" s="19">
        <v>0</v>
      </c>
      <c r="AK7615" s="23">
        <v>0</v>
      </c>
      <c r="AM7615" s="19">
        <v>0</v>
      </c>
      <c r="AN7615" s="19" t="e">
        <v>#N/A</v>
      </c>
      <c r="AP7615" s="14" t="e">
        <v>#N/A</v>
      </c>
      <c r="AQ7615" s="12">
        <v>1E-4</v>
      </c>
    </row>
    <row r="7616" spans="1:45" ht="231" x14ac:dyDescent="0.2">
      <c r="A7616" s="2">
        <v>6301</v>
      </c>
      <c r="B7616" s="13">
        <v>1</v>
      </c>
      <c r="C7616" s="17" t="s">
        <v>52</v>
      </c>
      <c r="D7616" s="17">
        <v>455</v>
      </c>
      <c r="E7616" s="17">
        <v>502</v>
      </c>
      <c r="F7616" s="17">
        <v>67</v>
      </c>
      <c r="G7616" s="13">
        <v>2</v>
      </c>
      <c r="H7616" s="17">
        <v>0</v>
      </c>
      <c r="I7616" s="17">
        <v>0</v>
      </c>
      <c r="J7616" s="17">
        <v>90.03</v>
      </c>
      <c r="K7616" s="10">
        <v>62.03</v>
      </c>
      <c r="L7616" s="17">
        <v>28</v>
      </c>
      <c r="P7616" s="17">
        <v>5</v>
      </c>
      <c r="Q7616" s="19">
        <v>90.03</v>
      </c>
      <c r="R7616" s="14">
        <v>4500</v>
      </c>
      <c r="S7616" s="19">
        <v>405135</v>
      </c>
      <c r="T7616" s="17">
        <v>1</v>
      </c>
      <c r="U7616" s="17" t="s">
        <v>57</v>
      </c>
      <c r="V7616" s="17" t="s">
        <v>56</v>
      </c>
      <c r="W7616" s="4">
        <v>112</v>
      </c>
      <c r="Y7616" s="4" t="s">
        <v>326</v>
      </c>
      <c r="AB7616" s="17">
        <v>48</v>
      </c>
      <c r="AC7616" s="14" t="s">
        <v>486</v>
      </c>
      <c r="AF7616" s="14">
        <v>2</v>
      </c>
      <c r="AG7616" s="54">
        <v>112</v>
      </c>
      <c r="AH7616" s="11">
        <v>0.86</v>
      </c>
      <c r="AI7616" s="14">
        <v>7250</v>
      </c>
      <c r="AJ7616" s="19">
        <v>698320</v>
      </c>
      <c r="AK7616" s="23">
        <v>51</v>
      </c>
      <c r="AL7616" s="11">
        <v>0.76</v>
      </c>
      <c r="AM7616" s="19">
        <v>167596.80000000005</v>
      </c>
      <c r="AN7616" s="19">
        <v>572731.80000000005</v>
      </c>
      <c r="AP7616" s="14">
        <v>572731.80000000005</v>
      </c>
      <c r="AS7616" s="26">
        <v>450</v>
      </c>
    </row>
    <row r="7617" spans="1:44" s="26" customFormat="1" x14ac:dyDescent="0.2">
      <c r="A7617" s="2"/>
      <c r="B7617" s="13"/>
      <c r="C7617" s="17"/>
      <c r="D7617" s="17"/>
      <c r="E7617" s="17"/>
      <c r="F7617" s="17"/>
      <c r="G7617" s="13"/>
      <c r="H7617" s="17"/>
      <c r="I7617" s="17"/>
      <c r="J7617" s="17"/>
      <c r="K7617" s="10"/>
      <c r="L7617" s="17"/>
      <c r="M7617" s="15"/>
      <c r="N7617" s="18"/>
      <c r="O7617" s="14"/>
      <c r="P7617" s="17"/>
      <c r="Q7617" s="19"/>
      <c r="R7617" s="14"/>
      <c r="S7617" s="19"/>
      <c r="T7617" s="17" t="s">
        <v>288</v>
      </c>
      <c r="U7617" s="17"/>
      <c r="V7617" s="17"/>
      <c r="W7617" s="4"/>
      <c r="X7617" s="17"/>
      <c r="Y7617" s="4"/>
      <c r="Z7617" s="17" t="s">
        <v>726</v>
      </c>
      <c r="AA7617" s="17"/>
      <c r="AB7617" s="17"/>
      <c r="AC7617" s="14"/>
      <c r="AD7617" s="14"/>
      <c r="AE7617" s="17"/>
      <c r="AF7617" s="14">
        <v>3</v>
      </c>
      <c r="AG7617" s="54">
        <v>112</v>
      </c>
      <c r="AH7617" s="11">
        <v>0.14000000000000001</v>
      </c>
      <c r="AI7617" s="14">
        <v>7250</v>
      </c>
      <c r="AJ7617" s="19">
        <v>113680.00000000001</v>
      </c>
      <c r="AK7617" s="23">
        <v>51</v>
      </c>
      <c r="AL7617" s="11">
        <v>0.76</v>
      </c>
      <c r="AM7617" s="19">
        <v>27283.199999999997</v>
      </c>
      <c r="AN7617" s="19">
        <v>84002.1</v>
      </c>
      <c r="AO7617" s="14"/>
      <c r="AP7617" s="14">
        <v>84002.1</v>
      </c>
      <c r="AQ7617" s="12">
        <v>3.0000000000000001E-3</v>
      </c>
      <c r="AR7617" s="19"/>
    </row>
    <row r="7618" spans="1:44" s="26" customFormat="1" ht="63" x14ac:dyDescent="0.2">
      <c r="A7618" s="2">
        <v>6302</v>
      </c>
      <c r="B7618" s="13">
        <v>2</v>
      </c>
      <c r="C7618" s="17" t="s">
        <v>52</v>
      </c>
      <c r="D7618" s="17">
        <v>31792</v>
      </c>
      <c r="E7618" s="17">
        <v>40</v>
      </c>
      <c r="F7618" s="17">
        <v>6202</v>
      </c>
      <c r="G7618" s="13">
        <v>6</v>
      </c>
      <c r="H7618" s="17">
        <v>0</v>
      </c>
      <c r="I7618" s="17">
        <v>1</v>
      </c>
      <c r="J7618" s="17">
        <v>34</v>
      </c>
      <c r="K7618" s="10"/>
      <c r="L7618" s="17"/>
      <c r="M7618" s="15"/>
      <c r="N7618" s="18" t="s">
        <v>784</v>
      </c>
      <c r="O7618" s="14"/>
      <c r="P7618" s="17">
        <v>4</v>
      </c>
      <c r="Q7618" s="19">
        <v>134</v>
      </c>
      <c r="R7618" s="14">
        <v>1500</v>
      </c>
      <c r="S7618" s="19">
        <v>201000</v>
      </c>
      <c r="T7618" s="17"/>
      <c r="U7618" s="17"/>
      <c r="V7618" s="17"/>
      <c r="W7618" s="4"/>
      <c r="X7618" s="17"/>
      <c r="Y7618" s="4"/>
      <c r="Z7618" s="17"/>
      <c r="AA7618" s="17"/>
      <c r="AB7618" s="17"/>
      <c r="AC7618" s="14"/>
      <c r="AD7618" s="14"/>
      <c r="AE7618" s="17"/>
      <c r="AF7618" s="14"/>
      <c r="AG7618" s="54"/>
      <c r="AH7618" s="11"/>
      <c r="AI7618" s="14"/>
      <c r="AJ7618" s="19">
        <v>0</v>
      </c>
      <c r="AK7618" s="23">
        <v>0</v>
      </c>
      <c r="AL7618" s="11"/>
      <c r="AM7618" s="19">
        <v>0</v>
      </c>
      <c r="AN7618" s="19">
        <v>201000</v>
      </c>
      <c r="AO7618" s="14"/>
      <c r="AP7618" s="14">
        <v>201000</v>
      </c>
      <c r="AQ7618" s="12">
        <v>3.0000000000000001E-3</v>
      </c>
      <c r="AR7618" s="19">
        <v>450</v>
      </c>
    </row>
    <row r="7619" spans="1:44" s="26" customFormat="1" x14ac:dyDescent="0.2">
      <c r="A7619" s="2">
        <f>+A7618+1</f>
        <v>6303</v>
      </c>
      <c r="B7619" s="13">
        <v>3</v>
      </c>
      <c r="C7619" s="17" t="s">
        <v>52</v>
      </c>
      <c r="D7619" s="17">
        <v>4858</v>
      </c>
      <c r="E7619" s="17">
        <v>6</v>
      </c>
      <c r="F7619" s="17">
        <v>2543</v>
      </c>
      <c r="G7619" s="13">
        <v>7</v>
      </c>
      <c r="H7619" s="17">
        <v>0</v>
      </c>
      <c r="I7619" s="17">
        <v>2</v>
      </c>
      <c r="J7619" s="17">
        <v>3</v>
      </c>
      <c r="K7619" s="10">
        <v>203</v>
      </c>
      <c r="L7619" s="17"/>
      <c r="M7619" s="15"/>
      <c r="N7619" s="18"/>
      <c r="O7619" s="14"/>
      <c r="P7619" s="17">
        <v>1</v>
      </c>
      <c r="Q7619" s="19">
        <v>203</v>
      </c>
      <c r="R7619" s="14">
        <v>1000</v>
      </c>
      <c r="S7619" s="19">
        <v>203000</v>
      </c>
      <c r="T7619" s="17"/>
      <c r="U7619" s="17"/>
      <c r="V7619" s="17"/>
      <c r="W7619" s="4"/>
      <c r="X7619" s="17"/>
      <c r="Y7619" s="4"/>
      <c r="Z7619" s="17"/>
      <c r="AA7619" s="17"/>
      <c r="AB7619" s="17"/>
      <c r="AC7619" s="14"/>
      <c r="AD7619" s="14"/>
      <c r="AE7619" s="17"/>
      <c r="AF7619" s="14"/>
      <c r="AG7619" s="54"/>
      <c r="AH7619" s="11"/>
      <c r="AI7619" s="14"/>
      <c r="AJ7619" s="19">
        <v>0</v>
      </c>
      <c r="AK7619" s="23">
        <v>0</v>
      </c>
      <c r="AL7619" s="11"/>
      <c r="AM7619" s="19">
        <v>0</v>
      </c>
      <c r="AN7619" s="19">
        <v>203000</v>
      </c>
      <c r="AO7619" s="14"/>
      <c r="AP7619" s="14">
        <v>203000</v>
      </c>
      <c r="AQ7619" s="12"/>
      <c r="AR7619" s="19"/>
    </row>
    <row r="7620" spans="1:44" s="26" customFormat="1" x14ac:dyDescent="0.2">
      <c r="A7620" s="122">
        <f t="shared" ref="A7620:A7621" si="740">+A7619+1</f>
        <v>6304</v>
      </c>
      <c r="B7620" s="13">
        <v>1</v>
      </c>
      <c r="C7620" s="17" t="s">
        <v>52</v>
      </c>
      <c r="D7620" s="17">
        <v>31105</v>
      </c>
      <c r="E7620" s="17">
        <v>243</v>
      </c>
      <c r="F7620" s="17">
        <v>6055</v>
      </c>
      <c r="G7620" s="13"/>
      <c r="H7620" s="17">
        <v>0</v>
      </c>
      <c r="I7620" s="17">
        <v>1</v>
      </c>
      <c r="J7620" s="17">
        <v>18.010000000000002</v>
      </c>
      <c r="K7620" s="10">
        <v>118</v>
      </c>
      <c r="L7620" s="17"/>
      <c r="M7620" s="15"/>
      <c r="N7620" s="18"/>
      <c r="O7620" s="14"/>
      <c r="P7620" s="17">
        <v>1</v>
      </c>
      <c r="Q7620" s="19">
        <v>118.01</v>
      </c>
      <c r="R7620" s="14">
        <v>250</v>
      </c>
      <c r="S7620" s="19">
        <v>29502.5</v>
      </c>
      <c r="T7620" s="17"/>
      <c r="U7620" s="17"/>
      <c r="V7620" s="17"/>
      <c r="W7620" s="4"/>
      <c r="X7620" s="17"/>
      <c r="Y7620" s="4"/>
      <c r="Z7620" s="17"/>
      <c r="AA7620" s="17"/>
      <c r="AB7620" s="17"/>
      <c r="AC7620" s="14"/>
      <c r="AD7620" s="14"/>
      <c r="AE7620" s="17"/>
      <c r="AF7620" s="14"/>
      <c r="AG7620" s="54"/>
      <c r="AH7620" s="11"/>
      <c r="AI7620" s="14"/>
      <c r="AJ7620" s="19">
        <v>0</v>
      </c>
      <c r="AK7620" s="23">
        <v>0</v>
      </c>
      <c r="AL7620" s="11"/>
      <c r="AM7620" s="19">
        <v>0</v>
      </c>
      <c r="AN7620" s="19">
        <v>29502.5</v>
      </c>
      <c r="AO7620" s="14"/>
      <c r="AP7620" s="14">
        <v>29502.5</v>
      </c>
      <c r="AQ7620" s="12"/>
      <c r="AR7620" s="19"/>
    </row>
    <row r="7621" spans="1:44" s="26" customFormat="1" x14ac:dyDescent="0.2">
      <c r="A7621" s="122">
        <f t="shared" si="740"/>
        <v>6305</v>
      </c>
      <c r="B7621" s="13">
        <v>2</v>
      </c>
      <c r="C7621" s="17" t="s">
        <v>52</v>
      </c>
      <c r="D7621" s="17">
        <v>31106</v>
      </c>
      <c r="E7621" s="17">
        <v>242</v>
      </c>
      <c r="F7621" s="17">
        <v>6056</v>
      </c>
      <c r="G7621" s="13"/>
      <c r="H7621" s="17">
        <v>0</v>
      </c>
      <c r="I7621" s="17">
        <v>1</v>
      </c>
      <c r="J7621" s="17">
        <v>19.079999999999998</v>
      </c>
      <c r="K7621" s="10">
        <v>119.08</v>
      </c>
      <c r="L7621" s="17"/>
      <c r="M7621" s="15"/>
      <c r="N7621" s="18"/>
      <c r="O7621" s="14"/>
      <c r="P7621" s="17">
        <v>1</v>
      </c>
      <c r="Q7621" s="19">
        <v>119.08</v>
      </c>
      <c r="R7621" s="14">
        <v>250</v>
      </c>
      <c r="S7621" s="19">
        <v>29770</v>
      </c>
      <c r="T7621" s="17"/>
      <c r="U7621" s="17"/>
      <c r="V7621" s="17"/>
      <c r="W7621" s="4"/>
      <c r="X7621" s="17"/>
      <c r="Y7621" s="4"/>
      <c r="Z7621" s="17"/>
      <c r="AA7621" s="17"/>
      <c r="AB7621" s="17"/>
      <c r="AC7621" s="14"/>
      <c r="AD7621" s="14"/>
      <c r="AE7621" s="17"/>
      <c r="AF7621" s="14"/>
      <c r="AG7621" s="54"/>
      <c r="AH7621" s="11"/>
      <c r="AI7621" s="14"/>
      <c r="AJ7621" s="19">
        <v>0</v>
      </c>
      <c r="AK7621" s="23">
        <v>0</v>
      </c>
      <c r="AL7621" s="11"/>
      <c r="AM7621" s="19">
        <v>0</v>
      </c>
      <c r="AN7621" s="19">
        <v>29770</v>
      </c>
      <c r="AO7621" s="14"/>
      <c r="AP7621" s="14">
        <v>29770</v>
      </c>
      <c r="AQ7621" s="12"/>
      <c r="AR7621" s="19"/>
    </row>
    <row r="7622" spans="1:44" s="26" customFormat="1" x14ac:dyDescent="0.2">
      <c r="A7622" s="2"/>
      <c r="B7622" s="13">
        <v>3</v>
      </c>
      <c r="C7622" s="17" t="s">
        <v>65</v>
      </c>
      <c r="D7622" s="17">
        <v>3435</v>
      </c>
      <c r="E7622" s="17">
        <v>619</v>
      </c>
      <c r="F7622" s="17"/>
      <c r="G7622" s="13"/>
      <c r="H7622" s="17">
        <v>0</v>
      </c>
      <c r="I7622" s="17">
        <v>1</v>
      </c>
      <c r="J7622" s="17">
        <v>14</v>
      </c>
      <c r="K7622" s="10">
        <v>114</v>
      </c>
      <c r="L7622" s="17"/>
      <c r="M7622" s="15"/>
      <c r="N7622" s="18"/>
      <c r="O7622" s="14"/>
      <c r="P7622" s="17">
        <v>1</v>
      </c>
      <c r="Q7622" s="19">
        <v>114</v>
      </c>
      <c r="R7622" s="14" t="e">
        <v>#N/A</v>
      </c>
      <c r="S7622" s="19" t="e">
        <v>#N/A</v>
      </c>
      <c r="T7622" s="17"/>
      <c r="U7622" s="17"/>
      <c r="V7622" s="17"/>
      <c r="W7622" s="4"/>
      <c r="X7622" s="17"/>
      <c r="Y7622" s="4"/>
      <c r="Z7622" s="17"/>
      <c r="AA7622" s="17"/>
      <c r="AB7622" s="17"/>
      <c r="AC7622" s="14"/>
      <c r="AD7622" s="14"/>
      <c r="AE7622" s="17"/>
      <c r="AF7622" s="14"/>
      <c r="AG7622" s="54"/>
      <c r="AH7622" s="11"/>
      <c r="AI7622" s="14"/>
      <c r="AJ7622" s="19">
        <v>0</v>
      </c>
      <c r="AK7622" s="23">
        <v>0</v>
      </c>
      <c r="AL7622" s="11"/>
      <c r="AM7622" s="19">
        <v>0</v>
      </c>
      <c r="AN7622" s="19" t="e">
        <v>#N/A</v>
      </c>
      <c r="AO7622" s="14"/>
      <c r="AP7622" s="14" t="e">
        <v>#N/A</v>
      </c>
      <c r="AQ7622" s="12">
        <v>1E-4</v>
      </c>
      <c r="AR7622" s="19"/>
    </row>
    <row r="7623" spans="1:44" s="26" customFormat="1" x14ac:dyDescent="0.2">
      <c r="A7623" s="2"/>
      <c r="B7623" s="13">
        <v>4</v>
      </c>
      <c r="C7623" s="17" t="s">
        <v>65</v>
      </c>
      <c r="D7623" s="17">
        <v>3436</v>
      </c>
      <c r="E7623" s="17">
        <v>620</v>
      </c>
      <c r="F7623" s="17"/>
      <c r="G7623" s="13"/>
      <c r="H7623" s="17">
        <v>0</v>
      </c>
      <c r="I7623" s="17">
        <v>1</v>
      </c>
      <c r="J7623" s="17">
        <v>4</v>
      </c>
      <c r="K7623" s="10">
        <v>114</v>
      </c>
      <c r="L7623" s="17"/>
      <c r="M7623" s="15"/>
      <c r="N7623" s="18"/>
      <c r="O7623" s="14"/>
      <c r="P7623" s="17">
        <v>1</v>
      </c>
      <c r="Q7623" s="19">
        <v>104</v>
      </c>
      <c r="R7623" s="14" t="e">
        <v>#N/A</v>
      </c>
      <c r="S7623" s="19" t="e">
        <v>#N/A</v>
      </c>
      <c r="T7623" s="17"/>
      <c r="U7623" s="17"/>
      <c r="V7623" s="17"/>
      <c r="W7623" s="4"/>
      <c r="X7623" s="17"/>
      <c r="Y7623" s="4"/>
      <c r="Z7623" s="17"/>
      <c r="AA7623" s="17"/>
      <c r="AB7623" s="17"/>
      <c r="AC7623" s="14"/>
      <c r="AD7623" s="14"/>
      <c r="AE7623" s="17"/>
      <c r="AF7623" s="14"/>
      <c r="AG7623" s="54"/>
      <c r="AH7623" s="11"/>
      <c r="AI7623" s="14"/>
      <c r="AJ7623" s="19">
        <v>0</v>
      </c>
      <c r="AK7623" s="23">
        <v>0</v>
      </c>
      <c r="AL7623" s="11"/>
      <c r="AM7623" s="19">
        <v>0</v>
      </c>
      <c r="AN7623" s="19" t="e">
        <v>#N/A</v>
      </c>
      <c r="AO7623" s="14"/>
      <c r="AP7623" s="14" t="e">
        <v>#N/A</v>
      </c>
      <c r="AQ7623" s="12">
        <v>1E-4</v>
      </c>
      <c r="AR7623" s="19"/>
    </row>
    <row r="7624" spans="1:44" s="26" customFormat="1" x14ac:dyDescent="0.2">
      <c r="A7624" s="2">
        <v>6306</v>
      </c>
      <c r="B7624" s="13">
        <v>1</v>
      </c>
      <c r="C7624" s="17" t="s">
        <v>52</v>
      </c>
      <c r="D7624" s="17">
        <v>2433</v>
      </c>
      <c r="E7624" s="17">
        <v>108</v>
      </c>
      <c r="F7624" s="17">
        <v>433</v>
      </c>
      <c r="G7624" s="13">
        <v>2</v>
      </c>
      <c r="H7624" s="17">
        <v>0</v>
      </c>
      <c r="I7624" s="17">
        <v>1</v>
      </c>
      <c r="J7624" s="17">
        <v>82</v>
      </c>
      <c r="K7624" s="10">
        <v>182</v>
      </c>
      <c r="L7624" s="17"/>
      <c r="M7624" s="15"/>
      <c r="N7624" s="18"/>
      <c r="O7624" s="14"/>
      <c r="P7624" s="17">
        <v>1</v>
      </c>
      <c r="Q7624" s="19">
        <v>182</v>
      </c>
      <c r="R7624" s="14">
        <v>200</v>
      </c>
      <c r="S7624" s="19">
        <v>36400</v>
      </c>
      <c r="T7624" s="17"/>
      <c r="U7624" s="17"/>
      <c r="V7624" s="17"/>
      <c r="W7624" s="4"/>
      <c r="X7624" s="17"/>
      <c r="Y7624" s="4"/>
      <c r="Z7624" s="17"/>
      <c r="AA7624" s="17"/>
      <c r="AB7624" s="17"/>
      <c r="AC7624" s="14"/>
      <c r="AD7624" s="14"/>
      <c r="AE7624" s="17"/>
      <c r="AF7624" s="14"/>
      <c r="AG7624" s="54"/>
      <c r="AH7624" s="11"/>
      <c r="AI7624" s="14"/>
      <c r="AJ7624" s="19">
        <v>0</v>
      </c>
      <c r="AK7624" s="23">
        <v>0</v>
      </c>
      <c r="AL7624" s="11"/>
      <c r="AM7624" s="19">
        <v>0</v>
      </c>
      <c r="AN7624" s="19">
        <v>36400</v>
      </c>
      <c r="AO7624" s="14"/>
      <c r="AP7624" s="14">
        <v>36400</v>
      </c>
      <c r="AQ7624" s="12"/>
      <c r="AR7624" s="19"/>
    </row>
    <row r="7625" spans="1:44" s="26" customFormat="1" x14ac:dyDescent="0.2">
      <c r="A7625" s="2">
        <f>+A7624+1</f>
        <v>6307</v>
      </c>
      <c r="B7625" s="13">
        <v>1</v>
      </c>
      <c r="C7625" s="17" t="s">
        <v>52</v>
      </c>
      <c r="D7625" s="17">
        <v>825</v>
      </c>
      <c r="E7625" s="17">
        <v>8</v>
      </c>
      <c r="F7625" s="17">
        <v>727</v>
      </c>
      <c r="G7625" s="13">
        <v>6</v>
      </c>
      <c r="H7625" s="17">
        <v>1</v>
      </c>
      <c r="I7625" s="17">
        <v>1</v>
      </c>
      <c r="J7625" s="17">
        <v>55</v>
      </c>
      <c r="K7625" s="10">
        <v>555</v>
      </c>
      <c r="L7625" s="17"/>
      <c r="M7625" s="15"/>
      <c r="N7625" s="18"/>
      <c r="O7625" s="14"/>
      <c r="P7625" s="17">
        <v>1</v>
      </c>
      <c r="Q7625" s="19">
        <v>555</v>
      </c>
      <c r="R7625" s="14">
        <v>750</v>
      </c>
      <c r="S7625" s="19">
        <v>416250</v>
      </c>
      <c r="T7625" s="17"/>
      <c r="U7625" s="17"/>
      <c r="V7625" s="17"/>
      <c r="W7625" s="4"/>
      <c r="X7625" s="17"/>
      <c r="Y7625" s="4"/>
      <c r="Z7625" s="17"/>
      <c r="AA7625" s="17"/>
      <c r="AB7625" s="17"/>
      <c r="AC7625" s="14"/>
      <c r="AD7625" s="14"/>
      <c r="AE7625" s="17"/>
      <c r="AF7625" s="14"/>
      <c r="AG7625" s="54"/>
      <c r="AH7625" s="11"/>
      <c r="AI7625" s="14"/>
      <c r="AJ7625" s="19">
        <v>0</v>
      </c>
      <c r="AK7625" s="23">
        <v>0</v>
      </c>
      <c r="AL7625" s="11"/>
      <c r="AM7625" s="19">
        <v>0</v>
      </c>
      <c r="AN7625" s="19">
        <v>416250</v>
      </c>
      <c r="AO7625" s="14"/>
      <c r="AP7625" s="14">
        <v>416250</v>
      </c>
      <c r="AQ7625" s="12"/>
      <c r="AR7625" s="19"/>
    </row>
    <row r="7626" spans="1:44" s="26" customFormat="1" x14ac:dyDescent="0.2">
      <c r="A7626" s="122">
        <f t="shared" ref="A7626:A7629" si="741">+A7625+1</f>
        <v>6308</v>
      </c>
      <c r="B7626" s="13">
        <v>2</v>
      </c>
      <c r="C7626" s="17" t="s">
        <v>52</v>
      </c>
      <c r="D7626" s="17">
        <v>32047</v>
      </c>
      <c r="E7626" s="17">
        <v>31</v>
      </c>
      <c r="F7626" s="17">
        <v>6272</v>
      </c>
      <c r="G7626" s="13">
        <v>6</v>
      </c>
      <c r="H7626" s="17">
        <v>0</v>
      </c>
      <c r="I7626" s="17">
        <v>0</v>
      </c>
      <c r="J7626" s="17">
        <v>63</v>
      </c>
      <c r="K7626" s="10">
        <v>63</v>
      </c>
      <c r="L7626" s="17"/>
      <c r="M7626" s="15"/>
      <c r="N7626" s="18"/>
      <c r="O7626" s="14"/>
      <c r="P7626" s="17">
        <v>1</v>
      </c>
      <c r="Q7626" s="19">
        <v>63</v>
      </c>
      <c r="R7626" s="14">
        <v>750</v>
      </c>
      <c r="S7626" s="19">
        <v>47250</v>
      </c>
      <c r="T7626" s="17"/>
      <c r="U7626" s="17"/>
      <c r="V7626" s="17"/>
      <c r="W7626" s="4"/>
      <c r="X7626" s="17"/>
      <c r="Y7626" s="4"/>
      <c r="Z7626" s="17"/>
      <c r="AA7626" s="17"/>
      <c r="AB7626" s="17"/>
      <c r="AC7626" s="14"/>
      <c r="AD7626" s="14"/>
      <c r="AE7626" s="17"/>
      <c r="AF7626" s="14"/>
      <c r="AG7626" s="54"/>
      <c r="AH7626" s="11"/>
      <c r="AI7626" s="14"/>
      <c r="AJ7626" s="19">
        <v>0</v>
      </c>
      <c r="AK7626" s="23">
        <v>0</v>
      </c>
      <c r="AL7626" s="11"/>
      <c r="AM7626" s="19">
        <v>0</v>
      </c>
      <c r="AN7626" s="19">
        <v>47250</v>
      </c>
      <c r="AO7626" s="14"/>
      <c r="AP7626" s="14">
        <v>47250</v>
      </c>
      <c r="AQ7626" s="12"/>
      <c r="AR7626" s="19"/>
    </row>
    <row r="7627" spans="1:44" s="26" customFormat="1" x14ac:dyDescent="0.2">
      <c r="A7627" s="122">
        <f t="shared" si="741"/>
        <v>6309</v>
      </c>
      <c r="B7627" s="13">
        <v>3</v>
      </c>
      <c r="C7627" s="17" t="s">
        <v>52</v>
      </c>
      <c r="D7627" s="17">
        <v>32048</v>
      </c>
      <c r="E7627" s="17">
        <v>32</v>
      </c>
      <c r="F7627" s="17">
        <v>6273</v>
      </c>
      <c r="G7627" s="13">
        <v>6</v>
      </c>
      <c r="H7627" s="17">
        <v>0</v>
      </c>
      <c r="I7627" s="17">
        <v>0</v>
      </c>
      <c r="J7627" s="17">
        <v>29</v>
      </c>
      <c r="K7627" s="10"/>
      <c r="L7627" s="17"/>
      <c r="M7627" s="15"/>
      <c r="N7627" s="18">
        <v>29</v>
      </c>
      <c r="O7627" s="14"/>
      <c r="P7627" s="17">
        <v>4</v>
      </c>
      <c r="Q7627" s="19">
        <v>29</v>
      </c>
      <c r="R7627" s="14">
        <v>750</v>
      </c>
      <c r="S7627" s="19">
        <v>21750</v>
      </c>
      <c r="T7627" s="17"/>
      <c r="U7627" s="17"/>
      <c r="V7627" s="17"/>
      <c r="W7627" s="4"/>
      <c r="X7627" s="17"/>
      <c r="Y7627" s="4"/>
      <c r="Z7627" s="17"/>
      <c r="AA7627" s="17"/>
      <c r="AB7627" s="17"/>
      <c r="AC7627" s="14"/>
      <c r="AD7627" s="14"/>
      <c r="AE7627" s="17"/>
      <c r="AF7627" s="14"/>
      <c r="AG7627" s="54"/>
      <c r="AH7627" s="11"/>
      <c r="AI7627" s="14"/>
      <c r="AJ7627" s="19">
        <v>0</v>
      </c>
      <c r="AK7627" s="23">
        <v>0</v>
      </c>
      <c r="AL7627" s="11"/>
      <c r="AM7627" s="19">
        <v>0</v>
      </c>
      <c r="AN7627" s="19">
        <v>21750</v>
      </c>
      <c r="AO7627" s="14"/>
      <c r="AP7627" s="14">
        <v>21750</v>
      </c>
      <c r="AQ7627" s="12">
        <v>3.0000000000000001E-3</v>
      </c>
      <c r="AR7627" s="19"/>
    </row>
    <row r="7628" spans="1:44" s="26" customFormat="1" x14ac:dyDescent="0.2">
      <c r="A7628" s="122">
        <f t="shared" si="741"/>
        <v>6310</v>
      </c>
      <c r="B7628" s="13">
        <v>1</v>
      </c>
      <c r="C7628" s="17" t="s">
        <v>52</v>
      </c>
      <c r="D7628" s="17">
        <v>32046</v>
      </c>
      <c r="E7628" s="17">
        <v>30</v>
      </c>
      <c r="F7628" s="17">
        <v>6271</v>
      </c>
      <c r="G7628" s="13">
        <v>6</v>
      </c>
      <c r="H7628" s="17">
        <v>0</v>
      </c>
      <c r="I7628" s="17">
        <v>0</v>
      </c>
      <c r="J7628" s="17">
        <v>45</v>
      </c>
      <c r="K7628" s="10">
        <v>45</v>
      </c>
      <c r="L7628" s="17"/>
      <c r="M7628" s="15"/>
      <c r="N7628" s="18"/>
      <c r="O7628" s="14"/>
      <c r="P7628" s="17">
        <v>1</v>
      </c>
      <c r="Q7628" s="19">
        <v>45</v>
      </c>
      <c r="R7628" s="14">
        <v>750</v>
      </c>
      <c r="S7628" s="19">
        <v>33750</v>
      </c>
      <c r="T7628" s="17"/>
      <c r="U7628" s="17"/>
      <c r="V7628" s="17"/>
      <c r="W7628" s="4"/>
      <c r="X7628" s="17"/>
      <c r="Y7628" s="4"/>
      <c r="Z7628" s="17"/>
      <c r="AA7628" s="17"/>
      <c r="AB7628" s="17"/>
      <c r="AC7628" s="14"/>
      <c r="AD7628" s="14"/>
      <c r="AE7628" s="17"/>
      <c r="AF7628" s="14"/>
      <c r="AG7628" s="54"/>
      <c r="AH7628" s="11"/>
      <c r="AI7628" s="14"/>
      <c r="AJ7628" s="19">
        <v>0</v>
      </c>
      <c r="AK7628" s="23">
        <v>0</v>
      </c>
      <c r="AL7628" s="11"/>
      <c r="AM7628" s="19">
        <v>0</v>
      </c>
      <c r="AN7628" s="19">
        <v>33750</v>
      </c>
      <c r="AO7628" s="14"/>
      <c r="AP7628" s="14">
        <v>33750</v>
      </c>
      <c r="AQ7628" s="12"/>
      <c r="AR7628" s="19"/>
    </row>
    <row r="7629" spans="1:44" s="26" customFormat="1" ht="42" x14ac:dyDescent="0.2">
      <c r="A7629" s="122">
        <f t="shared" si="741"/>
        <v>6311</v>
      </c>
      <c r="B7629" s="13">
        <v>2</v>
      </c>
      <c r="C7629" s="17" t="s">
        <v>52</v>
      </c>
      <c r="D7629" s="17">
        <v>32049</v>
      </c>
      <c r="E7629" s="17">
        <v>33</v>
      </c>
      <c r="F7629" s="17">
        <v>6274</v>
      </c>
      <c r="G7629" s="13">
        <v>6</v>
      </c>
      <c r="H7629" s="17">
        <v>0</v>
      </c>
      <c r="I7629" s="17">
        <v>0</v>
      </c>
      <c r="J7629" s="17">
        <v>82</v>
      </c>
      <c r="K7629" s="10"/>
      <c r="L7629" s="17" t="s">
        <v>576</v>
      </c>
      <c r="M7629" s="15"/>
      <c r="N7629" s="18"/>
      <c r="O7629" s="14"/>
      <c r="P7629" s="17">
        <v>5</v>
      </c>
      <c r="Q7629" s="19">
        <v>82</v>
      </c>
      <c r="R7629" s="14">
        <v>750</v>
      </c>
      <c r="S7629" s="19">
        <v>61500</v>
      </c>
      <c r="T7629" s="17">
        <v>1</v>
      </c>
      <c r="U7629" s="17"/>
      <c r="V7629" s="17" t="s">
        <v>183</v>
      </c>
      <c r="W7629" s="4">
        <v>136.5</v>
      </c>
      <c r="X7629" s="17"/>
      <c r="Y7629" s="4">
        <v>136.5</v>
      </c>
      <c r="Z7629" s="17"/>
      <c r="AA7629" s="17"/>
      <c r="AB7629" s="17">
        <v>30</v>
      </c>
      <c r="AC7629" s="14"/>
      <c r="AD7629" s="14"/>
      <c r="AE7629" s="17"/>
      <c r="AF7629" s="14"/>
      <c r="AG7629" s="54"/>
      <c r="AH7629" s="11"/>
      <c r="AI7629" s="14"/>
      <c r="AJ7629" s="19">
        <v>0</v>
      </c>
      <c r="AK7629" s="23">
        <v>30</v>
      </c>
      <c r="AL7629" s="11"/>
      <c r="AM7629" s="19">
        <v>0</v>
      </c>
      <c r="AN7629" s="19">
        <v>61500</v>
      </c>
      <c r="AO7629" s="14"/>
      <c r="AP7629" s="14">
        <v>61500</v>
      </c>
      <c r="AQ7629" s="12"/>
      <c r="AR7629" s="19"/>
    </row>
    <row r="7630" spans="1:44" s="26" customFormat="1" ht="63" x14ac:dyDescent="0.2">
      <c r="A7630" s="2"/>
      <c r="B7630" s="13"/>
      <c r="C7630" s="17"/>
      <c r="D7630" s="17"/>
      <c r="E7630" s="17"/>
      <c r="F7630" s="17"/>
      <c r="G7630" s="13"/>
      <c r="H7630" s="17"/>
      <c r="I7630" s="17"/>
      <c r="J7630" s="17"/>
      <c r="K7630" s="10"/>
      <c r="L7630" s="17"/>
      <c r="M7630" s="15"/>
      <c r="N7630" s="18"/>
      <c r="O7630" s="14"/>
      <c r="P7630" s="17"/>
      <c r="Q7630" s="19">
        <v>0</v>
      </c>
      <c r="R7630" s="14" t="e">
        <v>#N/A</v>
      </c>
      <c r="S7630" s="19"/>
      <c r="T7630" s="17" t="s">
        <v>288</v>
      </c>
      <c r="U7630" s="17" t="s">
        <v>63</v>
      </c>
      <c r="V7630" s="17" t="s">
        <v>56</v>
      </c>
      <c r="W7630" s="4"/>
      <c r="X7630" s="17"/>
      <c r="Y7630" s="4"/>
      <c r="Z7630" s="17" t="s">
        <v>589</v>
      </c>
      <c r="AA7630" s="17"/>
      <c r="AB7630" s="17" t="s">
        <v>360</v>
      </c>
      <c r="AC7630" s="14"/>
      <c r="AD7630" s="14" t="s">
        <v>81</v>
      </c>
      <c r="AE7630" s="17"/>
      <c r="AF7630" s="14"/>
      <c r="AG7630" s="54"/>
      <c r="AH7630" s="11"/>
      <c r="AI7630" s="14"/>
      <c r="AJ7630" s="19"/>
      <c r="AK7630" s="23"/>
      <c r="AL7630" s="11"/>
      <c r="AM7630" s="19"/>
      <c r="AN7630" s="19"/>
      <c r="AO7630" s="14"/>
      <c r="AP7630" s="14"/>
      <c r="AQ7630" s="12"/>
      <c r="AR7630" s="19"/>
    </row>
    <row r="7631" spans="1:44" s="26" customFormat="1" ht="63" x14ac:dyDescent="0.2">
      <c r="A7631" s="2"/>
      <c r="B7631" s="13"/>
      <c r="C7631" s="17"/>
      <c r="D7631" s="17"/>
      <c r="E7631" s="17"/>
      <c r="F7631" s="17"/>
      <c r="G7631" s="13"/>
      <c r="H7631" s="17"/>
      <c r="I7631" s="17"/>
      <c r="J7631" s="17"/>
      <c r="K7631" s="10"/>
      <c r="L7631" s="17"/>
      <c r="M7631" s="15"/>
      <c r="N7631" s="18"/>
      <c r="O7631" s="14"/>
      <c r="P7631" s="17"/>
      <c r="Q7631" s="19">
        <v>0</v>
      </c>
      <c r="R7631" s="14" t="e">
        <v>#N/A</v>
      </c>
      <c r="S7631" s="19"/>
      <c r="T7631" s="17" t="s">
        <v>515</v>
      </c>
      <c r="U7631" s="17" t="s">
        <v>63</v>
      </c>
      <c r="V7631" s="17" t="s">
        <v>56</v>
      </c>
      <c r="W7631" s="4"/>
      <c r="X7631" s="17"/>
      <c r="Y7631" s="4"/>
      <c r="Z7631" s="17" t="s">
        <v>589</v>
      </c>
      <c r="AA7631" s="17"/>
      <c r="AB7631" s="17" t="s">
        <v>360</v>
      </c>
      <c r="AC7631" s="14"/>
      <c r="AD7631" s="14" t="s">
        <v>81</v>
      </c>
      <c r="AE7631" s="17"/>
      <c r="AF7631" s="14"/>
      <c r="AG7631" s="54"/>
      <c r="AH7631" s="11"/>
      <c r="AI7631" s="14"/>
      <c r="AJ7631" s="19"/>
      <c r="AK7631" s="23"/>
      <c r="AL7631" s="11"/>
      <c r="AM7631" s="19"/>
      <c r="AN7631" s="19"/>
      <c r="AO7631" s="14"/>
      <c r="AP7631" s="14"/>
      <c r="AQ7631" s="12"/>
      <c r="AR7631" s="19"/>
    </row>
    <row r="7632" spans="1:44" s="26" customFormat="1" ht="42" x14ac:dyDescent="0.2">
      <c r="A7632" s="2">
        <v>6312</v>
      </c>
      <c r="B7632" s="13">
        <v>3</v>
      </c>
      <c r="C7632" s="17" t="s">
        <v>52</v>
      </c>
      <c r="D7632" s="17">
        <v>35302</v>
      </c>
      <c r="E7632" s="17">
        <v>84</v>
      </c>
      <c r="F7632" s="17">
        <v>3671</v>
      </c>
      <c r="G7632" s="13">
        <v>6</v>
      </c>
      <c r="H7632" s="17">
        <v>0</v>
      </c>
      <c r="I7632" s="17">
        <v>0</v>
      </c>
      <c r="J7632" s="17">
        <v>33</v>
      </c>
      <c r="K7632" s="10"/>
      <c r="L7632" s="17" t="s">
        <v>629</v>
      </c>
      <c r="M7632" s="15"/>
      <c r="N7632" s="18"/>
      <c r="O7632" s="14"/>
      <c r="P7632" s="17">
        <v>2</v>
      </c>
      <c r="Q7632" s="19">
        <v>33</v>
      </c>
      <c r="R7632" s="14">
        <v>1500</v>
      </c>
      <c r="S7632" s="19">
        <v>49500</v>
      </c>
      <c r="T7632" s="17">
        <v>1</v>
      </c>
      <c r="U7632" s="17"/>
      <c r="V7632" s="17" t="s">
        <v>624</v>
      </c>
      <c r="W7632" s="4">
        <v>28</v>
      </c>
      <c r="X7632" s="17"/>
      <c r="Y7632" s="4">
        <v>28</v>
      </c>
      <c r="Z7632" s="17"/>
      <c r="AA7632" s="17"/>
      <c r="AB7632" s="17">
        <v>16</v>
      </c>
      <c r="AC7632" s="14"/>
      <c r="AD7632" s="14"/>
      <c r="AE7632" s="17" t="s">
        <v>628</v>
      </c>
      <c r="AF7632" s="14"/>
      <c r="AG7632" s="54"/>
      <c r="AH7632" s="11"/>
      <c r="AI7632" s="14"/>
      <c r="AJ7632" s="19">
        <v>0</v>
      </c>
      <c r="AK7632" s="23">
        <v>16</v>
      </c>
      <c r="AL7632" s="11"/>
      <c r="AM7632" s="19">
        <v>0</v>
      </c>
      <c r="AN7632" s="19">
        <v>49500</v>
      </c>
      <c r="AO7632" s="14"/>
      <c r="AP7632" s="14">
        <v>49500</v>
      </c>
      <c r="AQ7632" s="12"/>
      <c r="AR7632" s="19"/>
    </row>
    <row r="7633" spans="1:45" x14ac:dyDescent="0.2">
      <c r="A7633" s="2">
        <f>+A7632+1</f>
        <v>6313</v>
      </c>
      <c r="B7633" s="13">
        <v>1</v>
      </c>
      <c r="C7633" s="17" t="s">
        <v>69</v>
      </c>
      <c r="E7633" s="17">
        <v>1470</v>
      </c>
      <c r="F7633" s="17">
        <v>16</v>
      </c>
      <c r="G7633" s="13">
        <v>2</v>
      </c>
      <c r="H7633" s="17">
        <v>3</v>
      </c>
      <c r="I7633" s="17">
        <v>2</v>
      </c>
      <c r="J7633" s="17">
        <v>91</v>
      </c>
      <c r="K7633" s="10">
        <v>1491</v>
      </c>
      <c r="P7633" s="17">
        <v>1</v>
      </c>
      <c r="Q7633" s="19">
        <v>1491</v>
      </c>
      <c r="R7633" s="14">
        <v>200</v>
      </c>
      <c r="S7633" s="19">
        <v>298200</v>
      </c>
      <c r="AJ7633" s="19">
        <v>0</v>
      </c>
      <c r="AK7633" s="23">
        <v>0</v>
      </c>
      <c r="AM7633" s="19">
        <v>0</v>
      </c>
      <c r="AN7633" s="19">
        <v>298200</v>
      </c>
      <c r="AP7633" s="14">
        <v>298200</v>
      </c>
      <c r="AQ7633" s="12">
        <v>1E-4</v>
      </c>
    </row>
    <row r="7634" spans="1:45" x14ac:dyDescent="0.2">
      <c r="A7634" s="122">
        <f t="shared" ref="A7634:A7638" si="742">+A7633+1</f>
        <v>6314</v>
      </c>
      <c r="B7634" s="13">
        <v>1</v>
      </c>
      <c r="C7634" s="17" t="s">
        <v>52</v>
      </c>
      <c r="D7634" s="17">
        <v>2893</v>
      </c>
      <c r="E7634" s="17">
        <v>15</v>
      </c>
      <c r="F7634" s="17">
        <v>1888</v>
      </c>
      <c r="G7634" s="13">
        <v>1</v>
      </c>
      <c r="H7634" s="17">
        <v>8</v>
      </c>
      <c r="I7634" s="17">
        <v>3</v>
      </c>
      <c r="J7634" s="17">
        <v>30</v>
      </c>
      <c r="K7634" s="10">
        <v>3530</v>
      </c>
      <c r="P7634" s="17">
        <v>1</v>
      </c>
      <c r="Q7634" s="19">
        <v>3530</v>
      </c>
      <c r="R7634" s="14">
        <v>160</v>
      </c>
      <c r="S7634" s="19">
        <v>564800</v>
      </c>
      <c r="AJ7634" s="19">
        <v>0</v>
      </c>
      <c r="AK7634" s="23">
        <v>0</v>
      </c>
      <c r="AM7634" s="19">
        <v>0</v>
      </c>
      <c r="AN7634" s="19">
        <v>564800</v>
      </c>
      <c r="AP7634" s="14">
        <v>564800</v>
      </c>
    </row>
    <row r="7635" spans="1:45" x14ac:dyDescent="0.2">
      <c r="A7635" s="122">
        <f t="shared" si="742"/>
        <v>6315</v>
      </c>
      <c r="B7635" s="13">
        <v>1</v>
      </c>
      <c r="C7635" s="17" t="s">
        <v>52</v>
      </c>
      <c r="D7635" s="17">
        <v>2720</v>
      </c>
      <c r="E7635" s="17">
        <v>13</v>
      </c>
      <c r="F7635" s="17">
        <v>1889</v>
      </c>
      <c r="G7635" s="13">
        <v>1</v>
      </c>
      <c r="H7635" s="17">
        <v>7</v>
      </c>
      <c r="I7635" s="17">
        <v>3</v>
      </c>
      <c r="J7635" s="17">
        <v>13</v>
      </c>
      <c r="K7635" s="10">
        <v>3113</v>
      </c>
      <c r="P7635" s="17">
        <v>1</v>
      </c>
      <c r="Q7635" s="19">
        <v>3113</v>
      </c>
      <c r="R7635" s="14">
        <v>160</v>
      </c>
      <c r="S7635" s="19">
        <v>498080</v>
      </c>
      <c r="AJ7635" s="19">
        <v>0</v>
      </c>
      <c r="AK7635" s="23">
        <v>0</v>
      </c>
      <c r="AM7635" s="19">
        <v>0</v>
      </c>
      <c r="AN7635" s="19">
        <v>498080</v>
      </c>
      <c r="AP7635" s="14">
        <v>498080</v>
      </c>
    </row>
    <row r="7636" spans="1:45" ht="42" x14ac:dyDescent="0.2">
      <c r="A7636" s="122">
        <f t="shared" si="742"/>
        <v>6316</v>
      </c>
      <c r="B7636" s="13">
        <v>1</v>
      </c>
      <c r="C7636" s="17" t="s">
        <v>52</v>
      </c>
      <c r="D7636" s="17">
        <v>2032</v>
      </c>
      <c r="E7636" s="17">
        <v>78</v>
      </c>
      <c r="F7636" s="17">
        <v>1108</v>
      </c>
      <c r="H7636" s="17">
        <v>0</v>
      </c>
      <c r="I7636" s="17">
        <v>1</v>
      </c>
      <c r="J7636" s="17">
        <v>62</v>
      </c>
      <c r="N7636" s="18">
        <v>162</v>
      </c>
      <c r="P7636" s="17">
        <v>4</v>
      </c>
      <c r="Q7636" s="19">
        <v>162</v>
      </c>
      <c r="R7636" s="14">
        <v>160</v>
      </c>
      <c r="S7636" s="19">
        <v>25920</v>
      </c>
      <c r="AJ7636" s="19">
        <v>0</v>
      </c>
      <c r="AK7636" s="23">
        <v>0</v>
      </c>
      <c r="AM7636" s="19">
        <v>0</v>
      </c>
      <c r="AN7636" s="19">
        <v>25920</v>
      </c>
      <c r="AP7636" s="14">
        <v>25920</v>
      </c>
      <c r="AQ7636" s="12">
        <v>3.0000000000000001E-3</v>
      </c>
      <c r="AS7636" s="26" t="s">
        <v>275</v>
      </c>
    </row>
    <row r="7637" spans="1:45" x14ac:dyDescent="0.2">
      <c r="A7637" s="122">
        <f t="shared" si="742"/>
        <v>6317</v>
      </c>
      <c r="B7637" s="13">
        <v>2</v>
      </c>
      <c r="C7637" s="17" t="s">
        <v>65</v>
      </c>
      <c r="D7637" s="17">
        <v>938</v>
      </c>
      <c r="E7637" s="17">
        <v>242</v>
      </c>
      <c r="H7637" s="17">
        <v>7</v>
      </c>
      <c r="I7637" s="17">
        <v>1</v>
      </c>
      <c r="J7637" s="17">
        <v>86</v>
      </c>
      <c r="K7637" s="10">
        <v>2986</v>
      </c>
      <c r="P7637" s="17">
        <v>1</v>
      </c>
      <c r="Q7637" s="19">
        <v>2986</v>
      </c>
      <c r="R7637" s="14">
        <v>160</v>
      </c>
      <c r="S7637" s="19">
        <v>477760</v>
      </c>
      <c r="AJ7637" s="19">
        <v>0</v>
      </c>
      <c r="AK7637" s="23">
        <v>0</v>
      </c>
      <c r="AM7637" s="19">
        <v>0</v>
      </c>
      <c r="AN7637" s="19">
        <v>477760</v>
      </c>
      <c r="AP7637" s="14">
        <v>477760</v>
      </c>
      <c r="AQ7637" s="12">
        <v>1E-4</v>
      </c>
    </row>
    <row r="7638" spans="1:45" ht="42" x14ac:dyDescent="0.2">
      <c r="A7638" s="122">
        <f t="shared" si="742"/>
        <v>6318</v>
      </c>
      <c r="B7638" s="13">
        <v>1</v>
      </c>
      <c r="C7638" s="17" t="s">
        <v>52</v>
      </c>
      <c r="D7638" s="17">
        <v>3594</v>
      </c>
      <c r="E7638" s="17">
        <v>52</v>
      </c>
      <c r="F7638" s="17">
        <v>2225</v>
      </c>
      <c r="G7638" s="13">
        <v>2</v>
      </c>
      <c r="H7638" s="17">
        <v>1</v>
      </c>
      <c r="I7638" s="17">
        <v>0</v>
      </c>
      <c r="J7638" s="17">
        <v>32</v>
      </c>
      <c r="L7638" s="17">
        <v>32</v>
      </c>
      <c r="P7638" s="17">
        <v>2</v>
      </c>
      <c r="Q7638" s="19">
        <v>432</v>
      </c>
      <c r="R7638" s="14">
        <v>200</v>
      </c>
      <c r="S7638" s="19">
        <v>86400</v>
      </c>
      <c r="T7638" s="17">
        <v>1</v>
      </c>
      <c r="V7638" s="17" t="s">
        <v>183</v>
      </c>
      <c r="W7638" s="4">
        <v>64</v>
      </c>
      <c r="AB7638" s="17">
        <v>1</v>
      </c>
      <c r="AJ7638" s="19">
        <v>0</v>
      </c>
      <c r="AK7638" s="23">
        <v>1</v>
      </c>
      <c r="AM7638" s="19">
        <v>0</v>
      </c>
      <c r="AN7638" s="19">
        <v>86400</v>
      </c>
      <c r="AP7638" s="14">
        <v>86400</v>
      </c>
    </row>
    <row r="7639" spans="1:45" ht="42" x14ac:dyDescent="0.2">
      <c r="Q7639" s="19">
        <v>0</v>
      </c>
      <c r="R7639" s="14" t="e">
        <v>#N/A</v>
      </c>
      <c r="S7639" s="19" t="e">
        <v>#N/A</v>
      </c>
      <c r="T7639" s="17">
        <v>2</v>
      </c>
      <c r="V7639" s="17" t="s">
        <v>183</v>
      </c>
      <c r="W7639" s="4">
        <v>64</v>
      </c>
      <c r="AB7639" s="17">
        <v>1</v>
      </c>
      <c r="AJ7639" s="19">
        <v>0</v>
      </c>
      <c r="AK7639" s="23">
        <v>1</v>
      </c>
      <c r="AM7639" s="19">
        <v>0</v>
      </c>
      <c r="AN7639" s="19" t="e">
        <v>#N/A</v>
      </c>
      <c r="AP7639" s="14" t="e">
        <v>#N/A</v>
      </c>
    </row>
    <row r="7640" spans="1:45" ht="42" x14ac:dyDescent="0.2">
      <c r="A7640" s="2">
        <v>6319</v>
      </c>
      <c r="B7640" s="13">
        <v>1</v>
      </c>
      <c r="C7640" s="17" t="s">
        <v>52</v>
      </c>
      <c r="D7640" s="17">
        <v>3206</v>
      </c>
      <c r="E7640" s="17">
        <v>72</v>
      </c>
      <c r="F7640" s="17">
        <v>2138</v>
      </c>
      <c r="G7640" s="13">
        <v>2</v>
      </c>
      <c r="H7640" s="17">
        <v>2</v>
      </c>
      <c r="I7640" s="17">
        <v>1</v>
      </c>
      <c r="J7640" s="17">
        <v>92</v>
      </c>
      <c r="K7640" s="10">
        <v>923.94</v>
      </c>
      <c r="L7640" s="17">
        <v>68.06</v>
      </c>
      <c r="P7640" s="17">
        <v>5</v>
      </c>
      <c r="Q7640" s="19">
        <v>992</v>
      </c>
      <c r="R7640" s="14">
        <v>200</v>
      </c>
      <c r="S7640" s="19">
        <v>198400</v>
      </c>
      <c r="T7640" s="17">
        <v>1</v>
      </c>
      <c r="V7640" s="17" t="s">
        <v>183</v>
      </c>
      <c r="W7640" s="4">
        <v>272.25</v>
      </c>
      <c r="Y7640" s="4">
        <v>272.25</v>
      </c>
      <c r="AB7640" s="17">
        <v>4</v>
      </c>
      <c r="AJ7640" s="19">
        <v>0</v>
      </c>
      <c r="AK7640" s="23">
        <v>4</v>
      </c>
      <c r="AM7640" s="19">
        <v>0</v>
      </c>
      <c r="AN7640" s="19">
        <v>198400</v>
      </c>
      <c r="AP7640" s="14">
        <v>198400</v>
      </c>
      <c r="AS7640" s="26">
        <v>21</v>
      </c>
    </row>
    <row r="7641" spans="1:45" x14ac:dyDescent="0.2">
      <c r="A7641" s="2">
        <f>+A7640+1</f>
        <v>6320</v>
      </c>
      <c r="B7641" s="13">
        <v>2</v>
      </c>
      <c r="C7641" s="17" t="s">
        <v>52</v>
      </c>
      <c r="D7641" s="17">
        <v>29753</v>
      </c>
      <c r="E7641" s="17">
        <v>150</v>
      </c>
      <c r="F7641" s="17">
        <v>5343</v>
      </c>
      <c r="G7641" s="13">
        <v>2</v>
      </c>
      <c r="H7641" s="17">
        <v>0</v>
      </c>
      <c r="I7641" s="17">
        <v>0</v>
      </c>
      <c r="J7641" s="17">
        <v>90</v>
      </c>
      <c r="N7641" s="18">
        <v>90</v>
      </c>
      <c r="P7641" s="17">
        <v>2</v>
      </c>
      <c r="Q7641" s="19">
        <v>90</v>
      </c>
      <c r="R7641" s="14">
        <v>160</v>
      </c>
      <c r="S7641" s="19">
        <v>14400</v>
      </c>
      <c r="AF7641" s="14">
        <v>2</v>
      </c>
      <c r="AG7641" s="54">
        <v>149</v>
      </c>
      <c r="AH7641" s="11">
        <v>1</v>
      </c>
      <c r="AI7641" s="14">
        <v>7250</v>
      </c>
      <c r="AJ7641" s="19">
        <v>1080250</v>
      </c>
      <c r="AK7641" s="23">
        <v>0</v>
      </c>
      <c r="AM7641" s="19">
        <v>1080250</v>
      </c>
      <c r="AN7641" s="19">
        <v>1094650</v>
      </c>
      <c r="AP7641" s="14">
        <v>1094650</v>
      </c>
    </row>
    <row r="7642" spans="1:45" x14ac:dyDescent="0.2">
      <c r="A7642" s="122">
        <f t="shared" ref="A7642:A7653" si="743">+A7641+1</f>
        <v>6321</v>
      </c>
      <c r="B7642" s="13">
        <v>3</v>
      </c>
      <c r="C7642" s="17" t="s">
        <v>52</v>
      </c>
      <c r="D7642" s="17">
        <v>33202</v>
      </c>
      <c r="E7642" s="17">
        <v>178</v>
      </c>
      <c r="F7642" s="17">
        <v>5829</v>
      </c>
      <c r="G7642" s="13">
        <v>2</v>
      </c>
      <c r="H7642" s="17">
        <v>4</v>
      </c>
      <c r="I7642" s="17">
        <v>0</v>
      </c>
      <c r="J7642" s="17">
        <v>64</v>
      </c>
      <c r="K7642" s="10">
        <v>1664</v>
      </c>
      <c r="P7642" s="17">
        <v>1</v>
      </c>
      <c r="Q7642" s="19">
        <v>1664</v>
      </c>
      <c r="R7642" s="14">
        <v>160</v>
      </c>
      <c r="S7642" s="19">
        <v>266240</v>
      </c>
      <c r="AJ7642" s="19">
        <v>0</v>
      </c>
      <c r="AK7642" s="23">
        <v>0</v>
      </c>
      <c r="AM7642" s="19">
        <v>0</v>
      </c>
      <c r="AN7642" s="19">
        <v>266240</v>
      </c>
      <c r="AP7642" s="14">
        <v>266240</v>
      </c>
    </row>
    <row r="7643" spans="1:45" x14ac:dyDescent="0.2">
      <c r="A7643" s="122">
        <f t="shared" si="743"/>
        <v>6322</v>
      </c>
      <c r="B7643" s="13">
        <v>1</v>
      </c>
      <c r="C7643" s="17" t="s">
        <v>52</v>
      </c>
      <c r="D7643" s="17">
        <v>29795</v>
      </c>
      <c r="E7643" s="17">
        <v>97</v>
      </c>
      <c r="F7643" s="17">
        <v>5531</v>
      </c>
      <c r="G7643" s="13">
        <v>1</v>
      </c>
      <c r="H7643" s="17">
        <v>0</v>
      </c>
      <c r="I7643" s="17">
        <v>0</v>
      </c>
      <c r="J7643" s="17">
        <v>45</v>
      </c>
      <c r="N7643" s="18">
        <v>45</v>
      </c>
      <c r="P7643" s="17">
        <v>4</v>
      </c>
      <c r="Q7643" s="19">
        <v>45</v>
      </c>
      <c r="R7643" s="14">
        <v>160</v>
      </c>
      <c r="S7643" s="19">
        <v>7200</v>
      </c>
      <c r="AJ7643" s="19">
        <v>0</v>
      </c>
      <c r="AK7643" s="23">
        <v>0</v>
      </c>
      <c r="AM7643" s="19">
        <v>0</v>
      </c>
      <c r="AN7643" s="19">
        <v>7200</v>
      </c>
      <c r="AP7643" s="14">
        <v>7200</v>
      </c>
      <c r="AQ7643" s="12">
        <v>3.0000000000000001E-3</v>
      </c>
    </row>
    <row r="7644" spans="1:45" x14ac:dyDescent="0.2">
      <c r="A7644" s="122">
        <f t="shared" si="743"/>
        <v>6323</v>
      </c>
      <c r="B7644" s="13">
        <v>2</v>
      </c>
      <c r="C7644" s="17" t="s">
        <v>52</v>
      </c>
      <c r="D7644" s="17">
        <v>29798</v>
      </c>
      <c r="E7644" s="17">
        <v>100</v>
      </c>
      <c r="F7644" s="17">
        <v>5534</v>
      </c>
      <c r="G7644" s="13">
        <v>1</v>
      </c>
      <c r="H7644" s="17">
        <v>0</v>
      </c>
      <c r="I7644" s="17">
        <v>0</v>
      </c>
      <c r="J7644" s="17">
        <v>47</v>
      </c>
      <c r="N7644" s="18">
        <v>47</v>
      </c>
      <c r="P7644" s="17">
        <v>4</v>
      </c>
      <c r="Q7644" s="19">
        <v>47</v>
      </c>
      <c r="R7644" s="14">
        <v>160</v>
      </c>
      <c r="S7644" s="19">
        <v>7520</v>
      </c>
      <c r="AJ7644" s="19">
        <v>0</v>
      </c>
      <c r="AK7644" s="23">
        <v>0</v>
      </c>
      <c r="AM7644" s="19">
        <v>0</v>
      </c>
      <c r="AN7644" s="19">
        <v>7520</v>
      </c>
      <c r="AP7644" s="14">
        <v>7520</v>
      </c>
      <c r="AQ7644" s="12">
        <v>3.0000000000000001E-3</v>
      </c>
    </row>
    <row r="7645" spans="1:45" x14ac:dyDescent="0.2">
      <c r="A7645" s="122">
        <f t="shared" si="743"/>
        <v>6324</v>
      </c>
      <c r="B7645" s="13">
        <v>3</v>
      </c>
      <c r="C7645" s="17" t="s">
        <v>52</v>
      </c>
      <c r="D7645" s="17">
        <v>29938</v>
      </c>
      <c r="E7645" s="17">
        <v>170</v>
      </c>
      <c r="F7645" s="17">
        <v>5776</v>
      </c>
      <c r="G7645" s="13">
        <v>1</v>
      </c>
      <c r="H7645" s="17">
        <v>0</v>
      </c>
      <c r="I7645" s="17">
        <v>0</v>
      </c>
      <c r="J7645" s="17">
        <v>46</v>
      </c>
      <c r="N7645" s="18">
        <v>46</v>
      </c>
      <c r="P7645" s="17">
        <v>4</v>
      </c>
      <c r="Q7645" s="19">
        <v>46</v>
      </c>
      <c r="R7645" s="14">
        <v>250</v>
      </c>
      <c r="S7645" s="19">
        <v>11500</v>
      </c>
      <c r="AJ7645" s="19">
        <v>0</v>
      </c>
      <c r="AK7645" s="23">
        <v>0</v>
      </c>
      <c r="AM7645" s="19">
        <v>0</v>
      </c>
      <c r="AN7645" s="19">
        <v>11500</v>
      </c>
      <c r="AP7645" s="14">
        <v>11500</v>
      </c>
      <c r="AQ7645" s="12">
        <v>3.0000000000000001E-3</v>
      </c>
    </row>
    <row r="7646" spans="1:45" x14ac:dyDescent="0.2">
      <c r="A7646" s="122">
        <f t="shared" si="743"/>
        <v>6325</v>
      </c>
      <c r="B7646" s="13">
        <v>4</v>
      </c>
      <c r="C7646" s="17" t="s">
        <v>52</v>
      </c>
      <c r="D7646" s="17">
        <v>3371</v>
      </c>
      <c r="E7646" s="17">
        <v>13</v>
      </c>
      <c r="F7646" s="17">
        <v>2157</v>
      </c>
      <c r="G7646" s="13">
        <v>2</v>
      </c>
      <c r="H7646" s="17">
        <v>0</v>
      </c>
      <c r="I7646" s="17">
        <v>0</v>
      </c>
      <c r="J7646" s="17">
        <v>49</v>
      </c>
      <c r="N7646" s="18" t="s">
        <v>785</v>
      </c>
      <c r="P7646" s="17">
        <v>4</v>
      </c>
      <c r="Q7646" s="19">
        <v>49</v>
      </c>
      <c r="R7646" s="14">
        <v>200</v>
      </c>
      <c r="S7646" s="19">
        <v>9800</v>
      </c>
      <c r="AJ7646" s="19">
        <v>0</v>
      </c>
      <c r="AK7646" s="23">
        <v>0</v>
      </c>
      <c r="AM7646" s="19">
        <v>0</v>
      </c>
      <c r="AN7646" s="19">
        <v>9800</v>
      </c>
      <c r="AP7646" s="14">
        <v>9800</v>
      </c>
      <c r="AQ7646" s="12">
        <v>3.0000000000000001E-3</v>
      </c>
    </row>
    <row r="7647" spans="1:45" x14ac:dyDescent="0.2">
      <c r="A7647" s="122">
        <f t="shared" si="743"/>
        <v>6326</v>
      </c>
      <c r="B7647" s="13">
        <v>5</v>
      </c>
      <c r="C7647" s="17" t="s">
        <v>52</v>
      </c>
      <c r="D7647" s="17">
        <v>25683</v>
      </c>
      <c r="E7647" s="17">
        <v>542</v>
      </c>
      <c r="F7647" s="17">
        <v>5039</v>
      </c>
      <c r="G7647" s="13">
        <v>2</v>
      </c>
      <c r="H7647" s="17">
        <v>0</v>
      </c>
      <c r="I7647" s="17">
        <v>0</v>
      </c>
      <c r="J7647" s="17">
        <v>81.040000000000006</v>
      </c>
      <c r="N7647" s="18">
        <v>81.040000000000006</v>
      </c>
      <c r="P7647" s="17">
        <v>4</v>
      </c>
      <c r="Q7647" s="19">
        <v>81.040000000000006</v>
      </c>
      <c r="R7647" s="14">
        <v>2000</v>
      </c>
      <c r="S7647" s="19">
        <v>162080</v>
      </c>
      <c r="AJ7647" s="19">
        <v>0</v>
      </c>
      <c r="AK7647" s="23">
        <v>0</v>
      </c>
      <c r="AM7647" s="19">
        <v>0</v>
      </c>
      <c r="AN7647" s="19">
        <v>162080</v>
      </c>
      <c r="AP7647" s="14">
        <v>162080</v>
      </c>
      <c r="AQ7647" s="12">
        <v>3.0000000000000001E-3</v>
      </c>
    </row>
    <row r="7648" spans="1:45" x14ac:dyDescent="0.2">
      <c r="A7648" s="122">
        <f t="shared" si="743"/>
        <v>6327</v>
      </c>
      <c r="B7648" s="13">
        <v>6</v>
      </c>
      <c r="C7648" s="17" t="s">
        <v>52</v>
      </c>
      <c r="D7648" s="17">
        <v>29901</v>
      </c>
      <c r="E7648" s="17">
        <v>193</v>
      </c>
      <c r="F7648" s="17">
        <v>5741</v>
      </c>
      <c r="G7648" s="13">
        <v>2</v>
      </c>
      <c r="H7648" s="17">
        <v>0</v>
      </c>
      <c r="I7648" s="17">
        <v>0</v>
      </c>
      <c r="J7648" s="17">
        <v>25</v>
      </c>
      <c r="N7648" s="18">
        <v>25</v>
      </c>
      <c r="P7648" s="17">
        <v>4</v>
      </c>
      <c r="Q7648" s="19">
        <v>25</v>
      </c>
      <c r="R7648" s="14">
        <v>1500</v>
      </c>
      <c r="S7648" s="19">
        <v>37500</v>
      </c>
      <c r="AJ7648" s="19">
        <v>0</v>
      </c>
      <c r="AK7648" s="23">
        <v>0</v>
      </c>
      <c r="AM7648" s="19">
        <v>0</v>
      </c>
      <c r="AN7648" s="19">
        <v>37500</v>
      </c>
      <c r="AP7648" s="14">
        <v>37500</v>
      </c>
      <c r="AQ7648" s="12">
        <v>3.0000000000000001E-3</v>
      </c>
    </row>
    <row r="7649" spans="1:45" s="19" customFormat="1" x14ac:dyDescent="0.2">
      <c r="A7649" s="122">
        <f t="shared" si="743"/>
        <v>6328</v>
      </c>
      <c r="B7649" s="13">
        <v>7</v>
      </c>
      <c r="C7649" s="17" t="s">
        <v>52</v>
      </c>
      <c r="D7649" s="17">
        <v>29903</v>
      </c>
      <c r="E7649" s="17">
        <v>195</v>
      </c>
      <c r="F7649" s="17">
        <v>5743</v>
      </c>
      <c r="G7649" s="13">
        <v>2</v>
      </c>
      <c r="H7649" s="17">
        <v>0</v>
      </c>
      <c r="I7649" s="17">
        <v>0</v>
      </c>
      <c r="J7649" s="17">
        <v>25</v>
      </c>
      <c r="K7649" s="10"/>
      <c r="L7649" s="17"/>
      <c r="M7649" s="15"/>
      <c r="N7649" s="18">
        <v>25</v>
      </c>
      <c r="O7649" s="14"/>
      <c r="P7649" s="17">
        <v>4</v>
      </c>
      <c r="Q7649" s="19">
        <v>25</v>
      </c>
      <c r="R7649" s="14">
        <v>1500</v>
      </c>
      <c r="S7649" s="19">
        <v>37500</v>
      </c>
      <c r="T7649" s="17"/>
      <c r="U7649" s="17"/>
      <c r="V7649" s="17"/>
      <c r="W7649" s="4"/>
      <c r="X7649" s="17"/>
      <c r="Y7649" s="4"/>
      <c r="Z7649" s="17"/>
      <c r="AA7649" s="17"/>
      <c r="AB7649" s="17"/>
      <c r="AC7649" s="14"/>
      <c r="AD7649" s="14"/>
      <c r="AE7649" s="17"/>
      <c r="AF7649" s="14"/>
      <c r="AG7649" s="54"/>
      <c r="AH7649" s="11"/>
      <c r="AI7649" s="14"/>
      <c r="AJ7649" s="19">
        <v>0</v>
      </c>
      <c r="AK7649" s="23">
        <v>0</v>
      </c>
      <c r="AL7649" s="11"/>
      <c r="AM7649" s="19">
        <v>0</v>
      </c>
      <c r="AN7649" s="19">
        <v>37500</v>
      </c>
      <c r="AO7649" s="14"/>
      <c r="AP7649" s="14">
        <v>37500</v>
      </c>
      <c r="AQ7649" s="12">
        <v>3.0000000000000001E-3</v>
      </c>
      <c r="AS7649" s="26"/>
    </row>
    <row r="7650" spans="1:45" s="19" customFormat="1" x14ac:dyDescent="0.2">
      <c r="A7650" s="122">
        <f t="shared" si="743"/>
        <v>6329</v>
      </c>
      <c r="B7650" s="13">
        <v>8</v>
      </c>
      <c r="C7650" s="17" t="s">
        <v>52</v>
      </c>
      <c r="D7650" s="17">
        <v>25097</v>
      </c>
      <c r="E7650" s="17">
        <v>65</v>
      </c>
      <c r="F7650" s="17">
        <v>4934</v>
      </c>
      <c r="G7650" s="13">
        <v>4</v>
      </c>
      <c r="H7650" s="17">
        <v>0</v>
      </c>
      <c r="I7650" s="17">
        <v>0</v>
      </c>
      <c r="J7650" s="17">
        <v>25</v>
      </c>
      <c r="K7650" s="10"/>
      <c r="L7650" s="17"/>
      <c r="M7650" s="15"/>
      <c r="N7650" s="18" t="s">
        <v>336</v>
      </c>
      <c r="O7650" s="14"/>
      <c r="P7650" s="17">
        <v>4</v>
      </c>
      <c r="Q7650" s="19">
        <v>25</v>
      </c>
      <c r="R7650" s="14">
        <v>250</v>
      </c>
      <c r="S7650" s="19">
        <v>6250</v>
      </c>
      <c r="T7650" s="17"/>
      <c r="U7650" s="17"/>
      <c r="V7650" s="17"/>
      <c r="W7650" s="4"/>
      <c r="X7650" s="17"/>
      <c r="Y7650" s="4"/>
      <c r="Z7650" s="17"/>
      <c r="AA7650" s="17"/>
      <c r="AB7650" s="17"/>
      <c r="AC7650" s="14"/>
      <c r="AD7650" s="14"/>
      <c r="AE7650" s="17"/>
      <c r="AF7650" s="14"/>
      <c r="AG7650" s="54"/>
      <c r="AH7650" s="11"/>
      <c r="AI7650" s="14"/>
      <c r="AJ7650" s="19">
        <v>0</v>
      </c>
      <c r="AK7650" s="23">
        <v>0</v>
      </c>
      <c r="AL7650" s="11"/>
      <c r="AM7650" s="19">
        <v>0</v>
      </c>
      <c r="AN7650" s="19">
        <v>6250</v>
      </c>
      <c r="AO7650" s="14"/>
      <c r="AP7650" s="14">
        <v>6250</v>
      </c>
      <c r="AQ7650" s="12">
        <v>3.0000000000000001E-3</v>
      </c>
      <c r="AS7650" s="26"/>
    </row>
    <row r="7651" spans="1:45" s="19" customFormat="1" x14ac:dyDescent="0.2">
      <c r="A7651" s="122">
        <f t="shared" si="743"/>
        <v>6330</v>
      </c>
      <c r="B7651" s="13">
        <v>9</v>
      </c>
      <c r="C7651" s="17" t="s">
        <v>52</v>
      </c>
      <c r="D7651" s="17">
        <v>29801</v>
      </c>
      <c r="E7651" s="17">
        <v>103</v>
      </c>
      <c r="F7651" s="17">
        <v>5537</v>
      </c>
      <c r="G7651" s="13">
        <v>1</v>
      </c>
      <c r="H7651" s="17">
        <v>0</v>
      </c>
      <c r="I7651" s="17">
        <v>0</v>
      </c>
      <c r="J7651" s="17">
        <v>48</v>
      </c>
      <c r="K7651" s="10"/>
      <c r="L7651" s="17"/>
      <c r="M7651" s="15"/>
      <c r="N7651" s="18">
        <v>48</v>
      </c>
      <c r="O7651" s="14"/>
      <c r="P7651" s="17">
        <v>4</v>
      </c>
      <c r="Q7651" s="19">
        <v>48</v>
      </c>
      <c r="R7651" s="14">
        <v>160</v>
      </c>
      <c r="S7651" s="19">
        <v>7680</v>
      </c>
      <c r="T7651" s="17"/>
      <c r="U7651" s="17"/>
      <c r="V7651" s="17"/>
      <c r="W7651" s="4"/>
      <c r="X7651" s="17"/>
      <c r="Y7651" s="4"/>
      <c r="Z7651" s="17"/>
      <c r="AA7651" s="17"/>
      <c r="AB7651" s="17"/>
      <c r="AC7651" s="14"/>
      <c r="AD7651" s="14"/>
      <c r="AE7651" s="17"/>
      <c r="AF7651" s="14"/>
      <c r="AG7651" s="54"/>
      <c r="AH7651" s="11"/>
      <c r="AI7651" s="14"/>
      <c r="AJ7651" s="19">
        <v>0</v>
      </c>
      <c r="AK7651" s="23">
        <v>0</v>
      </c>
      <c r="AL7651" s="11"/>
      <c r="AM7651" s="19">
        <v>0</v>
      </c>
      <c r="AN7651" s="19">
        <v>7680</v>
      </c>
      <c r="AO7651" s="14"/>
      <c r="AP7651" s="14">
        <v>7680</v>
      </c>
      <c r="AQ7651" s="12">
        <v>3.0000000000000001E-3</v>
      </c>
      <c r="AS7651" s="26"/>
    </row>
    <row r="7652" spans="1:45" s="19" customFormat="1" x14ac:dyDescent="0.2">
      <c r="A7652" s="122">
        <f t="shared" si="743"/>
        <v>6331</v>
      </c>
      <c r="B7652" s="13">
        <v>1</v>
      </c>
      <c r="C7652" s="17" t="s">
        <v>52</v>
      </c>
      <c r="D7652" s="17">
        <v>31140</v>
      </c>
      <c r="E7652" s="17">
        <v>121</v>
      </c>
      <c r="F7652" s="17">
        <v>6085</v>
      </c>
      <c r="G7652" s="13">
        <v>5</v>
      </c>
      <c r="H7652" s="17">
        <v>0</v>
      </c>
      <c r="I7652" s="17">
        <v>3</v>
      </c>
      <c r="J7652" s="17">
        <v>64.06</v>
      </c>
      <c r="K7652" s="10">
        <v>364.06</v>
      </c>
      <c r="L7652" s="17"/>
      <c r="M7652" s="15"/>
      <c r="N7652" s="18"/>
      <c r="O7652" s="14"/>
      <c r="P7652" s="17">
        <v>1</v>
      </c>
      <c r="Q7652" s="19">
        <v>364.06</v>
      </c>
      <c r="R7652" s="14">
        <v>1500</v>
      </c>
      <c r="S7652" s="19">
        <v>546090</v>
      </c>
      <c r="T7652" s="17"/>
      <c r="U7652" s="17"/>
      <c r="V7652" s="17"/>
      <c r="W7652" s="4"/>
      <c r="X7652" s="17"/>
      <c r="Y7652" s="4"/>
      <c r="Z7652" s="17"/>
      <c r="AA7652" s="17"/>
      <c r="AB7652" s="17"/>
      <c r="AC7652" s="14"/>
      <c r="AD7652" s="14"/>
      <c r="AE7652" s="17"/>
      <c r="AF7652" s="14"/>
      <c r="AG7652" s="54"/>
      <c r="AH7652" s="11"/>
      <c r="AI7652" s="14"/>
      <c r="AJ7652" s="19">
        <v>0</v>
      </c>
      <c r="AK7652" s="23">
        <v>0</v>
      </c>
      <c r="AL7652" s="11"/>
      <c r="AM7652" s="19">
        <v>0</v>
      </c>
      <c r="AN7652" s="19">
        <v>546090</v>
      </c>
      <c r="AO7652" s="14"/>
      <c r="AP7652" s="14">
        <v>546090</v>
      </c>
      <c r="AQ7652" s="12"/>
      <c r="AS7652" s="26"/>
    </row>
    <row r="7653" spans="1:45" s="19" customFormat="1" ht="42" x14ac:dyDescent="0.2">
      <c r="A7653" s="122">
        <f t="shared" si="743"/>
        <v>6332</v>
      </c>
      <c r="B7653" s="13">
        <v>2</v>
      </c>
      <c r="C7653" s="17" t="s">
        <v>52</v>
      </c>
      <c r="D7653" s="17">
        <v>31144</v>
      </c>
      <c r="E7653" s="17">
        <v>125</v>
      </c>
      <c r="F7653" s="17">
        <v>6089</v>
      </c>
      <c r="G7653" s="13">
        <v>5</v>
      </c>
      <c r="H7653" s="17">
        <v>0</v>
      </c>
      <c r="I7653" s="17">
        <v>1</v>
      </c>
      <c r="J7653" s="17">
        <v>61.05</v>
      </c>
      <c r="K7653" s="10">
        <v>128.05000000000001</v>
      </c>
      <c r="L7653" s="17">
        <v>33</v>
      </c>
      <c r="M7653" s="15"/>
      <c r="N7653" s="18"/>
      <c r="O7653" s="14"/>
      <c r="P7653" s="17">
        <v>5</v>
      </c>
      <c r="Q7653" s="19">
        <v>161.05000000000001</v>
      </c>
      <c r="R7653" s="14">
        <v>1500</v>
      </c>
      <c r="S7653" s="19">
        <v>241575.00000000003</v>
      </c>
      <c r="T7653" s="17">
        <v>1</v>
      </c>
      <c r="U7653" s="17"/>
      <c r="V7653" s="17" t="s">
        <v>183</v>
      </c>
      <c r="W7653" s="4">
        <v>60</v>
      </c>
      <c r="X7653" s="17"/>
      <c r="Y7653" s="4">
        <v>60</v>
      </c>
      <c r="Z7653" s="17"/>
      <c r="AA7653" s="17"/>
      <c r="AB7653" s="17">
        <v>28</v>
      </c>
      <c r="AC7653" s="14"/>
      <c r="AD7653" s="14"/>
      <c r="AE7653" s="17"/>
      <c r="AF7653" s="14"/>
      <c r="AG7653" s="54"/>
      <c r="AH7653" s="11"/>
      <c r="AI7653" s="14"/>
      <c r="AJ7653" s="19">
        <v>0</v>
      </c>
      <c r="AK7653" s="23">
        <v>28</v>
      </c>
      <c r="AL7653" s="11"/>
      <c r="AM7653" s="19">
        <v>0</v>
      </c>
      <c r="AN7653" s="19">
        <v>241575.00000000003</v>
      </c>
      <c r="AO7653" s="14"/>
      <c r="AP7653" s="14">
        <v>241575.00000000003</v>
      </c>
      <c r="AQ7653" s="12"/>
      <c r="AS7653" s="26"/>
    </row>
    <row r="7654" spans="1:45" s="19" customFormat="1" ht="231" x14ac:dyDescent="0.2">
      <c r="A7654" s="2"/>
      <c r="B7654" s="13"/>
      <c r="C7654" s="17"/>
      <c r="D7654" s="17"/>
      <c r="E7654" s="17"/>
      <c r="F7654" s="17"/>
      <c r="G7654" s="13"/>
      <c r="H7654" s="17"/>
      <c r="I7654" s="17"/>
      <c r="J7654" s="17"/>
      <c r="K7654" s="10"/>
      <c r="L7654" s="17"/>
      <c r="M7654" s="15"/>
      <c r="N7654" s="18"/>
      <c r="O7654" s="14"/>
      <c r="P7654" s="17"/>
      <c r="Q7654" s="19">
        <v>0</v>
      </c>
      <c r="R7654" s="14"/>
      <c r="S7654" s="19">
        <v>0</v>
      </c>
      <c r="T7654" s="17">
        <v>2</v>
      </c>
      <c r="U7654" s="17"/>
      <c r="V7654" s="17" t="s">
        <v>183</v>
      </c>
      <c r="W7654" s="4">
        <v>72</v>
      </c>
      <c r="X7654" s="17"/>
      <c r="Y7654" s="4"/>
      <c r="Z7654" s="17">
        <v>72</v>
      </c>
      <c r="AA7654" s="17"/>
      <c r="AB7654" s="17">
        <v>8</v>
      </c>
      <c r="AC7654" s="14" t="s">
        <v>486</v>
      </c>
      <c r="AD7654" s="14"/>
      <c r="AE7654" s="17"/>
      <c r="AF7654" s="14"/>
      <c r="AG7654" s="54"/>
      <c r="AH7654" s="11"/>
      <c r="AI7654" s="14"/>
      <c r="AJ7654" s="19">
        <v>0</v>
      </c>
      <c r="AK7654" s="23">
        <v>8</v>
      </c>
      <c r="AL7654" s="11"/>
      <c r="AM7654" s="19">
        <v>0</v>
      </c>
      <c r="AN7654" s="19">
        <v>0</v>
      </c>
      <c r="AO7654" s="14"/>
      <c r="AP7654" s="14">
        <v>0</v>
      </c>
      <c r="AQ7654" s="12"/>
      <c r="AS7654" s="26"/>
    </row>
    <row r="7655" spans="1:45" s="19" customFormat="1" x14ac:dyDescent="0.2">
      <c r="A7655" s="2">
        <v>6333</v>
      </c>
      <c r="B7655" s="13">
        <v>3</v>
      </c>
      <c r="C7655" s="17" t="s">
        <v>52</v>
      </c>
      <c r="D7655" s="17">
        <v>31146</v>
      </c>
      <c r="E7655" s="17">
        <v>127</v>
      </c>
      <c r="F7655" s="17">
        <v>6091</v>
      </c>
      <c r="G7655" s="13">
        <v>5</v>
      </c>
      <c r="H7655" s="17">
        <v>0</v>
      </c>
      <c r="I7655" s="17">
        <v>0</v>
      </c>
      <c r="J7655" s="17">
        <v>26.06</v>
      </c>
      <c r="K7655" s="10"/>
      <c r="L7655" s="17"/>
      <c r="M7655" s="15"/>
      <c r="N7655" s="18">
        <v>26.06</v>
      </c>
      <c r="O7655" s="14"/>
      <c r="P7655" s="17">
        <v>4</v>
      </c>
      <c r="Q7655" s="19">
        <v>26.06</v>
      </c>
      <c r="R7655" s="14">
        <v>1500</v>
      </c>
      <c r="S7655" s="19">
        <v>39090</v>
      </c>
      <c r="T7655" s="17"/>
      <c r="U7655" s="17"/>
      <c r="V7655" s="17"/>
      <c r="W7655" s="4"/>
      <c r="X7655" s="17"/>
      <c r="Y7655" s="4"/>
      <c r="Z7655" s="17"/>
      <c r="AA7655" s="17"/>
      <c r="AB7655" s="17"/>
      <c r="AC7655" s="14"/>
      <c r="AD7655" s="14"/>
      <c r="AE7655" s="17"/>
      <c r="AF7655" s="14"/>
      <c r="AG7655" s="54"/>
      <c r="AH7655" s="11"/>
      <c r="AI7655" s="14"/>
      <c r="AJ7655" s="19">
        <v>0</v>
      </c>
      <c r="AK7655" s="23">
        <v>0</v>
      </c>
      <c r="AL7655" s="11"/>
      <c r="AM7655" s="19">
        <v>0</v>
      </c>
      <c r="AN7655" s="19">
        <v>39090</v>
      </c>
      <c r="AO7655" s="14"/>
      <c r="AP7655" s="14">
        <v>39090</v>
      </c>
      <c r="AQ7655" s="12">
        <v>3.0000000000000001E-3</v>
      </c>
      <c r="AS7655" s="26"/>
    </row>
    <row r="7656" spans="1:45" s="19" customFormat="1" x14ac:dyDescent="0.2">
      <c r="A7656" s="2">
        <f>+A7655+1</f>
        <v>6334</v>
      </c>
      <c r="B7656" s="13">
        <v>4</v>
      </c>
      <c r="C7656" s="17" t="s">
        <v>65</v>
      </c>
      <c r="D7656" s="17">
        <v>1045</v>
      </c>
      <c r="E7656" s="17">
        <v>19</v>
      </c>
      <c r="F7656" s="17"/>
      <c r="G7656" s="13"/>
      <c r="H7656" s="17">
        <v>2</v>
      </c>
      <c r="I7656" s="17">
        <v>0</v>
      </c>
      <c r="J7656" s="17">
        <v>60</v>
      </c>
      <c r="K7656" s="10">
        <v>860</v>
      </c>
      <c r="L7656" s="17"/>
      <c r="M7656" s="15"/>
      <c r="N7656" s="18"/>
      <c r="O7656" s="14"/>
      <c r="P7656" s="17">
        <v>1</v>
      </c>
      <c r="Q7656" s="19">
        <v>860</v>
      </c>
      <c r="R7656" s="14">
        <v>200</v>
      </c>
      <c r="S7656" s="19">
        <v>172000</v>
      </c>
      <c r="T7656" s="17"/>
      <c r="U7656" s="17"/>
      <c r="V7656" s="17"/>
      <c r="W7656" s="4"/>
      <c r="X7656" s="17"/>
      <c r="Y7656" s="4"/>
      <c r="Z7656" s="17"/>
      <c r="AA7656" s="17"/>
      <c r="AB7656" s="17"/>
      <c r="AC7656" s="14"/>
      <c r="AD7656" s="14"/>
      <c r="AE7656" s="17" t="s">
        <v>94</v>
      </c>
      <c r="AF7656" s="14"/>
      <c r="AG7656" s="54"/>
      <c r="AH7656" s="11"/>
      <c r="AI7656" s="14"/>
      <c r="AJ7656" s="19">
        <v>0</v>
      </c>
      <c r="AK7656" s="23">
        <v>0</v>
      </c>
      <c r="AL7656" s="11"/>
      <c r="AM7656" s="19">
        <v>0</v>
      </c>
      <c r="AN7656" s="19">
        <v>172000</v>
      </c>
      <c r="AO7656" s="14"/>
      <c r="AP7656" s="14">
        <v>172000</v>
      </c>
      <c r="AQ7656" s="12">
        <v>1E-4</v>
      </c>
      <c r="AS7656" s="26"/>
    </row>
    <row r="7657" spans="1:45" s="19" customFormat="1" x14ac:dyDescent="0.2">
      <c r="A7657" s="122">
        <f t="shared" ref="A7657:A7692" si="744">+A7656+1</f>
        <v>6335</v>
      </c>
      <c r="B7657" s="13">
        <v>1</v>
      </c>
      <c r="C7657" s="17" t="s">
        <v>52</v>
      </c>
      <c r="D7657" s="17">
        <v>11687</v>
      </c>
      <c r="E7657" s="17">
        <v>106</v>
      </c>
      <c r="F7657" s="17">
        <v>3189</v>
      </c>
      <c r="G7657" s="13">
        <v>3</v>
      </c>
      <c r="H7657" s="17">
        <v>0</v>
      </c>
      <c r="I7657" s="17">
        <v>0</v>
      </c>
      <c r="J7657" s="17">
        <v>90.02</v>
      </c>
      <c r="K7657" s="10">
        <v>90.02</v>
      </c>
      <c r="L7657" s="17"/>
      <c r="M7657" s="15"/>
      <c r="N7657" s="18"/>
      <c r="O7657" s="14"/>
      <c r="P7657" s="17">
        <v>1</v>
      </c>
      <c r="Q7657" s="19">
        <v>90.02</v>
      </c>
      <c r="R7657" s="14">
        <v>2000</v>
      </c>
      <c r="S7657" s="19">
        <v>180040</v>
      </c>
      <c r="T7657" s="17"/>
      <c r="U7657" s="17"/>
      <c r="V7657" s="17"/>
      <c r="W7657" s="4"/>
      <c r="X7657" s="17"/>
      <c r="Y7657" s="4"/>
      <c r="Z7657" s="17"/>
      <c r="AA7657" s="17"/>
      <c r="AB7657" s="17"/>
      <c r="AC7657" s="14"/>
      <c r="AD7657" s="14"/>
      <c r="AE7657" s="17"/>
      <c r="AF7657" s="14"/>
      <c r="AG7657" s="54"/>
      <c r="AH7657" s="11"/>
      <c r="AI7657" s="14"/>
      <c r="AJ7657" s="19">
        <v>0</v>
      </c>
      <c r="AK7657" s="23">
        <v>0</v>
      </c>
      <c r="AL7657" s="11"/>
      <c r="AM7657" s="19">
        <v>0</v>
      </c>
      <c r="AN7657" s="19">
        <v>180040</v>
      </c>
      <c r="AO7657" s="14"/>
      <c r="AP7657" s="14">
        <v>180040</v>
      </c>
      <c r="AQ7657" s="12"/>
      <c r="AS7657" s="26"/>
    </row>
    <row r="7658" spans="1:45" s="19" customFormat="1" x14ac:dyDescent="0.2">
      <c r="A7658" s="122">
        <f t="shared" si="744"/>
        <v>6336</v>
      </c>
      <c r="B7658" s="13">
        <v>2</v>
      </c>
      <c r="C7658" s="17" t="s">
        <v>52</v>
      </c>
      <c r="D7658" s="17">
        <v>1260</v>
      </c>
      <c r="E7658" s="17">
        <v>13</v>
      </c>
      <c r="F7658" s="17">
        <v>724</v>
      </c>
      <c r="G7658" s="13">
        <v>6</v>
      </c>
      <c r="H7658" s="17">
        <v>7</v>
      </c>
      <c r="I7658" s="17">
        <v>1</v>
      </c>
      <c r="J7658" s="17">
        <v>6</v>
      </c>
      <c r="K7658" s="10">
        <v>2906</v>
      </c>
      <c r="L7658" s="17"/>
      <c r="M7658" s="15"/>
      <c r="N7658" s="18"/>
      <c r="O7658" s="14"/>
      <c r="P7658" s="17">
        <v>1</v>
      </c>
      <c r="Q7658" s="19">
        <v>2906</v>
      </c>
      <c r="R7658" s="14">
        <v>160</v>
      </c>
      <c r="S7658" s="19">
        <v>464960</v>
      </c>
      <c r="T7658" s="17"/>
      <c r="U7658" s="17"/>
      <c r="V7658" s="17"/>
      <c r="W7658" s="4"/>
      <c r="X7658" s="17"/>
      <c r="Y7658" s="4"/>
      <c r="Z7658" s="17"/>
      <c r="AA7658" s="17"/>
      <c r="AB7658" s="17"/>
      <c r="AC7658" s="14"/>
      <c r="AD7658" s="14"/>
      <c r="AE7658" s="17"/>
      <c r="AF7658" s="14"/>
      <c r="AG7658" s="54"/>
      <c r="AH7658" s="11"/>
      <c r="AI7658" s="14"/>
      <c r="AJ7658" s="19">
        <v>0</v>
      </c>
      <c r="AK7658" s="23">
        <v>0</v>
      </c>
      <c r="AL7658" s="11"/>
      <c r="AM7658" s="19">
        <v>0</v>
      </c>
      <c r="AN7658" s="19">
        <v>464960</v>
      </c>
      <c r="AO7658" s="14"/>
      <c r="AP7658" s="14">
        <v>464960</v>
      </c>
      <c r="AQ7658" s="12"/>
      <c r="AS7658" s="26"/>
    </row>
    <row r="7659" spans="1:45" s="19" customFormat="1" x14ac:dyDescent="0.2">
      <c r="A7659" s="122">
        <f t="shared" si="744"/>
        <v>6337</v>
      </c>
      <c r="B7659" s="13">
        <v>3</v>
      </c>
      <c r="C7659" s="17" t="s">
        <v>52</v>
      </c>
      <c r="D7659" s="17">
        <v>1749</v>
      </c>
      <c r="E7659" s="17">
        <v>28</v>
      </c>
      <c r="F7659" s="17">
        <v>294</v>
      </c>
      <c r="G7659" s="13">
        <v>6</v>
      </c>
      <c r="H7659" s="17">
        <v>1</v>
      </c>
      <c r="I7659" s="17">
        <v>0</v>
      </c>
      <c r="J7659" s="17">
        <v>10</v>
      </c>
      <c r="K7659" s="10"/>
      <c r="L7659" s="17"/>
      <c r="M7659" s="15"/>
      <c r="N7659" s="18">
        <v>410</v>
      </c>
      <c r="O7659" s="14"/>
      <c r="P7659" s="17">
        <v>4</v>
      </c>
      <c r="Q7659" s="19">
        <v>410</v>
      </c>
      <c r="R7659" s="14">
        <v>1500</v>
      </c>
      <c r="S7659" s="19">
        <v>615000</v>
      </c>
      <c r="T7659" s="17"/>
      <c r="U7659" s="17"/>
      <c r="V7659" s="17"/>
      <c r="W7659" s="4"/>
      <c r="X7659" s="17"/>
      <c r="Y7659" s="4"/>
      <c r="Z7659" s="17"/>
      <c r="AA7659" s="17"/>
      <c r="AB7659" s="17"/>
      <c r="AC7659" s="14"/>
      <c r="AD7659" s="14"/>
      <c r="AE7659" s="17"/>
      <c r="AF7659" s="14"/>
      <c r="AG7659" s="54"/>
      <c r="AH7659" s="11"/>
      <c r="AI7659" s="14"/>
      <c r="AJ7659" s="19">
        <v>0</v>
      </c>
      <c r="AK7659" s="23">
        <v>0</v>
      </c>
      <c r="AL7659" s="11"/>
      <c r="AM7659" s="19">
        <v>0</v>
      </c>
      <c r="AN7659" s="19">
        <v>615000</v>
      </c>
      <c r="AO7659" s="14"/>
      <c r="AP7659" s="14">
        <v>615000</v>
      </c>
      <c r="AQ7659" s="12">
        <v>3.0000000000000001E-3</v>
      </c>
      <c r="AS7659" s="26"/>
    </row>
    <row r="7660" spans="1:45" s="19" customFormat="1" x14ac:dyDescent="0.2">
      <c r="A7660" s="122">
        <f t="shared" si="744"/>
        <v>6338</v>
      </c>
      <c r="B7660" s="13">
        <v>4</v>
      </c>
      <c r="C7660" s="17" t="s">
        <v>52</v>
      </c>
      <c r="D7660" s="17">
        <v>14060</v>
      </c>
      <c r="E7660" s="17">
        <v>61</v>
      </c>
      <c r="F7660" s="17">
        <v>3311</v>
      </c>
      <c r="G7660" s="13">
        <v>6</v>
      </c>
      <c r="H7660" s="17">
        <v>0</v>
      </c>
      <c r="I7660" s="17">
        <v>0</v>
      </c>
      <c r="J7660" s="17">
        <v>47</v>
      </c>
      <c r="K7660" s="10">
        <v>47</v>
      </c>
      <c r="L7660" s="17"/>
      <c r="M7660" s="15"/>
      <c r="N7660" s="18"/>
      <c r="O7660" s="14"/>
      <c r="P7660" s="17">
        <v>1</v>
      </c>
      <c r="Q7660" s="19">
        <v>47</v>
      </c>
      <c r="R7660" s="14">
        <v>1500</v>
      </c>
      <c r="S7660" s="19">
        <v>70500</v>
      </c>
      <c r="T7660" s="17"/>
      <c r="U7660" s="17"/>
      <c r="V7660" s="17"/>
      <c r="W7660" s="4"/>
      <c r="X7660" s="17"/>
      <c r="Y7660" s="4"/>
      <c r="Z7660" s="17"/>
      <c r="AA7660" s="17"/>
      <c r="AB7660" s="17"/>
      <c r="AC7660" s="14"/>
      <c r="AD7660" s="14"/>
      <c r="AE7660" s="17"/>
      <c r="AF7660" s="14"/>
      <c r="AG7660" s="54"/>
      <c r="AH7660" s="11"/>
      <c r="AI7660" s="14"/>
      <c r="AJ7660" s="19">
        <v>0</v>
      </c>
      <c r="AK7660" s="23">
        <v>0</v>
      </c>
      <c r="AL7660" s="11"/>
      <c r="AM7660" s="19">
        <v>0</v>
      </c>
      <c r="AN7660" s="19">
        <v>70500</v>
      </c>
      <c r="AO7660" s="14"/>
      <c r="AP7660" s="14">
        <v>70500</v>
      </c>
      <c r="AQ7660" s="12"/>
      <c r="AS7660" s="26"/>
    </row>
    <row r="7661" spans="1:45" s="19" customFormat="1" x14ac:dyDescent="0.2">
      <c r="A7661" s="122">
        <f t="shared" si="744"/>
        <v>6339</v>
      </c>
      <c r="B7661" s="13">
        <v>5</v>
      </c>
      <c r="C7661" s="17" t="s">
        <v>65</v>
      </c>
      <c r="D7661" s="17">
        <v>437</v>
      </c>
      <c r="E7661" s="17">
        <v>99</v>
      </c>
      <c r="F7661" s="17"/>
      <c r="G7661" s="13"/>
      <c r="H7661" s="17">
        <v>3</v>
      </c>
      <c r="I7661" s="17">
        <v>0</v>
      </c>
      <c r="J7661" s="17">
        <v>76</v>
      </c>
      <c r="K7661" s="10">
        <v>1276</v>
      </c>
      <c r="L7661" s="17"/>
      <c r="M7661" s="15"/>
      <c r="N7661" s="18"/>
      <c r="O7661" s="14"/>
      <c r="P7661" s="17">
        <v>1</v>
      </c>
      <c r="Q7661" s="19">
        <v>1276</v>
      </c>
      <c r="R7661" s="14">
        <v>160</v>
      </c>
      <c r="S7661" s="19">
        <v>204160</v>
      </c>
      <c r="T7661" s="17"/>
      <c r="U7661" s="17"/>
      <c r="V7661" s="17"/>
      <c r="W7661" s="4"/>
      <c r="X7661" s="17"/>
      <c r="Y7661" s="4"/>
      <c r="Z7661" s="17"/>
      <c r="AA7661" s="17"/>
      <c r="AB7661" s="17"/>
      <c r="AC7661" s="14"/>
      <c r="AD7661" s="14"/>
      <c r="AE7661" s="17"/>
      <c r="AF7661" s="14"/>
      <c r="AG7661" s="54"/>
      <c r="AH7661" s="11"/>
      <c r="AI7661" s="14"/>
      <c r="AJ7661" s="19">
        <v>0</v>
      </c>
      <c r="AK7661" s="23">
        <v>0</v>
      </c>
      <c r="AL7661" s="11"/>
      <c r="AM7661" s="19">
        <v>0</v>
      </c>
      <c r="AN7661" s="19">
        <v>204160</v>
      </c>
      <c r="AO7661" s="14"/>
      <c r="AP7661" s="14">
        <v>204160</v>
      </c>
      <c r="AQ7661" s="12">
        <v>1E-4</v>
      </c>
      <c r="AS7661" s="26"/>
    </row>
    <row r="7662" spans="1:45" s="19" customFormat="1" x14ac:dyDescent="0.2">
      <c r="A7662" s="122">
        <f t="shared" si="744"/>
        <v>6340</v>
      </c>
      <c r="B7662" s="13">
        <v>6</v>
      </c>
      <c r="C7662" s="17" t="s">
        <v>65</v>
      </c>
      <c r="D7662" s="17">
        <v>444</v>
      </c>
      <c r="E7662" s="17">
        <v>108</v>
      </c>
      <c r="F7662" s="17"/>
      <c r="G7662" s="13"/>
      <c r="H7662" s="17">
        <v>6</v>
      </c>
      <c r="I7662" s="17">
        <v>0</v>
      </c>
      <c r="J7662" s="17">
        <v>26</v>
      </c>
      <c r="K7662" s="10">
        <v>2426</v>
      </c>
      <c r="L7662" s="17"/>
      <c r="M7662" s="15"/>
      <c r="N7662" s="18"/>
      <c r="O7662" s="14"/>
      <c r="P7662" s="17">
        <v>1</v>
      </c>
      <c r="Q7662" s="19">
        <v>2426</v>
      </c>
      <c r="R7662" s="14">
        <v>200</v>
      </c>
      <c r="S7662" s="19">
        <v>485200</v>
      </c>
      <c r="T7662" s="17"/>
      <c r="U7662" s="17"/>
      <c r="V7662" s="17"/>
      <c r="W7662" s="4"/>
      <c r="X7662" s="17"/>
      <c r="Y7662" s="4"/>
      <c r="Z7662" s="17"/>
      <c r="AA7662" s="17"/>
      <c r="AB7662" s="17"/>
      <c r="AC7662" s="14"/>
      <c r="AD7662" s="14"/>
      <c r="AE7662" s="17"/>
      <c r="AF7662" s="14"/>
      <c r="AG7662" s="54"/>
      <c r="AH7662" s="11"/>
      <c r="AI7662" s="14"/>
      <c r="AJ7662" s="19">
        <v>0</v>
      </c>
      <c r="AK7662" s="23">
        <v>0</v>
      </c>
      <c r="AL7662" s="11"/>
      <c r="AM7662" s="19">
        <v>0</v>
      </c>
      <c r="AN7662" s="19">
        <v>485200</v>
      </c>
      <c r="AO7662" s="14"/>
      <c r="AP7662" s="14">
        <v>485200</v>
      </c>
      <c r="AQ7662" s="12">
        <v>1E-4</v>
      </c>
      <c r="AS7662" s="26"/>
    </row>
    <row r="7663" spans="1:45" s="19" customFormat="1" x14ac:dyDescent="0.2">
      <c r="A7663" s="122">
        <f t="shared" si="744"/>
        <v>6341</v>
      </c>
      <c r="B7663" s="13">
        <v>7</v>
      </c>
      <c r="C7663" s="17" t="s">
        <v>65</v>
      </c>
      <c r="D7663" s="17">
        <v>445</v>
      </c>
      <c r="E7663" s="17">
        <v>109</v>
      </c>
      <c r="F7663" s="17"/>
      <c r="G7663" s="13"/>
      <c r="H7663" s="17">
        <v>17</v>
      </c>
      <c r="I7663" s="17">
        <v>0</v>
      </c>
      <c r="J7663" s="17">
        <v>33</v>
      </c>
      <c r="K7663" s="10">
        <v>6833</v>
      </c>
      <c r="L7663" s="17"/>
      <c r="M7663" s="15"/>
      <c r="N7663" s="18"/>
      <c r="O7663" s="14"/>
      <c r="P7663" s="17">
        <v>1</v>
      </c>
      <c r="Q7663" s="19">
        <v>6833</v>
      </c>
      <c r="R7663" s="14">
        <v>200</v>
      </c>
      <c r="S7663" s="19">
        <v>1366600</v>
      </c>
      <c r="T7663" s="17"/>
      <c r="U7663" s="17"/>
      <c r="V7663" s="17"/>
      <c r="W7663" s="4"/>
      <c r="X7663" s="17"/>
      <c r="Y7663" s="4"/>
      <c r="Z7663" s="17"/>
      <c r="AA7663" s="17"/>
      <c r="AB7663" s="17"/>
      <c r="AC7663" s="14"/>
      <c r="AD7663" s="14"/>
      <c r="AE7663" s="17"/>
      <c r="AF7663" s="14"/>
      <c r="AG7663" s="54"/>
      <c r="AH7663" s="11"/>
      <c r="AI7663" s="14"/>
      <c r="AJ7663" s="19">
        <v>0</v>
      </c>
      <c r="AK7663" s="23">
        <v>0</v>
      </c>
      <c r="AL7663" s="11"/>
      <c r="AM7663" s="19">
        <v>0</v>
      </c>
      <c r="AN7663" s="19">
        <v>1366600</v>
      </c>
      <c r="AO7663" s="14"/>
      <c r="AP7663" s="14">
        <v>1366600</v>
      </c>
      <c r="AQ7663" s="12">
        <v>1E-4</v>
      </c>
      <c r="AS7663" s="26"/>
    </row>
    <row r="7664" spans="1:45" s="19" customFormat="1" x14ac:dyDescent="0.2">
      <c r="A7664" s="122">
        <f t="shared" si="744"/>
        <v>6342</v>
      </c>
      <c r="B7664" s="13">
        <v>8</v>
      </c>
      <c r="C7664" s="17" t="s">
        <v>65</v>
      </c>
      <c r="D7664" s="17">
        <v>446</v>
      </c>
      <c r="E7664" s="17">
        <v>110</v>
      </c>
      <c r="F7664" s="17"/>
      <c r="G7664" s="13"/>
      <c r="H7664" s="17">
        <v>8</v>
      </c>
      <c r="I7664" s="17">
        <v>3</v>
      </c>
      <c r="J7664" s="17">
        <v>53</v>
      </c>
      <c r="K7664" s="10">
        <v>3553</v>
      </c>
      <c r="L7664" s="17"/>
      <c r="M7664" s="15"/>
      <c r="N7664" s="18"/>
      <c r="O7664" s="14"/>
      <c r="P7664" s="17">
        <v>1</v>
      </c>
      <c r="Q7664" s="19">
        <v>3553</v>
      </c>
      <c r="R7664" s="14">
        <v>200</v>
      </c>
      <c r="S7664" s="19">
        <v>710600</v>
      </c>
      <c r="T7664" s="17"/>
      <c r="U7664" s="17"/>
      <c r="V7664" s="17"/>
      <c r="W7664" s="4"/>
      <c r="X7664" s="17"/>
      <c r="Y7664" s="4"/>
      <c r="Z7664" s="17"/>
      <c r="AA7664" s="17"/>
      <c r="AB7664" s="17"/>
      <c r="AC7664" s="14"/>
      <c r="AD7664" s="14"/>
      <c r="AE7664" s="17"/>
      <c r="AF7664" s="14"/>
      <c r="AG7664" s="54"/>
      <c r="AH7664" s="11"/>
      <c r="AI7664" s="14"/>
      <c r="AJ7664" s="19">
        <v>0</v>
      </c>
      <c r="AK7664" s="23">
        <v>0</v>
      </c>
      <c r="AL7664" s="11"/>
      <c r="AM7664" s="19">
        <v>0</v>
      </c>
      <c r="AN7664" s="19">
        <v>710600</v>
      </c>
      <c r="AO7664" s="14"/>
      <c r="AP7664" s="14">
        <v>710600</v>
      </c>
      <c r="AQ7664" s="12">
        <v>1E-4</v>
      </c>
      <c r="AS7664" s="26"/>
    </row>
    <row r="7665" spans="1:45" x14ac:dyDescent="0.2">
      <c r="A7665" s="122">
        <f t="shared" si="744"/>
        <v>6343</v>
      </c>
      <c r="B7665" s="13">
        <v>1</v>
      </c>
      <c r="C7665" s="17" t="s">
        <v>52</v>
      </c>
      <c r="D7665" s="17">
        <v>28740</v>
      </c>
      <c r="E7665" s="17">
        <v>111</v>
      </c>
      <c r="F7665" s="17">
        <v>5327</v>
      </c>
      <c r="G7665" s="13">
        <v>2</v>
      </c>
      <c r="H7665" s="17">
        <v>0</v>
      </c>
      <c r="I7665" s="17">
        <v>1</v>
      </c>
      <c r="J7665" s="17">
        <v>35</v>
      </c>
      <c r="N7665" s="18">
        <v>135</v>
      </c>
      <c r="P7665" s="17">
        <v>4</v>
      </c>
      <c r="Q7665" s="19">
        <v>135</v>
      </c>
      <c r="R7665" s="14">
        <v>160</v>
      </c>
      <c r="S7665" s="19">
        <v>21600</v>
      </c>
      <c r="AJ7665" s="19">
        <v>0</v>
      </c>
      <c r="AK7665" s="23">
        <v>0</v>
      </c>
      <c r="AM7665" s="19">
        <v>0</v>
      </c>
      <c r="AN7665" s="19">
        <v>21600</v>
      </c>
      <c r="AP7665" s="14">
        <v>21600</v>
      </c>
      <c r="AQ7665" s="12">
        <v>3.0000000000000001E-3</v>
      </c>
    </row>
    <row r="7666" spans="1:45" x14ac:dyDescent="0.2">
      <c r="A7666" s="122">
        <f t="shared" si="744"/>
        <v>6344</v>
      </c>
      <c r="B7666" s="13">
        <v>2</v>
      </c>
      <c r="C7666" s="17" t="s">
        <v>52</v>
      </c>
      <c r="D7666" s="17">
        <v>1750</v>
      </c>
      <c r="E7666" s="17">
        <v>29</v>
      </c>
      <c r="F7666" s="17">
        <v>295</v>
      </c>
      <c r="G7666" s="13">
        <v>6</v>
      </c>
      <c r="H7666" s="17">
        <v>0</v>
      </c>
      <c r="I7666" s="17">
        <v>2</v>
      </c>
      <c r="J7666" s="17">
        <v>42</v>
      </c>
      <c r="N7666" s="18">
        <v>242</v>
      </c>
      <c r="P7666" s="17">
        <v>4</v>
      </c>
      <c r="Q7666" s="19">
        <v>242</v>
      </c>
      <c r="R7666" s="14">
        <v>1100</v>
      </c>
      <c r="S7666" s="19">
        <v>266200</v>
      </c>
      <c r="AJ7666" s="19">
        <v>0</v>
      </c>
      <c r="AK7666" s="23">
        <v>0</v>
      </c>
      <c r="AM7666" s="19">
        <v>0</v>
      </c>
      <c r="AN7666" s="19">
        <v>266200</v>
      </c>
      <c r="AP7666" s="14">
        <v>266200</v>
      </c>
      <c r="AQ7666" s="12">
        <v>3.0000000000000001E-3</v>
      </c>
    </row>
    <row r="7667" spans="1:45" x14ac:dyDescent="0.2">
      <c r="A7667" s="122">
        <f t="shared" si="744"/>
        <v>6345</v>
      </c>
      <c r="B7667" s="13">
        <v>3</v>
      </c>
      <c r="C7667" s="17" t="s">
        <v>52</v>
      </c>
      <c r="D7667" s="17">
        <v>30277</v>
      </c>
      <c r="E7667" s="17">
        <v>74</v>
      </c>
      <c r="F7667" s="17">
        <v>5811</v>
      </c>
      <c r="G7667" s="13">
        <v>6</v>
      </c>
      <c r="H7667" s="17">
        <v>0</v>
      </c>
      <c r="I7667" s="17">
        <v>2</v>
      </c>
      <c r="J7667" s="17">
        <v>3</v>
      </c>
      <c r="N7667" s="18">
        <v>203</v>
      </c>
      <c r="P7667" s="17">
        <v>4</v>
      </c>
      <c r="Q7667" s="19">
        <v>203</v>
      </c>
      <c r="R7667" s="14">
        <v>1100</v>
      </c>
      <c r="S7667" s="19">
        <v>223300</v>
      </c>
      <c r="AJ7667" s="19">
        <v>0</v>
      </c>
      <c r="AK7667" s="23">
        <v>0</v>
      </c>
      <c r="AM7667" s="19">
        <v>0</v>
      </c>
      <c r="AN7667" s="19">
        <v>223300</v>
      </c>
      <c r="AP7667" s="14">
        <v>223300</v>
      </c>
      <c r="AQ7667" s="12">
        <v>3.0000000000000001E-3</v>
      </c>
    </row>
    <row r="7668" spans="1:45" x14ac:dyDescent="0.2">
      <c r="A7668" s="122">
        <f t="shared" si="744"/>
        <v>6346</v>
      </c>
      <c r="B7668" s="13">
        <v>1</v>
      </c>
      <c r="C7668" s="17" t="s">
        <v>65</v>
      </c>
      <c r="D7668" s="17">
        <v>3860</v>
      </c>
      <c r="E7668" s="17">
        <v>215</v>
      </c>
      <c r="H7668" s="17">
        <v>0</v>
      </c>
      <c r="I7668" s="17">
        <v>0</v>
      </c>
      <c r="J7668" s="17">
        <v>84</v>
      </c>
      <c r="K7668" s="10">
        <v>84</v>
      </c>
      <c r="P7668" s="17">
        <v>1</v>
      </c>
      <c r="Q7668" s="19">
        <v>84</v>
      </c>
      <c r="R7668" s="14">
        <v>200</v>
      </c>
      <c r="S7668" s="19">
        <v>16800</v>
      </c>
      <c r="AJ7668" s="19">
        <v>0</v>
      </c>
      <c r="AK7668" s="23">
        <v>0</v>
      </c>
      <c r="AM7668" s="19">
        <v>0</v>
      </c>
      <c r="AN7668" s="19">
        <v>16800</v>
      </c>
      <c r="AP7668" s="14">
        <v>16800</v>
      </c>
      <c r="AQ7668" s="12">
        <v>1E-4</v>
      </c>
    </row>
    <row r="7669" spans="1:45" x14ac:dyDescent="0.2">
      <c r="A7669" s="122">
        <f t="shared" si="744"/>
        <v>6347</v>
      </c>
      <c r="B7669" s="13">
        <v>2</v>
      </c>
      <c r="C7669" s="17" t="s">
        <v>65</v>
      </c>
      <c r="D7669" s="17">
        <v>3861</v>
      </c>
      <c r="E7669" s="17">
        <v>215</v>
      </c>
      <c r="H7669" s="17">
        <v>0</v>
      </c>
      <c r="I7669" s="17">
        <v>0</v>
      </c>
      <c r="J7669" s="17">
        <v>44</v>
      </c>
      <c r="K7669" s="10">
        <v>44</v>
      </c>
      <c r="P7669" s="17">
        <v>1</v>
      </c>
      <c r="Q7669" s="19">
        <v>44</v>
      </c>
      <c r="R7669" s="14">
        <v>200</v>
      </c>
      <c r="S7669" s="19">
        <v>8800</v>
      </c>
      <c r="AJ7669" s="19">
        <v>0</v>
      </c>
      <c r="AK7669" s="23">
        <v>0</v>
      </c>
      <c r="AM7669" s="19">
        <v>0</v>
      </c>
      <c r="AN7669" s="19">
        <v>8800</v>
      </c>
      <c r="AP7669" s="14">
        <v>8800</v>
      </c>
      <c r="AQ7669" s="12">
        <v>1E-4</v>
      </c>
    </row>
    <row r="7670" spans="1:45" x14ac:dyDescent="0.2">
      <c r="A7670" s="122">
        <f t="shared" si="744"/>
        <v>6348</v>
      </c>
      <c r="B7670" s="13">
        <v>1</v>
      </c>
      <c r="C7670" s="17" t="s">
        <v>65</v>
      </c>
      <c r="D7670" s="17">
        <v>443</v>
      </c>
      <c r="E7670" s="17">
        <v>107</v>
      </c>
      <c r="H7670" s="17">
        <v>5</v>
      </c>
      <c r="I7670" s="17">
        <v>0</v>
      </c>
      <c r="J7670" s="17">
        <v>40</v>
      </c>
      <c r="K7670" s="10">
        <v>2040</v>
      </c>
      <c r="P7670" s="17">
        <v>1</v>
      </c>
      <c r="Q7670" s="19">
        <v>2040</v>
      </c>
      <c r="R7670" s="14">
        <v>160</v>
      </c>
      <c r="S7670" s="19">
        <v>326400</v>
      </c>
      <c r="AJ7670" s="19">
        <v>0</v>
      </c>
      <c r="AK7670" s="23">
        <v>0</v>
      </c>
      <c r="AM7670" s="19">
        <v>0</v>
      </c>
      <c r="AN7670" s="19">
        <v>326400</v>
      </c>
      <c r="AP7670" s="14">
        <v>326400</v>
      </c>
      <c r="AQ7670" s="12">
        <v>1E-4</v>
      </c>
    </row>
    <row r="7671" spans="1:45" x14ac:dyDescent="0.2">
      <c r="A7671" s="122">
        <f t="shared" si="744"/>
        <v>6349</v>
      </c>
      <c r="B7671" s="13">
        <v>2</v>
      </c>
      <c r="C7671" s="17" t="s">
        <v>65</v>
      </c>
      <c r="D7671" s="17">
        <v>2783</v>
      </c>
      <c r="E7671" s="17">
        <v>187</v>
      </c>
      <c r="H7671" s="17">
        <v>2</v>
      </c>
      <c r="I7671" s="17">
        <v>1</v>
      </c>
      <c r="J7671" s="17">
        <v>87</v>
      </c>
      <c r="K7671" s="10">
        <v>987</v>
      </c>
      <c r="P7671" s="17">
        <v>1</v>
      </c>
      <c r="Q7671" s="19">
        <v>987</v>
      </c>
      <c r="R7671" s="14">
        <v>160</v>
      </c>
      <c r="S7671" s="19">
        <v>157920</v>
      </c>
      <c r="AE7671" s="17" t="s">
        <v>95</v>
      </c>
      <c r="AJ7671" s="19">
        <v>0</v>
      </c>
      <c r="AK7671" s="23">
        <v>0</v>
      </c>
      <c r="AM7671" s="19">
        <v>0</v>
      </c>
      <c r="AN7671" s="19">
        <v>157920</v>
      </c>
      <c r="AP7671" s="14">
        <v>157920</v>
      </c>
      <c r="AQ7671" s="12">
        <v>1E-4</v>
      </c>
    </row>
    <row r="7672" spans="1:45" x14ac:dyDescent="0.2">
      <c r="A7672" s="122">
        <f t="shared" si="744"/>
        <v>6350</v>
      </c>
      <c r="B7672" s="13">
        <v>1</v>
      </c>
      <c r="C7672" s="17" t="s">
        <v>52</v>
      </c>
      <c r="D7672" s="17">
        <v>1805</v>
      </c>
      <c r="E7672" s="17">
        <v>76</v>
      </c>
      <c r="F7672" s="17">
        <v>1189</v>
      </c>
      <c r="G7672" s="13">
        <v>2</v>
      </c>
      <c r="H7672" s="17">
        <v>2</v>
      </c>
      <c r="I7672" s="17">
        <v>0</v>
      </c>
      <c r="J7672" s="17">
        <v>51</v>
      </c>
      <c r="K7672" s="10">
        <v>851</v>
      </c>
      <c r="P7672" s="17">
        <v>1</v>
      </c>
      <c r="Q7672" s="19">
        <v>851</v>
      </c>
      <c r="R7672" s="14">
        <v>160</v>
      </c>
      <c r="S7672" s="19">
        <v>136160</v>
      </c>
      <c r="AJ7672" s="19">
        <v>0</v>
      </c>
      <c r="AK7672" s="23">
        <v>0</v>
      </c>
      <c r="AM7672" s="19">
        <v>0</v>
      </c>
      <c r="AN7672" s="19">
        <v>136160</v>
      </c>
      <c r="AP7672" s="14">
        <v>136160</v>
      </c>
    </row>
    <row r="7673" spans="1:45" x14ac:dyDescent="0.2">
      <c r="A7673" s="122">
        <f t="shared" si="744"/>
        <v>6351</v>
      </c>
      <c r="B7673" s="13">
        <v>1</v>
      </c>
      <c r="C7673" s="17" t="s">
        <v>65</v>
      </c>
      <c r="D7673" s="17">
        <v>1333</v>
      </c>
      <c r="E7673" s="17">
        <v>47</v>
      </c>
      <c r="H7673" s="17">
        <v>15</v>
      </c>
      <c r="I7673" s="17">
        <v>2</v>
      </c>
      <c r="J7673" s="17">
        <v>0</v>
      </c>
      <c r="K7673" s="10">
        <v>6200</v>
      </c>
      <c r="P7673" s="17">
        <v>1</v>
      </c>
      <c r="Q7673" s="19">
        <v>6200</v>
      </c>
      <c r="R7673" s="14">
        <v>160</v>
      </c>
      <c r="S7673" s="19">
        <v>992000</v>
      </c>
      <c r="AJ7673" s="19">
        <v>0</v>
      </c>
      <c r="AK7673" s="23">
        <v>0</v>
      </c>
      <c r="AM7673" s="19">
        <v>0</v>
      </c>
      <c r="AN7673" s="19">
        <v>992000</v>
      </c>
      <c r="AP7673" s="14">
        <v>992000</v>
      </c>
      <c r="AQ7673" s="12">
        <v>1E-4</v>
      </c>
    </row>
    <row r="7674" spans="1:45" x14ac:dyDescent="0.2">
      <c r="A7674" s="122">
        <f t="shared" si="744"/>
        <v>6352</v>
      </c>
      <c r="B7674" s="13">
        <v>1</v>
      </c>
      <c r="C7674" s="17" t="s">
        <v>52</v>
      </c>
      <c r="D7674" s="17">
        <v>30971</v>
      </c>
      <c r="E7674" s="17">
        <v>109</v>
      </c>
      <c r="F7674" s="17">
        <v>5923</v>
      </c>
      <c r="G7674" s="13">
        <v>2</v>
      </c>
      <c r="H7674" s="17">
        <v>4</v>
      </c>
      <c r="I7674" s="17">
        <v>3</v>
      </c>
      <c r="J7674" s="17">
        <v>5.09</v>
      </c>
      <c r="K7674" s="10">
        <v>1905</v>
      </c>
      <c r="P7674" s="17">
        <v>1</v>
      </c>
      <c r="Q7674" s="19">
        <v>1905.09</v>
      </c>
      <c r="R7674" s="14">
        <v>160</v>
      </c>
      <c r="S7674" s="19">
        <v>304814.39999999997</v>
      </c>
      <c r="AJ7674" s="19">
        <v>0</v>
      </c>
      <c r="AK7674" s="23">
        <v>0</v>
      </c>
      <c r="AM7674" s="19">
        <v>0</v>
      </c>
      <c r="AN7674" s="19">
        <v>304814.39999999997</v>
      </c>
      <c r="AP7674" s="14">
        <v>304814.39999999997</v>
      </c>
      <c r="AS7674" s="26">
        <v>69</v>
      </c>
    </row>
    <row r="7675" spans="1:45" x14ac:dyDescent="0.2">
      <c r="A7675" s="122">
        <f t="shared" si="744"/>
        <v>6353</v>
      </c>
      <c r="B7675" s="13">
        <v>2</v>
      </c>
      <c r="C7675" s="17" t="s">
        <v>52</v>
      </c>
      <c r="D7675" s="17">
        <v>30972</v>
      </c>
      <c r="E7675" s="17">
        <v>110</v>
      </c>
      <c r="F7675" s="17">
        <v>5924</v>
      </c>
      <c r="G7675" s="13">
        <v>2</v>
      </c>
      <c r="H7675" s="17">
        <v>3</v>
      </c>
      <c r="I7675" s="17">
        <v>1</v>
      </c>
      <c r="J7675" s="17">
        <v>23.07</v>
      </c>
      <c r="K7675" s="10">
        <v>1323</v>
      </c>
      <c r="P7675" s="17">
        <v>1</v>
      </c>
      <c r="Q7675" s="19">
        <v>1323.07</v>
      </c>
      <c r="R7675" s="14">
        <v>160</v>
      </c>
      <c r="S7675" s="19">
        <v>211691.19999999998</v>
      </c>
      <c r="AJ7675" s="19">
        <v>0</v>
      </c>
      <c r="AK7675" s="23">
        <v>0</v>
      </c>
      <c r="AM7675" s="19">
        <v>0</v>
      </c>
      <c r="AN7675" s="19">
        <v>211691.19999999998</v>
      </c>
      <c r="AP7675" s="14">
        <v>211691.19999999998</v>
      </c>
    </row>
    <row r="7676" spans="1:45" ht="42" x14ac:dyDescent="0.2">
      <c r="A7676" s="122">
        <f t="shared" si="744"/>
        <v>6354</v>
      </c>
      <c r="B7676" s="13">
        <v>3</v>
      </c>
      <c r="C7676" s="17" t="s">
        <v>52</v>
      </c>
      <c r="D7676" s="17">
        <v>1193</v>
      </c>
      <c r="E7676" s="17">
        <v>13</v>
      </c>
      <c r="F7676" s="17">
        <v>911</v>
      </c>
      <c r="H7676" s="17">
        <v>0</v>
      </c>
      <c r="I7676" s="17">
        <v>1</v>
      </c>
      <c r="J7676" s="17">
        <v>4</v>
      </c>
      <c r="L7676" s="17" t="s">
        <v>786</v>
      </c>
      <c r="P7676" s="17">
        <v>2</v>
      </c>
      <c r="Q7676" s="19">
        <v>104</v>
      </c>
      <c r="R7676" s="14">
        <v>1500</v>
      </c>
      <c r="S7676" s="19">
        <v>156000</v>
      </c>
      <c r="T7676" s="17">
        <v>1</v>
      </c>
      <c r="V7676" s="17" t="s">
        <v>183</v>
      </c>
      <c r="W7676" s="4">
        <v>105</v>
      </c>
      <c r="Y7676" s="4">
        <v>105</v>
      </c>
      <c r="AB7676" s="17">
        <v>10</v>
      </c>
      <c r="AJ7676" s="19">
        <v>0</v>
      </c>
      <c r="AK7676" s="23">
        <v>10</v>
      </c>
      <c r="AM7676" s="19">
        <v>0</v>
      </c>
      <c r="AN7676" s="19">
        <v>156000</v>
      </c>
      <c r="AP7676" s="14">
        <v>156000</v>
      </c>
    </row>
    <row r="7677" spans="1:45" x14ac:dyDescent="0.2">
      <c r="A7677" s="122">
        <f t="shared" si="744"/>
        <v>6355</v>
      </c>
      <c r="B7677" s="13">
        <v>4</v>
      </c>
      <c r="C7677" s="17" t="s">
        <v>52</v>
      </c>
      <c r="D7677" s="17">
        <v>1451</v>
      </c>
      <c r="E7677" s="17">
        <v>7</v>
      </c>
      <c r="F7677" s="17">
        <v>920</v>
      </c>
      <c r="H7677" s="17">
        <v>7</v>
      </c>
      <c r="I7677" s="17">
        <v>1</v>
      </c>
      <c r="J7677" s="17">
        <v>12</v>
      </c>
      <c r="K7677" s="10">
        <v>2912</v>
      </c>
      <c r="P7677" s="17">
        <v>1</v>
      </c>
      <c r="Q7677" s="19">
        <v>2912</v>
      </c>
      <c r="R7677" s="14">
        <v>160</v>
      </c>
      <c r="S7677" s="19">
        <v>465920</v>
      </c>
      <c r="AJ7677" s="19">
        <v>0</v>
      </c>
      <c r="AK7677" s="23">
        <v>0</v>
      </c>
      <c r="AM7677" s="19">
        <v>0</v>
      </c>
      <c r="AN7677" s="19">
        <v>465920</v>
      </c>
      <c r="AP7677" s="14">
        <v>465920</v>
      </c>
    </row>
    <row r="7678" spans="1:45" x14ac:dyDescent="0.2">
      <c r="A7678" s="122">
        <f t="shared" si="744"/>
        <v>6356</v>
      </c>
      <c r="B7678" s="13">
        <v>5</v>
      </c>
      <c r="C7678" s="17" t="s">
        <v>52</v>
      </c>
      <c r="D7678" s="17">
        <v>1866</v>
      </c>
      <c r="E7678" s="17">
        <v>113</v>
      </c>
      <c r="F7678" s="17">
        <v>1256</v>
      </c>
      <c r="H7678" s="17">
        <v>7</v>
      </c>
      <c r="I7678" s="17">
        <v>1</v>
      </c>
      <c r="J7678" s="17">
        <v>80</v>
      </c>
      <c r="K7678" s="10">
        <v>2980</v>
      </c>
      <c r="P7678" s="17">
        <v>1</v>
      </c>
      <c r="Q7678" s="19">
        <v>2980</v>
      </c>
      <c r="R7678" s="14">
        <v>160</v>
      </c>
      <c r="S7678" s="19">
        <v>476800</v>
      </c>
      <c r="AJ7678" s="19">
        <v>0</v>
      </c>
      <c r="AK7678" s="23">
        <v>0</v>
      </c>
      <c r="AM7678" s="19">
        <v>0</v>
      </c>
      <c r="AN7678" s="19">
        <v>476800</v>
      </c>
      <c r="AP7678" s="14">
        <v>476800</v>
      </c>
    </row>
    <row r="7679" spans="1:45" x14ac:dyDescent="0.2">
      <c r="A7679" s="122">
        <f t="shared" si="744"/>
        <v>6357</v>
      </c>
      <c r="B7679" s="13">
        <v>6</v>
      </c>
      <c r="C7679" s="17" t="s">
        <v>69</v>
      </c>
      <c r="E7679" s="17">
        <v>151</v>
      </c>
      <c r="F7679" s="17">
        <v>3</v>
      </c>
      <c r="G7679" s="13">
        <v>2</v>
      </c>
      <c r="H7679" s="17">
        <v>2</v>
      </c>
      <c r="I7679" s="17">
        <v>3</v>
      </c>
      <c r="J7679" s="17">
        <v>70</v>
      </c>
      <c r="K7679" s="10">
        <v>1170</v>
      </c>
      <c r="P7679" s="17">
        <v>1</v>
      </c>
      <c r="Q7679" s="19">
        <v>1170</v>
      </c>
      <c r="R7679" s="14">
        <v>160</v>
      </c>
      <c r="S7679" s="19">
        <v>187200</v>
      </c>
      <c r="AJ7679" s="19">
        <v>0</v>
      </c>
      <c r="AK7679" s="23">
        <v>0</v>
      </c>
      <c r="AM7679" s="19">
        <v>0</v>
      </c>
      <c r="AN7679" s="19">
        <v>187200</v>
      </c>
      <c r="AP7679" s="14">
        <v>187200</v>
      </c>
      <c r="AQ7679" s="12">
        <v>1E-4</v>
      </c>
    </row>
    <row r="7680" spans="1:45" x14ac:dyDescent="0.2">
      <c r="A7680" s="122">
        <f t="shared" si="744"/>
        <v>6358</v>
      </c>
      <c r="B7680" s="13">
        <v>7</v>
      </c>
      <c r="C7680" s="17" t="s">
        <v>69</v>
      </c>
      <c r="E7680" s="17">
        <v>1520</v>
      </c>
      <c r="F7680" s="17">
        <v>3</v>
      </c>
      <c r="G7680" s="13">
        <v>2</v>
      </c>
      <c r="H7680" s="17">
        <v>4</v>
      </c>
      <c r="I7680" s="17">
        <v>1</v>
      </c>
      <c r="J7680" s="17">
        <v>11</v>
      </c>
      <c r="K7680" s="10">
        <v>1711</v>
      </c>
      <c r="P7680" s="17">
        <v>1</v>
      </c>
      <c r="Q7680" s="19">
        <v>1711</v>
      </c>
      <c r="R7680" s="14">
        <v>200</v>
      </c>
      <c r="S7680" s="19">
        <v>342200</v>
      </c>
      <c r="AJ7680" s="19">
        <v>0</v>
      </c>
      <c r="AK7680" s="23">
        <v>0</v>
      </c>
      <c r="AM7680" s="19">
        <v>0</v>
      </c>
      <c r="AN7680" s="19">
        <v>342200</v>
      </c>
      <c r="AP7680" s="14">
        <v>342200</v>
      </c>
      <c r="AQ7680" s="12">
        <v>1E-4</v>
      </c>
    </row>
    <row r="7681" spans="1:49" x14ac:dyDescent="0.2">
      <c r="A7681" s="122">
        <f t="shared" si="744"/>
        <v>6359</v>
      </c>
      <c r="B7681" s="13">
        <v>6</v>
      </c>
      <c r="C7681" s="17" t="s">
        <v>65</v>
      </c>
      <c r="D7681" s="17">
        <v>873</v>
      </c>
      <c r="E7681" s="17">
        <v>153</v>
      </c>
      <c r="H7681" s="17">
        <v>5</v>
      </c>
      <c r="I7681" s="17">
        <v>2</v>
      </c>
      <c r="J7681" s="17">
        <v>70</v>
      </c>
      <c r="K7681" s="10">
        <v>2270</v>
      </c>
      <c r="P7681" s="17">
        <v>1</v>
      </c>
      <c r="Q7681" s="19">
        <v>2270</v>
      </c>
      <c r="R7681" s="14">
        <v>160</v>
      </c>
      <c r="S7681" s="19">
        <v>363200</v>
      </c>
      <c r="AE7681" s="17" t="s">
        <v>160</v>
      </c>
      <c r="AJ7681" s="19">
        <v>0</v>
      </c>
      <c r="AK7681" s="23">
        <v>0</v>
      </c>
      <c r="AM7681" s="19">
        <v>0</v>
      </c>
      <c r="AN7681" s="19">
        <v>363200</v>
      </c>
      <c r="AP7681" s="14">
        <v>363200</v>
      </c>
      <c r="AQ7681" s="12">
        <v>1E-4</v>
      </c>
    </row>
    <row r="7682" spans="1:49" x14ac:dyDescent="0.2">
      <c r="A7682" s="122">
        <f t="shared" si="744"/>
        <v>6360</v>
      </c>
      <c r="B7682" s="13">
        <v>7</v>
      </c>
      <c r="C7682" s="17" t="s">
        <v>65</v>
      </c>
      <c r="D7682" s="17">
        <v>1005</v>
      </c>
      <c r="E7682" s="17">
        <v>154</v>
      </c>
      <c r="H7682" s="17">
        <v>3</v>
      </c>
      <c r="I7682" s="17">
        <v>3</v>
      </c>
      <c r="J7682" s="17">
        <v>51</v>
      </c>
      <c r="K7682" s="10">
        <v>1551</v>
      </c>
      <c r="P7682" s="17">
        <v>1</v>
      </c>
      <c r="Q7682" s="19">
        <v>1551</v>
      </c>
      <c r="R7682" s="14">
        <v>160</v>
      </c>
      <c r="S7682" s="19">
        <v>248160</v>
      </c>
      <c r="AE7682" s="17" t="s">
        <v>160</v>
      </c>
      <c r="AJ7682" s="19">
        <v>0</v>
      </c>
      <c r="AK7682" s="23">
        <v>0</v>
      </c>
      <c r="AM7682" s="19">
        <v>0</v>
      </c>
      <c r="AN7682" s="19">
        <v>248160</v>
      </c>
      <c r="AP7682" s="14">
        <v>248160</v>
      </c>
      <c r="AQ7682" s="12">
        <v>1E-4</v>
      </c>
    </row>
    <row r="7683" spans="1:49" x14ac:dyDescent="0.2">
      <c r="A7683" s="122">
        <f t="shared" si="744"/>
        <v>6361</v>
      </c>
      <c r="B7683" s="13">
        <v>1</v>
      </c>
      <c r="C7683" s="17" t="s">
        <v>69</v>
      </c>
      <c r="E7683" s="17">
        <v>168</v>
      </c>
      <c r="F7683" s="17">
        <v>8</v>
      </c>
      <c r="G7683" s="13">
        <v>1</v>
      </c>
      <c r="H7683" s="17">
        <v>23</v>
      </c>
      <c r="I7683" s="17">
        <v>0</v>
      </c>
      <c r="J7683" s="17">
        <v>78</v>
      </c>
      <c r="K7683" s="10">
        <v>9278</v>
      </c>
      <c r="P7683" s="17">
        <v>1</v>
      </c>
      <c r="Q7683" s="19">
        <v>9278</v>
      </c>
      <c r="R7683" s="14">
        <v>160</v>
      </c>
      <c r="S7683" s="19">
        <v>1484480</v>
      </c>
      <c r="AJ7683" s="19">
        <v>0</v>
      </c>
      <c r="AK7683" s="23">
        <v>0</v>
      </c>
      <c r="AM7683" s="19">
        <v>0</v>
      </c>
      <c r="AN7683" s="19">
        <v>1484480</v>
      </c>
      <c r="AP7683" s="14">
        <v>1484480</v>
      </c>
      <c r="AQ7683" s="12">
        <v>1E-4</v>
      </c>
    </row>
    <row r="7684" spans="1:49" x14ac:dyDescent="0.2">
      <c r="A7684" s="122">
        <f t="shared" si="744"/>
        <v>6362</v>
      </c>
      <c r="B7684" s="13">
        <v>1</v>
      </c>
      <c r="C7684" s="17" t="s">
        <v>52</v>
      </c>
      <c r="D7684" s="17">
        <v>5002</v>
      </c>
      <c r="E7684" s="17">
        <v>1</v>
      </c>
      <c r="F7684" s="17">
        <v>2686</v>
      </c>
      <c r="G7684" s="13">
        <v>7</v>
      </c>
      <c r="H7684" s="17">
        <v>4</v>
      </c>
      <c r="I7684" s="17">
        <v>1</v>
      </c>
      <c r="J7684" s="17">
        <v>22</v>
      </c>
      <c r="N7684" s="18">
        <v>1722</v>
      </c>
      <c r="P7684" s="17">
        <v>4</v>
      </c>
      <c r="Q7684" s="19">
        <v>1722</v>
      </c>
      <c r="R7684" s="14">
        <v>160</v>
      </c>
      <c r="S7684" s="19">
        <v>275520</v>
      </c>
      <c r="AJ7684" s="19">
        <v>0</v>
      </c>
      <c r="AK7684" s="23">
        <v>0</v>
      </c>
      <c r="AM7684" s="19">
        <v>0</v>
      </c>
      <c r="AN7684" s="19">
        <v>275520</v>
      </c>
      <c r="AP7684" s="14">
        <v>275520</v>
      </c>
      <c r="AQ7684" s="12">
        <v>3.0000000000000001E-3</v>
      </c>
    </row>
    <row r="7685" spans="1:49" x14ac:dyDescent="0.2">
      <c r="A7685" s="122">
        <f t="shared" si="744"/>
        <v>6363</v>
      </c>
      <c r="B7685" s="13">
        <v>2</v>
      </c>
      <c r="C7685" s="17" t="s">
        <v>52</v>
      </c>
      <c r="D7685" s="17">
        <v>31221</v>
      </c>
      <c r="E7685" s="17">
        <v>79</v>
      </c>
      <c r="F7685" s="17">
        <v>6198</v>
      </c>
      <c r="G7685" s="13">
        <v>7</v>
      </c>
      <c r="H7685" s="17">
        <v>0</v>
      </c>
      <c r="I7685" s="17">
        <v>0</v>
      </c>
      <c r="J7685" s="17">
        <v>38</v>
      </c>
      <c r="K7685" s="10">
        <v>38</v>
      </c>
      <c r="P7685" s="17">
        <v>4</v>
      </c>
      <c r="Q7685" s="19">
        <v>38</v>
      </c>
      <c r="R7685" s="14">
        <v>1000</v>
      </c>
      <c r="S7685" s="19">
        <v>38000</v>
      </c>
      <c r="AJ7685" s="19">
        <v>0</v>
      </c>
      <c r="AK7685" s="23">
        <v>0</v>
      </c>
      <c r="AM7685" s="19">
        <v>0</v>
      </c>
      <c r="AN7685" s="19">
        <v>38000</v>
      </c>
      <c r="AP7685" s="14">
        <v>38000</v>
      </c>
      <c r="AQ7685" s="12">
        <v>3.0000000000000001E-3</v>
      </c>
    </row>
    <row r="7686" spans="1:49" x14ac:dyDescent="0.2">
      <c r="A7686" s="122">
        <f t="shared" si="744"/>
        <v>6364</v>
      </c>
      <c r="B7686" s="13">
        <v>3</v>
      </c>
      <c r="C7686" s="17" t="s">
        <v>52</v>
      </c>
      <c r="D7686" s="17">
        <v>31224</v>
      </c>
      <c r="E7686" s="17">
        <v>82</v>
      </c>
      <c r="F7686" s="17">
        <v>6201</v>
      </c>
      <c r="G7686" s="13">
        <v>7</v>
      </c>
      <c r="H7686" s="17">
        <v>0</v>
      </c>
      <c r="I7686" s="17">
        <v>0</v>
      </c>
      <c r="J7686" s="17">
        <v>37</v>
      </c>
      <c r="K7686" s="10">
        <v>37</v>
      </c>
      <c r="P7686" s="17">
        <v>4</v>
      </c>
      <c r="Q7686" s="19">
        <v>37</v>
      </c>
      <c r="R7686" s="14">
        <v>1000</v>
      </c>
      <c r="S7686" s="19">
        <v>37000</v>
      </c>
      <c r="AJ7686" s="19">
        <v>0</v>
      </c>
      <c r="AK7686" s="23">
        <v>0</v>
      </c>
      <c r="AM7686" s="19">
        <v>0</v>
      </c>
      <c r="AN7686" s="19">
        <v>37000</v>
      </c>
      <c r="AP7686" s="14">
        <v>37000</v>
      </c>
      <c r="AQ7686" s="12">
        <v>3.0000000000000001E-3</v>
      </c>
    </row>
    <row r="7687" spans="1:49" x14ac:dyDescent="0.2">
      <c r="A7687" s="122">
        <f t="shared" si="744"/>
        <v>6365</v>
      </c>
      <c r="B7687" s="13">
        <v>1</v>
      </c>
      <c r="C7687" s="17" t="s">
        <v>52</v>
      </c>
      <c r="D7687" s="17">
        <v>30442</v>
      </c>
      <c r="E7687" s="17">
        <v>46</v>
      </c>
      <c r="F7687" s="17">
        <v>5848</v>
      </c>
      <c r="G7687" s="13">
        <v>7</v>
      </c>
      <c r="H7687" s="17">
        <v>0</v>
      </c>
      <c r="I7687" s="17">
        <v>0</v>
      </c>
      <c r="J7687" s="17">
        <v>37</v>
      </c>
      <c r="K7687" s="10">
        <v>37</v>
      </c>
      <c r="P7687" s="17">
        <v>4</v>
      </c>
      <c r="Q7687" s="19">
        <v>37</v>
      </c>
      <c r="R7687" s="14">
        <v>1000</v>
      </c>
      <c r="S7687" s="19">
        <v>37000</v>
      </c>
      <c r="AJ7687" s="19">
        <v>0</v>
      </c>
      <c r="AK7687" s="23">
        <v>0</v>
      </c>
      <c r="AM7687" s="19">
        <v>0</v>
      </c>
      <c r="AN7687" s="19">
        <v>37000</v>
      </c>
      <c r="AP7687" s="14">
        <v>37000</v>
      </c>
      <c r="AQ7687" s="12">
        <v>3.0000000000000001E-3</v>
      </c>
    </row>
    <row r="7688" spans="1:49" x14ac:dyDescent="0.2">
      <c r="A7688" s="122">
        <f t="shared" si="744"/>
        <v>6366</v>
      </c>
      <c r="B7688" s="13">
        <v>2</v>
      </c>
      <c r="C7688" s="17" t="s">
        <v>52</v>
      </c>
      <c r="D7688" s="17">
        <v>31216</v>
      </c>
      <c r="E7688" s="17">
        <v>74</v>
      </c>
      <c r="F7688" s="17">
        <v>6193</v>
      </c>
      <c r="G7688" s="13">
        <v>7</v>
      </c>
      <c r="H7688" s="17">
        <v>0</v>
      </c>
      <c r="I7688" s="17">
        <v>0</v>
      </c>
      <c r="J7688" s="17">
        <v>75</v>
      </c>
      <c r="N7688" s="18">
        <v>75</v>
      </c>
      <c r="P7688" s="17">
        <v>4</v>
      </c>
      <c r="Q7688" s="19">
        <v>75</v>
      </c>
      <c r="R7688" s="14">
        <v>1000</v>
      </c>
      <c r="S7688" s="19">
        <v>75000</v>
      </c>
      <c r="AJ7688" s="19">
        <v>0</v>
      </c>
      <c r="AK7688" s="23">
        <v>0</v>
      </c>
      <c r="AM7688" s="19">
        <v>0</v>
      </c>
      <c r="AN7688" s="19">
        <v>75000</v>
      </c>
      <c r="AP7688" s="14">
        <v>75000</v>
      </c>
      <c r="AQ7688" s="12">
        <v>3.0000000000000001E-3</v>
      </c>
    </row>
    <row r="7689" spans="1:49" ht="42" x14ac:dyDescent="0.2">
      <c r="A7689" s="122">
        <f t="shared" si="744"/>
        <v>6367</v>
      </c>
      <c r="B7689" s="13">
        <v>1</v>
      </c>
      <c r="C7689" s="17" t="s">
        <v>52</v>
      </c>
      <c r="D7689" s="17">
        <v>4237</v>
      </c>
      <c r="E7689" s="17">
        <v>75</v>
      </c>
      <c r="F7689" s="17">
        <v>2753</v>
      </c>
      <c r="G7689" s="13">
        <v>1</v>
      </c>
      <c r="H7689" s="17">
        <v>0</v>
      </c>
      <c r="I7689" s="17">
        <v>2</v>
      </c>
      <c r="J7689" s="17">
        <v>62.08</v>
      </c>
      <c r="K7689" s="10">
        <v>262</v>
      </c>
      <c r="P7689" s="17">
        <v>1</v>
      </c>
      <c r="Q7689" s="19">
        <v>262.08</v>
      </c>
      <c r="R7689" s="14">
        <v>200</v>
      </c>
      <c r="S7689" s="19">
        <v>52416</v>
      </c>
      <c r="AJ7689" s="19">
        <v>0</v>
      </c>
      <c r="AK7689" s="23">
        <v>0</v>
      </c>
      <c r="AM7689" s="19">
        <v>0</v>
      </c>
      <c r="AN7689" s="19">
        <v>52416</v>
      </c>
      <c r="AP7689" s="14">
        <v>52416</v>
      </c>
      <c r="AS7689" s="26" t="s">
        <v>648</v>
      </c>
    </row>
    <row r="7690" spans="1:49" x14ac:dyDescent="0.2">
      <c r="A7690" s="122">
        <f t="shared" si="744"/>
        <v>6368</v>
      </c>
      <c r="B7690" s="13">
        <v>1</v>
      </c>
      <c r="C7690" s="17" t="s">
        <v>52</v>
      </c>
      <c r="D7690" s="17">
        <v>2511</v>
      </c>
      <c r="E7690" s="17">
        <v>99</v>
      </c>
      <c r="F7690" s="17">
        <v>1518</v>
      </c>
      <c r="H7690" s="17">
        <v>3</v>
      </c>
      <c r="I7690" s="17">
        <v>2</v>
      </c>
      <c r="J7690" s="17">
        <v>63</v>
      </c>
      <c r="K7690" s="10">
        <v>1463</v>
      </c>
      <c r="P7690" s="17">
        <v>1</v>
      </c>
      <c r="Q7690" s="19">
        <v>1463</v>
      </c>
      <c r="R7690" s="14">
        <v>160</v>
      </c>
      <c r="S7690" s="19">
        <v>234080</v>
      </c>
      <c r="AJ7690" s="19">
        <v>0</v>
      </c>
      <c r="AK7690" s="23">
        <v>0</v>
      </c>
      <c r="AM7690" s="19">
        <v>0</v>
      </c>
      <c r="AN7690" s="19">
        <v>234080</v>
      </c>
      <c r="AP7690" s="14">
        <v>234080</v>
      </c>
      <c r="AS7690" s="26">
        <v>112</v>
      </c>
      <c r="AW7690" s="14" t="s">
        <v>277</v>
      </c>
    </row>
    <row r="7691" spans="1:49" x14ac:dyDescent="0.2">
      <c r="A7691" s="122">
        <f t="shared" si="744"/>
        <v>6369</v>
      </c>
      <c r="B7691" s="13">
        <v>2</v>
      </c>
      <c r="C7691" s="17" t="s">
        <v>52</v>
      </c>
      <c r="D7691" s="17">
        <v>4041</v>
      </c>
      <c r="E7691" s="17">
        <v>58</v>
      </c>
      <c r="F7691" s="17">
        <v>2150</v>
      </c>
      <c r="G7691" s="13">
        <v>2</v>
      </c>
      <c r="H7691" s="17">
        <v>1</v>
      </c>
      <c r="I7691" s="17">
        <v>1</v>
      </c>
      <c r="J7691" s="17">
        <v>63</v>
      </c>
      <c r="K7691" s="10">
        <v>563</v>
      </c>
      <c r="P7691" s="17">
        <v>1</v>
      </c>
      <c r="Q7691" s="19">
        <v>563</v>
      </c>
      <c r="R7691" s="14">
        <v>200</v>
      </c>
      <c r="S7691" s="19">
        <v>112600</v>
      </c>
      <c r="AJ7691" s="19">
        <v>0</v>
      </c>
      <c r="AK7691" s="23">
        <v>0</v>
      </c>
      <c r="AM7691" s="19">
        <v>0</v>
      </c>
      <c r="AN7691" s="19">
        <v>112600</v>
      </c>
      <c r="AP7691" s="14">
        <v>112600</v>
      </c>
    </row>
    <row r="7692" spans="1:49" x14ac:dyDescent="0.2">
      <c r="A7692" s="122">
        <f t="shared" si="744"/>
        <v>6370</v>
      </c>
      <c r="B7692" s="13">
        <v>3</v>
      </c>
      <c r="C7692" s="17" t="s">
        <v>65</v>
      </c>
      <c r="D7692" s="17">
        <v>1788</v>
      </c>
      <c r="E7692" s="17">
        <v>131</v>
      </c>
      <c r="H7692" s="17">
        <v>6</v>
      </c>
      <c r="I7692" s="17">
        <v>0</v>
      </c>
      <c r="J7692" s="17">
        <v>86</v>
      </c>
      <c r="K7692" s="10">
        <v>2486</v>
      </c>
      <c r="P7692" s="17">
        <v>1</v>
      </c>
      <c r="Q7692" s="19">
        <v>2486</v>
      </c>
      <c r="R7692" s="14">
        <v>380</v>
      </c>
      <c r="S7692" s="19">
        <v>944680</v>
      </c>
      <c r="AJ7692" s="19">
        <v>0</v>
      </c>
      <c r="AK7692" s="23">
        <v>0</v>
      </c>
      <c r="AM7692" s="19">
        <v>0</v>
      </c>
      <c r="AN7692" s="19">
        <v>944680</v>
      </c>
      <c r="AP7692" s="14">
        <v>944680</v>
      </c>
      <c r="AQ7692" s="12">
        <v>1E-4</v>
      </c>
    </row>
    <row r="7693" spans="1:49" x14ac:dyDescent="0.2">
      <c r="B7693" s="13">
        <v>2</v>
      </c>
      <c r="C7693" s="17" t="s">
        <v>97</v>
      </c>
      <c r="D7693" s="17">
        <v>383</v>
      </c>
      <c r="G7693" s="13">
        <v>2</v>
      </c>
      <c r="H7693" s="17">
        <v>0</v>
      </c>
      <c r="I7693" s="17">
        <v>1</v>
      </c>
      <c r="J7693" s="17">
        <v>50</v>
      </c>
      <c r="K7693" s="10">
        <v>150</v>
      </c>
      <c r="P7693" s="17">
        <v>1</v>
      </c>
      <c r="Q7693" s="19">
        <v>150</v>
      </c>
      <c r="R7693" s="14" t="e">
        <v>#N/A</v>
      </c>
      <c r="S7693" s="19" t="e">
        <v>#N/A</v>
      </c>
      <c r="AJ7693" s="19">
        <v>0</v>
      </c>
      <c r="AK7693" s="23">
        <v>0</v>
      </c>
      <c r="AM7693" s="19">
        <v>0</v>
      </c>
      <c r="AN7693" s="19" t="e">
        <v>#N/A</v>
      </c>
      <c r="AP7693" s="14" t="e">
        <v>#N/A</v>
      </c>
      <c r="AQ7693" s="12">
        <v>1E-4</v>
      </c>
    </row>
    <row r="7694" spans="1:49" x14ac:dyDescent="0.2">
      <c r="B7694" s="13">
        <v>4</v>
      </c>
      <c r="C7694" s="17" t="s">
        <v>65</v>
      </c>
      <c r="D7694" s="17">
        <v>676</v>
      </c>
      <c r="E7694" s="17">
        <v>204</v>
      </c>
      <c r="H7694" s="17">
        <v>0</v>
      </c>
      <c r="I7694" s="17">
        <v>0</v>
      </c>
      <c r="J7694" s="17">
        <v>60</v>
      </c>
      <c r="K7694" s="10">
        <v>60</v>
      </c>
      <c r="P7694" s="17">
        <v>1</v>
      </c>
      <c r="Q7694" s="19">
        <v>60</v>
      </c>
      <c r="R7694" s="14" t="e">
        <v>#N/A</v>
      </c>
      <c r="S7694" s="19" t="e">
        <v>#N/A</v>
      </c>
      <c r="AJ7694" s="19">
        <v>0</v>
      </c>
      <c r="AK7694" s="23">
        <v>0</v>
      </c>
      <c r="AM7694" s="19">
        <v>0</v>
      </c>
      <c r="AN7694" s="19" t="e">
        <v>#N/A</v>
      </c>
      <c r="AP7694" s="14" t="e">
        <v>#N/A</v>
      </c>
      <c r="AQ7694" s="12">
        <v>1E-4</v>
      </c>
    </row>
    <row r="7696" spans="1:49" x14ac:dyDescent="0.2">
      <c r="A7696" s="2">
        <v>6371</v>
      </c>
      <c r="B7696" s="13">
        <v>1</v>
      </c>
      <c r="C7696" s="17" t="s">
        <v>52</v>
      </c>
      <c r="D7696" s="17">
        <v>31210</v>
      </c>
      <c r="E7696" s="17">
        <v>68</v>
      </c>
      <c r="F7696" s="17">
        <v>6187</v>
      </c>
      <c r="G7696" s="13">
        <v>7</v>
      </c>
      <c r="H7696" s="17">
        <v>0</v>
      </c>
      <c r="I7696" s="17">
        <v>0</v>
      </c>
      <c r="J7696" s="17">
        <v>75</v>
      </c>
      <c r="N7696" s="18">
        <v>75</v>
      </c>
      <c r="P7696" s="17">
        <v>4</v>
      </c>
      <c r="Q7696" s="19">
        <v>75</v>
      </c>
      <c r="R7696" s="14">
        <v>1000</v>
      </c>
      <c r="S7696" s="19">
        <v>75000</v>
      </c>
      <c r="AJ7696" s="19">
        <v>0</v>
      </c>
      <c r="AK7696" s="23">
        <v>0</v>
      </c>
      <c r="AM7696" s="19">
        <v>0</v>
      </c>
      <c r="AN7696" s="19">
        <v>75000</v>
      </c>
      <c r="AP7696" s="14">
        <v>75000</v>
      </c>
      <c r="AQ7696" s="12">
        <v>3.0000000000000001E-3</v>
      </c>
    </row>
    <row r="7697" spans="1:45" x14ac:dyDescent="0.2">
      <c r="A7697" s="2">
        <f>+A7696+1</f>
        <v>6372</v>
      </c>
      <c r="B7697" s="13">
        <v>1</v>
      </c>
      <c r="C7697" s="17" t="s">
        <v>52</v>
      </c>
      <c r="D7697" s="17">
        <v>2414</v>
      </c>
      <c r="E7697" s="17">
        <v>55</v>
      </c>
      <c r="F7697" s="17">
        <v>1758</v>
      </c>
      <c r="G7697" s="13">
        <v>4</v>
      </c>
      <c r="H7697" s="17">
        <v>0</v>
      </c>
      <c r="I7697" s="17">
        <v>0</v>
      </c>
      <c r="J7697" s="17">
        <v>35</v>
      </c>
      <c r="K7697" s="10">
        <v>35</v>
      </c>
      <c r="P7697" s="17">
        <v>1</v>
      </c>
      <c r="Q7697" s="19">
        <v>35</v>
      </c>
      <c r="R7697" s="14">
        <v>250</v>
      </c>
      <c r="S7697" s="19">
        <v>8750</v>
      </c>
      <c r="AJ7697" s="19">
        <v>0</v>
      </c>
      <c r="AK7697" s="23">
        <v>0</v>
      </c>
      <c r="AM7697" s="19">
        <v>0</v>
      </c>
      <c r="AN7697" s="19">
        <v>8750</v>
      </c>
      <c r="AP7697" s="14">
        <v>8750</v>
      </c>
    </row>
    <row r="7698" spans="1:45" ht="42" x14ac:dyDescent="0.2">
      <c r="A7698" s="122">
        <f>+A7697+1</f>
        <v>6373</v>
      </c>
      <c r="B7698" s="13">
        <v>1</v>
      </c>
      <c r="C7698" s="17" t="s">
        <v>52</v>
      </c>
      <c r="D7698" s="17">
        <v>2364</v>
      </c>
      <c r="E7698" s="17">
        <v>54</v>
      </c>
      <c r="F7698" s="17">
        <v>1757</v>
      </c>
      <c r="G7698" s="13">
        <v>4</v>
      </c>
      <c r="H7698" s="17">
        <v>0</v>
      </c>
      <c r="I7698" s="17">
        <v>0</v>
      </c>
      <c r="J7698" s="17">
        <v>35</v>
      </c>
      <c r="L7698" s="17" t="s">
        <v>615</v>
      </c>
      <c r="P7698" s="17">
        <v>2</v>
      </c>
      <c r="Q7698" s="19">
        <v>35</v>
      </c>
      <c r="R7698" s="14">
        <v>250</v>
      </c>
      <c r="S7698" s="19">
        <v>8750</v>
      </c>
      <c r="T7698" s="17">
        <v>1</v>
      </c>
      <c r="V7698" s="17" t="s">
        <v>183</v>
      </c>
      <c r="W7698" s="4">
        <v>96</v>
      </c>
      <c r="Y7698" s="4">
        <v>96</v>
      </c>
      <c r="AB7698" s="17">
        <v>16</v>
      </c>
      <c r="AJ7698" s="19">
        <v>0</v>
      </c>
      <c r="AK7698" s="23">
        <v>16</v>
      </c>
      <c r="AM7698" s="19">
        <v>0</v>
      </c>
      <c r="AN7698" s="19">
        <v>8750</v>
      </c>
      <c r="AP7698" s="14">
        <v>8750</v>
      </c>
    </row>
    <row r="7699" spans="1:45" x14ac:dyDescent="0.2">
      <c r="B7699" s="13">
        <v>1</v>
      </c>
      <c r="C7699" s="17" t="s">
        <v>65</v>
      </c>
      <c r="D7699" s="17">
        <v>1057</v>
      </c>
      <c r="E7699" s="17">
        <v>89</v>
      </c>
      <c r="H7699" s="17">
        <v>15</v>
      </c>
      <c r="I7699" s="17">
        <v>1</v>
      </c>
      <c r="J7699" s="17">
        <v>10</v>
      </c>
      <c r="K7699" s="10">
        <v>6110</v>
      </c>
      <c r="P7699" s="17">
        <v>1</v>
      </c>
      <c r="Q7699" s="19">
        <v>6110</v>
      </c>
      <c r="R7699" s="14" t="e">
        <v>#N/A</v>
      </c>
      <c r="S7699" s="19" t="e">
        <v>#N/A</v>
      </c>
      <c r="AE7699" s="17" t="s">
        <v>94</v>
      </c>
      <c r="AJ7699" s="19">
        <v>0</v>
      </c>
      <c r="AK7699" s="23">
        <v>0</v>
      </c>
      <c r="AM7699" s="19">
        <v>0</v>
      </c>
      <c r="AN7699" s="19" t="e">
        <v>#N/A</v>
      </c>
      <c r="AP7699" s="14" t="e">
        <v>#N/A</v>
      </c>
      <c r="AQ7699" s="12">
        <v>1E-4</v>
      </c>
      <c r="AS7699" s="26">
        <v>479</v>
      </c>
    </row>
    <row r="7700" spans="1:45" x14ac:dyDescent="0.2">
      <c r="B7700" s="13">
        <v>2</v>
      </c>
      <c r="C7700" s="17" t="s">
        <v>65</v>
      </c>
      <c r="D7700" s="17">
        <v>1061</v>
      </c>
      <c r="E7700" s="17">
        <v>93</v>
      </c>
      <c r="H7700" s="17">
        <v>36</v>
      </c>
      <c r="I7700" s="17">
        <v>2</v>
      </c>
      <c r="J7700" s="17">
        <v>64</v>
      </c>
      <c r="K7700" s="10">
        <v>14664</v>
      </c>
      <c r="P7700" s="17">
        <v>1</v>
      </c>
      <c r="Q7700" s="19">
        <v>14664</v>
      </c>
      <c r="R7700" s="14" t="e">
        <v>#N/A</v>
      </c>
      <c r="S7700" s="19" t="e">
        <v>#N/A</v>
      </c>
      <c r="AE7700" s="17" t="s">
        <v>95</v>
      </c>
      <c r="AJ7700" s="19">
        <v>0</v>
      </c>
      <c r="AK7700" s="23">
        <v>0</v>
      </c>
      <c r="AM7700" s="19">
        <v>0</v>
      </c>
      <c r="AN7700" s="19" t="e">
        <v>#N/A</v>
      </c>
      <c r="AP7700" s="14" t="e">
        <v>#N/A</v>
      </c>
      <c r="AQ7700" s="12">
        <v>1E-4</v>
      </c>
    </row>
    <row r="7701" spans="1:45" ht="42" x14ac:dyDescent="0.2">
      <c r="A7701" s="2">
        <v>6374</v>
      </c>
      <c r="B7701" s="13">
        <v>1</v>
      </c>
      <c r="C7701" s="17" t="s">
        <v>52</v>
      </c>
      <c r="D7701" s="17">
        <v>1788</v>
      </c>
      <c r="E7701" s="17">
        <v>92</v>
      </c>
      <c r="F7701" s="17">
        <v>1172</v>
      </c>
      <c r="G7701" s="13">
        <v>2</v>
      </c>
      <c r="H7701" s="17">
        <v>0</v>
      </c>
      <c r="I7701" s="17">
        <v>0</v>
      </c>
      <c r="J7701" s="17">
        <v>26</v>
      </c>
      <c r="L7701" s="17">
        <v>25</v>
      </c>
      <c r="P7701" s="17">
        <v>2</v>
      </c>
      <c r="Q7701" s="19">
        <v>26</v>
      </c>
      <c r="R7701" s="14">
        <v>4500</v>
      </c>
      <c r="S7701" s="19">
        <v>117000</v>
      </c>
      <c r="T7701" s="17">
        <v>1</v>
      </c>
      <c r="V7701" s="17" t="s">
        <v>183</v>
      </c>
      <c r="W7701" s="4">
        <v>100</v>
      </c>
      <c r="Y7701" s="4">
        <v>100</v>
      </c>
      <c r="AB7701" s="17">
        <v>29</v>
      </c>
      <c r="AJ7701" s="19">
        <v>0</v>
      </c>
      <c r="AK7701" s="23">
        <v>29</v>
      </c>
      <c r="AM7701" s="19">
        <v>0</v>
      </c>
      <c r="AN7701" s="19">
        <v>117000</v>
      </c>
      <c r="AP7701" s="14">
        <v>117000</v>
      </c>
    </row>
    <row r="7702" spans="1:45" x14ac:dyDescent="0.2">
      <c r="A7702" s="2">
        <f>+A7701+1</f>
        <v>6375</v>
      </c>
      <c r="B7702" s="13">
        <v>2</v>
      </c>
      <c r="C7702" s="17" t="s">
        <v>52</v>
      </c>
      <c r="D7702" s="17">
        <v>3380</v>
      </c>
      <c r="E7702" s="17">
        <v>77</v>
      </c>
      <c r="F7702" s="17">
        <v>2166</v>
      </c>
      <c r="G7702" s="13">
        <v>2</v>
      </c>
      <c r="H7702" s="17">
        <v>33</v>
      </c>
      <c r="I7702" s="17">
        <v>3</v>
      </c>
      <c r="J7702" s="17">
        <v>76</v>
      </c>
      <c r="K7702" s="10">
        <v>13576</v>
      </c>
      <c r="P7702" s="17">
        <v>1</v>
      </c>
      <c r="Q7702" s="19">
        <v>13576</v>
      </c>
      <c r="R7702" s="14">
        <v>160</v>
      </c>
      <c r="S7702" s="19">
        <v>2172160</v>
      </c>
      <c r="AJ7702" s="19">
        <v>0</v>
      </c>
      <c r="AK7702" s="23">
        <v>0</v>
      </c>
      <c r="AM7702" s="19">
        <v>0</v>
      </c>
      <c r="AN7702" s="19">
        <v>2172160</v>
      </c>
      <c r="AP7702" s="14">
        <v>2172160</v>
      </c>
    </row>
    <row r="7703" spans="1:45" x14ac:dyDescent="0.2">
      <c r="A7703" s="122">
        <f t="shared" ref="A7703:A7724" si="745">+A7702+1</f>
        <v>6376</v>
      </c>
      <c r="B7703" s="13">
        <v>3</v>
      </c>
      <c r="C7703" s="17" t="s">
        <v>52</v>
      </c>
      <c r="D7703" s="17">
        <v>3381</v>
      </c>
      <c r="E7703" s="17">
        <v>76</v>
      </c>
      <c r="F7703" s="17">
        <v>2167</v>
      </c>
      <c r="G7703" s="13">
        <v>2</v>
      </c>
      <c r="H7703" s="17">
        <v>2</v>
      </c>
      <c r="I7703" s="17">
        <v>0</v>
      </c>
      <c r="J7703" s="17">
        <v>41</v>
      </c>
      <c r="K7703" s="10">
        <v>841</v>
      </c>
      <c r="P7703" s="17">
        <v>1</v>
      </c>
      <c r="Q7703" s="19">
        <v>841</v>
      </c>
      <c r="R7703" s="14">
        <v>160</v>
      </c>
      <c r="S7703" s="19">
        <v>134560</v>
      </c>
      <c r="AJ7703" s="19">
        <v>0</v>
      </c>
      <c r="AK7703" s="23">
        <v>0</v>
      </c>
      <c r="AM7703" s="19">
        <v>0</v>
      </c>
      <c r="AN7703" s="19">
        <v>134560</v>
      </c>
      <c r="AP7703" s="14">
        <v>134560</v>
      </c>
    </row>
    <row r="7704" spans="1:45" x14ac:dyDescent="0.2">
      <c r="A7704" s="122">
        <f t="shared" si="745"/>
        <v>6377</v>
      </c>
      <c r="B7704" s="13">
        <v>4</v>
      </c>
      <c r="C7704" s="17" t="s">
        <v>52</v>
      </c>
      <c r="D7704" s="17">
        <v>4822</v>
      </c>
      <c r="E7704" s="17">
        <v>30</v>
      </c>
      <c r="F7704" s="17">
        <v>2712</v>
      </c>
      <c r="G7704" s="13">
        <v>7</v>
      </c>
      <c r="H7704" s="17">
        <v>14</v>
      </c>
      <c r="I7704" s="17">
        <v>0</v>
      </c>
      <c r="J7704" s="17">
        <v>29</v>
      </c>
      <c r="K7704" s="10">
        <v>5629</v>
      </c>
      <c r="P7704" s="17">
        <v>1</v>
      </c>
      <c r="Q7704" s="19">
        <v>5629</v>
      </c>
      <c r="R7704" s="14">
        <v>160</v>
      </c>
      <c r="S7704" s="19">
        <v>900640</v>
      </c>
      <c r="AJ7704" s="19">
        <v>0</v>
      </c>
      <c r="AK7704" s="23">
        <v>0</v>
      </c>
      <c r="AM7704" s="19">
        <v>0</v>
      </c>
      <c r="AN7704" s="19">
        <v>900640</v>
      </c>
      <c r="AP7704" s="14">
        <v>900640</v>
      </c>
    </row>
    <row r="7705" spans="1:45" x14ac:dyDescent="0.2">
      <c r="A7705" s="122">
        <f t="shared" si="745"/>
        <v>6378</v>
      </c>
      <c r="B7705" s="13">
        <v>5</v>
      </c>
      <c r="C7705" s="17" t="s">
        <v>65</v>
      </c>
      <c r="D7705" s="17">
        <v>1286</v>
      </c>
      <c r="E7705" s="17">
        <v>147</v>
      </c>
      <c r="H7705" s="17">
        <v>22</v>
      </c>
      <c r="I7705" s="17">
        <v>0</v>
      </c>
      <c r="J7705" s="17">
        <v>0</v>
      </c>
      <c r="K7705" s="10">
        <v>8800</v>
      </c>
      <c r="P7705" s="17">
        <v>1</v>
      </c>
      <c r="Q7705" s="19">
        <v>8800</v>
      </c>
      <c r="R7705" s="14">
        <v>160</v>
      </c>
      <c r="S7705" s="19">
        <v>1408000</v>
      </c>
      <c r="AJ7705" s="19">
        <v>0</v>
      </c>
      <c r="AK7705" s="23">
        <v>0</v>
      </c>
      <c r="AM7705" s="19">
        <v>0</v>
      </c>
      <c r="AN7705" s="19">
        <v>1408000</v>
      </c>
      <c r="AP7705" s="14">
        <v>1408000</v>
      </c>
      <c r="AQ7705" s="12">
        <v>1E-4</v>
      </c>
    </row>
    <row r="7706" spans="1:45" ht="63" x14ac:dyDescent="0.2">
      <c r="A7706" s="122">
        <f t="shared" si="745"/>
        <v>6379</v>
      </c>
      <c r="B7706" s="13">
        <v>1</v>
      </c>
      <c r="C7706" s="17" t="s">
        <v>52</v>
      </c>
      <c r="D7706" s="17">
        <v>35867</v>
      </c>
      <c r="E7706" s="17">
        <v>330</v>
      </c>
      <c r="F7706" s="17">
        <v>7076</v>
      </c>
      <c r="G7706" s="13">
        <v>1</v>
      </c>
      <c r="H7706" s="17">
        <v>0</v>
      </c>
      <c r="I7706" s="17">
        <v>2</v>
      </c>
      <c r="J7706" s="17">
        <v>16.04</v>
      </c>
      <c r="K7706" s="10">
        <v>216</v>
      </c>
      <c r="P7706" s="17">
        <v>2</v>
      </c>
      <c r="Q7706" s="19">
        <v>216.04</v>
      </c>
      <c r="R7706" s="14">
        <v>160</v>
      </c>
      <c r="S7706" s="19">
        <v>34566.400000000001</v>
      </c>
      <c r="U7706" s="17" t="s">
        <v>57</v>
      </c>
      <c r="V7706" s="17" t="s">
        <v>56</v>
      </c>
      <c r="W7706" s="4">
        <v>496</v>
      </c>
      <c r="Y7706" s="4" t="s">
        <v>788</v>
      </c>
      <c r="AB7706" s="17" t="s">
        <v>122</v>
      </c>
      <c r="AF7706" s="14">
        <v>2</v>
      </c>
      <c r="AG7706" s="54">
        <v>496</v>
      </c>
      <c r="AH7706" s="11">
        <v>1</v>
      </c>
      <c r="AI7706" s="14">
        <v>7250</v>
      </c>
      <c r="AJ7706" s="19">
        <v>3596000</v>
      </c>
      <c r="AK7706" s="23" t="s">
        <v>122</v>
      </c>
      <c r="AL7706" s="11">
        <v>0.01</v>
      </c>
      <c r="AM7706" s="19">
        <v>3560040</v>
      </c>
      <c r="AN7706" s="19">
        <v>3594606.4</v>
      </c>
      <c r="AP7706" s="14">
        <v>3594606.4</v>
      </c>
    </row>
    <row r="7707" spans="1:45" x14ac:dyDescent="0.2">
      <c r="A7707" s="122">
        <f t="shared" si="745"/>
        <v>6380</v>
      </c>
      <c r="B7707" s="13">
        <v>2</v>
      </c>
      <c r="C7707" s="17" t="s">
        <v>52</v>
      </c>
      <c r="D7707" s="17">
        <v>35868</v>
      </c>
      <c r="E7707" s="17">
        <v>331</v>
      </c>
      <c r="F7707" s="17">
        <v>7077</v>
      </c>
      <c r="G7707" s="13">
        <v>1</v>
      </c>
      <c r="H7707" s="17">
        <v>0</v>
      </c>
      <c r="I7707" s="17">
        <v>1</v>
      </c>
      <c r="J7707" s="17">
        <v>82.03</v>
      </c>
      <c r="K7707" s="10">
        <v>182</v>
      </c>
      <c r="P7707" s="17">
        <v>1</v>
      </c>
      <c r="Q7707" s="19">
        <v>182.03</v>
      </c>
      <c r="R7707" s="14">
        <v>160</v>
      </c>
      <c r="S7707" s="19">
        <v>29124.799999999999</v>
      </c>
      <c r="AJ7707" s="19">
        <v>0</v>
      </c>
      <c r="AK7707" s="23">
        <v>0</v>
      </c>
      <c r="AM7707" s="19">
        <v>0</v>
      </c>
      <c r="AN7707" s="19">
        <v>29124.799999999999</v>
      </c>
      <c r="AP7707" s="14">
        <v>29124.799999999999</v>
      </c>
    </row>
    <row r="7708" spans="1:45" x14ac:dyDescent="0.2">
      <c r="A7708" s="122">
        <f t="shared" si="745"/>
        <v>6381</v>
      </c>
      <c r="B7708" s="13">
        <v>3</v>
      </c>
      <c r="C7708" s="17" t="s">
        <v>52</v>
      </c>
      <c r="D7708" s="17">
        <v>1794</v>
      </c>
      <c r="E7708" s="17">
        <v>44</v>
      </c>
      <c r="F7708" s="17">
        <v>1178</v>
      </c>
      <c r="G7708" s="13">
        <v>2</v>
      </c>
      <c r="H7708" s="17">
        <v>17</v>
      </c>
      <c r="I7708" s="17">
        <v>1</v>
      </c>
      <c r="J7708" s="17">
        <v>69</v>
      </c>
      <c r="K7708" s="10">
        <v>6969</v>
      </c>
      <c r="P7708" s="17">
        <v>1</v>
      </c>
      <c r="Q7708" s="19">
        <v>6969</v>
      </c>
      <c r="R7708" s="14">
        <v>200</v>
      </c>
      <c r="S7708" s="19">
        <v>1393800</v>
      </c>
      <c r="AJ7708" s="19">
        <v>0</v>
      </c>
      <c r="AK7708" s="23">
        <v>0</v>
      </c>
      <c r="AM7708" s="19">
        <v>0</v>
      </c>
      <c r="AN7708" s="19">
        <v>1393800</v>
      </c>
      <c r="AP7708" s="14">
        <v>1393800</v>
      </c>
    </row>
    <row r="7709" spans="1:45" x14ac:dyDescent="0.2">
      <c r="A7709" s="122">
        <f t="shared" si="745"/>
        <v>6382</v>
      </c>
      <c r="B7709" s="13">
        <v>4</v>
      </c>
      <c r="C7709" s="17" t="s">
        <v>52</v>
      </c>
      <c r="D7709" s="17">
        <v>14873</v>
      </c>
      <c r="E7709" s="17">
        <v>506</v>
      </c>
      <c r="F7709" s="17">
        <v>3363</v>
      </c>
      <c r="G7709" s="13">
        <v>2</v>
      </c>
      <c r="H7709" s="17">
        <v>1</v>
      </c>
      <c r="I7709" s="17">
        <v>3</v>
      </c>
      <c r="J7709" s="17">
        <v>70.09</v>
      </c>
      <c r="K7709" s="10" t="s">
        <v>789</v>
      </c>
      <c r="P7709" s="17">
        <v>1</v>
      </c>
      <c r="Q7709" s="19">
        <v>770.09</v>
      </c>
      <c r="R7709" s="14">
        <v>1500</v>
      </c>
      <c r="S7709" s="19">
        <v>1155135</v>
      </c>
      <c r="AJ7709" s="19">
        <v>0</v>
      </c>
      <c r="AK7709" s="23">
        <v>0</v>
      </c>
      <c r="AM7709" s="19">
        <v>0</v>
      </c>
      <c r="AN7709" s="19">
        <v>1155135</v>
      </c>
      <c r="AP7709" s="14">
        <v>1155135</v>
      </c>
    </row>
    <row r="7710" spans="1:45" x14ac:dyDescent="0.2">
      <c r="A7710" s="122">
        <f t="shared" si="745"/>
        <v>6383</v>
      </c>
      <c r="B7710" s="13">
        <v>5</v>
      </c>
      <c r="C7710" s="17" t="s">
        <v>52</v>
      </c>
      <c r="D7710" s="17">
        <v>31892</v>
      </c>
      <c r="E7710" s="17">
        <v>221</v>
      </c>
      <c r="F7710" s="17">
        <v>6119</v>
      </c>
      <c r="G7710" s="13">
        <v>2</v>
      </c>
      <c r="H7710" s="17">
        <v>24</v>
      </c>
      <c r="I7710" s="17">
        <v>2</v>
      </c>
      <c r="J7710" s="17">
        <v>21.06</v>
      </c>
      <c r="K7710" s="10">
        <v>9821</v>
      </c>
      <c r="P7710" s="17">
        <v>1</v>
      </c>
      <c r="Q7710" s="19">
        <v>9821.06</v>
      </c>
      <c r="R7710" s="14">
        <v>200</v>
      </c>
      <c r="S7710" s="19">
        <v>1964212</v>
      </c>
      <c r="AJ7710" s="19">
        <v>0</v>
      </c>
      <c r="AK7710" s="23">
        <v>0</v>
      </c>
      <c r="AM7710" s="19">
        <v>0</v>
      </c>
      <c r="AN7710" s="19">
        <v>1964212</v>
      </c>
      <c r="AP7710" s="14">
        <v>1964212</v>
      </c>
    </row>
    <row r="7711" spans="1:45" x14ac:dyDescent="0.2">
      <c r="A7711" s="122">
        <f t="shared" si="745"/>
        <v>6384</v>
      </c>
      <c r="B7711" s="13">
        <v>6</v>
      </c>
      <c r="C7711" s="17" t="s">
        <v>52</v>
      </c>
      <c r="D7711" s="17">
        <v>16820</v>
      </c>
      <c r="E7711" s="17">
        <v>245</v>
      </c>
      <c r="F7711" s="17">
        <v>3428</v>
      </c>
      <c r="G7711" s="13">
        <v>2</v>
      </c>
      <c r="H7711" s="17">
        <v>0</v>
      </c>
      <c r="I7711" s="17">
        <v>0</v>
      </c>
      <c r="J7711" s="17">
        <v>74</v>
      </c>
      <c r="K7711" s="10">
        <v>74</v>
      </c>
      <c r="P7711" s="17">
        <v>1</v>
      </c>
      <c r="Q7711" s="19">
        <v>74</v>
      </c>
      <c r="R7711" s="14">
        <v>3350</v>
      </c>
      <c r="S7711" s="19">
        <v>247900</v>
      </c>
      <c r="AJ7711" s="19">
        <v>0</v>
      </c>
      <c r="AK7711" s="23">
        <v>0</v>
      </c>
      <c r="AM7711" s="19">
        <v>0</v>
      </c>
      <c r="AN7711" s="19">
        <v>247900</v>
      </c>
      <c r="AP7711" s="14">
        <v>247900</v>
      </c>
    </row>
    <row r="7712" spans="1:45" ht="63" x14ac:dyDescent="0.2">
      <c r="A7712" s="122">
        <f t="shared" si="745"/>
        <v>6385</v>
      </c>
      <c r="B7712" s="13">
        <v>1</v>
      </c>
      <c r="C7712" s="17" t="s">
        <v>52</v>
      </c>
      <c r="D7712" s="17">
        <v>1305</v>
      </c>
      <c r="E7712" s="17">
        <v>20</v>
      </c>
      <c r="F7712" s="17">
        <v>895</v>
      </c>
      <c r="G7712" s="13">
        <v>2</v>
      </c>
      <c r="H7712" s="17">
        <v>0</v>
      </c>
      <c r="I7712" s="17">
        <v>0</v>
      </c>
      <c r="J7712" s="17">
        <v>42</v>
      </c>
      <c r="L7712" s="17" t="s">
        <v>790</v>
      </c>
      <c r="P7712" s="17">
        <v>2</v>
      </c>
      <c r="Q7712" s="19">
        <v>42</v>
      </c>
      <c r="R7712" s="14">
        <v>250</v>
      </c>
      <c r="S7712" s="19">
        <v>10500</v>
      </c>
      <c r="T7712" s="17">
        <v>1</v>
      </c>
      <c r="V7712" s="17" t="s">
        <v>791</v>
      </c>
      <c r="W7712" s="4">
        <v>24</v>
      </c>
      <c r="Y7712" s="4">
        <v>24</v>
      </c>
      <c r="AB7712" s="17">
        <v>9</v>
      </c>
      <c r="AJ7712" s="19">
        <v>0</v>
      </c>
      <c r="AK7712" s="23">
        <v>9</v>
      </c>
      <c r="AM7712" s="19">
        <v>0</v>
      </c>
      <c r="AN7712" s="19">
        <v>10500</v>
      </c>
      <c r="AP7712" s="14">
        <v>10500</v>
      </c>
      <c r="AS7712" s="26">
        <v>229</v>
      </c>
    </row>
    <row r="7713" spans="1:45" x14ac:dyDescent="0.2">
      <c r="A7713" s="122">
        <f t="shared" si="745"/>
        <v>6386</v>
      </c>
      <c r="B7713" s="13">
        <v>2</v>
      </c>
      <c r="C7713" s="17" t="s">
        <v>52</v>
      </c>
      <c r="D7713" s="17">
        <v>1702</v>
      </c>
      <c r="E7713" s="17">
        <v>19</v>
      </c>
      <c r="F7713" s="17">
        <v>898</v>
      </c>
      <c r="G7713" s="13">
        <v>2</v>
      </c>
      <c r="H7713" s="17">
        <v>0</v>
      </c>
      <c r="I7713" s="17">
        <v>2</v>
      </c>
      <c r="J7713" s="17">
        <v>18</v>
      </c>
      <c r="N7713" s="18">
        <v>218</v>
      </c>
      <c r="P7713" s="17">
        <v>4</v>
      </c>
      <c r="Q7713" s="19">
        <v>218</v>
      </c>
      <c r="R7713" s="14">
        <v>160</v>
      </c>
      <c r="S7713" s="19">
        <v>34880</v>
      </c>
      <c r="AJ7713" s="19">
        <v>0</v>
      </c>
      <c r="AK7713" s="23">
        <v>0</v>
      </c>
      <c r="AM7713" s="19">
        <v>0</v>
      </c>
      <c r="AN7713" s="19">
        <v>34880</v>
      </c>
      <c r="AP7713" s="14">
        <v>34880</v>
      </c>
      <c r="AQ7713" s="12">
        <v>3.0000000000000001E-3</v>
      </c>
    </row>
    <row r="7714" spans="1:45" x14ac:dyDescent="0.2">
      <c r="A7714" s="122">
        <f t="shared" si="745"/>
        <v>6387</v>
      </c>
      <c r="B7714" s="13">
        <v>3</v>
      </c>
      <c r="C7714" s="17" t="s">
        <v>52</v>
      </c>
      <c r="D7714" s="17">
        <v>30976</v>
      </c>
      <c r="E7714" s="17">
        <v>112</v>
      </c>
      <c r="F7714" s="17">
        <v>5928</v>
      </c>
      <c r="G7714" s="13">
        <v>2</v>
      </c>
      <c r="H7714" s="17">
        <v>19</v>
      </c>
      <c r="I7714" s="17">
        <v>3</v>
      </c>
      <c r="J7714" s="17">
        <v>42.08</v>
      </c>
      <c r="K7714" s="10">
        <v>7942</v>
      </c>
      <c r="P7714" s="17">
        <v>1</v>
      </c>
      <c r="Q7714" s="19">
        <v>7942.08</v>
      </c>
      <c r="R7714" s="14">
        <v>160</v>
      </c>
      <c r="S7714" s="19">
        <v>1270732.8</v>
      </c>
      <c r="AJ7714" s="19">
        <v>0</v>
      </c>
      <c r="AK7714" s="23">
        <v>0</v>
      </c>
      <c r="AM7714" s="19">
        <v>0</v>
      </c>
      <c r="AN7714" s="19">
        <v>1270732.8</v>
      </c>
      <c r="AP7714" s="14">
        <v>1270732.8</v>
      </c>
    </row>
    <row r="7715" spans="1:45" x14ac:dyDescent="0.2">
      <c r="A7715" s="122">
        <f t="shared" si="745"/>
        <v>6388</v>
      </c>
      <c r="B7715" s="13">
        <v>4</v>
      </c>
      <c r="C7715" s="17" t="s">
        <v>52</v>
      </c>
      <c r="D7715" s="17">
        <v>2154</v>
      </c>
      <c r="E7715" s="17">
        <v>16</v>
      </c>
      <c r="F7715" s="17">
        <v>1624</v>
      </c>
      <c r="G7715" s="13">
        <v>3</v>
      </c>
      <c r="H7715" s="17">
        <v>7</v>
      </c>
      <c r="I7715" s="17">
        <v>3</v>
      </c>
      <c r="J7715" s="17">
        <v>24</v>
      </c>
      <c r="K7715" s="10">
        <v>3124</v>
      </c>
      <c r="P7715" s="17">
        <v>1</v>
      </c>
      <c r="Q7715" s="19">
        <v>3124</v>
      </c>
      <c r="R7715" s="14">
        <v>200</v>
      </c>
      <c r="S7715" s="19">
        <v>624800</v>
      </c>
      <c r="AJ7715" s="19">
        <v>0</v>
      </c>
      <c r="AK7715" s="23">
        <v>0</v>
      </c>
      <c r="AM7715" s="19">
        <v>0</v>
      </c>
      <c r="AN7715" s="19">
        <v>624800</v>
      </c>
      <c r="AP7715" s="14">
        <v>624800</v>
      </c>
    </row>
    <row r="7716" spans="1:45" ht="42" x14ac:dyDescent="0.2">
      <c r="A7716" s="122">
        <f t="shared" si="745"/>
        <v>6389</v>
      </c>
      <c r="B7716" s="13">
        <v>5</v>
      </c>
      <c r="C7716" s="17" t="s">
        <v>52</v>
      </c>
      <c r="D7716" s="17">
        <v>2155</v>
      </c>
      <c r="E7716" s="17">
        <v>17</v>
      </c>
      <c r="F7716" s="17">
        <v>1625</v>
      </c>
      <c r="G7716" s="13">
        <v>3</v>
      </c>
      <c r="H7716" s="17">
        <v>9</v>
      </c>
      <c r="I7716" s="17">
        <v>3</v>
      </c>
      <c r="J7716" s="17">
        <v>44</v>
      </c>
      <c r="K7716" s="10">
        <v>3916.5</v>
      </c>
      <c r="L7716" s="17">
        <v>27.5</v>
      </c>
      <c r="P7716" s="17">
        <v>5</v>
      </c>
      <c r="Q7716" s="19">
        <v>3944</v>
      </c>
      <c r="R7716" s="14">
        <v>200</v>
      </c>
      <c r="S7716" s="19">
        <v>788800</v>
      </c>
      <c r="T7716" s="17">
        <v>1</v>
      </c>
      <c r="V7716" s="17" t="s">
        <v>183</v>
      </c>
      <c r="W7716" s="4">
        <v>110</v>
      </c>
      <c r="Y7716" s="4">
        <v>110</v>
      </c>
      <c r="AB7716" s="17">
        <v>23</v>
      </c>
      <c r="AJ7716" s="19">
        <v>0</v>
      </c>
      <c r="AK7716" s="23">
        <v>23</v>
      </c>
      <c r="AM7716" s="19">
        <v>0</v>
      </c>
      <c r="AN7716" s="19">
        <v>788800</v>
      </c>
      <c r="AP7716" s="14">
        <v>788800</v>
      </c>
    </row>
    <row r="7717" spans="1:45" x14ac:dyDescent="0.2">
      <c r="A7717" s="122">
        <f t="shared" si="745"/>
        <v>6390</v>
      </c>
      <c r="B7717" s="13">
        <v>6</v>
      </c>
      <c r="C7717" s="17" t="s">
        <v>52</v>
      </c>
      <c r="D7717" s="17">
        <v>2171</v>
      </c>
      <c r="E7717" s="17">
        <v>24</v>
      </c>
      <c r="F7717" s="17">
        <v>1642</v>
      </c>
      <c r="G7717" s="13">
        <v>3</v>
      </c>
      <c r="H7717" s="17">
        <v>0</v>
      </c>
      <c r="I7717" s="17">
        <v>0</v>
      </c>
      <c r="J7717" s="17">
        <v>88</v>
      </c>
      <c r="N7717" s="18">
        <v>88</v>
      </c>
      <c r="P7717" s="17">
        <v>4</v>
      </c>
      <c r="Q7717" s="19">
        <v>88</v>
      </c>
      <c r="R7717" s="14">
        <v>250</v>
      </c>
      <c r="S7717" s="19">
        <v>22000</v>
      </c>
      <c r="AJ7717" s="19">
        <v>0</v>
      </c>
      <c r="AK7717" s="23">
        <v>0</v>
      </c>
      <c r="AM7717" s="19">
        <v>0</v>
      </c>
      <c r="AN7717" s="19">
        <v>22000</v>
      </c>
      <c r="AP7717" s="14">
        <v>22000</v>
      </c>
      <c r="AQ7717" s="12">
        <v>3.0000000000000001E-3</v>
      </c>
    </row>
    <row r="7718" spans="1:45" ht="42" x14ac:dyDescent="0.2">
      <c r="A7718" s="122">
        <f t="shared" si="745"/>
        <v>6391</v>
      </c>
      <c r="B7718" s="13">
        <v>7</v>
      </c>
      <c r="C7718" s="17" t="s">
        <v>65</v>
      </c>
      <c r="D7718" s="17">
        <v>3085</v>
      </c>
      <c r="E7718" s="17">
        <v>234</v>
      </c>
      <c r="H7718" s="17">
        <v>9</v>
      </c>
      <c r="I7718" s="17">
        <v>2</v>
      </c>
      <c r="J7718" s="17">
        <v>65</v>
      </c>
      <c r="K7718" s="10">
        <v>3837</v>
      </c>
      <c r="L7718" s="17">
        <v>28</v>
      </c>
      <c r="P7718" s="17">
        <v>5</v>
      </c>
      <c r="Q7718" s="19">
        <v>3865</v>
      </c>
      <c r="R7718" s="14">
        <v>160</v>
      </c>
      <c r="S7718" s="19">
        <v>618400</v>
      </c>
      <c r="T7718" s="17">
        <v>1</v>
      </c>
      <c r="V7718" s="17" t="s">
        <v>183</v>
      </c>
      <c r="W7718" s="4">
        <v>112</v>
      </c>
      <c r="Y7718" s="4">
        <v>112</v>
      </c>
      <c r="AB7718" s="17">
        <v>17</v>
      </c>
      <c r="AJ7718" s="19">
        <v>0</v>
      </c>
      <c r="AK7718" s="23">
        <v>17</v>
      </c>
      <c r="AM7718" s="19">
        <v>0</v>
      </c>
      <c r="AN7718" s="19">
        <v>618400</v>
      </c>
      <c r="AP7718" s="14">
        <v>618400</v>
      </c>
      <c r="AQ7718" s="12">
        <v>1E-4</v>
      </c>
    </row>
    <row r="7719" spans="1:45" x14ac:dyDescent="0.2">
      <c r="A7719" s="122">
        <f t="shared" si="745"/>
        <v>6392</v>
      </c>
      <c r="B7719" s="13">
        <v>7</v>
      </c>
      <c r="C7719" s="17" t="s">
        <v>65</v>
      </c>
      <c r="D7719" s="17">
        <v>1009</v>
      </c>
      <c r="E7719" s="17">
        <v>159</v>
      </c>
      <c r="H7719" s="17">
        <v>20</v>
      </c>
      <c r="I7719" s="17">
        <v>0</v>
      </c>
      <c r="J7719" s="17">
        <v>71</v>
      </c>
      <c r="K7719" s="10">
        <v>8071</v>
      </c>
      <c r="P7719" s="17">
        <v>1</v>
      </c>
      <c r="Q7719" s="19">
        <v>8071</v>
      </c>
      <c r="R7719" s="14">
        <v>160</v>
      </c>
      <c r="S7719" s="19">
        <v>1291360</v>
      </c>
      <c r="AJ7719" s="19">
        <v>0</v>
      </c>
      <c r="AK7719" s="23">
        <v>0</v>
      </c>
      <c r="AM7719" s="19">
        <v>0</v>
      </c>
      <c r="AN7719" s="19">
        <v>1291360</v>
      </c>
      <c r="AP7719" s="14">
        <v>1291360</v>
      </c>
      <c r="AQ7719" s="12">
        <v>1E-4</v>
      </c>
    </row>
    <row r="7720" spans="1:45" ht="42" x14ac:dyDescent="0.2">
      <c r="A7720" s="122">
        <f t="shared" si="745"/>
        <v>6393</v>
      </c>
      <c r="B7720" s="13">
        <v>1</v>
      </c>
      <c r="C7720" s="17" t="s">
        <v>52</v>
      </c>
      <c r="D7720" s="17">
        <v>3788</v>
      </c>
      <c r="E7720" s="17">
        <v>61</v>
      </c>
      <c r="F7720" s="17">
        <v>2343</v>
      </c>
      <c r="G7720" s="13">
        <v>2</v>
      </c>
      <c r="H7720" s="17">
        <v>12</v>
      </c>
      <c r="I7720" s="17">
        <v>0</v>
      </c>
      <c r="J7720" s="17">
        <v>94</v>
      </c>
      <c r="K7720" s="10">
        <v>4885</v>
      </c>
      <c r="L7720" s="17">
        <v>9</v>
      </c>
      <c r="P7720" s="17">
        <v>5</v>
      </c>
      <c r="Q7720" s="19">
        <v>4894</v>
      </c>
      <c r="R7720" s="14">
        <v>200</v>
      </c>
      <c r="S7720" s="19">
        <v>978800</v>
      </c>
      <c r="T7720" s="17">
        <v>1</v>
      </c>
      <c r="V7720" s="17" t="s">
        <v>183</v>
      </c>
      <c r="W7720" s="4">
        <v>36</v>
      </c>
      <c r="Y7720" s="4">
        <v>36</v>
      </c>
      <c r="AB7720" s="17">
        <v>2</v>
      </c>
      <c r="AJ7720" s="19">
        <v>0</v>
      </c>
      <c r="AK7720" s="23">
        <v>2</v>
      </c>
      <c r="AM7720" s="19">
        <v>0</v>
      </c>
      <c r="AN7720" s="19">
        <v>978800</v>
      </c>
      <c r="AP7720" s="14">
        <v>978800</v>
      </c>
    </row>
    <row r="7721" spans="1:45" ht="42" x14ac:dyDescent="0.2">
      <c r="A7721" s="122">
        <f t="shared" si="745"/>
        <v>6394</v>
      </c>
      <c r="B7721" s="13">
        <v>2</v>
      </c>
      <c r="C7721" s="17" t="s">
        <v>52</v>
      </c>
      <c r="D7721" s="17">
        <v>1307</v>
      </c>
      <c r="E7721" s="17">
        <v>1</v>
      </c>
      <c r="F7721" s="17">
        <v>902</v>
      </c>
      <c r="H7721" s="17">
        <v>0</v>
      </c>
      <c r="I7721" s="17">
        <v>1</v>
      </c>
      <c r="J7721" s="17">
        <v>0.02</v>
      </c>
      <c r="L7721" s="17" t="s">
        <v>792</v>
      </c>
      <c r="P7721" s="17">
        <v>2</v>
      </c>
      <c r="Q7721" s="19">
        <v>100.02</v>
      </c>
      <c r="R7721" s="14">
        <v>2000</v>
      </c>
      <c r="S7721" s="19">
        <v>200040</v>
      </c>
      <c r="T7721" s="17">
        <v>1</v>
      </c>
      <c r="V7721" s="17" t="s">
        <v>183</v>
      </c>
      <c r="W7721" s="4">
        <v>153</v>
      </c>
      <c r="Y7721" s="4">
        <v>153</v>
      </c>
      <c r="AB7721" s="17">
        <v>34</v>
      </c>
      <c r="AJ7721" s="19">
        <v>0</v>
      </c>
      <c r="AK7721" s="23">
        <v>34</v>
      </c>
      <c r="AM7721" s="19">
        <v>0</v>
      </c>
      <c r="AN7721" s="19">
        <v>200040</v>
      </c>
      <c r="AP7721" s="14">
        <v>200040</v>
      </c>
    </row>
    <row r="7722" spans="1:45" x14ac:dyDescent="0.2">
      <c r="A7722" s="122">
        <f t="shared" si="745"/>
        <v>6395</v>
      </c>
      <c r="B7722" s="13">
        <v>3</v>
      </c>
      <c r="C7722" s="17" t="s">
        <v>52</v>
      </c>
      <c r="D7722" s="17">
        <v>1837</v>
      </c>
      <c r="E7722" s="17">
        <v>86</v>
      </c>
      <c r="F7722" s="17">
        <v>1227</v>
      </c>
      <c r="H7722" s="17">
        <v>0</v>
      </c>
      <c r="I7722" s="17">
        <v>1</v>
      </c>
      <c r="J7722" s="17">
        <v>96</v>
      </c>
      <c r="N7722" s="18">
        <v>196</v>
      </c>
      <c r="P7722" s="17">
        <v>4</v>
      </c>
      <c r="Q7722" s="19">
        <v>196</v>
      </c>
      <c r="R7722" s="14">
        <v>2000</v>
      </c>
      <c r="S7722" s="19">
        <v>392000</v>
      </c>
      <c r="AJ7722" s="19">
        <v>0</v>
      </c>
      <c r="AK7722" s="23">
        <v>0</v>
      </c>
      <c r="AM7722" s="19">
        <v>0</v>
      </c>
      <c r="AN7722" s="19">
        <v>392000</v>
      </c>
      <c r="AP7722" s="14">
        <v>392000</v>
      </c>
      <c r="AQ7722" s="12">
        <v>3.0000000000000001E-3</v>
      </c>
    </row>
    <row r="7723" spans="1:45" x14ac:dyDescent="0.2">
      <c r="A7723" s="122">
        <f t="shared" si="745"/>
        <v>6396</v>
      </c>
      <c r="B7723" s="13">
        <v>1</v>
      </c>
      <c r="C7723" s="17" t="s">
        <v>52</v>
      </c>
      <c r="D7723" s="17">
        <v>1283</v>
      </c>
      <c r="E7723" s="17">
        <v>9</v>
      </c>
      <c r="F7723" s="17">
        <v>758</v>
      </c>
      <c r="G7723" s="13">
        <v>7</v>
      </c>
      <c r="H7723" s="17">
        <v>5</v>
      </c>
      <c r="I7723" s="17">
        <v>0</v>
      </c>
      <c r="J7723" s="17">
        <v>91</v>
      </c>
      <c r="K7723" s="10">
        <v>2019</v>
      </c>
      <c r="P7723" s="17">
        <v>1</v>
      </c>
      <c r="Q7723" s="19">
        <v>2091</v>
      </c>
      <c r="R7723" s="14">
        <v>1100</v>
      </c>
      <c r="S7723" s="19">
        <v>2300100</v>
      </c>
      <c r="AJ7723" s="19">
        <v>0</v>
      </c>
      <c r="AK7723" s="23">
        <v>0</v>
      </c>
      <c r="AM7723" s="19">
        <v>0</v>
      </c>
      <c r="AN7723" s="19">
        <v>2300100</v>
      </c>
      <c r="AP7723" s="14">
        <v>2300100</v>
      </c>
    </row>
    <row r="7724" spans="1:45" ht="63" x14ac:dyDescent="0.2">
      <c r="A7724" s="122">
        <f t="shared" si="745"/>
        <v>6397</v>
      </c>
      <c r="B7724" s="13">
        <v>2</v>
      </c>
      <c r="C7724" s="17" t="s">
        <v>52</v>
      </c>
      <c r="D7724" s="17">
        <v>4964</v>
      </c>
      <c r="E7724" s="17">
        <v>23</v>
      </c>
      <c r="F7724" s="17">
        <v>2580</v>
      </c>
      <c r="G7724" s="13">
        <v>7</v>
      </c>
      <c r="H7724" s="17">
        <v>4</v>
      </c>
      <c r="I7724" s="17">
        <v>2</v>
      </c>
      <c r="J7724" s="17">
        <v>12</v>
      </c>
      <c r="K7724" s="10">
        <v>1812</v>
      </c>
      <c r="P7724" s="17">
        <v>5</v>
      </c>
      <c r="Q7724" s="19">
        <v>1812</v>
      </c>
      <c r="R7724" s="14">
        <v>1100</v>
      </c>
      <c r="S7724" s="19">
        <v>1993200</v>
      </c>
      <c r="U7724" s="17" t="s">
        <v>57</v>
      </c>
      <c r="V7724" s="17" t="s">
        <v>56</v>
      </c>
      <c r="Y7724" s="4" t="s">
        <v>793</v>
      </c>
      <c r="AB7724" s="17" t="s">
        <v>227</v>
      </c>
      <c r="AJ7724" s="19">
        <v>0</v>
      </c>
      <c r="AK7724" s="23" t="s">
        <v>227</v>
      </c>
      <c r="AM7724" s="19">
        <v>0</v>
      </c>
      <c r="AN7724" s="19">
        <v>1993200</v>
      </c>
      <c r="AP7724" s="14">
        <v>1993200</v>
      </c>
    </row>
    <row r="7725" spans="1:45" ht="63" x14ac:dyDescent="0.2">
      <c r="Q7725" s="19">
        <v>0</v>
      </c>
      <c r="U7725" s="17" t="s">
        <v>57</v>
      </c>
      <c r="V7725" s="17" t="s">
        <v>56</v>
      </c>
      <c r="W7725" s="4" t="s">
        <v>274</v>
      </c>
      <c r="Y7725" s="4" t="s">
        <v>274</v>
      </c>
      <c r="AB7725" s="17" t="s">
        <v>227</v>
      </c>
      <c r="AF7725" s="14">
        <v>2</v>
      </c>
      <c r="AG7725" s="54">
        <v>60</v>
      </c>
      <c r="AH7725" s="11">
        <v>1</v>
      </c>
      <c r="AI7725" s="14">
        <v>7250</v>
      </c>
      <c r="AJ7725" s="19">
        <v>435000</v>
      </c>
      <c r="AK7725" s="23">
        <v>20</v>
      </c>
      <c r="AL7725" s="11">
        <v>0.3</v>
      </c>
      <c r="AM7725" s="19">
        <v>304500</v>
      </c>
      <c r="AN7725" s="19">
        <v>304500</v>
      </c>
      <c r="AP7725" s="14">
        <v>304500</v>
      </c>
    </row>
    <row r="7726" spans="1:45" x14ac:dyDescent="0.2">
      <c r="A7726" s="2">
        <v>6398</v>
      </c>
      <c r="B7726" s="13">
        <v>3</v>
      </c>
      <c r="C7726" s="17" t="s">
        <v>52</v>
      </c>
      <c r="D7726" s="17">
        <v>18345</v>
      </c>
      <c r="E7726" s="17">
        <v>14</v>
      </c>
      <c r="F7726" s="17">
        <v>4254</v>
      </c>
      <c r="G7726" s="13">
        <v>7</v>
      </c>
      <c r="H7726" s="17">
        <v>3</v>
      </c>
      <c r="I7726" s="17">
        <v>3</v>
      </c>
      <c r="J7726" s="17">
        <v>12</v>
      </c>
      <c r="K7726" s="10">
        <v>1512</v>
      </c>
      <c r="P7726" s="17">
        <v>1</v>
      </c>
      <c r="Q7726" s="19">
        <v>1512</v>
      </c>
      <c r="R7726" s="14">
        <v>160</v>
      </c>
      <c r="S7726" s="19">
        <v>241920</v>
      </c>
      <c r="AJ7726" s="19">
        <v>0</v>
      </c>
      <c r="AK7726" s="23">
        <v>0</v>
      </c>
      <c r="AM7726" s="19">
        <v>0</v>
      </c>
      <c r="AN7726" s="19">
        <v>241920</v>
      </c>
      <c r="AP7726" s="14">
        <v>241920</v>
      </c>
    </row>
    <row r="7727" spans="1:45" x14ac:dyDescent="0.2">
      <c r="A7727" s="2">
        <f>+A7726+1</f>
        <v>6399</v>
      </c>
      <c r="B7727" s="13">
        <v>4</v>
      </c>
      <c r="C7727" s="17" t="s">
        <v>69</v>
      </c>
      <c r="E7727" s="17">
        <v>1515</v>
      </c>
      <c r="F7727" s="17">
        <v>8</v>
      </c>
      <c r="G7727" s="13">
        <v>6</v>
      </c>
      <c r="H7727" s="17">
        <v>10</v>
      </c>
      <c r="I7727" s="17">
        <v>3</v>
      </c>
      <c r="J7727" s="17">
        <v>75</v>
      </c>
      <c r="K7727" s="10">
        <v>4375</v>
      </c>
      <c r="P7727" s="17">
        <v>1</v>
      </c>
      <c r="Q7727" s="19">
        <v>4375</v>
      </c>
      <c r="R7727" s="14">
        <v>200</v>
      </c>
      <c r="S7727" s="19">
        <v>875000</v>
      </c>
      <c r="AJ7727" s="19">
        <v>0</v>
      </c>
      <c r="AK7727" s="23">
        <v>0</v>
      </c>
      <c r="AM7727" s="19">
        <v>0</v>
      </c>
      <c r="AN7727" s="19">
        <v>875000</v>
      </c>
      <c r="AP7727" s="14">
        <v>875000</v>
      </c>
      <c r="AQ7727" s="12">
        <v>1E-4</v>
      </c>
    </row>
    <row r="7728" spans="1:45" x14ac:dyDescent="0.2">
      <c r="A7728" s="122">
        <f t="shared" ref="A7728:A7731" si="746">+A7727+1</f>
        <v>6400</v>
      </c>
      <c r="B7728" s="13">
        <v>1</v>
      </c>
      <c r="C7728" s="17" t="s">
        <v>52</v>
      </c>
      <c r="D7728" s="17">
        <v>4768</v>
      </c>
      <c r="E7728" s="17">
        <v>78</v>
      </c>
      <c r="F7728" s="17">
        <v>2637</v>
      </c>
      <c r="G7728" s="13">
        <v>7</v>
      </c>
      <c r="H7728" s="17">
        <v>5</v>
      </c>
      <c r="I7728" s="17">
        <v>0</v>
      </c>
      <c r="J7728" s="17">
        <v>37.020000000000003</v>
      </c>
      <c r="K7728" s="10">
        <v>2037</v>
      </c>
      <c r="P7728" s="17">
        <v>1</v>
      </c>
      <c r="Q7728" s="19">
        <v>2037.02</v>
      </c>
      <c r="R7728" s="14">
        <v>160</v>
      </c>
      <c r="S7728" s="19">
        <v>325923.20000000001</v>
      </c>
      <c r="AJ7728" s="19">
        <v>0</v>
      </c>
      <c r="AK7728" s="23">
        <v>0</v>
      </c>
      <c r="AM7728" s="19">
        <v>0</v>
      </c>
      <c r="AN7728" s="19">
        <v>325923.20000000001</v>
      </c>
      <c r="AP7728" s="14">
        <v>325923.20000000001</v>
      </c>
      <c r="AS7728" s="26">
        <v>84</v>
      </c>
    </row>
    <row r="7729" spans="1:45" x14ac:dyDescent="0.2">
      <c r="A7729" s="122">
        <f t="shared" si="746"/>
        <v>6401</v>
      </c>
      <c r="B7729" s="13">
        <v>2</v>
      </c>
      <c r="C7729" s="17" t="s">
        <v>52</v>
      </c>
      <c r="D7729" s="17">
        <v>5113</v>
      </c>
      <c r="E7729" s="17">
        <v>80</v>
      </c>
      <c r="F7729" s="17">
        <v>2883</v>
      </c>
      <c r="G7729" s="13">
        <v>7</v>
      </c>
      <c r="H7729" s="17">
        <v>4</v>
      </c>
      <c r="I7729" s="17">
        <v>3</v>
      </c>
      <c r="J7729" s="17">
        <v>12</v>
      </c>
      <c r="K7729" s="10">
        <v>1912</v>
      </c>
      <c r="P7729" s="17">
        <v>1</v>
      </c>
      <c r="Q7729" s="19">
        <v>1912</v>
      </c>
      <c r="R7729" s="14">
        <v>160</v>
      </c>
      <c r="S7729" s="19">
        <v>305920</v>
      </c>
      <c r="AJ7729" s="19">
        <v>0</v>
      </c>
      <c r="AK7729" s="23">
        <v>0</v>
      </c>
      <c r="AM7729" s="19">
        <v>0</v>
      </c>
      <c r="AN7729" s="19">
        <v>305920</v>
      </c>
      <c r="AP7729" s="14">
        <v>305920</v>
      </c>
    </row>
    <row r="7730" spans="1:45" x14ac:dyDescent="0.2">
      <c r="A7730" s="122">
        <f t="shared" si="746"/>
        <v>6402</v>
      </c>
      <c r="B7730" s="13">
        <v>3</v>
      </c>
      <c r="C7730" s="17" t="s">
        <v>52</v>
      </c>
      <c r="D7730" s="17">
        <v>11802</v>
      </c>
      <c r="E7730" s="17">
        <v>120</v>
      </c>
      <c r="F7730" s="17">
        <v>3216</v>
      </c>
      <c r="G7730" s="13">
        <v>7</v>
      </c>
      <c r="H7730" s="17">
        <v>3</v>
      </c>
      <c r="I7730" s="17">
        <v>2</v>
      </c>
      <c r="J7730" s="17">
        <v>33.03</v>
      </c>
      <c r="K7730" s="10">
        <v>1433</v>
      </c>
      <c r="P7730" s="17">
        <v>1</v>
      </c>
      <c r="Q7730" s="19">
        <v>1433.03</v>
      </c>
      <c r="R7730" s="14">
        <v>160</v>
      </c>
      <c r="S7730" s="19">
        <v>229284.8</v>
      </c>
      <c r="AJ7730" s="19">
        <v>0</v>
      </c>
      <c r="AK7730" s="23">
        <v>0</v>
      </c>
      <c r="AM7730" s="19">
        <v>0</v>
      </c>
      <c r="AN7730" s="19">
        <v>229284.8</v>
      </c>
      <c r="AP7730" s="14">
        <v>229284.8</v>
      </c>
    </row>
    <row r="7731" spans="1:45" x14ac:dyDescent="0.2">
      <c r="A7731" s="122">
        <f t="shared" si="746"/>
        <v>6403</v>
      </c>
      <c r="B7731" s="13">
        <v>4</v>
      </c>
      <c r="C7731" s="17" t="s">
        <v>52</v>
      </c>
      <c r="D7731" s="17">
        <v>37037</v>
      </c>
      <c r="E7731" s="17">
        <v>85</v>
      </c>
      <c r="F7731" s="17">
        <v>7282</v>
      </c>
      <c r="G7731" s="13">
        <v>7</v>
      </c>
      <c r="H7731" s="17">
        <v>3</v>
      </c>
      <c r="I7731" s="17">
        <v>0</v>
      </c>
      <c r="J7731" s="17">
        <v>43</v>
      </c>
      <c r="K7731" s="10">
        <v>1243</v>
      </c>
      <c r="P7731" s="17">
        <v>1</v>
      </c>
      <c r="Q7731" s="19">
        <v>1243</v>
      </c>
      <c r="R7731" s="14">
        <v>250</v>
      </c>
      <c r="S7731" s="19">
        <v>310750</v>
      </c>
      <c r="AJ7731" s="19">
        <v>0</v>
      </c>
      <c r="AK7731" s="23">
        <v>0</v>
      </c>
      <c r="AM7731" s="19">
        <v>0</v>
      </c>
      <c r="AN7731" s="19">
        <v>310750</v>
      </c>
      <c r="AP7731" s="14">
        <v>310750</v>
      </c>
    </row>
    <row r="7732" spans="1:45" x14ac:dyDescent="0.2">
      <c r="B7732" s="13">
        <v>5</v>
      </c>
      <c r="C7732" s="17" t="s">
        <v>52</v>
      </c>
      <c r="D7732" s="17">
        <v>40851</v>
      </c>
      <c r="E7732" s="17">
        <v>2</v>
      </c>
      <c r="F7732" s="17">
        <v>8097</v>
      </c>
      <c r="H7732" s="17">
        <v>14</v>
      </c>
      <c r="I7732" s="17">
        <v>3</v>
      </c>
      <c r="J7732" s="17">
        <v>73.5</v>
      </c>
      <c r="P7732" s="17">
        <v>1</v>
      </c>
      <c r="Q7732" s="19">
        <v>5973.5</v>
      </c>
      <c r="S7732" s="19">
        <v>0</v>
      </c>
      <c r="AJ7732" s="19">
        <v>0</v>
      </c>
      <c r="AK7732" s="23">
        <v>0</v>
      </c>
      <c r="AM7732" s="19">
        <v>0</v>
      </c>
      <c r="AN7732" s="19">
        <v>0</v>
      </c>
      <c r="AP7732" s="14">
        <v>0</v>
      </c>
    </row>
    <row r="7733" spans="1:45" x14ac:dyDescent="0.2">
      <c r="A7733" s="2">
        <v>6404</v>
      </c>
      <c r="B7733" s="13">
        <v>5</v>
      </c>
      <c r="C7733" s="17" t="s">
        <v>65</v>
      </c>
      <c r="D7733" s="17">
        <v>3480</v>
      </c>
      <c r="E7733" s="17">
        <v>80</v>
      </c>
      <c r="H7733" s="17">
        <v>14</v>
      </c>
      <c r="I7733" s="17">
        <v>1</v>
      </c>
      <c r="J7733" s="17">
        <v>81</v>
      </c>
      <c r="K7733" s="10">
        <v>5781</v>
      </c>
      <c r="P7733" s="17">
        <v>1</v>
      </c>
      <c r="Q7733" s="19">
        <v>5781</v>
      </c>
      <c r="R7733" s="14">
        <v>160</v>
      </c>
      <c r="S7733" s="19">
        <v>924960</v>
      </c>
      <c r="AJ7733" s="19">
        <v>0</v>
      </c>
      <c r="AK7733" s="23">
        <v>0</v>
      </c>
      <c r="AM7733" s="19">
        <v>0</v>
      </c>
      <c r="AN7733" s="19">
        <v>924960</v>
      </c>
      <c r="AP7733" s="14">
        <v>924960</v>
      </c>
      <c r="AQ7733" s="12">
        <v>1E-4</v>
      </c>
    </row>
    <row r="7734" spans="1:45" x14ac:dyDescent="0.2">
      <c r="A7734" s="2">
        <f>+A7733+1</f>
        <v>6405</v>
      </c>
      <c r="B7734" s="13">
        <v>1</v>
      </c>
      <c r="C7734" s="17" t="s">
        <v>52</v>
      </c>
      <c r="D7734" s="17">
        <v>14825</v>
      </c>
      <c r="E7734" s="17">
        <v>86</v>
      </c>
      <c r="F7734" s="17">
        <v>3359</v>
      </c>
      <c r="G7734" s="13">
        <v>5</v>
      </c>
      <c r="H7734" s="17">
        <v>0</v>
      </c>
      <c r="I7734" s="17">
        <v>1</v>
      </c>
      <c r="J7734" s="17">
        <v>18</v>
      </c>
      <c r="K7734" s="10">
        <v>118</v>
      </c>
      <c r="P7734" s="17">
        <v>1</v>
      </c>
      <c r="Q7734" s="19">
        <v>118</v>
      </c>
      <c r="R7734" s="14">
        <v>200</v>
      </c>
      <c r="S7734" s="19">
        <v>23600</v>
      </c>
      <c r="AJ7734" s="19">
        <v>0</v>
      </c>
      <c r="AK7734" s="23">
        <v>0</v>
      </c>
      <c r="AM7734" s="19">
        <v>0</v>
      </c>
      <c r="AN7734" s="19">
        <v>23600</v>
      </c>
      <c r="AP7734" s="14">
        <v>23600</v>
      </c>
    </row>
    <row r="7735" spans="1:45" ht="63" x14ac:dyDescent="0.2">
      <c r="A7735" s="122">
        <f t="shared" ref="A7735:A7744" si="747">+A7734+1</f>
        <v>6406</v>
      </c>
      <c r="B7735" s="13">
        <v>1</v>
      </c>
      <c r="C7735" s="17" t="s">
        <v>52</v>
      </c>
      <c r="D7735" s="17">
        <v>29713</v>
      </c>
      <c r="E7735" s="17">
        <v>527</v>
      </c>
      <c r="F7735" s="17">
        <v>5507</v>
      </c>
      <c r="G7735" s="13">
        <v>2</v>
      </c>
      <c r="H7735" s="17">
        <v>0</v>
      </c>
      <c r="I7735" s="17">
        <v>0</v>
      </c>
      <c r="J7735" s="17">
        <v>38.08</v>
      </c>
      <c r="L7735" s="17" t="s">
        <v>794</v>
      </c>
      <c r="P7735" s="17">
        <v>2</v>
      </c>
      <c r="Q7735" s="19">
        <v>38.08</v>
      </c>
      <c r="R7735" s="14">
        <v>160</v>
      </c>
      <c r="S7735" s="19">
        <v>6092.7999999999993</v>
      </c>
      <c r="U7735" s="17" t="s">
        <v>63</v>
      </c>
      <c r="V7735" s="17" t="s">
        <v>56</v>
      </c>
      <c r="W7735" s="4">
        <v>216</v>
      </c>
      <c r="Y7735" s="4" t="s">
        <v>77</v>
      </c>
      <c r="AB7735" s="17" t="s">
        <v>78</v>
      </c>
      <c r="AF7735" s="14">
        <v>2</v>
      </c>
      <c r="AG7735" s="54">
        <v>216</v>
      </c>
      <c r="AH7735" s="11">
        <v>1</v>
      </c>
      <c r="AI7735" s="14">
        <v>8100</v>
      </c>
      <c r="AJ7735" s="19">
        <v>1749600</v>
      </c>
      <c r="AK7735" s="23" t="s">
        <v>78</v>
      </c>
      <c r="AL7735" s="11">
        <v>7.0000000000000007E-2</v>
      </c>
      <c r="AM7735" s="19">
        <v>1627128</v>
      </c>
      <c r="AN7735" s="19">
        <v>1633220.8</v>
      </c>
      <c r="AP7735" s="14">
        <v>1633220.8</v>
      </c>
      <c r="AQ7735" s="12">
        <v>2.0000000000000001E-4</v>
      </c>
    </row>
    <row r="7736" spans="1:45" ht="63" x14ac:dyDescent="0.2">
      <c r="A7736" s="122">
        <f t="shared" si="747"/>
        <v>6407</v>
      </c>
      <c r="B7736" s="13">
        <v>2</v>
      </c>
      <c r="C7736" s="17" t="s">
        <v>52</v>
      </c>
      <c r="D7736" s="17">
        <v>30138</v>
      </c>
      <c r="E7736" s="17">
        <v>535</v>
      </c>
      <c r="F7736" s="17">
        <v>5799</v>
      </c>
      <c r="G7736" s="13">
        <v>2</v>
      </c>
      <c r="H7736" s="17">
        <v>0</v>
      </c>
      <c r="I7736" s="17">
        <v>0</v>
      </c>
      <c r="J7736" s="17">
        <v>23.03</v>
      </c>
      <c r="L7736" s="17">
        <v>23.03</v>
      </c>
      <c r="P7736" s="17">
        <v>2</v>
      </c>
      <c r="Q7736" s="19">
        <v>23.03</v>
      </c>
      <c r="R7736" s="14">
        <v>160</v>
      </c>
      <c r="S7736" s="19">
        <v>3684.8</v>
      </c>
      <c r="U7736" s="17" t="s">
        <v>63</v>
      </c>
      <c r="V7736" s="17" t="s">
        <v>56</v>
      </c>
      <c r="W7736" s="4">
        <v>216</v>
      </c>
      <c r="Y7736" s="4" t="s">
        <v>77</v>
      </c>
      <c r="AB7736" s="17" t="s">
        <v>78</v>
      </c>
      <c r="AE7736" s="17">
        <v>216</v>
      </c>
      <c r="AF7736" s="14">
        <v>2</v>
      </c>
      <c r="AG7736" s="54">
        <v>216</v>
      </c>
      <c r="AH7736" s="11">
        <v>1</v>
      </c>
      <c r="AI7736" s="14">
        <v>8100</v>
      </c>
      <c r="AJ7736" s="19">
        <v>1749600</v>
      </c>
      <c r="AK7736" s="23" t="s">
        <v>78</v>
      </c>
      <c r="AL7736" s="11">
        <v>7.0000000000000007E-2</v>
      </c>
      <c r="AM7736" s="19">
        <v>1627128</v>
      </c>
      <c r="AN7736" s="19">
        <v>1630812.8</v>
      </c>
      <c r="AP7736" s="14">
        <v>1630812.8</v>
      </c>
      <c r="AQ7736" s="12">
        <v>2.0000000000000001E-4</v>
      </c>
    </row>
    <row r="7737" spans="1:45" ht="63" x14ac:dyDescent="0.2">
      <c r="A7737" s="122">
        <f t="shared" si="747"/>
        <v>6408</v>
      </c>
      <c r="B7737" s="13">
        <v>3</v>
      </c>
      <c r="C7737" s="17" t="s">
        <v>52</v>
      </c>
      <c r="D7737" s="17">
        <v>30139</v>
      </c>
      <c r="E7737" s="17">
        <v>536</v>
      </c>
      <c r="F7737" s="17">
        <v>5800</v>
      </c>
      <c r="G7737" s="13">
        <v>2</v>
      </c>
      <c r="H7737" s="17">
        <v>0</v>
      </c>
      <c r="I7737" s="17">
        <v>0</v>
      </c>
      <c r="J7737" s="17">
        <v>22.05</v>
      </c>
      <c r="L7737" s="17">
        <v>22.05</v>
      </c>
      <c r="P7737" s="17">
        <v>2</v>
      </c>
      <c r="Q7737" s="19">
        <v>22.05</v>
      </c>
      <c r="R7737" s="14">
        <v>160</v>
      </c>
      <c r="S7737" s="19">
        <v>3528</v>
      </c>
      <c r="U7737" s="17" t="s">
        <v>63</v>
      </c>
      <c r="V7737" s="17" t="s">
        <v>56</v>
      </c>
      <c r="W7737" s="4">
        <v>216</v>
      </c>
      <c r="Y7737" s="4" t="s">
        <v>77</v>
      </c>
      <c r="AB7737" s="17" t="s">
        <v>78</v>
      </c>
      <c r="AF7737" s="14">
        <v>2</v>
      </c>
      <c r="AG7737" s="54">
        <v>216</v>
      </c>
      <c r="AH7737" s="11">
        <v>1</v>
      </c>
      <c r="AI7737" s="14">
        <v>8100</v>
      </c>
      <c r="AJ7737" s="19">
        <v>1749600</v>
      </c>
      <c r="AK7737" s="23" t="s">
        <v>78</v>
      </c>
      <c r="AL7737" s="11">
        <v>7.0000000000000007E-2</v>
      </c>
      <c r="AM7737" s="19">
        <v>1627128</v>
      </c>
      <c r="AN7737" s="19">
        <v>1630656</v>
      </c>
      <c r="AP7737" s="14">
        <v>1630656</v>
      </c>
      <c r="AQ7737" s="12">
        <v>2.0000000000000001E-4</v>
      </c>
    </row>
    <row r="7738" spans="1:45" ht="63" x14ac:dyDescent="0.2">
      <c r="A7738" s="122">
        <f t="shared" si="747"/>
        <v>6409</v>
      </c>
      <c r="B7738" s="13">
        <v>4</v>
      </c>
      <c r="C7738" s="17" t="s">
        <v>52</v>
      </c>
      <c r="D7738" s="17">
        <v>30141</v>
      </c>
      <c r="E7738" s="17">
        <v>538</v>
      </c>
      <c r="F7738" s="17">
        <v>5802</v>
      </c>
      <c r="G7738" s="13">
        <v>2</v>
      </c>
      <c r="H7738" s="17">
        <v>0</v>
      </c>
      <c r="I7738" s="17">
        <v>0</v>
      </c>
      <c r="J7738" s="17">
        <v>22.05</v>
      </c>
      <c r="K7738" s="10">
        <v>22.05</v>
      </c>
      <c r="P7738" s="17">
        <v>1</v>
      </c>
      <c r="Q7738" s="19">
        <v>22.05</v>
      </c>
      <c r="R7738" s="14">
        <v>160</v>
      </c>
      <c r="S7738" s="19">
        <v>3528</v>
      </c>
      <c r="U7738" s="17" t="s">
        <v>63</v>
      </c>
      <c r="V7738" s="17" t="s">
        <v>56</v>
      </c>
      <c r="W7738" s="4">
        <v>216</v>
      </c>
      <c r="Y7738" s="4" t="s">
        <v>77</v>
      </c>
      <c r="AB7738" s="17" t="s">
        <v>78</v>
      </c>
      <c r="AF7738" s="14">
        <v>2</v>
      </c>
      <c r="AG7738" s="54">
        <v>216</v>
      </c>
      <c r="AH7738" s="11">
        <v>1</v>
      </c>
      <c r="AI7738" s="14">
        <v>8100</v>
      </c>
      <c r="AJ7738" s="19">
        <v>1749600</v>
      </c>
      <c r="AK7738" s="23" t="s">
        <v>78</v>
      </c>
      <c r="AL7738" s="11">
        <v>7.0000000000000007E-2</v>
      </c>
      <c r="AM7738" s="19">
        <v>1627128</v>
      </c>
      <c r="AN7738" s="19">
        <v>1630656</v>
      </c>
      <c r="AP7738" s="14">
        <v>1630656</v>
      </c>
      <c r="AQ7738" s="12">
        <v>2.0000000000000001E-4</v>
      </c>
    </row>
    <row r="7739" spans="1:45" ht="42" x14ac:dyDescent="0.2">
      <c r="A7739" s="122">
        <f t="shared" si="747"/>
        <v>6410</v>
      </c>
      <c r="B7739" s="13">
        <v>1</v>
      </c>
      <c r="C7739" s="17" t="s">
        <v>69</v>
      </c>
      <c r="E7739" s="17" t="s">
        <v>367</v>
      </c>
      <c r="F7739" s="17">
        <v>2</v>
      </c>
      <c r="G7739" s="13">
        <v>5</v>
      </c>
      <c r="H7739" s="17">
        <v>2</v>
      </c>
      <c r="I7739" s="17">
        <v>2</v>
      </c>
      <c r="J7739" s="17">
        <v>97</v>
      </c>
      <c r="K7739" s="10">
        <v>1097</v>
      </c>
      <c r="P7739" s="17">
        <v>1</v>
      </c>
      <c r="Q7739" s="19">
        <v>1097</v>
      </c>
      <c r="R7739" s="14">
        <v>160</v>
      </c>
      <c r="S7739" s="19">
        <v>175520</v>
      </c>
      <c r="AJ7739" s="19">
        <v>0</v>
      </c>
      <c r="AK7739" s="23">
        <v>0</v>
      </c>
      <c r="AM7739" s="19">
        <v>0</v>
      </c>
      <c r="AN7739" s="19">
        <v>175520</v>
      </c>
      <c r="AP7739" s="14">
        <v>175520</v>
      </c>
      <c r="AQ7739" s="12">
        <v>1E-4</v>
      </c>
      <c r="AS7739" s="26">
        <v>35</v>
      </c>
    </row>
    <row r="7740" spans="1:45" x14ac:dyDescent="0.2">
      <c r="A7740" s="122">
        <f t="shared" si="747"/>
        <v>6411</v>
      </c>
      <c r="B7740" s="13">
        <v>1</v>
      </c>
      <c r="C7740" s="17" t="s">
        <v>52</v>
      </c>
      <c r="D7740" s="17">
        <v>37189</v>
      </c>
      <c r="E7740" s="17">
        <v>20</v>
      </c>
      <c r="F7740" s="17">
        <v>7298</v>
      </c>
      <c r="G7740" s="13">
        <v>1</v>
      </c>
      <c r="H7740" s="17">
        <v>1</v>
      </c>
      <c r="I7740" s="17">
        <v>0</v>
      </c>
      <c r="J7740" s="17">
        <v>23.02</v>
      </c>
      <c r="K7740" s="10">
        <v>423</v>
      </c>
      <c r="P7740" s="17">
        <v>1</v>
      </c>
      <c r="Q7740" s="19">
        <v>423.02</v>
      </c>
      <c r="R7740" s="14">
        <v>200</v>
      </c>
      <c r="S7740" s="19">
        <v>84604</v>
      </c>
      <c r="AJ7740" s="19">
        <v>0</v>
      </c>
      <c r="AK7740" s="23">
        <v>0</v>
      </c>
      <c r="AM7740" s="19">
        <v>0</v>
      </c>
      <c r="AN7740" s="19">
        <v>84604</v>
      </c>
      <c r="AP7740" s="14">
        <v>84604</v>
      </c>
      <c r="AS7740" s="26">
        <v>6</v>
      </c>
    </row>
    <row r="7741" spans="1:45" x14ac:dyDescent="0.2">
      <c r="A7741" s="122">
        <f t="shared" si="747"/>
        <v>6412</v>
      </c>
      <c r="B7741" s="13">
        <v>1</v>
      </c>
      <c r="C7741" s="17" t="s">
        <v>65</v>
      </c>
      <c r="D7741" s="17">
        <v>1120</v>
      </c>
      <c r="E7741" s="17">
        <v>29</v>
      </c>
      <c r="H7741" s="17">
        <v>4</v>
      </c>
      <c r="I7741" s="17">
        <v>1</v>
      </c>
      <c r="J7741" s="17">
        <v>0</v>
      </c>
      <c r="K7741" s="10">
        <v>1700</v>
      </c>
      <c r="P7741" s="17">
        <v>1</v>
      </c>
      <c r="Q7741" s="19">
        <v>1700</v>
      </c>
      <c r="R7741" s="14">
        <v>160</v>
      </c>
      <c r="S7741" s="19">
        <v>272000</v>
      </c>
      <c r="AJ7741" s="19">
        <v>0</v>
      </c>
      <c r="AK7741" s="23">
        <v>0</v>
      </c>
      <c r="AM7741" s="19">
        <v>0</v>
      </c>
      <c r="AN7741" s="19">
        <v>272000</v>
      </c>
      <c r="AP7741" s="14">
        <v>272000</v>
      </c>
      <c r="AQ7741" s="12">
        <v>1E-4</v>
      </c>
    </row>
    <row r="7742" spans="1:45" x14ac:dyDescent="0.2">
      <c r="A7742" s="122">
        <f t="shared" si="747"/>
        <v>6413</v>
      </c>
      <c r="B7742" s="13">
        <v>2</v>
      </c>
      <c r="C7742" s="17" t="s">
        <v>65</v>
      </c>
      <c r="D7742" s="17">
        <v>1121</v>
      </c>
      <c r="E7742" s="17">
        <v>30</v>
      </c>
      <c r="H7742" s="17">
        <v>4</v>
      </c>
      <c r="I7742" s="17">
        <v>0</v>
      </c>
      <c r="J7742" s="17">
        <v>55</v>
      </c>
      <c r="K7742" s="10">
        <v>1655</v>
      </c>
      <c r="P7742" s="17">
        <v>1</v>
      </c>
      <c r="Q7742" s="19">
        <v>1655</v>
      </c>
      <c r="R7742" s="14">
        <v>160</v>
      </c>
      <c r="S7742" s="19">
        <v>264800</v>
      </c>
      <c r="AJ7742" s="19">
        <v>0</v>
      </c>
      <c r="AK7742" s="23">
        <v>0</v>
      </c>
      <c r="AM7742" s="19">
        <v>0</v>
      </c>
      <c r="AN7742" s="19">
        <v>264800</v>
      </c>
      <c r="AP7742" s="14">
        <v>264800</v>
      </c>
      <c r="AQ7742" s="12">
        <v>1E-4</v>
      </c>
    </row>
    <row r="7743" spans="1:45" x14ac:dyDescent="0.2">
      <c r="A7743" s="122">
        <f t="shared" si="747"/>
        <v>6414</v>
      </c>
      <c r="B7743" s="13">
        <v>1</v>
      </c>
      <c r="C7743" s="17" t="s">
        <v>69</v>
      </c>
      <c r="E7743" s="17">
        <v>2328</v>
      </c>
      <c r="F7743" s="17">
        <v>18</v>
      </c>
      <c r="G7743" s="13">
        <v>1</v>
      </c>
      <c r="H7743" s="17">
        <v>2</v>
      </c>
      <c r="I7743" s="17">
        <v>3</v>
      </c>
      <c r="J7743" s="17">
        <v>97</v>
      </c>
      <c r="K7743" s="10">
        <v>1197</v>
      </c>
      <c r="P7743" s="17">
        <v>1</v>
      </c>
      <c r="Q7743" s="19">
        <v>1197</v>
      </c>
      <c r="R7743" s="14">
        <v>160</v>
      </c>
      <c r="S7743" s="19">
        <v>191520</v>
      </c>
      <c r="AJ7743" s="19">
        <v>0</v>
      </c>
      <c r="AK7743" s="23">
        <v>0</v>
      </c>
      <c r="AM7743" s="19">
        <v>0</v>
      </c>
      <c r="AN7743" s="19">
        <v>191520</v>
      </c>
      <c r="AP7743" s="14">
        <v>191520</v>
      </c>
      <c r="AQ7743" s="12">
        <v>1E-4</v>
      </c>
    </row>
    <row r="7744" spans="1:45" ht="63" x14ac:dyDescent="0.2">
      <c r="A7744" s="122">
        <f t="shared" si="747"/>
        <v>6415</v>
      </c>
      <c r="B7744" s="13">
        <v>1</v>
      </c>
      <c r="C7744" s="17" t="s">
        <v>52</v>
      </c>
      <c r="D7744" s="17">
        <v>18387</v>
      </c>
      <c r="E7744" s="17">
        <v>30</v>
      </c>
      <c r="F7744" s="17">
        <v>4296</v>
      </c>
      <c r="G7744" s="13">
        <v>5</v>
      </c>
      <c r="H7744" s="17">
        <v>8</v>
      </c>
      <c r="I7744" s="17">
        <v>2</v>
      </c>
      <c r="J7744" s="17">
        <v>55.05</v>
      </c>
      <c r="K7744" s="10">
        <v>3455</v>
      </c>
      <c r="P7744" s="17">
        <v>5</v>
      </c>
      <c r="Q7744" s="19">
        <v>3455.05</v>
      </c>
      <c r="R7744" s="14">
        <v>375</v>
      </c>
      <c r="S7744" s="19">
        <v>1295643.75</v>
      </c>
      <c r="U7744" s="17" t="s">
        <v>57</v>
      </c>
      <c r="V7744" s="17" t="s">
        <v>56</v>
      </c>
      <c r="Y7744" s="4">
        <v>256</v>
      </c>
      <c r="AB7744" s="17" t="s">
        <v>336</v>
      </c>
      <c r="AJ7744" s="19">
        <v>0</v>
      </c>
      <c r="AK7744" s="23" t="s">
        <v>336</v>
      </c>
      <c r="AM7744" s="19">
        <v>0</v>
      </c>
      <c r="AN7744" s="19">
        <v>1295643.75</v>
      </c>
      <c r="AP7744" s="14">
        <v>1295643.75</v>
      </c>
    </row>
    <row r="7745" spans="1:45" ht="63" x14ac:dyDescent="0.2">
      <c r="Q7745" s="19">
        <v>0</v>
      </c>
      <c r="R7745" s="14" t="e">
        <v>#N/A</v>
      </c>
      <c r="U7745" s="17" t="s">
        <v>57</v>
      </c>
      <c r="V7745" s="17" t="s">
        <v>56</v>
      </c>
      <c r="Y7745" s="4" t="s">
        <v>282</v>
      </c>
      <c r="AB7745" s="17" t="s">
        <v>515</v>
      </c>
    </row>
    <row r="7746" spans="1:45" x14ac:dyDescent="0.2">
      <c r="A7746" s="2">
        <v>6416</v>
      </c>
      <c r="B7746" s="13">
        <v>1</v>
      </c>
      <c r="C7746" s="17" t="s">
        <v>52</v>
      </c>
      <c r="D7746" s="17">
        <v>31956</v>
      </c>
      <c r="E7746" s="17">
        <v>242</v>
      </c>
      <c r="F7746" s="17">
        <v>6275</v>
      </c>
      <c r="G7746" s="13">
        <v>2</v>
      </c>
      <c r="H7746" s="17">
        <v>1</v>
      </c>
      <c r="I7746" s="17">
        <v>0</v>
      </c>
      <c r="J7746" s="17">
        <v>16.04</v>
      </c>
      <c r="K7746" s="10">
        <v>416</v>
      </c>
      <c r="P7746" s="17">
        <v>1</v>
      </c>
      <c r="Q7746" s="19">
        <v>416.04</v>
      </c>
      <c r="R7746" s="14">
        <v>160</v>
      </c>
      <c r="S7746" s="19">
        <v>66566.400000000009</v>
      </c>
      <c r="AJ7746" s="19">
        <v>0</v>
      </c>
      <c r="AK7746" s="23">
        <v>0</v>
      </c>
      <c r="AM7746" s="19">
        <v>0</v>
      </c>
      <c r="AN7746" s="19">
        <v>66566.400000000009</v>
      </c>
      <c r="AP7746" s="14">
        <v>66566.400000000009</v>
      </c>
    </row>
    <row r="7747" spans="1:45" x14ac:dyDescent="0.2">
      <c r="A7747" s="2">
        <f>+A7746+1</f>
        <v>6417</v>
      </c>
      <c r="B7747" s="13">
        <v>1</v>
      </c>
      <c r="C7747" s="17" t="s">
        <v>52</v>
      </c>
      <c r="D7747" s="17">
        <v>31218</v>
      </c>
      <c r="E7747" s="17">
        <v>76</v>
      </c>
      <c r="F7747" s="17">
        <v>6195</v>
      </c>
      <c r="G7747" s="13">
        <v>7</v>
      </c>
      <c r="H7747" s="17">
        <v>0</v>
      </c>
      <c r="I7747" s="17">
        <v>0</v>
      </c>
      <c r="J7747" s="17">
        <v>40</v>
      </c>
      <c r="K7747" s="10">
        <v>40</v>
      </c>
      <c r="P7747" s="17">
        <v>1</v>
      </c>
      <c r="Q7747" s="19">
        <v>40</v>
      </c>
      <c r="R7747" s="14">
        <v>4500</v>
      </c>
      <c r="S7747" s="19">
        <v>180000</v>
      </c>
      <c r="AJ7747" s="19">
        <v>0</v>
      </c>
      <c r="AK7747" s="23">
        <v>0</v>
      </c>
      <c r="AM7747" s="19">
        <v>0</v>
      </c>
      <c r="AN7747" s="19">
        <v>180000</v>
      </c>
      <c r="AP7747" s="14">
        <v>180000</v>
      </c>
    </row>
    <row r="7748" spans="1:45" x14ac:dyDescent="0.2">
      <c r="A7748" s="122">
        <f t="shared" ref="A7748:A7760" si="748">+A7747+1</f>
        <v>6418</v>
      </c>
      <c r="B7748" s="13">
        <v>1</v>
      </c>
      <c r="C7748" s="17" t="s">
        <v>52</v>
      </c>
      <c r="D7748" s="17">
        <v>2054</v>
      </c>
      <c r="E7748" s="17">
        <v>77</v>
      </c>
      <c r="F7748" s="17">
        <v>1556</v>
      </c>
      <c r="G7748" s="13">
        <v>3</v>
      </c>
      <c r="H7748" s="17">
        <v>2</v>
      </c>
      <c r="I7748" s="17">
        <v>0</v>
      </c>
      <c r="J7748" s="17">
        <v>6</v>
      </c>
      <c r="K7748" s="10">
        <v>806</v>
      </c>
      <c r="P7748" s="17">
        <v>1</v>
      </c>
      <c r="Q7748" s="19">
        <v>806</v>
      </c>
      <c r="R7748" s="14">
        <v>160</v>
      </c>
      <c r="S7748" s="19">
        <v>128960</v>
      </c>
      <c r="AJ7748" s="19">
        <v>0</v>
      </c>
      <c r="AK7748" s="23">
        <v>0</v>
      </c>
      <c r="AM7748" s="19">
        <v>0</v>
      </c>
      <c r="AN7748" s="19">
        <v>128960</v>
      </c>
      <c r="AP7748" s="14">
        <v>128960</v>
      </c>
      <c r="AS7748" s="26">
        <v>114</v>
      </c>
    </row>
    <row r="7749" spans="1:45" x14ac:dyDescent="0.2">
      <c r="A7749" s="122">
        <f t="shared" si="748"/>
        <v>6419</v>
      </c>
      <c r="B7749" s="13">
        <v>2</v>
      </c>
      <c r="C7749" s="17" t="s">
        <v>52</v>
      </c>
      <c r="D7749" s="17">
        <v>2174</v>
      </c>
      <c r="E7749" s="17">
        <v>5</v>
      </c>
      <c r="F7749" s="17">
        <v>1683</v>
      </c>
      <c r="G7749" s="13">
        <v>3</v>
      </c>
      <c r="H7749" s="17">
        <v>0</v>
      </c>
      <c r="I7749" s="17">
        <v>0</v>
      </c>
      <c r="J7749" s="17">
        <v>75</v>
      </c>
      <c r="K7749" s="10" t="s">
        <v>403</v>
      </c>
      <c r="P7749" s="17">
        <v>1</v>
      </c>
      <c r="Q7749" s="19">
        <v>75</v>
      </c>
      <c r="R7749" s="14">
        <v>2000</v>
      </c>
      <c r="S7749" s="19">
        <v>150000</v>
      </c>
      <c r="AJ7749" s="19">
        <v>0</v>
      </c>
      <c r="AK7749" s="23">
        <v>0</v>
      </c>
      <c r="AM7749" s="19">
        <v>0</v>
      </c>
      <c r="AN7749" s="19">
        <v>150000</v>
      </c>
      <c r="AP7749" s="14">
        <v>150000</v>
      </c>
    </row>
    <row r="7750" spans="1:45" x14ac:dyDescent="0.2">
      <c r="A7750" s="122">
        <f t="shared" si="748"/>
        <v>6420</v>
      </c>
      <c r="B7750" s="13">
        <v>3</v>
      </c>
      <c r="C7750" s="17" t="s">
        <v>52</v>
      </c>
      <c r="D7750" s="17">
        <v>2193</v>
      </c>
      <c r="E7750" s="17">
        <v>4</v>
      </c>
      <c r="F7750" s="17">
        <v>1823</v>
      </c>
      <c r="G7750" s="13">
        <v>3</v>
      </c>
      <c r="H7750" s="17">
        <v>0</v>
      </c>
      <c r="I7750" s="17">
        <v>0</v>
      </c>
      <c r="J7750" s="17">
        <v>71</v>
      </c>
      <c r="K7750" s="10" t="s">
        <v>153</v>
      </c>
      <c r="P7750" s="17">
        <v>1</v>
      </c>
      <c r="Q7750" s="19">
        <v>71</v>
      </c>
      <c r="R7750" s="14">
        <v>2000</v>
      </c>
      <c r="S7750" s="19">
        <v>142000</v>
      </c>
      <c r="AJ7750" s="19">
        <v>0</v>
      </c>
      <c r="AK7750" s="23">
        <v>0</v>
      </c>
      <c r="AM7750" s="19">
        <v>0</v>
      </c>
      <c r="AN7750" s="19">
        <v>142000</v>
      </c>
      <c r="AP7750" s="14">
        <v>142000</v>
      </c>
    </row>
    <row r="7751" spans="1:45" x14ac:dyDescent="0.2">
      <c r="A7751" s="122">
        <f t="shared" si="748"/>
        <v>6421</v>
      </c>
      <c r="B7751" s="13">
        <v>4</v>
      </c>
      <c r="C7751" s="17" t="s">
        <v>52</v>
      </c>
      <c r="D7751" s="17">
        <v>2210</v>
      </c>
      <c r="E7751" s="17">
        <v>14</v>
      </c>
      <c r="F7751" s="17">
        <v>1659</v>
      </c>
      <c r="G7751" s="13">
        <v>3</v>
      </c>
      <c r="H7751" s="17">
        <v>5</v>
      </c>
      <c r="I7751" s="17">
        <v>2</v>
      </c>
      <c r="J7751" s="17">
        <v>52</v>
      </c>
      <c r="K7751" s="10">
        <v>2252</v>
      </c>
      <c r="P7751" s="17">
        <v>1</v>
      </c>
      <c r="Q7751" s="19">
        <v>2252</v>
      </c>
      <c r="R7751" s="14">
        <v>160</v>
      </c>
      <c r="S7751" s="19">
        <v>360320</v>
      </c>
      <c r="AJ7751" s="19">
        <v>0</v>
      </c>
      <c r="AK7751" s="23">
        <v>0</v>
      </c>
      <c r="AM7751" s="19">
        <v>0</v>
      </c>
      <c r="AN7751" s="19">
        <v>360320</v>
      </c>
      <c r="AP7751" s="14">
        <v>360320</v>
      </c>
    </row>
    <row r="7752" spans="1:45" x14ac:dyDescent="0.2">
      <c r="A7752" s="122">
        <f t="shared" si="748"/>
        <v>6422</v>
      </c>
      <c r="B7752" s="13">
        <v>5</v>
      </c>
      <c r="C7752" s="17" t="s">
        <v>52</v>
      </c>
      <c r="D7752" s="17">
        <v>2229</v>
      </c>
      <c r="E7752" s="17">
        <v>79</v>
      </c>
      <c r="F7752" s="17">
        <v>1555</v>
      </c>
      <c r="G7752" s="13">
        <v>3</v>
      </c>
      <c r="H7752" s="17">
        <v>1</v>
      </c>
      <c r="I7752" s="17">
        <v>1</v>
      </c>
      <c r="J7752" s="17">
        <v>89</v>
      </c>
      <c r="K7752" s="10">
        <v>589</v>
      </c>
      <c r="P7752" s="17">
        <v>1</v>
      </c>
      <c r="Q7752" s="19">
        <v>589</v>
      </c>
      <c r="R7752" s="14">
        <v>160</v>
      </c>
      <c r="S7752" s="19">
        <v>94240</v>
      </c>
      <c r="AJ7752" s="19">
        <v>0</v>
      </c>
      <c r="AK7752" s="23">
        <v>0</v>
      </c>
      <c r="AM7752" s="19">
        <v>0</v>
      </c>
      <c r="AN7752" s="19">
        <v>94240</v>
      </c>
      <c r="AP7752" s="14">
        <v>94240</v>
      </c>
    </row>
    <row r="7753" spans="1:45" ht="42" x14ac:dyDescent="0.2">
      <c r="A7753" s="122">
        <f t="shared" si="748"/>
        <v>6423</v>
      </c>
      <c r="B7753" s="13">
        <v>6</v>
      </c>
      <c r="C7753" s="17" t="s">
        <v>52</v>
      </c>
      <c r="D7753" s="17">
        <v>2330</v>
      </c>
      <c r="E7753" s="17">
        <v>45</v>
      </c>
      <c r="F7753" s="17">
        <v>1605</v>
      </c>
      <c r="G7753" s="13">
        <v>3</v>
      </c>
      <c r="H7753" s="17">
        <v>0</v>
      </c>
      <c r="I7753" s="17">
        <v>2</v>
      </c>
      <c r="J7753" s="17">
        <v>63</v>
      </c>
      <c r="K7753" s="10">
        <v>236.75</v>
      </c>
      <c r="L7753" s="17">
        <v>26.25</v>
      </c>
      <c r="P7753" s="17">
        <v>5</v>
      </c>
      <c r="Q7753" s="19">
        <v>263</v>
      </c>
      <c r="R7753" s="14">
        <v>2000</v>
      </c>
      <c r="S7753" s="19">
        <v>526000</v>
      </c>
      <c r="T7753" s="17">
        <v>1</v>
      </c>
      <c r="V7753" s="17" t="s">
        <v>183</v>
      </c>
      <c r="W7753" s="4">
        <v>105</v>
      </c>
      <c r="Y7753" s="4">
        <v>105</v>
      </c>
      <c r="AB7753" s="17">
        <v>9</v>
      </c>
      <c r="AJ7753" s="19">
        <v>0</v>
      </c>
      <c r="AK7753" s="23">
        <v>9</v>
      </c>
      <c r="AM7753" s="19">
        <v>0</v>
      </c>
      <c r="AN7753" s="19">
        <v>526000</v>
      </c>
      <c r="AP7753" s="14">
        <v>526000</v>
      </c>
    </row>
    <row r="7754" spans="1:45" x14ac:dyDescent="0.2">
      <c r="A7754" s="122">
        <f t="shared" si="748"/>
        <v>6424</v>
      </c>
      <c r="B7754" s="13">
        <v>7</v>
      </c>
      <c r="C7754" s="17" t="s">
        <v>52</v>
      </c>
      <c r="D7754" s="17">
        <v>16083</v>
      </c>
      <c r="E7754" s="17">
        <v>12</v>
      </c>
      <c r="F7754" s="17">
        <v>3561</v>
      </c>
      <c r="G7754" s="13">
        <v>3</v>
      </c>
      <c r="H7754" s="17">
        <v>17</v>
      </c>
      <c r="I7754" s="17">
        <v>0</v>
      </c>
      <c r="J7754" s="17">
        <v>59</v>
      </c>
      <c r="K7754" s="10">
        <v>6859</v>
      </c>
      <c r="P7754" s="17">
        <v>1</v>
      </c>
      <c r="Q7754" s="19">
        <v>6859</v>
      </c>
      <c r="R7754" s="14">
        <v>160</v>
      </c>
      <c r="S7754" s="19">
        <v>1097440</v>
      </c>
      <c r="AJ7754" s="19">
        <v>0</v>
      </c>
      <c r="AK7754" s="23">
        <v>0</v>
      </c>
      <c r="AM7754" s="19">
        <v>0</v>
      </c>
      <c r="AN7754" s="19">
        <v>1097440</v>
      </c>
      <c r="AP7754" s="14">
        <v>1097440</v>
      </c>
    </row>
    <row r="7755" spans="1:45" x14ac:dyDescent="0.2">
      <c r="A7755" s="122">
        <f t="shared" si="748"/>
        <v>6425</v>
      </c>
      <c r="B7755" s="13">
        <v>8</v>
      </c>
      <c r="C7755" s="17" t="s">
        <v>52</v>
      </c>
      <c r="D7755" s="17">
        <v>18665</v>
      </c>
      <c r="E7755" s="17">
        <v>45</v>
      </c>
      <c r="F7755" s="17">
        <v>4210</v>
      </c>
      <c r="G7755" s="13">
        <v>3</v>
      </c>
      <c r="H7755" s="17">
        <v>2</v>
      </c>
      <c r="I7755" s="17">
        <v>3</v>
      </c>
      <c r="J7755" s="17">
        <v>23</v>
      </c>
      <c r="K7755" s="10">
        <v>1123</v>
      </c>
      <c r="P7755" s="17">
        <v>1</v>
      </c>
      <c r="Q7755" s="19">
        <v>1123</v>
      </c>
      <c r="R7755" s="14">
        <v>160</v>
      </c>
      <c r="S7755" s="19">
        <v>179680</v>
      </c>
      <c r="AJ7755" s="19">
        <v>0</v>
      </c>
      <c r="AK7755" s="23">
        <v>0</v>
      </c>
      <c r="AM7755" s="19">
        <v>0</v>
      </c>
      <c r="AN7755" s="19">
        <v>179680</v>
      </c>
      <c r="AP7755" s="14">
        <v>179680</v>
      </c>
    </row>
    <row r="7756" spans="1:45" x14ac:dyDescent="0.2">
      <c r="A7756" s="122">
        <f t="shared" si="748"/>
        <v>6426</v>
      </c>
      <c r="B7756" s="13">
        <v>9</v>
      </c>
      <c r="C7756" s="17" t="s">
        <v>52</v>
      </c>
      <c r="D7756" s="17">
        <v>18670</v>
      </c>
      <c r="E7756" s="17">
        <v>27</v>
      </c>
      <c r="F7756" s="17">
        <v>4215</v>
      </c>
      <c r="G7756" s="13">
        <v>3</v>
      </c>
      <c r="H7756" s="17">
        <v>0</v>
      </c>
      <c r="I7756" s="17">
        <v>0</v>
      </c>
      <c r="J7756" s="17">
        <v>99</v>
      </c>
      <c r="K7756" s="10">
        <v>99</v>
      </c>
      <c r="P7756" s="17">
        <v>1</v>
      </c>
      <c r="Q7756" s="19">
        <v>99</v>
      </c>
      <c r="R7756" s="14">
        <v>160</v>
      </c>
      <c r="S7756" s="19">
        <v>15840</v>
      </c>
      <c r="AJ7756" s="19">
        <v>0</v>
      </c>
      <c r="AK7756" s="23">
        <v>0</v>
      </c>
      <c r="AM7756" s="19">
        <v>0</v>
      </c>
      <c r="AN7756" s="19">
        <v>15840</v>
      </c>
      <c r="AP7756" s="14">
        <v>15840</v>
      </c>
    </row>
    <row r="7757" spans="1:45" x14ac:dyDescent="0.2">
      <c r="A7757" s="122">
        <f t="shared" si="748"/>
        <v>6427</v>
      </c>
      <c r="B7757" s="13">
        <v>10</v>
      </c>
      <c r="C7757" s="17" t="s">
        <v>52</v>
      </c>
      <c r="D7757" s="17">
        <v>32199</v>
      </c>
      <c r="E7757" s="17">
        <v>137</v>
      </c>
      <c r="F7757" s="17">
        <v>6383</v>
      </c>
      <c r="G7757" s="13">
        <v>3</v>
      </c>
      <c r="H7757" s="17">
        <v>0</v>
      </c>
      <c r="I7757" s="17">
        <v>0</v>
      </c>
      <c r="J7757" s="17">
        <v>80.08</v>
      </c>
      <c r="K7757" s="10">
        <v>80.08</v>
      </c>
      <c r="P7757" s="17">
        <v>1</v>
      </c>
      <c r="Q7757" s="19">
        <v>80.08</v>
      </c>
      <c r="R7757" s="14">
        <v>160</v>
      </c>
      <c r="S7757" s="19">
        <v>12812.8</v>
      </c>
      <c r="AJ7757" s="19">
        <v>0</v>
      </c>
      <c r="AK7757" s="23">
        <v>0</v>
      </c>
      <c r="AM7757" s="19">
        <v>0</v>
      </c>
      <c r="AN7757" s="19">
        <v>12812.8</v>
      </c>
      <c r="AP7757" s="14">
        <v>12812.8</v>
      </c>
    </row>
    <row r="7758" spans="1:45" x14ac:dyDescent="0.2">
      <c r="A7758" s="122">
        <f t="shared" si="748"/>
        <v>6428</v>
      </c>
      <c r="B7758" s="13">
        <v>11</v>
      </c>
      <c r="C7758" s="17" t="s">
        <v>52</v>
      </c>
      <c r="D7758" s="17">
        <v>32360</v>
      </c>
      <c r="E7758" s="17">
        <v>59</v>
      </c>
      <c r="F7758" s="17">
        <v>6399</v>
      </c>
      <c r="G7758" s="13">
        <v>3</v>
      </c>
      <c r="H7758" s="17">
        <v>1</v>
      </c>
      <c r="I7758" s="17">
        <v>3</v>
      </c>
      <c r="J7758" s="17">
        <v>99</v>
      </c>
      <c r="K7758" s="10">
        <v>799</v>
      </c>
      <c r="P7758" s="17">
        <v>1</v>
      </c>
      <c r="Q7758" s="19">
        <v>799</v>
      </c>
      <c r="R7758" s="14">
        <v>160</v>
      </c>
      <c r="S7758" s="19">
        <v>127840</v>
      </c>
      <c r="AJ7758" s="19">
        <v>0</v>
      </c>
      <c r="AK7758" s="23">
        <v>0</v>
      </c>
      <c r="AM7758" s="19">
        <v>0</v>
      </c>
      <c r="AN7758" s="19">
        <v>127840</v>
      </c>
      <c r="AP7758" s="14">
        <v>127840</v>
      </c>
    </row>
    <row r="7759" spans="1:45" x14ac:dyDescent="0.2">
      <c r="A7759" s="122">
        <f t="shared" si="748"/>
        <v>6429</v>
      </c>
      <c r="B7759" s="13">
        <v>12</v>
      </c>
      <c r="C7759" s="17" t="s">
        <v>52</v>
      </c>
      <c r="D7759" s="17">
        <v>33778</v>
      </c>
      <c r="E7759" s="17">
        <v>40</v>
      </c>
      <c r="F7759" s="17">
        <v>6747</v>
      </c>
      <c r="G7759" s="13">
        <v>3</v>
      </c>
      <c r="H7759" s="17">
        <v>0</v>
      </c>
      <c r="I7759" s="17">
        <v>0</v>
      </c>
      <c r="J7759" s="17">
        <v>82</v>
      </c>
      <c r="K7759" s="10">
        <v>82</v>
      </c>
      <c r="P7759" s="17">
        <v>1</v>
      </c>
      <c r="Q7759" s="19">
        <v>82</v>
      </c>
      <c r="R7759" s="14">
        <v>250</v>
      </c>
      <c r="S7759" s="19">
        <v>20500</v>
      </c>
      <c r="AJ7759" s="19">
        <v>0</v>
      </c>
      <c r="AK7759" s="23">
        <v>0</v>
      </c>
      <c r="AM7759" s="19">
        <v>0</v>
      </c>
      <c r="AN7759" s="19">
        <v>20500</v>
      </c>
      <c r="AP7759" s="14">
        <v>20500</v>
      </c>
    </row>
    <row r="7760" spans="1:45" x14ac:dyDescent="0.2">
      <c r="A7760" s="122">
        <f t="shared" si="748"/>
        <v>6430</v>
      </c>
      <c r="B7760" s="13">
        <v>13</v>
      </c>
      <c r="C7760" s="17" t="s">
        <v>52</v>
      </c>
      <c r="D7760" s="17">
        <v>39244</v>
      </c>
      <c r="E7760" s="17">
        <v>75</v>
      </c>
      <c r="F7760" s="17">
        <v>7823</v>
      </c>
      <c r="H7760" s="17">
        <v>5</v>
      </c>
      <c r="I7760" s="17">
        <v>2</v>
      </c>
      <c r="J7760" s="17">
        <v>39</v>
      </c>
      <c r="K7760" s="10" t="s">
        <v>795</v>
      </c>
      <c r="P7760" s="17">
        <v>1</v>
      </c>
      <c r="Q7760" s="19">
        <v>2239</v>
      </c>
      <c r="R7760" s="14">
        <v>160</v>
      </c>
      <c r="S7760" s="19">
        <v>358240</v>
      </c>
      <c r="AN7760" s="19">
        <v>358240</v>
      </c>
      <c r="AP7760" s="14">
        <v>358240</v>
      </c>
    </row>
    <row r="7761" spans="1:45" x14ac:dyDescent="0.2">
      <c r="B7761" s="13">
        <v>13</v>
      </c>
      <c r="C7761" s="17" t="s">
        <v>65</v>
      </c>
      <c r="D7761" s="17">
        <v>366</v>
      </c>
      <c r="E7761" s="17">
        <v>113</v>
      </c>
      <c r="H7761" s="17">
        <v>15</v>
      </c>
      <c r="I7761" s="17">
        <v>0</v>
      </c>
      <c r="J7761" s="17">
        <v>90</v>
      </c>
      <c r="K7761" s="10">
        <v>6090</v>
      </c>
      <c r="P7761" s="17">
        <v>1</v>
      </c>
      <c r="Q7761" s="19">
        <v>6090</v>
      </c>
      <c r="R7761" s="14" t="e">
        <v>#N/A</v>
      </c>
      <c r="S7761" s="19" t="e">
        <v>#N/A</v>
      </c>
      <c r="AD7761" s="14" t="s">
        <v>94</v>
      </c>
      <c r="AE7761" s="17" t="s">
        <v>220</v>
      </c>
      <c r="AJ7761" s="19">
        <v>0</v>
      </c>
      <c r="AK7761" s="23">
        <v>0</v>
      </c>
      <c r="AM7761" s="19">
        <v>0</v>
      </c>
      <c r="AN7761" s="19" t="e">
        <v>#N/A</v>
      </c>
      <c r="AP7761" s="14" t="e">
        <v>#N/A</v>
      </c>
      <c r="AQ7761" s="12">
        <v>1E-4</v>
      </c>
    </row>
    <row r="7762" spans="1:45" x14ac:dyDescent="0.2">
      <c r="A7762" s="2">
        <v>6431</v>
      </c>
      <c r="B7762" s="13">
        <v>1</v>
      </c>
      <c r="C7762" s="17" t="s">
        <v>52</v>
      </c>
      <c r="D7762" s="17">
        <v>5066</v>
      </c>
      <c r="E7762" s="17">
        <v>85</v>
      </c>
      <c r="F7762" s="17">
        <v>2442</v>
      </c>
      <c r="G7762" s="13">
        <v>1</v>
      </c>
      <c r="H7762" s="17">
        <v>10</v>
      </c>
      <c r="I7762" s="17">
        <v>3</v>
      </c>
      <c r="J7762" s="17">
        <v>13</v>
      </c>
      <c r="K7762" s="10">
        <v>4313</v>
      </c>
      <c r="P7762" s="17">
        <v>1</v>
      </c>
      <c r="Q7762" s="19">
        <v>4313</v>
      </c>
      <c r="R7762" s="14">
        <v>160</v>
      </c>
      <c r="S7762" s="19">
        <v>690080</v>
      </c>
      <c r="AJ7762" s="19">
        <v>0</v>
      </c>
      <c r="AK7762" s="23">
        <v>0</v>
      </c>
      <c r="AM7762" s="19">
        <v>0</v>
      </c>
      <c r="AN7762" s="19">
        <v>690080</v>
      </c>
      <c r="AP7762" s="14">
        <v>690080</v>
      </c>
    </row>
    <row r="7763" spans="1:45" x14ac:dyDescent="0.2">
      <c r="A7763" s="2">
        <f>+A7762+1</f>
        <v>6432</v>
      </c>
      <c r="B7763" s="13">
        <v>1</v>
      </c>
      <c r="C7763" s="17" t="s">
        <v>52</v>
      </c>
      <c r="D7763" s="17">
        <v>2140</v>
      </c>
      <c r="E7763" s="17">
        <v>7</v>
      </c>
      <c r="F7763" s="17">
        <v>1713</v>
      </c>
      <c r="G7763" s="13">
        <v>4</v>
      </c>
      <c r="H7763" s="17">
        <v>0</v>
      </c>
      <c r="I7763" s="17">
        <v>0</v>
      </c>
      <c r="J7763" s="17">
        <v>58.06</v>
      </c>
      <c r="L7763" s="17">
        <v>58.06</v>
      </c>
      <c r="P7763" s="17">
        <v>2</v>
      </c>
      <c r="Q7763" s="19">
        <v>58.06</v>
      </c>
      <c r="R7763" s="14">
        <v>200</v>
      </c>
      <c r="S7763" s="19">
        <v>11612</v>
      </c>
      <c r="AJ7763" s="19">
        <v>0</v>
      </c>
      <c r="AK7763" s="23">
        <v>0</v>
      </c>
      <c r="AM7763" s="19">
        <v>0</v>
      </c>
      <c r="AN7763" s="19">
        <v>11612</v>
      </c>
      <c r="AP7763" s="14">
        <v>11612</v>
      </c>
    </row>
    <row r="7764" spans="1:45" x14ac:dyDescent="0.2">
      <c r="A7764" s="122">
        <f t="shared" ref="A7764:A7770" si="749">+A7763+1</f>
        <v>6433</v>
      </c>
      <c r="B7764" s="13">
        <v>2</v>
      </c>
      <c r="C7764" s="17" t="s">
        <v>52</v>
      </c>
      <c r="D7764" s="17">
        <v>2214</v>
      </c>
      <c r="E7764" s="17">
        <v>3</v>
      </c>
      <c r="F7764" s="17">
        <v>1707</v>
      </c>
      <c r="G7764" s="13">
        <v>4</v>
      </c>
      <c r="H7764" s="17">
        <v>0</v>
      </c>
      <c r="I7764" s="17">
        <v>0</v>
      </c>
      <c r="J7764" s="17">
        <v>21</v>
      </c>
      <c r="L7764" s="17">
        <v>21</v>
      </c>
      <c r="P7764" s="17">
        <v>2</v>
      </c>
      <c r="Q7764" s="19">
        <v>21</v>
      </c>
      <c r="R7764" s="14">
        <v>2000</v>
      </c>
      <c r="S7764" s="19">
        <v>42000</v>
      </c>
      <c r="AJ7764" s="19">
        <v>0</v>
      </c>
      <c r="AK7764" s="23">
        <v>0</v>
      </c>
      <c r="AM7764" s="19">
        <v>0</v>
      </c>
      <c r="AN7764" s="19">
        <v>42000</v>
      </c>
      <c r="AP7764" s="14">
        <v>42000</v>
      </c>
    </row>
    <row r="7765" spans="1:45" x14ac:dyDescent="0.2">
      <c r="A7765" s="122">
        <f t="shared" si="749"/>
        <v>6434</v>
      </c>
      <c r="B7765" s="13">
        <v>3</v>
      </c>
      <c r="C7765" s="17" t="s">
        <v>52</v>
      </c>
      <c r="D7765" s="17">
        <v>11713</v>
      </c>
      <c r="E7765" s="17">
        <v>73</v>
      </c>
      <c r="F7765" s="17">
        <v>3178</v>
      </c>
      <c r="G7765" s="13">
        <v>4</v>
      </c>
      <c r="H7765" s="17">
        <v>0</v>
      </c>
      <c r="I7765" s="17">
        <v>0</v>
      </c>
      <c r="J7765" s="17">
        <v>11.06</v>
      </c>
      <c r="L7765" s="17">
        <v>11.06</v>
      </c>
      <c r="P7765" s="17">
        <v>2</v>
      </c>
      <c r="Q7765" s="19">
        <v>11.06</v>
      </c>
      <c r="R7765" s="14">
        <v>2000</v>
      </c>
      <c r="S7765" s="19">
        <v>22120</v>
      </c>
      <c r="AJ7765" s="19">
        <v>0</v>
      </c>
      <c r="AK7765" s="23">
        <v>0</v>
      </c>
      <c r="AM7765" s="19">
        <v>0</v>
      </c>
      <c r="AN7765" s="19">
        <v>22120</v>
      </c>
      <c r="AP7765" s="14">
        <v>22120</v>
      </c>
    </row>
    <row r="7766" spans="1:45" x14ac:dyDescent="0.2">
      <c r="A7766" s="122">
        <f t="shared" si="749"/>
        <v>6435</v>
      </c>
      <c r="B7766" s="13">
        <v>1</v>
      </c>
      <c r="C7766" s="17" t="s">
        <v>69</v>
      </c>
      <c r="E7766" s="17">
        <v>1469</v>
      </c>
      <c r="F7766" s="17">
        <v>14</v>
      </c>
      <c r="G7766" s="13">
        <v>2</v>
      </c>
      <c r="H7766" s="17">
        <v>4</v>
      </c>
      <c r="I7766" s="17">
        <v>0</v>
      </c>
      <c r="J7766" s="17">
        <v>61</v>
      </c>
      <c r="K7766" s="10">
        <v>1661</v>
      </c>
      <c r="P7766" s="17">
        <v>1</v>
      </c>
      <c r="Q7766" s="19">
        <v>1661</v>
      </c>
      <c r="R7766" s="14">
        <v>160</v>
      </c>
      <c r="S7766" s="19">
        <v>265760</v>
      </c>
      <c r="AJ7766" s="19">
        <v>0</v>
      </c>
      <c r="AK7766" s="23">
        <v>0</v>
      </c>
      <c r="AM7766" s="19">
        <v>0</v>
      </c>
      <c r="AN7766" s="19">
        <v>265760</v>
      </c>
      <c r="AP7766" s="14">
        <v>265760</v>
      </c>
      <c r="AQ7766" s="12">
        <v>1E-4</v>
      </c>
    </row>
    <row r="7767" spans="1:45" x14ac:dyDescent="0.2">
      <c r="A7767" s="122">
        <f t="shared" si="749"/>
        <v>6436</v>
      </c>
      <c r="B7767" s="13">
        <v>1</v>
      </c>
      <c r="C7767" s="17" t="s">
        <v>69</v>
      </c>
      <c r="E7767" s="17">
        <v>1500</v>
      </c>
      <c r="F7767" s="17">
        <v>12</v>
      </c>
      <c r="G7767" s="13">
        <v>6</v>
      </c>
      <c r="H7767" s="17">
        <v>18</v>
      </c>
      <c r="I7767" s="17">
        <v>3</v>
      </c>
      <c r="J7767" s="17">
        <v>65</v>
      </c>
      <c r="K7767" s="10">
        <v>7565</v>
      </c>
      <c r="P7767" s="17">
        <v>1</v>
      </c>
      <c r="Q7767" s="19">
        <v>7565</v>
      </c>
      <c r="R7767" s="14">
        <v>200</v>
      </c>
      <c r="S7767" s="19">
        <v>1513000</v>
      </c>
      <c r="AJ7767" s="19">
        <v>0</v>
      </c>
      <c r="AK7767" s="23">
        <v>0</v>
      </c>
      <c r="AM7767" s="19">
        <v>0</v>
      </c>
      <c r="AN7767" s="19">
        <v>1513000</v>
      </c>
      <c r="AP7767" s="14">
        <v>1513000</v>
      </c>
      <c r="AQ7767" s="12">
        <v>1E-4</v>
      </c>
    </row>
    <row r="7768" spans="1:45" x14ac:dyDescent="0.2">
      <c r="A7768" s="122">
        <f t="shared" si="749"/>
        <v>6437</v>
      </c>
      <c r="B7768" s="13">
        <v>1</v>
      </c>
      <c r="C7768" s="17" t="s">
        <v>69</v>
      </c>
      <c r="E7768" s="17">
        <v>1496</v>
      </c>
      <c r="F7768" s="17">
        <v>5</v>
      </c>
      <c r="G7768" s="13">
        <v>6</v>
      </c>
      <c r="H7768" s="17">
        <v>46</v>
      </c>
      <c r="I7768" s="17">
        <v>3</v>
      </c>
      <c r="J7768" s="17">
        <v>47</v>
      </c>
      <c r="K7768" s="10">
        <v>18747</v>
      </c>
      <c r="P7768" s="17">
        <v>1</v>
      </c>
      <c r="Q7768" s="19">
        <v>18747</v>
      </c>
      <c r="R7768" s="14">
        <v>200</v>
      </c>
      <c r="S7768" s="19">
        <v>3749400</v>
      </c>
      <c r="AJ7768" s="19">
        <v>0</v>
      </c>
      <c r="AK7768" s="23">
        <v>0</v>
      </c>
      <c r="AM7768" s="19">
        <v>0</v>
      </c>
      <c r="AN7768" s="19">
        <v>3749400</v>
      </c>
      <c r="AP7768" s="14">
        <v>3749400</v>
      </c>
      <c r="AQ7768" s="12">
        <v>1E-4</v>
      </c>
      <c r="AS7768" s="26">
        <v>258</v>
      </c>
    </row>
    <row r="7769" spans="1:45" x14ac:dyDescent="0.2">
      <c r="A7769" s="122">
        <f t="shared" si="749"/>
        <v>6438</v>
      </c>
      <c r="B7769" s="13">
        <v>1</v>
      </c>
      <c r="C7769" s="17" t="s">
        <v>69</v>
      </c>
      <c r="E7769" s="17">
        <v>1515</v>
      </c>
      <c r="F7769" s="17">
        <v>4</v>
      </c>
      <c r="G7769" s="13">
        <v>6</v>
      </c>
      <c r="H7769" s="17">
        <v>20</v>
      </c>
      <c r="I7769" s="17">
        <v>0</v>
      </c>
      <c r="J7769" s="17">
        <v>0</v>
      </c>
      <c r="K7769" s="10" t="s">
        <v>796</v>
      </c>
      <c r="P7769" s="17">
        <v>1</v>
      </c>
      <c r="Q7769" s="19">
        <v>8000</v>
      </c>
      <c r="R7769" s="14">
        <v>160</v>
      </c>
      <c r="S7769" s="19">
        <v>1280000</v>
      </c>
      <c r="AD7769" s="14" t="s">
        <v>171</v>
      </c>
      <c r="AJ7769" s="19">
        <v>0</v>
      </c>
      <c r="AK7769" s="23">
        <v>0</v>
      </c>
      <c r="AM7769" s="19">
        <v>0</v>
      </c>
      <c r="AN7769" s="19">
        <v>1280000</v>
      </c>
      <c r="AP7769" s="14">
        <v>1280000</v>
      </c>
      <c r="AQ7769" s="12">
        <v>1E-4</v>
      </c>
    </row>
    <row r="7770" spans="1:45" x14ac:dyDescent="0.2">
      <c r="A7770" s="122">
        <f t="shared" si="749"/>
        <v>6439</v>
      </c>
      <c r="B7770" s="13">
        <v>1</v>
      </c>
      <c r="C7770" s="17" t="s">
        <v>52</v>
      </c>
      <c r="D7770" s="17">
        <v>18691</v>
      </c>
      <c r="E7770" s="17">
        <v>207</v>
      </c>
      <c r="F7770" s="17">
        <v>4202</v>
      </c>
      <c r="H7770" s="17">
        <v>0</v>
      </c>
      <c r="I7770" s="17">
        <v>0</v>
      </c>
      <c r="J7770" s="17">
        <v>50</v>
      </c>
      <c r="N7770" s="18">
        <v>50</v>
      </c>
      <c r="P7770" s="17">
        <v>4</v>
      </c>
      <c r="Q7770" s="19">
        <v>50</v>
      </c>
      <c r="R7770" s="14">
        <v>250</v>
      </c>
      <c r="S7770" s="19">
        <v>12500</v>
      </c>
      <c r="AJ7770" s="19">
        <v>0</v>
      </c>
      <c r="AK7770" s="23">
        <v>0</v>
      </c>
      <c r="AM7770" s="19">
        <v>0</v>
      </c>
      <c r="AN7770" s="19">
        <v>12500</v>
      </c>
      <c r="AP7770" s="14">
        <v>12500</v>
      </c>
      <c r="AQ7770" s="12">
        <v>3.0000000000000001E-3</v>
      </c>
    </row>
    <row r="7771" spans="1:45" x14ac:dyDescent="0.2">
      <c r="B7771" s="13">
        <v>1</v>
      </c>
      <c r="C7771" s="17" t="s">
        <v>97</v>
      </c>
      <c r="D7771" s="17">
        <v>323</v>
      </c>
      <c r="G7771" s="13">
        <v>2</v>
      </c>
      <c r="H7771" s="17">
        <v>20</v>
      </c>
      <c r="I7771" s="17">
        <v>0</v>
      </c>
      <c r="J7771" s="17">
        <v>0</v>
      </c>
      <c r="K7771" s="10">
        <v>8000</v>
      </c>
      <c r="P7771" s="17">
        <v>1</v>
      </c>
      <c r="Q7771" s="19">
        <v>8000</v>
      </c>
      <c r="R7771" s="14" t="e">
        <v>#N/A</v>
      </c>
      <c r="S7771" s="19" t="e">
        <v>#N/A</v>
      </c>
      <c r="AJ7771" s="19">
        <v>0</v>
      </c>
      <c r="AK7771" s="23">
        <v>0</v>
      </c>
      <c r="AM7771" s="19">
        <v>0</v>
      </c>
      <c r="AN7771" s="19" t="e">
        <v>#N/A</v>
      </c>
      <c r="AP7771" s="14" t="e">
        <v>#N/A</v>
      </c>
      <c r="AQ7771" s="12">
        <v>1E-4</v>
      </c>
    </row>
    <row r="7772" spans="1:45" x14ac:dyDescent="0.2">
      <c r="A7772" s="2">
        <v>6440</v>
      </c>
      <c r="B7772" s="13">
        <v>1</v>
      </c>
      <c r="C7772" s="17" t="s">
        <v>52</v>
      </c>
      <c r="D7772" s="17">
        <v>1899</v>
      </c>
      <c r="E7772" s="17">
        <v>64</v>
      </c>
      <c r="F7772" s="17">
        <v>448</v>
      </c>
      <c r="G7772" s="13">
        <v>2</v>
      </c>
      <c r="H7772" s="17">
        <v>0</v>
      </c>
      <c r="I7772" s="17">
        <v>0</v>
      </c>
      <c r="J7772" s="17">
        <v>53</v>
      </c>
      <c r="N7772" s="18">
        <v>53</v>
      </c>
      <c r="P7772" s="17">
        <v>4</v>
      </c>
      <c r="Q7772" s="19">
        <v>53</v>
      </c>
      <c r="R7772" s="14">
        <v>4500</v>
      </c>
      <c r="S7772" s="19">
        <v>238500</v>
      </c>
      <c r="AJ7772" s="19">
        <v>0</v>
      </c>
      <c r="AK7772" s="23">
        <v>0</v>
      </c>
      <c r="AM7772" s="19">
        <v>0</v>
      </c>
      <c r="AN7772" s="19">
        <v>238500</v>
      </c>
      <c r="AP7772" s="14">
        <v>238500</v>
      </c>
      <c r="AQ7772" s="12">
        <v>3.0000000000000001E-3</v>
      </c>
    </row>
    <row r="7773" spans="1:45" x14ac:dyDescent="0.2">
      <c r="A7773" s="2">
        <f>+A7772+1</f>
        <v>6441</v>
      </c>
      <c r="B7773" s="13">
        <v>1</v>
      </c>
      <c r="C7773" s="17" t="s">
        <v>52</v>
      </c>
      <c r="D7773" s="17">
        <v>17702</v>
      </c>
      <c r="E7773" s="17">
        <v>40</v>
      </c>
      <c r="F7773" s="17">
        <v>3830</v>
      </c>
      <c r="G7773" s="13">
        <v>3</v>
      </c>
      <c r="H7773" s="17">
        <v>0</v>
      </c>
      <c r="I7773" s="17">
        <v>0</v>
      </c>
      <c r="J7773" s="17">
        <v>51</v>
      </c>
      <c r="N7773" s="18">
        <v>51</v>
      </c>
      <c r="P7773" s="17">
        <v>4</v>
      </c>
      <c r="Q7773" s="19">
        <v>51</v>
      </c>
      <c r="R7773" s="14">
        <v>2000</v>
      </c>
      <c r="S7773" s="19">
        <v>102000</v>
      </c>
      <c r="AJ7773" s="19">
        <v>0</v>
      </c>
      <c r="AK7773" s="23">
        <v>0</v>
      </c>
      <c r="AM7773" s="19">
        <v>0</v>
      </c>
      <c r="AN7773" s="19">
        <v>102000</v>
      </c>
      <c r="AP7773" s="14">
        <v>102000</v>
      </c>
      <c r="AQ7773" s="12">
        <v>3.0000000000000001E-3</v>
      </c>
      <c r="AS7773" s="26">
        <v>1</v>
      </c>
    </row>
    <row r="7774" spans="1:45" x14ac:dyDescent="0.2">
      <c r="A7774" s="122">
        <f t="shared" ref="A7774:A7775" si="750">+A7773+1</f>
        <v>6442</v>
      </c>
      <c r="B7774" s="13">
        <v>1</v>
      </c>
      <c r="C7774" s="17" t="s">
        <v>52</v>
      </c>
      <c r="D7774" s="17">
        <v>2339</v>
      </c>
      <c r="E7774" s="17">
        <v>8</v>
      </c>
      <c r="F7774" s="17">
        <v>1681</v>
      </c>
      <c r="G7774" s="13">
        <v>3</v>
      </c>
      <c r="H7774" s="17">
        <v>0</v>
      </c>
      <c r="I7774" s="17">
        <v>1</v>
      </c>
      <c r="J7774" s="17">
        <v>40</v>
      </c>
      <c r="N7774" s="18">
        <v>140</v>
      </c>
      <c r="P7774" s="17">
        <v>4</v>
      </c>
      <c r="Q7774" s="19">
        <v>140</v>
      </c>
      <c r="R7774" s="14">
        <v>2000</v>
      </c>
      <c r="S7774" s="19">
        <v>280000</v>
      </c>
      <c r="AJ7774" s="19">
        <v>0</v>
      </c>
      <c r="AK7774" s="23">
        <v>0</v>
      </c>
      <c r="AM7774" s="19">
        <v>0</v>
      </c>
      <c r="AN7774" s="19">
        <v>280000</v>
      </c>
      <c r="AP7774" s="14">
        <v>280000</v>
      </c>
      <c r="AQ7774" s="12">
        <v>3.0000000000000001E-3</v>
      </c>
    </row>
    <row r="7775" spans="1:45" ht="42" x14ac:dyDescent="0.2">
      <c r="A7775" s="122">
        <f t="shared" si="750"/>
        <v>6443</v>
      </c>
      <c r="B7775" s="13">
        <v>1</v>
      </c>
      <c r="C7775" s="17" t="s">
        <v>52</v>
      </c>
      <c r="D7775" s="17">
        <v>5865</v>
      </c>
      <c r="E7775" s="17">
        <v>10</v>
      </c>
      <c r="F7775" s="17">
        <v>2981</v>
      </c>
      <c r="G7775" s="13">
        <v>5</v>
      </c>
      <c r="H7775" s="17">
        <v>2</v>
      </c>
      <c r="I7775" s="17">
        <v>3</v>
      </c>
      <c r="J7775" s="17">
        <v>86</v>
      </c>
      <c r="K7775" s="10">
        <v>1122</v>
      </c>
      <c r="L7775" s="17">
        <v>64</v>
      </c>
      <c r="P7775" s="17">
        <v>5</v>
      </c>
      <c r="Q7775" s="19">
        <v>1186</v>
      </c>
      <c r="R7775" s="14">
        <v>200</v>
      </c>
      <c r="S7775" s="19">
        <v>237200</v>
      </c>
      <c r="T7775" s="17">
        <v>1</v>
      </c>
      <c r="V7775" s="17" t="s">
        <v>183</v>
      </c>
      <c r="W7775" s="4">
        <v>120</v>
      </c>
      <c r="Y7775" s="4">
        <v>120</v>
      </c>
      <c r="AB7775" s="17">
        <v>2</v>
      </c>
      <c r="AJ7775" s="19">
        <v>0</v>
      </c>
      <c r="AK7775" s="23">
        <v>2</v>
      </c>
      <c r="AM7775" s="19">
        <v>0</v>
      </c>
      <c r="AN7775" s="19">
        <v>237200</v>
      </c>
      <c r="AP7775" s="14">
        <v>237200</v>
      </c>
    </row>
    <row r="7776" spans="1:45" ht="42" x14ac:dyDescent="0.2">
      <c r="Q7776" s="19">
        <v>0</v>
      </c>
      <c r="R7776" s="14" t="e">
        <v>#N/A</v>
      </c>
      <c r="S7776" s="19" t="e">
        <v>#N/A</v>
      </c>
      <c r="T7776" s="17">
        <v>2</v>
      </c>
      <c r="V7776" s="17" t="s">
        <v>183</v>
      </c>
      <c r="W7776" s="4">
        <v>136</v>
      </c>
      <c r="Y7776" s="4">
        <v>136</v>
      </c>
      <c r="AB7776" s="17">
        <v>41</v>
      </c>
      <c r="AJ7776" s="19">
        <v>0</v>
      </c>
      <c r="AK7776" s="23">
        <v>41</v>
      </c>
      <c r="AM7776" s="19">
        <v>0</v>
      </c>
      <c r="AN7776" s="19" t="e">
        <v>#N/A</v>
      </c>
      <c r="AP7776" s="14" t="e">
        <v>#N/A</v>
      </c>
    </row>
    <row r="7777" spans="1:45" ht="63" x14ac:dyDescent="0.2">
      <c r="Q7777" s="19">
        <v>0</v>
      </c>
      <c r="R7777" s="14" t="e">
        <v>#N/A</v>
      </c>
      <c r="T7777" s="17" t="s">
        <v>515</v>
      </c>
      <c r="U7777" s="17" t="s">
        <v>57</v>
      </c>
      <c r="V7777" s="17" t="s">
        <v>56</v>
      </c>
      <c r="W7777" s="4" t="s">
        <v>284</v>
      </c>
      <c r="Y7777" s="4">
        <v>132</v>
      </c>
      <c r="AK7777" s="23">
        <v>6</v>
      </c>
    </row>
    <row r="7778" spans="1:45" ht="63" x14ac:dyDescent="0.2">
      <c r="Q7778" s="19">
        <v>0</v>
      </c>
      <c r="R7778" s="14" t="e">
        <v>#N/A</v>
      </c>
      <c r="T7778" s="17" t="s">
        <v>121</v>
      </c>
      <c r="U7778" s="17" t="s">
        <v>57</v>
      </c>
      <c r="V7778" s="17" t="s">
        <v>56</v>
      </c>
      <c r="AK7778" s="23">
        <v>10</v>
      </c>
    </row>
    <row r="7779" spans="1:45" ht="42" x14ac:dyDescent="0.2">
      <c r="A7779" s="2">
        <v>6444</v>
      </c>
      <c r="B7779" s="13">
        <v>2</v>
      </c>
      <c r="C7779" s="17" t="s">
        <v>52</v>
      </c>
      <c r="D7779" s="17">
        <v>5948</v>
      </c>
      <c r="E7779" s="17">
        <v>41</v>
      </c>
      <c r="F7779" s="17">
        <v>2983</v>
      </c>
      <c r="G7779" s="13">
        <v>5</v>
      </c>
      <c r="H7779" s="17">
        <v>1</v>
      </c>
      <c r="I7779" s="17">
        <v>1</v>
      </c>
      <c r="J7779" s="17">
        <v>5</v>
      </c>
      <c r="K7779" s="10">
        <v>477.87</v>
      </c>
      <c r="L7779" s="17">
        <v>27.13</v>
      </c>
      <c r="P7779" s="17">
        <v>5</v>
      </c>
      <c r="Q7779" s="19">
        <v>505</v>
      </c>
      <c r="R7779" s="14">
        <v>250</v>
      </c>
      <c r="S7779" s="19">
        <v>126250</v>
      </c>
      <c r="T7779" s="17">
        <v>1</v>
      </c>
      <c r="V7779" s="17" t="s">
        <v>183</v>
      </c>
      <c r="W7779" s="4">
        <v>108.5</v>
      </c>
      <c r="Y7779" s="4">
        <v>108.5</v>
      </c>
      <c r="AB7779" s="17">
        <v>41</v>
      </c>
      <c r="AJ7779" s="19">
        <v>0</v>
      </c>
      <c r="AK7779" s="23">
        <v>41</v>
      </c>
      <c r="AM7779" s="19">
        <v>0</v>
      </c>
      <c r="AN7779" s="19">
        <v>126250</v>
      </c>
      <c r="AP7779" s="14">
        <v>126250</v>
      </c>
    </row>
    <row r="7780" spans="1:45" x14ac:dyDescent="0.2">
      <c r="Q7780" s="19">
        <v>0</v>
      </c>
      <c r="R7780" s="14" t="e">
        <v>#N/A</v>
      </c>
      <c r="T7780" s="17" t="s">
        <v>288</v>
      </c>
      <c r="AK7780" s="23">
        <v>15</v>
      </c>
    </row>
    <row r="7781" spans="1:45" x14ac:dyDescent="0.2">
      <c r="Q7781" s="19">
        <v>0</v>
      </c>
      <c r="R7781" s="14" t="e">
        <v>#N/A</v>
      </c>
      <c r="T7781" s="17" t="s">
        <v>515</v>
      </c>
      <c r="AK7781" s="23">
        <v>15</v>
      </c>
    </row>
    <row r="7782" spans="1:45" x14ac:dyDescent="0.2">
      <c r="Q7782" s="19">
        <v>0</v>
      </c>
      <c r="R7782" s="14" t="e">
        <v>#N/A</v>
      </c>
      <c r="T7782" s="17" t="s">
        <v>121</v>
      </c>
      <c r="AK7782" s="23">
        <v>15</v>
      </c>
    </row>
    <row r="7783" spans="1:45" x14ac:dyDescent="0.2">
      <c r="A7783" s="2">
        <v>6445</v>
      </c>
      <c r="B7783" s="13">
        <v>1</v>
      </c>
      <c r="C7783" s="17" t="s">
        <v>52</v>
      </c>
      <c r="D7783" s="17">
        <v>1021</v>
      </c>
      <c r="E7783" s="17">
        <v>27</v>
      </c>
      <c r="F7783" s="17">
        <v>207</v>
      </c>
      <c r="G7783" s="13">
        <v>1</v>
      </c>
      <c r="H7783" s="17">
        <v>6</v>
      </c>
      <c r="I7783" s="17">
        <v>1</v>
      </c>
      <c r="J7783" s="17">
        <v>27</v>
      </c>
      <c r="K7783" s="10">
        <v>2527</v>
      </c>
      <c r="P7783" s="17">
        <v>1</v>
      </c>
      <c r="Q7783" s="19">
        <v>2527</v>
      </c>
      <c r="R7783" s="14">
        <v>200</v>
      </c>
      <c r="S7783" s="19">
        <v>505400</v>
      </c>
      <c r="AJ7783" s="19">
        <v>0</v>
      </c>
      <c r="AK7783" s="23">
        <v>0</v>
      </c>
      <c r="AM7783" s="19">
        <v>0</v>
      </c>
      <c r="AN7783" s="19">
        <v>505400</v>
      </c>
      <c r="AP7783" s="14">
        <v>505400</v>
      </c>
    </row>
    <row r="7784" spans="1:45" x14ac:dyDescent="0.2">
      <c r="B7784" s="13">
        <v>1</v>
      </c>
      <c r="C7784" s="17" t="s">
        <v>65</v>
      </c>
      <c r="D7784" s="17">
        <v>3619</v>
      </c>
      <c r="E7784" s="17">
        <v>272</v>
      </c>
      <c r="H7784" s="17">
        <v>3</v>
      </c>
      <c r="I7784" s="17">
        <v>2</v>
      </c>
      <c r="J7784" s="17">
        <v>29</v>
      </c>
      <c r="K7784" s="10">
        <v>1429</v>
      </c>
      <c r="P7784" s="17">
        <v>1</v>
      </c>
      <c r="Q7784" s="19">
        <v>1429</v>
      </c>
      <c r="R7784" s="14" t="e">
        <v>#N/A</v>
      </c>
      <c r="S7784" s="19" t="e">
        <v>#N/A</v>
      </c>
      <c r="AE7784" s="17" t="s">
        <v>95</v>
      </c>
      <c r="AJ7784" s="19">
        <v>0</v>
      </c>
      <c r="AK7784" s="23">
        <v>0</v>
      </c>
      <c r="AM7784" s="19">
        <v>0</v>
      </c>
      <c r="AN7784" s="19" t="e">
        <v>#N/A</v>
      </c>
      <c r="AP7784" s="14" t="e">
        <v>#N/A</v>
      </c>
      <c r="AQ7784" s="12">
        <v>1E-4</v>
      </c>
      <c r="AS7784" s="26">
        <v>11</v>
      </c>
    </row>
    <row r="7785" spans="1:45" ht="42" x14ac:dyDescent="0.2">
      <c r="A7785" s="2">
        <v>6446</v>
      </c>
      <c r="B7785" s="13">
        <v>1</v>
      </c>
      <c r="C7785" s="17" t="s">
        <v>52</v>
      </c>
      <c r="D7785" s="17">
        <v>25042</v>
      </c>
      <c r="E7785" s="17">
        <v>70</v>
      </c>
      <c r="F7785" s="17">
        <v>4952</v>
      </c>
      <c r="G7785" s="13">
        <v>1</v>
      </c>
      <c r="H7785" s="17">
        <v>1</v>
      </c>
      <c r="I7785" s="17">
        <v>0</v>
      </c>
      <c r="J7785" s="17">
        <v>56</v>
      </c>
      <c r="N7785" s="18">
        <v>456</v>
      </c>
      <c r="P7785" s="17">
        <v>4</v>
      </c>
      <c r="Q7785" s="19">
        <v>456</v>
      </c>
      <c r="R7785" s="14">
        <v>160</v>
      </c>
      <c r="S7785" s="19">
        <v>72960</v>
      </c>
      <c r="AJ7785" s="19">
        <v>0</v>
      </c>
      <c r="AK7785" s="23">
        <v>0</v>
      </c>
      <c r="AM7785" s="19">
        <v>0</v>
      </c>
      <c r="AN7785" s="19">
        <v>72960</v>
      </c>
      <c r="AP7785" s="14">
        <v>72960</v>
      </c>
      <c r="AQ7785" s="12">
        <v>3.0000000000000001E-3</v>
      </c>
      <c r="AS7785" s="26" t="s">
        <v>797</v>
      </c>
    </row>
    <row r="7786" spans="1:45" x14ac:dyDescent="0.2">
      <c r="A7786" s="2">
        <f>+A7785+1</f>
        <v>6447</v>
      </c>
      <c r="B7786" s="13">
        <v>1</v>
      </c>
      <c r="C7786" s="17" t="s">
        <v>52</v>
      </c>
      <c r="D7786" s="17">
        <v>4658</v>
      </c>
      <c r="E7786" s="17">
        <v>33</v>
      </c>
      <c r="F7786" s="17">
        <v>2484</v>
      </c>
      <c r="G7786" s="13">
        <v>1</v>
      </c>
      <c r="H7786" s="17">
        <v>6</v>
      </c>
      <c r="I7786" s="17">
        <v>0</v>
      </c>
      <c r="J7786" s="17">
        <v>37</v>
      </c>
      <c r="K7786" s="10">
        <v>2437</v>
      </c>
      <c r="P7786" s="17">
        <v>1</v>
      </c>
      <c r="Q7786" s="19">
        <v>2437</v>
      </c>
      <c r="R7786" s="14">
        <v>200</v>
      </c>
      <c r="S7786" s="19">
        <v>487400</v>
      </c>
      <c r="AJ7786" s="19">
        <v>0</v>
      </c>
      <c r="AK7786" s="23">
        <v>0</v>
      </c>
      <c r="AM7786" s="19">
        <v>0</v>
      </c>
      <c r="AN7786" s="19">
        <v>487400</v>
      </c>
      <c r="AP7786" s="14">
        <v>487400</v>
      </c>
      <c r="AS7786" s="26">
        <v>43</v>
      </c>
    </row>
    <row r="7787" spans="1:45" x14ac:dyDescent="0.2">
      <c r="A7787" s="122">
        <f t="shared" ref="A7787:A7809" si="751">+A7786+1</f>
        <v>6448</v>
      </c>
      <c r="B7787" s="13">
        <v>2</v>
      </c>
      <c r="C7787" s="17" t="s">
        <v>52</v>
      </c>
      <c r="D7787" s="17">
        <v>25039</v>
      </c>
      <c r="E7787" s="17">
        <v>67</v>
      </c>
      <c r="F7787" s="17">
        <v>4949</v>
      </c>
      <c r="G7787" s="13">
        <v>1</v>
      </c>
      <c r="H7787" s="17">
        <v>1</v>
      </c>
      <c r="I7787" s="17">
        <v>1</v>
      </c>
      <c r="J7787" s="17">
        <v>69</v>
      </c>
      <c r="K7787" s="10">
        <v>569</v>
      </c>
      <c r="P7787" s="17">
        <v>1</v>
      </c>
      <c r="Q7787" s="19">
        <v>569</v>
      </c>
      <c r="R7787" s="14">
        <v>750</v>
      </c>
      <c r="S7787" s="19">
        <v>426750</v>
      </c>
      <c r="AJ7787" s="19">
        <v>0</v>
      </c>
      <c r="AK7787" s="23">
        <v>0</v>
      </c>
      <c r="AM7787" s="19">
        <v>0</v>
      </c>
      <c r="AN7787" s="19">
        <v>426750</v>
      </c>
      <c r="AP7787" s="14">
        <v>426750</v>
      </c>
    </row>
    <row r="7788" spans="1:45" x14ac:dyDescent="0.2">
      <c r="A7788" s="122">
        <f t="shared" si="751"/>
        <v>6449</v>
      </c>
      <c r="B7788" s="13">
        <v>3</v>
      </c>
      <c r="C7788" s="17" t="s">
        <v>52</v>
      </c>
      <c r="D7788" s="17">
        <v>34028</v>
      </c>
      <c r="E7788" s="17">
        <v>349</v>
      </c>
      <c r="F7788" s="17">
        <v>6764</v>
      </c>
      <c r="G7788" s="13">
        <v>1</v>
      </c>
      <c r="H7788" s="17">
        <v>0</v>
      </c>
      <c r="I7788" s="17">
        <v>0</v>
      </c>
      <c r="J7788" s="17">
        <v>74</v>
      </c>
      <c r="N7788" s="18" t="s">
        <v>798</v>
      </c>
      <c r="P7788" s="17">
        <v>4</v>
      </c>
      <c r="Q7788" s="19">
        <v>74</v>
      </c>
      <c r="R7788" s="14">
        <v>4500</v>
      </c>
      <c r="S7788" s="19">
        <v>333000</v>
      </c>
      <c r="AJ7788" s="19">
        <v>0</v>
      </c>
      <c r="AK7788" s="23">
        <v>0</v>
      </c>
      <c r="AM7788" s="19">
        <v>0</v>
      </c>
      <c r="AN7788" s="19">
        <v>333000</v>
      </c>
      <c r="AP7788" s="14">
        <v>333000</v>
      </c>
    </row>
    <row r="7789" spans="1:45" x14ac:dyDescent="0.2">
      <c r="A7789" s="122">
        <f t="shared" si="751"/>
        <v>6450</v>
      </c>
      <c r="B7789" s="13">
        <v>1</v>
      </c>
      <c r="C7789" s="17" t="s">
        <v>52</v>
      </c>
      <c r="D7789" s="17">
        <v>860</v>
      </c>
      <c r="E7789" s="17">
        <v>85</v>
      </c>
      <c r="F7789" s="17">
        <v>150</v>
      </c>
      <c r="G7789" s="13">
        <v>1</v>
      </c>
      <c r="H7789" s="17">
        <v>2</v>
      </c>
      <c r="I7789" s="17">
        <v>1</v>
      </c>
      <c r="J7789" s="17">
        <v>60</v>
      </c>
      <c r="K7789" s="10">
        <v>960</v>
      </c>
      <c r="P7789" s="17">
        <v>1</v>
      </c>
      <c r="Q7789" s="19">
        <v>960</v>
      </c>
      <c r="R7789" s="14">
        <v>200</v>
      </c>
      <c r="S7789" s="19">
        <v>192000</v>
      </c>
      <c r="AJ7789" s="19">
        <v>0</v>
      </c>
      <c r="AK7789" s="23">
        <v>0</v>
      </c>
      <c r="AM7789" s="19">
        <v>0</v>
      </c>
      <c r="AN7789" s="19">
        <v>192000</v>
      </c>
      <c r="AP7789" s="14">
        <v>192000</v>
      </c>
      <c r="AS7789" s="26">
        <v>65</v>
      </c>
    </row>
    <row r="7790" spans="1:45" x14ac:dyDescent="0.2">
      <c r="A7790" s="122">
        <f t="shared" si="751"/>
        <v>6451</v>
      </c>
      <c r="B7790" s="13">
        <v>2</v>
      </c>
      <c r="C7790" s="17" t="s">
        <v>52</v>
      </c>
      <c r="D7790" s="17">
        <v>4655</v>
      </c>
      <c r="E7790" s="17">
        <v>36</v>
      </c>
      <c r="F7790" s="17">
        <v>2481</v>
      </c>
      <c r="G7790" s="13">
        <v>1</v>
      </c>
      <c r="H7790" s="17">
        <v>15</v>
      </c>
      <c r="I7790" s="17">
        <v>2</v>
      </c>
      <c r="J7790" s="17">
        <v>64</v>
      </c>
      <c r="K7790" s="10">
        <v>6264</v>
      </c>
      <c r="P7790" s="17">
        <v>1</v>
      </c>
      <c r="Q7790" s="19">
        <v>6264</v>
      </c>
      <c r="R7790" s="14">
        <v>200</v>
      </c>
      <c r="S7790" s="19">
        <v>1252800</v>
      </c>
      <c r="AJ7790" s="19">
        <v>0</v>
      </c>
      <c r="AK7790" s="23">
        <v>0</v>
      </c>
      <c r="AM7790" s="19">
        <v>0</v>
      </c>
      <c r="AN7790" s="19">
        <v>1252800</v>
      </c>
      <c r="AP7790" s="14">
        <v>1252800</v>
      </c>
    </row>
    <row r="7791" spans="1:45" x14ac:dyDescent="0.2">
      <c r="A7791" s="122">
        <f t="shared" si="751"/>
        <v>6452</v>
      </c>
      <c r="B7791" s="13">
        <v>1</v>
      </c>
      <c r="C7791" s="17" t="s">
        <v>52</v>
      </c>
      <c r="D7791" s="17">
        <v>1019</v>
      </c>
      <c r="E7791" s="17">
        <v>30</v>
      </c>
      <c r="F7791" s="17">
        <v>199</v>
      </c>
      <c r="G7791" s="13">
        <v>1</v>
      </c>
      <c r="H7791" s="17">
        <v>1</v>
      </c>
      <c r="I7791" s="17">
        <v>0</v>
      </c>
      <c r="J7791" s="17">
        <v>93</v>
      </c>
      <c r="L7791" s="17">
        <v>493</v>
      </c>
      <c r="P7791" s="17">
        <v>2</v>
      </c>
      <c r="Q7791" s="19">
        <v>493</v>
      </c>
      <c r="R7791" s="14">
        <v>3000</v>
      </c>
      <c r="S7791" s="19">
        <v>1479000</v>
      </c>
      <c r="AJ7791" s="19">
        <v>0</v>
      </c>
      <c r="AK7791" s="23">
        <v>0</v>
      </c>
      <c r="AM7791" s="19">
        <v>0</v>
      </c>
      <c r="AN7791" s="19">
        <v>1479000</v>
      </c>
      <c r="AP7791" s="14">
        <v>1479000</v>
      </c>
    </row>
    <row r="7792" spans="1:45" x14ac:dyDescent="0.2">
      <c r="A7792" s="122">
        <f t="shared" si="751"/>
        <v>6453</v>
      </c>
      <c r="B7792" s="13">
        <v>1</v>
      </c>
      <c r="C7792" s="17" t="s">
        <v>52</v>
      </c>
      <c r="D7792" s="17">
        <v>25043</v>
      </c>
      <c r="E7792" s="17">
        <v>71</v>
      </c>
      <c r="F7792" s="17">
        <v>4953</v>
      </c>
      <c r="G7792" s="13">
        <v>1</v>
      </c>
      <c r="H7792" s="17">
        <v>1</v>
      </c>
      <c r="I7792" s="17">
        <v>2</v>
      </c>
      <c r="J7792" s="17">
        <v>73</v>
      </c>
      <c r="K7792" s="10">
        <v>673</v>
      </c>
      <c r="P7792" s="17">
        <v>1</v>
      </c>
      <c r="Q7792" s="19">
        <v>673</v>
      </c>
      <c r="R7792" s="14">
        <v>750</v>
      </c>
      <c r="S7792" s="19">
        <v>504750</v>
      </c>
      <c r="AJ7792" s="19">
        <v>0</v>
      </c>
      <c r="AK7792" s="23">
        <v>0</v>
      </c>
      <c r="AM7792" s="19">
        <v>0</v>
      </c>
      <c r="AN7792" s="19">
        <v>504750</v>
      </c>
      <c r="AP7792" s="14">
        <v>504750</v>
      </c>
    </row>
    <row r="7793" spans="1:45" x14ac:dyDescent="0.2">
      <c r="A7793" s="122">
        <f t="shared" si="751"/>
        <v>6454</v>
      </c>
      <c r="B7793" s="13">
        <v>1</v>
      </c>
      <c r="C7793" s="17" t="s">
        <v>52</v>
      </c>
      <c r="D7793" s="17">
        <v>982</v>
      </c>
      <c r="E7793" s="17">
        <v>19</v>
      </c>
      <c r="F7793" s="17">
        <v>228</v>
      </c>
      <c r="G7793" s="13">
        <v>1</v>
      </c>
      <c r="H7793" s="17">
        <v>2</v>
      </c>
      <c r="I7793" s="17">
        <v>3</v>
      </c>
      <c r="J7793" s="17">
        <v>23</v>
      </c>
      <c r="K7793" s="10">
        <v>1123</v>
      </c>
      <c r="P7793" s="17">
        <v>1</v>
      </c>
      <c r="Q7793" s="19">
        <v>1123</v>
      </c>
      <c r="R7793" s="14">
        <v>200</v>
      </c>
      <c r="S7793" s="19">
        <v>224600</v>
      </c>
      <c r="AJ7793" s="19">
        <v>0</v>
      </c>
      <c r="AK7793" s="23">
        <v>0</v>
      </c>
      <c r="AM7793" s="19">
        <v>0</v>
      </c>
      <c r="AN7793" s="19">
        <v>224600</v>
      </c>
      <c r="AP7793" s="14">
        <v>224600</v>
      </c>
    </row>
    <row r="7794" spans="1:45" x14ac:dyDescent="0.2">
      <c r="A7794" s="122">
        <f t="shared" si="751"/>
        <v>6455</v>
      </c>
      <c r="B7794" s="13">
        <v>2</v>
      </c>
      <c r="C7794" s="17" t="s">
        <v>52</v>
      </c>
      <c r="D7794" s="17">
        <v>1322</v>
      </c>
      <c r="E7794" s="17">
        <v>11</v>
      </c>
      <c r="F7794" s="17">
        <v>578</v>
      </c>
      <c r="G7794" s="13">
        <v>1</v>
      </c>
      <c r="H7794" s="17">
        <v>1</v>
      </c>
      <c r="I7794" s="17">
        <v>2</v>
      </c>
      <c r="J7794" s="17">
        <v>61</v>
      </c>
      <c r="K7794" s="10">
        <v>661</v>
      </c>
      <c r="P7794" s="17">
        <v>1</v>
      </c>
      <c r="Q7794" s="19">
        <v>661</v>
      </c>
      <c r="R7794" s="14">
        <v>750</v>
      </c>
      <c r="S7794" s="19">
        <v>495750</v>
      </c>
      <c r="AJ7794" s="19">
        <v>0</v>
      </c>
      <c r="AK7794" s="23">
        <v>0</v>
      </c>
      <c r="AM7794" s="19">
        <v>0</v>
      </c>
      <c r="AN7794" s="19">
        <v>495750</v>
      </c>
      <c r="AP7794" s="14">
        <v>495750</v>
      </c>
    </row>
    <row r="7795" spans="1:45" x14ac:dyDescent="0.2">
      <c r="A7795" s="122">
        <f t="shared" si="751"/>
        <v>6456</v>
      </c>
      <c r="B7795" s="13">
        <v>3</v>
      </c>
      <c r="C7795" s="17" t="s">
        <v>52</v>
      </c>
      <c r="D7795" s="17">
        <v>25047</v>
      </c>
      <c r="E7795" s="17">
        <v>74</v>
      </c>
      <c r="F7795" s="17">
        <v>4957</v>
      </c>
      <c r="G7795" s="13">
        <v>1</v>
      </c>
      <c r="H7795" s="17">
        <v>8</v>
      </c>
      <c r="I7795" s="17">
        <v>2</v>
      </c>
      <c r="J7795" s="17">
        <v>12</v>
      </c>
      <c r="K7795" s="10">
        <v>3412</v>
      </c>
      <c r="P7795" s="17">
        <v>1</v>
      </c>
      <c r="Q7795" s="19">
        <v>3412</v>
      </c>
      <c r="R7795" s="14">
        <v>160</v>
      </c>
      <c r="S7795" s="19">
        <v>545920</v>
      </c>
      <c r="AJ7795" s="19">
        <v>0</v>
      </c>
      <c r="AK7795" s="23">
        <v>0</v>
      </c>
      <c r="AM7795" s="19">
        <v>0</v>
      </c>
      <c r="AN7795" s="19">
        <v>545920</v>
      </c>
      <c r="AP7795" s="14">
        <v>545920</v>
      </c>
    </row>
    <row r="7796" spans="1:45" x14ac:dyDescent="0.2">
      <c r="A7796" s="122">
        <f t="shared" si="751"/>
        <v>6457</v>
      </c>
      <c r="B7796" s="13">
        <v>1</v>
      </c>
      <c r="C7796" s="17" t="s">
        <v>52</v>
      </c>
      <c r="D7796" s="17">
        <v>857</v>
      </c>
      <c r="E7796" s="17">
        <v>84</v>
      </c>
      <c r="F7796" s="17">
        <v>147</v>
      </c>
      <c r="G7796" s="13">
        <v>1</v>
      </c>
      <c r="H7796" s="17">
        <v>1</v>
      </c>
      <c r="I7796" s="17">
        <v>1</v>
      </c>
      <c r="J7796" s="17">
        <v>92</v>
      </c>
      <c r="K7796" s="10">
        <v>592</v>
      </c>
      <c r="P7796" s="17">
        <v>1</v>
      </c>
      <c r="Q7796" s="19">
        <v>592</v>
      </c>
      <c r="R7796" s="14">
        <v>200</v>
      </c>
      <c r="S7796" s="19">
        <v>118400</v>
      </c>
      <c r="AJ7796" s="19">
        <v>0</v>
      </c>
      <c r="AK7796" s="23">
        <v>0</v>
      </c>
      <c r="AM7796" s="19">
        <v>0</v>
      </c>
      <c r="AN7796" s="19">
        <v>118400</v>
      </c>
      <c r="AP7796" s="14">
        <v>118400</v>
      </c>
    </row>
    <row r="7797" spans="1:45" x14ac:dyDescent="0.2">
      <c r="A7797" s="122">
        <f t="shared" si="751"/>
        <v>6458</v>
      </c>
      <c r="B7797" s="13">
        <v>2</v>
      </c>
      <c r="C7797" s="17" t="s">
        <v>52</v>
      </c>
      <c r="D7797" s="17">
        <v>37201</v>
      </c>
      <c r="E7797" s="17">
        <v>378</v>
      </c>
      <c r="F7797" s="17">
        <v>7302</v>
      </c>
      <c r="G7797" s="13">
        <v>1</v>
      </c>
      <c r="H7797" s="17">
        <v>0</v>
      </c>
      <c r="I7797" s="17">
        <v>1</v>
      </c>
      <c r="J7797" s="17">
        <v>0.06</v>
      </c>
      <c r="K7797" s="10">
        <v>100.06</v>
      </c>
      <c r="P7797" s="17">
        <v>1</v>
      </c>
      <c r="Q7797" s="19">
        <v>100.06</v>
      </c>
      <c r="R7797" s="14">
        <v>200</v>
      </c>
      <c r="S7797" s="19">
        <v>20012</v>
      </c>
      <c r="AJ7797" s="19">
        <v>0</v>
      </c>
      <c r="AK7797" s="23">
        <v>0</v>
      </c>
      <c r="AM7797" s="19">
        <v>0</v>
      </c>
      <c r="AN7797" s="19">
        <v>20012</v>
      </c>
      <c r="AP7797" s="14">
        <v>20012</v>
      </c>
    </row>
    <row r="7798" spans="1:45" x14ac:dyDescent="0.2">
      <c r="A7798" s="122">
        <f t="shared" si="751"/>
        <v>6459</v>
      </c>
      <c r="B7798" s="13">
        <v>3</v>
      </c>
      <c r="C7798" s="17" t="s">
        <v>52</v>
      </c>
      <c r="D7798" s="17">
        <v>37202</v>
      </c>
      <c r="E7798" s="17">
        <v>379</v>
      </c>
      <c r="F7798" s="17">
        <v>7303</v>
      </c>
      <c r="G7798" s="13">
        <v>1</v>
      </c>
      <c r="H7798" s="17">
        <v>0</v>
      </c>
      <c r="I7798" s="17">
        <v>0</v>
      </c>
      <c r="J7798" s="17">
        <v>49.04</v>
      </c>
      <c r="K7798" s="10">
        <v>49.04</v>
      </c>
      <c r="P7798" s="17">
        <v>1</v>
      </c>
      <c r="Q7798" s="19">
        <v>49.04</v>
      </c>
      <c r="R7798" s="14">
        <v>200</v>
      </c>
      <c r="S7798" s="19">
        <v>9808</v>
      </c>
      <c r="AJ7798" s="19">
        <v>0</v>
      </c>
      <c r="AK7798" s="23">
        <v>0</v>
      </c>
      <c r="AM7798" s="19">
        <v>0</v>
      </c>
      <c r="AN7798" s="19">
        <v>9808</v>
      </c>
      <c r="AP7798" s="14">
        <v>9808</v>
      </c>
    </row>
    <row r="7799" spans="1:45" x14ac:dyDescent="0.2">
      <c r="A7799" s="122">
        <f t="shared" si="751"/>
        <v>6460</v>
      </c>
      <c r="B7799" s="13">
        <v>4</v>
      </c>
      <c r="C7799" s="17" t="s">
        <v>52</v>
      </c>
      <c r="D7799" s="17">
        <v>37203</v>
      </c>
      <c r="E7799" s="17">
        <v>380</v>
      </c>
      <c r="F7799" s="17">
        <v>7304</v>
      </c>
      <c r="G7799" s="13">
        <v>1</v>
      </c>
      <c r="H7799" s="17">
        <v>0</v>
      </c>
      <c r="I7799" s="17">
        <v>1</v>
      </c>
      <c r="J7799" s="17">
        <v>18.03</v>
      </c>
      <c r="K7799" s="10">
        <v>118</v>
      </c>
      <c r="P7799" s="17">
        <v>1</v>
      </c>
      <c r="Q7799" s="19">
        <v>118.03</v>
      </c>
      <c r="R7799" s="14">
        <v>250</v>
      </c>
      <c r="S7799" s="19">
        <v>29507.5</v>
      </c>
      <c r="AJ7799" s="19">
        <v>0</v>
      </c>
      <c r="AK7799" s="23">
        <v>0</v>
      </c>
      <c r="AM7799" s="19">
        <v>0</v>
      </c>
      <c r="AN7799" s="19">
        <v>29507.5</v>
      </c>
      <c r="AP7799" s="14">
        <v>29507.5</v>
      </c>
    </row>
    <row r="7800" spans="1:45" ht="63" x14ac:dyDescent="0.2">
      <c r="A7800" s="122">
        <f t="shared" si="751"/>
        <v>6461</v>
      </c>
      <c r="B7800" s="13">
        <v>1</v>
      </c>
      <c r="C7800" s="17" t="s">
        <v>52</v>
      </c>
      <c r="D7800" s="17">
        <v>3157</v>
      </c>
      <c r="E7800" s="17">
        <v>146</v>
      </c>
      <c r="F7800" s="17">
        <v>2252</v>
      </c>
      <c r="G7800" s="13">
        <v>1</v>
      </c>
      <c r="H7800" s="17">
        <v>0</v>
      </c>
      <c r="I7800" s="17">
        <v>1</v>
      </c>
      <c r="J7800" s="17">
        <v>43.07</v>
      </c>
      <c r="L7800" s="17">
        <v>143.07</v>
      </c>
      <c r="P7800" s="17">
        <v>2</v>
      </c>
      <c r="Q7800" s="19">
        <v>143.07</v>
      </c>
      <c r="R7800" s="14">
        <v>200</v>
      </c>
      <c r="S7800" s="19">
        <v>28614</v>
      </c>
      <c r="U7800" s="17" t="s">
        <v>57</v>
      </c>
      <c r="V7800" s="17" t="s">
        <v>56</v>
      </c>
      <c r="Y7800" s="4">
        <v>231</v>
      </c>
      <c r="AB7800" s="17">
        <v>41</v>
      </c>
      <c r="AJ7800" s="19">
        <v>0</v>
      </c>
      <c r="AK7800" s="23">
        <v>41</v>
      </c>
      <c r="AM7800" s="19">
        <v>0</v>
      </c>
      <c r="AN7800" s="19">
        <v>28614</v>
      </c>
      <c r="AP7800" s="14">
        <v>28614</v>
      </c>
    </row>
    <row r="7801" spans="1:45" x14ac:dyDescent="0.2">
      <c r="A7801" s="122">
        <f t="shared" si="751"/>
        <v>6462</v>
      </c>
      <c r="B7801" s="13">
        <v>2</v>
      </c>
      <c r="C7801" s="17" t="s">
        <v>65</v>
      </c>
      <c r="D7801" s="17">
        <v>3469</v>
      </c>
      <c r="E7801" s="17">
        <v>64</v>
      </c>
      <c r="G7801" s="13">
        <v>1</v>
      </c>
      <c r="H7801" s="17">
        <v>6</v>
      </c>
      <c r="I7801" s="17">
        <v>2</v>
      </c>
      <c r="J7801" s="17">
        <v>64</v>
      </c>
      <c r="K7801" s="10">
        <v>2664</v>
      </c>
      <c r="P7801" s="17">
        <v>1</v>
      </c>
      <c r="Q7801" s="19">
        <v>2664</v>
      </c>
      <c r="R7801" s="14">
        <v>200</v>
      </c>
      <c r="S7801" s="19">
        <v>532800</v>
      </c>
      <c r="AJ7801" s="19">
        <v>0</v>
      </c>
      <c r="AK7801" s="23">
        <v>0</v>
      </c>
      <c r="AM7801" s="19">
        <v>0</v>
      </c>
      <c r="AN7801" s="19">
        <v>532800</v>
      </c>
      <c r="AP7801" s="14">
        <v>532800</v>
      </c>
      <c r="AQ7801" s="12">
        <v>1E-4</v>
      </c>
    </row>
    <row r="7802" spans="1:45" x14ac:dyDescent="0.2">
      <c r="A7802" s="122">
        <f t="shared" si="751"/>
        <v>6463</v>
      </c>
      <c r="B7802" s="13">
        <v>3</v>
      </c>
      <c r="C7802" s="17" t="s">
        <v>69</v>
      </c>
      <c r="E7802" s="17">
        <v>156</v>
      </c>
      <c r="F7802" s="17">
        <v>8</v>
      </c>
      <c r="G7802" s="13">
        <v>1</v>
      </c>
      <c r="H7802" s="17">
        <v>17</v>
      </c>
      <c r="I7802" s="17">
        <v>3</v>
      </c>
      <c r="J7802" s="17">
        <v>24</v>
      </c>
      <c r="K7802" s="10">
        <v>7124</v>
      </c>
      <c r="P7802" s="17">
        <v>1</v>
      </c>
      <c r="Q7802" s="19">
        <v>7124</v>
      </c>
      <c r="R7802" s="14">
        <v>160</v>
      </c>
      <c r="S7802" s="19">
        <v>1139840</v>
      </c>
      <c r="AJ7802" s="19">
        <v>0</v>
      </c>
      <c r="AK7802" s="23">
        <v>0</v>
      </c>
      <c r="AM7802" s="19">
        <v>0</v>
      </c>
      <c r="AN7802" s="19">
        <v>1139840</v>
      </c>
      <c r="AP7802" s="14">
        <v>1139840</v>
      </c>
      <c r="AQ7802" s="12">
        <v>1E-4</v>
      </c>
    </row>
    <row r="7803" spans="1:45" x14ac:dyDescent="0.2">
      <c r="A7803" s="122">
        <f t="shared" si="751"/>
        <v>6464</v>
      </c>
      <c r="B7803" s="13">
        <v>1</v>
      </c>
      <c r="C7803" s="17" t="s">
        <v>52</v>
      </c>
      <c r="D7803" s="17">
        <v>26660</v>
      </c>
      <c r="E7803" s="17">
        <v>32</v>
      </c>
      <c r="F7803" s="17">
        <v>4964</v>
      </c>
      <c r="G7803" s="13">
        <v>5</v>
      </c>
      <c r="H7803" s="17">
        <v>15</v>
      </c>
      <c r="I7803" s="17">
        <v>1</v>
      </c>
      <c r="J7803" s="17">
        <v>85</v>
      </c>
      <c r="K7803" s="10">
        <v>6185</v>
      </c>
      <c r="P7803" s="17">
        <v>1</v>
      </c>
      <c r="Q7803" s="19">
        <v>6185</v>
      </c>
      <c r="R7803" s="14">
        <v>750</v>
      </c>
      <c r="S7803" s="19">
        <v>4638750</v>
      </c>
      <c r="AJ7803" s="19">
        <v>0</v>
      </c>
      <c r="AK7803" s="23">
        <v>0</v>
      </c>
      <c r="AM7803" s="19">
        <v>0</v>
      </c>
      <c r="AN7803" s="19">
        <v>4638750</v>
      </c>
      <c r="AP7803" s="14">
        <v>4638750</v>
      </c>
      <c r="AS7803" s="26">
        <v>85</v>
      </c>
    </row>
    <row r="7804" spans="1:45" x14ac:dyDescent="0.2">
      <c r="A7804" s="122">
        <f t="shared" si="751"/>
        <v>6465</v>
      </c>
      <c r="B7804" s="13">
        <v>1</v>
      </c>
      <c r="C7804" s="17" t="s">
        <v>52</v>
      </c>
      <c r="D7804" s="17">
        <v>20386</v>
      </c>
      <c r="E7804" s="17">
        <v>64</v>
      </c>
      <c r="F7804" s="17">
        <v>4589</v>
      </c>
      <c r="G7804" s="13">
        <v>1</v>
      </c>
      <c r="H7804" s="17">
        <v>3</v>
      </c>
      <c r="I7804" s="17">
        <v>3</v>
      </c>
      <c r="J7804" s="17">
        <v>85</v>
      </c>
      <c r="K7804" s="10">
        <v>1585</v>
      </c>
      <c r="P7804" s="17">
        <v>1</v>
      </c>
      <c r="Q7804" s="19">
        <v>1585</v>
      </c>
      <c r="R7804" s="14">
        <v>160</v>
      </c>
      <c r="S7804" s="19">
        <v>253600</v>
      </c>
      <c r="AJ7804" s="19">
        <v>0</v>
      </c>
      <c r="AK7804" s="23">
        <v>0</v>
      </c>
      <c r="AM7804" s="19">
        <v>0</v>
      </c>
      <c r="AN7804" s="19">
        <v>253600</v>
      </c>
      <c r="AP7804" s="14">
        <v>253600</v>
      </c>
    </row>
    <row r="7805" spans="1:45" x14ac:dyDescent="0.2">
      <c r="A7805" s="122">
        <f t="shared" si="751"/>
        <v>6466</v>
      </c>
      <c r="B7805" s="13">
        <v>1</v>
      </c>
      <c r="C7805" s="17" t="s">
        <v>52</v>
      </c>
      <c r="D7805" s="17">
        <v>1253</v>
      </c>
      <c r="E7805" s="17">
        <v>43</v>
      </c>
      <c r="F7805" s="17">
        <v>303</v>
      </c>
      <c r="G7805" s="13">
        <v>6</v>
      </c>
      <c r="H7805" s="17">
        <v>2</v>
      </c>
      <c r="I7805" s="17">
        <v>1</v>
      </c>
      <c r="J7805" s="17">
        <v>12</v>
      </c>
      <c r="K7805" s="10">
        <v>912</v>
      </c>
      <c r="P7805" s="17">
        <v>1</v>
      </c>
      <c r="Q7805" s="19">
        <v>912</v>
      </c>
      <c r="R7805" s="14">
        <v>375</v>
      </c>
      <c r="S7805" s="19">
        <v>342000</v>
      </c>
      <c r="AJ7805" s="19">
        <v>0</v>
      </c>
      <c r="AK7805" s="23">
        <v>0</v>
      </c>
      <c r="AM7805" s="19">
        <v>0</v>
      </c>
      <c r="AN7805" s="19">
        <v>342000</v>
      </c>
      <c r="AP7805" s="14">
        <v>342000</v>
      </c>
    </row>
    <row r="7806" spans="1:45" x14ac:dyDescent="0.2">
      <c r="A7806" s="122">
        <f t="shared" si="751"/>
        <v>6467</v>
      </c>
      <c r="B7806" s="13">
        <v>1</v>
      </c>
      <c r="C7806" s="17" t="s">
        <v>52</v>
      </c>
      <c r="D7806" s="17">
        <v>1133</v>
      </c>
      <c r="E7806" s="17">
        <v>29</v>
      </c>
      <c r="F7806" s="17">
        <v>713</v>
      </c>
      <c r="G7806" s="13">
        <v>1</v>
      </c>
      <c r="H7806" s="17">
        <v>1</v>
      </c>
      <c r="I7806" s="17">
        <v>3</v>
      </c>
      <c r="J7806" s="17">
        <v>73</v>
      </c>
      <c r="K7806" s="10">
        <v>773</v>
      </c>
      <c r="P7806" s="17">
        <v>1</v>
      </c>
      <c r="Q7806" s="19">
        <v>773</v>
      </c>
      <c r="R7806" s="14">
        <v>3000</v>
      </c>
      <c r="S7806" s="19">
        <v>2319000</v>
      </c>
      <c r="AJ7806" s="19">
        <v>0</v>
      </c>
      <c r="AK7806" s="23">
        <v>0</v>
      </c>
      <c r="AM7806" s="19">
        <v>0</v>
      </c>
      <c r="AN7806" s="19">
        <v>2319000</v>
      </c>
      <c r="AP7806" s="14">
        <v>2319000</v>
      </c>
    </row>
    <row r="7807" spans="1:45" x14ac:dyDescent="0.2">
      <c r="A7807" s="122">
        <f t="shared" si="751"/>
        <v>6468</v>
      </c>
      <c r="B7807" s="13">
        <v>1</v>
      </c>
      <c r="C7807" s="17" t="s">
        <v>52</v>
      </c>
      <c r="D7807" s="17">
        <v>2275</v>
      </c>
      <c r="E7807" s="17">
        <v>7</v>
      </c>
      <c r="F7807" s="17">
        <v>1693</v>
      </c>
      <c r="G7807" s="13">
        <v>3</v>
      </c>
      <c r="H7807" s="17">
        <v>0</v>
      </c>
      <c r="I7807" s="17">
        <v>3</v>
      </c>
      <c r="J7807" s="17">
        <v>39</v>
      </c>
      <c r="K7807" s="10">
        <v>339</v>
      </c>
      <c r="P7807" s="17">
        <v>1</v>
      </c>
      <c r="Q7807" s="19">
        <v>339</v>
      </c>
      <c r="R7807" s="14">
        <v>250</v>
      </c>
      <c r="S7807" s="19">
        <v>84750</v>
      </c>
      <c r="AE7807" s="17" t="s">
        <v>799</v>
      </c>
      <c r="AJ7807" s="19">
        <v>0</v>
      </c>
      <c r="AK7807" s="23">
        <v>0</v>
      </c>
      <c r="AM7807" s="19">
        <v>0</v>
      </c>
      <c r="AN7807" s="19">
        <v>84750</v>
      </c>
      <c r="AP7807" s="14">
        <v>84750</v>
      </c>
    </row>
    <row r="7808" spans="1:45" ht="42" x14ac:dyDescent="0.2">
      <c r="A7808" s="122">
        <f t="shared" si="751"/>
        <v>6469</v>
      </c>
      <c r="B7808" s="13">
        <v>1</v>
      </c>
      <c r="C7808" s="17" t="s">
        <v>52</v>
      </c>
      <c r="D7808" s="17">
        <v>2408</v>
      </c>
      <c r="E7808" s="17">
        <v>25</v>
      </c>
      <c r="F7808" s="17">
        <v>1744</v>
      </c>
      <c r="G7808" s="13">
        <v>4</v>
      </c>
      <c r="H7808" s="17">
        <v>0</v>
      </c>
      <c r="I7808" s="17">
        <v>0</v>
      </c>
      <c r="J7808" s="17">
        <v>39</v>
      </c>
      <c r="L7808" s="17" t="s">
        <v>761</v>
      </c>
      <c r="P7808" s="17">
        <v>2</v>
      </c>
      <c r="Q7808" s="19">
        <v>39</v>
      </c>
      <c r="R7808" s="14">
        <v>250</v>
      </c>
      <c r="S7808" s="19">
        <v>9750</v>
      </c>
      <c r="T7808" s="17">
        <v>1</v>
      </c>
      <c r="V7808" s="17" t="s">
        <v>183</v>
      </c>
      <c r="W7808" s="4">
        <v>140</v>
      </c>
      <c r="Y7808" s="4">
        <v>140</v>
      </c>
      <c r="AB7808" s="17">
        <v>28</v>
      </c>
      <c r="AJ7808" s="19">
        <v>0</v>
      </c>
      <c r="AK7808" s="23">
        <v>28</v>
      </c>
      <c r="AM7808" s="19">
        <v>0</v>
      </c>
      <c r="AN7808" s="19">
        <v>9750</v>
      </c>
      <c r="AP7808" s="14">
        <v>9750</v>
      </c>
      <c r="AS7808" s="26">
        <v>7</v>
      </c>
    </row>
    <row r="7809" spans="1:45" x14ac:dyDescent="0.2">
      <c r="A7809" s="122">
        <f t="shared" si="751"/>
        <v>6470</v>
      </c>
      <c r="B7809" s="13">
        <v>2</v>
      </c>
      <c r="C7809" s="17" t="s">
        <v>52</v>
      </c>
      <c r="D7809" s="17">
        <v>1507</v>
      </c>
      <c r="E7809" s="17">
        <v>106</v>
      </c>
      <c r="F7809" s="17">
        <v>1081</v>
      </c>
      <c r="H7809" s="17">
        <v>2</v>
      </c>
      <c r="I7809" s="17">
        <v>0</v>
      </c>
      <c r="J7809" s="17">
        <v>91</v>
      </c>
      <c r="K7809" s="10">
        <v>891</v>
      </c>
      <c r="P7809" s="17">
        <v>1</v>
      </c>
      <c r="Q7809" s="19">
        <v>891</v>
      </c>
      <c r="R7809" s="14">
        <v>160</v>
      </c>
      <c r="S7809" s="19">
        <v>142560</v>
      </c>
      <c r="AJ7809" s="19">
        <v>0</v>
      </c>
      <c r="AK7809" s="23">
        <v>0</v>
      </c>
      <c r="AM7809" s="19">
        <v>0</v>
      </c>
      <c r="AN7809" s="19">
        <v>142560</v>
      </c>
      <c r="AP7809" s="14">
        <v>142560</v>
      </c>
    </row>
    <row r="7810" spans="1:45" x14ac:dyDescent="0.2">
      <c r="Q7810" s="19">
        <v>0</v>
      </c>
      <c r="R7810" s="14" t="e">
        <v>#N/A</v>
      </c>
      <c r="S7810" s="19" t="e">
        <v>#N/A</v>
      </c>
      <c r="AJ7810" s="19">
        <v>0</v>
      </c>
      <c r="AK7810" s="23">
        <v>0</v>
      </c>
      <c r="AM7810" s="19">
        <v>0</v>
      </c>
      <c r="AN7810" s="19" t="e">
        <v>#N/A</v>
      </c>
      <c r="AP7810" s="14" t="e">
        <v>#N/A</v>
      </c>
    </row>
    <row r="7811" spans="1:45" x14ac:dyDescent="0.2">
      <c r="A7811" s="2">
        <v>6471</v>
      </c>
      <c r="B7811" s="13">
        <v>1</v>
      </c>
      <c r="C7811" s="17" t="s">
        <v>52</v>
      </c>
      <c r="D7811" s="17">
        <v>1031</v>
      </c>
      <c r="E7811" s="17">
        <v>53</v>
      </c>
      <c r="F7811" s="17">
        <v>388</v>
      </c>
      <c r="G7811" s="13">
        <v>1</v>
      </c>
      <c r="H7811" s="17">
        <v>0</v>
      </c>
      <c r="I7811" s="17">
        <v>0</v>
      </c>
      <c r="J7811" s="17">
        <v>94</v>
      </c>
      <c r="N7811" s="18">
        <v>94</v>
      </c>
      <c r="P7811" s="17">
        <v>4</v>
      </c>
      <c r="Q7811" s="19">
        <v>94</v>
      </c>
      <c r="R7811" s="14">
        <v>3000</v>
      </c>
      <c r="S7811" s="19">
        <v>282000</v>
      </c>
      <c r="AJ7811" s="19">
        <v>0</v>
      </c>
      <c r="AK7811" s="23">
        <v>0</v>
      </c>
      <c r="AM7811" s="19">
        <v>0</v>
      </c>
      <c r="AN7811" s="19">
        <v>282000</v>
      </c>
      <c r="AP7811" s="14">
        <v>282000</v>
      </c>
      <c r="AQ7811" s="12">
        <v>3.0000000000000001E-3</v>
      </c>
      <c r="AS7811" s="26">
        <v>2</v>
      </c>
    </row>
    <row r="7812" spans="1:45" x14ac:dyDescent="0.2">
      <c r="A7812" s="2">
        <f>+A7811+1</f>
        <v>6472</v>
      </c>
      <c r="B7812" s="13">
        <v>1</v>
      </c>
      <c r="C7812" s="17" t="s">
        <v>52</v>
      </c>
      <c r="D7812" s="17">
        <v>1001</v>
      </c>
      <c r="E7812" s="17">
        <v>5</v>
      </c>
      <c r="F7812" s="17">
        <v>249</v>
      </c>
      <c r="G7812" s="13">
        <v>1</v>
      </c>
      <c r="H7812" s="17">
        <v>1</v>
      </c>
      <c r="I7812" s="17">
        <v>2</v>
      </c>
      <c r="J7812" s="17">
        <v>48</v>
      </c>
      <c r="K7812" s="10">
        <v>648</v>
      </c>
      <c r="P7812" s="17">
        <v>1</v>
      </c>
      <c r="Q7812" s="19">
        <v>648</v>
      </c>
      <c r="R7812" s="14">
        <v>160</v>
      </c>
      <c r="S7812" s="19">
        <v>103680</v>
      </c>
      <c r="AJ7812" s="19">
        <v>0</v>
      </c>
      <c r="AK7812" s="23">
        <v>0</v>
      </c>
      <c r="AM7812" s="19">
        <v>0</v>
      </c>
      <c r="AN7812" s="19">
        <v>103680</v>
      </c>
      <c r="AP7812" s="14">
        <v>103680</v>
      </c>
      <c r="AS7812" s="26">
        <v>2</v>
      </c>
    </row>
    <row r="7813" spans="1:45" ht="42" x14ac:dyDescent="0.2">
      <c r="A7813" s="122">
        <f t="shared" ref="A7813:A7816" si="752">+A7812+1</f>
        <v>6473</v>
      </c>
      <c r="B7813" s="13">
        <v>2</v>
      </c>
      <c r="C7813" s="17" t="s">
        <v>52</v>
      </c>
      <c r="D7813" s="17">
        <v>32438</v>
      </c>
      <c r="E7813" s="17">
        <v>281</v>
      </c>
      <c r="F7813" s="17">
        <v>6413</v>
      </c>
      <c r="G7813" s="13">
        <v>1</v>
      </c>
      <c r="H7813" s="17">
        <v>1</v>
      </c>
      <c r="I7813" s="17">
        <v>0</v>
      </c>
      <c r="J7813" s="17">
        <v>84</v>
      </c>
      <c r="K7813" s="10">
        <v>460</v>
      </c>
      <c r="L7813" s="17">
        <v>24</v>
      </c>
      <c r="P7813" s="17">
        <v>5</v>
      </c>
      <c r="Q7813" s="19">
        <v>484</v>
      </c>
      <c r="R7813" s="14">
        <v>3000</v>
      </c>
      <c r="S7813" s="19">
        <v>1452000</v>
      </c>
      <c r="T7813" s="17">
        <v>1</v>
      </c>
      <c r="V7813" s="17" t="s">
        <v>183</v>
      </c>
      <c r="W7813" s="4">
        <v>96</v>
      </c>
      <c r="Y7813" s="4">
        <v>96</v>
      </c>
      <c r="AB7813" s="17">
        <v>41</v>
      </c>
      <c r="AJ7813" s="19">
        <v>0</v>
      </c>
      <c r="AK7813" s="23">
        <v>41</v>
      </c>
      <c r="AM7813" s="19">
        <v>0</v>
      </c>
      <c r="AN7813" s="19">
        <v>1452000</v>
      </c>
      <c r="AP7813" s="14">
        <v>1452000</v>
      </c>
    </row>
    <row r="7814" spans="1:45" ht="42" x14ac:dyDescent="0.2">
      <c r="A7814" s="122">
        <f t="shared" si="752"/>
        <v>6474</v>
      </c>
      <c r="B7814" s="13">
        <v>3</v>
      </c>
      <c r="C7814" s="17" t="s">
        <v>52</v>
      </c>
      <c r="D7814" s="17">
        <v>34104</v>
      </c>
      <c r="E7814" s="17">
        <v>299</v>
      </c>
      <c r="F7814" s="17">
        <v>6773</v>
      </c>
      <c r="G7814" s="13">
        <v>1</v>
      </c>
      <c r="H7814" s="17">
        <v>0</v>
      </c>
      <c r="I7814" s="17">
        <v>0</v>
      </c>
      <c r="J7814" s="17">
        <v>53</v>
      </c>
      <c r="L7814" s="17" t="s">
        <v>800</v>
      </c>
      <c r="P7814" s="17">
        <v>2</v>
      </c>
      <c r="Q7814" s="19">
        <v>53</v>
      </c>
      <c r="R7814" s="14">
        <v>4500</v>
      </c>
      <c r="S7814" s="19">
        <v>238500</v>
      </c>
      <c r="T7814" s="17">
        <v>1</v>
      </c>
      <c r="V7814" s="17" t="s">
        <v>183</v>
      </c>
      <c r="W7814" s="4">
        <v>87</v>
      </c>
      <c r="Y7814" s="4">
        <v>87</v>
      </c>
      <c r="AB7814" s="17">
        <v>11</v>
      </c>
      <c r="AJ7814" s="19">
        <v>0</v>
      </c>
      <c r="AK7814" s="23">
        <v>11</v>
      </c>
      <c r="AM7814" s="19">
        <v>0</v>
      </c>
      <c r="AN7814" s="19">
        <v>238500</v>
      </c>
      <c r="AP7814" s="14">
        <v>238500</v>
      </c>
    </row>
    <row r="7815" spans="1:45" x14ac:dyDescent="0.2">
      <c r="A7815" s="122">
        <f t="shared" si="752"/>
        <v>6475</v>
      </c>
      <c r="B7815" s="13">
        <v>4</v>
      </c>
      <c r="C7815" s="17" t="s">
        <v>52</v>
      </c>
      <c r="D7815" s="17">
        <v>35210</v>
      </c>
      <c r="E7815" s="17">
        <v>323</v>
      </c>
      <c r="F7815" s="17">
        <v>7000</v>
      </c>
      <c r="G7815" s="13">
        <v>1</v>
      </c>
      <c r="H7815" s="17">
        <v>0</v>
      </c>
      <c r="I7815" s="17">
        <v>0</v>
      </c>
      <c r="J7815" s="17">
        <v>43</v>
      </c>
      <c r="N7815" s="18">
        <v>43</v>
      </c>
      <c r="P7815" s="17">
        <v>4</v>
      </c>
      <c r="Q7815" s="19">
        <v>43</v>
      </c>
      <c r="R7815" s="14">
        <v>3000</v>
      </c>
      <c r="S7815" s="19">
        <v>129000</v>
      </c>
      <c r="AJ7815" s="19">
        <v>0</v>
      </c>
      <c r="AK7815" s="23">
        <v>0</v>
      </c>
      <c r="AM7815" s="19">
        <v>0</v>
      </c>
      <c r="AN7815" s="19">
        <v>129000</v>
      </c>
      <c r="AP7815" s="14">
        <v>129000</v>
      </c>
      <c r="AQ7815" s="12">
        <v>3.0000000000000001E-3</v>
      </c>
    </row>
    <row r="7816" spans="1:45" ht="42" x14ac:dyDescent="0.2">
      <c r="A7816" s="122">
        <f t="shared" si="752"/>
        <v>6476</v>
      </c>
      <c r="B7816" s="13">
        <v>1</v>
      </c>
      <c r="C7816" s="17" t="s">
        <v>52</v>
      </c>
      <c r="D7816" s="17">
        <v>956</v>
      </c>
      <c r="E7816" s="17">
        <v>5</v>
      </c>
      <c r="F7816" s="17">
        <v>358</v>
      </c>
      <c r="G7816" s="13">
        <v>1</v>
      </c>
      <c r="H7816" s="17">
        <v>4</v>
      </c>
      <c r="I7816" s="17">
        <v>3</v>
      </c>
      <c r="J7816" s="17">
        <v>46.07</v>
      </c>
      <c r="K7816" s="10">
        <v>1491</v>
      </c>
      <c r="L7816" s="17">
        <v>55</v>
      </c>
      <c r="P7816" s="17">
        <v>5</v>
      </c>
      <c r="Q7816" s="19">
        <v>1946.07</v>
      </c>
      <c r="R7816" s="14">
        <v>200</v>
      </c>
      <c r="S7816" s="19">
        <v>389214</v>
      </c>
      <c r="T7816" s="17">
        <v>1</v>
      </c>
      <c r="V7816" s="17" t="s">
        <v>183</v>
      </c>
      <c r="W7816" s="4">
        <v>220</v>
      </c>
      <c r="Y7816" s="4">
        <v>220</v>
      </c>
      <c r="AB7816" s="17">
        <v>31</v>
      </c>
      <c r="AJ7816" s="19">
        <v>0</v>
      </c>
      <c r="AK7816" s="23">
        <v>31</v>
      </c>
      <c r="AM7816" s="19">
        <v>0</v>
      </c>
      <c r="AN7816" s="19">
        <v>389214</v>
      </c>
      <c r="AP7816" s="14">
        <v>389214</v>
      </c>
      <c r="AS7816" s="26" t="s">
        <v>802</v>
      </c>
    </row>
    <row r="7817" spans="1:45" x14ac:dyDescent="0.2">
      <c r="R7817" s="14" t="e">
        <v>#N/A</v>
      </c>
    </row>
    <row r="7818" spans="1:45" x14ac:dyDescent="0.2">
      <c r="A7818" s="2">
        <v>6477</v>
      </c>
      <c r="B7818" s="13">
        <v>1</v>
      </c>
      <c r="C7818" s="17" t="s">
        <v>52</v>
      </c>
      <c r="D7818" s="17">
        <v>19812</v>
      </c>
      <c r="E7818" s="17">
        <v>175</v>
      </c>
      <c r="F7818" s="17">
        <v>4398</v>
      </c>
      <c r="G7818" s="13">
        <v>1</v>
      </c>
      <c r="H7818" s="17">
        <v>0</v>
      </c>
      <c r="I7818" s="17">
        <v>3</v>
      </c>
      <c r="J7818" s="17">
        <v>46</v>
      </c>
      <c r="K7818" s="10">
        <v>346</v>
      </c>
      <c r="P7818" s="17">
        <v>1</v>
      </c>
      <c r="Q7818" s="19">
        <v>346</v>
      </c>
      <c r="R7818" s="14">
        <v>2250</v>
      </c>
      <c r="S7818" s="19">
        <v>778500</v>
      </c>
      <c r="AJ7818" s="19">
        <v>0</v>
      </c>
      <c r="AK7818" s="23">
        <v>0</v>
      </c>
      <c r="AM7818" s="19">
        <v>0</v>
      </c>
      <c r="AN7818" s="19">
        <v>778500</v>
      </c>
      <c r="AP7818" s="14">
        <v>778500</v>
      </c>
    </row>
    <row r="7819" spans="1:45" ht="42" x14ac:dyDescent="0.2">
      <c r="B7819" s="13">
        <v>1</v>
      </c>
      <c r="C7819" s="17" t="s">
        <v>65</v>
      </c>
      <c r="D7819" s="17">
        <v>3722</v>
      </c>
      <c r="E7819" s="17">
        <v>180</v>
      </c>
      <c r="H7819" s="17">
        <v>0</v>
      </c>
      <c r="I7819" s="17">
        <v>1</v>
      </c>
      <c r="J7819" s="17">
        <v>24</v>
      </c>
      <c r="K7819" s="10">
        <v>124</v>
      </c>
      <c r="P7819" s="17">
        <v>1</v>
      </c>
      <c r="Q7819" s="19">
        <v>124</v>
      </c>
      <c r="R7819" s="14" t="e">
        <v>#N/A</v>
      </c>
      <c r="S7819" s="19" t="e">
        <v>#N/A</v>
      </c>
      <c r="T7819" s="17">
        <v>1</v>
      </c>
      <c r="V7819" s="17" t="s">
        <v>803</v>
      </c>
      <c r="W7819" s="4">
        <v>90</v>
      </c>
      <c r="Y7819" s="4">
        <v>90</v>
      </c>
      <c r="AB7819" s="17">
        <v>20</v>
      </c>
      <c r="AJ7819" s="19">
        <v>0</v>
      </c>
      <c r="AK7819" s="23">
        <v>20</v>
      </c>
      <c r="AM7819" s="19">
        <v>0</v>
      </c>
      <c r="AN7819" s="19" t="e">
        <v>#N/A</v>
      </c>
      <c r="AP7819" s="14" t="e">
        <v>#N/A</v>
      </c>
      <c r="AQ7819" s="12">
        <v>1E-4</v>
      </c>
    </row>
    <row r="7820" spans="1:45" x14ac:dyDescent="0.2">
      <c r="A7820" s="2">
        <v>6478</v>
      </c>
      <c r="B7820" s="13">
        <v>1</v>
      </c>
      <c r="C7820" s="17" t="s">
        <v>52</v>
      </c>
      <c r="D7820" s="17">
        <v>35332</v>
      </c>
      <c r="E7820" s="17">
        <v>162</v>
      </c>
      <c r="F7820" s="17">
        <v>7020</v>
      </c>
      <c r="G7820" s="13">
        <v>3</v>
      </c>
      <c r="H7820" s="17">
        <v>0</v>
      </c>
      <c r="I7820" s="17">
        <v>0</v>
      </c>
      <c r="J7820" s="17">
        <v>27</v>
      </c>
      <c r="K7820" s="10">
        <v>27</v>
      </c>
      <c r="P7820" s="17">
        <v>1</v>
      </c>
      <c r="Q7820" s="19">
        <v>27</v>
      </c>
      <c r="R7820" s="14">
        <v>2000</v>
      </c>
      <c r="S7820" s="19">
        <v>54000</v>
      </c>
      <c r="AJ7820" s="19">
        <v>0</v>
      </c>
      <c r="AK7820" s="23">
        <v>0</v>
      </c>
      <c r="AM7820" s="19">
        <v>0</v>
      </c>
      <c r="AN7820" s="19">
        <v>54000</v>
      </c>
      <c r="AP7820" s="14">
        <v>54000</v>
      </c>
    </row>
    <row r="7821" spans="1:45" x14ac:dyDescent="0.2">
      <c r="A7821" s="2">
        <f>+A7820+1</f>
        <v>6479</v>
      </c>
      <c r="B7821" s="13">
        <v>1</v>
      </c>
      <c r="C7821" s="17" t="s">
        <v>65</v>
      </c>
      <c r="D7821" s="17">
        <v>1313</v>
      </c>
      <c r="E7821" s="17">
        <v>27</v>
      </c>
      <c r="H7821" s="17">
        <v>7</v>
      </c>
      <c r="I7821" s="17">
        <v>0</v>
      </c>
      <c r="J7821" s="17">
        <v>6</v>
      </c>
      <c r="K7821" s="10">
        <v>2806</v>
      </c>
      <c r="P7821" s="17">
        <v>1</v>
      </c>
      <c r="Q7821" s="19">
        <v>2806</v>
      </c>
      <c r="R7821" s="14">
        <v>250</v>
      </c>
      <c r="S7821" s="19">
        <v>701500</v>
      </c>
      <c r="AE7821" s="17" t="s">
        <v>94</v>
      </c>
      <c r="AJ7821" s="19">
        <v>0</v>
      </c>
      <c r="AK7821" s="23">
        <v>0</v>
      </c>
      <c r="AM7821" s="19">
        <v>0</v>
      </c>
      <c r="AN7821" s="19">
        <v>701500</v>
      </c>
      <c r="AP7821" s="14">
        <v>701500</v>
      </c>
      <c r="AQ7821" s="12">
        <v>1E-4</v>
      </c>
      <c r="AS7821" s="26">
        <v>38</v>
      </c>
    </row>
    <row r="7822" spans="1:45" x14ac:dyDescent="0.2">
      <c r="A7822" s="122">
        <f t="shared" ref="A7822:A7835" si="753">+A7821+1</f>
        <v>6480</v>
      </c>
      <c r="B7822" s="13">
        <v>1</v>
      </c>
      <c r="C7822" s="17" t="s">
        <v>52</v>
      </c>
      <c r="D7822" s="17">
        <v>1627</v>
      </c>
      <c r="E7822" s="17">
        <v>32</v>
      </c>
      <c r="F7822" s="17">
        <v>1377</v>
      </c>
      <c r="H7822" s="17">
        <v>2</v>
      </c>
      <c r="I7822" s="17">
        <v>3</v>
      </c>
      <c r="J7822" s="17">
        <v>64</v>
      </c>
      <c r="K7822" s="10">
        <v>1164</v>
      </c>
      <c r="P7822" s="17">
        <v>1</v>
      </c>
      <c r="Q7822" s="19">
        <v>1164</v>
      </c>
      <c r="R7822" s="14">
        <v>160</v>
      </c>
      <c r="S7822" s="19">
        <v>186240</v>
      </c>
      <c r="AJ7822" s="19">
        <v>0</v>
      </c>
      <c r="AK7822" s="23">
        <v>0</v>
      </c>
      <c r="AM7822" s="19">
        <v>0</v>
      </c>
      <c r="AN7822" s="19">
        <v>186240</v>
      </c>
      <c r="AP7822" s="14">
        <v>186240</v>
      </c>
      <c r="AS7822" s="26">
        <v>9</v>
      </c>
    </row>
    <row r="7823" spans="1:45" x14ac:dyDescent="0.2">
      <c r="A7823" s="122">
        <f t="shared" si="753"/>
        <v>6481</v>
      </c>
      <c r="B7823" s="13">
        <v>1</v>
      </c>
      <c r="C7823" s="17" t="s">
        <v>65</v>
      </c>
      <c r="D7823" s="17">
        <v>966</v>
      </c>
      <c r="E7823" s="17">
        <v>21</v>
      </c>
      <c r="H7823" s="17">
        <v>5</v>
      </c>
      <c r="I7823" s="17">
        <v>0</v>
      </c>
      <c r="J7823" s="17">
        <v>75</v>
      </c>
      <c r="K7823" s="10">
        <v>2075</v>
      </c>
      <c r="P7823" s="17">
        <v>1</v>
      </c>
      <c r="Q7823" s="19">
        <v>2075</v>
      </c>
      <c r="R7823" s="14">
        <v>500</v>
      </c>
      <c r="S7823" s="19">
        <v>1037500</v>
      </c>
      <c r="AJ7823" s="19">
        <v>0</v>
      </c>
      <c r="AK7823" s="23">
        <v>0</v>
      </c>
      <c r="AM7823" s="19">
        <v>0</v>
      </c>
      <c r="AN7823" s="19">
        <v>1037500</v>
      </c>
      <c r="AP7823" s="14">
        <v>1037500</v>
      </c>
      <c r="AQ7823" s="12">
        <v>1E-4</v>
      </c>
    </row>
    <row r="7824" spans="1:45" x14ac:dyDescent="0.2">
      <c r="A7824" s="122">
        <f t="shared" si="753"/>
        <v>6482</v>
      </c>
      <c r="B7824" s="13">
        <v>1</v>
      </c>
      <c r="C7824" s="17" t="s">
        <v>52</v>
      </c>
      <c r="D7824" s="17">
        <v>30247</v>
      </c>
      <c r="E7824" s="17">
        <v>123</v>
      </c>
      <c r="F7824" s="17">
        <v>5298</v>
      </c>
      <c r="G7824" s="13">
        <v>1</v>
      </c>
      <c r="H7824" s="17">
        <v>0</v>
      </c>
      <c r="I7824" s="17">
        <v>3</v>
      </c>
      <c r="J7824" s="17">
        <v>8</v>
      </c>
      <c r="K7824" s="10">
        <v>308</v>
      </c>
      <c r="P7824" s="17">
        <v>1</v>
      </c>
      <c r="Q7824" s="19">
        <v>308</v>
      </c>
      <c r="R7824" s="14">
        <v>160</v>
      </c>
      <c r="S7824" s="19">
        <v>49280</v>
      </c>
      <c r="AJ7824" s="19">
        <v>0</v>
      </c>
      <c r="AK7824" s="23">
        <v>0</v>
      </c>
      <c r="AM7824" s="19">
        <v>0</v>
      </c>
      <c r="AN7824" s="19">
        <v>49280</v>
      </c>
      <c r="AP7824" s="14">
        <v>49280</v>
      </c>
    </row>
    <row r="7825" spans="1:45" s="19" customFormat="1" x14ac:dyDescent="0.2">
      <c r="A7825" s="122">
        <f t="shared" si="753"/>
        <v>6483</v>
      </c>
      <c r="B7825" s="13">
        <v>2</v>
      </c>
      <c r="C7825" s="17" t="s">
        <v>52</v>
      </c>
      <c r="D7825" s="17">
        <v>30252</v>
      </c>
      <c r="E7825" s="17">
        <v>128</v>
      </c>
      <c r="F7825" s="17">
        <v>5303</v>
      </c>
      <c r="G7825" s="13">
        <v>1</v>
      </c>
      <c r="H7825" s="17">
        <v>5</v>
      </c>
      <c r="I7825" s="17">
        <v>0</v>
      </c>
      <c r="J7825" s="17">
        <v>56</v>
      </c>
      <c r="K7825" s="10">
        <v>2056</v>
      </c>
      <c r="L7825" s="17"/>
      <c r="M7825" s="15"/>
      <c r="N7825" s="18"/>
      <c r="O7825" s="14"/>
      <c r="P7825" s="17">
        <v>1</v>
      </c>
      <c r="Q7825" s="19">
        <v>2056</v>
      </c>
      <c r="R7825" s="14">
        <v>200</v>
      </c>
      <c r="S7825" s="19">
        <v>411200</v>
      </c>
      <c r="T7825" s="17"/>
      <c r="U7825" s="17"/>
      <c r="V7825" s="17"/>
      <c r="W7825" s="4"/>
      <c r="X7825" s="17"/>
      <c r="Y7825" s="4"/>
      <c r="Z7825" s="17"/>
      <c r="AA7825" s="17"/>
      <c r="AB7825" s="17"/>
      <c r="AC7825" s="14"/>
      <c r="AD7825" s="14"/>
      <c r="AE7825" s="17"/>
      <c r="AF7825" s="14"/>
      <c r="AG7825" s="54"/>
      <c r="AH7825" s="11"/>
      <c r="AI7825" s="14"/>
      <c r="AJ7825" s="19">
        <v>0</v>
      </c>
      <c r="AK7825" s="23">
        <v>0</v>
      </c>
      <c r="AL7825" s="11"/>
      <c r="AM7825" s="19">
        <v>0</v>
      </c>
      <c r="AN7825" s="19">
        <v>411200</v>
      </c>
      <c r="AO7825" s="14"/>
      <c r="AP7825" s="14">
        <v>411200</v>
      </c>
      <c r="AQ7825" s="12"/>
      <c r="AS7825" s="26"/>
    </row>
    <row r="7826" spans="1:45" s="19" customFormat="1" x14ac:dyDescent="0.2">
      <c r="A7826" s="122">
        <f t="shared" si="753"/>
        <v>6484</v>
      </c>
      <c r="B7826" s="13">
        <v>1</v>
      </c>
      <c r="C7826" s="17" t="s">
        <v>52</v>
      </c>
      <c r="D7826" s="17">
        <v>30250</v>
      </c>
      <c r="E7826" s="17">
        <v>126</v>
      </c>
      <c r="F7826" s="17">
        <v>5301</v>
      </c>
      <c r="G7826" s="13">
        <v>1</v>
      </c>
      <c r="H7826" s="17">
        <v>5</v>
      </c>
      <c r="I7826" s="17">
        <v>3</v>
      </c>
      <c r="J7826" s="17">
        <v>98</v>
      </c>
      <c r="K7826" s="10">
        <v>2398</v>
      </c>
      <c r="L7826" s="17"/>
      <c r="M7826" s="15"/>
      <c r="N7826" s="18"/>
      <c r="O7826" s="14"/>
      <c r="P7826" s="17">
        <v>1</v>
      </c>
      <c r="Q7826" s="19">
        <v>2398</v>
      </c>
      <c r="R7826" s="14">
        <v>200</v>
      </c>
      <c r="S7826" s="19">
        <v>479600</v>
      </c>
      <c r="T7826" s="17"/>
      <c r="U7826" s="17"/>
      <c r="V7826" s="17"/>
      <c r="W7826" s="4"/>
      <c r="X7826" s="17"/>
      <c r="Y7826" s="4"/>
      <c r="Z7826" s="17"/>
      <c r="AA7826" s="17"/>
      <c r="AB7826" s="17"/>
      <c r="AC7826" s="14"/>
      <c r="AD7826" s="14"/>
      <c r="AE7826" s="17"/>
      <c r="AF7826" s="14"/>
      <c r="AG7826" s="54"/>
      <c r="AH7826" s="11"/>
      <c r="AI7826" s="14"/>
      <c r="AJ7826" s="19">
        <v>0</v>
      </c>
      <c r="AK7826" s="23">
        <v>0</v>
      </c>
      <c r="AL7826" s="11"/>
      <c r="AM7826" s="19">
        <v>0</v>
      </c>
      <c r="AN7826" s="19">
        <v>479600</v>
      </c>
      <c r="AO7826" s="14"/>
      <c r="AP7826" s="14">
        <v>479600</v>
      </c>
      <c r="AQ7826" s="12"/>
      <c r="AS7826" s="26"/>
    </row>
    <row r="7827" spans="1:45" s="19" customFormat="1" x14ac:dyDescent="0.2">
      <c r="A7827" s="122">
        <f t="shared" si="753"/>
        <v>6485</v>
      </c>
      <c r="B7827" s="13">
        <v>2</v>
      </c>
      <c r="C7827" s="17" t="s">
        <v>52</v>
      </c>
      <c r="D7827" s="17">
        <v>1862</v>
      </c>
      <c r="E7827" s="17">
        <v>101</v>
      </c>
      <c r="F7827" s="17">
        <v>1252</v>
      </c>
      <c r="G7827" s="13"/>
      <c r="H7827" s="17">
        <v>2</v>
      </c>
      <c r="I7827" s="17">
        <v>0</v>
      </c>
      <c r="J7827" s="17">
        <v>52</v>
      </c>
      <c r="K7827" s="10">
        <v>852</v>
      </c>
      <c r="L7827" s="17"/>
      <c r="M7827" s="15"/>
      <c r="N7827" s="18"/>
      <c r="O7827" s="14"/>
      <c r="P7827" s="17">
        <v>1</v>
      </c>
      <c r="Q7827" s="19">
        <v>852</v>
      </c>
      <c r="R7827" s="14">
        <v>160</v>
      </c>
      <c r="S7827" s="19">
        <v>136320</v>
      </c>
      <c r="T7827" s="17"/>
      <c r="U7827" s="17"/>
      <c r="V7827" s="17"/>
      <c r="W7827" s="4"/>
      <c r="X7827" s="17"/>
      <c r="Y7827" s="4"/>
      <c r="Z7827" s="17"/>
      <c r="AA7827" s="17"/>
      <c r="AB7827" s="17"/>
      <c r="AC7827" s="14"/>
      <c r="AD7827" s="14"/>
      <c r="AE7827" s="17"/>
      <c r="AF7827" s="14"/>
      <c r="AG7827" s="54"/>
      <c r="AH7827" s="11"/>
      <c r="AI7827" s="14"/>
      <c r="AJ7827" s="19">
        <v>0</v>
      </c>
      <c r="AK7827" s="23">
        <v>0</v>
      </c>
      <c r="AL7827" s="11"/>
      <c r="AM7827" s="19">
        <v>0</v>
      </c>
      <c r="AN7827" s="19">
        <v>136320</v>
      </c>
      <c r="AO7827" s="14"/>
      <c r="AP7827" s="14">
        <v>136320</v>
      </c>
      <c r="AQ7827" s="12"/>
      <c r="AS7827" s="26"/>
    </row>
    <row r="7828" spans="1:45" s="19" customFormat="1" x14ac:dyDescent="0.2">
      <c r="A7828" s="122">
        <f t="shared" si="753"/>
        <v>6486</v>
      </c>
      <c r="B7828" s="13">
        <v>1</v>
      </c>
      <c r="C7828" s="17" t="s">
        <v>52</v>
      </c>
      <c r="D7828" s="17">
        <v>1042</v>
      </c>
      <c r="E7828" s="17">
        <v>24</v>
      </c>
      <c r="F7828" s="17">
        <v>400</v>
      </c>
      <c r="G7828" s="13">
        <v>1</v>
      </c>
      <c r="H7828" s="17">
        <v>4</v>
      </c>
      <c r="I7828" s="17">
        <v>2</v>
      </c>
      <c r="J7828" s="17">
        <v>76</v>
      </c>
      <c r="K7828" s="10">
        <v>1876</v>
      </c>
      <c r="L7828" s="17"/>
      <c r="M7828" s="15"/>
      <c r="N7828" s="18"/>
      <c r="O7828" s="14"/>
      <c r="P7828" s="17">
        <v>1</v>
      </c>
      <c r="Q7828" s="19">
        <v>1876</v>
      </c>
      <c r="R7828" s="14">
        <v>200</v>
      </c>
      <c r="S7828" s="19">
        <v>375200</v>
      </c>
      <c r="T7828" s="17"/>
      <c r="U7828" s="17"/>
      <c r="V7828" s="17"/>
      <c r="W7828" s="4"/>
      <c r="X7828" s="17"/>
      <c r="Y7828" s="4"/>
      <c r="Z7828" s="17"/>
      <c r="AA7828" s="17"/>
      <c r="AB7828" s="17"/>
      <c r="AC7828" s="14"/>
      <c r="AD7828" s="14"/>
      <c r="AE7828" s="17"/>
      <c r="AF7828" s="14"/>
      <c r="AG7828" s="54"/>
      <c r="AH7828" s="11"/>
      <c r="AI7828" s="14"/>
      <c r="AJ7828" s="19">
        <v>0</v>
      </c>
      <c r="AK7828" s="23">
        <v>0</v>
      </c>
      <c r="AL7828" s="11"/>
      <c r="AM7828" s="19">
        <v>0</v>
      </c>
      <c r="AN7828" s="19">
        <v>375200</v>
      </c>
      <c r="AO7828" s="14"/>
      <c r="AP7828" s="14">
        <v>375200</v>
      </c>
      <c r="AQ7828" s="12"/>
      <c r="AS7828" s="26"/>
    </row>
    <row r="7829" spans="1:45" s="19" customFormat="1" x14ac:dyDescent="0.2">
      <c r="A7829" s="122">
        <f t="shared" si="753"/>
        <v>6487</v>
      </c>
      <c r="B7829" s="13">
        <v>2</v>
      </c>
      <c r="C7829" s="17" t="s">
        <v>52</v>
      </c>
      <c r="D7829" s="17">
        <v>30249</v>
      </c>
      <c r="E7829" s="17">
        <v>125</v>
      </c>
      <c r="F7829" s="17">
        <v>5300</v>
      </c>
      <c r="G7829" s="13">
        <v>1</v>
      </c>
      <c r="H7829" s="17">
        <v>0</v>
      </c>
      <c r="I7829" s="17">
        <v>2</v>
      </c>
      <c r="J7829" s="17">
        <v>81</v>
      </c>
      <c r="K7829" s="10">
        <v>281</v>
      </c>
      <c r="L7829" s="17"/>
      <c r="M7829" s="15"/>
      <c r="N7829" s="18"/>
      <c r="O7829" s="14"/>
      <c r="P7829" s="17">
        <v>1</v>
      </c>
      <c r="Q7829" s="19">
        <v>281</v>
      </c>
      <c r="R7829" s="14">
        <v>160</v>
      </c>
      <c r="S7829" s="19">
        <v>44960</v>
      </c>
      <c r="T7829" s="17"/>
      <c r="U7829" s="17"/>
      <c r="V7829" s="17"/>
      <c r="W7829" s="4"/>
      <c r="X7829" s="17"/>
      <c r="Y7829" s="4"/>
      <c r="Z7829" s="17"/>
      <c r="AA7829" s="17"/>
      <c r="AB7829" s="17"/>
      <c r="AC7829" s="14"/>
      <c r="AD7829" s="14"/>
      <c r="AE7829" s="17"/>
      <c r="AF7829" s="14"/>
      <c r="AG7829" s="54"/>
      <c r="AH7829" s="11"/>
      <c r="AI7829" s="14"/>
      <c r="AJ7829" s="19">
        <v>0</v>
      </c>
      <c r="AK7829" s="23">
        <v>0</v>
      </c>
      <c r="AL7829" s="11"/>
      <c r="AM7829" s="19">
        <v>0</v>
      </c>
      <c r="AN7829" s="19">
        <v>44960</v>
      </c>
      <c r="AO7829" s="14"/>
      <c r="AP7829" s="14">
        <v>44960</v>
      </c>
      <c r="AQ7829" s="12"/>
      <c r="AS7829" s="26"/>
    </row>
    <row r="7830" spans="1:45" s="19" customFormat="1" x14ac:dyDescent="0.2">
      <c r="A7830" s="122">
        <f t="shared" si="753"/>
        <v>6488</v>
      </c>
      <c r="B7830" s="13">
        <v>1</v>
      </c>
      <c r="C7830" s="17" t="s">
        <v>52</v>
      </c>
      <c r="D7830" s="17">
        <v>30178</v>
      </c>
      <c r="E7830" s="17">
        <v>105</v>
      </c>
      <c r="F7830" s="17">
        <v>5305</v>
      </c>
      <c r="G7830" s="13">
        <v>2</v>
      </c>
      <c r="H7830" s="17">
        <v>5</v>
      </c>
      <c r="I7830" s="17">
        <v>0</v>
      </c>
      <c r="J7830" s="17">
        <v>21</v>
      </c>
      <c r="K7830" s="10">
        <v>2021</v>
      </c>
      <c r="L7830" s="17"/>
      <c r="M7830" s="15"/>
      <c r="N7830" s="18"/>
      <c r="O7830" s="14"/>
      <c r="P7830" s="17">
        <v>1</v>
      </c>
      <c r="Q7830" s="19">
        <v>2021</v>
      </c>
      <c r="R7830" s="14">
        <v>200</v>
      </c>
      <c r="S7830" s="19">
        <v>404200</v>
      </c>
      <c r="T7830" s="17"/>
      <c r="U7830" s="17"/>
      <c r="V7830" s="17"/>
      <c r="W7830" s="4"/>
      <c r="X7830" s="17"/>
      <c r="Y7830" s="4"/>
      <c r="Z7830" s="17"/>
      <c r="AA7830" s="17"/>
      <c r="AB7830" s="17"/>
      <c r="AC7830" s="14"/>
      <c r="AD7830" s="14"/>
      <c r="AE7830" s="17"/>
      <c r="AF7830" s="14"/>
      <c r="AG7830" s="54"/>
      <c r="AH7830" s="11"/>
      <c r="AI7830" s="14"/>
      <c r="AJ7830" s="19">
        <v>0</v>
      </c>
      <c r="AK7830" s="23">
        <v>0</v>
      </c>
      <c r="AL7830" s="11"/>
      <c r="AM7830" s="19">
        <v>0</v>
      </c>
      <c r="AN7830" s="19">
        <v>404200</v>
      </c>
      <c r="AO7830" s="14"/>
      <c r="AP7830" s="14">
        <v>404200</v>
      </c>
      <c r="AQ7830" s="12"/>
      <c r="AS7830" s="26"/>
    </row>
    <row r="7831" spans="1:45" s="19" customFormat="1" x14ac:dyDescent="0.2">
      <c r="A7831" s="122">
        <f t="shared" si="753"/>
        <v>6489</v>
      </c>
      <c r="B7831" s="13">
        <v>1</v>
      </c>
      <c r="C7831" s="17" t="s">
        <v>52</v>
      </c>
      <c r="D7831" s="17">
        <v>30248</v>
      </c>
      <c r="E7831" s="17">
        <v>124</v>
      </c>
      <c r="F7831" s="17">
        <v>5299</v>
      </c>
      <c r="G7831" s="13">
        <v>1</v>
      </c>
      <c r="H7831" s="17">
        <v>0</v>
      </c>
      <c r="I7831" s="17">
        <v>2</v>
      </c>
      <c r="J7831" s="17">
        <v>93</v>
      </c>
      <c r="K7831" s="10">
        <v>293</v>
      </c>
      <c r="L7831" s="17"/>
      <c r="M7831" s="15"/>
      <c r="N7831" s="18"/>
      <c r="O7831" s="14"/>
      <c r="P7831" s="17">
        <v>1</v>
      </c>
      <c r="Q7831" s="19">
        <v>293</v>
      </c>
      <c r="R7831" s="14">
        <v>160</v>
      </c>
      <c r="S7831" s="19">
        <v>46880</v>
      </c>
      <c r="T7831" s="17"/>
      <c r="U7831" s="17"/>
      <c r="V7831" s="17"/>
      <c r="W7831" s="4"/>
      <c r="X7831" s="17"/>
      <c r="Y7831" s="4"/>
      <c r="Z7831" s="17"/>
      <c r="AA7831" s="17"/>
      <c r="AB7831" s="17"/>
      <c r="AC7831" s="14"/>
      <c r="AD7831" s="14"/>
      <c r="AE7831" s="17"/>
      <c r="AF7831" s="14"/>
      <c r="AG7831" s="54"/>
      <c r="AH7831" s="11"/>
      <c r="AI7831" s="14"/>
      <c r="AJ7831" s="19">
        <v>0</v>
      </c>
      <c r="AK7831" s="23">
        <v>0</v>
      </c>
      <c r="AL7831" s="11"/>
      <c r="AM7831" s="19">
        <v>0</v>
      </c>
      <c r="AN7831" s="19">
        <v>46880</v>
      </c>
      <c r="AO7831" s="14"/>
      <c r="AP7831" s="14">
        <v>46880</v>
      </c>
      <c r="AQ7831" s="12"/>
      <c r="AS7831" s="26"/>
    </row>
    <row r="7832" spans="1:45" s="19" customFormat="1" x14ac:dyDescent="0.2">
      <c r="A7832" s="122">
        <f t="shared" si="753"/>
        <v>6490</v>
      </c>
      <c r="B7832" s="13">
        <v>2</v>
      </c>
      <c r="C7832" s="17" t="s">
        <v>52</v>
      </c>
      <c r="D7832" s="17">
        <v>30253</v>
      </c>
      <c r="E7832" s="17">
        <v>129</v>
      </c>
      <c r="F7832" s="17">
        <v>5304</v>
      </c>
      <c r="G7832" s="13">
        <v>1</v>
      </c>
      <c r="H7832" s="17">
        <v>4</v>
      </c>
      <c r="I7832" s="17">
        <v>2</v>
      </c>
      <c r="J7832" s="17">
        <v>57</v>
      </c>
      <c r="K7832" s="10">
        <v>1857</v>
      </c>
      <c r="L7832" s="17"/>
      <c r="M7832" s="15"/>
      <c r="N7832" s="18"/>
      <c r="O7832" s="14"/>
      <c r="P7832" s="17">
        <v>1</v>
      </c>
      <c r="Q7832" s="19">
        <v>1857</v>
      </c>
      <c r="R7832" s="14">
        <v>160</v>
      </c>
      <c r="S7832" s="19">
        <v>297120</v>
      </c>
      <c r="T7832" s="17"/>
      <c r="U7832" s="17"/>
      <c r="V7832" s="17"/>
      <c r="W7832" s="4"/>
      <c r="X7832" s="17"/>
      <c r="Y7832" s="4"/>
      <c r="Z7832" s="17"/>
      <c r="AA7832" s="17"/>
      <c r="AB7832" s="17"/>
      <c r="AC7832" s="14"/>
      <c r="AD7832" s="14"/>
      <c r="AE7832" s="17"/>
      <c r="AF7832" s="14"/>
      <c r="AG7832" s="54"/>
      <c r="AH7832" s="11"/>
      <c r="AI7832" s="14"/>
      <c r="AJ7832" s="19">
        <v>0</v>
      </c>
      <c r="AK7832" s="23">
        <v>0</v>
      </c>
      <c r="AL7832" s="11"/>
      <c r="AM7832" s="19">
        <v>0</v>
      </c>
      <c r="AN7832" s="19">
        <v>297120</v>
      </c>
      <c r="AO7832" s="14"/>
      <c r="AP7832" s="14">
        <v>297120</v>
      </c>
      <c r="AQ7832" s="12"/>
      <c r="AS7832" s="26"/>
    </row>
    <row r="7833" spans="1:45" s="19" customFormat="1" x14ac:dyDescent="0.2">
      <c r="A7833" s="122">
        <f t="shared" si="753"/>
        <v>6491</v>
      </c>
      <c r="B7833" s="13">
        <v>1</v>
      </c>
      <c r="C7833" s="17" t="s">
        <v>52</v>
      </c>
      <c r="D7833" s="17">
        <v>983</v>
      </c>
      <c r="E7833" s="17">
        <v>18</v>
      </c>
      <c r="F7833" s="17">
        <v>229</v>
      </c>
      <c r="G7833" s="13">
        <v>1</v>
      </c>
      <c r="H7833" s="17">
        <v>4</v>
      </c>
      <c r="I7833" s="17">
        <v>1</v>
      </c>
      <c r="J7833" s="17">
        <v>15</v>
      </c>
      <c r="K7833" s="10">
        <v>1715</v>
      </c>
      <c r="L7833" s="17"/>
      <c r="M7833" s="15"/>
      <c r="N7833" s="18"/>
      <c r="O7833" s="14"/>
      <c r="P7833" s="17">
        <v>1</v>
      </c>
      <c r="Q7833" s="19">
        <v>1715</v>
      </c>
      <c r="R7833" s="14">
        <v>200</v>
      </c>
      <c r="S7833" s="19">
        <v>343000</v>
      </c>
      <c r="T7833" s="17"/>
      <c r="U7833" s="17"/>
      <c r="V7833" s="17"/>
      <c r="W7833" s="4"/>
      <c r="X7833" s="17"/>
      <c r="Y7833" s="4"/>
      <c r="Z7833" s="17"/>
      <c r="AA7833" s="17"/>
      <c r="AB7833" s="17"/>
      <c r="AC7833" s="14"/>
      <c r="AD7833" s="14"/>
      <c r="AE7833" s="17"/>
      <c r="AF7833" s="14"/>
      <c r="AG7833" s="54"/>
      <c r="AH7833" s="11"/>
      <c r="AI7833" s="14"/>
      <c r="AJ7833" s="19">
        <v>0</v>
      </c>
      <c r="AK7833" s="23">
        <v>0</v>
      </c>
      <c r="AL7833" s="11"/>
      <c r="AM7833" s="19">
        <v>0</v>
      </c>
      <c r="AN7833" s="19">
        <v>343000</v>
      </c>
      <c r="AO7833" s="14"/>
      <c r="AP7833" s="14">
        <v>343000</v>
      </c>
      <c r="AQ7833" s="12"/>
      <c r="AS7833" s="26"/>
    </row>
    <row r="7834" spans="1:45" s="19" customFormat="1" x14ac:dyDescent="0.2">
      <c r="A7834" s="122">
        <f t="shared" si="753"/>
        <v>6492</v>
      </c>
      <c r="B7834" s="13">
        <v>2</v>
      </c>
      <c r="C7834" s="17" t="s">
        <v>52</v>
      </c>
      <c r="D7834" s="17">
        <v>1314</v>
      </c>
      <c r="E7834" s="17">
        <v>17</v>
      </c>
      <c r="F7834" s="17">
        <v>569</v>
      </c>
      <c r="G7834" s="13">
        <v>1</v>
      </c>
      <c r="H7834" s="17">
        <v>2</v>
      </c>
      <c r="I7834" s="17">
        <v>1</v>
      </c>
      <c r="J7834" s="17">
        <v>50</v>
      </c>
      <c r="K7834" s="10">
        <v>950</v>
      </c>
      <c r="L7834" s="17"/>
      <c r="M7834" s="15"/>
      <c r="N7834" s="18"/>
      <c r="O7834" s="14"/>
      <c r="P7834" s="17">
        <v>1</v>
      </c>
      <c r="Q7834" s="19">
        <v>950</v>
      </c>
      <c r="R7834" s="14">
        <v>200</v>
      </c>
      <c r="S7834" s="19">
        <v>190000</v>
      </c>
      <c r="T7834" s="17"/>
      <c r="U7834" s="17"/>
      <c r="V7834" s="17"/>
      <c r="W7834" s="4"/>
      <c r="X7834" s="17"/>
      <c r="Y7834" s="4"/>
      <c r="Z7834" s="17"/>
      <c r="AA7834" s="17"/>
      <c r="AB7834" s="17"/>
      <c r="AC7834" s="14"/>
      <c r="AD7834" s="14"/>
      <c r="AE7834" s="17"/>
      <c r="AF7834" s="14"/>
      <c r="AG7834" s="54"/>
      <c r="AH7834" s="11"/>
      <c r="AI7834" s="14"/>
      <c r="AJ7834" s="19">
        <v>0</v>
      </c>
      <c r="AK7834" s="23">
        <v>0</v>
      </c>
      <c r="AL7834" s="11"/>
      <c r="AM7834" s="19">
        <v>0</v>
      </c>
      <c r="AN7834" s="19">
        <v>190000</v>
      </c>
      <c r="AO7834" s="14"/>
      <c r="AP7834" s="14">
        <v>190000</v>
      </c>
      <c r="AQ7834" s="12"/>
      <c r="AS7834" s="26"/>
    </row>
    <row r="7835" spans="1:45" s="19" customFormat="1" ht="63" x14ac:dyDescent="0.2">
      <c r="A7835" s="122">
        <f t="shared" si="753"/>
        <v>6493</v>
      </c>
      <c r="B7835" s="13">
        <v>3</v>
      </c>
      <c r="C7835" s="17" t="s">
        <v>52</v>
      </c>
      <c r="D7835" s="17">
        <v>423</v>
      </c>
      <c r="E7835" s="17">
        <v>501</v>
      </c>
      <c r="F7835" s="17">
        <v>18</v>
      </c>
      <c r="G7835" s="13">
        <v>2</v>
      </c>
      <c r="H7835" s="17">
        <v>0</v>
      </c>
      <c r="I7835" s="17">
        <v>1</v>
      </c>
      <c r="J7835" s="17">
        <v>8.09</v>
      </c>
      <c r="K7835" s="10"/>
      <c r="L7835" s="17" t="s">
        <v>804</v>
      </c>
      <c r="M7835" s="15"/>
      <c r="N7835" s="18"/>
      <c r="O7835" s="14"/>
      <c r="P7835" s="17">
        <v>1</v>
      </c>
      <c r="Q7835" s="19">
        <v>108.09</v>
      </c>
      <c r="R7835" s="14">
        <v>4500</v>
      </c>
      <c r="S7835" s="19">
        <v>486405</v>
      </c>
      <c r="T7835" s="17">
        <v>1</v>
      </c>
      <c r="U7835" s="17" t="s">
        <v>63</v>
      </c>
      <c r="V7835" s="17" t="s">
        <v>56</v>
      </c>
      <c r="W7835" s="4">
        <v>382.5</v>
      </c>
      <c r="X7835" s="17"/>
      <c r="Y7835" s="4">
        <v>382.5</v>
      </c>
      <c r="Z7835" s="17"/>
      <c r="AA7835" s="17"/>
      <c r="AB7835" s="17">
        <v>25</v>
      </c>
      <c r="AC7835" s="14"/>
      <c r="AD7835" s="14">
        <v>0.22222222222222221</v>
      </c>
      <c r="AE7835" s="17" t="s">
        <v>805</v>
      </c>
      <c r="AF7835" s="14">
        <v>2</v>
      </c>
      <c r="AG7835" s="54">
        <v>382.5</v>
      </c>
      <c r="AH7835" s="11">
        <v>0.78</v>
      </c>
      <c r="AI7835" s="14">
        <v>8100</v>
      </c>
      <c r="AJ7835" s="19">
        <v>2416635</v>
      </c>
      <c r="AK7835" s="23">
        <v>25</v>
      </c>
      <c r="AL7835" s="11">
        <v>0.4</v>
      </c>
      <c r="AM7835" s="19">
        <v>1449981</v>
      </c>
      <c r="AN7835" s="19">
        <v>1829376.9</v>
      </c>
      <c r="AO7835" s="14"/>
      <c r="AP7835" s="14">
        <v>1829376.9</v>
      </c>
      <c r="AQ7835" s="12"/>
      <c r="AS7835" s="26"/>
    </row>
    <row r="7836" spans="1:45" s="19" customFormat="1" x14ac:dyDescent="0.2">
      <c r="A7836" s="2"/>
      <c r="B7836" s="13"/>
      <c r="C7836" s="17"/>
      <c r="D7836" s="17"/>
      <c r="E7836" s="17"/>
      <c r="F7836" s="17"/>
      <c r="G7836" s="13"/>
      <c r="H7836" s="17"/>
      <c r="I7836" s="17"/>
      <c r="J7836" s="17"/>
      <c r="K7836" s="10"/>
      <c r="L7836" s="17"/>
      <c r="M7836" s="15"/>
      <c r="N7836" s="18"/>
      <c r="O7836" s="14"/>
      <c r="P7836" s="17"/>
      <c r="R7836" s="14"/>
      <c r="T7836" s="17"/>
      <c r="U7836" s="17"/>
      <c r="V7836" s="17"/>
      <c r="W7836" s="4"/>
      <c r="X7836" s="17"/>
      <c r="Y7836" s="4"/>
      <c r="Z7836" s="17"/>
      <c r="AA7836" s="17"/>
      <c r="AB7836" s="17"/>
      <c r="AC7836" s="14"/>
      <c r="AD7836" s="14"/>
      <c r="AE7836" s="17"/>
      <c r="AF7836" s="14">
        <v>3</v>
      </c>
      <c r="AG7836" s="54">
        <v>382.5</v>
      </c>
      <c r="AH7836" s="11">
        <v>0.22</v>
      </c>
      <c r="AI7836" s="14">
        <v>8100</v>
      </c>
      <c r="AJ7836" s="19">
        <v>681615</v>
      </c>
      <c r="AK7836" s="23">
        <v>25</v>
      </c>
      <c r="AL7836" s="11">
        <v>0.4</v>
      </c>
      <c r="AM7836" s="19">
        <v>408969</v>
      </c>
      <c r="AN7836" s="19">
        <v>515978.1</v>
      </c>
      <c r="AO7836" s="14"/>
      <c r="AP7836" s="14">
        <v>515978.1</v>
      </c>
      <c r="AQ7836" s="12">
        <v>3.0000000000000001E-3</v>
      </c>
      <c r="AS7836" s="26"/>
    </row>
    <row r="7837" spans="1:45" s="19" customFormat="1" ht="84" x14ac:dyDescent="0.2">
      <c r="A7837" s="2">
        <v>6494</v>
      </c>
      <c r="B7837" s="13">
        <v>4</v>
      </c>
      <c r="C7837" s="17" t="s">
        <v>52</v>
      </c>
      <c r="D7837" s="17">
        <v>1209</v>
      </c>
      <c r="E7837" s="17">
        <v>11</v>
      </c>
      <c r="F7837" s="17">
        <v>940</v>
      </c>
      <c r="G7837" s="13">
        <v>2</v>
      </c>
      <c r="H7837" s="17">
        <v>0</v>
      </c>
      <c r="I7837" s="17">
        <v>1</v>
      </c>
      <c r="J7837" s="17">
        <v>67</v>
      </c>
      <c r="K7837" s="10"/>
      <c r="L7837" s="17"/>
      <c r="M7837" s="15"/>
      <c r="N7837" s="18">
        <v>167</v>
      </c>
      <c r="O7837" s="14"/>
      <c r="P7837" s="17">
        <v>4</v>
      </c>
      <c r="Q7837" s="19">
        <v>167</v>
      </c>
      <c r="R7837" s="14">
        <v>3350</v>
      </c>
      <c r="S7837" s="19">
        <v>559450</v>
      </c>
      <c r="T7837" s="17"/>
      <c r="U7837" s="17" t="s">
        <v>101</v>
      </c>
      <c r="V7837" s="17" t="s">
        <v>84</v>
      </c>
      <c r="W7837" s="4">
        <v>110</v>
      </c>
      <c r="X7837" s="17"/>
      <c r="Y7837" s="4"/>
      <c r="Z7837" s="17"/>
      <c r="AA7837" s="17"/>
      <c r="AB7837" s="17"/>
      <c r="AC7837" s="14"/>
      <c r="AD7837" s="14"/>
      <c r="AE7837" s="17">
        <v>110</v>
      </c>
      <c r="AF7837" s="14">
        <v>3</v>
      </c>
      <c r="AG7837" s="54">
        <v>110</v>
      </c>
      <c r="AH7837" s="11">
        <v>1</v>
      </c>
      <c r="AI7837" s="14">
        <v>3750</v>
      </c>
      <c r="AJ7837" s="19">
        <v>412500</v>
      </c>
      <c r="AK7837" s="23">
        <v>40</v>
      </c>
      <c r="AL7837" s="11">
        <v>0.85</v>
      </c>
      <c r="AM7837" s="19">
        <v>61875</v>
      </c>
      <c r="AN7837" s="19">
        <v>621325</v>
      </c>
      <c r="AO7837" s="14"/>
      <c r="AP7837" s="14">
        <v>621325</v>
      </c>
      <c r="AQ7837" s="12">
        <v>3.0000000000000001E-3</v>
      </c>
      <c r="AS7837" s="26"/>
    </row>
    <row r="7838" spans="1:45" s="19" customFormat="1" x14ac:dyDescent="0.2">
      <c r="A7838" s="2">
        <v>6495</v>
      </c>
      <c r="B7838" s="13">
        <v>5</v>
      </c>
      <c r="C7838" s="17" t="s">
        <v>52</v>
      </c>
      <c r="D7838" s="17">
        <v>12588</v>
      </c>
      <c r="E7838" s="17">
        <v>280</v>
      </c>
      <c r="F7838" s="17">
        <v>3257</v>
      </c>
      <c r="G7838" s="13">
        <v>2</v>
      </c>
      <c r="H7838" s="17">
        <v>0</v>
      </c>
      <c r="I7838" s="17">
        <v>0</v>
      </c>
      <c r="J7838" s="17">
        <v>35</v>
      </c>
      <c r="K7838" s="10">
        <v>35</v>
      </c>
      <c r="L7838" s="17"/>
      <c r="M7838" s="15"/>
      <c r="N7838" s="18"/>
      <c r="O7838" s="14"/>
      <c r="P7838" s="17">
        <v>1</v>
      </c>
      <c r="Q7838" s="19">
        <v>35</v>
      </c>
      <c r="R7838" s="14">
        <v>4500</v>
      </c>
      <c r="S7838" s="19">
        <v>157500</v>
      </c>
      <c r="T7838" s="17"/>
      <c r="U7838" s="17"/>
      <c r="V7838" s="17"/>
      <c r="W7838" s="4"/>
      <c r="X7838" s="17"/>
      <c r="Y7838" s="4"/>
      <c r="Z7838" s="17"/>
      <c r="AA7838" s="17"/>
      <c r="AB7838" s="17"/>
      <c r="AC7838" s="14"/>
      <c r="AD7838" s="14"/>
      <c r="AE7838" s="17"/>
      <c r="AF7838" s="14"/>
      <c r="AG7838" s="54"/>
      <c r="AH7838" s="11"/>
      <c r="AI7838" s="14"/>
      <c r="AJ7838" s="19">
        <v>0</v>
      </c>
      <c r="AK7838" s="23">
        <v>0</v>
      </c>
      <c r="AL7838" s="11"/>
      <c r="AM7838" s="19">
        <v>0</v>
      </c>
      <c r="AN7838" s="19">
        <v>157500</v>
      </c>
      <c r="AO7838" s="14"/>
      <c r="AP7838" s="14">
        <v>157500</v>
      </c>
      <c r="AQ7838" s="12"/>
      <c r="AS7838" s="26"/>
    </row>
    <row r="7839" spans="1:45" s="19" customFormat="1" x14ac:dyDescent="0.2">
      <c r="A7839" s="2">
        <f>+A7838+1</f>
        <v>6496</v>
      </c>
      <c r="B7839" s="13">
        <v>6</v>
      </c>
      <c r="C7839" s="17" t="s">
        <v>52</v>
      </c>
      <c r="D7839" s="17">
        <v>15873</v>
      </c>
      <c r="E7839" s="17">
        <v>24</v>
      </c>
      <c r="F7839" s="17">
        <v>3463</v>
      </c>
      <c r="G7839" s="13">
        <v>4</v>
      </c>
      <c r="H7839" s="17">
        <v>10</v>
      </c>
      <c r="I7839" s="17">
        <v>3</v>
      </c>
      <c r="J7839" s="17">
        <v>49</v>
      </c>
      <c r="K7839" s="10">
        <v>4349</v>
      </c>
      <c r="L7839" s="17"/>
      <c r="M7839" s="15"/>
      <c r="N7839" s="18"/>
      <c r="O7839" s="14"/>
      <c r="P7839" s="17">
        <v>1</v>
      </c>
      <c r="Q7839" s="19">
        <v>4349</v>
      </c>
      <c r="R7839" s="14">
        <v>500</v>
      </c>
      <c r="S7839" s="19">
        <v>2174500</v>
      </c>
      <c r="T7839" s="17"/>
      <c r="U7839" s="17"/>
      <c r="V7839" s="17"/>
      <c r="W7839" s="4"/>
      <c r="X7839" s="17"/>
      <c r="Y7839" s="4"/>
      <c r="Z7839" s="17"/>
      <c r="AA7839" s="17"/>
      <c r="AB7839" s="17"/>
      <c r="AC7839" s="14"/>
      <c r="AD7839" s="14"/>
      <c r="AE7839" s="17"/>
      <c r="AF7839" s="14"/>
      <c r="AG7839" s="54"/>
      <c r="AH7839" s="11"/>
      <c r="AI7839" s="14"/>
      <c r="AJ7839" s="19">
        <v>0</v>
      </c>
      <c r="AK7839" s="23">
        <v>0</v>
      </c>
      <c r="AL7839" s="11"/>
      <c r="AM7839" s="19">
        <v>0</v>
      </c>
      <c r="AN7839" s="19">
        <v>2174500</v>
      </c>
      <c r="AO7839" s="14"/>
      <c r="AP7839" s="14">
        <v>2174500</v>
      </c>
      <c r="AQ7839" s="12"/>
      <c r="AS7839" s="26"/>
    </row>
    <row r="7840" spans="1:45" s="19" customFormat="1" x14ac:dyDescent="0.2">
      <c r="A7840" s="122">
        <f t="shared" ref="A7840:A7843" si="754">+A7839+1</f>
        <v>6497</v>
      </c>
      <c r="B7840" s="13">
        <v>7</v>
      </c>
      <c r="C7840" s="17" t="s">
        <v>52</v>
      </c>
      <c r="D7840" s="17">
        <v>2020</v>
      </c>
      <c r="E7840" s="17">
        <v>101</v>
      </c>
      <c r="F7840" s="17">
        <v>1086</v>
      </c>
      <c r="G7840" s="13"/>
      <c r="H7840" s="17">
        <v>0</v>
      </c>
      <c r="I7840" s="17">
        <v>2</v>
      </c>
      <c r="J7840" s="17">
        <v>51</v>
      </c>
      <c r="K7840" s="10">
        <v>251</v>
      </c>
      <c r="L7840" s="17"/>
      <c r="M7840" s="15"/>
      <c r="N7840" s="18"/>
      <c r="O7840" s="14"/>
      <c r="P7840" s="17">
        <v>1</v>
      </c>
      <c r="Q7840" s="19">
        <v>251</v>
      </c>
      <c r="R7840" s="14">
        <v>1500</v>
      </c>
      <c r="S7840" s="19">
        <v>376500</v>
      </c>
      <c r="T7840" s="17"/>
      <c r="U7840" s="17"/>
      <c r="V7840" s="17"/>
      <c r="W7840" s="4"/>
      <c r="X7840" s="17"/>
      <c r="Y7840" s="4"/>
      <c r="Z7840" s="17"/>
      <c r="AA7840" s="17"/>
      <c r="AB7840" s="17"/>
      <c r="AC7840" s="14"/>
      <c r="AD7840" s="14"/>
      <c r="AE7840" s="17"/>
      <c r="AF7840" s="14"/>
      <c r="AG7840" s="54"/>
      <c r="AH7840" s="11"/>
      <c r="AI7840" s="14"/>
      <c r="AJ7840" s="19">
        <v>0</v>
      </c>
      <c r="AK7840" s="23">
        <v>0</v>
      </c>
      <c r="AL7840" s="11"/>
      <c r="AM7840" s="19">
        <v>0</v>
      </c>
      <c r="AN7840" s="19">
        <v>376500</v>
      </c>
      <c r="AO7840" s="14"/>
      <c r="AP7840" s="14">
        <v>376500</v>
      </c>
      <c r="AQ7840" s="12"/>
      <c r="AS7840" s="26"/>
    </row>
    <row r="7841" spans="1:45" x14ac:dyDescent="0.2">
      <c r="A7841" s="122">
        <f t="shared" si="754"/>
        <v>6498</v>
      </c>
      <c r="B7841" s="13">
        <v>8</v>
      </c>
      <c r="C7841" s="17" t="s">
        <v>65</v>
      </c>
      <c r="D7841" s="17">
        <v>1818</v>
      </c>
      <c r="E7841" s="17">
        <v>17</v>
      </c>
      <c r="H7841" s="17">
        <v>11</v>
      </c>
      <c r="I7841" s="17">
        <v>3</v>
      </c>
      <c r="J7841" s="17">
        <v>22</v>
      </c>
      <c r="K7841" s="10">
        <v>4722</v>
      </c>
      <c r="P7841" s="17">
        <v>1</v>
      </c>
      <c r="Q7841" s="19">
        <v>4722</v>
      </c>
      <c r="R7841" s="14">
        <v>160</v>
      </c>
      <c r="S7841" s="19">
        <v>755520</v>
      </c>
      <c r="AJ7841" s="19">
        <v>0</v>
      </c>
      <c r="AK7841" s="23">
        <v>0</v>
      </c>
      <c r="AM7841" s="19">
        <v>0</v>
      </c>
      <c r="AN7841" s="19">
        <v>755520</v>
      </c>
      <c r="AP7841" s="14">
        <v>755520</v>
      </c>
      <c r="AQ7841" s="12">
        <v>1E-4</v>
      </c>
    </row>
    <row r="7842" spans="1:45" x14ac:dyDescent="0.2">
      <c r="A7842" s="122">
        <f t="shared" si="754"/>
        <v>6499</v>
      </c>
      <c r="B7842" s="13">
        <v>1</v>
      </c>
      <c r="C7842" s="17" t="s">
        <v>52</v>
      </c>
      <c r="D7842" s="17">
        <v>1374</v>
      </c>
      <c r="E7842" s="17">
        <v>40</v>
      </c>
      <c r="F7842" s="17">
        <v>961</v>
      </c>
      <c r="G7842" s="13">
        <v>1</v>
      </c>
      <c r="H7842" s="17">
        <v>6</v>
      </c>
      <c r="I7842" s="17">
        <v>0</v>
      </c>
      <c r="J7842" s="17">
        <v>62</v>
      </c>
      <c r="K7842" s="10">
        <v>2462</v>
      </c>
      <c r="P7842" s="17">
        <v>1</v>
      </c>
      <c r="Q7842" s="19">
        <v>2462</v>
      </c>
      <c r="R7842" s="14">
        <v>160</v>
      </c>
      <c r="S7842" s="19">
        <v>393920</v>
      </c>
      <c r="AJ7842" s="19">
        <v>0</v>
      </c>
      <c r="AK7842" s="23">
        <v>0</v>
      </c>
      <c r="AM7842" s="19">
        <v>0</v>
      </c>
      <c r="AN7842" s="19">
        <v>393920</v>
      </c>
      <c r="AP7842" s="14">
        <v>393920</v>
      </c>
    </row>
    <row r="7843" spans="1:45" x14ac:dyDescent="0.2">
      <c r="A7843" s="122">
        <f t="shared" si="754"/>
        <v>6500</v>
      </c>
      <c r="B7843" s="13">
        <v>1</v>
      </c>
      <c r="C7843" s="17" t="s">
        <v>52</v>
      </c>
      <c r="D7843" s="17">
        <v>4938</v>
      </c>
      <c r="E7843" s="17">
        <v>96</v>
      </c>
      <c r="F7843" s="17">
        <v>2307</v>
      </c>
      <c r="G7843" s="13">
        <v>2</v>
      </c>
      <c r="H7843" s="17">
        <v>10</v>
      </c>
      <c r="I7843" s="17">
        <v>2</v>
      </c>
      <c r="J7843" s="17">
        <v>72</v>
      </c>
      <c r="K7843" s="10">
        <v>4272</v>
      </c>
      <c r="P7843" s="17">
        <v>1</v>
      </c>
      <c r="Q7843" s="19">
        <v>4272</v>
      </c>
      <c r="R7843" s="14">
        <v>160</v>
      </c>
      <c r="S7843" s="19">
        <v>683520</v>
      </c>
      <c r="AJ7843" s="19">
        <v>0</v>
      </c>
      <c r="AK7843" s="23">
        <v>0</v>
      </c>
      <c r="AM7843" s="19">
        <v>0</v>
      </c>
      <c r="AN7843" s="19">
        <v>683520</v>
      </c>
      <c r="AP7843" s="14">
        <v>683520</v>
      </c>
    </row>
    <row r="7844" spans="1:45" x14ac:dyDescent="0.2">
      <c r="D7844" s="17">
        <v>40712</v>
      </c>
      <c r="E7844" s="17">
        <v>339</v>
      </c>
      <c r="F7844" s="17">
        <v>8061</v>
      </c>
      <c r="H7844" s="17">
        <v>2</v>
      </c>
      <c r="I7844" s="17">
        <v>0</v>
      </c>
      <c r="J7844" s="17">
        <v>6</v>
      </c>
      <c r="Q7844" s="19">
        <v>806</v>
      </c>
      <c r="R7844" s="14" t="e">
        <v>#N/A</v>
      </c>
    </row>
    <row r="7845" spans="1:45" x14ac:dyDescent="0.2">
      <c r="A7845" s="2">
        <v>6501</v>
      </c>
      <c r="B7845" s="13">
        <v>1</v>
      </c>
      <c r="C7845" s="17" t="s">
        <v>52</v>
      </c>
      <c r="D7845" s="17">
        <v>5978</v>
      </c>
      <c r="E7845" s="17">
        <v>22</v>
      </c>
      <c r="F7845" s="17">
        <v>3082</v>
      </c>
      <c r="G7845" s="13">
        <v>5</v>
      </c>
      <c r="H7845" s="17">
        <v>5</v>
      </c>
      <c r="I7845" s="17">
        <v>2</v>
      </c>
      <c r="J7845" s="17">
        <v>92</v>
      </c>
      <c r="K7845" s="10">
        <v>2292</v>
      </c>
      <c r="P7845" s="17">
        <v>1</v>
      </c>
      <c r="Q7845" s="19">
        <v>2292</v>
      </c>
      <c r="R7845" s="14">
        <v>160</v>
      </c>
      <c r="S7845" s="19">
        <v>366720</v>
      </c>
      <c r="AJ7845" s="19">
        <v>0</v>
      </c>
      <c r="AK7845" s="23">
        <v>0</v>
      </c>
      <c r="AM7845" s="19">
        <v>0</v>
      </c>
      <c r="AN7845" s="19">
        <v>366720</v>
      </c>
      <c r="AP7845" s="14">
        <v>366720</v>
      </c>
      <c r="AS7845" s="26">
        <v>17</v>
      </c>
    </row>
    <row r="7846" spans="1:45" x14ac:dyDescent="0.2">
      <c r="B7846" s="13">
        <v>1</v>
      </c>
      <c r="C7846" s="17" t="s">
        <v>65</v>
      </c>
      <c r="D7846" s="17">
        <v>2874</v>
      </c>
      <c r="E7846" s="17">
        <v>187</v>
      </c>
      <c r="H7846" s="17">
        <v>0</v>
      </c>
      <c r="I7846" s="17">
        <v>0</v>
      </c>
      <c r="J7846" s="17">
        <v>80</v>
      </c>
      <c r="K7846" s="10">
        <v>80</v>
      </c>
      <c r="P7846" s="17">
        <v>1</v>
      </c>
      <c r="Q7846" s="19">
        <v>80</v>
      </c>
      <c r="R7846" s="14" t="e">
        <v>#N/A</v>
      </c>
      <c r="S7846" s="19" t="e">
        <v>#N/A</v>
      </c>
      <c r="AE7846" s="17" t="s">
        <v>95</v>
      </c>
      <c r="AJ7846" s="19">
        <v>0</v>
      </c>
      <c r="AK7846" s="23">
        <v>0</v>
      </c>
      <c r="AM7846" s="19">
        <v>0</v>
      </c>
      <c r="AN7846" s="19" t="e">
        <v>#N/A</v>
      </c>
      <c r="AP7846" s="14" t="e">
        <v>#N/A</v>
      </c>
      <c r="AQ7846" s="12">
        <v>1E-4</v>
      </c>
    </row>
    <row r="7847" spans="1:45" ht="42" x14ac:dyDescent="0.2">
      <c r="A7847" s="2">
        <v>6502</v>
      </c>
      <c r="B7847" s="13">
        <v>1</v>
      </c>
      <c r="C7847" s="17" t="s">
        <v>52</v>
      </c>
      <c r="D7847" s="17">
        <v>20543</v>
      </c>
      <c r="E7847" s="17">
        <v>150</v>
      </c>
      <c r="F7847" s="17">
        <v>4390</v>
      </c>
      <c r="G7847" s="13">
        <v>2</v>
      </c>
      <c r="H7847" s="17">
        <v>1</v>
      </c>
      <c r="I7847" s="17">
        <v>2</v>
      </c>
      <c r="J7847" s="17">
        <v>74</v>
      </c>
      <c r="K7847" s="10">
        <v>639.5</v>
      </c>
      <c r="L7847" s="17">
        <v>34.5</v>
      </c>
      <c r="P7847" s="17">
        <v>5</v>
      </c>
      <c r="Q7847" s="19">
        <v>674</v>
      </c>
      <c r="R7847" s="14">
        <v>200</v>
      </c>
      <c r="S7847" s="19">
        <v>134800</v>
      </c>
      <c r="T7847" s="17">
        <v>1</v>
      </c>
      <c r="V7847" s="17" t="s">
        <v>183</v>
      </c>
      <c r="W7847" s="4">
        <v>138</v>
      </c>
      <c r="Y7847" s="4">
        <v>138</v>
      </c>
      <c r="AB7847" s="17">
        <v>1</v>
      </c>
      <c r="AJ7847" s="19">
        <v>0</v>
      </c>
      <c r="AK7847" s="23">
        <v>1</v>
      </c>
      <c r="AM7847" s="19">
        <v>0</v>
      </c>
      <c r="AN7847" s="19">
        <v>134800</v>
      </c>
      <c r="AP7847" s="14">
        <v>134800</v>
      </c>
    </row>
    <row r="7848" spans="1:45" x14ac:dyDescent="0.2">
      <c r="A7848" s="2">
        <f>+A7847+1</f>
        <v>6503</v>
      </c>
      <c r="B7848" s="13">
        <v>1</v>
      </c>
      <c r="C7848" s="17" t="s">
        <v>52</v>
      </c>
      <c r="D7848" s="17">
        <v>29168</v>
      </c>
      <c r="E7848" s="17">
        <v>264</v>
      </c>
      <c r="F7848" s="17">
        <v>5363</v>
      </c>
      <c r="G7848" s="13">
        <v>1</v>
      </c>
      <c r="H7848" s="17">
        <v>0</v>
      </c>
      <c r="I7848" s="17">
        <v>1</v>
      </c>
      <c r="J7848" s="17">
        <v>93</v>
      </c>
      <c r="K7848" s="10">
        <v>193</v>
      </c>
      <c r="P7848" s="17">
        <v>1</v>
      </c>
      <c r="Q7848" s="19">
        <v>193</v>
      </c>
      <c r="R7848" s="14">
        <v>200</v>
      </c>
      <c r="S7848" s="19">
        <v>38600</v>
      </c>
      <c r="AJ7848" s="19">
        <v>0</v>
      </c>
      <c r="AK7848" s="23">
        <v>0</v>
      </c>
      <c r="AM7848" s="19">
        <v>0</v>
      </c>
      <c r="AN7848" s="19">
        <v>38600</v>
      </c>
      <c r="AP7848" s="14">
        <v>38600</v>
      </c>
      <c r="AS7848" s="26">
        <v>3</v>
      </c>
    </row>
    <row r="7849" spans="1:45" x14ac:dyDescent="0.2">
      <c r="A7849" s="122">
        <f t="shared" ref="A7849:A7853" si="755">+A7848+1</f>
        <v>6504</v>
      </c>
      <c r="B7849" s="13">
        <v>1</v>
      </c>
      <c r="C7849" s="17" t="s">
        <v>65</v>
      </c>
      <c r="D7849" s="17">
        <v>1771</v>
      </c>
      <c r="E7849" s="17">
        <v>8</v>
      </c>
      <c r="H7849" s="17">
        <v>3</v>
      </c>
      <c r="I7849" s="17">
        <v>3</v>
      </c>
      <c r="J7849" s="17">
        <v>76</v>
      </c>
      <c r="K7849" s="10">
        <v>1576</v>
      </c>
      <c r="P7849" s="17">
        <v>1</v>
      </c>
      <c r="Q7849" s="19">
        <v>1576</v>
      </c>
      <c r="R7849" s="14">
        <v>1000</v>
      </c>
      <c r="S7849" s="19">
        <v>1576000</v>
      </c>
      <c r="AJ7849" s="19">
        <v>0</v>
      </c>
      <c r="AK7849" s="23">
        <v>0</v>
      </c>
      <c r="AM7849" s="19">
        <v>0</v>
      </c>
      <c r="AN7849" s="19">
        <v>1576000</v>
      </c>
      <c r="AP7849" s="14">
        <v>1576000</v>
      </c>
      <c r="AQ7849" s="12">
        <v>1E-4</v>
      </c>
    </row>
    <row r="7850" spans="1:45" x14ac:dyDescent="0.2">
      <c r="A7850" s="122">
        <f t="shared" si="755"/>
        <v>6505</v>
      </c>
      <c r="B7850" s="13">
        <v>1</v>
      </c>
      <c r="C7850" s="17" t="s">
        <v>65</v>
      </c>
      <c r="D7850" s="17">
        <v>2912</v>
      </c>
      <c r="E7850" s="17">
        <v>31</v>
      </c>
      <c r="H7850" s="17">
        <v>0</v>
      </c>
      <c r="I7850" s="17">
        <v>0</v>
      </c>
      <c r="J7850" s="17">
        <v>35</v>
      </c>
      <c r="K7850" s="10">
        <v>35</v>
      </c>
      <c r="P7850" s="17">
        <v>1</v>
      </c>
      <c r="Q7850" s="19">
        <v>35</v>
      </c>
      <c r="R7850" s="14">
        <v>2000</v>
      </c>
      <c r="S7850" s="19">
        <v>70000</v>
      </c>
      <c r="AJ7850" s="19">
        <v>0</v>
      </c>
      <c r="AK7850" s="23">
        <v>0</v>
      </c>
      <c r="AM7850" s="19">
        <v>0</v>
      </c>
      <c r="AN7850" s="19">
        <v>70000</v>
      </c>
      <c r="AP7850" s="14">
        <v>70000</v>
      </c>
      <c r="AQ7850" s="12">
        <v>1E-4</v>
      </c>
    </row>
    <row r="7851" spans="1:45" x14ac:dyDescent="0.2">
      <c r="A7851" s="122">
        <f t="shared" si="755"/>
        <v>6506</v>
      </c>
      <c r="B7851" s="13">
        <v>1</v>
      </c>
      <c r="C7851" s="17" t="s">
        <v>52</v>
      </c>
      <c r="D7851" s="17">
        <v>3593</v>
      </c>
      <c r="E7851" s="17">
        <v>51</v>
      </c>
      <c r="F7851" s="17">
        <v>2224</v>
      </c>
      <c r="G7851" s="13">
        <v>2</v>
      </c>
      <c r="H7851" s="17">
        <v>1</v>
      </c>
      <c r="I7851" s="17">
        <v>1</v>
      </c>
      <c r="J7851" s="17">
        <v>98</v>
      </c>
      <c r="K7851" s="10">
        <v>598</v>
      </c>
      <c r="P7851" s="17">
        <v>1</v>
      </c>
      <c r="Q7851" s="19">
        <v>598</v>
      </c>
      <c r="R7851" s="14">
        <v>200</v>
      </c>
      <c r="S7851" s="19">
        <v>119600</v>
      </c>
      <c r="AJ7851" s="19">
        <v>0</v>
      </c>
      <c r="AK7851" s="23">
        <v>0</v>
      </c>
      <c r="AM7851" s="19">
        <v>0</v>
      </c>
      <c r="AN7851" s="19">
        <v>119600</v>
      </c>
      <c r="AP7851" s="14">
        <v>119600</v>
      </c>
    </row>
    <row r="7852" spans="1:45" x14ac:dyDescent="0.2">
      <c r="A7852" s="122">
        <f t="shared" si="755"/>
        <v>6507</v>
      </c>
      <c r="B7852" s="13">
        <v>2</v>
      </c>
      <c r="C7852" s="17" t="s">
        <v>69</v>
      </c>
      <c r="E7852" s="17">
        <v>164</v>
      </c>
      <c r="F7852" s="17">
        <v>8</v>
      </c>
      <c r="G7852" s="13">
        <v>2</v>
      </c>
      <c r="H7852" s="17">
        <v>5</v>
      </c>
      <c r="I7852" s="17">
        <v>1</v>
      </c>
      <c r="J7852" s="17">
        <v>28</v>
      </c>
      <c r="K7852" s="10">
        <v>2128</v>
      </c>
      <c r="P7852" s="17">
        <v>1</v>
      </c>
      <c r="Q7852" s="19">
        <v>2128</v>
      </c>
      <c r="R7852" s="14">
        <v>200</v>
      </c>
      <c r="S7852" s="19">
        <v>425600</v>
      </c>
      <c r="AJ7852" s="19">
        <v>0</v>
      </c>
      <c r="AK7852" s="23">
        <v>0</v>
      </c>
      <c r="AM7852" s="19">
        <v>0</v>
      </c>
      <c r="AN7852" s="19">
        <v>425600</v>
      </c>
      <c r="AP7852" s="14">
        <v>425600</v>
      </c>
      <c r="AQ7852" s="12">
        <v>1E-4</v>
      </c>
    </row>
    <row r="7853" spans="1:45" x14ac:dyDescent="0.2">
      <c r="A7853" s="122">
        <f t="shared" si="755"/>
        <v>6508</v>
      </c>
      <c r="B7853" s="13">
        <v>1</v>
      </c>
      <c r="C7853" s="17" t="s">
        <v>65</v>
      </c>
      <c r="D7853" s="17">
        <v>937</v>
      </c>
      <c r="E7853" s="17">
        <v>241</v>
      </c>
      <c r="H7853" s="17">
        <v>4</v>
      </c>
      <c r="I7853" s="17">
        <v>2</v>
      </c>
      <c r="J7853" s="17">
        <v>86</v>
      </c>
      <c r="K7853" s="10">
        <v>1886</v>
      </c>
      <c r="P7853" s="17">
        <v>1</v>
      </c>
      <c r="Q7853" s="19">
        <v>1886</v>
      </c>
      <c r="R7853" s="14">
        <v>160</v>
      </c>
      <c r="S7853" s="19">
        <v>301760</v>
      </c>
      <c r="AJ7853" s="19">
        <v>0</v>
      </c>
      <c r="AK7853" s="23">
        <v>0</v>
      </c>
      <c r="AM7853" s="19">
        <v>0</v>
      </c>
      <c r="AN7853" s="19">
        <v>301760</v>
      </c>
      <c r="AP7853" s="14">
        <v>301760</v>
      </c>
      <c r="AQ7853" s="12">
        <v>1E-4</v>
      </c>
    </row>
    <row r="7854" spans="1:45" x14ac:dyDescent="0.2">
      <c r="B7854" s="13">
        <v>1</v>
      </c>
      <c r="C7854" s="17" t="s">
        <v>97</v>
      </c>
      <c r="D7854" s="17">
        <v>456</v>
      </c>
      <c r="G7854" s="13">
        <v>2</v>
      </c>
      <c r="H7854" s="17">
        <v>0</v>
      </c>
      <c r="I7854" s="17">
        <v>0</v>
      </c>
      <c r="J7854" s="17">
        <v>35</v>
      </c>
      <c r="K7854" s="10">
        <v>35</v>
      </c>
      <c r="P7854" s="17">
        <v>1</v>
      </c>
      <c r="Q7854" s="19">
        <v>35</v>
      </c>
      <c r="R7854" s="14" t="e">
        <v>#N/A</v>
      </c>
      <c r="S7854" s="19" t="e">
        <v>#N/A</v>
      </c>
      <c r="AJ7854" s="19">
        <v>0</v>
      </c>
      <c r="AK7854" s="23">
        <v>0</v>
      </c>
      <c r="AM7854" s="19">
        <v>0</v>
      </c>
      <c r="AN7854" s="19" t="e">
        <v>#N/A</v>
      </c>
      <c r="AP7854" s="14" t="e">
        <v>#N/A</v>
      </c>
      <c r="AQ7854" s="12">
        <v>1E-4</v>
      </c>
    </row>
    <row r="7855" spans="1:45" x14ac:dyDescent="0.2">
      <c r="A7855" s="2">
        <v>6509</v>
      </c>
      <c r="B7855" s="13">
        <v>1</v>
      </c>
      <c r="C7855" s="17" t="s">
        <v>52</v>
      </c>
      <c r="D7855" s="17">
        <v>1113</v>
      </c>
      <c r="E7855" s="17">
        <v>80</v>
      </c>
      <c r="F7855" s="17">
        <v>666</v>
      </c>
      <c r="G7855" s="13">
        <v>1</v>
      </c>
      <c r="H7855" s="17">
        <v>0</v>
      </c>
      <c r="I7855" s="17">
        <v>0</v>
      </c>
      <c r="J7855" s="17">
        <v>69</v>
      </c>
      <c r="N7855" s="18">
        <v>69</v>
      </c>
      <c r="P7855" s="17">
        <v>4</v>
      </c>
      <c r="Q7855" s="19">
        <v>69</v>
      </c>
      <c r="R7855" s="14">
        <v>160</v>
      </c>
      <c r="S7855" s="19">
        <v>11040</v>
      </c>
      <c r="AJ7855" s="19">
        <v>0</v>
      </c>
      <c r="AK7855" s="23">
        <v>0</v>
      </c>
      <c r="AM7855" s="19">
        <v>0</v>
      </c>
      <c r="AN7855" s="19">
        <v>11040</v>
      </c>
      <c r="AP7855" s="14">
        <v>11040</v>
      </c>
      <c r="AQ7855" s="12">
        <v>3.0000000000000001E-3</v>
      </c>
    </row>
    <row r="7856" spans="1:45" x14ac:dyDescent="0.2">
      <c r="A7856" s="2">
        <f>+A7855+1</f>
        <v>6510</v>
      </c>
      <c r="B7856" s="13">
        <v>1</v>
      </c>
      <c r="C7856" s="17" t="s">
        <v>52</v>
      </c>
      <c r="D7856" s="17">
        <v>16082</v>
      </c>
      <c r="E7856" s="17">
        <v>17</v>
      </c>
      <c r="F7856" s="17">
        <v>3560</v>
      </c>
      <c r="G7856" s="13">
        <v>3</v>
      </c>
      <c r="H7856" s="17">
        <v>40</v>
      </c>
      <c r="I7856" s="17">
        <v>0</v>
      </c>
      <c r="J7856" s="17">
        <v>96</v>
      </c>
      <c r="Q7856" s="19">
        <v>16096</v>
      </c>
      <c r="R7856" s="14">
        <v>160</v>
      </c>
      <c r="S7856" s="19">
        <v>2575360</v>
      </c>
      <c r="AJ7856" s="19">
        <v>0</v>
      </c>
      <c r="AK7856" s="23">
        <v>0</v>
      </c>
      <c r="AM7856" s="19">
        <v>0</v>
      </c>
      <c r="AN7856" s="19">
        <v>2575360</v>
      </c>
      <c r="AP7856" s="14">
        <v>2575360</v>
      </c>
    </row>
    <row r="7857" spans="1:45" s="19" customFormat="1" x14ac:dyDescent="0.2">
      <c r="A7857" s="122">
        <f t="shared" ref="A7857:A7866" si="756">+A7856+1</f>
        <v>6511</v>
      </c>
      <c r="B7857" s="13">
        <v>1</v>
      </c>
      <c r="C7857" s="17" t="s">
        <v>52</v>
      </c>
      <c r="D7857" s="17">
        <v>1410</v>
      </c>
      <c r="E7857" s="17">
        <v>18</v>
      </c>
      <c r="F7857" s="17">
        <v>605</v>
      </c>
      <c r="G7857" s="13">
        <v>1</v>
      </c>
      <c r="H7857" s="17">
        <v>0</v>
      </c>
      <c r="I7857" s="17">
        <v>1</v>
      </c>
      <c r="J7857" s="17">
        <v>51</v>
      </c>
      <c r="K7857" s="10"/>
      <c r="L7857" s="17"/>
      <c r="M7857" s="15"/>
      <c r="N7857" s="18">
        <v>151</v>
      </c>
      <c r="O7857" s="14"/>
      <c r="P7857" s="17">
        <v>4</v>
      </c>
      <c r="Q7857" s="19">
        <v>151</v>
      </c>
      <c r="R7857" s="14">
        <v>250</v>
      </c>
      <c r="S7857" s="19">
        <v>37750</v>
      </c>
      <c r="T7857" s="17"/>
      <c r="U7857" s="17"/>
      <c r="V7857" s="17"/>
      <c r="W7857" s="4"/>
      <c r="X7857" s="17"/>
      <c r="Y7857" s="4"/>
      <c r="Z7857" s="17"/>
      <c r="AA7857" s="17"/>
      <c r="AB7857" s="17"/>
      <c r="AC7857" s="14"/>
      <c r="AD7857" s="14"/>
      <c r="AE7857" s="17"/>
      <c r="AF7857" s="14"/>
      <c r="AG7857" s="54"/>
      <c r="AH7857" s="11"/>
      <c r="AI7857" s="14"/>
      <c r="AJ7857" s="19">
        <v>0</v>
      </c>
      <c r="AK7857" s="23">
        <v>0</v>
      </c>
      <c r="AL7857" s="11"/>
      <c r="AM7857" s="19">
        <v>0</v>
      </c>
      <c r="AN7857" s="19">
        <v>37750</v>
      </c>
      <c r="AO7857" s="14"/>
      <c r="AP7857" s="14">
        <v>37750</v>
      </c>
      <c r="AQ7857" s="12">
        <v>3.0000000000000001E-3</v>
      </c>
      <c r="AS7857" s="26"/>
    </row>
    <row r="7858" spans="1:45" s="19" customFormat="1" x14ac:dyDescent="0.2">
      <c r="A7858" s="122">
        <f t="shared" si="756"/>
        <v>6512</v>
      </c>
      <c r="B7858" s="13">
        <v>2</v>
      </c>
      <c r="C7858" s="17" t="s">
        <v>52</v>
      </c>
      <c r="D7858" s="17">
        <v>5065</v>
      </c>
      <c r="E7858" s="17">
        <v>81</v>
      </c>
      <c r="F7858" s="17">
        <v>2431</v>
      </c>
      <c r="G7858" s="13">
        <v>1</v>
      </c>
      <c r="H7858" s="17">
        <v>9</v>
      </c>
      <c r="I7858" s="17">
        <v>1</v>
      </c>
      <c r="J7858" s="17">
        <v>56</v>
      </c>
      <c r="K7858" s="10">
        <v>3756</v>
      </c>
      <c r="L7858" s="17"/>
      <c r="M7858" s="15"/>
      <c r="N7858" s="18"/>
      <c r="O7858" s="14"/>
      <c r="P7858" s="17">
        <v>1</v>
      </c>
      <c r="Q7858" s="19">
        <v>3756</v>
      </c>
      <c r="R7858" s="14">
        <v>160</v>
      </c>
      <c r="S7858" s="19">
        <v>600960</v>
      </c>
      <c r="T7858" s="17"/>
      <c r="U7858" s="17"/>
      <c r="V7858" s="17"/>
      <c r="W7858" s="4"/>
      <c r="X7858" s="17"/>
      <c r="Y7858" s="4"/>
      <c r="Z7858" s="17"/>
      <c r="AA7858" s="17"/>
      <c r="AB7858" s="17"/>
      <c r="AC7858" s="14"/>
      <c r="AD7858" s="14"/>
      <c r="AE7858" s="17"/>
      <c r="AF7858" s="14"/>
      <c r="AG7858" s="54"/>
      <c r="AH7858" s="11"/>
      <c r="AI7858" s="14"/>
      <c r="AJ7858" s="19">
        <v>0</v>
      </c>
      <c r="AK7858" s="23">
        <v>0</v>
      </c>
      <c r="AL7858" s="11"/>
      <c r="AM7858" s="19">
        <v>0</v>
      </c>
      <c r="AN7858" s="19">
        <v>600960</v>
      </c>
      <c r="AO7858" s="14"/>
      <c r="AP7858" s="14">
        <v>600960</v>
      </c>
      <c r="AQ7858" s="12"/>
      <c r="AS7858" s="26"/>
    </row>
    <row r="7859" spans="1:45" s="19" customFormat="1" x14ac:dyDescent="0.2">
      <c r="A7859" s="122">
        <f t="shared" si="756"/>
        <v>6513</v>
      </c>
      <c r="B7859" s="13">
        <v>3</v>
      </c>
      <c r="C7859" s="17" t="s">
        <v>52</v>
      </c>
      <c r="D7859" s="17">
        <v>32421</v>
      </c>
      <c r="E7859" s="17">
        <v>208</v>
      </c>
      <c r="F7859" s="17">
        <v>6401</v>
      </c>
      <c r="G7859" s="13">
        <v>1</v>
      </c>
      <c r="H7859" s="17">
        <v>0</v>
      </c>
      <c r="I7859" s="17">
        <v>0</v>
      </c>
      <c r="J7859" s="17">
        <v>68</v>
      </c>
      <c r="K7859" s="10">
        <v>68</v>
      </c>
      <c r="L7859" s="17"/>
      <c r="M7859" s="15"/>
      <c r="N7859" s="18"/>
      <c r="O7859" s="14"/>
      <c r="P7859" s="17">
        <v>1</v>
      </c>
      <c r="Q7859" s="19">
        <v>68</v>
      </c>
      <c r="R7859" s="14">
        <v>200</v>
      </c>
      <c r="S7859" s="19">
        <v>13600</v>
      </c>
      <c r="T7859" s="17"/>
      <c r="U7859" s="17"/>
      <c r="V7859" s="17"/>
      <c r="W7859" s="4"/>
      <c r="X7859" s="17"/>
      <c r="Y7859" s="4"/>
      <c r="Z7859" s="17"/>
      <c r="AA7859" s="17"/>
      <c r="AB7859" s="17"/>
      <c r="AC7859" s="14"/>
      <c r="AD7859" s="14"/>
      <c r="AE7859" s="17"/>
      <c r="AF7859" s="14"/>
      <c r="AG7859" s="54"/>
      <c r="AH7859" s="11"/>
      <c r="AI7859" s="14"/>
      <c r="AJ7859" s="19">
        <v>0</v>
      </c>
      <c r="AK7859" s="23">
        <v>0</v>
      </c>
      <c r="AL7859" s="11"/>
      <c r="AM7859" s="19">
        <v>0</v>
      </c>
      <c r="AN7859" s="19">
        <v>13600</v>
      </c>
      <c r="AO7859" s="14"/>
      <c r="AP7859" s="14">
        <v>13600</v>
      </c>
      <c r="AQ7859" s="12"/>
      <c r="AS7859" s="26"/>
    </row>
    <row r="7860" spans="1:45" s="19" customFormat="1" x14ac:dyDescent="0.2">
      <c r="A7860" s="122">
        <f t="shared" si="756"/>
        <v>6514</v>
      </c>
      <c r="B7860" s="13">
        <v>4</v>
      </c>
      <c r="C7860" s="17" t="s">
        <v>52</v>
      </c>
      <c r="D7860" s="17">
        <v>32816</v>
      </c>
      <c r="E7860" s="17">
        <v>293</v>
      </c>
      <c r="F7860" s="17">
        <v>6443</v>
      </c>
      <c r="G7860" s="13">
        <v>1</v>
      </c>
      <c r="H7860" s="17">
        <v>0</v>
      </c>
      <c r="I7860" s="17">
        <v>2</v>
      </c>
      <c r="J7860" s="17">
        <v>23</v>
      </c>
      <c r="K7860" s="10">
        <v>223</v>
      </c>
      <c r="L7860" s="17"/>
      <c r="M7860" s="15"/>
      <c r="N7860" s="18"/>
      <c r="O7860" s="14"/>
      <c r="P7860" s="17">
        <v>1</v>
      </c>
      <c r="Q7860" s="19">
        <v>223</v>
      </c>
      <c r="R7860" s="14">
        <v>160</v>
      </c>
      <c r="S7860" s="19">
        <v>35680</v>
      </c>
      <c r="T7860" s="17"/>
      <c r="U7860" s="17"/>
      <c r="V7860" s="17"/>
      <c r="W7860" s="4"/>
      <c r="X7860" s="17"/>
      <c r="Y7860" s="4"/>
      <c r="Z7860" s="17"/>
      <c r="AA7860" s="17"/>
      <c r="AB7860" s="17"/>
      <c r="AC7860" s="14"/>
      <c r="AD7860" s="14"/>
      <c r="AE7860" s="17"/>
      <c r="AF7860" s="14"/>
      <c r="AG7860" s="54"/>
      <c r="AH7860" s="11"/>
      <c r="AI7860" s="14"/>
      <c r="AJ7860" s="19">
        <v>0</v>
      </c>
      <c r="AK7860" s="23">
        <v>0</v>
      </c>
      <c r="AL7860" s="11"/>
      <c r="AM7860" s="19">
        <v>0</v>
      </c>
      <c r="AN7860" s="19">
        <v>35680</v>
      </c>
      <c r="AO7860" s="14"/>
      <c r="AP7860" s="14">
        <v>35680</v>
      </c>
      <c r="AQ7860" s="12"/>
      <c r="AS7860" s="26"/>
    </row>
    <row r="7861" spans="1:45" s="19" customFormat="1" x14ac:dyDescent="0.2">
      <c r="A7861" s="122">
        <f t="shared" si="756"/>
        <v>6515</v>
      </c>
      <c r="B7861" s="13">
        <v>5</v>
      </c>
      <c r="C7861" s="17" t="s">
        <v>52</v>
      </c>
      <c r="D7861" s="17">
        <v>34131</v>
      </c>
      <c r="E7861" s="17">
        <v>306</v>
      </c>
      <c r="F7861" s="17">
        <v>6776</v>
      </c>
      <c r="G7861" s="13">
        <v>1</v>
      </c>
      <c r="H7861" s="17">
        <v>0</v>
      </c>
      <c r="I7861" s="17">
        <v>0</v>
      </c>
      <c r="J7861" s="17">
        <v>68</v>
      </c>
      <c r="K7861" s="10">
        <v>68</v>
      </c>
      <c r="L7861" s="17"/>
      <c r="M7861" s="15"/>
      <c r="N7861" s="18"/>
      <c r="O7861" s="14"/>
      <c r="P7861" s="17">
        <v>1</v>
      </c>
      <c r="Q7861" s="19">
        <v>68</v>
      </c>
      <c r="R7861" s="14">
        <v>200</v>
      </c>
      <c r="S7861" s="19">
        <v>13600</v>
      </c>
      <c r="T7861" s="17"/>
      <c r="U7861" s="17"/>
      <c r="V7861" s="17"/>
      <c r="W7861" s="4"/>
      <c r="X7861" s="17"/>
      <c r="Y7861" s="4"/>
      <c r="Z7861" s="17"/>
      <c r="AA7861" s="17"/>
      <c r="AB7861" s="17"/>
      <c r="AC7861" s="14"/>
      <c r="AD7861" s="14"/>
      <c r="AE7861" s="17"/>
      <c r="AF7861" s="14"/>
      <c r="AG7861" s="54"/>
      <c r="AH7861" s="11"/>
      <c r="AI7861" s="14"/>
      <c r="AJ7861" s="19">
        <v>0</v>
      </c>
      <c r="AK7861" s="23">
        <v>0</v>
      </c>
      <c r="AL7861" s="11"/>
      <c r="AM7861" s="19">
        <v>0</v>
      </c>
      <c r="AN7861" s="19">
        <v>13600</v>
      </c>
      <c r="AO7861" s="14"/>
      <c r="AP7861" s="14">
        <v>13600</v>
      </c>
      <c r="AQ7861" s="12"/>
      <c r="AS7861" s="26"/>
    </row>
    <row r="7862" spans="1:45" s="19" customFormat="1" x14ac:dyDescent="0.2">
      <c r="A7862" s="122">
        <f t="shared" si="756"/>
        <v>6516</v>
      </c>
      <c r="B7862" s="13">
        <v>6</v>
      </c>
      <c r="C7862" s="17" t="s">
        <v>52</v>
      </c>
      <c r="D7862" s="17">
        <v>1587</v>
      </c>
      <c r="E7862" s="17">
        <v>25</v>
      </c>
      <c r="F7862" s="17">
        <v>524</v>
      </c>
      <c r="G7862" s="13">
        <v>2</v>
      </c>
      <c r="H7862" s="17">
        <v>4</v>
      </c>
      <c r="I7862" s="17">
        <v>0</v>
      </c>
      <c r="J7862" s="17">
        <v>23</v>
      </c>
      <c r="K7862" s="10">
        <v>1623</v>
      </c>
      <c r="L7862" s="17"/>
      <c r="M7862" s="15"/>
      <c r="N7862" s="18"/>
      <c r="O7862" s="14"/>
      <c r="P7862" s="17">
        <v>1</v>
      </c>
      <c r="Q7862" s="19">
        <v>1623</v>
      </c>
      <c r="R7862" s="14">
        <v>200</v>
      </c>
      <c r="S7862" s="19">
        <v>324600</v>
      </c>
      <c r="T7862" s="17"/>
      <c r="U7862" s="17"/>
      <c r="V7862" s="17"/>
      <c r="W7862" s="4"/>
      <c r="X7862" s="17"/>
      <c r="Y7862" s="4"/>
      <c r="Z7862" s="17"/>
      <c r="AA7862" s="17"/>
      <c r="AB7862" s="17"/>
      <c r="AC7862" s="14"/>
      <c r="AD7862" s="14"/>
      <c r="AE7862" s="17"/>
      <c r="AF7862" s="14"/>
      <c r="AG7862" s="54"/>
      <c r="AH7862" s="11"/>
      <c r="AI7862" s="14"/>
      <c r="AJ7862" s="19">
        <v>0</v>
      </c>
      <c r="AK7862" s="23">
        <v>0</v>
      </c>
      <c r="AL7862" s="11"/>
      <c r="AM7862" s="19">
        <v>0</v>
      </c>
      <c r="AN7862" s="19">
        <v>324600</v>
      </c>
      <c r="AO7862" s="14"/>
      <c r="AP7862" s="14">
        <v>324600</v>
      </c>
      <c r="AQ7862" s="12"/>
      <c r="AS7862" s="26"/>
    </row>
    <row r="7863" spans="1:45" s="19" customFormat="1" ht="42" x14ac:dyDescent="0.2">
      <c r="A7863" s="122">
        <f t="shared" si="756"/>
        <v>6517</v>
      </c>
      <c r="B7863" s="13">
        <v>1</v>
      </c>
      <c r="C7863" s="17" t="s">
        <v>52</v>
      </c>
      <c r="D7863" s="17">
        <v>2323</v>
      </c>
      <c r="E7863" s="17">
        <v>49</v>
      </c>
      <c r="F7863" s="17">
        <v>1597</v>
      </c>
      <c r="G7863" s="13">
        <v>3</v>
      </c>
      <c r="H7863" s="17">
        <v>6</v>
      </c>
      <c r="I7863" s="17">
        <v>2</v>
      </c>
      <c r="J7863" s="17">
        <v>11</v>
      </c>
      <c r="K7863" s="10">
        <v>2569.75</v>
      </c>
      <c r="L7863" s="17">
        <v>41.25</v>
      </c>
      <c r="M7863" s="15"/>
      <c r="N7863" s="18"/>
      <c r="O7863" s="14"/>
      <c r="P7863" s="17">
        <v>5</v>
      </c>
      <c r="Q7863" s="19">
        <v>2611</v>
      </c>
      <c r="R7863" s="14">
        <v>1000</v>
      </c>
      <c r="S7863" s="19">
        <v>2611000</v>
      </c>
      <c r="T7863" s="17">
        <v>1</v>
      </c>
      <c r="U7863" s="17"/>
      <c r="V7863" s="17" t="s">
        <v>183</v>
      </c>
      <c r="W7863" s="4">
        <v>165</v>
      </c>
      <c r="X7863" s="17"/>
      <c r="Y7863" s="4">
        <v>165</v>
      </c>
      <c r="Z7863" s="17"/>
      <c r="AA7863" s="17"/>
      <c r="AB7863" s="17">
        <v>17</v>
      </c>
      <c r="AC7863" s="14"/>
      <c r="AD7863" s="14"/>
      <c r="AE7863" s="17"/>
      <c r="AF7863" s="14">
        <v>2</v>
      </c>
      <c r="AG7863" s="54"/>
      <c r="AH7863" s="11"/>
      <c r="AI7863" s="14"/>
      <c r="AJ7863" s="19">
        <v>0</v>
      </c>
      <c r="AK7863" s="23">
        <v>17</v>
      </c>
      <c r="AL7863" s="11"/>
      <c r="AM7863" s="19">
        <v>0</v>
      </c>
      <c r="AN7863" s="19">
        <v>2611000</v>
      </c>
      <c r="AO7863" s="14"/>
      <c r="AP7863" s="14">
        <v>2611000</v>
      </c>
      <c r="AQ7863" s="12"/>
      <c r="AS7863" s="26"/>
    </row>
    <row r="7864" spans="1:45" s="19" customFormat="1" x14ac:dyDescent="0.2">
      <c r="A7864" s="122">
        <f t="shared" si="756"/>
        <v>6518</v>
      </c>
      <c r="B7864" s="13">
        <v>1</v>
      </c>
      <c r="C7864" s="17" t="s">
        <v>52</v>
      </c>
      <c r="D7864" s="17">
        <v>2055</v>
      </c>
      <c r="E7864" s="17">
        <v>6</v>
      </c>
      <c r="F7864" s="17">
        <v>1523</v>
      </c>
      <c r="G7864" s="13">
        <v>4</v>
      </c>
      <c r="H7864" s="17">
        <v>2</v>
      </c>
      <c r="I7864" s="17">
        <v>0</v>
      </c>
      <c r="J7864" s="17">
        <v>98</v>
      </c>
      <c r="K7864" s="10">
        <v>898</v>
      </c>
      <c r="L7864" s="17"/>
      <c r="M7864" s="15"/>
      <c r="N7864" s="18"/>
      <c r="O7864" s="14"/>
      <c r="P7864" s="17">
        <v>1</v>
      </c>
      <c r="Q7864" s="19">
        <v>898</v>
      </c>
      <c r="R7864" s="14">
        <v>160</v>
      </c>
      <c r="S7864" s="19">
        <v>143680</v>
      </c>
      <c r="T7864" s="17"/>
      <c r="U7864" s="17"/>
      <c r="V7864" s="17"/>
      <c r="W7864" s="4"/>
      <c r="X7864" s="17"/>
      <c r="Y7864" s="4"/>
      <c r="Z7864" s="17"/>
      <c r="AA7864" s="17"/>
      <c r="AB7864" s="17"/>
      <c r="AC7864" s="14"/>
      <c r="AD7864" s="14"/>
      <c r="AE7864" s="17"/>
      <c r="AF7864" s="14"/>
      <c r="AG7864" s="54"/>
      <c r="AH7864" s="11"/>
      <c r="AI7864" s="14"/>
      <c r="AJ7864" s="19">
        <v>0</v>
      </c>
      <c r="AK7864" s="23">
        <v>0</v>
      </c>
      <c r="AL7864" s="11"/>
      <c r="AM7864" s="19">
        <v>0</v>
      </c>
      <c r="AN7864" s="19">
        <v>143680</v>
      </c>
      <c r="AO7864" s="14"/>
      <c r="AP7864" s="14">
        <v>143680</v>
      </c>
      <c r="AQ7864" s="12"/>
      <c r="AS7864" s="26"/>
    </row>
    <row r="7865" spans="1:45" s="19" customFormat="1" x14ac:dyDescent="0.2">
      <c r="A7865" s="122">
        <f t="shared" si="756"/>
        <v>6519</v>
      </c>
      <c r="B7865" s="13">
        <v>1</v>
      </c>
      <c r="C7865" s="17" t="s">
        <v>69</v>
      </c>
      <c r="D7865" s="17"/>
      <c r="E7865" s="17">
        <v>1500</v>
      </c>
      <c r="F7865" s="17">
        <v>1</v>
      </c>
      <c r="G7865" s="13">
        <v>6</v>
      </c>
      <c r="H7865" s="17">
        <v>18</v>
      </c>
      <c r="I7865" s="17">
        <v>3</v>
      </c>
      <c r="J7865" s="17">
        <v>14</v>
      </c>
      <c r="K7865" s="10">
        <v>7514</v>
      </c>
      <c r="L7865" s="17"/>
      <c r="M7865" s="15"/>
      <c r="N7865" s="18"/>
      <c r="O7865" s="14"/>
      <c r="P7865" s="17">
        <v>1</v>
      </c>
      <c r="Q7865" s="19">
        <v>7514</v>
      </c>
      <c r="R7865" s="14">
        <v>200</v>
      </c>
      <c r="S7865" s="19">
        <v>1502800</v>
      </c>
      <c r="T7865" s="17"/>
      <c r="U7865" s="17"/>
      <c r="V7865" s="17"/>
      <c r="W7865" s="4"/>
      <c r="X7865" s="17"/>
      <c r="Y7865" s="4"/>
      <c r="Z7865" s="17"/>
      <c r="AA7865" s="17"/>
      <c r="AB7865" s="17"/>
      <c r="AC7865" s="14"/>
      <c r="AD7865" s="14"/>
      <c r="AE7865" s="17"/>
      <c r="AF7865" s="14"/>
      <c r="AG7865" s="54"/>
      <c r="AH7865" s="11"/>
      <c r="AI7865" s="14"/>
      <c r="AJ7865" s="19">
        <v>0</v>
      </c>
      <c r="AK7865" s="23">
        <v>0</v>
      </c>
      <c r="AL7865" s="11"/>
      <c r="AM7865" s="19">
        <v>0</v>
      </c>
      <c r="AN7865" s="19">
        <v>1502800</v>
      </c>
      <c r="AO7865" s="14"/>
      <c r="AP7865" s="14">
        <v>1502800</v>
      </c>
      <c r="AQ7865" s="12">
        <v>1E-4</v>
      </c>
      <c r="AS7865" s="26"/>
    </row>
    <row r="7866" spans="1:45" s="19" customFormat="1" x14ac:dyDescent="0.2">
      <c r="A7866" s="122">
        <f t="shared" si="756"/>
        <v>6520</v>
      </c>
      <c r="B7866" s="13"/>
      <c r="C7866" s="17" t="s">
        <v>115</v>
      </c>
      <c r="D7866" s="17"/>
      <c r="E7866" s="17"/>
      <c r="F7866" s="17"/>
      <c r="G7866" s="13"/>
      <c r="H7866" s="17"/>
      <c r="I7866" s="17"/>
      <c r="J7866" s="17"/>
      <c r="K7866" s="10"/>
      <c r="L7866" s="17"/>
      <c r="M7866" s="15"/>
      <c r="N7866" s="18"/>
      <c r="O7866" s="14"/>
      <c r="P7866" s="17">
        <v>2</v>
      </c>
      <c r="Q7866" s="19">
        <v>22.5</v>
      </c>
      <c r="R7866" s="14">
        <v>250</v>
      </c>
      <c r="S7866" s="19">
        <v>5625</v>
      </c>
      <c r="T7866" s="17"/>
      <c r="U7866" s="17"/>
      <c r="V7866" s="17"/>
      <c r="W7866" s="4"/>
      <c r="X7866" s="17"/>
      <c r="Y7866" s="4"/>
      <c r="Z7866" s="17"/>
      <c r="AA7866" s="17"/>
      <c r="AB7866" s="17"/>
      <c r="AC7866" s="14"/>
      <c r="AD7866" s="14"/>
      <c r="AE7866" s="17"/>
      <c r="AF7866" s="14">
        <v>2</v>
      </c>
      <c r="AG7866" s="54">
        <v>90</v>
      </c>
      <c r="AH7866" s="11">
        <v>0.67</v>
      </c>
      <c r="AI7866" s="14">
        <v>7250</v>
      </c>
      <c r="AJ7866" s="19">
        <v>437175.00000000006</v>
      </c>
      <c r="AK7866" s="23">
        <v>30</v>
      </c>
      <c r="AL7866" s="11">
        <v>0.5</v>
      </c>
      <c r="AM7866" s="19">
        <v>218587.50000000003</v>
      </c>
      <c r="AN7866" s="19">
        <v>222356.25000000003</v>
      </c>
      <c r="AO7866" s="14"/>
      <c r="AP7866" s="14">
        <v>222356.25000000003</v>
      </c>
      <c r="AQ7866" s="12"/>
      <c r="AS7866" s="26"/>
    </row>
    <row r="7867" spans="1:45" s="19" customFormat="1" x14ac:dyDescent="0.2">
      <c r="A7867" s="2"/>
      <c r="B7867" s="13"/>
      <c r="C7867" s="17"/>
      <c r="D7867" s="17"/>
      <c r="E7867" s="17"/>
      <c r="F7867" s="17"/>
      <c r="G7867" s="13"/>
      <c r="H7867" s="17"/>
      <c r="I7867" s="17"/>
      <c r="J7867" s="17"/>
      <c r="K7867" s="10"/>
      <c r="L7867" s="17"/>
      <c r="M7867" s="15"/>
      <c r="N7867" s="18"/>
      <c r="O7867" s="14"/>
      <c r="P7867" s="17">
        <v>3</v>
      </c>
      <c r="R7867" s="14">
        <v>250</v>
      </c>
      <c r="T7867" s="17"/>
      <c r="U7867" s="17"/>
      <c r="V7867" s="17"/>
      <c r="W7867" s="4"/>
      <c r="X7867" s="17"/>
      <c r="Y7867" s="4"/>
      <c r="Z7867" s="17"/>
      <c r="AA7867" s="17"/>
      <c r="AB7867" s="17"/>
      <c r="AC7867" s="14"/>
      <c r="AD7867" s="14"/>
      <c r="AE7867" s="17"/>
      <c r="AF7867" s="14">
        <v>3</v>
      </c>
      <c r="AG7867" s="54">
        <v>90</v>
      </c>
      <c r="AH7867" s="11">
        <v>0.33</v>
      </c>
      <c r="AI7867" s="14">
        <v>7250</v>
      </c>
      <c r="AJ7867" s="19">
        <v>215325.00000000003</v>
      </c>
      <c r="AK7867" s="23">
        <v>30</v>
      </c>
      <c r="AL7867" s="11">
        <v>0.5</v>
      </c>
      <c r="AM7867" s="19">
        <v>107662.50000000001</v>
      </c>
      <c r="AN7867" s="19">
        <v>109518.75000000001</v>
      </c>
      <c r="AO7867" s="14"/>
      <c r="AP7867" s="14">
        <v>109518.75000000001</v>
      </c>
      <c r="AQ7867" s="12">
        <v>3.0000000000000001E-3</v>
      </c>
      <c r="AS7867" s="26"/>
    </row>
    <row r="7868" spans="1:45" s="19" customFormat="1" x14ac:dyDescent="0.2">
      <c r="A7868" s="2">
        <v>6521</v>
      </c>
      <c r="B7868" s="13">
        <v>1</v>
      </c>
      <c r="C7868" s="17" t="s">
        <v>52</v>
      </c>
      <c r="D7868" s="17">
        <v>2194</v>
      </c>
      <c r="E7868" s="17">
        <v>5</v>
      </c>
      <c r="F7868" s="17">
        <v>1825</v>
      </c>
      <c r="G7868" s="13">
        <v>3</v>
      </c>
      <c r="H7868" s="17">
        <v>0</v>
      </c>
      <c r="I7868" s="17">
        <v>3</v>
      </c>
      <c r="J7868" s="17">
        <v>40.020000000000003</v>
      </c>
      <c r="K7868" s="10"/>
      <c r="L7868" s="17" t="s">
        <v>807</v>
      </c>
      <c r="M7868" s="15"/>
      <c r="N7868" s="18"/>
      <c r="O7868" s="14"/>
      <c r="P7868" s="17">
        <v>1</v>
      </c>
      <c r="Q7868" s="19">
        <v>340.02</v>
      </c>
      <c r="R7868" s="14">
        <v>500</v>
      </c>
      <c r="S7868" s="19">
        <v>170010</v>
      </c>
      <c r="T7868" s="17"/>
      <c r="U7868" s="17"/>
      <c r="V7868" s="17"/>
      <c r="W7868" s="4"/>
      <c r="X7868" s="17"/>
      <c r="Y7868" s="4"/>
      <c r="Z7868" s="17"/>
      <c r="AA7868" s="17"/>
      <c r="AB7868" s="17"/>
      <c r="AC7868" s="14"/>
      <c r="AD7868" s="14"/>
      <c r="AE7868" s="17"/>
      <c r="AF7868" s="14"/>
      <c r="AG7868" s="54"/>
      <c r="AH7868" s="11"/>
      <c r="AI7868" s="14"/>
      <c r="AJ7868" s="19">
        <v>0</v>
      </c>
      <c r="AK7868" s="23">
        <v>0</v>
      </c>
      <c r="AL7868" s="11"/>
      <c r="AM7868" s="19">
        <v>0</v>
      </c>
      <c r="AN7868" s="19">
        <v>170010</v>
      </c>
      <c r="AO7868" s="14"/>
      <c r="AP7868" s="14">
        <v>170010</v>
      </c>
      <c r="AQ7868" s="12"/>
      <c r="AS7868" s="26"/>
    </row>
    <row r="7869" spans="1:45" s="19" customFormat="1" ht="42" x14ac:dyDescent="0.2">
      <c r="A7869" s="2">
        <f>+A7868+1</f>
        <v>6522</v>
      </c>
      <c r="B7869" s="13">
        <v>2</v>
      </c>
      <c r="C7869" s="17" t="s">
        <v>52</v>
      </c>
      <c r="D7869" s="17">
        <v>2195</v>
      </c>
      <c r="E7869" s="17">
        <v>3</v>
      </c>
      <c r="F7869" s="17">
        <v>1830</v>
      </c>
      <c r="G7869" s="13">
        <v>3</v>
      </c>
      <c r="H7869" s="17">
        <v>0</v>
      </c>
      <c r="I7869" s="17">
        <v>0</v>
      </c>
      <c r="J7869" s="17">
        <v>60</v>
      </c>
      <c r="K7869" s="10"/>
      <c r="L7869" s="17" t="s">
        <v>274</v>
      </c>
      <c r="M7869" s="15"/>
      <c r="N7869" s="18"/>
      <c r="O7869" s="14"/>
      <c r="P7869" s="17">
        <v>2</v>
      </c>
      <c r="Q7869" s="19">
        <v>60</v>
      </c>
      <c r="R7869" s="14">
        <v>2000</v>
      </c>
      <c r="S7869" s="19">
        <v>120000</v>
      </c>
      <c r="T7869" s="17">
        <v>1</v>
      </c>
      <c r="U7869" s="17"/>
      <c r="V7869" s="17" t="s">
        <v>183</v>
      </c>
      <c r="W7869" s="4">
        <v>70</v>
      </c>
      <c r="X7869" s="17"/>
      <c r="Y7869" s="4">
        <v>70</v>
      </c>
      <c r="Z7869" s="17"/>
      <c r="AA7869" s="17"/>
      <c r="AB7869" s="17">
        <v>14</v>
      </c>
      <c r="AC7869" s="14"/>
      <c r="AD7869" s="14"/>
      <c r="AE7869" s="17"/>
      <c r="AF7869" s="14"/>
      <c r="AG7869" s="54"/>
      <c r="AH7869" s="11"/>
      <c r="AI7869" s="14"/>
      <c r="AJ7869" s="19">
        <v>0</v>
      </c>
      <c r="AK7869" s="23">
        <v>14</v>
      </c>
      <c r="AL7869" s="11"/>
      <c r="AM7869" s="19">
        <v>0</v>
      </c>
      <c r="AN7869" s="19">
        <v>120000</v>
      </c>
      <c r="AO7869" s="14"/>
      <c r="AP7869" s="14">
        <v>120000</v>
      </c>
      <c r="AQ7869" s="12"/>
      <c r="AS7869" s="26"/>
    </row>
    <row r="7870" spans="1:45" s="19" customFormat="1" x14ac:dyDescent="0.2">
      <c r="A7870" s="122">
        <f t="shared" ref="A7870:A7876" si="757">+A7869+1</f>
        <v>6523</v>
      </c>
      <c r="B7870" s="13">
        <v>3</v>
      </c>
      <c r="C7870" s="17" t="s">
        <v>52</v>
      </c>
      <c r="D7870" s="17">
        <v>2274</v>
      </c>
      <c r="E7870" s="17">
        <v>8</v>
      </c>
      <c r="F7870" s="17">
        <v>1692</v>
      </c>
      <c r="G7870" s="13">
        <v>3</v>
      </c>
      <c r="H7870" s="17">
        <v>3</v>
      </c>
      <c r="I7870" s="17">
        <v>1</v>
      </c>
      <c r="J7870" s="17">
        <v>41</v>
      </c>
      <c r="K7870" s="10">
        <v>1341</v>
      </c>
      <c r="L7870" s="17"/>
      <c r="M7870" s="15"/>
      <c r="N7870" s="18"/>
      <c r="O7870" s="14"/>
      <c r="P7870" s="17">
        <v>1</v>
      </c>
      <c r="Q7870" s="19">
        <v>1341</v>
      </c>
      <c r="R7870" s="14">
        <v>200</v>
      </c>
      <c r="S7870" s="19">
        <v>268200</v>
      </c>
      <c r="T7870" s="17"/>
      <c r="U7870" s="17"/>
      <c r="V7870" s="17"/>
      <c r="W7870" s="4"/>
      <c r="X7870" s="17"/>
      <c r="Y7870" s="4"/>
      <c r="Z7870" s="17"/>
      <c r="AA7870" s="17"/>
      <c r="AB7870" s="17"/>
      <c r="AC7870" s="14"/>
      <c r="AD7870" s="14"/>
      <c r="AE7870" s="17"/>
      <c r="AF7870" s="14"/>
      <c r="AG7870" s="54"/>
      <c r="AH7870" s="11"/>
      <c r="AI7870" s="14"/>
      <c r="AJ7870" s="19">
        <v>0</v>
      </c>
      <c r="AK7870" s="23">
        <v>0</v>
      </c>
      <c r="AL7870" s="11"/>
      <c r="AM7870" s="19">
        <v>0</v>
      </c>
      <c r="AN7870" s="19">
        <v>268200</v>
      </c>
      <c r="AO7870" s="14"/>
      <c r="AP7870" s="14">
        <v>268200</v>
      </c>
      <c r="AQ7870" s="12"/>
      <c r="AS7870" s="26"/>
    </row>
    <row r="7871" spans="1:45" s="19" customFormat="1" x14ac:dyDescent="0.2">
      <c r="A7871" s="122">
        <f t="shared" si="757"/>
        <v>6524</v>
      </c>
      <c r="B7871" s="13">
        <v>4</v>
      </c>
      <c r="C7871" s="17" t="s">
        <v>52</v>
      </c>
      <c r="D7871" s="17">
        <v>2372</v>
      </c>
      <c r="E7871" s="17">
        <v>4</v>
      </c>
      <c r="F7871" s="17">
        <v>1829</v>
      </c>
      <c r="G7871" s="13">
        <v>3</v>
      </c>
      <c r="H7871" s="17">
        <v>1</v>
      </c>
      <c r="I7871" s="17">
        <v>1</v>
      </c>
      <c r="J7871" s="17">
        <v>15</v>
      </c>
      <c r="K7871" s="10">
        <v>515</v>
      </c>
      <c r="L7871" s="17"/>
      <c r="M7871" s="15"/>
      <c r="N7871" s="18"/>
      <c r="O7871" s="14"/>
      <c r="P7871" s="17">
        <v>1</v>
      </c>
      <c r="Q7871" s="19">
        <v>515</v>
      </c>
      <c r="R7871" s="14">
        <v>200</v>
      </c>
      <c r="S7871" s="19">
        <v>103000</v>
      </c>
      <c r="T7871" s="17"/>
      <c r="U7871" s="17"/>
      <c r="V7871" s="17"/>
      <c r="W7871" s="4"/>
      <c r="X7871" s="17"/>
      <c r="Y7871" s="4"/>
      <c r="Z7871" s="17"/>
      <c r="AA7871" s="17"/>
      <c r="AB7871" s="17"/>
      <c r="AC7871" s="14"/>
      <c r="AD7871" s="14"/>
      <c r="AE7871" s="17"/>
      <c r="AF7871" s="14"/>
      <c r="AG7871" s="54"/>
      <c r="AH7871" s="11"/>
      <c r="AI7871" s="14"/>
      <c r="AJ7871" s="19">
        <v>0</v>
      </c>
      <c r="AK7871" s="23">
        <v>0</v>
      </c>
      <c r="AL7871" s="11"/>
      <c r="AM7871" s="19">
        <v>0</v>
      </c>
      <c r="AN7871" s="19">
        <v>103000</v>
      </c>
      <c r="AO7871" s="14"/>
      <c r="AP7871" s="14">
        <v>103000</v>
      </c>
      <c r="AQ7871" s="12"/>
      <c r="AS7871" s="26"/>
    </row>
    <row r="7872" spans="1:45" s="19" customFormat="1" x14ac:dyDescent="0.2">
      <c r="A7872" s="122">
        <f t="shared" si="757"/>
        <v>6525</v>
      </c>
      <c r="B7872" s="13">
        <v>5</v>
      </c>
      <c r="C7872" s="17" t="s">
        <v>52</v>
      </c>
      <c r="D7872" s="17">
        <v>34381</v>
      </c>
      <c r="E7872" s="17">
        <v>36</v>
      </c>
      <c r="F7872" s="17">
        <v>6836</v>
      </c>
      <c r="G7872" s="13">
        <v>3</v>
      </c>
      <c r="H7872" s="17">
        <v>0</v>
      </c>
      <c r="I7872" s="17">
        <v>0</v>
      </c>
      <c r="J7872" s="17">
        <v>22</v>
      </c>
      <c r="K7872" s="10"/>
      <c r="L7872" s="17"/>
      <c r="M7872" s="15"/>
      <c r="N7872" s="18">
        <v>22</v>
      </c>
      <c r="O7872" s="14"/>
      <c r="P7872" s="17">
        <v>4</v>
      </c>
      <c r="Q7872" s="19">
        <v>22</v>
      </c>
      <c r="R7872" s="14">
        <v>2000</v>
      </c>
      <c r="S7872" s="19">
        <v>44000</v>
      </c>
      <c r="T7872" s="17"/>
      <c r="U7872" s="17"/>
      <c r="V7872" s="17"/>
      <c r="W7872" s="4"/>
      <c r="X7872" s="17"/>
      <c r="Y7872" s="4"/>
      <c r="Z7872" s="17"/>
      <c r="AA7872" s="17"/>
      <c r="AB7872" s="17"/>
      <c r="AC7872" s="14"/>
      <c r="AD7872" s="14"/>
      <c r="AE7872" s="17"/>
      <c r="AF7872" s="14"/>
      <c r="AG7872" s="54"/>
      <c r="AH7872" s="11"/>
      <c r="AI7872" s="14"/>
      <c r="AJ7872" s="19">
        <v>0</v>
      </c>
      <c r="AK7872" s="23">
        <v>0</v>
      </c>
      <c r="AL7872" s="11"/>
      <c r="AM7872" s="19">
        <v>0</v>
      </c>
      <c r="AN7872" s="19">
        <v>44000</v>
      </c>
      <c r="AO7872" s="14"/>
      <c r="AP7872" s="14">
        <v>44000</v>
      </c>
      <c r="AQ7872" s="12"/>
      <c r="AS7872" s="26"/>
    </row>
    <row r="7873" spans="1:45" x14ac:dyDescent="0.2">
      <c r="A7873" s="122">
        <f t="shared" si="757"/>
        <v>6526</v>
      </c>
      <c r="B7873" s="13">
        <v>7</v>
      </c>
      <c r="C7873" s="17" t="s">
        <v>52</v>
      </c>
      <c r="D7873" s="17">
        <v>35241</v>
      </c>
      <c r="E7873" s="17">
        <v>42</v>
      </c>
      <c r="F7873" s="17">
        <v>7025</v>
      </c>
      <c r="G7873" s="13">
        <v>3</v>
      </c>
      <c r="H7873" s="17">
        <v>0</v>
      </c>
      <c r="I7873" s="17">
        <v>0</v>
      </c>
      <c r="J7873" s="17">
        <v>32</v>
      </c>
      <c r="K7873" s="10">
        <v>32</v>
      </c>
      <c r="P7873" s="17">
        <v>1</v>
      </c>
      <c r="Q7873" s="19">
        <v>32</v>
      </c>
      <c r="R7873" s="14">
        <v>250</v>
      </c>
      <c r="S7873" s="19">
        <v>8000</v>
      </c>
      <c r="AJ7873" s="19">
        <v>0</v>
      </c>
      <c r="AK7873" s="23">
        <v>0</v>
      </c>
      <c r="AM7873" s="19">
        <v>0</v>
      </c>
      <c r="AN7873" s="19">
        <v>8000</v>
      </c>
      <c r="AP7873" s="14">
        <v>8000</v>
      </c>
    </row>
    <row r="7874" spans="1:45" x14ac:dyDescent="0.2">
      <c r="A7874" s="122">
        <f t="shared" si="757"/>
        <v>6527</v>
      </c>
      <c r="B7874" s="13">
        <v>1</v>
      </c>
      <c r="C7874" s="17" t="s">
        <v>52</v>
      </c>
      <c r="D7874" s="17">
        <v>35242</v>
      </c>
      <c r="E7874" s="17">
        <v>43</v>
      </c>
      <c r="F7874" s="17">
        <v>7026</v>
      </c>
      <c r="G7874" s="13">
        <v>3</v>
      </c>
      <c r="H7874" s="17">
        <v>0</v>
      </c>
      <c r="I7874" s="17">
        <v>0</v>
      </c>
      <c r="J7874" s="17">
        <v>32</v>
      </c>
      <c r="K7874" s="10">
        <v>32</v>
      </c>
      <c r="P7874" s="17">
        <v>1</v>
      </c>
      <c r="Q7874" s="19">
        <v>32</v>
      </c>
      <c r="R7874" s="14">
        <v>250</v>
      </c>
      <c r="S7874" s="19">
        <v>8000</v>
      </c>
      <c r="AE7874" s="17" t="s">
        <v>806</v>
      </c>
      <c r="AJ7874" s="19">
        <v>0</v>
      </c>
      <c r="AK7874" s="23">
        <v>0</v>
      </c>
      <c r="AM7874" s="19">
        <v>0</v>
      </c>
      <c r="AN7874" s="19">
        <v>8000</v>
      </c>
      <c r="AP7874" s="14">
        <v>8000</v>
      </c>
    </row>
    <row r="7875" spans="1:45" x14ac:dyDescent="0.2">
      <c r="A7875" s="122">
        <f t="shared" si="757"/>
        <v>6528</v>
      </c>
      <c r="B7875" s="13">
        <v>2</v>
      </c>
      <c r="C7875" s="17" t="s">
        <v>52</v>
      </c>
      <c r="D7875" s="17">
        <v>35360</v>
      </c>
      <c r="E7875" s="17">
        <v>37</v>
      </c>
      <c r="F7875" s="17">
        <v>6883</v>
      </c>
      <c r="G7875" s="13">
        <v>3</v>
      </c>
      <c r="H7875" s="17">
        <v>2</v>
      </c>
      <c r="I7875" s="17">
        <v>0</v>
      </c>
      <c r="J7875" s="17">
        <v>0</v>
      </c>
      <c r="K7875" s="10">
        <v>800</v>
      </c>
      <c r="P7875" s="17">
        <v>1</v>
      </c>
      <c r="Q7875" s="19">
        <v>800</v>
      </c>
      <c r="R7875" s="14">
        <v>200</v>
      </c>
      <c r="S7875" s="19">
        <v>160000</v>
      </c>
      <c r="AG7875" s="54">
        <v>0</v>
      </c>
      <c r="AJ7875" s="19">
        <v>0</v>
      </c>
      <c r="AM7875" s="19">
        <v>0</v>
      </c>
      <c r="AN7875" s="19">
        <v>160000</v>
      </c>
      <c r="AP7875" s="14">
        <v>160000</v>
      </c>
    </row>
    <row r="7876" spans="1:45" ht="42" x14ac:dyDescent="0.2">
      <c r="A7876" s="122">
        <f t="shared" si="757"/>
        <v>6529</v>
      </c>
      <c r="B7876" s="13">
        <v>1</v>
      </c>
      <c r="C7876" s="17" t="s">
        <v>52</v>
      </c>
      <c r="D7876" s="17">
        <v>1169</v>
      </c>
      <c r="E7876" s="17">
        <v>6</v>
      </c>
      <c r="F7876" s="17">
        <v>1008</v>
      </c>
      <c r="G7876" s="13">
        <v>1</v>
      </c>
      <c r="H7876" s="17">
        <v>1</v>
      </c>
      <c r="I7876" s="17">
        <v>2</v>
      </c>
      <c r="J7876" s="17">
        <v>66</v>
      </c>
      <c r="K7876" s="10">
        <v>666</v>
      </c>
      <c r="P7876" s="17">
        <v>1</v>
      </c>
      <c r="Q7876" s="19">
        <v>666</v>
      </c>
      <c r="R7876" s="14">
        <v>160</v>
      </c>
      <c r="S7876" s="19">
        <v>106560</v>
      </c>
      <c r="AE7876" s="17" t="s">
        <v>169</v>
      </c>
      <c r="AJ7876" s="19">
        <v>0</v>
      </c>
      <c r="AK7876" s="23">
        <v>0</v>
      </c>
      <c r="AM7876" s="19">
        <v>0</v>
      </c>
      <c r="AN7876" s="19">
        <v>106560</v>
      </c>
      <c r="AP7876" s="14">
        <v>106560</v>
      </c>
      <c r="AS7876" s="26" t="s">
        <v>170</v>
      </c>
    </row>
    <row r="7877" spans="1:45" x14ac:dyDescent="0.2">
      <c r="R7877" s="14" t="e">
        <v>#N/A</v>
      </c>
    </row>
    <row r="7878" spans="1:45" x14ac:dyDescent="0.2">
      <c r="B7878" s="13">
        <v>1</v>
      </c>
      <c r="C7878" s="17" t="s">
        <v>65</v>
      </c>
      <c r="D7878" s="17">
        <v>3868</v>
      </c>
      <c r="E7878" s="17">
        <v>206</v>
      </c>
      <c r="H7878" s="17">
        <v>4</v>
      </c>
      <c r="I7878" s="17">
        <v>1</v>
      </c>
      <c r="J7878" s="17">
        <v>45</v>
      </c>
      <c r="K7878" s="10">
        <v>1745</v>
      </c>
      <c r="P7878" s="17">
        <v>1</v>
      </c>
      <c r="Q7878" s="19">
        <v>1745</v>
      </c>
      <c r="R7878" s="14" t="e">
        <v>#N/A</v>
      </c>
      <c r="S7878" s="19" t="e">
        <v>#N/A</v>
      </c>
      <c r="AJ7878" s="19">
        <v>0</v>
      </c>
      <c r="AK7878" s="23">
        <v>0</v>
      </c>
      <c r="AM7878" s="19">
        <v>0</v>
      </c>
      <c r="AN7878" s="19" t="e">
        <v>#N/A</v>
      </c>
      <c r="AP7878" s="14" t="e">
        <v>#N/A</v>
      </c>
      <c r="AQ7878" s="12">
        <v>1E-4</v>
      </c>
    </row>
    <row r="7879" spans="1:45" ht="42" x14ac:dyDescent="0.2">
      <c r="A7879" s="2">
        <v>6530</v>
      </c>
      <c r="B7879" s="13">
        <v>1</v>
      </c>
      <c r="C7879" s="17" t="s">
        <v>52</v>
      </c>
      <c r="D7879" s="17">
        <v>16482</v>
      </c>
      <c r="E7879" s="17">
        <v>39</v>
      </c>
      <c r="F7879" s="17">
        <v>3585</v>
      </c>
      <c r="G7879" s="13">
        <v>3</v>
      </c>
      <c r="H7879" s="17">
        <v>4</v>
      </c>
      <c r="I7879" s="17">
        <v>1</v>
      </c>
      <c r="J7879" s="17">
        <v>53</v>
      </c>
      <c r="K7879" s="10">
        <v>1717.25</v>
      </c>
      <c r="L7879" s="17">
        <v>35.75</v>
      </c>
      <c r="P7879" s="17">
        <v>5</v>
      </c>
      <c r="Q7879" s="19">
        <v>1753</v>
      </c>
      <c r="R7879" s="14">
        <v>160</v>
      </c>
      <c r="S7879" s="19">
        <v>280480</v>
      </c>
      <c r="T7879" s="17">
        <v>1</v>
      </c>
      <c r="V7879" s="17" t="s">
        <v>183</v>
      </c>
      <c r="W7879" s="4">
        <v>143</v>
      </c>
      <c r="Y7879" s="4">
        <v>143</v>
      </c>
      <c r="AB7879" s="17">
        <v>21</v>
      </c>
      <c r="AJ7879" s="19">
        <v>0</v>
      </c>
      <c r="AK7879" s="23">
        <v>21</v>
      </c>
      <c r="AM7879" s="19">
        <v>0</v>
      </c>
      <c r="AN7879" s="19">
        <v>280480</v>
      </c>
      <c r="AP7879" s="14">
        <v>280480</v>
      </c>
    </row>
    <row r="7880" spans="1:45" x14ac:dyDescent="0.2">
      <c r="A7880" s="2">
        <f>+A7879+1</f>
        <v>6531</v>
      </c>
      <c r="B7880" s="13">
        <v>1</v>
      </c>
      <c r="C7880" s="17" t="s">
        <v>52</v>
      </c>
      <c r="D7880" s="17">
        <v>2276</v>
      </c>
      <c r="E7880" s="17">
        <v>6</v>
      </c>
      <c r="F7880" s="17">
        <v>1694</v>
      </c>
      <c r="G7880" s="13">
        <v>3</v>
      </c>
      <c r="H7880" s="17">
        <v>3</v>
      </c>
      <c r="I7880" s="17">
        <v>0</v>
      </c>
      <c r="J7880" s="17">
        <v>23</v>
      </c>
      <c r="K7880" s="10">
        <v>1223</v>
      </c>
      <c r="P7880" s="17">
        <v>1</v>
      </c>
      <c r="Q7880" s="19">
        <v>1223</v>
      </c>
      <c r="R7880" s="14">
        <v>200</v>
      </c>
      <c r="S7880" s="19">
        <v>244600</v>
      </c>
      <c r="AE7880" s="17" t="s">
        <v>808</v>
      </c>
      <c r="AJ7880" s="19">
        <v>0</v>
      </c>
      <c r="AK7880" s="23">
        <v>0</v>
      </c>
      <c r="AM7880" s="19">
        <v>0</v>
      </c>
      <c r="AN7880" s="19">
        <v>244600</v>
      </c>
      <c r="AP7880" s="14">
        <v>244600</v>
      </c>
    </row>
    <row r="7881" spans="1:45" ht="42" x14ac:dyDescent="0.2">
      <c r="A7881" s="122">
        <f t="shared" ref="A7881:A7883" si="758">+A7880+1</f>
        <v>6532</v>
      </c>
      <c r="B7881" s="13">
        <v>2</v>
      </c>
      <c r="C7881" s="17" t="s">
        <v>52</v>
      </c>
      <c r="D7881" s="17">
        <v>30328</v>
      </c>
      <c r="E7881" s="17">
        <v>44</v>
      </c>
      <c r="F7881" s="17">
        <v>5266</v>
      </c>
      <c r="G7881" s="13">
        <v>3</v>
      </c>
      <c r="H7881" s="17">
        <v>0</v>
      </c>
      <c r="I7881" s="17">
        <v>0</v>
      </c>
      <c r="J7881" s="17">
        <v>74</v>
      </c>
      <c r="L7881" s="17" t="s">
        <v>798</v>
      </c>
      <c r="P7881" s="17">
        <v>2</v>
      </c>
      <c r="Q7881" s="19">
        <v>74</v>
      </c>
      <c r="R7881" s="14">
        <v>200</v>
      </c>
      <c r="S7881" s="19">
        <v>14800</v>
      </c>
      <c r="T7881" s="17">
        <v>1</v>
      </c>
      <c r="V7881" s="17" t="s">
        <v>183</v>
      </c>
      <c r="W7881" s="4">
        <v>120</v>
      </c>
      <c r="Y7881" s="4">
        <v>120</v>
      </c>
      <c r="AB7881" s="17">
        <v>3</v>
      </c>
      <c r="AJ7881" s="19">
        <v>0</v>
      </c>
      <c r="AK7881" s="23">
        <v>3</v>
      </c>
      <c r="AM7881" s="19">
        <v>0</v>
      </c>
      <c r="AN7881" s="19">
        <v>14800</v>
      </c>
      <c r="AP7881" s="14">
        <v>14800</v>
      </c>
    </row>
    <row r="7882" spans="1:45" x14ac:dyDescent="0.2">
      <c r="A7882" s="122">
        <f t="shared" si="758"/>
        <v>6533</v>
      </c>
      <c r="B7882" s="13">
        <v>3</v>
      </c>
      <c r="C7882" s="17" t="s">
        <v>52</v>
      </c>
      <c r="D7882" s="17">
        <v>30329</v>
      </c>
      <c r="E7882" s="17">
        <v>31</v>
      </c>
      <c r="F7882" s="17">
        <v>5267</v>
      </c>
      <c r="G7882" s="13">
        <v>3</v>
      </c>
      <c r="H7882" s="17">
        <v>0</v>
      </c>
      <c r="I7882" s="17">
        <v>0</v>
      </c>
      <c r="J7882" s="17">
        <v>30</v>
      </c>
      <c r="N7882" s="18">
        <v>30</v>
      </c>
      <c r="P7882" s="17">
        <v>4</v>
      </c>
      <c r="Q7882" s="19">
        <v>30</v>
      </c>
      <c r="R7882" s="14">
        <v>250</v>
      </c>
      <c r="S7882" s="19">
        <v>7500</v>
      </c>
      <c r="AE7882" s="17" t="s">
        <v>809</v>
      </c>
      <c r="AJ7882" s="19">
        <v>0</v>
      </c>
      <c r="AK7882" s="23">
        <v>0</v>
      </c>
      <c r="AM7882" s="19">
        <v>0</v>
      </c>
      <c r="AN7882" s="19">
        <v>7500</v>
      </c>
      <c r="AP7882" s="14">
        <v>7500</v>
      </c>
      <c r="AQ7882" s="12">
        <v>3.0000000000000001E-3</v>
      </c>
    </row>
    <row r="7883" spans="1:45" x14ac:dyDescent="0.2">
      <c r="A7883" s="122">
        <f t="shared" si="758"/>
        <v>6534</v>
      </c>
      <c r="B7883" s="13">
        <v>1</v>
      </c>
      <c r="C7883" s="17" t="s">
        <v>52</v>
      </c>
      <c r="D7883" s="17">
        <v>31440</v>
      </c>
      <c r="E7883" s="17">
        <v>48</v>
      </c>
      <c r="F7883" s="17">
        <v>6219</v>
      </c>
      <c r="G7883" s="13">
        <v>5</v>
      </c>
      <c r="H7883" s="17">
        <v>0</v>
      </c>
      <c r="I7883" s="17">
        <v>0</v>
      </c>
      <c r="J7883" s="17">
        <v>96</v>
      </c>
      <c r="K7883" s="10">
        <v>96</v>
      </c>
      <c r="P7883" s="17">
        <v>1</v>
      </c>
      <c r="Q7883" s="19">
        <v>96</v>
      </c>
      <c r="R7883" s="14">
        <v>160</v>
      </c>
      <c r="S7883" s="19">
        <v>15360</v>
      </c>
      <c r="AJ7883" s="19">
        <v>0</v>
      </c>
      <c r="AK7883" s="23">
        <v>0</v>
      </c>
      <c r="AM7883" s="19">
        <v>0</v>
      </c>
      <c r="AN7883" s="19">
        <v>15360</v>
      </c>
      <c r="AP7883" s="14">
        <v>15360</v>
      </c>
    </row>
    <row r="7884" spans="1:45" x14ac:dyDescent="0.2">
      <c r="R7884" s="14" t="e">
        <v>#N/A</v>
      </c>
    </row>
    <row r="7885" spans="1:45" x14ac:dyDescent="0.2">
      <c r="A7885" s="2">
        <v>6535</v>
      </c>
      <c r="B7885" s="13">
        <v>1</v>
      </c>
      <c r="C7885" s="17" t="s">
        <v>52</v>
      </c>
      <c r="D7885" s="17">
        <v>2721</v>
      </c>
      <c r="E7885" s="17">
        <v>12</v>
      </c>
      <c r="F7885" s="17">
        <v>1890</v>
      </c>
      <c r="G7885" s="13">
        <v>1</v>
      </c>
      <c r="H7885" s="17">
        <v>2</v>
      </c>
      <c r="I7885" s="17">
        <v>2</v>
      </c>
      <c r="J7885" s="17">
        <v>75</v>
      </c>
      <c r="K7885" s="10">
        <v>1075</v>
      </c>
      <c r="P7885" s="17">
        <v>1</v>
      </c>
      <c r="Q7885" s="19">
        <v>1075</v>
      </c>
      <c r="R7885" s="14">
        <v>160</v>
      </c>
      <c r="S7885" s="19">
        <v>172000</v>
      </c>
      <c r="AJ7885" s="19">
        <v>0</v>
      </c>
      <c r="AK7885" s="23">
        <v>0</v>
      </c>
      <c r="AM7885" s="19">
        <v>0</v>
      </c>
      <c r="AN7885" s="19">
        <v>172000</v>
      </c>
      <c r="AP7885" s="14">
        <v>172000</v>
      </c>
    </row>
    <row r="7886" spans="1:45" x14ac:dyDescent="0.2">
      <c r="A7886" s="2">
        <f>+A7885+1</f>
        <v>6536</v>
      </c>
      <c r="B7886" s="13">
        <v>1</v>
      </c>
      <c r="C7886" s="17" t="s">
        <v>52</v>
      </c>
      <c r="D7886" s="17">
        <v>811</v>
      </c>
      <c r="E7886" s="17">
        <v>14</v>
      </c>
      <c r="F7886" s="17">
        <v>285</v>
      </c>
      <c r="G7886" s="13">
        <v>6</v>
      </c>
      <c r="H7886" s="17">
        <v>5</v>
      </c>
      <c r="I7886" s="17">
        <v>2</v>
      </c>
      <c r="J7886" s="17">
        <v>80</v>
      </c>
      <c r="K7886" s="10">
        <v>2280</v>
      </c>
      <c r="P7886" s="17">
        <v>1</v>
      </c>
      <c r="Q7886" s="19">
        <v>2280</v>
      </c>
      <c r="R7886" s="14">
        <v>160</v>
      </c>
      <c r="S7886" s="19">
        <v>364800</v>
      </c>
      <c r="AJ7886" s="19">
        <v>0</v>
      </c>
      <c r="AK7886" s="23">
        <v>0</v>
      </c>
      <c r="AM7886" s="19">
        <v>0</v>
      </c>
      <c r="AN7886" s="19">
        <v>364800</v>
      </c>
      <c r="AP7886" s="14">
        <v>364800</v>
      </c>
      <c r="AS7886" s="26">
        <v>41</v>
      </c>
    </row>
    <row r="7887" spans="1:45" x14ac:dyDescent="0.2">
      <c r="A7887" s="122">
        <f t="shared" ref="A7887:A7897" si="759">+A7886+1</f>
        <v>6537</v>
      </c>
      <c r="B7887" s="13">
        <v>2</v>
      </c>
      <c r="C7887" s="17" t="s">
        <v>52</v>
      </c>
      <c r="D7887" s="17">
        <v>1246</v>
      </c>
      <c r="E7887" s="17">
        <v>15</v>
      </c>
      <c r="F7887" s="17">
        <v>284</v>
      </c>
      <c r="G7887" s="13">
        <v>6</v>
      </c>
      <c r="H7887" s="17">
        <v>8</v>
      </c>
      <c r="I7887" s="17">
        <v>0</v>
      </c>
      <c r="J7887" s="17">
        <v>31</v>
      </c>
      <c r="K7887" s="10">
        <v>3231</v>
      </c>
      <c r="P7887" s="17">
        <v>1</v>
      </c>
      <c r="Q7887" s="19">
        <v>3231</v>
      </c>
      <c r="R7887" s="14">
        <v>160</v>
      </c>
      <c r="S7887" s="19">
        <v>516960</v>
      </c>
      <c r="AJ7887" s="19">
        <v>0</v>
      </c>
      <c r="AK7887" s="23">
        <v>0</v>
      </c>
      <c r="AM7887" s="19">
        <v>0</v>
      </c>
      <c r="AN7887" s="19">
        <v>516960</v>
      </c>
      <c r="AP7887" s="14">
        <v>516960</v>
      </c>
    </row>
    <row r="7888" spans="1:45" x14ac:dyDescent="0.2">
      <c r="A7888" s="122">
        <f t="shared" si="759"/>
        <v>6538</v>
      </c>
      <c r="B7888" s="13">
        <v>1</v>
      </c>
      <c r="C7888" s="17" t="s">
        <v>52</v>
      </c>
      <c r="D7888" s="17">
        <v>4859</v>
      </c>
      <c r="E7888" s="17">
        <v>7</v>
      </c>
      <c r="F7888" s="17">
        <v>2544</v>
      </c>
      <c r="G7888" s="13">
        <v>7</v>
      </c>
      <c r="H7888" s="17">
        <v>0</v>
      </c>
      <c r="I7888" s="17">
        <v>3</v>
      </c>
      <c r="J7888" s="17">
        <v>61</v>
      </c>
      <c r="K7888" s="10">
        <v>361</v>
      </c>
      <c r="P7888" s="17">
        <v>1</v>
      </c>
      <c r="Q7888" s="19">
        <v>361</v>
      </c>
      <c r="R7888" s="14">
        <v>160</v>
      </c>
      <c r="S7888" s="19">
        <v>57760</v>
      </c>
      <c r="AJ7888" s="19">
        <v>0</v>
      </c>
      <c r="AK7888" s="23">
        <v>0</v>
      </c>
      <c r="AM7888" s="19">
        <v>0</v>
      </c>
      <c r="AN7888" s="19">
        <v>57760</v>
      </c>
      <c r="AP7888" s="14">
        <v>57760</v>
      </c>
    </row>
    <row r="7889" spans="1:45" ht="105" x14ac:dyDescent="0.2">
      <c r="A7889" s="122">
        <f t="shared" si="759"/>
        <v>6539</v>
      </c>
      <c r="B7889" s="13">
        <v>1</v>
      </c>
      <c r="C7889" s="17" t="s">
        <v>52</v>
      </c>
      <c r="D7889" s="17">
        <v>4046</v>
      </c>
      <c r="E7889" s="17">
        <v>63</v>
      </c>
      <c r="F7889" s="17">
        <v>2315</v>
      </c>
      <c r="G7889" s="13">
        <v>2</v>
      </c>
      <c r="H7889" s="17">
        <v>0</v>
      </c>
      <c r="I7889" s="17">
        <v>0</v>
      </c>
      <c r="J7889" s="17">
        <v>92</v>
      </c>
      <c r="K7889" s="10">
        <v>79.75</v>
      </c>
      <c r="M7889" s="15">
        <v>12.25</v>
      </c>
      <c r="P7889" s="17">
        <v>5</v>
      </c>
      <c r="Q7889" s="19">
        <v>92</v>
      </c>
      <c r="R7889" s="14">
        <v>1200</v>
      </c>
      <c r="S7889" s="19">
        <v>110400</v>
      </c>
      <c r="T7889" s="17">
        <v>1</v>
      </c>
      <c r="W7889" s="4">
        <v>49</v>
      </c>
      <c r="Z7889" s="17">
        <v>49</v>
      </c>
      <c r="AB7889" s="17">
        <v>37</v>
      </c>
      <c r="AC7889" s="14" t="s">
        <v>535</v>
      </c>
      <c r="AJ7889" s="19">
        <v>0</v>
      </c>
      <c r="AK7889" s="23">
        <v>37</v>
      </c>
      <c r="AM7889" s="19">
        <v>0</v>
      </c>
      <c r="AN7889" s="19">
        <v>110400</v>
      </c>
      <c r="AP7889" s="14">
        <v>110400</v>
      </c>
    </row>
    <row r="7890" spans="1:45" x14ac:dyDescent="0.2">
      <c r="A7890" s="122">
        <f t="shared" si="759"/>
        <v>6540</v>
      </c>
      <c r="B7890" s="13">
        <v>2</v>
      </c>
      <c r="C7890" s="17" t="s">
        <v>52</v>
      </c>
      <c r="D7890" s="17">
        <v>4047</v>
      </c>
      <c r="E7890" s="17">
        <v>64</v>
      </c>
      <c r="F7890" s="17">
        <v>2316</v>
      </c>
      <c r="G7890" s="13">
        <v>2</v>
      </c>
      <c r="H7890" s="17">
        <v>0</v>
      </c>
      <c r="I7890" s="17">
        <v>1</v>
      </c>
      <c r="J7890" s="17">
        <v>10</v>
      </c>
      <c r="M7890" s="15">
        <v>110</v>
      </c>
      <c r="P7890" s="17">
        <v>3</v>
      </c>
      <c r="Q7890" s="19">
        <v>110</v>
      </c>
      <c r="R7890" s="14">
        <v>1200</v>
      </c>
      <c r="S7890" s="19">
        <v>132000</v>
      </c>
      <c r="AJ7890" s="19">
        <v>0</v>
      </c>
      <c r="AK7890" s="23">
        <v>0</v>
      </c>
      <c r="AM7890" s="19">
        <v>0</v>
      </c>
      <c r="AN7890" s="19">
        <v>132000</v>
      </c>
      <c r="AP7890" s="14">
        <v>132000</v>
      </c>
    </row>
    <row r="7891" spans="1:45" ht="42" x14ac:dyDescent="0.2">
      <c r="A7891" s="122">
        <f t="shared" si="759"/>
        <v>6541</v>
      </c>
      <c r="B7891" s="13">
        <v>3</v>
      </c>
      <c r="C7891" s="17" t="s">
        <v>52</v>
      </c>
      <c r="D7891" s="17">
        <v>4048</v>
      </c>
      <c r="E7891" s="17">
        <v>65</v>
      </c>
      <c r="F7891" s="17">
        <v>2317</v>
      </c>
      <c r="G7891" s="13">
        <v>2</v>
      </c>
      <c r="H7891" s="17">
        <v>0</v>
      </c>
      <c r="I7891" s="17">
        <v>1</v>
      </c>
      <c r="J7891" s="17">
        <v>25</v>
      </c>
      <c r="L7891" s="17" t="s">
        <v>241</v>
      </c>
      <c r="P7891" s="17">
        <v>2</v>
      </c>
      <c r="Q7891" s="19">
        <v>125</v>
      </c>
      <c r="R7891" s="14">
        <v>1200</v>
      </c>
      <c r="S7891" s="19">
        <v>150000</v>
      </c>
      <c r="T7891" s="17">
        <v>1</v>
      </c>
      <c r="V7891" s="17" t="s">
        <v>183</v>
      </c>
      <c r="W7891" s="4">
        <v>99</v>
      </c>
      <c r="Y7891" s="4">
        <v>99</v>
      </c>
      <c r="AB7891" s="17">
        <v>37</v>
      </c>
      <c r="AJ7891" s="19">
        <v>0</v>
      </c>
      <c r="AK7891" s="23">
        <v>37</v>
      </c>
      <c r="AM7891" s="19">
        <v>0</v>
      </c>
      <c r="AN7891" s="19">
        <v>150000</v>
      </c>
      <c r="AP7891" s="14">
        <v>150000</v>
      </c>
    </row>
    <row r="7892" spans="1:45" x14ac:dyDescent="0.2">
      <c r="A7892" s="122">
        <f>+A7891+1</f>
        <v>6542</v>
      </c>
      <c r="B7892" s="13">
        <v>4</v>
      </c>
      <c r="C7892" s="17" t="s">
        <v>69</v>
      </c>
      <c r="E7892" s="17">
        <v>1513</v>
      </c>
      <c r="F7892" s="17">
        <v>5</v>
      </c>
      <c r="G7892" s="13">
        <v>2</v>
      </c>
      <c r="H7892" s="17">
        <v>5</v>
      </c>
      <c r="I7892" s="17">
        <v>3</v>
      </c>
      <c r="J7892" s="17">
        <v>27</v>
      </c>
      <c r="K7892" s="10">
        <v>2327</v>
      </c>
      <c r="P7892" s="17">
        <v>1</v>
      </c>
      <c r="Q7892" s="19">
        <v>2327</v>
      </c>
      <c r="R7892" s="14">
        <v>160</v>
      </c>
      <c r="S7892" s="19">
        <v>372320</v>
      </c>
      <c r="AJ7892" s="19">
        <v>0</v>
      </c>
      <c r="AK7892" s="23">
        <v>0</v>
      </c>
      <c r="AM7892" s="19">
        <v>0</v>
      </c>
      <c r="AN7892" s="19">
        <v>372320</v>
      </c>
      <c r="AP7892" s="14">
        <v>372320</v>
      </c>
      <c r="AQ7892" s="12">
        <v>1E-4</v>
      </c>
    </row>
    <row r="7893" spans="1:45" x14ac:dyDescent="0.2">
      <c r="A7893" s="122">
        <f t="shared" si="759"/>
        <v>6543</v>
      </c>
      <c r="B7893" s="13">
        <v>1</v>
      </c>
      <c r="C7893" s="17" t="s">
        <v>69</v>
      </c>
      <c r="E7893" s="17">
        <v>152</v>
      </c>
      <c r="F7893" s="17">
        <v>14</v>
      </c>
      <c r="G7893" s="13">
        <v>2</v>
      </c>
      <c r="H7893" s="17">
        <v>1</v>
      </c>
      <c r="I7893" s="17">
        <v>3</v>
      </c>
      <c r="J7893" s="17">
        <v>35</v>
      </c>
      <c r="K7893" s="10">
        <v>735</v>
      </c>
      <c r="P7893" s="17">
        <v>1</v>
      </c>
      <c r="Q7893" s="19">
        <v>735</v>
      </c>
      <c r="R7893" s="14">
        <v>160</v>
      </c>
      <c r="S7893" s="19">
        <v>117600</v>
      </c>
      <c r="AJ7893" s="19">
        <v>0</v>
      </c>
      <c r="AK7893" s="23">
        <v>0</v>
      </c>
      <c r="AM7893" s="19">
        <v>0</v>
      </c>
      <c r="AN7893" s="19">
        <v>117600</v>
      </c>
      <c r="AP7893" s="14">
        <v>117600</v>
      </c>
      <c r="AQ7893" s="12">
        <v>1E-4</v>
      </c>
    </row>
    <row r="7894" spans="1:45" x14ac:dyDescent="0.2">
      <c r="A7894" s="122">
        <f t="shared" si="759"/>
        <v>6544</v>
      </c>
      <c r="B7894" s="13">
        <v>2</v>
      </c>
      <c r="C7894" s="17" t="s">
        <v>69</v>
      </c>
      <c r="E7894" s="17">
        <v>161</v>
      </c>
      <c r="F7894" s="17">
        <v>3</v>
      </c>
      <c r="G7894" s="13">
        <v>2</v>
      </c>
      <c r="H7894" s="17">
        <v>8</v>
      </c>
      <c r="I7894" s="17">
        <v>1</v>
      </c>
      <c r="J7894" s="17">
        <v>18</v>
      </c>
      <c r="K7894" s="10">
        <v>3318</v>
      </c>
      <c r="P7894" s="17">
        <v>1</v>
      </c>
      <c r="Q7894" s="19">
        <v>3318</v>
      </c>
      <c r="R7894" s="14">
        <v>200</v>
      </c>
      <c r="S7894" s="19">
        <v>663600</v>
      </c>
      <c r="AJ7894" s="19">
        <v>0</v>
      </c>
      <c r="AK7894" s="23">
        <v>0</v>
      </c>
      <c r="AM7894" s="19">
        <v>0</v>
      </c>
      <c r="AN7894" s="19">
        <v>663600</v>
      </c>
      <c r="AP7894" s="14">
        <v>663600</v>
      </c>
      <c r="AQ7894" s="12">
        <v>1E-4</v>
      </c>
    </row>
    <row r="7895" spans="1:45" x14ac:dyDescent="0.2">
      <c r="A7895" s="122">
        <f t="shared" si="759"/>
        <v>6545</v>
      </c>
      <c r="B7895" s="13">
        <v>1</v>
      </c>
      <c r="C7895" s="17" t="s">
        <v>52</v>
      </c>
      <c r="D7895" s="17">
        <v>5070</v>
      </c>
      <c r="E7895" s="17">
        <v>81</v>
      </c>
      <c r="F7895" s="17">
        <v>2497</v>
      </c>
      <c r="G7895" s="13">
        <v>1</v>
      </c>
      <c r="H7895" s="17">
        <v>2</v>
      </c>
      <c r="I7895" s="17">
        <v>0</v>
      </c>
      <c r="J7895" s="17">
        <v>87</v>
      </c>
      <c r="K7895" s="10">
        <v>887</v>
      </c>
      <c r="P7895" s="17">
        <v>1</v>
      </c>
      <c r="Q7895" s="19">
        <v>887</v>
      </c>
      <c r="R7895" s="14">
        <v>160</v>
      </c>
      <c r="S7895" s="19">
        <v>141920</v>
      </c>
      <c r="AJ7895" s="19">
        <v>0</v>
      </c>
      <c r="AK7895" s="23">
        <v>0</v>
      </c>
      <c r="AM7895" s="19">
        <v>0</v>
      </c>
      <c r="AN7895" s="19">
        <v>141920</v>
      </c>
      <c r="AP7895" s="14">
        <v>141920</v>
      </c>
    </row>
    <row r="7896" spans="1:45" x14ac:dyDescent="0.2">
      <c r="A7896" s="122">
        <f t="shared" si="759"/>
        <v>6546</v>
      </c>
      <c r="B7896" s="13">
        <v>2</v>
      </c>
      <c r="C7896" s="17" t="s">
        <v>52</v>
      </c>
      <c r="D7896" s="17">
        <v>29810</v>
      </c>
      <c r="E7896" s="17">
        <v>110</v>
      </c>
      <c r="F7896" s="17">
        <v>5495</v>
      </c>
      <c r="G7896" s="13">
        <v>1</v>
      </c>
      <c r="H7896" s="17">
        <v>2</v>
      </c>
      <c r="I7896" s="17">
        <v>0</v>
      </c>
      <c r="J7896" s="17">
        <v>0</v>
      </c>
      <c r="K7896" s="10">
        <v>800</v>
      </c>
      <c r="P7896" s="17">
        <v>1</v>
      </c>
      <c r="Q7896" s="19">
        <v>800</v>
      </c>
      <c r="R7896" s="14">
        <v>160</v>
      </c>
      <c r="S7896" s="19">
        <v>128000</v>
      </c>
      <c r="AJ7896" s="19">
        <v>0</v>
      </c>
      <c r="AK7896" s="23">
        <v>0</v>
      </c>
      <c r="AM7896" s="19">
        <v>0</v>
      </c>
      <c r="AN7896" s="19">
        <v>128000</v>
      </c>
      <c r="AP7896" s="14">
        <v>128000</v>
      </c>
    </row>
    <row r="7897" spans="1:45" ht="42" x14ac:dyDescent="0.2">
      <c r="A7897" s="122">
        <f t="shared" si="759"/>
        <v>6547</v>
      </c>
      <c r="B7897" s="13">
        <v>1</v>
      </c>
      <c r="C7897" s="17" t="s">
        <v>52</v>
      </c>
      <c r="D7897" s="17">
        <v>1766</v>
      </c>
      <c r="E7897" s="17">
        <v>14</v>
      </c>
      <c r="F7897" s="17">
        <v>775</v>
      </c>
      <c r="G7897" s="13">
        <v>6</v>
      </c>
      <c r="H7897" s="17">
        <v>0</v>
      </c>
      <c r="I7897" s="17">
        <v>0</v>
      </c>
      <c r="J7897" s="17">
        <v>97</v>
      </c>
      <c r="L7897" s="17" t="s">
        <v>286</v>
      </c>
      <c r="P7897" s="17">
        <v>2</v>
      </c>
      <c r="Q7897" s="19">
        <v>97</v>
      </c>
      <c r="R7897" s="14">
        <v>4500</v>
      </c>
      <c r="S7897" s="19">
        <v>436500</v>
      </c>
      <c r="T7897" s="17">
        <v>1</v>
      </c>
      <c r="V7897" s="17" t="s">
        <v>183</v>
      </c>
      <c r="W7897" s="4">
        <v>157.5</v>
      </c>
      <c r="Y7897" s="4">
        <v>157</v>
      </c>
      <c r="AB7897" s="17">
        <v>11</v>
      </c>
      <c r="AJ7897" s="19">
        <v>0</v>
      </c>
      <c r="AK7897" s="23">
        <v>11</v>
      </c>
      <c r="AM7897" s="19">
        <v>0</v>
      </c>
      <c r="AN7897" s="19">
        <v>436500</v>
      </c>
      <c r="AP7897" s="14">
        <v>436500</v>
      </c>
      <c r="AS7897" s="26">
        <v>294</v>
      </c>
    </row>
    <row r="7898" spans="1:45" x14ac:dyDescent="0.2">
      <c r="B7898" s="13">
        <v>2</v>
      </c>
      <c r="C7898" s="17" t="s">
        <v>52</v>
      </c>
      <c r="D7898" s="17">
        <v>16477</v>
      </c>
      <c r="E7898" s="17">
        <v>47</v>
      </c>
      <c r="F7898" s="17">
        <v>3580</v>
      </c>
      <c r="H7898" s="17">
        <v>19</v>
      </c>
      <c r="I7898" s="17">
        <v>0</v>
      </c>
      <c r="J7898" s="17">
        <v>65.2</v>
      </c>
      <c r="K7898" s="10">
        <v>7665.2</v>
      </c>
      <c r="P7898" s="17">
        <v>1</v>
      </c>
      <c r="Q7898" s="19">
        <v>7665.2</v>
      </c>
      <c r="R7898" s="14" t="e">
        <v>#N/A</v>
      </c>
      <c r="AE7898" s="17" t="s">
        <v>810</v>
      </c>
      <c r="AK7898" s="23">
        <v>0</v>
      </c>
      <c r="AP7898" s="14">
        <v>0</v>
      </c>
    </row>
    <row r="7899" spans="1:45" x14ac:dyDescent="0.2">
      <c r="B7899" s="13">
        <v>3</v>
      </c>
      <c r="C7899" s="17" t="s">
        <v>52</v>
      </c>
      <c r="D7899" s="17">
        <v>18205</v>
      </c>
      <c r="E7899" s="17">
        <v>7</v>
      </c>
      <c r="F7899" s="17">
        <v>4127</v>
      </c>
      <c r="H7899" s="17">
        <v>26</v>
      </c>
      <c r="I7899" s="17">
        <v>1</v>
      </c>
      <c r="J7899" s="17">
        <v>50</v>
      </c>
      <c r="K7899" s="10">
        <v>10550</v>
      </c>
      <c r="P7899" s="17">
        <v>1</v>
      </c>
      <c r="Q7899" s="19">
        <v>10550</v>
      </c>
      <c r="R7899" s="14" t="e">
        <v>#N/A</v>
      </c>
      <c r="S7899" s="19" t="e">
        <v>#N/A</v>
      </c>
      <c r="AE7899" s="17" t="s">
        <v>811</v>
      </c>
      <c r="AJ7899" s="19">
        <v>0</v>
      </c>
      <c r="AK7899" s="23">
        <v>0</v>
      </c>
      <c r="AM7899" s="19">
        <v>0</v>
      </c>
      <c r="AN7899" s="19" t="e">
        <v>#N/A</v>
      </c>
      <c r="AP7899" s="14" t="e">
        <v>#N/A</v>
      </c>
    </row>
    <row r="7900" spans="1:45" x14ac:dyDescent="0.2">
      <c r="B7900" s="13">
        <v>4</v>
      </c>
      <c r="C7900" s="17" t="s">
        <v>52</v>
      </c>
      <c r="D7900" s="17">
        <v>18206</v>
      </c>
      <c r="E7900" s="17">
        <v>8</v>
      </c>
      <c r="F7900" s="17">
        <v>4128</v>
      </c>
      <c r="H7900" s="17">
        <v>8</v>
      </c>
      <c r="I7900" s="17">
        <v>3</v>
      </c>
      <c r="J7900" s="17">
        <v>84</v>
      </c>
      <c r="K7900" s="10">
        <v>3584</v>
      </c>
      <c r="P7900" s="17">
        <v>1</v>
      </c>
      <c r="Q7900" s="19">
        <v>3584</v>
      </c>
      <c r="R7900" s="14" t="e">
        <v>#N/A</v>
      </c>
      <c r="AE7900" s="17" t="s">
        <v>811</v>
      </c>
      <c r="AK7900" s="23">
        <v>0</v>
      </c>
      <c r="AP7900" s="14">
        <v>0</v>
      </c>
    </row>
    <row r="7901" spans="1:45" ht="105" x14ac:dyDescent="0.2">
      <c r="A7901" s="2">
        <v>6548</v>
      </c>
      <c r="B7901" s="13">
        <v>1</v>
      </c>
      <c r="C7901" s="17" t="s">
        <v>52</v>
      </c>
      <c r="D7901" s="17">
        <v>12617</v>
      </c>
      <c r="E7901" s="17">
        <v>81</v>
      </c>
      <c r="F7901" s="17">
        <v>3264</v>
      </c>
      <c r="G7901" s="13">
        <v>4</v>
      </c>
      <c r="H7901" s="17">
        <v>0</v>
      </c>
      <c r="I7901" s="17">
        <v>0</v>
      </c>
      <c r="J7901" s="17">
        <v>40</v>
      </c>
      <c r="L7901" s="17" t="s">
        <v>595</v>
      </c>
      <c r="P7901" s="17">
        <v>2</v>
      </c>
      <c r="Q7901" s="19">
        <v>40</v>
      </c>
      <c r="R7901" s="14">
        <v>250</v>
      </c>
      <c r="S7901" s="19">
        <v>10000</v>
      </c>
      <c r="T7901" s="17">
        <v>1</v>
      </c>
      <c r="V7901" s="17" t="s">
        <v>183</v>
      </c>
      <c r="W7901" s="4">
        <v>68</v>
      </c>
      <c r="Y7901" s="4">
        <v>68</v>
      </c>
      <c r="AB7901" s="17">
        <v>21</v>
      </c>
      <c r="AC7901" s="14" t="s">
        <v>346</v>
      </c>
      <c r="AJ7901" s="19">
        <v>0</v>
      </c>
      <c r="AK7901" s="23">
        <v>21</v>
      </c>
      <c r="AM7901" s="19">
        <v>0</v>
      </c>
      <c r="AN7901" s="19">
        <v>10000</v>
      </c>
      <c r="AP7901" s="14">
        <v>10000</v>
      </c>
    </row>
    <row r="7902" spans="1:45" x14ac:dyDescent="0.2">
      <c r="A7902" s="2">
        <f>+A7901+1</f>
        <v>6549</v>
      </c>
      <c r="B7902" s="13">
        <v>2</v>
      </c>
      <c r="C7902" s="17" t="s">
        <v>65</v>
      </c>
      <c r="D7902" s="17">
        <v>3585</v>
      </c>
      <c r="E7902" s="17">
        <v>645</v>
      </c>
      <c r="H7902" s="17">
        <v>0</v>
      </c>
      <c r="I7902" s="17">
        <v>1</v>
      </c>
      <c r="J7902" s="17">
        <v>9</v>
      </c>
      <c r="K7902" s="10">
        <v>109</v>
      </c>
      <c r="P7902" s="17">
        <v>1</v>
      </c>
      <c r="Q7902" s="19">
        <v>109</v>
      </c>
      <c r="R7902" s="14">
        <v>160</v>
      </c>
      <c r="S7902" s="19">
        <v>17440</v>
      </c>
      <c r="AJ7902" s="19">
        <v>0</v>
      </c>
      <c r="AK7902" s="23">
        <v>0</v>
      </c>
      <c r="AM7902" s="19">
        <v>0</v>
      </c>
      <c r="AN7902" s="19">
        <v>17440</v>
      </c>
      <c r="AP7902" s="14">
        <v>17440</v>
      </c>
      <c r="AQ7902" s="12">
        <v>1E-4</v>
      </c>
    </row>
    <row r="7903" spans="1:45" ht="105" x14ac:dyDescent="0.2">
      <c r="A7903" s="122">
        <f>+A7902+1</f>
        <v>6550</v>
      </c>
      <c r="B7903" s="13">
        <v>1</v>
      </c>
      <c r="C7903" s="17" t="s">
        <v>52</v>
      </c>
      <c r="D7903" s="17">
        <v>5931</v>
      </c>
      <c r="E7903" s="17">
        <v>71</v>
      </c>
      <c r="F7903" s="17">
        <v>3064</v>
      </c>
      <c r="G7903" s="13">
        <v>5</v>
      </c>
      <c r="H7903" s="17">
        <v>2</v>
      </c>
      <c r="I7903" s="17">
        <v>0</v>
      </c>
      <c r="J7903" s="17">
        <v>54</v>
      </c>
      <c r="K7903" s="10">
        <v>760.25</v>
      </c>
      <c r="L7903" s="17">
        <v>93.75</v>
      </c>
      <c r="P7903" s="17">
        <v>5</v>
      </c>
      <c r="Q7903" s="19">
        <v>854</v>
      </c>
      <c r="R7903" s="14">
        <v>1500</v>
      </c>
      <c r="S7903" s="19">
        <v>1281000</v>
      </c>
      <c r="T7903" s="17">
        <v>1</v>
      </c>
      <c r="U7903" s="17" t="s">
        <v>63</v>
      </c>
      <c r="V7903" s="17" t="s">
        <v>56</v>
      </c>
      <c r="W7903" s="4">
        <v>75</v>
      </c>
      <c r="Y7903" s="4">
        <v>75</v>
      </c>
      <c r="AB7903" s="17">
        <v>9</v>
      </c>
      <c r="AC7903" s="14" t="s">
        <v>346</v>
      </c>
      <c r="AF7903" s="14">
        <v>2</v>
      </c>
      <c r="AG7903" s="54">
        <v>75</v>
      </c>
      <c r="AH7903" s="11">
        <v>1</v>
      </c>
      <c r="AI7903" s="14">
        <v>8100</v>
      </c>
      <c r="AJ7903" s="19">
        <v>607500</v>
      </c>
      <c r="AK7903" s="23">
        <v>9</v>
      </c>
      <c r="AL7903" s="11">
        <v>0.09</v>
      </c>
      <c r="AM7903" s="19">
        <v>552825</v>
      </c>
      <c r="AN7903" s="19">
        <v>809025</v>
      </c>
      <c r="AP7903" s="14">
        <v>809025</v>
      </c>
      <c r="AQ7903" s="12">
        <v>2.0000000000000001E-4</v>
      </c>
      <c r="AR7903" s="19">
        <v>150</v>
      </c>
      <c r="AS7903" s="26">
        <v>1950</v>
      </c>
    </row>
    <row r="7904" spans="1:45" ht="105" x14ac:dyDescent="0.2">
      <c r="T7904" s="17">
        <v>2</v>
      </c>
      <c r="U7904" s="17" t="s">
        <v>63</v>
      </c>
      <c r="V7904" s="17" t="s">
        <v>56</v>
      </c>
      <c r="W7904" s="4">
        <v>75</v>
      </c>
      <c r="Y7904" s="4">
        <v>75</v>
      </c>
      <c r="AB7904" s="17">
        <v>9</v>
      </c>
      <c r="AC7904" s="14" t="s">
        <v>346</v>
      </c>
      <c r="AF7904" s="14">
        <v>2</v>
      </c>
      <c r="AG7904" s="54">
        <v>75</v>
      </c>
      <c r="AH7904" s="11">
        <v>1</v>
      </c>
      <c r="AI7904" s="14">
        <v>8100</v>
      </c>
      <c r="AJ7904" s="19">
        <v>607500</v>
      </c>
      <c r="AK7904" s="23">
        <v>9</v>
      </c>
      <c r="AL7904" s="11">
        <v>0.09</v>
      </c>
      <c r="AM7904" s="19">
        <v>552825</v>
      </c>
      <c r="AN7904" s="19">
        <v>809025</v>
      </c>
      <c r="AP7904" s="14">
        <v>809025</v>
      </c>
      <c r="AQ7904" s="12">
        <v>2.0000000000000001E-4</v>
      </c>
      <c r="AR7904" s="19">
        <v>1800</v>
      </c>
    </row>
    <row r="7905" spans="1:45" ht="105" x14ac:dyDescent="0.2">
      <c r="T7905" s="17">
        <v>3</v>
      </c>
      <c r="U7905" s="17" t="s">
        <v>63</v>
      </c>
      <c r="V7905" s="17" t="s">
        <v>56</v>
      </c>
      <c r="W7905" s="4">
        <v>75</v>
      </c>
      <c r="Y7905" s="4">
        <v>75</v>
      </c>
      <c r="AB7905" s="17">
        <v>9</v>
      </c>
      <c r="AC7905" s="14" t="s">
        <v>346</v>
      </c>
      <c r="AF7905" s="14">
        <v>2</v>
      </c>
      <c r="AG7905" s="54">
        <v>75</v>
      </c>
      <c r="AH7905" s="11">
        <v>1</v>
      </c>
      <c r="AI7905" s="14">
        <v>8100</v>
      </c>
      <c r="AJ7905" s="19">
        <v>607500</v>
      </c>
      <c r="AK7905" s="23">
        <v>9</v>
      </c>
      <c r="AL7905" s="11">
        <v>0.09</v>
      </c>
      <c r="AM7905" s="19">
        <v>552825</v>
      </c>
      <c r="AN7905" s="19">
        <v>809025</v>
      </c>
      <c r="AP7905" s="14">
        <v>809025</v>
      </c>
      <c r="AQ7905" s="12">
        <v>2.0000000000000001E-4</v>
      </c>
    </row>
    <row r="7906" spans="1:45" ht="105" x14ac:dyDescent="0.2">
      <c r="T7906" s="17">
        <v>4</v>
      </c>
      <c r="U7906" s="17" t="s">
        <v>63</v>
      </c>
      <c r="V7906" s="17" t="s">
        <v>56</v>
      </c>
      <c r="W7906" s="4">
        <v>75</v>
      </c>
      <c r="Y7906" s="4">
        <v>75</v>
      </c>
      <c r="AB7906" s="17">
        <v>9</v>
      </c>
      <c r="AC7906" s="14" t="s">
        <v>346</v>
      </c>
      <c r="AF7906" s="14">
        <v>2</v>
      </c>
      <c r="AG7906" s="54">
        <v>75</v>
      </c>
      <c r="AH7906" s="11">
        <v>1</v>
      </c>
      <c r="AI7906" s="14">
        <v>8100</v>
      </c>
      <c r="AJ7906" s="19">
        <v>607500</v>
      </c>
      <c r="AK7906" s="23">
        <v>9</v>
      </c>
      <c r="AL7906" s="11">
        <v>0.09</v>
      </c>
      <c r="AM7906" s="19">
        <v>552825</v>
      </c>
      <c r="AN7906" s="19">
        <v>809025</v>
      </c>
      <c r="AP7906" s="14">
        <v>809025</v>
      </c>
      <c r="AQ7906" s="12">
        <v>2.0000000000000001E-4</v>
      </c>
    </row>
    <row r="7907" spans="1:45" ht="105" x14ac:dyDescent="0.2">
      <c r="T7907" s="17">
        <v>5</v>
      </c>
      <c r="U7907" s="17" t="s">
        <v>63</v>
      </c>
      <c r="V7907" s="17" t="s">
        <v>56</v>
      </c>
      <c r="W7907" s="4">
        <v>75</v>
      </c>
      <c r="Y7907" s="4">
        <v>75</v>
      </c>
      <c r="AB7907" s="17">
        <v>9</v>
      </c>
      <c r="AC7907" s="14" t="s">
        <v>346</v>
      </c>
      <c r="AF7907" s="14">
        <v>2</v>
      </c>
      <c r="AG7907" s="54">
        <v>75</v>
      </c>
      <c r="AH7907" s="11">
        <v>1</v>
      </c>
      <c r="AI7907" s="14">
        <v>8100</v>
      </c>
      <c r="AJ7907" s="19">
        <v>607500</v>
      </c>
      <c r="AK7907" s="23">
        <v>9</v>
      </c>
      <c r="AL7907" s="11">
        <v>0.09</v>
      </c>
      <c r="AM7907" s="19">
        <v>552825</v>
      </c>
      <c r="AN7907" s="19">
        <v>809025</v>
      </c>
      <c r="AP7907" s="14">
        <v>809025</v>
      </c>
      <c r="AQ7907" s="12">
        <v>2.0000000000000001E-4</v>
      </c>
    </row>
    <row r="7908" spans="1:45" x14ac:dyDescent="0.2">
      <c r="A7908" s="2">
        <v>6551</v>
      </c>
      <c r="B7908" s="13">
        <v>2</v>
      </c>
      <c r="C7908" s="17" t="s">
        <v>52</v>
      </c>
      <c r="D7908" s="17">
        <v>5965</v>
      </c>
      <c r="E7908" s="17">
        <v>72</v>
      </c>
      <c r="F7908" s="17">
        <v>3065</v>
      </c>
      <c r="G7908" s="13">
        <v>5</v>
      </c>
      <c r="H7908" s="17">
        <v>6</v>
      </c>
      <c r="I7908" s="17">
        <v>3</v>
      </c>
      <c r="J7908" s="17">
        <v>17</v>
      </c>
      <c r="K7908" s="10">
        <v>2717</v>
      </c>
      <c r="P7908" s="17">
        <v>1</v>
      </c>
      <c r="Q7908" s="19">
        <v>2717</v>
      </c>
      <c r="R7908" s="14">
        <v>160</v>
      </c>
      <c r="S7908" s="19">
        <v>434720</v>
      </c>
      <c r="AJ7908" s="19">
        <v>0</v>
      </c>
      <c r="AK7908" s="23">
        <v>0</v>
      </c>
      <c r="AM7908" s="19">
        <v>0</v>
      </c>
      <c r="AN7908" s="19">
        <v>434720</v>
      </c>
      <c r="AP7908" s="14">
        <v>434720</v>
      </c>
    </row>
    <row r="7909" spans="1:45" x14ac:dyDescent="0.2">
      <c r="A7909" s="2">
        <f>+A7908+1</f>
        <v>6552</v>
      </c>
      <c r="B7909" s="13">
        <v>3</v>
      </c>
      <c r="C7909" s="17" t="s">
        <v>52</v>
      </c>
      <c r="D7909" s="17">
        <v>5966</v>
      </c>
      <c r="E7909" s="17">
        <v>78</v>
      </c>
      <c r="F7909" s="17">
        <v>3066</v>
      </c>
      <c r="G7909" s="13">
        <v>5</v>
      </c>
      <c r="H7909" s="17">
        <v>7</v>
      </c>
      <c r="I7909" s="17">
        <v>0</v>
      </c>
      <c r="J7909" s="17">
        <v>64</v>
      </c>
      <c r="K7909" s="10">
        <v>2864</v>
      </c>
      <c r="P7909" s="17">
        <v>1</v>
      </c>
      <c r="Q7909" s="19">
        <v>2864</v>
      </c>
      <c r="R7909" s="14">
        <v>200</v>
      </c>
      <c r="S7909" s="19">
        <v>572800</v>
      </c>
      <c r="AJ7909" s="19">
        <v>0</v>
      </c>
      <c r="AK7909" s="23">
        <v>0</v>
      </c>
      <c r="AM7909" s="19">
        <v>0</v>
      </c>
      <c r="AN7909" s="19">
        <v>572800</v>
      </c>
      <c r="AP7909" s="14">
        <v>572800</v>
      </c>
    </row>
    <row r="7910" spans="1:45" ht="63" x14ac:dyDescent="0.2">
      <c r="A7910" s="122">
        <f t="shared" ref="A7910:A7911" si="760">+A7909+1</f>
        <v>6553</v>
      </c>
      <c r="B7910" s="13">
        <v>4</v>
      </c>
      <c r="C7910" s="17" t="s">
        <v>52</v>
      </c>
      <c r="D7910" s="17">
        <v>31926</v>
      </c>
      <c r="E7910" s="17">
        <v>133</v>
      </c>
      <c r="F7910" s="17">
        <v>6153</v>
      </c>
      <c r="G7910" s="13">
        <v>5</v>
      </c>
      <c r="H7910" s="17">
        <v>2</v>
      </c>
      <c r="I7910" s="17">
        <v>2</v>
      </c>
      <c r="J7910" s="17">
        <v>7.07</v>
      </c>
      <c r="L7910" s="17" t="s">
        <v>812</v>
      </c>
      <c r="P7910" s="17">
        <v>2</v>
      </c>
      <c r="Q7910" s="19">
        <v>1007.07</v>
      </c>
      <c r="R7910" s="14">
        <v>1500</v>
      </c>
      <c r="S7910" s="19">
        <v>1510605</v>
      </c>
      <c r="U7910" s="17" t="s">
        <v>57</v>
      </c>
      <c r="V7910" s="17" t="s">
        <v>56</v>
      </c>
      <c r="W7910" s="4" t="s">
        <v>550</v>
      </c>
      <c r="Y7910" s="4" t="s">
        <v>550</v>
      </c>
      <c r="AB7910" s="17">
        <v>20</v>
      </c>
      <c r="AJ7910" s="19">
        <v>0</v>
      </c>
      <c r="AK7910" s="23">
        <v>20</v>
      </c>
      <c r="AM7910" s="19">
        <v>0</v>
      </c>
      <c r="AN7910" s="19">
        <v>1510605</v>
      </c>
      <c r="AP7910" s="14">
        <v>1510605</v>
      </c>
    </row>
    <row r="7911" spans="1:45" x14ac:dyDescent="0.2">
      <c r="A7911" s="122">
        <f t="shared" si="760"/>
        <v>6554</v>
      </c>
      <c r="B7911" s="13">
        <v>5</v>
      </c>
      <c r="C7911" s="17" t="s">
        <v>52</v>
      </c>
      <c r="D7911" s="17">
        <v>31927</v>
      </c>
      <c r="E7911" s="17">
        <v>134</v>
      </c>
      <c r="F7911" s="17">
        <v>6154</v>
      </c>
      <c r="G7911" s="13">
        <v>5</v>
      </c>
      <c r="H7911" s="17">
        <v>12</v>
      </c>
      <c r="I7911" s="17">
        <v>2</v>
      </c>
      <c r="J7911" s="17">
        <v>73.09</v>
      </c>
      <c r="K7911" s="10">
        <v>5073</v>
      </c>
      <c r="P7911" s="17">
        <v>1</v>
      </c>
      <c r="Q7911" s="19">
        <v>5073.09</v>
      </c>
      <c r="R7911" s="14">
        <v>200</v>
      </c>
      <c r="S7911" s="19">
        <v>1014618</v>
      </c>
      <c r="AJ7911" s="19">
        <v>0</v>
      </c>
      <c r="AK7911" s="23">
        <v>0</v>
      </c>
      <c r="AM7911" s="19">
        <v>0</v>
      </c>
      <c r="AN7911" s="19">
        <v>1014618</v>
      </c>
      <c r="AP7911" s="14">
        <v>1014618</v>
      </c>
    </row>
    <row r="7912" spans="1:45" x14ac:dyDescent="0.2">
      <c r="B7912" s="13">
        <v>6</v>
      </c>
      <c r="C7912" s="17" t="s">
        <v>97</v>
      </c>
      <c r="D7912" s="17">
        <v>67</v>
      </c>
      <c r="G7912" s="13">
        <v>5</v>
      </c>
      <c r="H7912" s="17">
        <v>2</v>
      </c>
      <c r="I7912" s="17">
        <v>0</v>
      </c>
      <c r="J7912" s="17">
        <v>0</v>
      </c>
      <c r="K7912" s="10">
        <v>800</v>
      </c>
      <c r="P7912" s="17">
        <v>1</v>
      </c>
      <c r="Q7912" s="19">
        <v>800</v>
      </c>
      <c r="R7912" s="14" t="e">
        <v>#N/A</v>
      </c>
      <c r="S7912" s="19" t="e">
        <v>#N/A</v>
      </c>
      <c r="AE7912" s="17" t="s">
        <v>94</v>
      </c>
      <c r="AJ7912" s="19">
        <v>0</v>
      </c>
      <c r="AK7912" s="23">
        <v>0</v>
      </c>
      <c r="AM7912" s="19">
        <v>0</v>
      </c>
      <c r="AN7912" s="19" t="e">
        <v>#N/A</v>
      </c>
      <c r="AP7912" s="14" t="e">
        <v>#N/A</v>
      </c>
      <c r="AQ7912" s="12">
        <v>1E-4</v>
      </c>
    </row>
    <row r="7913" spans="1:45" x14ac:dyDescent="0.2">
      <c r="A7913" s="2">
        <v>6555</v>
      </c>
      <c r="B7913" s="13">
        <v>7</v>
      </c>
      <c r="C7913" s="17" t="s">
        <v>65</v>
      </c>
      <c r="D7913" s="17">
        <v>2336</v>
      </c>
      <c r="E7913" s="17">
        <v>177</v>
      </c>
      <c r="H7913" s="17">
        <v>11</v>
      </c>
      <c r="I7913" s="17">
        <v>3</v>
      </c>
      <c r="J7913" s="17">
        <v>30</v>
      </c>
      <c r="K7913" s="10">
        <v>4730</v>
      </c>
      <c r="P7913" s="17">
        <v>1</v>
      </c>
      <c r="Q7913" s="19">
        <v>4730</v>
      </c>
      <c r="R7913" s="14">
        <v>1300</v>
      </c>
      <c r="S7913" s="19">
        <v>6149000</v>
      </c>
      <c r="AE7913" s="17" t="s">
        <v>94</v>
      </c>
      <c r="AJ7913" s="19">
        <v>0</v>
      </c>
      <c r="AK7913" s="23">
        <v>0</v>
      </c>
      <c r="AM7913" s="19">
        <v>0</v>
      </c>
      <c r="AN7913" s="19">
        <v>6149000</v>
      </c>
      <c r="AP7913" s="14">
        <v>6149000</v>
      </c>
      <c r="AQ7913" s="12">
        <v>1E-4</v>
      </c>
    </row>
    <row r="7914" spans="1:45" x14ac:dyDescent="0.2">
      <c r="A7914" s="122">
        <f>+A7913+1</f>
        <v>6556</v>
      </c>
      <c r="B7914" s="13">
        <v>1</v>
      </c>
      <c r="C7914" s="17" t="s">
        <v>65</v>
      </c>
      <c r="D7914" s="17">
        <v>1400</v>
      </c>
      <c r="E7914" s="17">
        <v>89</v>
      </c>
      <c r="H7914" s="17">
        <v>9</v>
      </c>
      <c r="I7914" s="17">
        <v>0</v>
      </c>
      <c r="J7914" s="17">
        <v>0</v>
      </c>
      <c r="K7914" s="10">
        <v>3600</v>
      </c>
      <c r="P7914" s="17">
        <v>1</v>
      </c>
      <c r="Q7914" s="19">
        <v>3600</v>
      </c>
      <c r="R7914" s="14">
        <v>160</v>
      </c>
      <c r="S7914" s="19">
        <v>576000</v>
      </c>
      <c r="AJ7914" s="19">
        <v>0</v>
      </c>
      <c r="AK7914" s="23">
        <v>0</v>
      </c>
      <c r="AM7914" s="19">
        <v>0</v>
      </c>
      <c r="AN7914" s="19">
        <v>576000</v>
      </c>
      <c r="AP7914" s="14">
        <v>576000</v>
      </c>
      <c r="AQ7914" s="12">
        <v>1E-4</v>
      </c>
      <c r="AS7914" s="26">
        <v>27</v>
      </c>
    </row>
    <row r="7915" spans="1:45" ht="231" x14ac:dyDescent="0.2">
      <c r="A7915" s="122">
        <f>+A7914+1</f>
        <v>6557</v>
      </c>
      <c r="B7915" s="13">
        <v>1</v>
      </c>
      <c r="C7915" s="17" t="s">
        <v>52</v>
      </c>
      <c r="D7915" s="17">
        <v>5903</v>
      </c>
      <c r="E7915" s="17">
        <v>1</v>
      </c>
      <c r="F7915" s="17">
        <v>2976</v>
      </c>
      <c r="G7915" s="13">
        <v>5</v>
      </c>
      <c r="H7915" s="17">
        <v>1</v>
      </c>
      <c r="I7915" s="17">
        <v>2</v>
      </c>
      <c r="J7915" s="17">
        <v>91</v>
      </c>
      <c r="K7915" s="10">
        <v>634</v>
      </c>
      <c r="L7915" s="17">
        <v>57</v>
      </c>
      <c r="P7915" s="17">
        <v>5</v>
      </c>
      <c r="Q7915" s="19">
        <v>691</v>
      </c>
      <c r="R7915" s="14">
        <v>250</v>
      </c>
      <c r="S7915" s="19">
        <v>172750</v>
      </c>
      <c r="T7915" s="17">
        <v>1</v>
      </c>
      <c r="U7915" s="17" t="s">
        <v>57</v>
      </c>
      <c r="V7915" s="17" t="s">
        <v>56</v>
      </c>
      <c r="W7915" s="4">
        <v>228</v>
      </c>
      <c r="Y7915" s="4" t="s">
        <v>613</v>
      </c>
      <c r="Z7915" s="17" t="s">
        <v>227</v>
      </c>
      <c r="AB7915" s="17">
        <v>18</v>
      </c>
      <c r="AC7915" s="14" t="s">
        <v>486</v>
      </c>
      <c r="AF7915" s="14">
        <v>2</v>
      </c>
      <c r="AG7915" s="54">
        <v>228</v>
      </c>
      <c r="AH7915" s="11">
        <v>0.91</v>
      </c>
      <c r="AI7915" s="14">
        <v>7250</v>
      </c>
      <c r="AJ7915" s="19">
        <v>1504230.0000000002</v>
      </c>
      <c r="AK7915" s="23">
        <v>18</v>
      </c>
      <c r="AL7915" s="11">
        <v>0.26</v>
      </c>
      <c r="AM7915" s="19">
        <v>1113130.2000000002</v>
      </c>
      <c r="AN7915" s="19">
        <v>1285880.2000000002</v>
      </c>
      <c r="AP7915" s="14">
        <v>1285880.2000000002</v>
      </c>
      <c r="AR7915" s="19">
        <v>11</v>
      </c>
      <c r="AS7915" s="26">
        <v>311</v>
      </c>
    </row>
    <row r="7916" spans="1:45" x14ac:dyDescent="0.2">
      <c r="AB7916" s="17">
        <v>18</v>
      </c>
      <c r="AF7916" s="14">
        <v>3</v>
      </c>
      <c r="AG7916" s="54">
        <v>228</v>
      </c>
      <c r="AH7916" s="11">
        <v>0.09</v>
      </c>
      <c r="AI7916" s="14">
        <v>7250</v>
      </c>
      <c r="AJ7916" s="19">
        <v>148770</v>
      </c>
      <c r="AK7916" s="23">
        <v>18</v>
      </c>
      <c r="AL7916" s="11">
        <v>0.26</v>
      </c>
      <c r="AM7916" s="19">
        <v>110089.79999999999</v>
      </c>
      <c r="AN7916" s="19">
        <v>125637.29999999999</v>
      </c>
      <c r="AP7916" s="14">
        <v>125637.29999999999</v>
      </c>
      <c r="AQ7916" s="12">
        <v>3.0000000000000001E-3</v>
      </c>
    </row>
    <row r="7917" spans="1:45" ht="63" x14ac:dyDescent="0.2">
      <c r="A7917" s="2">
        <v>6558</v>
      </c>
      <c r="B7917" s="13">
        <v>2</v>
      </c>
      <c r="C7917" s="17" t="s">
        <v>69</v>
      </c>
      <c r="E7917" s="17" t="s">
        <v>367</v>
      </c>
      <c r="F7917" s="17">
        <v>3</v>
      </c>
      <c r="G7917" s="13">
        <v>5</v>
      </c>
      <c r="H7917" s="17">
        <v>3</v>
      </c>
      <c r="I7917" s="17">
        <v>2</v>
      </c>
      <c r="J7917" s="17">
        <v>21</v>
      </c>
      <c r="K7917" s="10">
        <v>1421</v>
      </c>
      <c r="P7917" s="17">
        <v>1</v>
      </c>
      <c r="Q7917" s="19">
        <v>1421</v>
      </c>
      <c r="R7917" s="14">
        <v>160</v>
      </c>
      <c r="S7917" s="19">
        <v>227360</v>
      </c>
      <c r="AJ7917" s="19">
        <v>0</v>
      </c>
      <c r="AK7917" s="23">
        <v>0</v>
      </c>
      <c r="AM7917" s="19">
        <v>0</v>
      </c>
      <c r="AN7917" s="19">
        <v>227360</v>
      </c>
      <c r="AP7917" s="14">
        <v>227360</v>
      </c>
      <c r="AQ7917" s="12">
        <v>1E-4</v>
      </c>
      <c r="AR7917" s="19">
        <v>300</v>
      </c>
    </row>
    <row r="7918" spans="1:45" x14ac:dyDescent="0.2">
      <c r="A7918" s="2">
        <f>+A7917+1</f>
        <v>6559</v>
      </c>
      <c r="B7918" s="13">
        <v>1</v>
      </c>
      <c r="C7918" s="17" t="s">
        <v>52</v>
      </c>
      <c r="D7918" s="17">
        <v>30077</v>
      </c>
      <c r="E7918" s="17">
        <v>93</v>
      </c>
      <c r="F7918" s="17">
        <v>5789</v>
      </c>
      <c r="G7918" s="13">
        <v>5</v>
      </c>
      <c r="H7918" s="17">
        <v>0</v>
      </c>
      <c r="I7918" s="17">
        <v>0</v>
      </c>
      <c r="J7918" s="17">
        <v>37</v>
      </c>
      <c r="N7918" s="18">
        <v>37</v>
      </c>
      <c r="P7918" s="17">
        <v>4</v>
      </c>
      <c r="Q7918" s="19">
        <v>37</v>
      </c>
      <c r="R7918" s="14">
        <v>1500</v>
      </c>
      <c r="S7918" s="19">
        <v>55500</v>
      </c>
      <c r="AJ7918" s="19">
        <v>0</v>
      </c>
      <c r="AK7918" s="23">
        <v>0</v>
      </c>
      <c r="AM7918" s="19">
        <v>0</v>
      </c>
      <c r="AN7918" s="19">
        <v>55500</v>
      </c>
      <c r="AP7918" s="14">
        <v>55500</v>
      </c>
      <c r="AQ7918" s="12">
        <v>3.0000000000000001E-3</v>
      </c>
    </row>
    <row r="7919" spans="1:45" x14ac:dyDescent="0.2">
      <c r="A7919" s="122">
        <f t="shared" ref="A7919:A7923" si="761">+A7918+1</f>
        <v>6560</v>
      </c>
      <c r="B7919" s="13">
        <v>1</v>
      </c>
      <c r="C7919" s="17" t="s">
        <v>52</v>
      </c>
      <c r="D7919" s="17">
        <v>5849</v>
      </c>
      <c r="E7919" s="17">
        <v>57</v>
      </c>
      <c r="F7919" s="17">
        <v>3020</v>
      </c>
      <c r="G7919" s="13">
        <v>5</v>
      </c>
      <c r="H7919" s="17">
        <v>3</v>
      </c>
      <c r="I7919" s="17">
        <v>2</v>
      </c>
      <c r="J7919" s="17">
        <v>29.02</v>
      </c>
      <c r="K7919" s="10">
        <v>1429</v>
      </c>
      <c r="P7919" s="17">
        <v>1</v>
      </c>
      <c r="Q7919" s="19">
        <v>1429.02</v>
      </c>
      <c r="R7919" s="14">
        <v>375</v>
      </c>
      <c r="S7919" s="19">
        <v>535882.5</v>
      </c>
      <c r="AJ7919" s="19">
        <v>0</v>
      </c>
      <c r="AK7919" s="23">
        <v>0</v>
      </c>
      <c r="AM7919" s="19">
        <v>0</v>
      </c>
      <c r="AN7919" s="19">
        <v>535882.5</v>
      </c>
      <c r="AP7919" s="14">
        <v>535882.5</v>
      </c>
      <c r="AS7919" s="26">
        <v>20</v>
      </c>
    </row>
    <row r="7920" spans="1:45" x14ac:dyDescent="0.2">
      <c r="A7920" s="122">
        <f t="shared" si="761"/>
        <v>6561</v>
      </c>
      <c r="B7920" s="13">
        <v>2</v>
      </c>
      <c r="C7920" s="17" t="s">
        <v>65</v>
      </c>
      <c r="D7920" s="17">
        <v>1292</v>
      </c>
      <c r="E7920" s="17">
        <v>6</v>
      </c>
      <c r="H7920" s="17">
        <v>9</v>
      </c>
      <c r="I7920" s="17">
        <v>2</v>
      </c>
      <c r="J7920" s="17">
        <v>73</v>
      </c>
      <c r="K7920" s="10">
        <v>3873</v>
      </c>
      <c r="P7920" s="17">
        <v>1</v>
      </c>
      <c r="Q7920" s="19">
        <v>3873</v>
      </c>
      <c r="R7920" s="14">
        <v>160</v>
      </c>
      <c r="S7920" s="19">
        <v>619680</v>
      </c>
      <c r="AD7920" s="14" t="s">
        <v>94</v>
      </c>
      <c r="AE7920" s="17" t="s">
        <v>627</v>
      </c>
      <c r="AJ7920" s="19">
        <v>0</v>
      </c>
      <c r="AK7920" s="23">
        <v>0</v>
      </c>
      <c r="AM7920" s="19">
        <v>0</v>
      </c>
      <c r="AN7920" s="19">
        <v>619680</v>
      </c>
      <c r="AP7920" s="14">
        <v>619680</v>
      </c>
      <c r="AQ7920" s="12">
        <v>1E-4</v>
      </c>
    </row>
    <row r="7921" spans="1:45" x14ac:dyDescent="0.2">
      <c r="A7921" s="122">
        <f t="shared" si="761"/>
        <v>6562</v>
      </c>
      <c r="B7921" s="13">
        <v>1</v>
      </c>
      <c r="C7921" s="17" t="s">
        <v>65</v>
      </c>
      <c r="D7921" s="17">
        <v>452</v>
      </c>
      <c r="E7921" s="17">
        <v>4</v>
      </c>
      <c r="H7921" s="17">
        <v>5</v>
      </c>
      <c r="I7921" s="17">
        <v>3</v>
      </c>
      <c r="J7921" s="17">
        <v>13</v>
      </c>
      <c r="K7921" s="10">
        <v>2313</v>
      </c>
      <c r="P7921" s="17">
        <v>1</v>
      </c>
      <c r="Q7921" s="19">
        <v>2313</v>
      </c>
      <c r="R7921" s="14">
        <v>250</v>
      </c>
      <c r="S7921" s="19">
        <v>578250</v>
      </c>
      <c r="AJ7921" s="19">
        <v>0</v>
      </c>
      <c r="AK7921" s="23">
        <v>0</v>
      </c>
      <c r="AM7921" s="19">
        <v>0</v>
      </c>
      <c r="AN7921" s="19">
        <v>578250</v>
      </c>
      <c r="AP7921" s="14">
        <v>578250</v>
      </c>
      <c r="AQ7921" s="12">
        <v>1E-4</v>
      </c>
      <c r="AS7921" s="26">
        <v>32</v>
      </c>
    </row>
    <row r="7922" spans="1:45" ht="42" x14ac:dyDescent="0.2">
      <c r="A7922" s="122">
        <f t="shared" si="761"/>
        <v>6563</v>
      </c>
      <c r="B7922" s="13">
        <v>1</v>
      </c>
      <c r="C7922" s="17" t="s">
        <v>52</v>
      </c>
      <c r="D7922" s="17">
        <v>2338</v>
      </c>
      <c r="E7922" s="17">
        <v>4</v>
      </c>
      <c r="F7922" s="17">
        <v>1670</v>
      </c>
      <c r="G7922" s="13">
        <v>4</v>
      </c>
      <c r="H7922" s="17">
        <v>0</v>
      </c>
      <c r="I7922" s="17">
        <v>0</v>
      </c>
      <c r="J7922" s="17">
        <v>77</v>
      </c>
      <c r="L7922" s="17" t="s">
        <v>813</v>
      </c>
      <c r="P7922" s="17">
        <v>2</v>
      </c>
      <c r="Q7922" s="19">
        <v>77</v>
      </c>
      <c r="R7922" s="14">
        <v>2000</v>
      </c>
      <c r="S7922" s="19">
        <v>154000</v>
      </c>
      <c r="T7922" s="17">
        <v>1</v>
      </c>
      <c r="V7922" s="17" t="s">
        <v>183</v>
      </c>
      <c r="W7922" s="4">
        <v>132</v>
      </c>
      <c r="Y7922" s="4">
        <v>132</v>
      </c>
      <c r="AB7922" s="17">
        <v>27</v>
      </c>
      <c r="AJ7922" s="19">
        <v>0</v>
      </c>
      <c r="AK7922" s="23">
        <v>27</v>
      </c>
      <c r="AM7922" s="19">
        <v>0</v>
      </c>
      <c r="AN7922" s="19">
        <v>154000</v>
      </c>
      <c r="AP7922" s="14">
        <v>154000</v>
      </c>
    </row>
    <row r="7923" spans="1:45" ht="42" x14ac:dyDescent="0.2">
      <c r="A7923" s="122">
        <f t="shared" si="761"/>
        <v>6564</v>
      </c>
      <c r="B7923" s="13">
        <v>1</v>
      </c>
      <c r="C7923" s="17" t="s">
        <v>52</v>
      </c>
      <c r="D7923" s="17">
        <v>1743</v>
      </c>
      <c r="E7923" s="17">
        <v>17</v>
      </c>
      <c r="F7923" s="17">
        <v>1440</v>
      </c>
      <c r="G7923" s="13">
        <v>3</v>
      </c>
      <c r="H7923" s="17">
        <v>5</v>
      </c>
      <c r="I7923" s="17">
        <v>3</v>
      </c>
      <c r="J7923" s="17">
        <v>54</v>
      </c>
      <c r="K7923" s="10">
        <v>2234.75</v>
      </c>
      <c r="L7923" s="17">
        <v>119.25</v>
      </c>
      <c r="P7923" s="17">
        <v>5</v>
      </c>
      <c r="Q7923" s="19">
        <v>2354</v>
      </c>
      <c r="R7923" s="14">
        <v>250</v>
      </c>
      <c r="S7923" s="19">
        <v>588500</v>
      </c>
      <c r="T7923" s="17">
        <v>1</v>
      </c>
      <c r="V7923" s="17" t="s">
        <v>183</v>
      </c>
      <c r="W7923" s="4">
        <v>147</v>
      </c>
      <c r="Y7923" s="4">
        <v>147</v>
      </c>
      <c r="AB7923" s="17">
        <v>15</v>
      </c>
      <c r="AJ7923" s="19">
        <v>0</v>
      </c>
      <c r="AK7923" s="23">
        <v>15</v>
      </c>
      <c r="AM7923" s="19">
        <v>0</v>
      </c>
      <c r="AN7923" s="19">
        <v>588500</v>
      </c>
      <c r="AP7923" s="14">
        <v>588500</v>
      </c>
      <c r="AS7923" s="26" t="s">
        <v>814</v>
      </c>
    </row>
    <row r="7924" spans="1:45" ht="42" x14ac:dyDescent="0.2">
      <c r="P7924" s="17">
        <v>1</v>
      </c>
      <c r="Q7924" s="19">
        <v>2234.75</v>
      </c>
      <c r="R7924" s="14">
        <v>250</v>
      </c>
      <c r="S7924" s="19">
        <v>558687.5</v>
      </c>
      <c r="T7924" s="17">
        <v>2</v>
      </c>
      <c r="V7924" s="17" t="s">
        <v>183</v>
      </c>
      <c r="W7924" s="4">
        <v>220</v>
      </c>
      <c r="Y7924" s="4">
        <v>220</v>
      </c>
      <c r="AB7924" s="17">
        <v>21</v>
      </c>
      <c r="AJ7924" s="19">
        <v>0</v>
      </c>
      <c r="AK7924" s="23">
        <v>21</v>
      </c>
      <c r="AM7924" s="19">
        <v>0</v>
      </c>
      <c r="AN7924" s="19">
        <v>558687.5</v>
      </c>
      <c r="AP7924" s="14">
        <v>558687.5</v>
      </c>
    </row>
    <row r="7925" spans="1:45" ht="42" x14ac:dyDescent="0.2">
      <c r="P7925" s="17">
        <v>2</v>
      </c>
      <c r="Q7925" s="19">
        <v>119.25</v>
      </c>
      <c r="R7925" s="14">
        <v>250</v>
      </c>
      <c r="S7925" s="19">
        <v>29812.5</v>
      </c>
      <c r="T7925" s="17">
        <v>3</v>
      </c>
      <c r="V7925" s="17" t="s">
        <v>183</v>
      </c>
      <c r="W7925" s="4">
        <v>110</v>
      </c>
      <c r="Y7925" s="4">
        <v>110</v>
      </c>
      <c r="AB7925" s="17">
        <v>11</v>
      </c>
      <c r="AJ7925" s="19">
        <v>0</v>
      </c>
      <c r="AK7925" s="23">
        <v>11</v>
      </c>
      <c r="AM7925" s="19">
        <v>0</v>
      </c>
      <c r="AN7925" s="19">
        <v>29812.5</v>
      </c>
      <c r="AP7925" s="14">
        <v>29812.5</v>
      </c>
    </row>
    <row r="7926" spans="1:45" x14ac:dyDescent="0.2">
      <c r="A7926" s="2">
        <v>6565</v>
      </c>
      <c r="B7926" s="13">
        <v>2</v>
      </c>
      <c r="C7926" s="17" t="s">
        <v>65</v>
      </c>
      <c r="D7926" s="17">
        <v>423</v>
      </c>
      <c r="E7926" s="17">
        <v>85</v>
      </c>
      <c r="H7926" s="17">
        <v>8</v>
      </c>
      <c r="I7926" s="17">
        <v>2</v>
      </c>
      <c r="J7926" s="17">
        <v>93</v>
      </c>
      <c r="K7926" s="10">
        <v>3493</v>
      </c>
      <c r="P7926" s="17">
        <v>1</v>
      </c>
      <c r="Q7926" s="19">
        <v>3493</v>
      </c>
      <c r="R7926" s="14">
        <v>200</v>
      </c>
      <c r="S7926" s="19">
        <v>698600</v>
      </c>
      <c r="AJ7926" s="19">
        <v>0</v>
      </c>
      <c r="AK7926" s="23">
        <v>0</v>
      </c>
      <c r="AM7926" s="19">
        <v>0</v>
      </c>
      <c r="AN7926" s="19">
        <v>698600</v>
      </c>
      <c r="AP7926" s="14">
        <v>698600</v>
      </c>
      <c r="AQ7926" s="12">
        <v>1E-4</v>
      </c>
    </row>
    <row r="7927" spans="1:45" x14ac:dyDescent="0.2">
      <c r="A7927" s="2">
        <f>+A7926+1</f>
        <v>6566</v>
      </c>
      <c r="B7927" s="13">
        <v>3</v>
      </c>
      <c r="C7927" s="17" t="s">
        <v>65</v>
      </c>
      <c r="D7927" s="17">
        <v>424</v>
      </c>
      <c r="E7927" s="17">
        <v>86</v>
      </c>
      <c r="H7927" s="17">
        <v>6</v>
      </c>
      <c r="I7927" s="17">
        <v>3</v>
      </c>
      <c r="J7927" s="17">
        <v>0</v>
      </c>
      <c r="K7927" s="10">
        <v>2700</v>
      </c>
      <c r="P7927" s="17">
        <v>1</v>
      </c>
      <c r="Q7927" s="19">
        <v>2700</v>
      </c>
      <c r="R7927" s="14">
        <v>160</v>
      </c>
      <c r="S7927" s="19">
        <v>432000</v>
      </c>
      <c r="AJ7927" s="19">
        <v>0</v>
      </c>
      <c r="AK7927" s="23">
        <v>0</v>
      </c>
      <c r="AM7927" s="19">
        <v>0</v>
      </c>
      <c r="AN7927" s="19">
        <v>432000</v>
      </c>
      <c r="AP7927" s="14">
        <v>432000</v>
      </c>
      <c r="AQ7927" s="12">
        <v>1E-4</v>
      </c>
    </row>
    <row r="7928" spans="1:45" ht="42" x14ac:dyDescent="0.2">
      <c r="A7928" s="122"/>
      <c r="B7928" s="13">
        <v>4</v>
      </c>
      <c r="C7928" s="17" t="s">
        <v>65</v>
      </c>
      <c r="D7928" s="17">
        <v>438</v>
      </c>
      <c r="E7928" s="17">
        <v>100</v>
      </c>
      <c r="H7928" s="17">
        <v>31</v>
      </c>
      <c r="I7928" s="17">
        <v>2</v>
      </c>
      <c r="J7928" s="17">
        <v>66</v>
      </c>
      <c r="K7928" s="10">
        <v>12666</v>
      </c>
      <c r="P7928" s="17">
        <v>1</v>
      </c>
      <c r="Q7928" s="19">
        <v>12666</v>
      </c>
      <c r="R7928" s="14" t="e">
        <v>#N/A</v>
      </c>
      <c r="S7928" s="19" t="e">
        <v>#N/A</v>
      </c>
      <c r="AE7928" s="17" t="s">
        <v>94</v>
      </c>
      <c r="AJ7928" s="19">
        <v>0</v>
      </c>
      <c r="AK7928" s="23">
        <v>0</v>
      </c>
      <c r="AM7928" s="19">
        <v>0</v>
      </c>
      <c r="AN7928" s="19" t="e">
        <v>#N/A</v>
      </c>
      <c r="AP7928" s="14" t="e">
        <v>#N/A</v>
      </c>
      <c r="AQ7928" s="12">
        <v>1E-4</v>
      </c>
      <c r="AS7928" s="26" t="s">
        <v>815</v>
      </c>
    </row>
    <row r="7929" spans="1:45" x14ac:dyDescent="0.2">
      <c r="A7929" s="122">
        <v>6567</v>
      </c>
      <c r="B7929" s="13">
        <v>1</v>
      </c>
      <c r="C7929" s="17" t="s">
        <v>52</v>
      </c>
      <c r="D7929" s="17">
        <v>25837</v>
      </c>
      <c r="E7929" s="17">
        <v>57</v>
      </c>
      <c r="F7929" s="17">
        <v>4872</v>
      </c>
      <c r="G7929" s="13">
        <v>4</v>
      </c>
      <c r="H7929" s="17">
        <v>0</v>
      </c>
      <c r="I7929" s="17">
        <v>0</v>
      </c>
      <c r="J7929" s="17">
        <v>51</v>
      </c>
      <c r="N7929" s="18">
        <v>51</v>
      </c>
      <c r="P7929" s="17">
        <v>4</v>
      </c>
      <c r="Q7929" s="19">
        <v>51</v>
      </c>
      <c r="R7929" s="14">
        <v>250</v>
      </c>
      <c r="S7929" s="19">
        <v>12750</v>
      </c>
      <c r="AJ7929" s="19">
        <v>0</v>
      </c>
      <c r="AK7929" s="23">
        <v>0</v>
      </c>
      <c r="AM7929" s="19">
        <v>0</v>
      </c>
      <c r="AN7929" s="19">
        <v>12750</v>
      </c>
      <c r="AP7929" s="14">
        <v>12750</v>
      </c>
      <c r="AQ7929" s="12">
        <v>3.0000000000000001E-3</v>
      </c>
    </row>
    <row r="7930" spans="1:45" x14ac:dyDescent="0.2">
      <c r="A7930" s="122">
        <f t="shared" ref="A7930:A7937" si="762">+A7929+1</f>
        <v>6568</v>
      </c>
      <c r="B7930" s="13">
        <v>1</v>
      </c>
      <c r="C7930" s="17" t="s">
        <v>52</v>
      </c>
      <c r="D7930" s="17">
        <v>20992</v>
      </c>
      <c r="E7930" s="17">
        <v>29</v>
      </c>
      <c r="F7930" s="17">
        <v>4664</v>
      </c>
      <c r="G7930" s="13">
        <v>4</v>
      </c>
      <c r="H7930" s="17">
        <v>0</v>
      </c>
      <c r="I7930" s="17">
        <v>0</v>
      </c>
      <c r="J7930" s="17">
        <v>50</v>
      </c>
      <c r="L7930" s="17">
        <v>50</v>
      </c>
      <c r="P7930" s="17">
        <v>2</v>
      </c>
      <c r="Q7930" s="19">
        <v>50</v>
      </c>
      <c r="R7930" s="14">
        <v>2000</v>
      </c>
      <c r="S7930" s="19">
        <v>100000</v>
      </c>
      <c r="AJ7930" s="19">
        <v>0</v>
      </c>
      <c r="AK7930" s="23">
        <v>0</v>
      </c>
      <c r="AM7930" s="19">
        <v>0</v>
      </c>
      <c r="AN7930" s="19">
        <v>100000</v>
      </c>
      <c r="AP7930" s="14">
        <v>100000</v>
      </c>
    </row>
    <row r="7931" spans="1:45" ht="42" x14ac:dyDescent="0.2">
      <c r="A7931" s="122">
        <f t="shared" si="762"/>
        <v>6569</v>
      </c>
      <c r="B7931" s="13">
        <v>2</v>
      </c>
      <c r="C7931" s="17" t="s">
        <v>52</v>
      </c>
      <c r="D7931" s="17">
        <v>20993</v>
      </c>
      <c r="E7931" s="17">
        <v>30</v>
      </c>
      <c r="F7931" s="17">
        <v>4665</v>
      </c>
      <c r="G7931" s="13">
        <v>4</v>
      </c>
      <c r="H7931" s="17">
        <v>0</v>
      </c>
      <c r="I7931" s="17">
        <v>0</v>
      </c>
      <c r="J7931" s="17">
        <v>81</v>
      </c>
      <c r="L7931" s="17" t="s">
        <v>490</v>
      </c>
      <c r="P7931" s="17">
        <v>2</v>
      </c>
      <c r="Q7931" s="19">
        <v>81</v>
      </c>
      <c r="R7931" s="14">
        <v>2000</v>
      </c>
      <c r="S7931" s="19">
        <v>162000</v>
      </c>
      <c r="T7931" s="17">
        <v>1</v>
      </c>
      <c r="V7931" s="17" t="s">
        <v>183</v>
      </c>
      <c r="W7931" s="4">
        <v>123.75</v>
      </c>
      <c r="Y7931" s="4">
        <v>123.75</v>
      </c>
      <c r="AB7931" s="17">
        <v>1</v>
      </c>
      <c r="AJ7931" s="19">
        <v>0</v>
      </c>
      <c r="AK7931" s="23">
        <v>1</v>
      </c>
      <c r="AM7931" s="19">
        <v>0</v>
      </c>
      <c r="AN7931" s="19">
        <v>162000</v>
      </c>
      <c r="AP7931" s="14">
        <v>162000</v>
      </c>
    </row>
    <row r="7932" spans="1:45" x14ac:dyDescent="0.2">
      <c r="A7932" s="122">
        <f t="shared" si="762"/>
        <v>6570</v>
      </c>
      <c r="B7932" s="13">
        <v>3</v>
      </c>
      <c r="C7932" s="17" t="s">
        <v>52</v>
      </c>
      <c r="D7932" s="17">
        <v>20994</v>
      </c>
      <c r="E7932" s="17">
        <v>31</v>
      </c>
      <c r="F7932" s="17">
        <v>4666</v>
      </c>
      <c r="G7932" s="13">
        <v>4</v>
      </c>
      <c r="H7932" s="17">
        <v>0</v>
      </c>
      <c r="I7932" s="17">
        <v>0</v>
      </c>
      <c r="J7932" s="17">
        <v>69</v>
      </c>
      <c r="N7932" s="18">
        <v>69</v>
      </c>
      <c r="P7932" s="17">
        <v>4</v>
      </c>
      <c r="Q7932" s="19">
        <v>69</v>
      </c>
      <c r="R7932" s="14">
        <v>2000</v>
      </c>
      <c r="S7932" s="19">
        <v>138000</v>
      </c>
      <c r="AJ7932" s="19">
        <v>0</v>
      </c>
      <c r="AK7932" s="23">
        <v>0</v>
      </c>
      <c r="AM7932" s="19">
        <v>0</v>
      </c>
      <c r="AN7932" s="19">
        <v>138000</v>
      </c>
      <c r="AP7932" s="14">
        <v>138000</v>
      </c>
      <c r="AQ7932" s="12">
        <v>3.0000000000000001E-3</v>
      </c>
    </row>
    <row r="7933" spans="1:45" x14ac:dyDescent="0.2">
      <c r="A7933" s="122">
        <f t="shared" si="762"/>
        <v>6571</v>
      </c>
      <c r="B7933" s="13">
        <v>4</v>
      </c>
      <c r="C7933" s="17" t="s">
        <v>52</v>
      </c>
      <c r="D7933" s="17">
        <v>34356</v>
      </c>
      <c r="E7933" s="17">
        <v>36</v>
      </c>
      <c r="F7933" s="17">
        <v>6856</v>
      </c>
      <c r="G7933" s="13">
        <v>4</v>
      </c>
      <c r="H7933" s="17">
        <v>0</v>
      </c>
      <c r="I7933" s="17">
        <v>2</v>
      </c>
      <c r="J7933" s="17">
        <v>10</v>
      </c>
      <c r="K7933" s="10">
        <v>210</v>
      </c>
      <c r="P7933" s="17">
        <v>1</v>
      </c>
      <c r="Q7933" s="19">
        <v>210</v>
      </c>
      <c r="R7933" s="14">
        <v>250</v>
      </c>
      <c r="S7933" s="19">
        <v>52500</v>
      </c>
      <c r="AJ7933" s="19">
        <v>0</v>
      </c>
      <c r="AK7933" s="23">
        <v>0</v>
      </c>
      <c r="AM7933" s="19">
        <v>0</v>
      </c>
      <c r="AN7933" s="19">
        <v>52500</v>
      </c>
      <c r="AP7933" s="14">
        <v>52500</v>
      </c>
    </row>
    <row r="7934" spans="1:45" x14ac:dyDescent="0.2">
      <c r="A7934" s="122">
        <f t="shared" si="762"/>
        <v>6572</v>
      </c>
      <c r="B7934" s="13">
        <v>5</v>
      </c>
      <c r="C7934" s="17" t="s">
        <v>52</v>
      </c>
      <c r="D7934" s="17">
        <v>34363</v>
      </c>
      <c r="E7934" s="17">
        <v>43</v>
      </c>
      <c r="F7934" s="17">
        <v>6863</v>
      </c>
      <c r="G7934" s="13">
        <v>4</v>
      </c>
      <c r="H7934" s="17">
        <v>1</v>
      </c>
      <c r="I7934" s="17">
        <v>3</v>
      </c>
      <c r="J7934" s="17">
        <v>45</v>
      </c>
      <c r="K7934" s="10">
        <v>745</v>
      </c>
      <c r="P7934" s="17">
        <v>1</v>
      </c>
      <c r="Q7934" s="19">
        <v>745</v>
      </c>
      <c r="R7934" s="14">
        <v>160</v>
      </c>
      <c r="S7934" s="19">
        <v>119200</v>
      </c>
      <c r="AJ7934" s="19">
        <v>0</v>
      </c>
      <c r="AK7934" s="23">
        <v>0</v>
      </c>
      <c r="AM7934" s="19">
        <v>0</v>
      </c>
      <c r="AN7934" s="19">
        <v>119200</v>
      </c>
      <c r="AP7934" s="14">
        <v>119200</v>
      </c>
    </row>
    <row r="7935" spans="1:45" x14ac:dyDescent="0.2">
      <c r="A7935" s="122">
        <f t="shared" si="762"/>
        <v>6573</v>
      </c>
      <c r="B7935" s="13">
        <v>1</v>
      </c>
      <c r="C7935" s="17" t="s">
        <v>52</v>
      </c>
      <c r="D7935" s="17">
        <v>2141</v>
      </c>
      <c r="E7935" s="17">
        <v>35</v>
      </c>
      <c r="F7935" s="17">
        <v>1718</v>
      </c>
      <c r="G7935" s="13">
        <v>4</v>
      </c>
      <c r="H7935" s="17">
        <v>0</v>
      </c>
      <c r="I7935" s="17">
        <v>0</v>
      </c>
      <c r="J7935" s="17">
        <v>28</v>
      </c>
      <c r="K7935" s="10">
        <v>28</v>
      </c>
      <c r="P7935" s="17">
        <v>1</v>
      </c>
      <c r="Q7935" s="19">
        <v>28</v>
      </c>
      <c r="R7935" s="14">
        <v>250</v>
      </c>
      <c r="S7935" s="19">
        <v>7000</v>
      </c>
      <c r="AJ7935" s="19">
        <v>0</v>
      </c>
      <c r="AK7935" s="23">
        <v>0</v>
      </c>
      <c r="AM7935" s="19">
        <v>0</v>
      </c>
      <c r="AN7935" s="19">
        <v>7000</v>
      </c>
      <c r="AP7935" s="14">
        <v>7000</v>
      </c>
    </row>
    <row r="7936" spans="1:45" x14ac:dyDescent="0.2">
      <c r="A7936" s="122">
        <f t="shared" si="762"/>
        <v>6574</v>
      </c>
      <c r="B7936" s="13">
        <v>1</v>
      </c>
      <c r="C7936" s="17" t="s">
        <v>52</v>
      </c>
      <c r="D7936" s="17">
        <v>12636</v>
      </c>
      <c r="E7936" s="17">
        <v>51</v>
      </c>
      <c r="F7936" s="17">
        <v>3275</v>
      </c>
      <c r="G7936" s="13">
        <v>4</v>
      </c>
      <c r="H7936" s="17">
        <v>0</v>
      </c>
      <c r="I7936" s="17">
        <v>0</v>
      </c>
      <c r="J7936" s="17">
        <v>6</v>
      </c>
      <c r="K7936" s="10">
        <v>6</v>
      </c>
      <c r="P7936" s="17">
        <v>1</v>
      </c>
      <c r="Q7936" s="19">
        <v>6</v>
      </c>
      <c r="R7936" s="14">
        <v>2000</v>
      </c>
      <c r="S7936" s="19">
        <v>12000</v>
      </c>
      <c r="AE7936" s="17" t="s">
        <v>816</v>
      </c>
      <c r="AJ7936" s="19">
        <v>0</v>
      </c>
      <c r="AK7936" s="23">
        <v>0</v>
      </c>
      <c r="AM7936" s="19">
        <v>0</v>
      </c>
      <c r="AN7936" s="19">
        <v>12000</v>
      </c>
      <c r="AP7936" s="14">
        <v>12000</v>
      </c>
    </row>
    <row r="7937" spans="1:45" ht="231" x14ac:dyDescent="0.2">
      <c r="A7937" s="122">
        <f t="shared" si="762"/>
        <v>6575</v>
      </c>
      <c r="B7937" s="13">
        <v>1</v>
      </c>
      <c r="C7937" s="17" t="s">
        <v>52</v>
      </c>
      <c r="D7937" s="17">
        <v>28006</v>
      </c>
      <c r="E7937" s="17">
        <v>121</v>
      </c>
      <c r="F7937" s="17">
        <v>5050</v>
      </c>
      <c r="G7937" s="13">
        <v>1</v>
      </c>
      <c r="H7937" s="17">
        <v>1</v>
      </c>
      <c r="I7937" s="17">
        <v>0</v>
      </c>
      <c r="J7937" s="17">
        <v>86</v>
      </c>
      <c r="K7937" s="10">
        <v>391.5</v>
      </c>
      <c r="L7937" s="17">
        <v>94.5</v>
      </c>
      <c r="P7937" s="17">
        <v>5</v>
      </c>
      <c r="Q7937" s="19">
        <v>486</v>
      </c>
      <c r="R7937" s="14">
        <v>160</v>
      </c>
      <c r="S7937" s="19">
        <v>77760</v>
      </c>
      <c r="T7937" s="17">
        <v>1</v>
      </c>
      <c r="U7937" s="17" t="s">
        <v>57</v>
      </c>
      <c r="V7937" s="17" t="s">
        <v>56</v>
      </c>
      <c r="W7937" s="4">
        <v>189</v>
      </c>
      <c r="Y7937" s="4">
        <v>189</v>
      </c>
      <c r="AB7937" s="17">
        <v>3</v>
      </c>
      <c r="AC7937" s="14" t="s">
        <v>486</v>
      </c>
      <c r="AE7937" s="17">
        <v>5.2910052910052907E-2</v>
      </c>
      <c r="AF7937" s="14">
        <v>2</v>
      </c>
      <c r="AG7937" s="54">
        <v>189</v>
      </c>
      <c r="AH7937" s="11">
        <v>0.95</v>
      </c>
      <c r="AI7937" s="14">
        <v>7250</v>
      </c>
      <c r="AJ7937" s="19">
        <v>1301737.4999999998</v>
      </c>
      <c r="AK7937" s="23">
        <v>3</v>
      </c>
      <c r="AL7937" s="11">
        <v>0.03</v>
      </c>
      <c r="AM7937" s="19">
        <v>1262685.3749999998</v>
      </c>
      <c r="AN7937" s="19">
        <v>1336557.3749999998</v>
      </c>
      <c r="AP7937" s="14">
        <v>1336557.3749999998</v>
      </c>
      <c r="AS7937" s="26">
        <v>300</v>
      </c>
    </row>
    <row r="7938" spans="1:45" x14ac:dyDescent="0.2">
      <c r="AF7938" s="14">
        <v>3</v>
      </c>
      <c r="AG7938" s="54">
        <v>189</v>
      </c>
      <c r="AH7938" s="11">
        <v>0.05</v>
      </c>
      <c r="AI7938" s="14">
        <v>7250</v>
      </c>
      <c r="AJ7938" s="19">
        <v>68512.500000000015</v>
      </c>
      <c r="AK7938" s="23">
        <v>3</v>
      </c>
      <c r="AL7938" s="11">
        <v>0.03</v>
      </c>
      <c r="AM7938" s="19">
        <v>66457.125000000015</v>
      </c>
      <c r="AN7938" s="19">
        <v>105337.12500000001</v>
      </c>
      <c r="AP7938" s="14">
        <v>105337.12500000001</v>
      </c>
      <c r="AQ7938" s="12">
        <v>3.0000000000000001E-3</v>
      </c>
    </row>
    <row r="7939" spans="1:45" x14ac:dyDescent="0.2">
      <c r="B7939" s="13">
        <v>1</v>
      </c>
      <c r="C7939" s="17" t="s">
        <v>97</v>
      </c>
      <c r="D7939" s="17">
        <v>303</v>
      </c>
      <c r="G7939" s="13">
        <v>2</v>
      </c>
      <c r="H7939" s="17">
        <v>25</v>
      </c>
      <c r="I7939" s="17">
        <v>0</v>
      </c>
      <c r="J7939" s="17">
        <v>0</v>
      </c>
      <c r="K7939" s="10">
        <v>10000</v>
      </c>
      <c r="P7939" s="17">
        <v>1</v>
      </c>
      <c r="Q7939" s="19">
        <v>10000</v>
      </c>
      <c r="R7939" s="14" t="e">
        <v>#N/A</v>
      </c>
      <c r="S7939" s="19" t="e">
        <v>#N/A</v>
      </c>
      <c r="AJ7939" s="19">
        <v>0</v>
      </c>
      <c r="AK7939" s="23">
        <v>0</v>
      </c>
      <c r="AM7939" s="19">
        <v>0</v>
      </c>
      <c r="AN7939" s="19" t="e">
        <v>#N/A</v>
      </c>
      <c r="AP7939" s="14" t="e">
        <v>#N/A</v>
      </c>
      <c r="AQ7939" s="12">
        <v>1E-4</v>
      </c>
    </row>
    <row r="7940" spans="1:45" x14ac:dyDescent="0.2">
      <c r="B7940" s="13">
        <v>2</v>
      </c>
      <c r="C7940" s="17" t="s">
        <v>65</v>
      </c>
      <c r="D7940" s="17">
        <v>680</v>
      </c>
      <c r="E7940" s="17">
        <v>212</v>
      </c>
      <c r="H7940" s="17">
        <v>2</v>
      </c>
      <c r="I7940" s="17">
        <v>2</v>
      </c>
      <c r="J7940" s="17">
        <v>80</v>
      </c>
      <c r="K7940" s="10">
        <v>1080</v>
      </c>
      <c r="P7940" s="17">
        <v>1</v>
      </c>
      <c r="Q7940" s="19">
        <v>1080</v>
      </c>
      <c r="R7940" s="14" t="e">
        <v>#N/A</v>
      </c>
      <c r="S7940" s="19" t="e">
        <v>#N/A</v>
      </c>
      <c r="AE7940" s="17" t="s">
        <v>94</v>
      </c>
      <c r="AJ7940" s="19">
        <v>0</v>
      </c>
      <c r="AK7940" s="23">
        <v>0</v>
      </c>
      <c r="AM7940" s="19">
        <v>0</v>
      </c>
      <c r="AN7940" s="19" t="e">
        <v>#N/A</v>
      </c>
      <c r="AP7940" s="14" t="e">
        <v>#N/A</v>
      </c>
      <c r="AQ7940" s="12">
        <v>1E-4</v>
      </c>
    </row>
    <row r="7941" spans="1:45" x14ac:dyDescent="0.2">
      <c r="A7941" s="2">
        <v>6576</v>
      </c>
      <c r="B7941" s="13">
        <v>1</v>
      </c>
      <c r="C7941" s="17" t="s">
        <v>65</v>
      </c>
      <c r="D7941" s="17">
        <v>1899</v>
      </c>
      <c r="E7941" s="17">
        <v>60</v>
      </c>
      <c r="H7941" s="17">
        <v>9</v>
      </c>
      <c r="I7941" s="17">
        <v>3</v>
      </c>
      <c r="J7941" s="17">
        <v>6</v>
      </c>
      <c r="N7941" s="18">
        <v>3906</v>
      </c>
      <c r="P7941" s="17">
        <v>4</v>
      </c>
      <c r="Q7941" s="19">
        <v>3906</v>
      </c>
      <c r="R7941" s="14">
        <v>160</v>
      </c>
      <c r="S7941" s="19">
        <v>624960</v>
      </c>
      <c r="AJ7941" s="19">
        <v>0</v>
      </c>
      <c r="AK7941" s="23">
        <v>0</v>
      </c>
      <c r="AM7941" s="19">
        <v>0</v>
      </c>
      <c r="AN7941" s="19">
        <v>624960</v>
      </c>
      <c r="AP7941" s="14">
        <v>624960</v>
      </c>
      <c r="AQ7941" s="12">
        <v>3.0000000000000001E-3</v>
      </c>
    </row>
    <row r="7942" spans="1:45" x14ac:dyDescent="0.2">
      <c r="Q7942" s="19">
        <v>0</v>
      </c>
      <c r="R7942" s="14" t="e">
        <v>#N/A</v>
      </c>
      <c r="S7942" s="19" t="e">
        <v>#N/A</v>
      </c>
      <c r="AJ7942" s="19">
        <v>0</v>
      </c>
      <c r="AK7942" s="23">
        <v>0</v>
      </c>
      <c r="AM7942" s="19">
        <v>0</v>
      </c>
      <c r="AN7942" s="19" t="e">
        <v>#N/A</v>
      </c>
      <c r="AP7942" s="14" t="e">
        <v>#N/A</v>
      </c>
    </row>
    <row r="7943" spans="1:45" x14ac:dyDescent="0.2">
      <c r="A7943" s="2">
        <v>6577</v>
      </c>
      <c r="B7943" s="13">
        <v>1</v>
      </c>
      <c r="C7943" s="17" t="s">
        <v>52</v>
      </c>
      <c r="D7943" s="17">
        <v>5867</v>
      </c>
      <c r="E7943" s="17">
        <v>31</v>
      </c>
      <c r="F7943" s="17">
        <v>2998</v>
      </c>
      <c r="G7943" s="13">
        <v>5</v>
      </c>
      <c r="H7943" s="17">
        <v>0</v>
      </c>
      <c r="I7943" s="17">
        <v>3</v>
      </c>
      <c r="J7943" s="17">
        <v>65</v>
      </c>
      <c r="N7943" s="18">
        <v>365</v>
      </c>
      <c r="P7943" s="17">
        <v>2</v>
      </c>
      <c r="Q7943" s="19">
        <v>365</v>
      </c>
      <c r="R7943" s="14">
        <v>160</v>
      </c>
      <c r="S7943" s="19">
        <v>58400</v>
      </c>
      <c r="AJ7943" s="19">
        <v>0</v>
      </c>
      <c r="AK7943" s="23">
        <v>0</v>
      </c>
      <c r="AM7943" s="19">
        <v>0</v>
      </c>
      <c r="AN7943" s="19">
        <v>58400</v>
      </c>
      <c r="AP7943" s="14">
        <v>58400</v>
      </c>
      <c r="AQ7943" s="12">
        <v>0</v>
      </c>
    </row>
    <row r="7944" spans="1:45" x14ac:dyDescent="0.2">
      <c r="A7944" s="2">
        <f>+A7943+1</f>
        <v>6578</v>
      </c>
      <c r="B7944" s="13">
        <v>2</v>
      </c>
      <c r="C7944" s="17" t="s">
        <v>65</v>
      </c>
      <c r="D7944" s="17">
        <v>1681</v>
      </c>
      <c r="E7944" s="17">
        <v>1</v>
      </c>
      <c r="H7944" s="17">
        <v>2</v>
      </c>
      <c r="I7944" s="17">
        <v>0</v>
      </c>
      <c r="J7944" s="17">
        <v>30</v>
      </c>
      <c r="K7944" s="10">
        <v>830</v>
      </c>
      <c r="P7944" s="17">
        <v>1</v>
      </c>
      <c r="Q7944" s="19">
        <v>830</v>
      </c>
      <c r="R7944" s="14">
        <v>1100</v>
      </c>
      <c r="S7944" s="19">
        <v>913000</v>
      </c>
      <c r="AE7944" s="17" t="s">
        <v>94</v>
      </c>
      <c r="AJ7944" s="19">
        <v>0</v>
      </c>
      <c r="AK7944" s="23">
        <v>0</v>
      </c>
      <c r="AM7944" s="19">
        <v>0</v>
      </c>
      <c r="AN7944" s="19">
        <v>913000</v>
      </c>
      <c r="AP7944" s="14">
        <v>913000</v>
      </c>
      <c r="AQ7944" s="12">
        <v>1E-4</v>
      </c>
    </row>
    <row r="7945" spans="1:45" ht="42" x14ac:dyDescent="0.2">
      <c r="A7945" s="122">
        <f t="shared" ref="A7945:A7947" si="763">+A7944+1</f>
        <v>6579</v>
      </c>
      <c r="B7945" s="13">
        <v>1</v>
      </c>
      <c r="C7945" s="17" t="s">
        <v>69</v>
      </c>
      <c r="E7945" s="17" t="s">
        <v>80</v>
      </c>
      <c r="F7945" s="17">
        <v>2</v>
      </c>
      <c r="G7945" s="13">
        <v>5</v>
      </c>
      <c r="H7945" s="17">
        <v>17</v>
      </c>
      <c r="I7945" s="17">
        <v>1</v>
      </c>
      <c r="J7945" s="17">
        <v>48</v>
      </c>
      <c r="K7945" s="10">
        <v>6948</v>
      </c>
      <c r="P7945" s="17">
        <v>1</v>
      </c>
      <c r="Q7945" s="19">
        <v>6948</v>
      </c>
      <c r="R7945" s="14">
        <v>160</v>
      </c>
      <c r="S7945" s="19">
        <v>1111680</v>
      </c>
      <c r="AJ7945" s="19">
        <v>0</v>
      </c>
      <c r="AK7945" s="23">
        <v>0</v>
      </c>
      <c r="AM7945" s="19">
        <v>0</v>
      </c>
      <c r="AN7945" s="19">
        <v>1111680</v>
      </c>
      <c r="AP7945" s="14">
        <v>1111680</v>
      </c>
      <c r="AQ7945" s="12">
        <v>1E-4</v>
      </c>
      <c r="AS7945" s="26">
        <v>900</v>
      </c>
    </row>
    <row r="7946" spans="1:45" x14ac:dyDescent="0.2">
      <c r="A7946" s="122">
        <f t="shared" si="763"/>
        <v>6580</v>
      </c>
      <c r="B7946" s="13">
        <v>1</v>
      </c>
      <c r="C7946" s="17" t="s">
        <v>52</v>
      </c>
      <c r="D7946" s="17">
        <v>26609</v>
      </c>
      <c r="E7946" s="17">
        <v>170</v>
      </c>
      <c r="F7946" s="17">
        <v>4988</v>
      </c>
      <c r="G7946" s="13">
        <v>2</v>
      </c>
      <c r="H7946" s="17">
        <v>0</v>
      </c>
      <c r="I7946" s="17">
        <v>0</v>
      </c>
      <c r="J7946" s="17">
        <v>36</v>
      </c>
      <c r="K7946" s="10">
        <v>36</v>
      </c>
      <c r="P7946" s="17">
        <v>1</v>
      </c>
      <c r="Q7946" s="19">
        <v>36</v>
      </c>
      <c r="R7946" s="14">
        <v>250</v>
      </c>
      <c r="S7946" s="19">
        <v>9000</v>
      </c>
      <c r="AJ7946" s="19">
        <v>0</v>
      </c>
      <c r="AK7946" s="23">
        <v>0</v>
      </c>
      <c r="AM7946" s="19">
        <v>0</v>
      </c>
      <c r="AN7946" s="19">
        <v>9000</v>
      </c>
      <c r="AP7946" s="14">
        <v>9000</v>
      </c>
    </row>
    <row r="7947" spans="1:45" ht="42" x14ac:dyDescent="0.2">
      <c r="A7947" s="122">
        <f t="shared" si="763"/>
        <v>6581</v>
      </c>
      <c r="B7947" s="13">
        <v>1</v>
      </c>
      <c r="C7947" s="17" t="s">
        <v>52</v>
      </c>
      <c r="D7947" s="17">
        <v>1035</v>
      </c>
      <c r="E7947" s="17">
        <v>48</v>
      </c>
      <c r="F7947" s="17">
        <v>392</v>
      </c>
      <c r="G7947" s="13">
        <v>1</v>
      </c>
      <c r="H7947" s="17">
        <v>0</v>
      </c>
      <c r="I7947" s="17">
        <v>2</v>
      </c>
      <c r="J7947" s="17">
        <v>77</v>
      </c>
      <c r="L7947" s="17" t="s">
        <v>156</v>
      </c>
      <c r="M7947" s="15" t="s">
        <v>817</v>
      </c>
      <c r="P7947" s="17">
        <v>5</v>
      </c>
      <c r="Q7947" s="19">
        <v>277</v>
      </c>
      <c r="R7947" s="14">
        <v>2250</v>
      </c>
      <c r="S7947" s="19">
        <v>623250</v>
      </c>
      <c r="AS7947" s="26" t="s">
        <v>818</v>
      </c>
    </row>
    <row r="7948" spans="1:45" ht="63" x14ac:dyDescent="0.2">
      <c r="Q7948" s="19">
        <v>100</v>
      </c>
      <c r="R7948" s="14">
        <v>2250</v>
      </c>
      <c r="S7948" s="19">
        <v>225000</v>
      </c>
      <c r="T7948" s="17">
        <v>1</v>
      </c>
      <c r="U7948" s="17" t="s">
        <v>57</v>
      </c>
      <c r="V7948" s="17" t="s">
        <v>56</v>
      </c>
      <c r="W7948" s="4">
        <v>54</v>
      </c>
      <c r="Y7948" s="4">
        <v>54</v>
      </c>
      <c r="AB7948" s="17">
        <v>2</v>
      </c>
      <c r="AF7948" s="14">
        <v>2</v>
      </c>
      <c r="AG7948" s="54">
        <v>108</v>
      </c>
      <c r="AH7948" s="11">
        <v>1</v>
      </c>
      <c r="AI7948" s="14">
        <v>7250</v>
      </c>
      <c r="AJ7948" s="19">
        <v>783000</v>
      </c>
      <c r="AK7948" s="23">
        <v>2</v>
      </c>
      <c r="AL7948" s="11">
        <v>0.02</v>
      </c>
      <c r="AM7948" s="19">
        <v>767340</v>
      </c>
      <c r="AN7948" s="19">
        <v>992340</v>
      </c>
      <c r="AP7948" s="14">
        <v>992340</v>
      </c>
    </row>
    <row r="7949" spans="1:45" x14ac:dyDescent="0.2">
      <c r="Q7949" s="19">
        <v>167</v>
      </c>
      <c r="R7949" s="14">
        <v>2250</v>
      </c>
      <c r="S7949" s="19">
        <v>375750</v>
      </c>
      <c r="T7949" s="17" t="s">
        <v>288</v>
      </c>
      <c r="AE7949" s="17" t="s">
        <v>819</v>
      </c>
      <c r="AM7949" s="19">
        <v>0</v>
      </c>
      <c r="AN7949" s="19">
        <v>375750</v>
      </c>
      <c r="AP7949" s="14">
        <v>375750</v>
      </c>
      <c r="AQ7949" s="12">
        <v>3.0000000000000001E-3</v>
      </c>
    </row>
    <row r="7950" spans="1:45" x14ac:dyDescent="0.2">
      <c r="A7950" s="2">
        <v>6582</v>
      </c>
      <c r="B7950" s="13">
        <v>2</v>
      </c>
      <c r="C7950" s="17" t="s">
        <v>52</v>
      </c>
      <c r="D7950" s="17">
        <v>41203</v>
      </c>
      <c r="E7950" s="17">
        <v>103</v>
      </c>
      <c r="F7950" s="17">
        <v>8319</v>
      </c>
      <c r="G7950" s="13">
        <v>1</v>
      </c>
      <c r="H7950" s="17">
        <v>0</v>
      </c>
      <c r="I7950" s="17">
        <v>2</v>
      </c>
      <c r="J7950" s="17">
        <v>66.099999999999994</v>
      </c>
      <c r="P7950" s="17">
        <v>1</v>
      </c>
      <c r="Q7950" s="19">
        <v>266.10000000000002</v>
      </c>
      <c r="R7950" s="14">
        <v>160</v>
      </c>
      <c r="S7950" s="19">
        <v>42576</v>
      </c>
      <c r="AF7950" s="14">
        <v>1</v>
      </c>
      <c r="AN7950" s="19">
        <v>42576</v>
      </c>
      <c r="AP7950" s="14">
        <v>42576</v>
      </c>
    </row>
    <row r="7951" spans="1:45" x14ac:dyDescent="0.2">
      <c r="A7951" s="2">
        <f>+A7950+1</f>
        <v>6583</v>
      </c>
      <c r="B7951" s="13">
        <v>3</v>
      </c>
      <c r="C7951" s="17" t="s">
        <v>52</v>
      </c>
      <c r="D7951" s="17">
        <v>40929</v>
      </c>
      <c r="E7951" s="17">
        <v>16</v>
      </c>
      <c r="F7951" s="17">
        <v>8175</v>
      </c>
      <c r="H7951" s="17">
        <v>14</v>
      </c>
      <c r="I7951" s="17">
        <v>3</v>
      </c>
      <c r="J7951" s="17">
        <v>26.3</v>
      </c>
      <c r="K7951" s="10">
        <v>5926</v>
      </c>
      <c r="P7951" s="17">
        <v>1</v>
      </c>
      <c r="Q7951" s="19">
        <v>5926.3</v>
      </c>
      <c r="R7951" s="14">
        <v>160</v>
      </c>
      <c r="S7951" s="19">
        <v>948208</v>
      </c>
      <c r="AJ7951" s="19">
        <v>0</v>
      </c>
      <c r="AK7951" s="23">
        <v>0</v>
      </c>
      <c r="AM7951" s="19">
        <v>0</v>
      </c>
      <c r="AN7951" s="19">
        <v>948208</v>
      </c>
      <c r="AP7951" s="14">
        <v>948208</v>
      </c>
    </row>
    <row r="7952" spans="1:45" x14ac:dyDescent="0.2">
      <c r="A7952" s="122">
        <f t="shared" ref="A7952:A7959" si="764">+A7951+1</f>
        <v>6584</v>
      </c>
      <c r="B7952" s="13">
        <v>4</v>
      </c>
      <c r="C7952" s="17" t="s">
        <v>52</v>
      </c>
      <c r="D7952" s="17">
        <v>40928</v>
      </c>
      <c r="E7952" s="17">
        <v>65</v>
      </c>
      <c r="F7952" s="17">
        <v>8174</v>
      </c>
      <c r="H7952" s="17">
        <v>19</v>
      </c>
      <c r="J7952" s="17">
        <v>8.5</v>
      </c>
      <c r="K7952" s="10">
        <v>6607</v>
      </c>
      <c r="P7952" s="17">
        <v>1</v>
      </c>
      <c r="Q7952" s="19">
        <v>7608.5</v>
      </c>
      <c r="R7952" s="14">
        <v>160</v>
      </c>
      <c r="S7952" s="19">
        <v>1217360</v>
      </c>
      <c r="AJ7952" s="19">
        <v>0</v>
      </c>
      <c r="AK7952" s="23">
        <v>0</v>
      </c>
      <c r="AM7952" s="19">
        <v>0</v>
      </c>
      <c r="AN7952" s="19">
        <v>1217360</v>
      </c>
      <c r="AP7952" s="14">
        <v>1217360</v>
      </c>
    </row>
    <row r="7953" spans="1:45" ht="42" x14ac:dyDescent="0.2">
      <c r="A7953" s="122">
        <f t="shared" si="764"/>
        <v>6585</v>
      </c>
      <c r="B7953" s="13">
        <v>1</v>
      </c>
      <c r="C7953" s="17" t="s">
        <v>52</v>
      </c>
      <c r="D7953" s="17">
        <v>4999</v>
      </c>
      <c r="E7953" s="17">
        <v>13</v>
      </c>
      <c r="F7953" s="17">
        <v>2618</v>
      </c>
      <c r="G7953" s="13">
        <v>7</v>
      </c>
      <c r="H7953" s="17">
        <v>0</v>
      </c>
      <c r="I7953" s="17">
        <v>3</v>
      </c>
      <c r="J7953" s="17">
        <v>80</v>
      </c>
      <c r="K7953" s="10">
        <v>362</v>
      </c>
      <c r="L7953" s="17">
        <v>18</v>
      </c>
      <c r="P7953" s="17">
        <v>5</v>
      </c>
      <c r="Q7953" s="19">
        <v>380</v>
      </c>
      <c r="R7953" s="14">
        <v>2250</v>
      </c>
      <c r="S7953" s="19">
        <v>855000</v>
      </c>
      <c r="T7953" s="17">
        <v>1</v>
      </c>
      <c r="V7953" s="17" t="s">
        <v>183</v>
      </c>
      <c r="W7953" s="4">
        <v>72</v>
      </c>
      <c r="Y7953" s="4">
        <v>72</v>
      </c>
      <c r="AB7953" s="17">
        <v>16</v>
      </c>
      <c r="AJ7953" s="19">
        <v>0</v>
      </c>
      <c r="AK7953" s="23">
        <v>16</v>
      </c>
      <c r="AM7953" s="19">
        <v>0</v>
      </c>
      <c r="AN7953" s="19">
        <v>855000</v>
      </c>
      <c r="AP7953" s="14">
        <v>855000</v>
      </c>
    </row>
    <row r="7954" spans="1:45" x14ac:dyDescent="0.2">
      <c r="A7954" s="122">
        <f t="shared" si="764"/>
        <v>6586</v>
      </c>
      <c r="B7954" s="13">
        <v>2</v>
      </c>
      <c r="C7954" s="17" t="s">
        <v>69</v>
      </c>
      <c r="E7954" s="17">
        <v>1518</v>
      </c>
      <c r="F7954" s="17">
        <v>5</v>
      </c>
      <c r="G7954" s="13">
        <v>2</v>
      </c>
      <c r="H7954" s="17">
        <v>13</v>
      </c>
      <c r="I7954" s="17">
        <v>3</v>
      </c>
      <c r="J7954" s="17">
        <v>80</v>
      </c>
      <c r="K7954" s="10">
        <v>5580</v>
      </c>
      <c r="P7954" s="17">
        <v>1</v>
      </c>
      <c r="Q7954" s="19">
        <v>5580</v>
      </c>
      <c r="R7954" s="14">
        <v>160</v>
      </c>
      <c r="S7954" s="19">
        <v>892800</v>
      </c>
      <c r="AJ7954" s="19">
        <v>0</v>
      </c>
      <c r="AK7954" s="23">
        <v>0</v>
      </c>
      <c r="AM7954" s="19">
        <v>0</v>
      </c>
      <c r="AN7954" s="19">
        <v>892800</v>
      </c>
      <c r="AP7954" s="14">
        <v>892800</v>
      </c>
    </row>
    <row r="7955" spans="1:45" ht="42" x14ac:dyDescent="0.2">
      <c r="A7955" s="122">
        <f t="shared" si="764"/>
        <v>6587</v>
      </c>
      <c r="B7955" s="13">
        <v>1</v>
      </c>
      <c r="C7955" s="17" t="s">
        <v>52</v>
      </c>
      <c r="D7955" s="17">
        <v>2589</v>
      </c>
      <c r="E7955" s="17">
        <v>37</v>
      </c>
      <c r="F7955" s="17">
        <v>1845</v>
      </c>
      <c r="G7955" s="13">
        <v>1</v>
      </c>
      <c r="H7955" s="17">
        <v>0</v>
      </c>
      <c r="I7955" s="17">
        <v>1</v>
      </c>
      <c r="J7955" s="17">
        <v>57</v>
      </c>
      <c r="L7955" s="17" t="s">
        <v>820</v>
      </c>
      <c r="P7955" s="17">
        <v>2</v>
      </c>
      <c r="Q7955" s="19">
        <v>157</v>
      </c>
      <c r="R7955" s="14">
        <v>250</v>
      </c>
      <c r="S7955" s="19">
        <v>39250</v>
      </c>
      <c r="T7955" s="17">
        <v>1</v>
      </c>
      <c r="V7955" s="17" t="s">
        <v>183</v>
      </c>
      <c r="W7955" s="4">
        <v>126</v>
      </c>
      <c r="Y7955" s="4">
        <v>126</v>
      </c>
      <c r="AB7955" s="17">
        <v>27</v>
      </c>
      <c r="AJ7955" s="19">
        <v>0</v>
      </c>
      <c r="AK7955" s="23">
        <v>27</v>
      </c>
      <c r="AM7955" s="19">
        <v>0</v>
      </c>
      <c r="AN7955" s="19">
        <v>39250</v>
      </c>
      <c r="AP7955" s="14">
        <v>39250</v>
      </c>
    </row>
    <row r="7956" spans="1:45" x14ac:dyDescent="0.2">
      <c r="A7956" s="122">
        <f t="shared" si="764"/>
        <v>6588</v>
      </c>
      <c r="B7956" s="13">
        <v>1</v>
      </c>
      <c r="C7956" s="17" t="s">
        <v>69</v>
      </c>
      <c r="E7956" s="17">
        <v>1515</v>
      </c>
      <c r="F7956" s="17">
        <v>2</v>
      </c>
      <c r="G7956" s="13">
        <v>6</v>
      </c>
      <c r="H7956" s="17">
        <v>26</v>
      </c>
      <c r="I7956" s="17">
        <v>0</v>
      </c>
      <c r="J7956" s="17">
        <v>61</v>
      </c>
      <c r="K7956" s="10">
        <v>10461</v>
      </c>
      <c r="P7956" s="17">
        <v>1</v>
      </c>
      <c r="Q7956" s="19">
        <v>10461</v>
      </c>
      <c r="R7956" s="14">
        <v>160</v>
      </c>
      <c r="S7956" s="19">
        <v>1673760</v>
      </c>
      <c r="AJ7956" s="19">
        <v>0</v>
      </c>
      <c r="AK7956" s="23">
        <v>0</v>
      </c>
      <c r="AM7956" s="19">
        <v>0</v>
      </c>
      <c r="AN7956" s="19">
        <v>1673760</v>
      </c>
      <c r="AP7956" s="14">
        <v>1673760</v>
      </c>
      <c r="AQ7956" s="12">
        <v>1E-4</v>
      </c>
    </row>
    <row r="7957" spans="1:45" x14ac:dyDescent="0.2">
      <c r="A7957" s="122">
        <f t="shared" si="764"/>
        <v>6589</v>
      </c>
      <c r="B7957" s="13">
        <v>1</v>
      </c>
      <c r="C7957" s="17" t="s">
        <v>52</v>
      </c>
      <c r="D7957" s="17">
        <v>4763</v>
      </c>
      <c r="E7957" s="17">
        <v>65</v>
      </c>
      <c r="F7957" s="17">
        <v>2632</v>
      </c>
      <c r="G7957" s="13">
        <v>7</v>
      </c>
      <c r="H7957" s="17">
        <v>2</v>
      </c>
      <c r="I7957" s="17">
        <v>3</v>
      </c>
      <c r="J7957" s="17">
        <v>4</v>
      </c>
      <c r="K7957" s="10">
        <v>1104</v>
      </c>
      <c r="P7957" s="17">
        <v>1</v>
      </c>
      <c r="Q7957" s="19">
        <v>1104</v>
      </c>
      <c r="R7957" s="14">
        <v>160</v>
      </c>
      <c r="S7957" s="19">
        <v>176640</v>
      </c>
      <c r="AJ7957" s="19">
        <v>0</v>
      </c>
      <c r="AK7957" s="23">
        <v>0</v>
      </c>
      <c r="AM7957" s="19">
        <v>0</v>
      </c>
      <c r="AN7957" s="19">
        <v>176640</v>
      </c>
      <c r="AP7957" s="14">
        <v>176640</v>
      </c>
      <c r="AS7957" s="26">
        <v>18</v>
      </c>
    </row>
    <row r="7958" spans="1:45" x14ac:dyDescent="0.2">
      <c r="A7958" s="122">
        <f t="shared" si="764"/>
        <v>6590</v>
      </c>
      <c r="B7958" s="13">
        <v>2</v>
      </c>
      <c r="C7958" s="17" t="s">
        <v>52</v>
      </c>
      <c r="D7958" s="17">
        <v>4764</v>
      </c>
      <c r="E7958" s="17">
        <v>66</v>
      </c>
      <c r="F7958" s="17">
        <v>2633</v>
      </c>
      <c r="G7958" s="13">
        <v>7</v>
      </c>
      <c r="H7958" s="17">
        <v>3</v>
      </c>
      <c r="I7958" s="17">
        <v>1</v>
      </c>
      <c r="J7958" s="17">
        <v>38</v>
      </c>
      <c r="K7958" s="10">
        <v>1338</v>
      </c>
      <c r="P7958" s="17">
        <v>1</v>
      </c>
      <c r="Q7958" s="19">
        <v>1338</v>
      </c>
      <c r="R7958" s="14">
        <v>160</v>
      </c>
      <c r="S7958" s="19">
        <v>214080</v>
      </c>
      <c r="AJ7958" s="19">
        <v>0</v>
      </c>
      <c r="AK7958" s="23">
        <v>0</v>
      </c>
      <c r="AM7958" s="19">
        <v>0</v>
      </c>
      <c r="AN7958" s="19">
        <v>214080</v>
      </c>
      <c r="AP7958" s="14">
        <v>214080</v>
      </c>
    </row>
    <row r="7959" spans="1:45" ht="42" x14ac:dyDescent="0.2">
      <c r="A7959" s="122">
        <f t="shared" si="764"/>
        <v>6591</v>
      </c>
      <c r="B7959" s="13">
        <v>1</v>
      </c>
      <c r="C7959" s="17" t="s">
        <v>52</v>
      </c>
      <c r="D7959" s="17">
        <v>5922</v>
      </c>
      <c r="E7959" s="17">
        <v>62</v>
      </c>
      <c r="F7959" s="17">
        <v>3055</v>
      </c>
      <c r="G7959" s="13">
        <v>5</v>
      </c>
      <c r="H7959" s="17">
        <v>0</v>
      </c>
      <c r="I7959" s="17">
        <v>1</v>
      </c>
      <c r="J7959" s="17">
        <v>68</v>
      </c>
      <c r="L7959" s="17" t="s">
        <v>731</v>
      </c>
      <c r="P7959" s="17">
        <v>2</v>
      </c>
      <c r="Q7959" s="19">
        <v>168</v>
      </c>
      <c r="R7959" s="14">
        <v>1100</v>
      </c>
      <c r="S7959" s="19">
        <v>184800</v>
      </c>
      <c r="T7959" s="17">
        <v>1</v>
      </c>
      <c r="V7959" s="17" t="s">
        <v>183</v>
      </c>
      <c r="W7959" s="4">
        <v>115</v>
      </c>
      <c r="Y7959" s="4">
        <v>115</v>
      </c>
      <c r="AB7959" s="17">
        <v>29</v>
      </c>
      <c r="AJ7959" s="19">
        <v>0</v>
      </c>
      <c r="AK7959" s="23">
        <v>29</v>
      </c>
      <c r="AM7959" s="19">
        <v>0</v>
      </c>
      <c r="AN7959" s="19">
        <v>184800</v>
      </c>
      <c r="AP7959" s="14">
        <v>184800</v>
      </c>
      <c r="AS7959" s="26">
        <v>32</v>
      </c>
    </row>
    <row r="7960" spans="1:45" ht="42" x14ac:dyDescent="0.2">
      <c r="Q7960" s="19">
        <v>0</v>
      </c>
      <c r="R7960" s="14" t="e">
        <v>#N/A</v>
      </c>
      <c r="S7960" s="19" t="e">
        <v>#N/A</v>
      </c>
      <c r="T7960" s="17">
        <v>2</v>
      </c>
      <c r="V7960" s="17" t="s">
        <v>183</v>
      </c>
      <c r="W7960" s="4">
        <v>84</v>
      </c>
      <c r="Y7960" s="4">
        <v>84</v>
      </c>
      <c r="AB7960" s="17">
        <v>22</v>
      </c>
      <c r="AJ7960" s="19">
        <v>0</v>
      </c>
      <c r="AK7960" s="23">
        <v>22</v>
      </c>
      <c r="AM7960" s="19">
        <v>0</v>
      </c>
      <c r="AN7960" s="19" t="e">
        <v>#N/A</v>
      </c>
      <c r="AP7960" s="14" t="e">
        <v>#N/A</v>
      </c>
    </row>
    <row r="7961" spans="1:45" x14ac:dyDescent="0.2">
      <c r="A7961" s="2">
        <v>6592</v>
      </c>
      <c r="B7961" s="13">
        <v>2</v>
      </c>
      <c r="C7961" s="17" t="s">
        <v>52</v>
      </c>
      <c r="D7961" s="17">
        <v>5973</v>
      </c>
      <c r="E7961" s="17">
        <v>60</v>
      </c>
      <c r="F7961" s="17">
        <v>3073</v>
      </c>
      <c r="G7961" s="13">
        <v>5</v>
      </c>
      <c r="H7961" s="17">
        <v>10</v>
      </c>
      <c r="I7961" s="17">
        <v>3</v>
      </c>
      <c r="J7961" s="17">
        <v>31</v>
      </c>
      <c r="K7961" s="10">
        <v>4731</v>
      </c>
      <c r="P7961" s="17">
        <v>1</v>
      </c>
      <c r="Q7961" s="19">
        <v>4331</v>
      </c>
      <c r="R7961" s="14">
        <v>160</v>
      </c>
      <c r="S7961" s="19">
        <v>692960</v>
      </c>
      <c r="AJ7961" s="19">
        <v>0</v>
      </c>
      <c r="AK7961" s="23">
        <v>0</v>
      </c>
      <c r="AM7961" s="19">
        <v>0</v>
      </c>
      <c r="AN7961" s="19">
        <v>692960</v>
      </c>
      <c r="AP7961" s="14">
        <v>692960</v>
      </c>
    </row>
    <row r="7962" spans="1:45" x14ac:dyDescent="0.2">
      <c r="A7962" s="2">
        <f>+A7961+1</f>
        <v>6593</v>
      </c>
      <c r="B7962" s="13">
        <v>1</v>
      </c>
      <c r="C7962" s="17" t="s">
        <v>69</v>
      </c>
      <c r="E7962" s="17">
        <v>1470</v>
      </c>
      <c r="F7962" s="17">
        <v>13</v>
      </c>
      <c r="G7962" s="13">
        <v>2</v>
      </c>
      <c r="H7962" s="17">
        <v>12</v>
      </c>
      <c r="I7962" s="17">
        <v>1</v>
      </c>
      <c r="J7962" s="17">
        <v>14</v>
      </c>
      <c r="K7962" s="10">
        <v>4914</v>
      </c>
      <c r="P7962" s="17">
        <v>1</v>
      </c>
      <c r="Q7962" s="19">
        <v>4914</v>
      </c>
      <c r="R7962" s="14">
        <v>200</v>
      </c>
      <c r="S7962" s="19">
        <v>982800</v>
      </c>
      <c r="AJ7962" s="19">
        <v>0</v>
      </c>
      <c r="AK7962" s="23">
        <v>0</v>
      </c>
      <c r="AM7962" s="19">
        <v>0</v>
      </c>
      <c r="AN7962" s="19">
        <v>982800</v>
      </c>
      <c r="AP7962" s="14">
        <v>982800</v>
      </c>
      <c r="AQ7962" s="12">
        <v>1E-4</v>
      </c>
    </row>
    <row r="7963" spans="1:45" x14ac:dyDescent="0.2">
      <c r="A7963" s="122">
        <f>+A7962+1</f>
        <v>6594</v>
      </c>
      <c r="B7963" s="13">
        <v>1</v>
      </c>
      <c r="C7963" s="17" t="s">
        <v>52</v>
      </c>
      <c r="D7963" s="17">
        <v>1663</v>
      </c>
      <c r="E7963" s="17">
        <v>7</v>
      </c>
      <c r="F7963" s="17">
        <v>782</v>
      </c>
      <c r="G7963" s="13">
        <v>6</v>
      </c>
      <c r="H7963" s="17">
        <v>0</v>
      </c>
      <c r="I7963" s="17">
        <v>0</v>
      </c>
      <c r="J7963" s="17">
        <v>77</v>
      </c>
      <c r="N7963" s="18">
        <v>77</v>
      </c>
      <c r="P7963" s="17">
        <v>4</v>
      </c>
      <c r="Q7963" s="19">
        <v>77</v>
      </c>
      <c r="R7963" s="14">
        <v>4500</v>
      </c>
      <c r="S7963" s="19">
        <v>346500</v>
      </c>
      <c r="AJ7963" s="19">
        <v>0</v>
      </c>
      <c r="AK7963" s="23">
        <v>0</v>
      </c>
      <c r="AM7963" s="19">
        <v>0</v>
      </c>
      <c r="AN7963" s="19">
        <v>346500</v>
      </c>
      <c r="AP7963" s="14">
        <v>346500</v>
      </c>
      <c r="AQ7963" s="12">
        <v>3.0000000000000001E-3</v>
      </c>
      <c r="AS7963" s="26">
        <v>5</v>
      </c>
    </row>
    <row r="7964" spans="1:45" x14ac:dyDescent="0.2">
      <c r="B7964" s="13">
        <v>2</v>
      </c>
      <c r="C7964" s="17" t="s">
        <v>97</v>
      </c>
      <c r="D7964" s="17">
        <v>482</v>
      </c>
      <c r="G7964" s="13">
        <v>2</v>
      </c>
      <c r="H7964" s="17">
        <v>0</v>
      </c>
      <c r="I7964" s="17">
        <v>0</v>
      </c>
      <c r="J7964" s="17">
        <v>72</v>
      </c>
      <c r="K7964" s="10">
        <v>72</v>
      </c>
      <c r="P7964" s="17">
        <v>1</v>
      </c>
      <c r="Q7964" s="19">
        <v>72</v>
      </c>
      <c r="R7964" s="14" t="e">
        <v>#N/A</v>
      </c>
      <c r="S7964" s="19" t="e">
        <v>#N/A</v>
      </c>
      <c r="AJ7964" s="19">
        <v>0</v>
      </c>
      <c r="AK7964" s="23">
        <v>0</v>
      </c>
      <c r="AM7964" s="19">
        <v>0</v>
      </c>
      <c r="AN7964" s="19" t="e">
        <v>#N/A</v>
      </c>
      <c r="AP7964" s="14" t="e">
        <v>#N/A</v>
      </c>
      <c r="AQ7964" s="12">
        <v>1E-4</v>
      </c>
    </row>
    <row r="7965" spans="1:45" x14ac:dyDescent="0.2">
      <c r="A7965" s="2">
        <v>6595</v>
      </c>
      <c r="B7965" s="13">
        <v>1</v>
      </c>
      <c r="C7965" s="17" t="s">
        <v>52</v>
      </c>
      <c r="D7965" s="17">
        <v>2080</v>
      </c>
      <c r="E7965" s="17">
        <v>46</v>
      </c>
      <c r="F7965" s="17">
        <v>1540</v>
      </c>
      <c r="H7965" s="17">
        <v>0</v>
      </c>
      <c r="I7965" s="17">
        <v>1</v>
      </c>
      <c r="J7965" s="17">
        <v>20</v>
      </c>
      <c r="N7965" s="18">
        <v>120</v>
      </c>
      <c r="P7965" s="17">
        <v>4</v>
      </c>
      <c r="Q7965" s="19">
        <v>120</v>
      </c>
      <c r="R7965" s="14">
        <v>2000</v>
      </c>
      <c r="S7965" s="19">
        <v>240000</v>
      </c>
      <c r="AJ7965" s="19">
        <v>0</v>
      </c>
      <c r="AK7965" s="23">
        <v>0</v>
      </c>
      <c r="AM7965" s="19">
        <v>0</v>
      </c>
      <c r="AN7965" s="19">
        <v>240000</v>
      </c>
      <c r="AP7965" s="14">
        <v>240000</v>
      </c>
      <c r="AQ7965" s="12">
        <v>3.0000000000000001E-3</v>
      </c>
    </row>
    <row r="7966" spans="1:45" ht="105" x14ac:dyDescent="0.2">
      <c r="A7966" s="2">
        <f>+A7965+1</f>
        <v>6596</v>
      </c>
      <c r="B7966" s="13">
        <v>1</v>
      </c>
      <c r="C7966" s="17" t="s">
        <v>52</v>
      </c>
      <c r="D7966" s="17">
        <v>941</v>
      </c>
      <c r="E7966" s="17">
        <v>1</v>
      </c>
      <c r="F7966" s="17">
        <v>335</v>
      </c>
      <c r="G7966" s="13">
        <v>1</v>
      </c>
      <c r="H7966" s="17">
        <v>0</v>
      </c>
      <c r="I7966" s="17">
        <v>2</v>
      </c>
      <c r="J7966" s="17">
        <v>25</v>
      </c>
      <c r="L7966" s="17" t="s">
        <v>79</v>
      </c>
      <c r="P7966" s="17">
        <v>2</v>
      </c>
      <c r="Q7966" s="19">
        <v>225</v>
      </c>
      <c r="R7966" s="14">
        <v>3000</v>
      </c>
      <c r="S7966" s="19">
        <v>675000</v>
      </c>
      <c r="T7966" s="17">
        <v>1</v>
      </c>
      <c r="V7966" s="17" t="s">
        <v>183</v>
      </c>
      <c r="W7966" s="4">
        <v>81</v>
      </c>
      <c r="Y7966" s="4">
        <v>81</v>
      </c>
      <c r="AB7966" s="17">
        <v>21</v>
      </c>
      <c r="AC7966" s="14" t="s">
        <v>346</v>
      </c>
      <c r="AE7966" s="17" t="s">
        <v>821</v>
      </c>
      <c r="AJ7966" s="19">
        <v>0</v>
      </c>
      <c r="AK7966" s="23">
        <v>21</v>
      </c>
      <c r="AM7966" s="19">
        <v>0</v>
      </c>
      <c r="AN7966" s="19">
        <v>675000</v>
      </c>
      <c r="AP7966" s="14">
        <v>675000</v>
      </c>
    </row>
    <row r="7967" spans="1:45" ht="63" x14ac:dyDescent="0.2">
      <c r="A7967" s="122">
        <f t="shared" ref="A7967:A7978" si="765">+A7966+1</f>
        <v>6597</v>
      </c>
      <c r="B7967" s="13">
        <v>1</v>
      </c>
      <c r="C7967" s="17" t="s">
        <v>52</v>
      </c>
      <c r="D7967" s="17">
        <v>29712</v>
      </c>
      <c r="E7967" s="17">
        <v>526</v>
      </c>
      <c r="F7967" s="17">
        <v>5506</v>
      </c>
      <c r="G7967" s="13">
        <v>2</v>
      </c>
      <c r="H7967" s="17">
        <v>0</v>
      </c>
      <c r="I7967" s="17">
        <v>0</v>
      </c>
      <c r="J7967" s="17">
        <v>23.03</v>
      </c>
      <c r="L7967" s="17">
        <v>23.03</v>
      </c>
      <c r="P7967" s="17">
        <v>2</v>
      </c>
      <c r="Q7967" s="19">
        <v>23.03</v>
      </c>
      <c r="R7967" s="14">
        <v>160</v>
      </c>
      <c r="S7967" s="19">
        <v>3684.8</v>
      </c>
      <c r="U7967" s="17" t="s">
        <v>63</v>
      </c>
      <c r="V7967" s="17" t="s">
        <v>56</v>
      </c>
      <c r="W7967" s="4">
        <v>216</v>
      </c>
      <c r="Y7967" s="4" t="s">
        <v>77</v>
      </c>
      <c r="AB7967" s="17" t="s">
        <v>78</v>
      </c>
      <c r="AF7967" s="14">
        <v>2</v>
      </c>
      <c r="AG7967" s="54">
        <v>216</v>
      </c>
      <c r="AH7967" s="11">
        <v>1</v>
      </c>
      <c r="AI7967" s="14">
        <v>8100</v>
      </c>
      <c r="AJ7967" s="19">
        <v>1749600</v>
      </c>
      <c r="AK7967" s="23" t="s">
        <v>78</v>
      </c>
      <c r="AL7967" s="11">
        <v>7.0000000000000007E-2</v>
      </c>
      <c r="AM7967" s="19">
        <v>1627128</v>
      </c>
      <c r="AN7967" s="19">
        <v>1630812.8</v>
      </c>
      <c r="AP7967" s="14">
        <v>1630812.8</v>
      </c>
      <c r="AQ7967" s="12">
        <v>2.0000000000000001E-4</v>
      </c>
    </row>
    <row r="7968" spans="1:45" ht="63" x14ac:dyDescent="0.2">
      <c r="A7968" s="122">
        <f t="shared" si="765"/>
        <v>6598</v>
      </c>
      <c r="B7968" s="13">
        <v>2</v>
      </c>
      <c r="C7968" s="17" t="s">
        <v>52</v>
      </c>
      <c r="D7968" s="17">
        <v>30133</v>
      </c>
      <c r="E7968" s="17">
        <v>530</v>
      </c>
      <c r="F7968" s="17">
        <v>5794</v>
      </c>
      <c r="G7968" s="13">
        <v>2</v>
      </c>
      <c r="H7968" s="17">
        <v>0</v>
      </c>
      <c r="I7968" s="17">
        <v>0</v>
      </c>
      <c r="J7968" s="17">
        <v>22.05</v>
      </c>
      <c r="L7968" s="17">
        <v>22.05</v>
      </c>
      <c r="P7968" s="17">
        <v>2</v>
      </c>
      <c r="Q7968" s="19">
        <v>22.05</v>
      </c>
      <c r="R7968" s="14">
        <v>160</v>
      </c>
      <c r="S7968" s="19">
        <v>3528</v>
      </c>
      <c r="U7968" s="17" t="s">
        <v>63</v>
      </c>
      <c r="V7968" s="17" t="s">
        <v>56</v>
      </c>
      <c r="W7968" s="4">
        <v>216</v>
      </c>
      <c r="Y7968" s="4" t="s">
        <v>77</v>
      </c>
      <c r="AB7968" s="17" t="s">
        <v>78</v>
      </c>
      <c r="AF7968" s="14">
        <v>2</v>
      </c>
      <c r="AG7968" s="54">
        <v>216</v>
      </c>
      <c r="AH7968" s="11">
        <v>1</v>
      </c>
      <c r="AI7968" s="14">
        <v>8100</v>
      </c>
      <c r="AJ7968" s="19">
        <v>1749600</v>
      </c>
      <c r="AK7968" s="23" t="s">
        <v>78</v>
      </c>
      <c r="AL7968" s="11">
        <v>7.0000000000000007E-2</v>
      </c>
      <c r="AM7968" s="19">
        <v>1627128</v>
      </c>
      <c r="AN7968" s="19">
        <v>1630656</v>
      </c>
      <c r="AP7968" s="14">
        <v>1630656</v>
      </c>
      <c r="AQ7968" s="12">
        <v>2.0000000000000001E-4</v>
      </c>
    </row>
    <row r="7969" spans="1:45" ht="63" x14ac:dyDescent="0.2">
      <c r="A7969" s="122">
        <f t="shared" si="765"/>
        <v>6599</v>
      </c>
      <c r="B7969" s="13">
        <v>3</v>
      </c>
      <c r="C7969" s="17" t="s">
        <v>52</v>
      </c>
      <c r="D7969" s="17">
        <v>30135</v>
      </c>
      <c r="E7969" s="17">
        <v>532</v>
      </c>
      <c r="F7969" s="17">
        <v>5796</v>
      </c>
      <c r="G7969" s="13">
        <v>2</v>
      </c>
      <c r="H7969" s="17">
        <v>0</v>
      </c>
      <c r="I7969" s="17">
        <v>0</v>
      </c>
      <c r="J7969" s="17">
        <v>22.05</v>
      </c>
      <c r="L7969" s="17">
        <v>22.05</v>
      </c>
      <c r="P7969" s="17">
        <v>2</v>
      </c>
      <c r="Q7969" s="19">
        <v>22.05</v>
      </c>
      <c r="R7969" s="14">
        <v>160</v>
      </c>
      <c r="S7969" s="19">
        <v>3528</v>
      </c>
      <c r="U7969" s="17" t="s">
        <v>63</v>
      </c>
      <c r="V7969" s="17" t="s">
        <v>56</v>
      </c>
      <c r="W7969" s="4">
        <v>216</v>
      </c>
      <c r="Y7969" s="4" t="s">
        <v>77</v>
      </c>
      <c r="AB7969" s="17" t="s">
        <v>78</v>
      </c>
      <c r="AF7969" s="14">
        <v>2</v>
      </c>
      <c r="AG7969" s="54">
        <v>216</v>
      </c>
      <c r="AH7969" s="11">
        <v>1</v>
      </c>
      <c r="AI7969" s="14">
        <v>8100</v>
      </c>
      <c r="AJ7969" s="19">
        <v>1749600</v>
      </c>
      <c r="AK7969" s="23" t="s">
        <v>78</v>
      </c>
      <c r="AL7969" s="11">
        <v>7.0000000000000007E-2</v>
      </c>
      <c r="AM7969" s="19">
        <v>1627128</v>
      </c>
      <c r="AN7969" s="19">
        <v>1630656</v>
      </c>
      <c r="AP7969" s="14">
        <v>1630656</v>
      </c>
      <c r="AQ7969" s="12">
        <v>2.0000000000000001E-4</v>
      </c>
    </row>
    <row r="7970" spans="1:45" ht="63" x14ac:dyDescent="0.2">
      <c r="A7970" s="122">
        <f t="shared" si="765"/>
        <v>6600</v>
      </c>
      <c r="B7970" s="13">
        <v>4</v>
      </c>
      <c r="C7970" s="17" t="s">
        <v>52</v>
      </c>
      <c r="D7970" s="17">
        <v>30136</v>
      </c>
      <c r="E7970" s="17">
        <v>533</v>
      </c>
      <c r="F7970" s="17">
        <v>5797</v>
      </c>
      <c r="G7970" s="13">
        <v>2</v>
      </c>
      <c r="H7970" s="17">
        <v>0</v>
      </c>
      <c r="I7970" s="17">
        <v>0</v>
      </c>
      <c r="J7970" s="17">
        <v>22.05</v>
      </c>
      <c r="L7970" s="17">
        <v>22.05</v>
      </c>
      <c r="P7970" s="17">
        <v>2</v>
      </c>
      <c r="Q7970" s="19">
        <v>22.05</v>
      </c>
      <c r="R7970" s="14">
        <v>160</v>
      </c>
      <c r="S7970" s="19">
        <v>3528</v>
      </c>
      <c r="U7970" s="17" t="s">
        <v>63</v>
      </c>
      <c r="V7970" s="17" t="s">
        <v>56</v>
      </c>
      <c r="W7970" s="4">
        <v>216</v>
      </c>
      <c r="Y7970" s="4" t="s">
        <v>77</v>
      </c>
      <c r="AB7970" s="17" t="s">
        <v>78</v>
      </c>
      <c r="AF7970" s="14">
        <v>2</v>
      </c>
      <c r="AG7970" s="54">
        <v>216</v>
      </c>
      <c r="AH7970" s="11">
        <v>1</v>
      </c>
      <c r="AI7970" s="14">
        <v>8100</v>
      </c>
      <c r="AJ7970" s="19">
        <v>1749600</v>
      </c>
      <c r="AK7970" s="23" t="s">
        <v>78</v>
      </c>
      <c r="AL7970" s="11">
        <v>7.0000000000000007E-2</v>
      </c>
      <c r="AM7970" s="19">
        <v>1627128</v>
      </c>
      <c r="AN7970" s="19">
        <v>1630656</v>
      </c>
      <c r="AP7970" s="14">
        <v>1630656</v>
      </c>
      <c r="AQ7970" s="12">
        <v>2.0000000000000001E-4</v>
      </c>
    </row>
    <row r="7971" spans="1:45" ht="63" x14ac:dyDescent="0.2">
      <c r="A7971" s="122">
        <f t="shared" si="765"/>
        <v>6601</v>
      </c>
      <c r="B7971" s="13">
        <v>5</v>
      </c>
      <c r="C7971" s="17" t="s">
        <v>52</v>
      </c>
      <c r="D7971" s="17">
        <v>30137</v>
      </c>
      <c r="E7971" s="17">
        <v>534</v>
      </c>
      <c r="F7971" s="17">
        <v>5798</v>
      </c>
      <c r="G7971" s="13">
        <v>2</v>
      </c>
      <c r="H7971" s="17">
        <v>0</v>
      </c>
      <c r="I7971" s="17">
        <v>0</v>
      </c>
      <c r="J7971" s="17">
        <v>22.05</v>
      </c>
      <c r="L7971" s="17">
        <v>22.05</v>
      </c>
      <c r="P7971" s="17">
        <v>2</v>
      </c>
      <c r="Q7971" s="19">
        <v>22.05</v>
      </c>
      <c r="R7971" s="14">
        <v>160</v>
      </c>
      <c r="S7971" s="19">
        <v>3528</v>
      </c>
      <c r="U7971" s="17" t="s">
        <v>63</v>
      </c>
      <c r="V7971" s="17" t="s">
        <v>56</v>
      </c>
      <c r="W7971" s="4">
        <v>216</v>
      </c>
      <c r="Y7971" s="4" t="s">
        <v>77</v>
      </c>
      <c r="AB7971" s="17" t="s">
        <v>78</v>
      </c>
      <c r="AF7971" s="14">
        <v>2</v>
      </c>
      <c r="AG7971" s="54">
        <v>216</v>
      </c>
      <c r="AH7971" s="11">
        <v>1</v>
      </c>
      <c r="AI7971" s="14">
        <v>8100</v>
      </c>
      <c r="AJ7971" s="19">
        <v>1749600</v>
      </c>
      <c r="AK7971" s="23" t="s">
        <v>78</v>
      </c>
      <c r="AL7971" s="11">
        <v>7.0000000000000007E-2</v>
      </c>
      <c r="AM7971" s="19">
        <v>1627128</v>
      </c>
      <c r="AN7971" s="19">
        <v>1630656</v>
      </c>
      <c r="AP7971" s="14">
        <v>1630656</v>
      </c>
      <c r="AQ7971" s="12">
        <v>2.0000000000000001E-4</v>
      </c>
    </row>
    <row r="7972" spans="1:45" x14ac:dyDescent="0.2">
      <c r="A7972" s="122">
        <f t="shared" si="765"/>
        <v>6602</v>
      </c>
      <c r="B7972" s="13">
        <v>6</v>
      </c>
      <c r="C7972" s="17" t="s">
        <v>52</v>
      </c>
      <c r="D7972" s="17">
        <v>4887</v>
      </c>
      <c r="E7972" s="17">
        <v>32</v>
      </c>
      <c r="F7972" s="17">
        <v>2737</v>
      </c>
      <c r="G7972" s="13">
        <v>7</v>
      </c>
      <c r="H7972" s="17">
        <v>25</v>
      </c>
      <c r="I7972" s="17">
        <v>3</v>
      </c>
      <c r="J7972" s="17">
        <v>74</v>
      </c>
      <c r="K7972" s="10">
        <v>10374</v>
      </c>
      <c r="P7972" s="17">
        <v>1</v>
      </c>
      <c r="Q7972" s="19">
        <v>10374</v>
      </c>
      <c r="R7972" s="14">
        <v>160</v>
      </c>
      <c r="S7972" s="19">
        <v>1659840</v>
      </c>
      <c r="AJ7972" s="19">
        <v>0</v>
      </c>
      <c r="AK7972" s="23">
        <v>0</v>
      </c>
      <c r="AM7972" s="19">
        <v>0</v>
      </c>
      <c r="AN7972" s="19">
        <v>1659840</v>
      </c>
      <c r="AP7972" s="14">
        <v>1659840</v>
      </c>
    </row>
    <row r="7973" spans="1:45" x14ac:dyDescent="0.2">
      <c r="A7973" s="122">
        <f t="shared" si="765"/>
        <v>6603</v>
      </c>
      <c r="B7973" s="13">
        <v>7</v>
      </c>
      <c r="C7973" s="17" t="s">
        <v>52</v>
      </c>
      <c r="D7973" s="17">
        <v>4892</v>
      </c>
      <c r="E7973" s="17">
        <v>18</v>
      </c>
      <c r="F7973" s="17">
        <v>2744</v>
      </c>
      <c r="G7973" s="13">
        <v>7</v>
      </c>
      <c r="H7973" s="17">
        <v>39</v>
      </c>
      <c r="I7973" s="17">
        <v>2</v>
      </c>
      <c r="J7973" s="17">
        <v>94</v>
      </c>
      <c r="K7973" s="10">
        <v>15894</v>
      </c>
      <c r="P7973" s="17">
        <v>1</v>
      </c>
      <c r="Q7973" s="19">
        <v>15894</v>
      </c>
      <c r="R7973" s="14">
        <v>160</v>
      </c>
      <c r="S7973" s="19">
        <v>2543040</v>
      </c>
      <c r="AJ7973" s="19">
        <v>0</v>
      </c>
      <c r="AK7973" s="23">
        <v>0</v>
      </c>
      <c r="AM7973" s="19">
        <v>0</v>
      </c>
      <c r="AN7973" s="19">
        <v>2543040</v>
      </c>
      <c r="AP7973" s="14">
        <v>2543040</v>
      </c>
    </row>
    <row r="7974" spans="1:45" x14ac:dyDescent="0.2">
      <c r="A7974" s="122">
        <f t="shared" si="765"/>
        <v>6604</v>
      </c>
      <c r="B7974" s="13">
        <v>1</v>
      </c>
      <c r="C7974" s="17" t="s">
        <v>52</v>
      </c>
      <c r="D7974" s="17">
        <v>2999</v>
      </c>
      <c r="E7974" s="17">
        <v>1</v>
      </c>
      <c r="F7974" s="17">
        <v>2067</v>
      </c>
      <c r="G7974" s="13">
        <v>2</v>
      </c>
      <c r="H7974" s="17">
        <v>0</v>
      </c>
      <c r="I7974" s="17">
        <v>0</v>
      </c>
      <c r="J7974" s="17">
        <v>75</v>
      </c>
      <c r="K7974" s="10">
        <v>75</v>
      </c>
      <c r="P7974" s="17">
        <v>1</v>
      </c>
      <c r="Q7974" s="19">
        <v>75</v>
      </c>
      <c r="R7974" s="14">
        <v>250</v>
      </c>
      <c r="S7974" s="19">
        <v>18750</v>
      </c>
      <c r="AJ7974" s="19">
        <v>0</v>
      </c>
      <c r="AK7974" s="23">
        <v>0</v>
      </c>
      <c r="AM7974" s="19">
        <v>0</v>
      </c>
      <c r="AN7974" s="19">
        <v>18750</v>
      </c>
      <c r="AP7974" s="14">
        <v>18750</v>
      </c>
    </row>
    <row r="7975" spans="1:45" x14ac:dyDescent="0.2">
      <c r="A7975" s="122">
        <f t="shared" si="765"/>
        <v>6605</v>
      </c>
      <c r="B7975" s="13">
        <v>1</v>
      </c>
      <c r="C7975" s="17" t="s">
        <v>52</v>
      </c>
      <c r="D7975" s="17">
        <v>1965</v>
      </c>
      <c r="E7975" s="17">
        <v>25</v>
      </c>
      <c r="F7975" s="17">
        <v>1322</v>
      </c>
      <c r="G7975" s="13">
        <v>2</v>
      </c>
      <c r="H7975" s="17">
        <v>4</v>
      </c>
      <c r="I7975" s="17">
        <v>3</v>
      </c>
      <c r="J7975" s="17">
        <v>28.07</v>
      </c>
      <c r="K7975" s="10">
        <v>1928</v>
      </c>
      <c r="P7975" s="17">
        <v>1</v>
      </c>
      <c r="Q7975" s="19">
        <v>1928.07</v>
      </c>
      <c r="R7975" s="14">
        <v>160</v>
      </c>
      <c r="S7975" s="19">
        <v>308491.2</v>
      </c>
      <c r="AJ7975" s="19">
        <v>0</v>
      </c>
      <c r="AK7975" s="23">
        <v>0</v>
      </c>
      <c r="AM7975" s="19">
        <v>0</v>
      </c>
      <c r="AN7975" s="19">
        <v>308491.2</v>
      </c>
      <c r="AP7975" s="14">
        <v>308491.2</v>
      </c>
    </row>
    <row r="7976" spans="1:45" ht="126" x14ac:dyDescent="0.2">
      <c r="A7976" s="122">
        <f t="shared" si="765"/>
        <v>6606</v>
      </c>
      <c r="B7976" s="13">
        <v>1</v>
      </c>
      <c r="C7976" s="17" t="s">
        <v>52</v>
      </c>
      <c r="D7976" s="17">
        <v>19371</v>
      </c>
      <c r="E7976" s="17">
        <v>69</v>
      </c>
      <c r="F7976" s="17">
        <v>4195</v>
      </c>
      <c r="G7976" s="13">
        <v>7</v>
      </c>
      <c r="H7976" s="17">
        <v>0</v>
      </c>
      <c r="I7976" s="17">
        <v>0</v>
      </c>
      <c r="J7976" s="17">
        <v>43</v>
      </c>
      <c r="M7976" s="15" t="s">
        <v>638</v>
      </c>
      <c r="P7976" s="17">
        <v>3</v>
      </c>
      <c r="Q7976" s="19">
        <v>43</v>
      </c>
      <c r="R7976" s="14">
        <v>4500</v>
      </c>
      <c r="S7976" s="19">
        <v>193500</v>
      </c>
      <c r="T7976" s="17">
        <v>1</v>
      </c>
      <c r="V7976" s="17" t="s">
        <v>183</v>
      </c>
      <c r="W7976" s="4">
        <v>71.75</v>
      </c>
      <c r="Z7976" s="17" t="s">
        <v>822</v>
      </c>
      <c r="AB7976" s="17">
        <v>17</v>
      </c>
      <c r="AC7976" s="14" t="s">
        <v>81</v>
      </c>
      <c r="AJ7976" s="19">
        <v>0</v>
      </c>
      <c r="AK7976" s="23">
        <v>17</v>
      </c>
      <c r="AM7976" s="19">
        <v>0</v>
      </c>
      <c r="AN7976" s="19">
        <v>193500</v>
      </c>
      <c r="AP7976" s="14">
        <v>193500</v>
      </c>
      <c r="AQ7976" s="12">
        <v>2.0000000000000001E-4</v>
      </c>
    </row>
    <row r="7977" spans="1:45" x14ac:dyDescent="0.2">
      <c r="A7977" s="122">
        <f t="shared" si="765"/>
        <v>6607</v>
      </c>
      <c r="B7977" s="13">
        <v>1</v>
      </c>
      <c r="C7977" s="17" t="s">
        <v>69</v>
      </c>
      <c r="E7977" s="17">
        <v>1515</v>
      </c>
      <c r="F7977" s="17">
        <v>5</v>
      </c>
      <c r="G7977" s="13">
        <v>6</v>
      </c>
      <c r="H7977" s="17">
        <v>11</v>
      </c>
      <c r="I7977" s="17">
        <v>2</v>
      </c>
      <c r="J7977" s="17">
        <v>76</v>
      </c>
      <c r="K7977" s="10">
        <v>4676</v>
      </c>
      <c r="P7977" s="17">
        <v>1</v>
      </c>
      <c r="Q7977" s="19">
        <v>4676</v>
      </c>
      <c r="R7977" s="14">
        <v>200</v>
      </c>
      <c r="S7977" s="19">
        <v>935200</v>
      </c>
      <c r="AJ7977" s="19">
        <v>0</v>
      </c>
      <c r="AK7977" s="23">
        <v>0</v>
      </c>
      <c r="AM7977" s="19">
        <v>0</v>
      </c>
      <c r="AN7977" s="19">
        <v>935200</v>
      </c>
      <c r="AP7977" s="14">
        <v>935200</v>
      </c>
      <c r="AQ7977" s="12">
        <v>1E-4</v>
      </c>
    </row>
    <row r="7978" spans="1:45" x14ac:dyDescent="0.2">
      <c r="A7978" s="122">
        <f t="shared" si="765"/>
        <v>6608</v>
      </c>
      <c r="B7978" s="13">
        <v>2</v>
      </c>
      <c r="C7978" s="17" t="s">
        <v>69</v>
      </c>
      <c r="E7978" s="17">
        <v>1515</v>
      </c>
      <c r="F7978" s="17">
        <v>10</v>
      </c>
      <c r="G7978" s="13">
        <v>6</v>
      </c>
      <c r="H7978" s="17">
        <v>21</v>
      </c>
      <c r="I7978" s="17">
        <v>2</v>
      </c>
      <c r="J7978" s="17">
        <v>54</v>
      </c>
      <c r="K7978" s="10">
        <v>8654</v>
      </c>
      <c r="P7978" s="17">
        <v>1</v>
      </c>
      <c r="Q7978" s="19">
        <v>8654</v>
      </c>
      <c r="R7978" s="14">
        <v>200</v>
      </c>
      <c r="S7978" s="19">
        <v>1730800</v>
      </c>
      <c r="AJ7978" s="19">
        <v>0</v>
      </c>
      <c r="AK7978" s="23">
        <v>0</v>
      </c>
      <c r="AM7978" s="19">
        <v>0</v>
      </c>
      <c r="AN7978" s="19">
        <v>1730800</v>
      </c>
      <c r="AP7978" s="14">
        <v>1730800</v>
      </c>
      <c r="AQ7978" s="12">
        <v>1E-4</v>
      </c>
    </row>
    <row r="7979" spans="1:45" x14ac:dyDescent="0.2">
      <c r="B7979" s="13">
        <v>1</v>
      </c>
      <c r="C7979" s="17" t="s">
        <v>97</v>
      </c>
      <c r="D7979" s="17">
        <v>85</v>
      </c>
      <c r="G7979" s="13">
        <v>6</v>
      </c>
      <c r="H7979" s="17">
        <v>5</v>
      </c>
      <c r="I7979" s="17">
        <v>0</v>
      </c>
      <c r="J7979" s="17">
        <v>0</v>
      </c>
      <c r="K7979" s="10">
        <v>2000</v>
      </c>
      <c r="P7979" s="17">
        <v>1</v>
      </c>
      <c r="Q7979" s="19">
        <v>2000</v>
      </c>
      <c r="R7979" s="14" t="e">
        <v>#N/A</v>
      </c>
      <c r="S7979" s="19" t="e">
        <v>#N/A</v>
      </c>
      <c r="AJ7979" s="19">
        <v>0</v>
      </c>
      <c r="AK7979" s="23">
        <v>0</v>
      </c>
      <c r="AM7979" s="19">
        <v>0</v>
      </c>
      <c r="AN7979" s="19" t="e">
        <v>#N/A</v>
      </c>
      <c r="AP7979" s="14" t="e">
        <v>#N/A</v>
      </c>
      <c r="AQ7979" s="12">
        <v>1E-4</v>
      </c>
    </row>
    <row r="7980" spans="1:45" x14ac:dyDescent="0.2">
      <c r="A7980" s="2">
        <v>6609</v>
      </c>
      <c r="B7980" s="13">
        <v>1</v>
      </c>
      <c r="C7980" s="17" t="s">
        <v>52</v>
      </c>
      <c r="D7980" s="17">
        <v>478</v>
      </c>
      <c r="E7980" s="17">
        <v>501</v>
      </c>
      <c r="F7980" s="17">
        <v>55</v>
      </c>
      <c r="G7980" s="13">
        <v>2</v>
      </c>
      <c r="H7980" s="17">
        <v>8</v>
      </c>
      <c r="I7980" s="17">
        <v>2</v>
      </c>
      <c r="J7980" s="17">
        <v>75.069999999999993</v>
      </c>
      <c r="K7980" s="10">
        <v>3475</v>
      </c>
      <c r="P7980" s="17">
        <v>1</v>
      </c>
      <c r="Q7980" s="19">
        <v>3475.07</v>
      </c>
      <c r="R7980" s="14">
        <v>200</v>
      </c>
      <c r="S7980" s="19">
        <v>695014</v>
      </c>
      <c r="AJ7980" s="19">
        <v>0</v>
      </c>
      <c r="AK7980" s="23">
        <v>0</v>
      </c>
      <c r="AM7980" s="19">
        <v>0</v>
      </c>
      <c r="AN7980" s="19">
        <v>695014</v>
      </c>
      <c r="AP7980" s="14">
        <v>695014</v>
      </c>
      <c r="AS7980" s="26">
        <v>59</v>
      </c>
    </row>
    <row r="7981" spans="1:45" x14ac:dyDescent="0.2">
      <c r="A7981" s="2">
        <f>+A7980+1</f>
        <v>6610</v>
      </c>
      <c r="B7981" s="13">
        <v>2</v>
      </c>
      <c r="C7981" s="17" t="s">
        <v>65</v>
      </c>
      <c r="D7981" s="17">
        <v>179</v>
      </c>
      <c r="E7981" s="17">
        <v>44</v>
      </c>
      <c r="H7981" s="17">
        <v>2</v>
      </c>
      <c r="I7981" s="17">
        <v>1</v>
      </c>
      <c r="J7981" s="17">
        <v>46</v>
      </c>
      <c r="K7981" s="10">
        <v>946</v>
      </c>
      <c r="P7981" s="17">
        <v>1</v>
      </c>
      <c r="Q7981" s="19">
        <v>946</v>
      </c>
      <c r="R7981" s="14">
        <v>1000</v>
      </c>
      <c r="S7981" s="19">
        <v>946000</v>
      </c>
      <c r="AJ7981" s="19">
        <v>0</v>
      </c>
      <c r="AK7981" s="23">
        <v>0</v>
      </c>
      <c r="AM7981" s="19">
        <v>0</v>
      </c>
      <c r="AN7981" s="19">
        <v>946000</v>
      </c>
      <c r="AP7981" s="14">
        <v>946000</v>
      </c>
      <c r="AQ7981" s="12">
        <v>1E-4</v>
      </c>
    </row>
    <row r="7982" spans="1:45" x14ac:dyDescent="0.2">
      <c r="A7982" s="122">
        <f t="shared" ref="A7982:A8003" si="766">+A7981+1</f>
        <v>6611</v>
      </c>
      <c r="B7982" s="13">
        <v>3</v>
      </c>
      <c r="C7982" s="17" t="s">
        <v>65</v>
      </c>
      <c r="D7982" s="17">
        <v>180</v>
      </c>
      <c r="E7982" s="17">
        <v>45</v>
      </c>
      <c r="H7982" s="17">
        <v>1</v>
      </c>
      <c r="I7982" s="17">
        <v>3</v>
      </c>
      <c r="J7982" s="17">
        <v>16</v>
      </c>
      <c r="K7982" s="10">
        <v>716</v>
      </c>
      <c r="P7982" s="17">
        <v>1</v>
      </c>
      <c r="Q7982" s="19">
        <v>716</v>
      </c>
      <c r="R7982" s="14">
        <v>1000</v>
      </c>
      <c r="S7982" s="19">
        <v>716000</v>
      </c>
      <c r="AJ7982" s="19">
        <v>0</v>
      </c>
      <c r="AK7982" s="23">
        <v>0</v>
      </c>
      <c r="AM7982" s="19">
        <v>0</v>
      </c>
      <c r="AN7982" s="19">
        <v>716000</v>
      </c>
      <c r="AP7982" s="14">
        <v>716000</v>
      </c>
      <c r="AQ7982" s="12">
        <v>1E-4</v>
      </c>
    </row>
    <row r="7983" spans="1:45" x14ac:dyDescent="0.2">
      <c r="A7983" s="122">
        <f t="shared" si="766"/>
        <v>6612</v>
      </c>
      <c r="B7983" s="13">
        <v>1</v>
      </c>
      <c r="C7983" s="17" t="s">
        <v>52</v>
      </c>
      <c r="D7983" s="17">
        <v>2138</v>
      </c>
      <c r="E7983" s="17">
        <v>1</v>
      </c>
      <c r="F7983" s="17">
        <v>1701</v>
      </c>
      <c r="G7983" s="13">
        <v>4</v>
      </c>
      <c r="H7983" s="17">
        <v>1</v>
      </c>
      <c r="I7983" s="17">
        <v>1</v>
      </c>
      <c r="J7983" s="17">
        <v>45</v>
      </c>
      <c r="N7983" s="18">
        <v>545</v>
      </c>
      <c r="P7983" s="17">
        <v>4</v>
      </c>
      <c r="Q7983" s="19">
        <v>545</v>
      </c>
      <c r="R7983" s="14">
        <v>2000</v>
      </c>
      <c r="S7983" s="19">
        <v>1090000</v>
      </c>
      <c r="AJ7983" s="19">
        <v>0</v>
      </c>
      <c r="AK7983" s="23">
        <v>0</v>
      </c>
      <c r="AM7983" s="19">
        <v>0</v>
      </c>
      <c r="AN7983" s="19">
        <v>1090000</v>
      </c>
      <c r="AP7983" s="14">
        <v>1090000</v>
      </c>
      <c r="AQ7983" s="12">
        <v>3.0000000000000001E-3</v>
      </c>
    </row>
    <row r="7984" spans="1:45" ht="63" x14ac:dyDescent="0.2">
      <c r="A7984" s="122">
        <f t="shared" si="766"/>
        <v>6613</v>
      </c>
      <c r="B7984" s="13">
        <v>2</v>
      </c>
      <c r="C7984" s="17" t="s">
        <v>52</v>
      </c>
      <c r="D7984" s="17">
        <v>2361</v>
      </c>
      <c r="E7984" s="17">
        <v>3</v>
      </c>
      <c r="F7984" s="17">
        <v>1699</v>
      </c>
      <c r="G7984" s="13">
        <v>4</v>
      </c>
      <c r="H7984" s="17">
        <v>0</v>
      </c>
      <c r="I7984" s="17">
        <v>0</v>
      </c>
      <c r="J7984" s="17">
        <v>87</v>
      </c>
      <c r="L7984" s="17" t="s">
        <v>823</v>
      </c>
      <c r="P7984" s="17">
        <v>2</v>
      </c>
      <c r="Q7984" s="19">
        <v>87</v>
      </c>
      <c r="R7984" s="14">
        <v>1300</v>
      </c>
      <c r="S7984" s="19">
        <v>113100</v>
      </c>
      <c r="T7984" s="17">
        <v>1</v>
      </c>
      <c r="U7984" s="17" t="s">
        <v>57</v>
      </c>
      <c r="V7984" s="17" t="s">
        <v>56</v>
      </c>
      <c r="W7984" s="4" t="s">
        <v>824</v>
      </c>
      <c r="Y7984" s="4" t="s">
        <v>824</v>
      </c>
      <c r="AB7984" s="17">
        <v>16</v>
      </c>
      <c r="AE7984" s="17" t="s">
        <v>125</v>
      </c>
      <c r="AF7984" s="14">
        <v>3</v>
      </c>
      <c r="AG7984" s="54">
        <v>544</v>
      </c>
      <c r="AH7984" s="11">
        <v>1</v>
      </c>
      <c r="AI7984" s="14">
        <v>8100</v>
      </c>
      <c r="AJ7984" s="19">
        <v>4406400</v>
      </c>
      <c r="AK7984" s="23">
        <v>16</v>
      </c>
      <c r="AL7984" s="11">
        <v>0.22</v>
      </c>
      <c r="AM7984" s="19">
        <v>3436992</v>
      </c>
      <c r="AN7984" s="19">
        <v>3550092</v>
      </c>
      <c r="AP7984" s="14">
        <v>3550092</v>
      </c>
      <c r="AQ7984" s="12">
        <v>3.0000000000000001E-3</v>
      </c>
    </row>
    <row r="7985" spans="1:45" x14ac:dyDescent="0.2">
      <c r="A7985" s="122">
        <f t="shared" si="766"/>
        <v>6614</v>
      </c>
      <c r="B7985" s="13">
        <v>3</v>
      </c>
      <c r="C7985" s="17" t="s">
        <v>52</v>
      </c>
      <c r="D7985" s="17">
        <v>18022</v>
      </c>
      <c r="E7985" s="17">
        <v>20</v>
      </c>
      <c r="F7985" s="17">
        <v>3971</v>
      </c>
      <c r="G7985" s="13">
        <v>4</v>
      </c>
      <c r="H7985" s="17">
        <v>3</v>
      </c>
      <c r="I7985" s="17">
        <v>0</v>
      </c>
      <c r="J7985" s="17">
        <v>6</v>
      </c>
      <c r="K7985" s="10">
        <v>126</v>
      </c>
      <c r="P7985" s="17">
        <v>1</v>
      </c>
      <c r="Q7985" s="19">
        <v>1206</v>
      </c>
      <c r="R7985" s="14">
        <v>1500</v>
      </c>
      <c r="S7985" s="19">
        <v>1809000</v>
      </c>
      <c r="AJ7985" s="19">
        <v>0</v>
      </c>
      <c r="AK7985" s="23">
        <v>0</v>
      </c>
      <c r="AM7985" s="19">
        <v>0</v>
      </c>
      <c r="AN7985" s="19">
        <v>1809000</v>
      </c>
      <c r="AP7985" s="14">
        <v>1809000</v>
      </c>
    </row>
    <row r="7986" spans="1:45" x14ac:dyDescent="0.2">
      <c r="A7986" s="122">
        <f t="shared" si="766"/>
        <v>6615</v>
      </c>
      <c r="B7986" s="13">
        <v>4</v>
      </c>
      <c r="C7986" s="17" t="s">
        <v>52</v>
      </c>
      <c r="D7986" s="17">
        <v>18132</v>
      </c>
      <c r="E7986" s="17">
        <v>16</v>
      </c>
      <c r="F7986" s="17">
        <v>4054</v>
      </c>
      <c r="G7986" s="13">
        <v>4</v>
      </c>
      <c r="H7986" s="17">
        <v>9</v>
      </c>
      <c r="I7986" s="17">
        <v>1</v>
      </c>
      <c r="J7986" s="17">
        <v>1</v>
      </c>
      <c r="N7986" s="18">
        <v>3701</v>
      </c>
      <c r="P7986" s="17">
        <v>4</v>
      </c>
      <c r="Q7986" s="19">
        <v>3701</v>
      </c>
      <c r="R7986" s="14">
        <v>1500</v>
      </c>
      <c r="S7986" s="19">
        <v>5551500</v>
      </c>
      <c r="AJ7986" s="19">
        <v>0</v>
      </c>
      <c r="AK7986" s="23">
        <v>0</v>
      </c>
      <c r="AM7986" s="19">
        <v>0</v>
      </c>
      <c r="AN7986" s="19">
        <v>5551500</v>
      </c>
      <c r="AP7986" s="14">
        <v>5551500</v>
      </c>
      <c r="AQ7986" s="12">
        <v>3.0000000000000001E-3</v>
      </c>
    </row>
    <row r="7987" spans="1:45" x14ac:dyDescent="0.2">
      <c r="A7987" s="122">
        <f t="shared" si="766"/>
        <v>6616</v>
      </c>
      <c r="B7987" s="13">
        <v>5</v>
      </c>
      <c r="C7987" s="17" t="s">
        <v>52</v>
      </c>
      <c r="D7987" s="17">
        <v>18133</v>
      </c>
      <c r="E7987" s="17">
        <v>9</v>
      </c>
      <c r="F7987" s="17">
        <v>4055</v>
      </c>
      <c r="G7987" s="13">
        <v>4</v>
      </c>
      <c r="H7987" s="17">
        <v>0</v>
      </c>
      <c r="I7987" s="17">
        <v>0</v>
      </c>
      <c r="J7987" s="17">
        <v>30</v>
      </c>
      <c r="N7987" s="18">
        <v>30</v>
      </c>
      <c r="P7987" s="17">
        <v>4</v>
      </c>
      <c r="Q7987" s="19">
        <v>30</v>
      </c>
      <c r="R7987" s="14">
        <v>2000</v>
      </c>
      <c r="S7987" s="19">
        <v>60000</v>
      </c>
      <c r="AJ7987" s="19">
        <v>0</v>
      </c>
      <c r="AK7987" s="23">
        <v>0</v>
      </c>
      <c r="AM7987" s="19">
        <v>0</v>
      </c>
      <c r="AN7987" s="19">
        <v>60000</v>
      </c>
      <c r="AP7987" s="14">
        <v>60000</v>
      </c>
      <c r="AQ7987" s="12">
        <v>3.0000000000000001E-3</v>
      </c>
    </row>
    <row r="7988" spans="1:45" x14ac:dyDescent="0.2">
      <c r="A7988" s="122">
        <f t="shared" si="766"/>
        <v>6617</v>
      </c>
      <c r="B7988" s="13">
        <v>6</v>
      </c>
      <c r="C7988" s="17" t="s">
        <v>52</v>
      </c>
      <c r="D7988" s="17">
        <v>18134</v>
      </c>
      <c r="E7988" s="17">
        <v>8</v>
      </c>
      <c r="F7988" s="17">
        <v>4056</v>
      </c>
      <c r="G7988" s="13">
        <v>4</v>
      </c>
      <c r="H7988" s="17">
        <v>0</v>
      </c>
      <c r="I7988" s="17">
        <v>0</v>
      </c>
      <c r="J7988" s="17">
        <v>31</v>
      </c>
      <c r="N7988" s="18">
        <v>31</v>
      </c>
      <c r="P7988" s="17">
        <v>4</v>
      </c>
      <c r="Q7988" s="19">
        <v>31</v>
      </c>
      <c r="R7988" s="14">
        <v>2000</v>
      </c>
      <c r="S7988" s="19">
        <v>62000</v>
      </c>
      <c r="AJ7988" s="19">
        <v>0</v>
      </c>
      <c r="AK7988" s="23">
        <v>0</v>
      </c>
      <c r="AM7988" s="19">
        <v>0</v>
      </c>
      <c r="AN7988" s="19">
        <v>62000</v>
      </c>
      <c r="AP7988" s="14">
        <v>62000</v>
      </c>
      <c r="AQ7988" s="12">
        <v>3.0000000000000001E-3</v>
      </c>
    </row>
    <row r="7989" spans="1:45" x14ac:dyDescent="0.2">
      <c r="A7989" s="122">
        <f t="shared" si="766"/>
        <v>6618</v>
      </c>
      <c r="B7989" s="13">
        <v>7</v>
      </c>
      <c r="C7989" s="17" t="s">
        <v>52</v>
      </c>
      <c r="D7989" s="17">
        <v>18135</v>
      </c>
      <c r="E7989" s="17">
        <v>7</v>
      </c>
      <c r="F7989" s="17">
        <v>4057</v>
      </c>
      <c r="G7989" s="13">
        <v>4</v>
      </c>
      <c r="H7989" s="17">
        <v>0</v>
      </c>
      <c r="I7989" s="17">
        <v>0</v>
      </c>
      <c r="J7989" s="17">
        <v>31</v>
      </c>
      <c r="N7989" s="18">
        <v>31</v>
      </c>
      <c r="P7989" s="17">
        <v>4</v>
      </c>
      <c r="Q7989" s="19">
        <v>31</v>
      </c>
      <c r="R7989" s="14">
        <v>2000</v>
      </c>
      <c r="S7989" s="19">
        <v>62000</v>
      </c>
      <c r="AJ7989" s="19">
        <v>0</v>
      </c>
      <c r="AK7989" s="23">
        <v>0</v>
      </c>
      <c r="AM7989" s="19">
        <v>0</v>
      </c>
      <c r="AN7989" s="19">
        <v>62000</v>
      </c>
      <c r="AP7989" s="14">
        <v>62000</v>
      </c>
      <c r="AQ7989" s="12">
        <v>3.0000000000000001E-3</v>
      </c>
    </row>
    <row r="7990" spans="1:45" x14ac:dyDescent="0.2">
      <c r="A7990" s="122">
        <f t="shared" si="766"/>
        <v>6619</v>
      </c>
      <c r="B7990" s="13">
        <v>8</v>
      </c>
      <c r="C7990" s="17" t="s">
        <v>52</v>
      </c>
      <c r="D7990" s="17">
        <v>18136</v>
      </c>
      <c r="E7990" s="17">
        <v>6</v>
      </c>
      <c r="F7990" s="17">
        <v>4058</v>
      </c>
      <c r="G7990" s="13">
        <v>4</v>
      </c>
      <c r="H7990" s="17">
        <v>0</v>
      </c>
      <c r="I7990" s="17">
        <v>0</v>
      </c>
      <c r="J7990" s="17">
        <v>31</v>
      </c>
      <c r="N7990" s="18">
        <v>31</v>
      </c>
      <c r="P7990" s="17">
        <v>4</v>
      </c>
      <c r="Q7990" s="19">
        <v>31</v>
      </c>
      <c r="R7990" s="14">
        <v>2000</v>
      </c>
      <c r="S7990" s="19">
        <v>62000</v>
      </c>
      <c r="AJ7990" s="19">
        <v>0</v>
      </c>
      <c r="AK7990" s="23">
        <v>0</v>
      </c>
      <c r="AM7990" s="19">
        <v>0</v>
      </c>
      <c r="AN7990" s="19">
        <v>62000</v>
      </c>
      <c r="AP7990" s="14">
        <v>62000</v>
      </c>
      <c r="AQ7990" s="12">
        <v>3.0000000000000001E-3</v>
      </c>
    </row>
    <row r="7991" spans="1:45" x14ac:dyDescent="0.2">
      <c r="A7991" s="122">
        <f t="shared" si="766"/>
        <v>6620</v>
      </c>
      <c r="B7991" s="13">
        <v>9</v>
      </c>
      <c r="C7991" s="17" t="s">
        <v>52</v>
      </c>
      <c r="D7991" s="17">
        <v>18137</v>
      </c>
      <c r="E7991" s="17">
        <v>5</v>
      </c>
      <c r="F7991" s="17">
        <v>4059</v>
      </c>
      <c r="G7991" s="13">
        <v>4</v>
      </c>
      <c r="H7991" s="17">
        <v>0</v>
      </c>
      <c r="I7991" s="17">
        <v>0</v>
      </c>
      <c r="J7991" s="17">
        <v>31</v>
      </c>
      <c r="N7991" s="18">
        <v>31</v>
      </c>
      <c r="P7991" s="17">
        <v>4</v>
      </c>
      <c r="Q7991" s="19">
        <v>31</v>
      </c>
      <c r="R7991" s="14">
        <v>2000</v>
      </c>
      <c r="S7991" s="19">
        <v>62000</v>
      </c>
      <c r="AJ7991" s="19">
        <v>0</v>
      </c>
      <c r="AK7991" s="23">
        <v>0</v>
      </c>
      <c r="AM7991" s="19">
        <v>0</v>
      </c>
      <c r="AN7991" s="19">
        <v>62000</v>
      </c>
      <c r="AP7991" s="14">
        <v>62000</v>
      </c>
      <c r="AQ7991" s="12">
        <v>3.0000000000000001E-3</v>
      </c>
    </row>
    <row r="7992" spans="1:45" x14ac:dyDescent="0.2">
      <c r="A7992" s="122">
        <f t="shared" si="766"/>
        <v>6621</v>
      </c>
      <c r="B7992" s="13">
        <v>10</v>
      </c>
      <c r="C7992" s="17" t="s">
        <v>52</v>
      </c>
      <c r="D7992" s="17">
        <v>18138</v>
      </c>
      <c r="E7992" s="17">
        <v>4</v>
      </c>
      <c r="F7992" s="17">
        <v>4060</v>
      </c>
      <c r="G7992" s="13">
        <v>4</v>
      </c>
      <c r="H7992" s="17">
        <v>0</v>
      </c>
      <c r="I7992" s="17">
        <v>0</v>
      </c>
      <c r="J7992" s="17">
        <v>31</v>
      </c>
      <c r="N7992" s="18">
        <v>31</v>
      </c>
      <c r="P7992" s="17">
        <v>4</v>
      </c>
      <c r="Q7992" s="19">
        <v>31</v>
      </c>
      <c r="R7992" s="14">
        <v>2000</v>
      </c>
      <c r="S7992" s="19">
        <v>62000</v>
      </c>
      <c r="AJ7992" s="19">
        <v>0</v>
      </c>
      <c r="AK7992" s="23">
        <v>0</v>
      </c>
      <c r="AM7992" s="19">
        <v>0</v>
      </c>
      <c r="AN7992" s="19">
        <v>62000</v>
      </c>
      <c r="AP7992" s="14">
        <v>62000</v>
      </c>
      <c r="AQ7992" s="12">
        <v>3.0000000000000001E-3</v>
      </c>
    </row>
    <row r="7993" spans="1:45" x14ac:dyDescent="0.2">
      <c r="A7993" s="122">
        <f t="shared" si="766"/>
        <v>6622</v>
      </c>
      <c r="B7993" s="13">
        <v>11</v>
      </c>
      <c r="C7993" s="17" t="s">
        <v>52</v>
      </c>
      <c r="D7993" s="17">
        <v>18139</v>
      </c>
      <c r="E7993" s="17">
        <v>3</v>
      </c>
      <c r="F7993" s="17">
        <v>4061</v>
      </c>
      <c r="G7993" s="13">
        <v>4</v>
      </c>
      <c r="H7993" s="17">
        <v>0</v>
      </c>
      <c r="I7993" s="17">
        <v>0</v>
      </c>
      <c r="J7993" s="17">
        <v>31</v>
      </c>
      <c r="N7993" s="18">
        <v>31</v>
      </c>
      <c r="P7993" s="17">
        <v>4</v>
      </c>
      <c r="Q7993" s="19">
        <v>31</v>
      </c>
      <c r="R7993" s="14">
        <v>2000</v>
      </c>
      <c r="S7993" s="19">
        <v>62000</v>
      </c>
      <c r="AJ7993" s="19">
        <v>0</v>
      </c>
      <c r="AK7993" s="23">
        <v>0</v>
      </c>
      <c r="AM7993" s="19">
        <v>0</v>
      </c>
      <c r="AN7993" s="19">
        <v>62000</v>
      </c>
      <c r="AP7993" s="14">
        <v>62000</v>
      </c>
      <c r="AQ7993" s="12">
        <v>3.0000000000000001E-3</v>
      </c>
    </row>
    <row r="7994" spans="1:45" x14ac:dyDescent="0.2">
      <c r="A7994" s="122">
        <f t="shared" si="766"/>
        <v>6623</v>
      </c>
      <c r="B7994" s="13">
        <v>12</v>
      </c>
      <c r="C7994" s="17" t="s">
        <v>52</v>
      </c>
      <c r="D7994" s="17">
        <v>18140</v>
      </c>
      <c r="E7994" s="17">
        <v>2</v>
      </c>
      <c r="F7994" s="17">
        <v>4062</v>
      </c>
      <c r="G7994" s="13">
        <v>4</v>
      </c>
      <c r="H7994" s="17">
        <v>0</v>
      </c>
      <c r="I7994" s="17">
        <v>0</v>
      </c>
      <c r="J7994" s="17">
        <v>31</v>
      </c>
      <c r="N7994" s="18">
        <v>31</v>
      </c>
      <c r="P7994" s="17">
        <v>4</v>
      </c>
      <c r="Q7994" s="19">
        <v>31</v>
      </c>
      <c r="R7994" s="14">
        <v>2000</v>
      </c>
      <c r="S7994" s="19">
        <v>62000</v>
      </c>
      <c r="AJ7994" s="19">
        <v>0</v>
      </c>
      <c r="AK7994" s="23">
        <v>0</v>
      </c>
      <c r="AM7994" s="19">
        <v>0</v>
      </c>
      <c r="AN7994" s="19">
        <v>62000</v>
      </c>
      <c r="AP7994" s="14">
        <v>62000</v>
      </c>
      <c r="AQ7994" s="12">
        <v>3.0000000000000001E-3</v>
      </c>
    </row>
    <row r="7995" spans="1:45" x14ac:dyDescent="0.2">
      <c r="A7995" s="122">
        <f t="shared" si="766"/>
        <v>6624</v>
      </c>
      <c r="B7995" s="13">
        <v>13</v>
      </c>
      <c r="C7995" s="17" t="s">
        <v>52</v>
      </c>
      <c r="D7995" s="17">
        <v>28839</v>
      </c>
      <c r="E7995" s="17">
        <v>8</v>
      </c>
      <c r="F7995" s="17">
        <v>5474</v>
      </c>
      <c r="G7995" s="13">
        <v>4</v>
      </c>
      <c r="H7995" s="17">
        <v>0</v>
      </c>
      <c r="I7995" s="17">
        <v>0</v>
      </c>
      <c r="J7995" s="17">
        <v>47</v>
      </c>
      <c r="N7995" s="18">
        <v>47</v>
      </c>
      <c r="P7995" s="17">
        <v>4</v>
      </c>
      <c r="Q7995" s="19">
        <v>47</v>
      </c>
      <c r="R7995" s="14">
        <v>2000</v>
      </c>
      <c r="S7995" s="19">
        <v>94000</v>
      </c>
      <c r="AJ7995" s="19">
        <v>0</v>
      </c>
      <c r="AK7995" s="23">
        <v>0</v>
      </c>
      <c r="AM7995" s="19">
        <v>0</v>
      </c>
      <c r="AN7995" s="19">
        <v>94000</v>
      </c>
      <c r="AP7995" s="14">
        <v>94000</v>
      </c>
      <c r="AQ7995" s="12">
        <v>3.0000000000000001E-3</v>
      </c>
    </row>
    <row r="7996" spans="1:45" x14ac:dyDescent="0.2">
      <c r="A7996" s="122">
        <f t="shared" si="766"/>
        <v>6625</v>
      </c>
      <c r="B7996" s="13">
        <v>14</v>
      </c>
      <c r="C7996" s="17" t="s">
        <v>52</v>
      </c>
      <c r="D7996" s="17">
        <v>28843</v>
      </c>
      <c r="E7996" s="17">
        <v>60</v>
      </c>
      <c r="F7996" s="17">
        <v>5478</v>
      </c>
      <c r="G7996" s="13">
        <v>4</v>
      </c>
      <c r="H7996" s="17">
        <v>1</v>
      </c>
      <c r="I7996" s="17">
        <v>0</v>
      </c>
      <c r="J7996" s="17">
        <v>36</v>
      </c>
      <c r="N7996" s="18">
        <v>436</v>
      </c>
      <c r="P7996" s="17">
        <v>4</v>
      </c>
      <c r="Q7996" s="19">
        <v>436</v>
      </c>
      <c r="R7996" s="14">
        <v>1000</v>
      </c>
      <c r="S7996" s="19">
        <v>436000</v>
      </c>
      <c r="AJ7996" s="19">
        <v>0</v>
      </c>
      <c r="AK7996" s="23">
        <v>0</v>
      </c>
      <c r="AM7996" s="19">
        <v>0</v>
      </c>
      <c r="AN7996" s="19">
        <v>436000</v>
      </c>
      <c r="AP7996" s="14">
        <v>436000</v>
      </c>
      <c r="AQ7996" s="12">
        <v>3.0000000000000001E-3</v>
      </c>
    </row>
    <row r="7997" spans="1:45" x14ac:dyDescent="0.2">
      <c r="A7997" s="122">
        <f t="shared" si="766"/>
        <v>6626</v>
      </c>
      <c r="B7997" s="13">
        <v>1</v>
      </c>
      <c r="C7997" s="17" t="s">
        <v>52</v>
      </c>
      <c r="D7997" s="17">
        <v>480</v>
      </c>
      <c r="E7997" s="17">
        <v>501</v>
      </c>
      <c r="F7997" s="17">
        <v>58</v>
      </c>
      <c r="G7997" s="13">
        <v>1</v>
      </c>
      <c r="H7997" s="17">
        <v>13</v>
      </c>
      <c r="I7997" s="17">
        <v>0</v>
      </c>
      <c r="J7997" s="17">
        <v>2</v>
      </c>
      <c r="K7997" s="10">
        <v>5202</v>
      </c>
      <c r="P7997" s="17">
        <v>1</v>
      </c>
      <c r="Q7997" s="19">
        <v>5202</v>
      </c>
      <c r="R7997" s="14">
        <v>200</v>
      </c>
      <c r="S7997" s="19">
        <v>1040400</v>
      </c>
      <c r="AJ7997" s="19">
        <v>0</v>
      </c>
      <c r="AK7997" s="23">
        <v>0</v>
      </c>
      <c r="AM7997" s="19">
        <v>0</v>
      </c>
      <c r="AN7997" s="19">
        <v>1040400</v>
      </c>
      <c r="AP7997" s="14">
        <v>1040400</v>
      </c>
      <c r="AQ7997" s="12">
        <v>1E-4</v>
      </c>
      <c r="AS7997" s="26">
        <v>328</v>
      </c>
    </row>
    <row r="7998" spans="1:45" x14ac:dyDescent="0.2">
      <c r="A7998" s="122">
        <f t="shared" si="766"/>
        <v>6627</v>
      </c>
      <c r="B7998" s="13">
        <v>2</v>
      </c>
      <c r="C7998" s="17" t="s">
        <v>52</v>
      </c>
      <c r="D7998" s="17">
        <v>481</v>
      </c>
      <c r="E7998" s="17">
        <v>501</v>
      </c>
      <c r="F7998" s="17">
        <v>57</v>
      </c>
      <c r="G7998" s="13">
        <v>1</v>
      </c>
      <c r="H7998" s="17">
        <v>14</v>
      </c>
      <c r="I7998" s="17">
        <v>2</v>
      </c>
      <c r="J7998" s="17">
        <v>21.03</v>
      </c>
      <c r="K7998" s="10">
        <v>5821</v>
      </c>
      <c r="P7998" s="17">
        <v>1</v>
      </c>
      <c r="Q7998" s="19">
        <v>5821.03</v>
      </c>
      <c r="R7998" s="14">
        <v>160</v>
      </c>
      <c r="S7998" s="19">
        <v>931364.79999999993</v>
      </c>
      <c r="AJ7998" s="19">
        <v>0</v>
      </c>
      <c r="AK7998" s="23">
        <v>0</v>
      </c>
      <c r="AM7998" s="19">
        <v>0</v>
      </c>
      <c r="AN7998" s="19">
        <v>931364.79999999993</v>
      </c>
      <c r="AP7998" s="14">
        <v>931364.79999999993</v>
      </c>
      <c r="AQ7998" s="12">
        <v>1E-4</v>
      </c>
    </row>
    <row r="7999" spans="1:45" ht="252" x14ac:dyDescent="0.2">
      <c r="A7999" s="122">
        <f t="shared" si="766"/>
        <v>6628</v>
      </c>
      <c r="B7999" s="13">
        <v>1</v>
      </c>
      <c r="C7999" s="17" t="s">
        <v>52</v>
      </c>
      <c r="D7999" s="17">
        <v>903</v>
      </c>
      <c r="E7999" s="17">
        <v>41</v>
      </c>
      <c r="F7999" s="17">
        <v>201</v>
      </c>
      <c r="G7999" s="13">
        <v>1</v>
      </c>
      <c r="H7999" s="17">
        <v>2</v>
      </c>
      <c r="I7999" s="17">
        <v>1</v>
      </c>
      <c r="J7999" s="17">
        <v>47</v>
      </c>
      <c r="M7999" s="15">
        <v>947</v>
      </c>
      <c r="Q7999" s="19">
        <v>947</v>
      </c>
      <c r="R7999" s="14">
        <v>200</v>
      </c>
      <c r="S7999" s="19">
        <v>189400</v>
      </c>
      <c r="AC7999" s="14" t="s">
        <v>825</v>
      </c>
      <c r="AJ7999" s="19">
        <v>0</v>
      </c>
      <c r="AK7999" s="23">
        <v>0</v>
      </c>
      <c r="AM7999" s="19">
        <v>0</v>
      </c>
      <c r="AN7999" s="19">
        <v>189400</v>
      </c>
      <c r="AP7999" s="14">
        <v>189400</v>
      </c>
    </row>
    <row r="8000" spans="1:45" x14ac:dyDescent="0.2">
      <c r="A8000" s="122">
        <f t="shared" si="766"/>
        <v>6629</v>
      </c>
      <c r="B8000" s="13">
        <v>2</v>
      </c>
      <c r="C8000" s="17" t="s">
        <v>52</v>
      </c>
      <c r="D8000" s="17">
        <v>905</v>
      </c>
      <c r="E8000" s="17">
        <v>35</v>
      </c>
      <c r="F8000" s="17">
        <v>203</v>
      </c>
      <c r="G8000" s="13">
        <v>1</v>
      </c>
      <c r="H8000" s="17">
        <v>0</v>
      </c>
      <c r="I8000" s="17">
        <v>2</v>
      </c>
      <c r="J8000" s="17">
        <v>4</v>
      </c>
      <c r="K8000" s="10">
        <v>204</v>
      </c>
      <c r="P8000" s="17">
        <v>1</v>
      </c>
      <c r="Q8000" s="19">
        <v>204</v>
      </c>
      <c r="R8000" s="14">
        <v>250</v>
      </c>
      <c r="S8000" s="19">
        <v>51000</v>
      </c>
      <c r="AJ8000" s="19">
        <v>0</v>
      </c>
      <c r="AK8000" s="23">
        <v>0</v>
      </c>
      <c r="AM8000" s="19">
        <v>0</v>
      </c>
      <c r="AN8000" s="19">
        <v>51000</v>
      </c>
      <c r="AP8000" s="14">
        <v>51000</v>
      </c>
    </row>
    <row r="8001" spans="1:46" x14ac:dyDescent="0.2">
      <c r="A8001" s="122">
        <f t="shared" si="766"/>
        <v>6630</v>
      </c>
      <c r="B8001" s="13">
        <v>3</v>
      </c>
      <c r="C8001" s="17" t="s">
        <v>52</v>
      </c>
      <c r="D8001" s="17">
        <v>1024</v>
      </c>
      <c r="E8001" s="17">
        <v>31</v>
      </c>
      <c r="F8001" s="17">
        <v>313</v>
      </c>
      <c r="G8001" s="13">
        <v>1</v>
      </c>
      <c r="H8001" s="17">
        <v>6</v>
      </c>
      <c r="I8001" s="17">
        <v>0</v>
      </c>
      <c r="J8001" s="17">
        <v>6</v>
      </c>
      <c r="K8001" s="10">
        <v>246</v>
      </c>
      <c r="P8001" s="17">
        <v>1</v>
      </c>
      <c r="Q8001" s="19">
        <v>2406</v>
      </c>
      <c r="R8001" s="14">
        <v>160</v>
      </c>
      <c r="S8001" s="19">
        <v>384960</v>
      </c>
      <c r="AJ8001" s="19">
        <v>0</v>
      </c>
      <c r="AK8001" s="23">
        <v>0</v>
      </c>
      <c r="AM8001" s="19">
        <v>0</v>
      </c>
      <c r="AN8001" s="19">
        <v>384960</v>
      </c>
      <c r="AP8001" s="14">
        <v>384960</v>
      </c>
    </row>
    <row r="8002" spans="1:46" ht="63" x14ac:dyDescent="0.2">
      <c r="A8002" s="122">
        <f t="shared" si="766"/>
        <v>6631</v>
      </c>
      <c r="B8002" s="13">
        <v>1</v>
      </c>
      <c r="C8002" s="17" t="s">
        <v>52</v>
      </c>
      <c r="D8002" s="17">
        <v>1075</v>
      </c>
      <c r="E8002" s="17">
        <v>62</v>
      </c>
      <c r="F8002" s="17">
        <v>691</v>
      </c>
      <c r="G8002" s="13">
        <v>1</v>
      </c>
      <c r="H8002" s="17">
        <v>1</v>
      </c>
      <c r="I8002" s="17">
        <v>1</v>
      </c>
      <c r="J8002" s="17">
        <v>1</v>
      </c>
      <c r="K8002" s="10">
        <v>438</v>
      </c>
      <c r="L8002" s="17">
        <v>63</v>
      </c>
      <c r="P8002" s="17">
        <v>5</v>
      </c>
      <c r="Q8002" s="19">
        <v>501</v>
      </c>
      <c r="R8002" s="14">
        <v>200</v>
      </c>
      <c r="S8002" s="19">
        <v>100200</v>
      </c>
      <c r="T8002" s="17">
        <v>1</v>
      </c>
      <c r="U8002" s="17" t="s">
        <v>57</v>
      </c>
      <c r="V8002" s="17" t="s">
        <v>56</v>
      </c>
      <c r="W8002" s="4">
        <v>252</v>
      </c>
      <c r="Z8002" s="17" t="s">
        <v>826</v>
      </c>
      <c r="AB8002" s="17">
        <v>9</v>
      </c>
      <c r="AF8002" s="14">
        <v>3</v>
      </c>
      <c r="AG8002" s="54">
        <v>252</v>
      </c>
      <c r="AH8002" s="11">
        <v>1</v>
      </c>
      <c r="AI8002" s="14">
        <v>7250</v>
      </c>
      <c r="AJ8002" s="19">
        <v>1827000</v>
      </c>
      <c r="AK8002" s="23">
        <v>9</v>
      </c>
      <c r="AL8002" s="11">
        <v>0.09</v>
      </c>
      <c r="AM8002" s="19">
        <v>1662570</v>
      </c>
      <c r="AN8002" s="19">
        <v>1762770</v>
      </c>
      <c r="AP8002" s="14">
        <v>1762770</v>
      </c>
      <c r="AQ8002" s="12">
        <v>3.0000000000000001E-3</v>
      </c>
      <c r="AS8002" s="26">
        <v>8382.0300000000007</v>
      </c>
    </row>
    <row r="8003" spans="1:46" ht="63" x14ac:dyDescent="0.2">
      <c r="A8003" s="122">
        <f t="shared" si="766"/>
        <v>6632</v>
      </c>
      <c r="B8003" s="13">
        <v>2</v>
      </c>
      <c r="C8003" s="17" t="s">
        <v>52</v>
      </c>
      <c r="D8003" s="17">
        <v>11683</v>
      </c>
      <c r="E8003" s="17">
        <v>102</v>
      </c>
      <c r="F8003" s="17">
        <v>3185</v>
      </c>
      <c r="G8003" s="13">
        <v>3</v>
      </c>
      <c r="H8003" s="17">
        <v>0</v>
      </c>
      <c r="I8003" s="17">
        <v>0</v>
      </c>
      <c r="J8003" s="17">
        <v>98.02</v>
      </c>
      <c r="N8003" s="18">
        <v>98.02</v>
      </c>
      <c r="P8003" s="17">
        <v>4</v>
      </c>
      <c r="Q8003" s="19">
        <v>98.02</v>
      </c>
      <c r="R8003" s="14">
        <v>2000</v>
      </c>
      <c r="S8003" s="19">
        <v>196040</v>
      </c>
      <c r="U8003" s="17" t="s">
        <v>57</v>
      </c>
      <c r="V8003" s="17" t="s">
        <v>56</v>
      </c>
      <c r="W8003" s="4">
        <v>144</v>
      </c>
      <c r="Z8003" s="17">
        <v>144</v>
      </c>
      <c r="AB8003" s="17">
        <v>15</v>
      </c>
      <c r="AE8003" s="17" t="s">
        <v>827</v>
      </c>
      <c r="AF8003" s="14">
        <v>3</v>
      </c>
      <c r="AG8003" s="54">
        <v>144</v>
      </c>
      <c r="AH8003" s="11">
        <v>1</v>
      </c>
      <c r="AI8003" s="14">
        <v>7250</v>
      </c>
      <c r="AJ8003" s="19">
        <v>1044000</v>
      </c>
      <c r="AK8003" s="23">
        <v>15</v>
      </c>
      <c r="AL8003" s="11">
        <v>0.2</v>
      </c>
      <c r="AM8003" s="19">
        <v>835200</v>
      </c>
      <c r="AN8003" s="19">
        <v>1031240</v>
      </c>
      <c r="AP8003" s="14">
        <v>1031240</v>
      </c>
      <c r="AQ8003" s="12">
        <v>3.0000000000000001E-3</v>
      </c>
      <c r="AS8003" s="26">
        <v>7543.8270000000011</v>
      </c>
      <c r="AT8003" s="14">
        <v>838.20299999999952</v>
      </c>
    </row>
    <row r="8004" spans="1:46" x14ac:dyDescent="0.2">
      <c r="B8004" s="13">
        <v>3</v>
      </c>
      <c r="C8004" s="17" t="s">
        <v>65</v>
      </c>
      <c r="D8004" s="17">
        <v>2930</v>
      </c>
      <c r="E8004" s="17">
        <v>416</v>
      </c>
      <c r="H8004" s="17">
        <v>0</v>
      </c>
      <c r="I8004" s="17">
        <v>1</v>
      </c>
      <c r="J8004" s="17">
        <v>78</v>
      </c>
      <c r="K8004" s="10">
        <v>178</v>
      </c>
      <c r="P8004" s="17">
        <v>1</v>
      </c>
      <c r="Q8004" s="19">
        <v>178</v>
      </c>
      <c r="R8004" s="14" t="e">
        <v>#N/A</v>
      </c>
      <c r="S8004" s="19" t="e">
        <v>#N/A</v>
      </c>
      <c r="AJ8004" s="19">
        <v>0</v>
      </c>
      <c r="AK8004" s="23">
        <v>0</v>
      </c>
      <c r="AM8004" s="19">
        <v>0</v>
      </c>
      <c r="AN8004" s="19" t="e">
        <v>#N/A</v>
      </c>
      <c r="AO8004" s="14" t="e">
        <v>#N/A</v>
      </c>
      <c r="AP8004" s="14" t="e">
        <v>#N/A</v>
      </c>
      <c r="AQ8004" s="12">
        <v>1E-4</v>
      </c>
    </row>
    <row r="8005" spans="1:46" x14ac:dyDescent="0.2">
      <c r="A8005" s="2">
        <v>6633</v>
      </c>
      <c r="B8005" s="13">
        <v>1</v>
      </c>
      <c r="C8005" s="17" t="s">
        <v>52</v>
      </c>
      <c r="D8005" s="17">
        <v>1090</v>
      </c>
      <c r="E8005" s="17">
        <v>24</v>
      </c>
      <c r="F8005" s="17">
        <v>979</v>
      </c>
      <c r="G8005" s="13">
        <v>1</v>
      </c>
      <c r="H8005" s="17">
        <v>2</v>
      </c>
      <c r="I8005" s="17">
        <v>0</v>
      </c>
      <c r="J8005" s="17">
        <v>9</v>
      </c>
      <c r="K8005" s="10">
        <v>252</v>
      </c>
      <c r="P8005" s="17">
        <v>1</v>
      </c>
      <c r="Q8005" s="19">
        <v>809</v>
      </c>
      <c r="R8005" s="14">
        <v>160</v>
      </c>
      <c r="S8005" s="19">
        <v>129440</v>
      </c>
      <c r="AJ8005" s="19">
        <v>0</v>
      </c>
      <c r="AK8005" s="23">
        <v>0</v>
      </c>
      <c r="AM8005" s="19">
        <v>0</v>
      </c>
      <c r="AN8005" s="19">
        <v>129440</v>
      </c>
      <c r="AP8005" s="14">
        <v>129440</v>
      </c>
    </row>
    <row r="8006" spans="1:46" x14ac:dyDescent="0.2">
      <c r="A8006" s="2">
        <f>+A8005+1</f>
        <v>6634</v>
      </c>
      <c r="B8006" s="13">
        <v>1</v>
      </c>
      <c r="C8006" s="17" t="s">
        <v>52</v>
      </c>
      <c r="D8006" s="17">
        <v>1107</v>
      </c>
      <c r="E8006" s="17">
        <v>5</v>
      </c>
      <c r="F8006" s="17">
        <v>996</v>
      </c>
      <c r="G8006" s="13">
        <v>1</v>
      </c>
      <c r="H8006" s="17">
        <v>0</v>
      </c>
      <c r="I8006" s="17">
        <v>2</v>
      </c>
      <c r="J8006" s="17">
        <v>45</v>
      </c>
      <c r="K8006" s="10">
        <v>245</v>
      </c>
      <c r="P8006" s="17">
        <v>1</v>
      </c>
      <c r="Q8006" s="19">
        <v>245</v>
      </c>
      <c r="R8006" s="14">
        <v>160</v>
      </c>
      <c r="S8006" s="19">
        <v>39200</v>
      </c>
      <c r="AJ8006" s="19">
        <v>0</v>
      </c>
      <c r="AK8006" s="23">
        <v>0</v>
      </c>
      <c r="AM8006" s="19">
        <v>0</v>
      </c>
      <c r="AN8006" s="19">
        <v>39200</v>
      </c>
      <c r="AP8006" s="14">
        <v>39200</v>
      </c>
    </row>
    <row r="8007" spans="1:46" x14ac:dyDescent="0.2">
      <c r="A8007" s="122">
        <f t="shared" ref="A8007:A8010" si="767">+A8006+1</f>
        <v>6635</v>
      </c>
      <c r="B8007" s="13">
        <v>1</v>
      </c>
      <c r="C8007" s="17" t="s">
        <v>52</v>
      </c>
      <c r="D8007" s="17">
        <v>898</v>
      </c>
      <c r="E8007" s="17">
        <v>52</v>
      </c>
      <c r="F8007" s="17">
        <v>193</v>
      </c>
      <c r="G8007" s="13">
        <v>1</v>
      </c>
      <c r="H8007" s="17">
        <v>0</v>
      </c>
      <c r="I8007" s="17">
        <v>0</v>
      </c>
      <c r="J8007" s="17">
        <v>67</v>
      </c>
      <c r="M8007" s="15">
        <v>67</v>
      </c>
      <c r="P8007" s="17">
        <v>3</v>
      </c>
      <c r="Q8007" s="19">
        <v>67</v>
      </c>
      <c r="R8007" s="14">
        <v>250</v>
      </c>
      <c r="S8007" s="19">
        <v>16750</v>
      </c>
      <c r="AE8007" s="17" t="s">
        <v>120</v>
      </c>
      <c r="AK8007" s="23">
        <v>0</v>
      </c>
      <c r="AM8007" s="19">
        <v>0</v>
      </c>
      <c r="AN8007" s="19">
        <v>16750</v>
      </c>
      <c r="AP8007" s="14">
        <v>16750</v>
      </c>
      <c r="AQ8007" s="12">
        <v>3.0000000000000001E-3</v>
      </c>
    </row>
    <row r="8008" spans="1:46" x14ac:dyDescent="0.2">
      <c r="A8008" s="122">
        <f t="shared" si="767"/>
        <v>6636</v>
      </c>
      <c r="B8008" s="13">
        <v>2</v>
      </c>
      <c r="C8008" s="17" t="s">
        <v>52</v>
      </c>
      <c r="D8008" s="17">
        <v>1310</v>
      </c>
      <c r="E8008" s="17">
        <v>50</v>
      </c>
      <c r="F8008" s="17">
        <v>565</v>
      </c>
      <c r="G8008" s="13">
        <v>1</v>
      </c>
      <c r="H8008" s="17">
        <v>0</v>
      </c>
      <c r="I8008" s="17">
        <v>0</v>
      </c>
      <c r="J8008" s="17">
        <v>87</v>
      </c>
      <c r="M8008" s="15" t="s">
        <v>823</v>
      </c>
      <c r="P8008" s="17">
        <v>3</v>
      </c>
      <c r="Q8008" s="19">
        <v>87</v>
      </c>
      <c r="R8008" s="14">
        <v>250</v>
      </c>
      <c r="S8008" s="19">
        <v>21750</v>
      </c>
      <c r="AE8008" s="17" t="s">
        <v>120</v>
      </c>
      <c r="AK8008" s="23">
        <v>0</v>
      </c>
      <c r="AM8008" s="19">
        <v>0</v>
      </c>
      <c r="AN8008" s="19">
        <v>21750</v>
      </c>
      <c r="AP8008" s="14">
        <v>21750</v>
      </c>
      <c r="AQ8008" s="12">
        <v>3.0000000000000001E-3</v>
      </c>
    </row>
    <row r="8009" spans="1:46" ht="63" x14ac:dyDescent="0.2">
      <c r="A8009" s="122">
        <f t="shared" si="767"/>
        <v>6637</v>
      </c>
      <c r="U8009" s="17" t="s">
        <v>57</v>
      </c>
      <c r="V8009" s="17" t="s">
        <v>56</v>
      </c>
      <c r="W8009" s="4" t="s">
        <v>559</v>
      </c>
      <c r="Z8009" s="17" t="s">
        <v>559</v>
      </c>
      <c r="AF8009" s="14">
        <v>3</v>
      </c>
      <c r="AG8009" s="54">
        <v>24</v>
      </c>
      <c r="AH8009" s="11">
        <v>1</v>
      </c>
      <c r="AI8009" s="14">
        <v>7250</v>
      </c>
      <c r="AJ8009" s="19">
        <v>174000</v>
      </c>
      <c r="AK8009" s="23">
        <v>0</v>
      </c>
      <c r="AM8009" s="19">
        <v>174000</v>
      </c>
      <c r="AN8009" s="19">
        <v>174000</v>
      </c>
      <c r="AP8009" s="14">
        <v>174000</v>
      </c>
      <c r="AQ8009" s="12">
        <v>3.0000000000000001E-3</v>
      </c>
    </row>
    <row r="8010" spans="1:46" x14ac:dyDescent="0.2">
      <c r="A8010" s="122">
        <f t="shared" si="767"/>
        <v>6638</v>
      </c>
      <c r="B8010" s="13">
        <v>3</v>
      </c>
      <c r="C8010" s="17" t="s">
        <v>52</v>
      </c>
      <c r="D8010" s="17">
        <v>1311</v>
      </c>
      <c r="E8010" s="17">
        <v>51</v>
      </c>
      <c r="F8010" s="17">
        <v>566</v>
      </c>
      <c r="G8010" s="13">
        <v>1</v>
      </c>
      <c r="H8010" s="17">
        <v>0</v>
      </c>
      <c r="I8010" s="17">
        <v>0</v>
      </c>
      <c r="J8010" s="17">
        <v>89</v>
      </c>
      <c r="M8010" s="15">
        <v>89</v>
      </c>
      <c r="P8010" s="17">
        <v>3</v>
      </c>
      <c r="Q8010" s="19">
        <v>89</v>
      </c>
      <c r="R8010" s="14">
        <v>250</v>
      </c>
      <c r="S8010" s="19">
        <v>22250</v>
      </c>
      <c r="AK8010" s="23">
        <v>0</v>
      </c>
      <c r="AM8010" s="19">
        <v>0</v>
      </c>
      <c r="AN8010" s="19">
        <v>22250</v>
      </c>
      <c r="AP8010" s="14">
        <v>22250</v>
      </c>
      <c r="AQ8010" s="12">
        <v>3.0000000000000001E-3</v>
      </c>
    </row>
    <row r="8011" spans="1:46" x14ac:dyDescent="0.2">
      <c r="Q8011" s="19">
        <v>0</v>
      </c>
      <c r="R8011" s="14" t="e">
        <v>#N/A</v>
      </c>
      <c r="S8011" s="19" t="e">
        <v>#N/A</v>
      </c>
      <c r="AJ8011" s="19">
        <v>0</v>
      </c>
      <c r="AK8011" s="23">
        <v>0</v>
      </c>
      <c r="AM8011" s="19">
        <v>0</v>
      </c>
      <c r="AN8011" s="19" t="e">
        <v>#N/A</v>
      </c>
      <c r="AP8011" s="14" t="e">
        <v>#N/A</v>
      </c>
    </row>
    <row r="8012" spans="1:46" x14ac:dyDescent="0.2">
      <c r="A8012" s="2">
        <v>6639</v>
      </c>
      <c r="B8012" s="13">
        <v>1</v>
      </c>
      <c r="C8012" s="17" t="s">
        <v>52</v>
      </c>
      <c r="D8012" s="17">
        <v>2719</v>
      </c>
      <c r="E8012" s="17">
        <v>20</v>
      </c>
      <c r="F8012" s="17">
        <v>1885</v>
      </c>
      <c r="G8012" s="13">
        <v>1</v>
      </c>
      <c r="H8012" s="17">
        <v>19</v>
      </c>
      <c r="I8012" s="17">
        <v>0</v>
      </c>
      <c r="J8012" s="17">
        <v>11</v>
      </c>
      <c r="K8012" s="10">
        <v>7611</v>
      </c>
      <c r="P8012" s="17">
        <v>1</v>
      </c>
      <c r="Q8012" s="19">
        <v>7611</v>
      </c>
      <c r="R8012" s="14">
        <v>200</v>
      </c>
      <c r="S8012" s="19">
        <v>1522200</v>
      </c>
      <c r="AJ8012" s="19">
        <v>0</v>
      </c>
      <c r="AK8012" s="23">
        <v>0</v>
      </c>
      <c r="AM8012" s="19">
        <v>0</v>
      </c>
      <c r="AN8012" s="19">
        <v>1522200</v>
      </c>
      <c r="AP8012" s="14">
        <v>1522200</v>
      </c>
    </row>
    <row r="8013" spans="1:46" x14ac:dyDescent="0.2">
      <c r="A8013" s="2">
        <v>6640</v>
      </c>
      <c r="B8013" s="13">
        <v>1</v>
      </c>
      <c r="C8013" s="17" t="s">
        <v>52</v>
      </c>
      <c r="D8013" s="17">
        <v>4605</v>
      </c>
      <c r="E8013" s="17">
        <v>71</v>
      </c>
      <c r="F8013" s="17">
        <v>2424</v>
      </c>
      <c r="G8013" s="13">
        <v>1</v>
      </c>
      <c r="H8013" s="17">
        <v>8</v>
      </c>
      <c r="I8013" s="17">
        <v>3</v>
      </c>
      <c r="J8013" s="17">
        <v>74</v>
      </c>
      <c r="K8013" s="10">
        <v>3574</v>
      </c>
      <c r="P8013" s="17">
        <v>1</v>
      </c>
      <c r="Q8013" s="19">
        <v>3574</v>
      </c>
      <c r="R8013" s="14">
        <v>200</v>
      </c>
      <c r="S8013" s="19">
        <v>714800</v>
      </c>
      <c r="AJ8013" s="19">
        <v>0</v>
      </c>
      <c r="AK8013" s="23">
        <v>0</v>
      </c>
      <c r="AM8013" s="19">
        <v>0</v>
      </c>
      <c r="AN8013" s="19">
        <v>714800</v>
      </c>
      <c r="AP8013" s="14">
        <v>714800</v>
      </c>
    </row>
    <row r="8014" spans="1:46" x14ac:dyDescent="0.2">
      <c r="Q8014" s="19">
        <v>0</v>
      </c>
      <c r="R8014" s="14" t="e">
        <v>#N/A</v>
      </c>
    </row>
    <row r="8015" spans="1:46" x14ac:dyDescent="0.2">
      <c r="Q8015" s="19">
        <v>0</v>
      </c>
      <c r="R8015" s="14" t="e">
        <v>#N/A</v>
      </c>
    </row>
    <row r="8016" spans="1:46" x14ac:dyDescent="0.2">
      <c r="A8016" s="2">
        <v>6641</v>
      </c>
      <c r="B8016" s="13">
        <v>1</v>
      </c>
      <c r="C8016" s="17" t="s">
        <v>52</v>
      </c>
      <c r="D8016" s="17">
        <v>4609</v>
      </c>
      <c r="E8016" s="17">
        <v>68</v>
      </c>
      <c r="F8016" s="17">
        <v>2428</v>
      </c>
      <c r="G8016" s="13">
        <v>1</v>
      </c>
      <c r="H8016" s="17">
        <v>3</v>
      </c>
      <c r="I8016" s="17">
        <v>3</v>
      </c>
      <c r="J8016" s="17">
        <v>96</v>
      </c>
      <c r="K8016" s="10">
        <v>1596</v>
      </c>
      <c r="P8016" s="17">
        <v>1</v>
      </c>
      <c r="Q8016" s="19">
        <v>1596</v>
      </c>
      <c r="R8016" s="14">
        <v>200</v>
      </c>
      <c r="S8016" s="19">
        <v>319200</v>
      </c>
      <c r="AJ8016" s="19">
        <v>0</v>
      </c>
      <c r="AK8016" s="23">
        <v>0</v>
      </c>
      <c r="AM8016" s="19">
        <v>0</v>
      </c>
      <c r="AN8016" s="19">
        <v>319200</v>
      </c>
      <c r="AP8016" s="14">
        <v>319200</v>
      </c>
    </row>
    <row r="8017" spans="1:45" s="19" customFormat="1" x14ac:dyDescent="0.2">
      <c r="A8017" s="2">
        <v>6642</v>
      </c>
      <c r="B8017" s="13">
        <v>1</v>
      </c>
      <c r="C8017" s="17" t="s">
        <v>52</v>
      </c>
      <c r="D8017" s="17">
        <v>4611</v>
      </c>
      <c r="E8017" s="17">
        <v>70</v>
      </c>
      <c r="F8017" s="17">
        <v>2430</v>
      </c>
      <c r="G8017" s="13">
        <v>1</v>
      </c>
      <c r="H8017" s="17">
        <v>4</v>
      </c>
      <c r="I8017" s="17">
        <v>1</v>
      </c>
      <c r="J8017" s="17">
        <v>0</v>
      </c>
      <c r="K8017" s="10">
        <v>1700</v>
      </c>
      <c r="L8017" s="17"/>
      <c r="M8017" s="15"/>
      <c r="N8017" s="18"/>
      <c r="O8017" s="14"/>
      <c r="P8017" s="17">
        <v>1</v>
      </c>
      <c r="Q8017" s="19">
        <v>1700</v>
      </c>
      <c r="R8017" s="14">
        <v>160</v>
      </c>
      <c r="S8017" s="19">
        <v>272000</v>
      </c>
      <c r="T8017" s="17"/>
      <c r="U8017" s="17"/>
      <c r="V8017" s="17"/>
      <c r="W8017" s="4"/>
      <c r="X8017" s="17"/>
      <c r="Y8017" s="4"/>
      <c r="Z8017" s="17"/>
      <c r="AA8017" s="17"/>
      <c r="AB8017" s="17"/>
      <c r="AC8017" s="14"/>
      <c r="AD8017" s="14"/>
      <c r="AE8017" s="17"/>
      <c r="AF8017" s="14"/>
      <c r="AG8017" s="54"/>
      <c r="AH8017" s="11"/>
      <c r="AI8017" s="14"/>
      <c r="AJ8017" s="19">
        <v>0</v>
      </c>
      <c r="AK8017" s="23">
        <v>0</v>
      </c>
      <c r="AL8017" s="11"/>
      <c r="AM8017" s="19">
        <v>0</v>
      </c>
      <c r="AN8017" s="19">
        <v>272000</v>
      </c>
      <c r="AO8017" s="14"/>
      <c r="AP8017" s="14">
        <v>272000</v>
      </c>
      <c r="AQ8017" s="12"/>
      <c r="AS8017" s="26"/>
    </row>
    <row r="8018" spans="1:45" s="19" customFormat="1" x14ac:dyDescent="0.2">
      <c r="A8018" s="2">
        <v>6643</v>
      </c>
      <c r="B8018" s="13">
        <v>1</v>
      </c>
      <c r="C8018" s="17" t="s">
        <v>52</v>
      </c>
      <c r="D8018" s="17">
        <v>4622</v>
      </c>
      <c r="E8018" s="17">
        <v>68</v>
      </c>
      <c r="F8018" s="17">
        <v>2443</v>
      </c>
      <c r="G8018" s="13">
        <v>1</v>
      </c>
      <c r="H8018" s="17">
        <v>3</v>
      </c>
      <c r="I8018" s="17">
        <v>1</v>
      </c>
      <c r="J8018" s="17">
        <v>90</v>
      </c>
      <c r="K8018" s="10">
        <v>1390</v>
      </c>
      <c r="L8018" s="17"/>
      <c r="M8018" s="15"/>
      <c r="N8018" s="18"/>
      <c r="O8018" s="14"/>
      <c r="P8018" s="17">
        <v>1</v>
      </c>
      <c r="Q8018" s="19">
        <v>1390</v>
      </c>
      <c r="R8018" s="14">
        <v>200</v>
      </c>
      <c r="S8018" s="19">
        <v>278000</v>
      </c>
      <c r="T8018" s="17"/>
      <c r="U8018" s="17"/>
      <c r="V8018" s="17"/>
      <c r="W8018" s="4"/>
      <c r="X8018" s="17"/>
      <c r="Y8018" s="4"/>
      <c r="Z8018" s="17"/>
      <c r="AA8018" s="17"/>
      <c r="AB8018" s="17"/>
      <c r="AC8018" s="14"/>
      <c r="AD8018" s="14"/>
      <c r="AE8018" s="17"/>
      <c r="AF8018" s="14"/>
      <c r="AG8018" s="54"/>
      <c r="AH8018" s="11"/>
      <c r="AI8018" s="14"/>
      <c r="AJ8018" s="19">
        <v>0</v>
      </c>
      <c r="AK8018" s="23">
        <v>0</v>
      </c>
      <c r="AL8018" s="11"/>
      <c r="AM8018" s="19">
        <v>0</v>
      </c>
      <c r="AN8018" s="19">
        <v>278000</v>
      </c>
      <c r="AO8018" s="14"/>
      <c r="AP8018" s="14">
        <v>278000</v>
      </c>
      <c r="AQ8018" s="12"/>
      <c r="AS8018" s="26"/>
    </row>
    <row r="8019" spans="1:45" s="19" customFormat="1" x14ac:dyDescent="0.2">
      <c r="A8019" s="2"/>
      <c r="B8019" s="13"/>
      <c r="C8019" s="17"/>
      <c r="D8019" s="17"/>
      <c r="E8019" s="17"/>
      <c r="F8019" s="17"/>
      <c r="G8019" s="13"/>
      <c r="H8019" s="17"/>
      <c r="I8019" s="17"/>
      <c r="J8019" s="17"/>
      <c r="K8019" s="10"/>
      <c r="L8019" s="17"/>
      <c r="M8019" s="15"/>
      <c r="N8019" s="18"/>
      <c r="O8019" s="14"/>
      <c r="P8019" s="17"/>
      <c r="Q8019" s="19">
        <v>0</v>
      </c>
      <c r="R8019" s="14" t="e">
        <v>#N/A</v>
      </c>
      <c r="T8019" s="17"/>
      <c r="U8019" s="17"/>
      <c r="V8019" s="17"/>
      <c r="W8019" s="4"/>
      <c r="X8019" s="17"/>
      <c r="Y8019" s="4"/>
      <c r="Z8019" s="17"/>
      <c r="AA8019" s="17"/>
      <c r="AB8019" s="17"/>
      <c r="AC8019" s="14"/>
      <c r="AD8019" s="14"/>
      <c r="AE8019" s="17"/>
      <c r="AF8019" s="14"/>
      <c r="AG8019" s="54"/>
      <c r="AH8019" s="11"/>
      <c r="AI8019" s="14"/>
      <c r="AK8019" s="23"/>
      <c r="AL8019" s="11"/>
      <c r="AO8019" s="14"/>
      <c r="AP8019" s="14"/>
      <c r="AQ8019" s="12"/>
      <c r="AS8019" s="26"/>
    </row>
    <row r="8020" spans="1:45" s="19" customFormat="1" x14ac:dyDescent="0.2">
      <c r="A8020" s="2"/>
      <c r="B8020" s="13"/>
      <c r="C8020" s="17"/>
      <c r="D8020" s="17"/>
      <c r="E8020" s="17"/>
      <c r="F8020" s="17"/>
      <c r="G8020" s="13"/>
      <c r="H8020" s="17"/>
      <c r="I8020" s="17"/>
      <c r="J8020" s="17"/>
      <c r="K8020" s="10"/>
      <c r="L8020" s="17"/>
      <c r="M8020" s="15"/>
      <c r="N8020" s="18"/>
      <c r="O8020" s="14"/>
      <c r="P8020" s="17"/>
      <c r="Q8020" s="19">
        <v>0</v>
      </c>
      <c r="R8020" s="14" t="e">
        <v>#N/A</v>
      </c>
      <c r="T8020" s="17"/>
      <c r="U8020" s="17"/>
      <c r="V8020" s="17"/>
      <c r="W8020" s="4"/>
      <c r="X8020" s="17"/>
      <c r="Y8020" s="4"/>
      <c r="Z8020" s="17"/>
      <c r="AA8020" s="17"/>
      <c r="AB8020" s="17"/>
      <c r="AC8020" s="14"/>
      <c r="AD8020" s="14"/>
      <c r="AE8020" s="17"/>
      <c r="AF8020" s="14"/>
      <c r="AG8020" s="54"/>
      <c r="AH8020" s="11"/>
      <c r="AI8020" s="14"/>
      <c r="AK8020" s="23"/>
      <c r="AL8020" s="11"/>
      <c r="AO8020" s="14"/>
      <c r="AP8020" s="14"/>
      <c r="AQ8020" s="12"/>
      <c r="AS8020" s="26"/>
    </row>
    <row r="8021" spans="1:45" s="19" customFormat="1" x14ac:dyDescent="0.2">
      <c r="A8021" s="2">
        <v>6644</v>
      </c>
      <c r="B8021" s="13">
        <v>1</v>
      </c>
      <c r="C8021" s="17" t="s">
        <v>52</v>
      </c>
      <c r="D8021" s="17">
        <v>4629</v>
      </c>
      <c r="E8021" s="17">
        <v>50</v>
      </c>
      <c r="F8021" s="17">
        <v>2450</v>
      </c>
      <c r="G8021" s="13">
        <v>1</v>
      </c>
      <c r="H8021" s="17">
        <v>6</v>
      </c>
      <c r="I8021" s="17">
        <v>2</v>
      </c>
      <c r="J8021" s="17">
        <v>11</v>
      </c>
      <c r="K8021" s="10">
        <v>2611</v>
      </c>
      <c r="L8021" s="17"/>
      <c r="M8021" s="15"/>
      <c r="N8021" s="18"/>
      <c r="O8021" s="14"/>
      <c r="P8021" s="17">
        <v>1</v>
      </c>
      <c r="Q8021" s="19">
        <v>2611</v>
      </c>
      <c r="R8021" s="14">
        <v>200</v>
      </c>
      <c r="S8021" s="19">
        <v>522200</v>
      </c>
      <c r="T8021" s="17"/>
      <c r="U8021" s="17"/>
      <c r="V8021" s="17"/>
      <c r="W8021" s="4"/>
      <c r="X8021" s="17"/>
      <c r="Y8021" s="4"/>
      <c r="Z8021" s="17"/>
      <c r="AA8021" s="17"/>
      <c r="AB8021" s="17"/>
      <c r="AC8021" s="14"/>
      <c r="AD8021" s="14"/>
      <c r="AE8021" s="17"/>
      <c r="AF8021" s="14"/>
      <c r="AG8021" s="54"/>
      <c r="AH8021" s="11"/>
      <c r="AI8021" s="14"/>
      <c r="AJ8021" s="19">
        <v>0</v>
      </c>
      <c r="AK8021" s="23">
        <v>0</v>
      </c>
      <c r="AL8021" s="11"/>
      <c r="AM8021" s="19">
        <v>0</v>
      </c>
      <c r="AN8021" s="19">
        <v>522200</v>
      </c>
      <c r="AO8021" s="14"/>
      <c r="AP8021" s="14">
        <v>522200</v>
      </c>
      <c r="AQ8021" s="12"/>
      <c r="AS8021" s="26"/>
    </row>
    <row r="8022" spans="1:45" s="19" customFormat="1" x14ac:dyDescent="0.2">
      <c r="A8022" s="2"/>
      <c r="B8022" s="13"/>
      <c r="C8022" s="17"/>
      <c r="D8022" s="17"/>
      <c r="E8022" s="17"/>
      <c r="F8022" s="17"/>
      <c r="G8022" s="13"/>
      <c r="H8022" s="17"/>
      <c r="I8022" s="17"/>
      <c r="J8022" s="17"/>
      <c r="K8022" s="10"/>
      <c r="L8022" s="17"/>
      <c r="M8022" s="15"/>
      <c r="N8022" s="18"/>
      <c r="O8022" s="14"/>
      <c r="P8022" s="17"/>
      <c r="Q8022" s="19">
        <v>0</v>
      </c>
      <c r="R8022" s="14" t="e">
        <v>#N/A</v>
      </c>
      <c r="T8022" s="17"/>
      <c r="U8022" s="17"/>
      <c r="V8022" s="17"/>
      <c r="W8022" s="4"/>
      <c r="X8022" s="17"/>
      <c r="Y8022" s="4"/>
      <c r="Z8022" s="17"/>
      <c r="AA8022" s="17"/>
      <c r="AB8022" s="17"/>
      <c r="AC8022" s="14"/>
      <c r="AD8022" s="14"/>
      <c r="AE8022" s="17"/>
      <c r="AF8022" s="14"/>
      <c r="AG8022" s="54"/>
      <c r="AH8022" s="11"/>
      <c r="AI8022" s="14"/>
      <c r="AK8022" s="23"/>
      <c r="AL8022" s="11"/>
      <c r="AO8022" s="14"/>
      <c r="AP8022" s="14"/>
      <c r="AQ8022" s="12"/>
      <c r="AS8022" s="26"/>
    </row>
    <row r="8023" spans="1:45" s="19" customFormat="1" x14ac:dyDescent="0.2">
      <c r="A8023" s="2">
        <v>6645</v>
      </c>
      <c r="B8023" s="13">
        <v>1</v>
      </c>
      <c r="C8023" s="17" t="s">
        <v>52</v>
      </c>
      <c r="D8023" s="17">
        <v>4632</v>
      </c>
      <c r="E8023" s="17">
        <v>45</v>
      </c>
      <c r="F8023" s="17">
        <v>2453</v>
      </c>
      <c r="G8023" s="13">
        <v>1</v>
      </c>
      <c r="H8023" s="17">
        <v>6</v>
      </c>
      <c r="I8023" s="17">
        <v>0</v>
      </c>
      <c r="J8023" s="17">
        <v>89</v>
      </c>
      <c r="K8023" s="10">
        <v>2489</v>
      </c>
      <c r="L8023" s="17"/>
      <c r="M8023" s="15"/>
      <c r="N8023" s="18"/>
      <c r="O8023" s="14"/>
      <c r="P8023" s="17">
        <v>1</v>
      </c>
      <c r="Q8023" s="19">
        <v>2489</v>
      </c>
      <c r="R8023" s="14">
        <v>160</v>
      </c>
      <c r="S8023" s="19">
        <v>398240</v>
      </c>
      <c r="T8023" s="17"/>
      <c r="U8023" s="17"/>
      <c r="V8023" s="17"/>
      <c r="W8023" s="4"/>
      <c r="X8023" s="17"/>
      <c r="Y8023" s="4"/>
      <c r="Z8023" s="17"/>
      <c r="AA8023" s="17"/>
      <c r="AB8023" s="17"/>
      <c r="AC8023" s="14"/>
      <c r="AD8023" s="14"/>
      <c r="AE8023" s="17"/>
      <c r="AF8023" s="14"/>
      <c r="AG8023" s="54"/>
      <c r="AH8023" s="11"/>
      <c r="AI8023" s="14"/>
      <c r="AJ8023" s="19">
        <v>0</v>
      </c>
      <c r="AK8023" s="23">
        <v>0</v>
      </c>
      <c r="AL8023" s="11"/>
      <c r="AM8023" s="19">
        <v>0</v>
      </c>
      <c r="AN8023" s="19">
        <v>398240</v>
      </c>
      <c r="AO8023" s="14"/>
      <c r="AP8023" s="14">
        <v>398240</v>
      </c>
      <c r="AQ8023" s="12"/>
      <c r="AS8023" s="26"/>
    </row>
    <row r="8024" spans="1:45" s="19" customFormat="1" x14ac:dyDescent="0.2">
      <c r="A8024" s="2">
        <f>+A8023+1</f>
        <v>6646</v>
      </c>
      <c r="B8024" s="13">
        <v>1</v>
      </c>
      <c r="C8024" s="17" t="s">
        <v>52</v>
      </c>
      <c r="D8024" s="17">
        <v>4633</v>
      </c>
      <c r="E8024" s="17">
        <v>54</v>
      </c>
      <c r="F8024" s="17">
        <v>2454</v>
      </c>
      <c r="G8024" s="13">
        <v>1</v>
      </c>
      <c r="H8024" s="17">
        <v>3</v>
      </c>
      <c r="I8024" s="17">
        <v>3</v>
      </c>
      <c r="J8024" s="17">
        <v>97</v>
      </c>
      <c r="K8024" s="10">
        <v>1597</v>
      </c>
      <c r="L8024" s="17"/>
      <c r="M8024" s="15"/>
      <c r="N8024" s="18"/>
      <c r="O8024" s="14"/>
      <c r="P8024" s="17">
        <v>1</v>
      </c>
      <c r="Q8024" s="19">
        <v>1597</v>
      </c>
      <c r="R8024" s="14">
        <v>200</v>
      </c>
      <c r="S8024" s="19">
        <v>319400</v>
      </c>
      <c r="T8024" s="17"/>
      <c r="U8024" s="17"/>
      <c r="V8024" s="17"/>
      <c r="W8024" s="4"/>
      <c r="X8024" s="17"/>
      <c r="Y8024" s="4"/>
      <c r="Z8024" s="17"/>
      <c r="AA8024" s="17"/>
      <c r="AB8024" s="17"/>
      <c r="AC8024" s="14"/>
      <c r="AD8024" s="14"/>
      <c r="AE8024" s="17"/>
      <c r="AF8024" s="14"/>
      <c r="AG8024" s="54"/>
      <c r="AH8024" s="11"/>
      <c r="AI8024" s="14"/>
      <c r="AJ8024" s="19">
        <v>0</v>
      </c>
      <c r="AK8024" s="23">
        <v>0</v>
      </c>
      <c r="AL8024" s="11"/>
      <c r="AM8024" s="19">
        <v>0</v>
      </c>
      <c r="AN8024" s="19">
        <v>319400</v>
      </c>
      <c r="AO8024" s="14"/>
      <c r="AP8024" s="14">
        <v>319400</v>
      </c>
      <c r="AQ8024" s="12"/>
      <c r="AS8024" s="26"/>
    </row>
    <row r="8025" spans="1:45" s="19" customFormat="1" x14ac:dyDescent="0.2">
      <c r="A8025" s="122">
        <f t="shared" ref="A8025:A8041" si="768">+A8024+1</f>
        <v>6647</v>
      </c>
      <c r="B8025" s="13">
        <v>1</v>
      </c>
      <c r="C8025" s="17" t="s">
        <v>52</v>
      </c>
      <c r="D8025" s="17">
        <v>14451</v>
      </c>
      <c r="E8025" s="17">
        <v>54</v>
      </c>
      <c r="F8025" s="17">
        <v>3380</v>
      </c>
      <c r="G8025" s="13">
        <v>1</v>
      </c>
      <c r="H8025" s="17">
        <v>0</v>
      </c>
      <c r="I8025" s="17">
        <v>1</v>
      </c>
      <c r="J8025" s="17">
        <v>54</v>
      </c>
      <c r="K8025" s="10"/>
      <c r="L8025" s="17">
        <v>154</v>
      </c>
      <c r="M8025" s="15"/>
      <c r="N8025" s="18"/>
      <c r="O8025" s="14"/>
      <c r="P8025" s="17">
        <v>2</v>
      </c>
      <c r="Q8025" s="19">
        <v>154</v>
      </c>
      <c r="R8025" s="14">
        <v>250</v>
      </c>
      <c r="S8025" s="19">
        <v>38500</v>
      </c>
      <c r="T8025" s="17"/>
      <c r="U8025" s="17"/>
      <c r="V8025" s="17"/>
      <c r="W8025" s="4"/>
      <c r="X8025" s="17"/>
      <c r="Y8025" s="4"/>
      <c r="Z8025" s="17"/>
      <c r="AA8025" s="17"/>
      <c r="AB8025" s="17"/>
      <c r="AC8025" s="14"/>
      <c r="AD8025" s="14"/>
      <c r="AE8025" s="17"/>
      <c r="AF8025" s="14"/>
      <c r="AG8025" s="54"/>
      <c r="AH8025" s="11"/>
      <c r="AI8025" s="14"/>
      <c r="AJ8025" s="19">
        <v>0</v>
      </c>
      <c r="AK8025" s="23">
        <v>0</v>
      </c>
      <c r="AL8025" s="11"/>
      <c r="AM8025" s="19">
        <v>0</v>
      </c>
      <c r="AN8025" s="19">
        <v>38500</v>
      </c>
      <c r="AO8025" s="14"/>
      <c r="AP8025" s="14">
        <v>38500</v>
      </c>
      <c r="AQ8025" s="12"/>
      <c r="AS8025" s="26"/>
    </row>
    <row r="8026" spans="1:45" s="19" customFormat="1" x14ac:dyDescent="0.2">
      <c r="A8026" s="122">
        <f t="shared" si="768"/>
        <v>6648</v>
      </c>
      <c r="B8026" s="13">
        <v>1</v>
      </c>
      <c r="C8026" s="17" t="s">
        <v>52</v>
      </c>
      <c r="D8026" s="17">
        <v>14454</v>
      </c>
      <c r="E8026" s="17">
        <v>50</v>
      </c>
      <c r="F8026" s="17">
        <v>3376</v>
      </c>
      <c r="G8026" s="13">
        <v>1</v>
      </c>
      <c r="H8026" s="17">
        <v>0</v>
      </c>
      <c r="I8026" s="17">
        <v>2</v>
      </c>
      <c r="J8026" s="17">
        <v>13</v>
      </c>
      <c r="K8026" s="10">
        <v>213</v>
      </c>
      <c r="L8026" s="17"/>
      <c r="M8026" s="15"/>
      <c r="N8026" s="18"/>
      <c r="O8026" s="14"/>
      <c r="P8026" s="17">
        <v>1</v>
      </c>
      <c r="Q8026" s="19">
        <v>213</v>
      </c>
      <c r="R8026" s="14">
        <v>250</v>
      </c>
      <c r="S8026" s="19">
        <v>53250</v>
      </c>
      <c r="T8026" s="17"/>
      <c r="U8026" s="17"/>
      <c r="V8026" s="17"/>
      <c r="W8026" s="4"/>
      <c r="X8026" s="17"/>
      <c r="Y8026" s="4"/>
      <c r="Z8026" s="17"/>
      <c r="AA8026" s="17"/>
      <c r="AB8026" s="17"/>
      <c r="AC8026" s="14"/>
      <c r="AD8026" s="14"/>
      <c r="AE8026" s="17"/>
      <c r="AF8026" s="14"/>
      <c r="AG8026" s="54"/>
      <c r="AH8026" s="11"/>
      <c r="AI8026" s="14"/>
      <c r="AJ8026" s="19">
        <v>0</v>
      </c>
      <c r="AK8026" s="23">
        <v>0</v>
      </c>
      <c r="AL8026" s="11"/>
      <c r="AM8026" s="19">
        <v>0</v>
      </c>
      <c r="AN8026" s="19">
        <v>53250</v>
      </c>
      <c r="AO8026" s="14"/>
      <c r="AP8026" s="14">
        <v>53250</v>
      </c>
      <c r="AQ8026" s="12"/>
      <c r="AS8026" s="26"/>
    </row>
    <row r="8027" spans="1:45" s="19" customFormat="1" x14ac:dyDescent="0.2">
      <c r="A8027" s="122">
        <f t="shared" si="768"/>
        <v>6649</v>
      </c>
      <c r="B8027" s="13">
        <v>1</v>
      </c>
      <c r="C8027" s="17" t="s">
        <v>52</v>
      </c>
      <c r="D8027" s="17">
        <v>20364</v>
      </c>
      <c r="E8027" s="17">
        <v>71</v>
      </c>
      <c r="F8027" s="17">
        <v>4599</v>
      </c>
      <c r="G8027" s="13">
        <v>1</v>
      </c>
      <c r="H8027" s="17">
        <v>0</v>
      </c>
      <c r="I8027" s="17">
        <v>1</v>
      </c>
      <c r="J8027" s="17">
        <v>12</v>
      </c>
      <c r="K8027" s="10"/>
      <c r="L8027" s="17"/>
      <c r="M8027" s="15"/>
      <c r="N8027" s="18">
        <v>112</v>
      </c>
      <c r="O8027" s="14"/>
      <c r="P8027" s="17">
        <v>4</v>
      </c>
      <c r="Q8027" s="19">
        <v>112</v>
      </c>
      <c r="R8027" s="14">
        <v>3000</v>
      </c>
      <c r="S8027" s="19">
        <v>336000</v>
      </c>
      <c r="T8027" s="17"/>
      <c r="U8027" s="17"/>
      <c r="V8027" s="17"/>
      <c r="W8027" s="4"/>
      <c r="X8027" s="17"/>
      <c r="Y8027" s="4"/>
      <c r="Z8027" s="17"/>
      <c r="AA8027" s="17"/>
      <c r="AB8027" s="17"/>
      <c r="AC8027" s="14"/>
      <c r="AD8027" s="14"/>
      <c r="AE8027" s="17"/>
      <c r="AF8027" s="14"/>
      <c r="AG8027" s="54"/>
      <c r="AH8027" s="11"/>
      <c r="AI8027" s="14"/>
      <c r="AJ8027" s="19">
        <v>0</v>
      </c>
      <c r="AK8027" s="23">
        <v>0</v>
      </c>
      <c r="AL8027" s="11"/>
      <c r="AM8027" s="19">
        <v>0</v>
      </c>
      <c r="AN8027" s="19">
        <v>336000</v>
      </c>
      <c r="AO8027" s="14"/>
      <c r="AP8027" s="14">
        <v>336000</v>
      </c>
      <c r="AQ8027" s="12">
        <v>3.0000000000000001E-3</v>
      </c>
      <c r="AS8027" s="26"/>
    </row>
    <row r="8028" spans="1:45" s="19" customFormat="1" x14ac:dyDescent="0.2">
      <c r="A8028" s="122">
        <f t="shared" si="768"/>
        <v>6650</v>
      </c>
      <c r="B8028" s="13">
        <v>1</v>
      </c>
      <c r="C8028" s="17" t="s">
        <v>52</v>
      </c>
      <c r="D8028" s="17">
        <v>28746</v>
      </c>
      <c r="E8028" s="17">
        <v>503</v>
      </c>
      <c r="F8028" s="17">
        <v>5458</v>
      </c>
      <c r="G8028" s="13">
        <v>1</v>
      </c>
      <c r="H8028" s="17">
        <v>0</v>
      </c>
      <c r="I8028" s="17">
        <v>2</v>
      </c>
      <c r="J8028" s="17">
        <v>4.05</v>
      </c>
      <c r="K8028" s="10"/>
      <c r="L8028" s="17">
        <v>204</v>
      </c>
      <c r="M8028" s="15"/>
      <c r="N8028" s="18"/>
      <c r="O8028" s="14"/>
      <c r="P8028" s="17">
        <v>2</v>
      </c>
      <c r="Q8028" s="19">
        <v>204.05</v>
      </c>
      <c r="R8028" s="14">
        <v>2250</v>
      </c>
      <c r="S8028" s="19">
        <v>459112.5</v>
      </c>
      <c r="T8028" s="17"/>
      <c r="U8028" s="17"/>
      <c r="V8028" s="17"/>
      <c r="W8028" s="4"/>
      <c r="X8028" s="17"/>
      <c r="Y8028" s="4"/>
      <c r="Z8028" s="17"/>
      <c r="AA8028" s="17"/>
      <c r="AB8028" s="17"/>
      <c r="AC8028" s="14"/>
      <c r="AD8028" s="14"/>
      <c r="AE8028" s="17"/>
      <c r="AF8028" s="14"/>
      <c r="AG8028" s="54"/>
      <c r="AH8028" s="11"/>
      <c r="AI8028" s="14"/>
      <c r="AJ8028" s="19">
        <v>0</v>
      </c>
      <c r="AK8028" s="23">
        <v>0</v>
      </c>
      <c r="AL8028" s="11"/>
      <c r="AM8028" s="19">
        <v>0</v>
      </c>
      <c r="AN8028" s="19">
        <v>459112.5</v>
      </c>
      <c r="AO8028" s="14"/>
      <c r="AP8028" s="14">
        <v>459112.5</v>
      </c>
      <c r="AQ8028" s="12"/>
      <c r="AS8028" s="26"/>
    </row>
    <row r="8029" spans="1:45" s="19" customFormat="1" x14ac:dyDescent="0.2">
      <c r="A8029" s="122">
        <f t="shared" si="768"/>
        <v>6651</v>
      </c>
      <c r="B8029" s="13">
        <v>1</v>
      </c>
      <c r="C8029" s="17" t="s">
        <v>52</v>
      </c>
      <c r="D8029" s="17">
        <v>34562</v>
      </c>
      <c r="E8029" s="17">
        <v>154</v>
      </c>
      <c r="F8029" s="17">
        <v>6904</v>
      </c>
      <c r="G8029" s="13">
        <v>1</v>
      </c>
      <c r="H8029" s="17">
        <v>1</v>
      </c>
      <c r="I8029" s="17">
        <v>0</v>
      </c>
      <c r="J8029" s="17">
        <v>29.03</v>
      </c>
      <c r="K8029" s="10">
        <v>429</v>
      </c>
      <c r="L8029" s="17"/>
      <c r="M8029" s="15"/>
      <c r="N8029" s="18"/>
      <c r="O8029" s="14"/>
      <c r="P8029" s="17">
        <v>1</v>
      </c>
      <c r="Q8029" s="19">
        <v>429.03</v>
      </c>
      <c r="R8029" s="14">
        <v>160</v>
      </c>
      <c r="S8029" s="19">
        <v>68644.799999999988</v>
      </c>
      <c r="T8029" s="17"/>
      <c r="U8029" s="17"/>
      <c r="V8029" s="17"/>
      <c r="W8029" s="4"/>
      <c r="X8029" s="17"/>
      <c r="Y8029" s="4"/>
      <c r="Z8029" s="17"/>
      <c r="AA8029" s="17"/>
      <c r="AB8029" s="17"/>
      <c r="AC8029" s="14"/>
      <c r="AD8029" s="14"/>
      <c r="AE8029" s="17"/>
      <c r="AF8029" s="14"/>
      <c r="AG8029" s="54"/>
      <c r="AH8029" s="11"/>
      <c r="AI8029" s="14"/>
      <c r="AJ8029" s="19">
        <v>0</v>
      </c>
      <c r="AK8029" s="23">
        <v>0</v>
      </c>
      <c r="AL8029" s="11"/>
      <c r="AM8029" s="19">
        <v>0</v>
      </c>
      <c r="AN8029" s="19">
        <v>68644.799999999988</v>
      </c>
      <c r="AO8029" s="14"/>
      <c r="AP8029" s="14">
        <v>68644.799999999988</v>
      </c>
      <c r="AQ8029" s="12"/>
      <c r="AS8029" s="26"/>
    </row>
    <row r="8030" spans="1:45" s="19" customFormat="1" x14ac:dyDescent="0.2">
      <c r="A8030" s="122">
        <f t="shared" si="768"/>
        <v>6652</v>
      </c>
      <c r="B8030" s="13">
        <v>1</v>
      </c>
      <c r="C8030" s="17" t="s">
        <v>52</v>
      </c>
      <c r="D8030" s="17">
        <v>421</v>
      </c>
      <c r="E8030" s="17">
        <v>505</v>
      </c>
      <c r="F8030" s="17">
        <v>20</v>
      </c>
      <c r="G8030" s="13">
        <v>2</v>
      </c>
      <c r="H8030" s="17">
        <v>0</v>
      </c>
      <c r="I8030" s="17">
        <v>0</v>
      </c>
      <c r="J8030" s="17">
        <v>44</v>
      </c>
      <c r="K8030" s="10"/>
      <c r="L8030" s="17" t="s">
        <v>426</v>
      </c>
      <c r="M8030" s="15"/>
      <c r="N8030" s="18"/>
      <c r="O8030" s="14"/>
      <c r="P8030" s="17">
        <v>2</v>
      </c>
      <c r="Q8030" s="19">
        <v>44</v>
      </c>
      <c r="R8030" s="14">
        <v>4500</v>
      </c>
      <c r="S8030" s="19">
        <v>198000</v>
      </c>
      <c r="T8030" s="17"/>
      <c r="U8030" s="17"/>
      <c r="V8030" s="17"/>
      <c r="W8030" s="4"/>
      <c r="X8030" s="17"/>
      <c r="Y8030" s="4"/>
      <c r="Z8030" s="17"/>
      <c r="AA8030" s="17"/>
      <c r="AB8030" s="17"/>
      <c r="AC8030" s="14"/>
      <c r="AD8030" s="14"/>
      <c r="AE8030" s="17"/>
      <c r="AF8030" s="14"/>
      <c r="AG8030" s="54"/>
      <c r="AH8030" s="11"/>
      <c r="AI8030" s="14"/>
      <c r="AJ8030" s="19">
        <v>0</v>
      </c>
      <c r="AK8030" s="23">
        <v>0</v>
      </c>
      <c r="AL8030" s="11"/>
      <c r="AM8030" s="19">
        <v>0</v>
      </c>
      <c r="AN8030" s="19">
        <v>198000</v>
      </c>
      <c r="AO8030" s="14"/>
      <c r="AP8030" s="14">
        <v>198000</v>
      </c>
      <c r="AQ8030" s="12"/>
      <c r="AS8030" s="26"/>
    </row>
    <row r="8031" spans="1:45" s="19" customFormat="1" x14ac:dyDescent="0.2">
      <c r="A8031" s="122">
        <f t="shared" si="768"/>
        <v>6653</v>
      </c>
      <c r="B8031" s="13">
        <v>1</v>
      </c>
      <c r="C8031" s="17" t="s">
        <v>52</v>
      </c>
      <c r="D8031" s="17">
        <v>427</v>
      </c>
      <c r="E8031" s="17">
        <v>512</v>
      </c>
      <c r="F8031" s="17">
        <v>12</v>
      </c>
      <c r="G8031" s="13">
        <v>2</v>
      </c>
      <c r="H8031" s="17">
        <v>12</v>
      </c>
      <c r="I8031" s="17">
        <v>2</v>
      </c>
      <c r="J8031" s="17">
        <v>2.0099999999999998</v>
      </c>
      <c r="K8031" s="10">
        <v>5002</v>
      </c>
      <c r="L8031" s="17"/>
      <c r="M8031" s="15"/>
      <c r="N8031" s="18"/>
      <c r="O8031" s="14"/>
      <c r="P8031" s="17">
        <v>1</v>
      </c>
      <c r="Q8031" s="19">
        <v>5002.01</v>
      </c>
      <c r="R8031" s="14">
        <v>1100</v>
      </c>
      <c r="S8031" s="19">
        <v>5502211</v>
      </c>
      <c r="T8031" s="17"/>
      <c r="U8031" s="17"/>
      <c r="V8031" s="17"/>
      <c r="W8031" s="4"/>
      <c r="X8031" s="17"/>
      <c r="Y8031" s="4"/>
      <c r="Z8031" s="17"/>
      <c r="AA8031" s="17"/>
      <c r="AB8031" s="17"/>
      <c r="AC8031" s="14"/>
      <c r="AD8031" s="14"/>
      <c r="AE8031" s="17"/>
      <c r="AF8031" s="14"/>
      <c r="AG8031" s="54"/>
      <c r="AH8031" s="11"/>
      <c r="AI8031" s="14"/>
      <c r="AJ8031" s="19">
        <v>0</v>
      </c>
      <c r="AK8031" s="23">
        <v>0</v>
      </c>
      <c r="AL8031" s="11"/>
      <c r="AM8031" s="19">
        <v>0</v>
      </c>
      <c r="AN8031" s="19">
        <v>5502211</v>
      </c>
      <c r="AO8031" s="14"/>
      <c r="AP8031" s="14">
        <v>5502211</v>
      </c>
      <c r="AQ8031" s="12"/>
      <c r="AS8031" s="26"/>
    </row>
    <row r="8032" spans="1:45" s="19" customFormat="1" ht="42" x14ac:dyDescent="0.2">
      <c r="A8032" s="122">
        <f t="shared" si="768"/>
        <v>6654</v>
      </c>
      <c r="B8032" s="13">
        <v>1</v>
      </c>
      <c r="C8032" s="17" t="s">
        <v>52</v>
      </c>
      <c r="D8032" s="17">
        <v>432</v>
      </c>
      <c r="E8032" s="17">
        <v>503</v>
      </c>
      <c r="F8032" s="17">
        <v>15</v>
      </c>
      <c r="G8032" s="13">
        <v>2</v>
      </c>
      <c r="H8032" s="17">
        <v>25</v>
      </c>
      <c r="I8032" s="17">
        <v>3</v>
      </c>
      <c r="J8032" s="17">
        <v>83.04</v>
      </c>
      <c r="K8032" s="10"/>
      <c r="L8032" s="17"/>
      <c r="M8032" s="15">
        <v>10383</v>
      </c>
      <c r="N8032" s="18"/>
      <c r="O8032" s="14"/>
      <c r="P8032" s="17">
        <v>3</v>
      </c>
      <c r="Q8032" s="19">
        <v>10383.040000000001</v>
      </c>
      <c r="R8032" s="14">
        <v>1100</v>
      </c>
      <c r="S8032" s="19">
        <v>11421344.000000002</v>
      </c>
      <c r="T8032" s="17"/>
      <c r="U8032" s="17"/>
      <c r="V8032" s="17"/>
      <c r="W8032" s="4"/>
      <c r="X8032" s="17"/>
      <c r="Y8032" s="4"/>
      <c r="Z8032" s="17"/>
      <c r="AA8032" s="17"/>
      <c r="AB8032" s="17"/>
      <c r="AC8032" s="14"/>
      <c r="AD8032" s="14"/>
      <c r="AE8032" s="17"/>
      <c r="AF8032" s="14"/>
      <c r="AG8032" s="54"/>
      <c r="AH8032" s="11"/>
      <c r="AI8032" s="14"/>
      <c r="AJ8032" s="19">
        <v>0</v>
      </c>
      <c r="AK8032" s="23">
        <v>0</v>
      </c>
      <c r="AL8032" s="11"/>
      <c r="AM8032" s="19">
        <v>0</v>
      </c>
      <c r="AN8032" s="19">
        <v>11421344.000000002</v>
      </c>
      <c r="AO8032" s="14"/>
      <c r="AP8032" s="14">
        <v>11421344.000000002</v>
      </c>
      <c r="AQ8032" s="12"/>
      <c r="AS8032" s="26"/>
    </row>
    <row r="8033" spans="1:45" x14ac:dyDescent="0.2">
      <c r="A8033" s="122">
        <f t="shared" si="768"/>
        <v>6655</v>
      </c>
      <c r="B8033" s="13">
        <v>1</v>
      </c>
      <c r="C8033" s="17" t="s">
        <v>52</v>
      </c>
      <c r="D8033" s="17">
        <v>525</v>
      </c>
      <c r="E8033" s="17">
        <v>501</v>
      </c>
      <c r="F8033" s="17">
        <v>96</v>
      </c>
      <c r="G8033" s="13">
        <v>2</v>
      </c>
      <c r="H8033" s="17">
        <v>2</v>
      </c>
      <c r="I8033" s="17">
        <v>3</v>
      </c>
      <c r="J8033" s="17">
        <v>20.059999999999999</v>
      </c>
      <c r="M8033" s="15">
        <v>1120</v>
      </c>
      <c r="P8033" s="17">
        <v>3</v>
      </c>
      <c r="Q8033" s="19">
        <v>1120.06</v>
      </c>
      <c r="R8033" s="14">
        <v>2250</v>
      </c>
      <c r="S8033" s="19">
        <v>2520135</v>
      </c>
      <c r="AJ8033" s="19">
        <v>0</v>
      </c>
      <c r="AK8033" s="23">
        <v>0</v>
      </c>
      <c r="AM8033" s="19">
        <v>0</v>
      </c>
      <c r="AN8033" s="19">
        <v>2520135</v>
      </c>
      <c r="AP8033" s="14">
        <v>2520135</v>
      </c>
      <c r="AS8033" s="26">
        <v>29</v>
      </c>
    </row>
    <row r="8034" spans="1:45" x14ac:dyDescent="0.2">
      <c r="A8034" s="122">
        <f t="shared" si="768"/>
        <v>6656</v>
      </c>
      <c r="B8034" s="13">
        <v>2</v>
      </c>
      <c r="C8034" s="17" t="s">
        <v>52</v>
      </c>
      <c r="D8034" s="17">
        <v>25844</v>
      </c>
      <c r="E8034" s="17">
        <v>503</v>
      </c>
      <c r="F8034" s="17">
        <v>5000</v>
      </c>
      <c r="G8034" s="13">
        <v>2</v>
      </c>
      <c r="H8034" s="17">
        <v>1</v>
      </c>
      <c r="I8034" s="17">
        <v>1</v>
      </c>
      <c r="J8034" s="17">
        <v>64</v>
      </c>
      <c r="K8034" s="10">
        <v>564</v>
      </c>
      <c r="P8034" s="17">
        <v>1</v>
      </c>
      <c r="Q8034" s="19">
        <v>564</v>
      </c>
      <c r="R8034" s="14">
        <v>4500</v>
      </c>
      <c r="S8034" s="19">
        <v>2538000</v>
      </c>
      <c r="AJ8034" s="19">
        <v>0</v>
      </c>
      <c r="AK8034" s="23">
        <v>0</v>
      </c>
      <c r="AM8034" s="19">
        <v>0</v>
      </c>
      <c r="AN8034" s="19">
        <v>2538000</v>
      </c>
      <c r="AP8034" s="14">
        <v>2538000</v>
      </c>
    </row>
    <row r="8035" spans="1:45" ht="42" x14ac:dyDescent="0.2">
      <c r="A8035" s="122">
        <f t="shared" si="768"/>
        <v>6657</v>
      </c>
      <c r="B8035" s="13">
        <v>1</v>
      </c>
      <c r="C8035" s="17" t="s">
        <v>52</v>
      </c>
      <c r="D8035" s="17">
        <v>770</v>
      </c>
      <c r="E8035" s="17">
        <v>518</v>
      </c>
      <c r="F8035" s="17">
        <v>104</v>
      </c>
      <c r="G8035" s="13">
        <v>2</v>
      </c>
      <c r="H8035" s="17">
        <v>0</v>
      </c>
      <c r="I8035" s="17">
        <v>0</v>
      </c>
      <c r="J8035" s="17">
        <v>25.07</v>
      </c>
      <c r="L8035" s="17" t="s">
        <v>828</v>
      </c>
      <c r="P8035" s="17">
        <v>2</v>
      </c>
      <c r="Q8035" s="19">
        <v>25.07</v>
      </c>
      <c r="R8035" s="14">
        <v>4500</v>
      </c>
      <c r="S8035" s="19">
        <v>112815</v>
      </c>
      <c r="T8035" s="17">
        <v>1</v>
      </c>
      <c r="V8035" s="17" t="s">
        <v>530</v>
      </c>
      <c r="W8035" s="4">
        <v>72</v>
      </c>
      <c r="Y8035" s="4">
        <v>72</v>
      </c>
      <c r="AB8035" s="17">
        <v>29</v>
      </c>
      <c r="AJ8035" s="19">
        <v>0</v>
      </c>
      <c r="AK8035" s="23">
        <v>29</v>
      </c>
      <c r="AM8035" s="19">
        <v>0</v>
      </c>
      <c r="AN8035" s="19">
        <v>112815</v>
      </c>
      <c r="AP8035" s="14">
        <v>112815</v>
      </c>
    </row>
    <row r="8036" spans="1:45" ht="42" x14ac:dyDescent="0.2">
      <c r="A8036" s="122">
        <f t="shared" si="768"/>
        <v>6658</v>
      </c>
      <c r="B8036" s="13">
        <v>1</v>
      </c>
      <c r="C8036" s="17" t="s">
        <v>52</v>
      </c>
      <c r="D8036" s="17">
        <v>1426</v>
      </c>
      <c r="E8036" s="17">
        <v>5</v>
      </c>
      <c r="F8036" s="17">
        <v>865</v>
      </c>
      <c r="G8036" s="13">
        <v>2</v>
      </c>
      <c r="H8036" s="17">
        <v>0</v>
      </c>
      <c r="I8036" s="17">
        <v>0</v>
      </c>
      <c r="J8036" s="17">
        <v>87</v>
      </c>
      <c r="L8036" s="17" t="s">
        <v>823</v>
      </c>
      <c r="P8036" s="17">
        <v>2</v>
      </c>
      <c r="Q8036" s="19">
        <v>87</v>
      </c>
      <c r="R8036" s="14">
        <v>1500</v>
      </c>
      <c r="S8036" s="19">
        <v>130500</v>
      </c>
      <c r="T8036" s="17">
        <v>1</v>
      </c>
      <c r="V8036" s="17" t="s">
        <v>183</v>
      </c>
      <c r="W8036" s="4">
        <v>103.5</v>
      </c>
      <c r="Y8036" s="4">
        <v>103.5</v>
      </c>
      <c r="AB8036" s="17">
        <v>25</v>
      </c>
      <c r="AJ8036" s="19">
        <v>0</v>
      </c>
      <c r="AK8036" s="23">
        <v>25</v>
      </c>
      <c r="AM8036" s="19">
        <v>0</v>
      </c>
      <c r="AN8036" s="19">
        <v>130500</v>
      </c>
      <c r="AP8036" s="14">
        <v>130500</v>
      </c>
    </row>
    <row r="8037" spans="1:45" x14ac:dyDescent="0.2">
      <c r="A8037" s="122">
        <f t="shared" si="768"/>
        <v>6659</v>
      </c>
      <c r="B8037" s="13">
        <v>1</v>
      </c>
      <c r="C8037" s="17" t="s">
        <v>52</v>
      </c>
      <c r="D8037" s="17">
        <v>1441</v>
      </c>
      <c r="E8037" s="17">
        <v>22</v>
      </c>
      <c r="F8037" s="17">
        <v>888</v>
      </c>
      <c r="G8037" s="13">
        <v>2</v>
      </c>
      <c r="H8037" s="17">
        <v>2</v>
      </c>
      <c r="I8037" s="17">
        <v>0</v>
      </c>
      <c r="J8037" s="17">
        <v>42</v>
      </c>
      <c r="M8037" s="15">
        <v>842</v>
      </c>
      <c r="P8037" s="17">
        <v>3</v>
      </c>
      <c r="Q8037" s="19">
        <v>842</v>
      </c>
      <c r="R8037" s="14">
        <v>160</v>
      </c>
      <c r="S8037" s="19">
        <v>134720</v>
      </c>
      <c r="AJ8037" s="19">
        <v>0</v>
      </c>
      <c r="AK8037" s="23">
        <v>0</v>
      </c>
      <c r="AM8037" s="19">
        <v>0</v>
      </c>
      <c r="AN8037" s="19">
        <v>134720</v>
      </c>
      <c r="AP8037" s="14">
        <v>134720</v>
      </c>
    </row>
    <row r="8038" spans="1:45" x14ac:dyDescent="0.2">
      <c r="A8038" s="122">
        <f t="shared" si="768"/>
        <v>6660</v>
      </c>
      <c r="B8038" s="13">
        <v>1</v>
      </c>
      <c r="C8038" s="17" t="s">
        <v>52</v>
      </c>
      <c r="D8038" s="17">
        <v>1605</v>
      </c>
      <c r="E8038" s="17">
        <v>42</v>
      </c>
      <c r="F8038" s="17">
        <v>557</v>
      </c>
      <c r="G8038" s="13">
        <v>2</v>
      </c>
      <c r="H8038" s="17">
        <v>11</v>
      </c>
      <c r="I8038" s="17">
        <v>2</v>
      </c>
      <c r="J8038" s="17">
        <v>97</v>
      </c>
      <c r="K8038" s="10">
        <v>4697</v>
      </c>
      <c r="P8038" s="17">
        <v>1</v>
      </c>
      <c r="Q8038" s="19">
        <v>4697</v>
      </c>
      <c r="R8038" s="14">
        <v>200</v>
      </c>
      <c r="S8038" s="19">
        <v>939400</v>
      </c>
      <c r="AJ8038" s="19">
        <v>0</v>
      </c>
      <c r="AK8038" s="23">
        <v>0</v>
      </c>
      <c r="AM8038" s="19">
        <v>0</v>
      </c>
      <c r="AN8038" s="19">
        <v>939400</v>
      </c>
      <c r="AP8038" s="14">
        <v>939400</v>
      </c>
    </row>
    <row r="8039" spans="1:45" ht="42" x14ac:dyDescent="0.2">
      <c r="A8039" s="122">
        <f t="shared" si="768"/>
        <v>6661</v>
      </c>
      <c r="B8039" s="13">
        <v>2</v>
      </c>
      <c r="C8039" s="17" t="s">
        <v>52</v>
      </c>
      <c r="D8039" s="17">
        <v>1428</v>
      </c>
      <c r="E8039" s="17">
        <v>6</v>
      </c>
      <c r="F8039" s="17">
        <v>867</v>
      </c>
      <c r="G8039" s="13">
        <v>2</v>
      </c>
      <c r="H8039" s="17">
        <v>0</v>
      </c>
      <c r="I8039" s="17">
        <v>2</v>
      </c>
      <c r="J8039" s="17">
        <v>75</v>
      </c>
      <c r="L8039" s="17" t="s">
        <v>651</v>
      </c>
      <c r="P8039" s="17">
        <v>2</v>
      </c>
      <c r="Q8039" s="19">
        <v>275</v>
      </c>
      <c r="R8039" s="14">
        <v>1500</v>
      </c>
      <c r="S8039" s="19">
        <v>412500</v>
      </c>
      <c r="T8039" s="17">
        <v>1</v>
      </c>
      <c r="V8039" s="17" t="s">
        <v>530</v>
      </c>
      <c r="W8039" s="4">
        <v>120</v>
      </c>
      <c r="Y8039" s="4">
        <v>120</v>
      </c>
      <c r="AB8039" s="17">
        <v>22</v>
      </c>
      <c r="AJ8039" s="19">
        <v>0</v>
      </c>
      <c r="AK8039" s="23">
        <v>22</v>
      </c>
      <c r="AM8039" s="19">
        <v>0</v>
      </c>
      <c r="AN8039" s="19">
        <v>412500</v>
      </c>
      <c r="AP8039" s="14">
        <v>412500</v>
      </c>
    </row>
    <row r="8040" spans="1:45" x14ac:dyDescent="0.2">
      <c r="A8040" s="122">
        <f t="shared" si="768"/>
        <v>6662</v>
      </c>
      <c r="B8040" s="13">
        <v>1</v>
      </c>
      <c r="C8040" s="17" t="s">
        <v>52</v>
      </c>
      <c r="D8040" s="17">
        <v>1700</v>
      </c>
      <c r="E8040" s="17">
        <v>16</v>
      </c>
      <c r="F8040" s="17">
        <v>882</v>
      </c>
      <c r="G8040" s="13">
        <v>2</v>
      </c>
      <c r="H8040" s="17">
        <v>0</v>
      </c>
      <c r="I8040" s="17">
        <v>0</v>
      </c>
      <c r="J8040" s="17">
        <v>45</v>
      </c>
      <c r="N8040" s="18">
        <v>45</v>
      </c>
      <c r="P8040" s="17">
        <v>4</v>
      </c>
      <c r="Q8040" s="19">
        <v>45</v>
      </c>
      <c r="R8040" s="14">
        <v>160</v>
      </c>
      <c r="S8040" s="19">
        <v>7200</v>
      </c>
      <c r="AJ8040" s="19">
        <v>0</v>
      </c>
      <c r="AK8040" s="23">
        <v>0</v>
      </c>
      <c r="AM8040" s="19">
        <v>0</v>
      </c>
      <c r="AN8040" s="19">
        <v>7200</v>
      </c>
      <c r="AP8040" s="14">
        <v>7200</v>
      </c>
      <c r="AQ8040" s="12">
        <v>3.0000000000000001E-3</v>
      </c>
    </row>
    <row r="8041" spans="1:45" ht="63" x14ac:dyDescent="0.2">
      <c r="A8041" s="122">
        <f t="shared" si="768"/>
        <v>6663</v>
      </c>
      <c r="B8041" s="13">
        <v>1</v>
      </c>
      <c r="C8041" s="17" t="s">
        <v>52</v>
      </c>
      <c r="D8041" s="17">
        <v>1706</v>
      </c>
      <c r="E8041" s="17">
        <v>32</v>
      </c>
      <c r="F8041" s="17">
        <v>1360</v>
      </c>
      <c r="G8041" s="13">
        <v>2</v>
      </c>
      <c r="H8041" s="17">
        <v>0</v>
      </c>
      <c r="I8041" s="17">
        <v>1</v>
      </c>
      <c r="J8041" s="17">
        <v>14</v>
      </c>
      <c r="K8041" s="10">
        <v>114</v>
      </c>
      <c r="P8041" s="17">
        <v>1</v>
      </c>
      <c r="Q8041" s="19">
        <v>114</v>
      </c>
      <c r="R8041" s="14">
        <v>4500</v>
      </c>
      <c r="S8041" s="19">
        <v>513000</v>
      </c>
      <c r="U8041" s="17" t="s">
        <v>57</v>
      </c>
      <c r="V8041" s="17" t="s">
        <v>56</v>
      </c>
      <c r="W8041" s="4" t="s">
        <v>279</v>
      </c>
      <c r="Y8041" s="4" t="s">
        <v>279</v>
      </c>
      <c r="AB8041" s="17">
        <v>2</v>
      </c>
      <c r="AJ8041" s="19">
        <v>0</v>
      </c>
      <c r="AK8041" s="23">
        <v>2</v>
      </c>
      <c r="AM8041" s="19">
        <v>0</v>
      </c>
      <c r="AN8041" s="19">
        <v>513000</v>
      </c>
      <c r="AP8041" s="14">
        <v>513000</v>
      </c>
    </row>
    <row r="8042" spans="1:45" x14ac:dyDescent="0.2">
      <c r="Q8042" s="19">
        <v>0</v>
      </c>
      <c r="R8042" s="14" t="e">
        <v>#N/A</v>
      </c>
    </row>
    <row r="8043" spans="1:45" x14ac:dyDescent="0.2">
      <c r="A8043" s="2">
        <v>6664</v>
      </c>
      <c r="B8043" s="13">
        <v>1</v>
      </c>
      <c r="C8043" s="17" t="s">
        <v>52</v>
      </c>
      <c r="D8043" s="17">
        <v>2979</v>
      </c>
      <c r="E8043" s="17">
        <v>6</v>
      </c>
      <c r="F8043" s="17">
        <v>2047</v>
      </c>
      <c r="G8043" s="13">
        <v>2</v>
      </c>
      <c r="H8043" s="17">
        <v>0</v>
      </c>
      <c r="I8043" s="17">
        <v>0</v>
      </c>
      <c r="J8043" s="17">
        <v>54</v>
      </c>
      <c r="N8043" s="18">
        <v>54</v>
      </c>
      <c r="P8043" s="17">
        <v>4</v>
      </c>
      <c r="Q8043" s="19">
        <v>54</v>
      </c>
      <c r="R8043" s="14">
        <v>250</v>
      </c>
      <c r="S8043" s="19">
        <v>13500</v>
      </c>
      <c r="AJ8043" s="19">
        <v>0</v>
      </c>
      <c r="AK8043" s="23">
        <v>0</v>
      </c>
      <c r="AM8043" s="19">
        <v>0</v>
      </c>
      <c r="AN8043" s="19">
        <v>13500</v>
      </c>
      <c r="AP8043" s="14">
        <v>13500</v>
      </c>
    </row>
    <row r="8044" spans="1:45" ht="42" x14ac:dyDescent="0.2">
      <c r="A8044" s="2">
        <f>+A8043+1</f>
        <v>6665</v>
      </c>
      <c r="B8044" s="13">
        <v>1</v>
      </c>
      <c r="C8044" s="17" t="s">
        <v>52</v>
      </c>
      <c r="D8044" s="17">
        <v>3016</v>
      </c>
      <c r="E8044" s="17">
        <v>49</v>
      </c>
      <c r="F8044" s="17">
        <v>2084</v>
      </c>
      <c r="G8044" s="13">
        <v>2</v>
      </c>
      <c r="H8044" s="17">
        <v>2</v>
      </c>
      <c r="I8044" s="17">
        <v>2</v>
      </c>
      <c r="J8044" s="17">
        <v>72</v>
      </c>
      <c r="K8044" s="10" t="s">
        <v>829</v>
      </c>
      <c r="L8044" s="17">
        <v>22.75</v>
      </c>
      <c r="P8044" s="17">
        <v>5</v>
      </c>
      <c r="Q8044" s="19">
        <v>1072</v>
      </c>
      <c r="R8044" s="14">
        <v>200</v>
      </c>
      <c r="S8044" s="19">
        <v>214400</v>
      </c>
      <c r="T8044" s="17">
        <v>1</v>
      </c>
      <c r="V8044" s="17" t="s">
        <v>183</v>
      </c>
      <c r="W8044" s="4">
        <v>91</v>
      </c>
      <c r="Y8044" s="4">
        <v>91</v>
      </c>
      <c r="AB8044" s="17">
        <v>25</v>
      </c>
      <c r="AJ8044" s="19">
        <v>0</v>
      </c>
      <c r="AK8044" s="23">
        <v>25</v>
      </c>
      <c r="AM8044" s="19">
        <v>0</v>
      </c>
      <c r="AN8044" s="19">
        <v>214400</v>
      </c>
      <c r="AP8044" s="14">
        <v>214400</v>
      </c>
    </row>
    <row r="8045" spans="1:45" x14ac:dyDescent="0.2">
      <c r="A8045" s="122">
        <f t="shared" ref="A8045:A8048" si="769">+A8044+1</f>
        <v>6666</v>
      </c>
      <c r="B8045" s="13">
        <v>1</v>
      </c>
      <c r="C8045" s="17" t="s">
        <v>52</v>
      </c>
      <c r="D8045" s="17">
        <v>3750</v>
      </c>
      <c r="E8045" s="17">
        <v>9</v>
      </c>
      <c r="F8045" s="17">
        <v>2272</v>
      </c>
      <c r="G8045" s="13">
        <v>2</v>
      </c>
      <c r="H8045" s="17">
        <v>2</v>
      </c>
      <c r="I8045" s="17">
        <v>0</v>
      </c>
      <c r="J8045" s="17">
        <v>50</v>
      </c>
      <c r="K8045" s="10">
        <v>850</v>
      </c>
      <c r="P8045" s="17">
        <v>1</v>
      </c>
      <c r="Q8045" s="19">
        <v>850</v>
      </c>
      <c r="R8045" s="14">
        <v>200</v>
      </c>
      <c r="S8045" s="19">
        <v>170000</v>
      </c>
      <c r="AJ8045" s="19">
        <v>0</v>
      </c>
      <c r="AK8045" s="23">
        <v>0</v>
      </c>
      <c r="AM8045" s="19">
        <v>0</v>
      </c>
      <c r="AN8045" s="19">
        <v>170000</v>
      </c>
      <c r="AP8045" s="14">
        <v>170000</v>
      </c>
    </row>
    <row r="8046" spans="1:45" x14ac:dyDescent="0.2">
      <c r="A8046" s="122">
        <f t="shared" si="769"/>
        <v>6667</v>
      </c>
      <c r="B8046" s="13">
        <v>1</v>
      </c>
      <c r="C8046" s="17" t="s">
        <v>52</v>
      </c>
      <c r="D8046" s="17">
        <v>12385</v>
      </c>
      <c r="E8046" s="17">
        <v>122</v>
      </c>
      <c r="F8046" s="17">
        <v>3239</v>
      </c>
      <c r="G8046" s="13">
        <v>2</v>
      </c>
      <c r="H8046" s="17">
        <v>0</v>
      </c>
      <c r="I8046" s="17">
        <v>1</v>
      </c>
      <c r="J8046" s="17">
        <v>55</v>
      </c>
      <c r="L8046" s="17">
        <v>155</v>
      </c>
      <c r="P8046" s="17">
        <v>2</v>
      </c>
      <c r="Q8046" s="19">
        <v>155</v>
      </c>
      <c r="R8046" s="14">
        <v>200</v>
      </c>
      <c r="S8046" s="19">
        <v>31000</v>
      </c>
      <c r="AJ8046" s="19">
        <v>0</v>
      </c>
      <c r="AK8046" s="23">
        <v>0</v>
      </c>
      <c r="AM8046" s="19">
        <v>0</v>
      </c>
      <c r="AN8046" s="19">
        <v>31000</v>
      </c>
      <c r="AP8046" s="14">
        <v>31000</v>
      </c>
    </row>
    <row r="8047" spans="1:45" x14ac:dyDescent="0.2">
      <c r="A8047" s="122">
        <f t="shared" si="769"/>
        <v>6668</v>
      </c>
      <c r="B8047" s="13">
        <v>2</v>
      </c>
      <c r="C8047" s="17" t="s">
        <v>52</v>
      </c>
      <c r="D8047" s="17">
        <v>12386</v>
      </c>
      <c r="E8047" s="17">
        <v>121</v>
      </c>
      <c r="F8047" s="17">
        <v>3238</v>
      </c>
      <c r="G8047" s="13">
        <v>2</v>
      </c>
      <c r="H8047" s="17">
        <v>3</v>
      </c>
      <c r="I8047" s="17">
        <v>1</v>
      </c>
      <c r="J8047" s="17">
        <v>57</v>
      </c>
      <c r="K8047" s="10">
        <v>1357</v>
      </c>
      <c r="P8047" s="17">
        <v>1</v>
      </c>
      <c r="Q8047" s="19">
        <v>1357</v>
      </c>
      <c r="R8047" s="14">
        <v>200</v>
      </c>
      <c r="S8047" s="19">
        <v>271400</v>
      </c>
      <c r="AJ8047" s="19">
        <v>0</v>
      </c>
      <c r="AK8047" s="23">
        <v>0</v>
      </c>
      <c r="AM8047" s="19">
        <v>0</v>
      </c>
      <c r="AN8047" s="19">
        <v>271400</v>
      </c>
      <c r="AP8047" s="14">
        <v>271400</v>
      </c>
    </row>
    <row r="8048" spans="1:45" x14ac:dyDescent="0.2">
      <c r="A8048" s="122">
        <f t="shared" si="769"/>
        <v>6669</v>
      </c>
      <c r="B8048" s="13">
        <v>3</v>
      </c>
      <c r="C8048" s="17" t="s">
        <v>52</v>
      </c>
      <c r="D8048" s="17">
        <v>37744</v>
      </c>
      <c r="E8048" s="17">
        <v>204</v>
      </c>
      <c r="F8048" s="17">
        <v>7629</v>
      </c>
      <c r="G8048" s="13">
        <v>2</v>
      </c>
      <c r="H8048" s="17">
        <v>0</v>
      </c>
      <c r="I8048" s="17">
        <v>3</v>
      </c>
      <c r="J8048" s="17">
        <v>74</v>
      </c>
      <c r="L8048" s="17">
        <v>374</v>
      </c>
      <c r="P8048" s="17">
        <v>2</v>
      </c>
      <c r="Q8048" s="19">
        <v>374</v>
      </c>
      <c r="R8048" s="14">
        <v>160</v>
      </c>
      <c r="S8048" s="19">
        <v>59840</v>
      </c>
      <c r="AJ8048" s="19">
        <v>0</v>
      </c>
      <c r="AK8048" s="23">
        <v>0</v>
      </c>
      <c r="AM8048" s="19">
        <v>0</v>
      </c>
      <c r="AN8048" s="19">
        <v>59840</v>
      </c>
      <c r="AP8048" s="14">
        <v>59840</v>
      </c>
    </row>
    <row r="8049" spans="1:45" x14ac:dyDescent="0.2">
      <c r="A8049" s="122"/>
    </row>
    <row r="8050" spans="1:45" s="19" customFormat="1" x14ac:dyDescent="0.2">
      <c r="A8050" s="122">
        <v>6670</v>
      </c>
      <c r="B8050" s="13">
        <v>1</v>
      </c>
      <c r="C8050" s="17" t="s">
        <v>52</v>
      </c>
      <c r="D8050" s="17">
        <v>14102</v>
      </c>
      <c r="E8050" s="17">
        <v>287</v>
      </c>
      <c r="F8050" s="17">
        <v>3330</v>
      </c>
      <c r="G8050" s="13">
        <v>2</v>
      </c>
      <c r="H8050" s="17">
        <v>0</v>
      </c>
      <c r="I8050" s="17">
        <v>0</v>
      </c>
      <c r="J8050" s="17">
        <v>41</v>
      </c>
      <c r="K8050" s="10"/>
      <c r="L8050" s="17"/>
      <c r="M8050" s="15"/>
      <c r="N8050" s="18">
        <v>41</v>
      </c>
      <c r="O8050" s="14"/>
      <c r="P8050" s="17">
        <v>4</v>
      </c>
      <c r="Q8050" s="19">
        <v>41</v>
      </c>
      <c r="R8050" s="14">
        <v>160</v>
      </c>
      <c r="S8050" s="19">
        <v>6560</v>
      </c>
      <c r="T8050" s="17"/>
      <c r="U8050" s="17"/>
      <c r="V8050" s="17"/>
      <c r="W8050" s="4"/>
      <c r="X8050" s="17"/>
      <c r="Y8050" s="4"/>
      <c r="Z8050" s="17"/>
      <c r="AA8050" s="17"/>
      <c r="AB8050" s="17"/>
      <c r="AC8050" s="14"/>
      <c r="AD8050" s="14"/>
      <c r="AE8050" s="17"/>
      <c r="AF8050" s="14"/>
      <c r="AG8050" s="54"/>
      <c r="AH8050" s="11"/>
      <c r="AI8050" s="14"/>
      <c r="AJ8050" s="19">
        <v>0</v>
      </c>
      <c r="AK8050" s="23">
        <v>0</v>
      </c>
      <c r="AL8050" s="11"/>
      <c r="AM8050" s="19">
        <v>0</v>
      </c>
      <c r="AN8050" s="19">
        <v>6560</v>
      </c>
      <c r="AO8050" s="14"/>
      <c r="AP8050" s="14">
        <v>6560</v>
      </c>
      <c r="AQ8050" s="12">
        <v>3.0000000000000001E-3</v>
      </c>
      <c r="AS8050" s="26"/>
    </row>
    <row r="8051" spans="1:45" s="19" customFormat="1" x14ac:dyDescent="0.2">
      <c r="A8051" s="2"/>
      <c r="B8051" s="13"/>
      <c r="C8051" s="17"/>
      <c r="D8051" s="17"/>
      <c r="E8051" s="17"/>
      <c r="F8051" s="17"/>
      <c r="G8051" s="13"/>
      <c r="H8051" s="17"/>
      <c r="I8051" s="17"/>
      <c r="J8051" s="17"/>
      <c r="K8051" s="10"/>
      <c r="L8051" s="17"/>
      <c r="M8051" s="15"/>
      <c r="N8051" s="18"/>
      <c r="O8051" s="14"/>
      <c r="P8051" s="17"/>
      <c r="Q8051" s="19">
        <v>0</v>
      </c>
      <c r="R8051" s="14" t="e">
        <v>#N/A</v>
      </c>
      <c r="T8051" s="17"/>
      <c r="U8051" s="17"/>
      <c r="V8051" s="17"/>
      <c r="W8051" s="4"/>
      <c r="X8051" s="17"/>
      <c r="Y8051" s="4"/>
      <c r="Z8051" s="17"/>
      <c r="AA8051" s="17"/>
      <c r="AB8051" s="17"/>
      <c r="AC8051" s="14"/>
      <c r="AD8051" s="14"/>
      <c r="AE8051" s="17"/>
      <c r="AF8051" s="14"/>
      <c r="AG8051" s="54"/>
      <c r="AH8051" s="11"/>
      <c r="AI8051" s="14"/>
      <c r="AK8051" s="23"/>
      <c r="AL8051" s="11"/>
      <c r="AO8051" s="14"/>
      <c r="AP8051" s="14"/>
      <c r="AQ8051" s="12"/>
      <c r="AS8051" s="26"/>
    </row>
    <row r="8052" spans="1:45" s="19" customFormat="1" x14ac:dyDescent="0.2">
      <c r="A8052" s="2">
        <v>6671</v>
      </c>
      <c r="B8052" s="13">
        <v>1</v>
      </c>
      <c r="C8052" s="17" t="s">
        <v>52</v>
      </c>
      <c r="D8052" s="17">
        <v>18633</v>
      </c>
      <c r="E8052" s="17">
        <v>126</v>
      </c>
      <c r="F8052" s="17">
        <v>3642</v>
      </c>
      <c r="G8052" s="13">
        <v>2</v>
      </c>
      <c r="H8052" s="17">
        <v>5</v>
      </c>
      <c r="I8052" s="17">
        <v>3</v>
      </c>
      <c r="J8052" s="17">
        <v>55</v>
      </c>
      <c r="K8052" s="10">
        <v>2355</v>
      </c>
      <c r="L8052" s="17"/>
      <c r="M8052" s="15"/>
      <c r="N8052" s="18"/>
      <c r="O8052" s="14"/>
      <c r="P8052" s="17">
        <v>1</v>
      </c>
      <c r="Q8052" s="19">
        <v>2355</v>
      </c>
      <c r="R8052" s="14">
        <v>160</v>
      </c>
      <c r="S8052" s="19">
        <v>376800</v>
      </c>
      <c r="T8052" s="17"/>
      <c r="U8052" s="17"/>
      <c r="V8052" s="17"/>
      <c r="W8052" s="4"/>
      <c r="X8052" s="17"/>
      <c r="Y8052" s="4"/>
      <c r="Z8052" s="17"/>
      <c r="AA8052" s="17"/>
      <c r="AB8052" s="17"/>
      <c r="AC8052" s="14"/>
      <c r="AD8052" s="14"/>
      <c r="AE8052" s="17"/>
      <c r="AF8052" s="14"/>
      <c r="AG8052" s="54"/>
      <c r="AH8052" s="11"/>
      <c r="AI8052" s="14"/>
      <c r="AJ8052" s="19">
        <v>0</v>
      </c>
      <c r="AK8052" s="23">
        <v>0</v>
      </c>
      <c r="AL8052" s="11"/>
      <c r="AM8052" s="19">
        <v>0</v>
      </c>
      <c r="AN8052" s="19">
        <v>376800</v>
      </c>
      <c r="AO8052" s="14"/>
      <c r="AP8052" s="14">
        <v>376800</v>
      </c>
      <c r="AQ8052" s="12"/>
      <c r="AS8052" s="26"/>
    </row>
    <row r="8053" spans="1:45" s="19" customFormat="1" x14ac:dyDescent="0.2">
      <c r="A8053" s="2">
        <f>+A8052+1</f>
        <v>6672</v>
      </c>
      <c r="B8053" s="13">
        <v>1</v>
      </c>
      <c r="C8053" s="17" t="s">
        <v>52</v>
      </c>
      <c r="D8053" s="17">
        <v>25110</v>
      </c>
      <c r="E8053" s="17">
        <v>216</v>
      </c>
      <c r="F8053" s="17">
        <v>4967</v>
      </c>
      <c r="G8053" s="13">
        <v>2</v>
      </c>
      <c r="H8053" s="17">
        <v>0</v>
      </c>
      <c r="I8053" s="17">
        <v>2</v>
      </c>
      <c r="J8053" s="17">
        <v>8</v>
      </c>
      <c r="K8053" s="10">
        <v>208</v>
      </c>
      <c r="L8053" s="17"/>
      <c r="M8053" s="15"/>
      <c r="N8053" s="18"/>
      <c r="O8053" s="14"/>
      <c r="P8053" s="17">
        <v>1</v>
      </c>
      <c r="Q8053" s="19">
        <v>208</v>
      </c>
      <c r="R8053" s="14">
        <v>160</v>
      </c>
      <c r="S8053" s="19">
        <v>33280</v>
      </c>
      <c r="T8053" s="17"/>
      <c r="U8053" s="17"/>
      <c r="V8053" s="17"/>
      <c r="W8053" s="4"/>
      <c r="X8053" s="17"/>
      <c r="Y8053" s="4"/>
      <c r="Z8053" s="17"/>
      <c r="AA8053" s="17"/>
      <c r="AB8053" s="17"/>
      <c r="AC8053" s="14"/>
      <c r="AD8053" s="14"/>
      <c r="AE8053" s="17"/>
      <c r="AF8053" s="14"/>
      <c r="AG8053" s="54"/>
      <c r="AH8053" s="11"/>
      <c r="AI8053" s="14"/>
      <c r="AJ8053" s="19">
        <v>0</v>
      </c>
      <c r="AK8053" s="23">
        <v>0</v>
      </c>
      <c r="AL8053" s="11"/>
      <c r="AM8053" s="19">
        <v>0</v>
      </c>
      <c r="AN8053" s="19">
        <v>33280</v>
      </c>
      <c r="AO8053" s="14"/>
      <c r="AP8053" s="14">
        <v>33280</v>
      </c>
      <c r="AQ8053" s="12"/>
      <c r="AS8053" s="26"/>
    </row>
    <row r="8054" spans="1:45" s="19" customFormat="1" x14ac:dyDescent="0.2">
      <c r="A8054" s="122">
        <f t="shared" ref="A8054:A8055" si="770">+A8053+1</f>
        <v>6673</v>
      </c>
      <c r="B8054" s="13">
        <v>1</v>
      </c>
      <c r="C8054" s="17" t="s">
        <v>52</v>
      </c>
      <c r="D8054" s="17">
        <v>25537</v>
      </c>
      <c r="E8054" s="17">
        <v>39</v>
      </c>
      <c r="F8054" s="17">
        <v>4993</v>
      </c>
      <c r="G8054" s="13">
        <v>2</v>
      </c>
      <c r="H8054" s="17">
        <v>1</v>
      </c>
      <c r="I8054" s="17">
        <v>0</v>
      </c>
      <c r="J8054" s="17">
        <v>89</v>
      </c>
      <c r="K8054" s="10">
        <v>489</v>
      </c>
      <c r="L8054" s="17"/>
      <c r="M8054" s="15"/>
      <c r="N8054" s="18"/>
      <c r="O8054" s="14"/>
      <c r="P8054" s="17">
        <v>1</v>
      </c>
      <c r="Q8054" s="19">
        <v>489</v>
      </c>
      <c r="R8054" s="14">
        <v>160</v>
      </c>
      <c r="S8054" s="19">
        <v>78240</v>
      </c>
      <c r="T8054" s="17"/>
      <c r="U8054" s="17"/>
      <c r="V8054" s="17"/>
      <c r="W8054" s="4"/>
      <c r="X8054" s="17"/>
      <c r="Y8054" s="4"/>
      <c r="Z8054" s="17"/>
      <c r="AA8054" s="17"/>
      <c r="AB8054" s="17"/>
      <c r="AC8054" s="14"/>
      <c r="AD8054" s="14"/>
      <c r="AE8054" s="17"/>
      <c r="AF8054" s="14"/>
      <c r="AG8054" s="54"/>
      <c r="AH8054" s="11"/>
      <c r="AI8054" s="14"/>
      <c r="AJ8054" s="19">
        <v>0</v>
      </c>
      <c r="AK8054" s="23">
        <v>0</v>
      </c>
      <c r="AL8054" s="11"/>
      <c r="AM8054" s="19">
        <v>0</v>
      </c>
      <c r="AN8054" s="19">
        <v>78240</v>
      </c>
      <c r="AO8054" s="14"/>
      <c r="AP8054" s="14">
        <v>78240</v>
      </c>
      <c r="AQ8054" s="12"/>
      <c r="AS8054" s="26"/>
    </row>
    <row r="8055" spans="1:45" s="19" customFormat="1" x14ac:dyDescent="0.2">
      <c r="A8055" s="122">
        <f t="shared" si="770"/>
        <v>6674</v>
      </c>
      <c r="B8055" s="13">
        <v>1</v>
      </c>
      <c r="C8055" s="17" t="s">
        <v>52</v>
      </c>
      <c r="D8055" s="17">
        <v>28800</v>
      </c>
      <c r="E8055" s="17">
        <v>147</v>
      </c>
      <c r="F8055" s="17">
        <v>5453</v>
      </c>
      <c r="G8055" s="13">
        <v>2</v>
      </c>
      <c r="H8055" s="17">
        <v>0</v>
      </c>
      <c r="I8055" s="17">
        <v>0</v>
      </c>
      <c r="J8055" s="17">
        <v>70</v>
      </c>
      <c r="K8055" s="10">
        <v>70</v>
      </c>
      <c r="L8055" s="17"/>
      <c r="M8055" s="15"/>
      <c r="N8055" s="18"/>
      <c r="O8055" s="14"/>
      <c r="P8055" s="17">
        <v>1</v>
      </c>
      <c r="Q8055" s="19">
        <v>70</v>
      </c>
      <c r="R8055" s="14">
        <v>250</v>
      </c>
      <c r="S8055" s="19">
        <v>17500</v>
      </c>
      <c r="T8055" s="17"/>
      <c r="U8055" s="17"/>
      <c r="V8055" s="17"/>
      <c r="W8055" s="4"/>
      <c r="X8055" s="17"/>
      <c r="Y8055" s="4"/>
      <c r="Z8055" s="17"/>
      <c r="AA8055" s="17"/>
      <c r="AB8055" s="17"/>
      <c r="AC8055" s="14"/>
      <c r="AD8055" s="14"/>
      <c r="AE8055" s="17"/>
      <c r="AF8055" s="14"/>
      <c r="AG8055" s="54"/>
      <c r="AH8055" s="11"/>
      <c r="AI8055" s="14"/>
      <c r="AJ8055" s="19">
        <v>0</v>
      </c>
      <c r="AK8055" s="23">
        <v>0</v>
      </c>
      <c r="AL8055" s="11"/>
      <c r="AM8055" s="19">
        <v>0</v>
      </c>
      <c r="AN8055" s="19">
        <v>17500</v>
      </c>
      <c r="AO8055" s="14"/>
      <c r="AP8055" s="14">
        <v>17500</v>
      </c>
      <c r="AQ8055" s="12"/>
      <c r="AS8055" s="26"/>
    </row>
    <row r="8056" spans="1:45" s="19" customFormat="1" x14ac:dyDescent="0.2">
      <c r="A8056" s="2"/>
      <c r="B8056" s="13"/>
      <c r="C8056" s="17"/>
      <c r="D8056" s="17"/>
      <c r="E8056" s="17"/>
      <c r="F8056" s="17"/>
      <c r="G8056" s="13"/>
      <c r="H8056" s="17"/>
      <c r="I8056" s="17"/>
      <c r="J8056" s="17"/>
      <c r="K8056" s="10"/>
      <c r="L8056" s="17"/>
      <c r="M8056" s="15"/>
      <c r="N8056" s="18"/>
      <c r="O8056" s="14"/>
      <c r="P8056" s="17"/>
      <c r="R8056" s="14" t="e">
        <v>#N/A</v>
      </c>
      <c r="T8056" s="17"/>
      <c r="U8056" s="17"/>
      <c r="V8056" s="17"/>
      <c r="W8056" s="4"/>
      <c r="X8056" s="17"/>
      <c r="Y8056" s="4"/>
      <c r="Z8056" s="17"/>
      <c r="AA8056" s="17"/>
      <c r="AB8056" s="17"/>
      <c r="AC8056" s="14"/>
      <c r="AD8056" s="14"/>
      <c r="AE8056" s="17"/>
      <c r="AF8056" s="14"/>
      <c r="AG8056" s="54"/>
      <c r="AH8056" s="11"/>
      <c r="AI8056" s="14"/>
      <c r="AK8056" s="23"/>
      <c r="AL8056" s="11"/>
      <c r="AO8056" s="14"/>
      <c r="AP8056" s="14"/>
      <c r="AQ8056" s="12"/>
      <c r="AS8056" s="26"/>
    </row>
    <row r="8057" spans="1:45" s="19" customFormat="1" x14ac:dyDescent="0.2">
      <c r="A8057" s="2"/>
      <c r="B8057" s="13"/>
      <c r="C8057" s="17"/>
      <c r="D8057" s="17"/>
      <c r="E8057" s="17"/>
      <c r="F8057" s="17"/>
      <c r="G8057" s="13"/>
      <c r="H8057" s="17"/>
      <c r="I8057" s="17"/>
      <c r="J8057" s="17"/>
      <c r="K8057" s="10"/>
      <c r="L8057" s="17"/>
      <c r="M8057" s="15"/>
      <c r="N8057" s="18"/>
      <c r="O8057" s="14"/>
      <c r="P8057" s="17"/>
      <c r="R8057" s="14" t="e">
        <v>#N/A</v>
      </c>
      <c r="T8057" s="17"/>
      <c r="U8057" s="17"/>
      <c r="V8057" s="17"/>
      <c r="W8057" s="4"/>
      <c r="X8057" s="17"/>
      <c r="Y8057" s="4"/>
      <c r="Z8057" s="17"/>
      <c r="AA8057" s="17"/>
      <c r="AB8057" s="17"/>
      <c r="AC8057" s="14"/>
      <c r="AD8057" s="14"/>
      <c r="AE8057" s="17"/>
      <c r="AF8057" s="14"/>
      <c r="AG8057" s="54"/>
      <c r="AH8057" s="11"/>
      <c r="AI8057" s="14"/>
      <c r="AK8057" s="23"/>
      <c r="AL8057" s="11"/>
      <c r="AO8057" s="14"/>
      <c r="AP8057" s="14"/>
      <c r="AQ8057" s="12"/>
      <c r="AS8057" s="26"/>
    </row>
    <row r="8058" spans="1:45" s="19" customFormat="1" x14ac:dyDescent="0.2">
      <c r="A8058" s="2">
        <v>6675</v>
      </c>
      <c r="B8058" s="13">
        <v>1</v>
      </c>
      <c r="C8058" s="17" t="s">
        <v>52</v>
      </c>
      <c r="D8058" s="17">
        <v>31074</v>
      </c>
      <c r="E8058" s="17">
        <v>134</v>
      </c>
      <c r="F8058" s="17">
        <v>6024</v>
      </c>
      <c r="G8058" s="13">
        <v>2</v>
      </c>
      <c r="H8058" s="17">
        <v>0</v>
      </c>
      <c r="I8058" s="17">
        <v>0</v>
      </c>
      <c r="J8058" s="17">
        <v>62.08</v>
      </c>
      <c r="K8058" s="10">
        <v>62.08</v>
      </c>
      <c r="L8058" s="17"/>
      <c r="M8058" s="15"/>
      <c r="N8058" s="18"/>
      <c r="O8058" s="14"/>
      <c r="P8058" s="17">
        <v>1</v>
      </c>
      <c r="Q8058" s="19">
        <v>62.08</v>
      </c>
      <c r="R8058" s="14">
        <v>250</v>
      </c>
      <c r="S8058" s="19">
        <v>15520</v>
      </c>
      <c r="T8058" s="17"/>
      <c r="U8058" s="17"/>
      <c r="V8058" s="17"/>
      <c r="W8058" s="4"/>
      <c r="X8058" s="17"/>
      <c r="Y8058" s="4"/>
      <c r="Z8058" s="17"/>
      <c r="AA8058" s="17"/>
      <c r="AB8058" s="17"/>
      <c r="AC8058" s="14"/>
      <c r="AD8058" s="14"/>
      <c r="AE8058" s="17"/>
      <c r="AF8058" s="14"/>
      <c r="AG8058" s="54"/>
      <c r="AH8058" s="11"/>
      <c r="AI8058" s="14"/>
      <c r="AJ8058" s="19">
        <v>0</v>
      </c>
      <c r="AK8058" s="23">
        <v>0</v>
      </c>
      <c r="AL8058" s="11"/>
      <c r="AM8058" s="19">
        <v>0</v>
      </c>
      <c r="AN8058" s="19">
        <v>15520</v>
      </c>
      <c r="AO8058" s="14"/>
      <c r="AP8058" s="14">
        <v>15520</v>
      </c>
      <c r="AQ8058" s="12"/>
      <c r="AS8058" s="26"/>
    </row>
    <row r="8059" spans="1:45" s="19" customFormat="1" x14ac:dyDescent="0.2">
      <c r="A8059" s="2">
        <v>6676</v>
      </c>
      <c r="B8059" s="13">
        <v>1</v>
      </c>
      <c r="C8059" s="17" t="s">
        <v>52</v>
      </c>
      <c r="D8059" s="17">
        <v>31969</v>
      </c>
      <c r="E8059" s="17">
        <v>137</v>
      </c>
      <c r="F8059" s="17">
        <v>6288</v>
      </c>
      <c r="G8059" s="13">
        <v>2</v>
      </c>
      <c r="H8059" s="17">
        <v>6</v>
      </c>
      <c r="I8059" s="17">
        <v>0</v>
      </c>
      <c r="J8059" s="17">
        <v>82.07</v>
      </c>
      <c r="K8059" s="10">
        <v>2482.0700000000002</v>
      </c>
      <c r="L8059" s="17"/>
      <c r="M8059" s="15"/>
      <c r="N8059" s="18"/>
      <c r="O8059" s="14"/>
      <c r="P8059" s="17">
        <v>1</v>
      </c>
      <c r="Q8059" s="19">
        <v>2482.0700000000002</v>
      </c>
      <c r="R8059" s="14">
        <v>160</v>
      </c>
      <c r="S8059" s="19">
        <v>397131.2</v>
      </c>
      <c r="T8059" s="17"/>
      <c r="U8059" s="17"/>
      <c r="V8059" s="17"/>
      <c r="W8059" s="4"/>
      <c r="X8059" s="17"/>
      <c r="Y8059" s="4"/>
      <c r="Z8059" s="17"/>
      <c r="AA8059" s="17"/>
      <c r="AB8059" s="17"/>
      <c r="AC8059" s="14"/>
      <c r="AD8059" s="14"/>
      <c r="AE8059" s="17"/>
      <c r="AF8059" s="14"/>
      <c r="AG8059" s="54"/>
      <c r="AH8059" s="11"/>
      <c r="AI8059" s="14"/>
      <c r="AJ8059" s="19">
        <v>0</v>
      </c>
      <c r="AK8059" s="23">
        <v>0</v>
      </c>
      <c r="AL8059" s="11"/>
      <c r="AM8059" s="19">
        <v>0</v>
      </c>
      <c r="AN8059" s="19">
        <v>397131.2</v>
      </c>
      <c r="AO8059" s="14"/>
      <c r="AP8059" s="14">
        <v>397131.2</v>
      </c>
      <c r="AQ8059" s="12"/>
      <c r="AS8059" s="26"/>
    </row>
    <row r="8060" spans="1:45" s="19" customFormat="1" x14ac:dyDescent="0.2">
      <c r="A8060" s="2"/>
      <c r="B8060" s="13">
        <v>2</v>
      </c>
      <c r="C8060" s="17" t="s">
        <v>97</v>
      </c>
      <c r="D8060" s="17">
        <v>156</v>
      </c>
      <c r="E8060" s="17"/>
      <c r="F8060" s="17"/>
      <c r="G8060" s="13">
        <v>2</v>
      </c>
      <c r="H8060" s="17">
        <v>6</v>
      </c>
      <c r="I8060" s="17">
        <v>0</v>
      </c>
      <c r="J8060" s="17">
        <v>0</v>
      </c>
      <c r="K8060" s="10">
        <v>2400</v>
      </c>
      <c r="L8060" s="17"/>
      <c r="M8060" s="15"/>
      <c r="N8060" s="18"/>
      <c r="O8060" s="14"/>
      <c r="P8060" s="17">
        <v>1</v>
      </c>
      <c r="Q8060" s="19">
        <v>2400</v>
      </c>
      <c r="R8060" s="14" t="e">
        <v>#N/A</v>
      </c>
      <c r="S8060" s="19" t="e">
        <v>#N/A</v>
      </c>
      <c r="T8060" s="17"/>
      <c r="U8060" s="17"/>
      <c r="V8060" s="17"/>
      <c r="W8060" s="4"/>
      <c r="X8060" s="17"/>
      <c r="Y8060" s="4"/>
      <c r="Z8060" s="17"/>
      <c r="AA8060" s="17"/>
      <c r="AB8060" s="17"/>
      <c r="AC8060" s="14"/>
      <c r="AD8060" s="14"/>
      <c r="AE8060" s="17"/>
      <c r="AF8060" s="14"/>
      <c r="AG8060" s="54"/>
      <c r="AH8060" s="11"/>
      <c r="AI8060" s="14"/>
      <c r="AJ8060" s="19">
        <v>0</v>
      </c>
      <c r="AK8060" s="23">
        <v>0</v>
      </c>
      <c r="AL8060" s="11"/>
      <c r="AM8060" s="19">
        <v>0</v>
      </c>
      <c r="AN8060" s="19" t="e">
        <v>#N/A</v>
      </c>
      <c r="AO8060" s="14"/>
      <c r="AP8060" s="14" t="e">
        <v>#N/A</v>
      </c>
      <c r="AQ8060" s="12">
        <v>1E-4</v>
      </c>
      <c r="AS8060" s="26"/>
    </row>
    <row r="8061" spans="1:45" s="19" customFormat="1" x14ac:dyDescent="0.2">
      <c r="A8061" s="2">
        <v>6677</v>
      </c>
      <c r="B8061" s="13">
        <v>1</v>
      </c>
      <c r="C8061" s="17" t="s">
        <v>52</v>
      </c>
      <c r="D8061" s="17">
        <v>32371</v>
      </c>
      <c r="E8061" s="17">
        <v>146</v>
      </c>
      <c r="F8061" s="17">
        <v>5810</v>
      </c>
      <c r="G8061" s="13">
        <v>2</v>
      </c>
      <c r="H8061" s="17">
        <v>0</v>
      </c>
      <c r="I8061" s="17">
        <v>0</v>
      </c>
      <c r="J8061" s="17">
        <v>71</v>
      </c>
      <c r="K8061" s="10" t="s">
        <v>153</v>
      </c>
      <c r="L8061" s="17"/>
      <c r="M8061" s="15"/>
      <c r="N8061" s="18"/>
      <c r="O8061" s="14"/>
      <c r="P8061" s="17">
        <v>1</v>
      </c>
      <c r="Q8061" s="19">
        <v>71</v>
      </c>
      <c r="R8061" s="14">
        <v>2250</v>
      </c>
      <c r="S8061" s="19">
        <v>159750</v>
      </c>
      <c r="T8061" s="17"/>
      <c r="U8061" s="17"/>
      <c r="V8061" s="17"/>
      <c r="W8061" s="4"/>
      <c r="X8061" s="17"/>
      <c r="Y8061" s="4"/>
      <c r="Z8061" s="17"/>
      <c r="AA8061" s="17"/>
      <c r="AB8061" s="17"/>
      <c r="AC8061" s="14"/>
      <c r="AD8061" s="14"/>
      <c r="AE8061" s="17"/>
      <c r="AF8061" s="14"/>
      <c r="AG8061" s="54"/>
      <c r="AH8061" s="11"/>
      <c r="AI8061" s="14"/>
      <c r="AJ8061" s="19">
        <v>0</v>
      </c>
      <c r="AK8061" s="23">
        <v>0</v>
      </c>
      <c r="AL8061" s="11"/>
      <c r="AM8061" s="19">
        <v>0</v>
      </c>
      <c r="AN8061" s="19">
        <v>159750</v>
      </c>
      <c r="AO8061" s="14"/>
      <c r="AP8061" s="14">
        <v>159750</v>
      </c>
      <c r="AQ8061" s="12"/>
      <c r="AS8061" s="26"/>
    </row>
    <row r="8062" spans="1:45" s="19" customFormat="1" x14ac:dyDescent="0.2">
      <c r="A8062" s="2">
        <v>6678</v>
      </c>
      <c r="B8062" s="13">
        <v>1</v>
      </c>
      <c r="C8062" s="17" t="s">
        <v>52</v>
      </c>
      <c r="D8062" s="17">
        <v>1719</v>
      </c>
      <c r="E8062" s="17">
        <v>10</v>
      </c>
      <c r="F8062" s="17">
        <v>1437</v>
      </c>
      <c r="G8062" s="13">
        <v>3</v>
      </c>
      <c r="H8062" s="17">
        <v>11</v>
      </c>
      <c r="I8062" s="17">
        <v>0</v>
      </c>
      <c r="J8062" s="17">
        <v>51</v>
      </c>
      <c r="K8062" s="10">
        <v>4451</v>
      </c>
      <c r="L8062" s="17"/>
      <c r="M8062" s="15"/>
      <c r="N8062" s="18"/>
      <c r="O8062" s="14"/>
      <c r="P8062" s="17">
        <v>1</v>
      </c>
      <c r="Q8062" s="19">
        <v>4451</v>
      </c>
      <c r="R8062" s="14">
        <v>200</v>
      </c>
      <c r="S8062" s="19">
        <v>890200</v>
      </c>
      <c r="T8062" s="17"/>
      <c r="U8062" s="17"/>
      <c r="V8062" s="17"/>
      <c r="W8062" s="4"/>
      <c r="X8062" s="17"/>
      <c r="Y8062" s="4"/>
      <c r="Z8062" s="17"/>
      <c r="AA8062" s="17"/>
      <c r="AB8062" s="17"/>
      <c r="AC8062" s="14"/>
      <c r="AD8062" s="14"/>
      <c r="AE8062" s="17"/>
      <c r="AF8062" s="14"/>
      <c r="AG8062" s="54"/>
      <c r="AH8062" s="11"/>
      <c r="AI8062" s="14"/>
      <c r="AJ8062" s="19">
        <v>0</v>
      </c>
      <c r="AK8062" s="23">
        <v>0</v>
      </c>
      <c r="AL8062" s="11"/>
      <c r="AM8062" s="19">
        <v>0</v>
      </c>
      <c r="AN8062" s="19">
        <v>890200</v>
      </c>
      <c r="AO8062" s="14"/>
      <c r="AP8062" s="14">
        <v>890200</v>
      </c>
      <c r="AQ8062" s="12"/>
      <c r="AS8062" s="26"/>
    </row>
    <row r="8063" spans="1:45" s="19" customFormat="1" x14ac:dyDescent="0.2">
      <c r="A8063" s="2"/>
      <c r="B8063" s="13"/>
      <c r="C8063" s="17"/>
      <c r="D8063" s="17"/>
      <c r="E8063" s="17"/>
      <c r="F8063" s="17"/>
      <c r="G8063" s="13"/>
      <c r="H8063" s="17"/>
      <c r="I8063" s="17"/>
      <c r="J8063" s="17"/>
      <c r="K8063" s="10"/>
      <c r="L8063" s="17"/>
      <c r="M8063" s="15"/>
      <c r="N8063" s="18"/>
      <c r="O8063" s="14"/>
      <c r="P8063" s="17"/>
      <c r="R8063" s="14" t="e">
        <v>#N/A</v>
      </c>
      <c r="T8063" s="17"/>
      <c r="U8063" s="17"/>
      <c r="V8063" s="17"/>
      <c r="W8063" s="4"/>
      <c r="X8063" s="17"/>
      <c r="Y8063" s="4"/>
      <c r="Z8063" s="17"/>
      <c r="AA8063" s="17"/>
      <c r="AB8063" s="17"/>
      <c r="AC8063" s="14"/>
      <c r="AD8063" s="14"/>
      <c r="AE8063" s="17"/>
      <c r="AF8063" s="14"/>
      <c r="AG8063" s="54"/>
      <c r="AH8063" s="11"/>
      <c r="AI8063" s="14"/>
      <c r="AK8063" s="23"/>
      <c r="AL8063" s="11"/>
      <c r="AO8063" s="14"/>
      <c r="AP8063" s="14"/>
      <c r="AQ8063" s="12"/>
      <c r="AS8063" s="26"/>
    </row>
    <row r="8064" spans="1:45" s="19" customFormat="1" x14ac:dyDescent="0.2">
      <c r="A8064" s="2">
        <v>6679</v>
      </c>
      <c r="B8064" s="13">
        <v>1</v>
      </c>
      <c r="C8064" s="17" t="s">
        <v>52</v>
      </c>
      <c r="D8064" s="17">
        <v>2103</v>
      </c>
      <c r="E8064" s="17">
        <v>20</v>
      </c>
      <c r="F8064" s="17">
        <v>1658</v>
      </c>
      <c r="G8064" s="13">
        <v>3</v>
      </c>
      <c r="H8064" s="17">
        <v>2</v>
      </c>
      <c r="I8064" s="17">
        <v>1</v>
      </c>
      <c r="J8064" s="17">
        <v>70</v>
      </c>
      <c r="K8064" s="10">
        <v>970</v>
      </c>
      <c r="L8064" s="17"/>
      <c r="M8064" s="15"/>
      <c r="N8064" s="18"/>
      <c r="O8064" s="14"/>
      <c r="P8064" s="17">
        <v>1</v>
      </c>
      <c r="Q8064" s="19">
        <v>970</v>
      </c>
      <c r="R8064" s="14">
        <v>500</v>
      </c>
      <c r="S8064" s="19">
        <v>485000</v>
      </c>
      <c r="T8064" s="17"/>
      <c r="U8064" s="17"/>
      <c r="V8064" s="17"/>
      <c r="W8064" s="4"/>
      <c r="X8064" s="17"/>
      <c r="Y8064" s="4"/>
      <c r="Z8064" s="17"/>
      <c r="AA8064" s="17"/>
      <c r="AB8064" s="17"/>
      <c r="AC8064" s="14"/>
      <c r="AD8064" s="14"/>
      <c r="AE8064" s="17"/>
      <c r="AF8064" s="14"/>
      <c r="AG8064" s="54"/>
      <c r="AH8064" s="11"/>
      <c r="AI8064" s="14"/>
      <c r="AJ8064" s="19">
        <v>0</v>
      </c>
      <c r="AK8064" s="23">
        <v>0</v>
      </c>
      <c r="AL8064" s="11"/>
      <c r="AM8064" s="19">
        <v>0</v>
      </c>
      <c r="AN8064" s="19">
        <v>485000</v>
      </c>
      <c r="AO8064" s="14"/>
      <c r="AP8064" s="14">
        <v>485000</v>
      </c>
      <c r="AQ8064" s="12"/>
      <c r="AS8064" s="26"/>
    </row>
    <row r="8065" spans="1:45" x14ac:dyDescent="0.2">
      <c r="A8065" s="2">
        <v>6680</v>
      </c>
      <c r="B8065" s="13">
        <v>1</v>
      </c>
      <c r="C8065" s="17" t="s">
        <v>52</v>
      </c>
      <c r="D8065" s="17">
        <v>2201</v>
      </c>
      <c r="E8065" s="17">
        <v>9</v>
      </c>
      <c r="F8065" s="17">
        <v>1648</v>
      </c>
      <c r="G8065" s="13">
        <v>3</v>
      </c>
      <c r="H8065" s="17">
        <v>0</v>
      </c>
      <c r="I8065" s="17">
        <v>0</v>
      </c>
      <c r="J8065" s="17">
        <v>29</v>
      </c>
      <c r="K8065" s="10">
        <v>29</v>
      </c>
      <c r="P8065" s="17">
        <v>1</v>
      </c>
      <c r="Q8065" s="19">
        <v>29</v>
      </c>
      <c r="R8065" s="14">
        <v>250</v>
      </c>
      <c r="S8065" s="19">
        <v>7250</v>
      </c>
      <c r="AJ8065" s="19">
        <v>0</v>
      </c>
      <c r="AK8065" s="23">
        <v>0</v>
      </c>
      <c r="AM8065" s="19">
        <v>0</v>
      </c>
      <c r="AN8065" s="19">
        <v>7250</v>
      </c>
      <c r="AP8065" s="14">
        <v>7250</v>
      </c>
    </row>
    <row r="8066" spans="1:45" x14ac:dyDescent="0.2">
      <c r="A8066" s="2">
        <v>6681</v>
      </c>
      <c r="B8066" s="13">
        <v>1</v>
      </c>
      <c r="C8066" s="17" t="s">
        <v>52</v>
      </c>
      <c r="D8066" s="17">
        <v>27064</v>
      </c>
      <c r="E8066" s="17">
        <v>175</v>
      </c>
      <c r="F8066" s="17">
        <v>4767</v>
      </c>
      <c r="G8066" s="13">
        <v>3</v>
      </c>
      <c r="H8066" s="17">
        <v>0</v>
      </c>
      <c r="I8066" s="17">
        <v>3</v>
      </c>
      <c r="J8066" s="17">
        <v>96</v>
      </c>
      <c r="K8066" s="10">
        <v>396</v>
      </c>
      <c r="P8066" s="17">
        <v>1</v>
      </c>
      <c r="Q8066" s="19">
        <v>396</v>
      </c>
      <c r="R8066" s="14">
        <v>1500</v>
      </c>
      <c r="S8066" s="19">
        <v>594000</v>
      </c>
      <c r="AJ8066" s="19">
        <v>0</v>
      </c>
      <c r="AK8066" s="23">
        <v>0</v>
      </c>
      <c r="AM8066" s="19">
        <v>0</v>
      </c>
      <c r="AN8066" s="19">
        <v>594000</v>
      </c>
      <c r="AP8066" s="14">
        <v>594000</v>
      </c>
    </row>
    <row r="8067" spans="1:45" x14ac:dyDescent="0.2">
      <c r="Q8067" s="19">
        <v>0</v>
      </c>
      <c r="R8067" s="14" t="e">
        <v>#N/A</v>
      </c>
    </row>
    <row r="8069" spans="1:45" x14ac:dyDescent="0.2">
      <c r="A8069" s="2">
        <v>6682</v>
      </c>
      <c r="B8069" s="13">
        <v>1</v>
      </c>
      <c r="C8069" s="17" t="s">
        <v>52</v>
      </c>
      <c r="D8069" s="17">
        <v>10439</v>
      </c>
      <c r="E8069" s="17">
        <v>13</v>
      </c>
      <c r="F8069" s="17">
        <v>3154</v>
      </c>
      <c r="G8069" s="13">
        <v>4</v>
      </c>
      <c r="H8069" s="17">
        <v>0</v>
      </c>
      <c r="I8069" s="17">
        <v>3</v>
      </c>
      <c r="J8069" s="17">
        <v>5.05</v>
      </c>
      <c r="K8069" s="10">
        <v>305.05</v>
      </c>
      <c r="P8069" s="17">
        <v>1</v>
      </c>
      <c r="Q8069" s="19">
        <v>305.05</v>
      </c>
      <c r="R8069" s="14">
        <v>1000</v>
      </c>
      <c r="S8069" s="19">
        <v>305050</v>
      </c>
      <c r="AJ8069" s="19">
        <v>0</v>
      </c>
      <c r="AK8069" s="23">
        <v>0</v>
      </c>
      <c r="AM8069" s="19">
        <v>0</v>
      </c>
      <c r="AN8069" s="19">
        <v>305050</v>
      </c>
      <c r="AP8069" s="14">
        <v>305050</v>
      </c>
    </row>
    <row r="8070" spans="1:45" x14ac:dyDescent="0.2">
      <c r="A8070" s="2">
        <f>+A8069+1</f>
        <v>6683</v>
      </c>
      <c r="B8070" s="13">
        <v>1</v>
      </c>
      <c r="C8070" s="17" t="s">
        <v>52</v>
      </c>
      <c r="D8070" s="17">
        <v>18003</v>
      </c>
      <c r="E8070" s="17">
        <v>8</v>
      </c>
      <c r="F8070" s="17">
        <v>3952</v>
      </c>
      <c r="G8070" s="13">
        <v>4</v>
      </c>
      <c r="H8070" s="17">
        <v>1</v>
      </c>
      <c r="I8070" s="17">
        <v>3</v>
      </c>
      <c r="J8070" s="17">
        <v>93</v>
      </c>
      <c r="K8070" s="10">
        <v>793</v>
      </c>
      <c r="P8070" s="17">
        <v>1</v>
      </c>
      <c r="Q8070" s="19">
        <v>793</v>
      </c>
      <c r="R8070" s="14">
        <v>160</v>
      </c>
      <c r="S8070" s="19">
        <v>126880</v>
      </c>
      <c r="AJ8070" s="19">
        <v>0</v>
      </c>
      <c r="AK8070" s="23">
        <v>0</v>
      </c>
      <c r="AM8070" s="19">
        <v>0</v>
      </c>
      <c r="AN8070" s="19">
        <v>126880</v>
      </c>
      <c r="AP8070" s="14">
        <v>126880</v>
      </c>
      <c r="AS8070" s="26">
        <v>6</v>
      </c>
    </row>
    <row r="8071" spans="1:45" x14ac:dyDescent="0.2">
      <c r="A8071" s="122">
        <f t="shared" ref="A8071:A8132" si="771">+A8070+1</f>
        <v>6684</v>
      </c>
      <c r="B8071" s="13">
        <v>1</v>
      </c>
      <c r="C8071" s="17" t="s">
        <v>52</v>
      </c>
      <c r="D8071" s="17">
        <v>5850</v>
      </c>
      <c r="E8071" s="17">
        <v>47</v>
      </c>
      <c r="F8071" s="17">
        <v>3028</v>
      </c>
      <c r="G8071" s="13">
        <v>5</v>
      </c>
      <c r="H8071" s="17">
        <v>1</v>
      </c>
      <c r="I8071" s="17">
        <v>3</v>
      </c>
      <c r="J8071" s="17">
        <v>28</v>
      </c>
      <c r="K8071" s="10">
        <v>728</v>
      </c>
      <c r="P8071" s="17">
        <v>1</v>
      </c>
      <c r="Q8071" s="19">
        <v>728</v>
      </c>
      <c r="R8071" s="14">
        <v>1500</v>
      </c>
      <c r="S8071" s="19">
        <v>1092000</v>
      </c>
      <c r="AJ8071" s="19">
        <v>0</v>
      </c>
      <c r="AK8071" s="23">
        <v>0</v>
      </c>
      <c r="AM8071" s="19">
        <v>0</v>
      </c>
      <c r="AN8071" s="19">
        <v>1092000</v>
      </c>
      <c r="AP8071" s="14">
        <v>1092000</v>
      </c>
    </row>
    <row r="8072" spans="1:45" x14ac:dyDescent="0.2">
      <c r="A8072" s="122">
        <f t="shared" si="771"/>
        <v>6685</v>
      </c>
      <c r="B8072" s="13">
        <v>1</v>
      </c>
      <c r="C8072" s="17" t="s">
        <v>52</v>
      </c>
      <c r="D8072" s="17">
        <v>5153</v>
      </c>
      <c r="E8072" s="17">
        <v>3</v>
      </c>
      <c r="F8072" s="17">
        <v>2929</v>
      </c>
      <c r="G8072" s="13">
        <v>5</v>
      </c>
      <c r="H8072" s="17">
        <v>42</v>
      </c>
      <c r="I8072" s="17">
        <v>0</v>
      </c>
      <c r="J8072" s="17">
        <v>15</v>
      </c>
      <c r="K8072" s="10">
        <v>16815</v>
      </c>
      <c r="P8072" s="17">
        <v>1</v>
      </c>
      <c r="Q8072" s="19">
        <v>16815</v>
      </c>
      <c r="R8072" s="14">
        <v>200</v>
      </c>
      <c r="S8072" s="19">
        <v>3363000</v>
      </c>
      <c r="AJ8072" s="19">
        <v>0</v>
      </c>
      <c r="AK8072" s="23">
        <v>0</v>
      </c>
      <c r="AM8072" s="19">
        <v>0</v>
      </c>
      <c r="AN8072" s="19">
        <v>3363000</v>
      </c>
      <c r="AP8072" s="14">
        <v>3363000</v>
      </c>
      <c r="AQ8072" s="12">
        <v>1E-4</v>
      </c>
      <c r="AS8072" s="26">
        <v>5727</v>
      </c>
    </row>
    <row r="8073" spans="1:45" x14ac:dyDescent="0.2">
      <c r="A8073" s="122">
        <f t="shared" si="771"/>
        <v>6686</v>
      </c>
      <c r="B8073" s="13">
        <v>2</v>
      </c>
      <c r="C8073" s="17" t="s">
        <v>52</v>
      </c>
      <c r="D8073" s="17">
        <v>5154</v>
      </c>
      <c r="E8073" s="17">
        <v>2</v>
      </c>
      <c r="F8073" s="17">
        <v>2930</v>
      </c>
      <c r="G8073" s="13">
        <v>5</v>
      </c>
      <c r="H8073" s="17">
        <v>25</v>
      </c>
      <c r="I8073" s="17">
        <v>3</v>
      </c>
      <c r="J8073" s="17">
        <v>14</v>
      </c>
      <c r="K8073" s="10">
        <v>10314</v>
      </c>
      <c r="P8073" s="17">
        <v>1</v>
      </c>
      <c r="Q8073" s="19">
        <v>10314</v>
      </c>
      <c r="R8073" s="14">
        <v>200</v>
      </c>
      <c r="S8073" s="19">
        <v>2062800</v>
      </c>
      <c r="AJ8073" s="19">
        <v>0</v>
      </c>
      <c r="AK8073" s="23">
        <v>0</v>
      </c>
      <c r="AM8073" s="19">
        <v>0</v>
      </c>
      <c r="AN8073" s="19">
        <v>2062800</v>
      </c>
      <c r="AP8073" s="14">
        <v>2062800</v>
      </c>
      <c r="AQ8073" s="12">
        <v>1E-4</v>
      </c>
    </row>
    <row r="8074" spans="1:45" x14ac:dyDescent="0.2">
      <c r="A8074" s="122">
        <f t="shared" si="771"/>
        <v>6687</v>
      </c>
      <c r="B8074" s="13">
        <v>3</v>
      </c>
      <c r="C8074" s="17" t="s">
        <v>52</v>
      </c>
      <c r="D8074" s="17">
        <v>5155</v>
      </c>
      <c r="E8074" s="17">
        <v>1</v>
      </c>
      <c r="F8074" s="17">
        <v>2931</v>
      </c>
      <c r="G8074" s="13">
        <v>5</v>
      </c>
      <c r="H8074" s="17">
        <v>13</v>
      </c>
      <c r="I8074" s="17">
        <v>0</v>
      </c>
      <c r="J8074" s="17">
        <v>48</v>
      </c>
      <c r="K8074" s="10">
        <v>5248</v>
      </c>
      <c r="P8074" s="17">
        <v>1</v>
      </c>
      <c r="Q8074" s="19">
        <v>5248</v>
      </c>
      <c r="R8074" s="14">
        <v>200</v>
      </c>
      <c r="S8074" s="19">
        <v>1049600</v>
      </c>
      <c r="AJ8074" s="19">
        <v>0</v>
      </c>
      <c r="AK8074" s="23">
        <v>0</v>
      </c>
      <c r="AM8074" s="19">
        <v>0</v>
      </c>
      <c r="AN8074" s="19">
        <v>1049600</v>
      </c>
      <c r="AP8074" s="14">
        <v>1049600</v>
      </c>
      <c r="AQ8074" s="12">
        <v>1E-4</v>
      </c>
    </row>
    <row r="8075" spans="1:45" x14ac:dyDescent="0.2">
      <c r="A8075" s="122">
        <f t="shared" si="771"/>
        <v>6688</v>
      </c>
      <c r="B8075" s="13">
        <v>4</v>
      </c>
      <c r="C8075" s="17" t="s">
        <v>52</v>
      </c>
      <c r="D8075" s="17">
        <v>5855</v>
      </c>
      <c r="E8075" s="17">
        <v>1</v>
      </c>
      <c r="F8075" s="17">
        <v>3089</v>
      </c>
      <c r="G8075" s="13">
        <v>5</v>
      </c>
      <c r="H8075" s="17">
        <v>37</v>
      </c>
      <c r="I8075" s="17">
        <v>0</v>
      </c>
      <c r="J8075" s="17">
        <v>1</v>
      </c>
      <c r="K8075" s="10">
        <v>14801</v>
      </c>
      <c r="P8075" s="17">
        <v>1</v>
      </c>
      <c r="Q8075" s="19">
        <v>14801</v>
      </c>
      <c r="R8075" s="14">
        <v>375</v>
      </c>
      <c r="S8075" s="19">
        <v>5550375</v>
      </c>
      <c r="AJ8075" s="19">
        <v>0</v>
      </c>
      <c r="AK8075" s="23">
        <v>0</v>
      </c>
      <c r="AM8075" s="19">
        <v>0</v>
      </c>
      <c r="AN8075" s="19">
        <v>5550375</v>
      </c>
      <c r="AP8075" s="14">
        <v>5550375</v>
      </c>
      <c r="AQ8075" s="12">
        <v>1E-4</v>
      </c>
    </row>
    <row r="8076" spans="1:45" x14ac:dyDescent="0.2">
      <c r="A8076" s="122">
        <f t="shared" si="771"/>
        <v>6689</v>
      </c>
      <c r="B8076" s="13">
        <v>5</v>
      </c>
      <c r="C8076" s="17" t="s">
        <v>52</v>
      </c>
      <c r="D8076" s="17">
        <v>5856</v>
      </c>
      <c r="E8076" s="17">
        <v>7</v>
      </c>
      <c r="F8076" s="17">
        <v>3090</v>
      </c>
      <c r="G8076" s="13">
        <v>5</v>
      </c>
      <c r="H8076" s="17">
        <v>52</v>
      </c>
      <c r="I8076" s="17">
        <v>0</v>
      </c>
      <c r="J8076" s="17">
        <v>54</v>
      </c>
      <c r="K8076" s="10">
        <v>20854</v>
      </c>
      <c r="P8076" s="17">
        <v>1</v>
      </c>
      <c r="Q8076" s="19">
        <v>20854</v>
      </c>
      <c r="R8076" s="14">
        <v>375</v>
      </c>
      <c r="S8076" s="19">
        <v>7820250</v>
      </c>
      <c r="AJ8076" s="19">
        <v>0</v>
      </c>
      <c r="AK8076" s="23">
        <v>0</v>
      </c>
      <c r="AM8076" s="19">
        <v>0</v>
      </c>
      <c r="AN8076" s="19">
        <v>7820250</v>
      </c>
      <c r="AP8076" s="14">
        <v>7820250</v>
      </c>
      <c r="AQ8076" s="12">
        <v>1E-4</v>
      </c>
    </row>
    <row r="8077" spans="1:45" x14ac:dyDescent="0.2">
      <c r="A8077" s="122">
        <f t="shared" si="771"/>
        <v>6690</v>
      </c>
      <c r="B8077" s="13">
        <v>6</v>
      </c>
      <c r="C8077" s="17" t="s">
        <v>52</v>
      </c>
      <c r="D8077" s="17">
        <v>5907</v>
      </c>
      <c r="E8077" s="17">
        <v>8</v>
      </c>
      <c r="F8077" s="17">
        <v>3091</v>
      </c>
      <c r="G8077" s="13">
        <v>5</v>
      </c>
      <c r="H8077" s="17">
        <v>37</v>
      </c>
      <c r="I8077" s="17">
        <v>1</v>
      </c>
      <c r="J8077" s="17">
        <v>24</v>
      </c>
      <c r="K8077" s="10">
        <v>14924</v>
      </c>
      <c r="P8077" s="17">
        <v>1</v>
      </c>
      <c r="Q8077" s="19">
        <v>14924</v>
      </c>
      <c r="R8077" s="14">
        <v>375</v>
      </c>
      <c r="S8077" s="19">
        <v>5596500</v>
      </c>
      <c r="AJ8077" s="19">
        <v>0</v>
      </c>
      <c r="AK8077" s="23">
        <v>0</v>
      </c>
      <c r="AM8077" s="19">
        <v>0</v>
      </c>
      <c r="AN8077" s="19">
        <v>5596500</v>
      </c>
      <c r="AP8077" s="14">
        <v>5596500</v>
      </c>
      <c r="AQ8077" s="12">
        <v>1E-4</v>
      </c>
    </row>
    <row r="8078" spans="1:45" x14ac:dyDescent="0.2">
      <c r="A8078" s="122">
        <f t="shared" si="771"/>
        <v>6691</v>
      </c>
      <c r="B8078" s="13">
        <v>7</v>
      </c>
      <c r="C8078" s="17" t="s">
        <v>52</v>
      </c>
      <c r="D8078" s="17">
        <v>5908</v>
      </c>
      <c r="E8078" s="17">
        <v>9</v>
      </c>
      <c r="F8078" s="17">
        <v>3092</v>
      </c>
      <c r="G8078" s="13">
        <v>5</v>
      </c>
      <c r="H8078" s="17">
        <v>26</v>
      </c>
      <c r="I8078" s="17">
        <v>0</v>
      </c>
      <c r="J8078" s="17">
        <v>82</v>
      </c>
      <c r="K8078" s="10">
        <v>10482</v>
      </c>
      <c r="P8078" s="17">
        <v>1</v>
      </c>
      <c r="Q8078" s="19">
        <v>10482</v>
      </c>
      <c r="R8078" s="14">
        <v>375</v>
      </c>
      <c r="S8078" s="19">
        <v>3930750</v>
      </c>
      <c r="AJ8078" s="19">
        <v>0</v>
      </c>
      <c r="AK8078" s="23">
        <v>0</v>
      </c>
      <c r="AM8078" s="19">
        <v>0</v>
      </c>
      <c r="AN8078" s="19">
        <v>3930750</v>
      </c>
      <c r="AP8078" s="14">
        <v>3930750</v>
      </c>
      <c r="AQ8078" s="12">
        <v>1E-4</v>
      </c>
    </row>
    <row r="8079" spans="1:45" x14ac:dyDescent="0.2">
      <c r="A8079" s="122">
        <f t="shared" si="771"/>
        <v>6692</v>
      </c>
      <c r="B8079" s="13">
        <v>8</v>
      </c>
      <c r="C8079" s="17" t="s">
        <v>52</v>
      </c>
      <c r="D8079" s="17">
        <v>18244</v>
      </c>
      <c r="E8079" s="17">
        <v>7</v>
      </c>
      <c r="F8079" s="17">
        <v>4166</v>
      </c>
      <c r="G8079" s="13">
        <v>5</v>
      </c>
      <c r="H8079" s="17">
        <v>30</v>
      </c>
      <c r="I8079" s="17">
        <v>0</v>
      </c>
      <c r="J8079" s="17">
        <v>71</v>
      </c>
      <c r="K8079" s="10">
        <v>12071</v>
      </c>
      <c r="P8079" s="17">
        <v>1</v>
      </c>
      <c r="Q8079" s="19">
        <v>12071</v>
      </c>
      <c r="R8079" s="14">
        <v>375</v>
      </c>
      <c r="S8079" s="19">
        <v>4526625</v>
      </c>
      <c r="AJ8079" s="19">
        <v>0</v>
      </c>
      <c r="AK8079" s="23">
        <v>0</v>
      </c>
      <c r="AM8079" s="19">
        <v>0</v>
      </c>
      <c r="AN8079" s="19">
        <v>4526625</v>
      </c>
      <c r="AP8079" s="14">
        <v>4526625</v>
      </c>
      <c r="AQ8079" s="12">
        <v>1E-4</v>
      </c>
    </row>
    <row r="8080" spans="1:45" x14ac:dyDescent="0.2">
      <c r="A8080" s="122">
        <f t="shared" si="771"/>
        <v>6693</v>
      </c>
      <c r="B8080" s="13">
        <v>9</v>
      </c>
      <c r="C8080" s="17" t="s">
        <v>52</v>
      </c>
      <c r="D8080" s="17">
        <v>18245</v>
      </c>
      <c r="E8080" s="17">
        <v>6</v>
      </c>
      <c r="F8080" s="17">
        <v>4167</v>
      </c>
      <c r="G8080" s="13">
        <v>5</v>
      </c>
      <c r="H8080" s="17">
        <v>13</v>
      </c>
      <c r="I8080" s="17">
        <v>1</v>
      </c>
      <c r="J8080" s="17">
        <v>11</v>
      </c>
      <c r="K8080" s="10">
        <v>5311</v>
      </c>
      <c r="P8080" s="17">
        <v>1</v>
      </c>
      <c r="Q8080" s="19">
        <v>5311</v>
      </c>
      <c r="R8080" s="14">
        <v>200</v>
      </c>
      <c r="S8080" s="19">
        <v>1062200</v>
      </c>
      <c r="AJ8080" s="19">
        <v>0</v>
      </c>
      <c r="AK8080" s="23">
        <v>0</v>
      </c>
      <c r="AM8080" s="19">
        <v>0</v>
      </c>
      <c r="AN8080" s="19">
        <v>1062200</v>
      </c>
      <c r="AP8080" s="14">
        <v>1062200</v>
      </c>
      <c r="AQ8080" s="12">
        <v>1E-4</v>
      </c>
    </row>
    <row r="8081" spans="1:45" s="19" customFormat="1" x14ac:dyDescent="0.2">
      <c r="A8081" s="122">
        <f t="shared" si="771"/>
        <v>6694</v>
      </c>
      <c r="B8081" s="13">
        <v>10</v>
      </c>
      <c r="C8081" s="17" t="s">
        <v>52</v>
      </c>
      <c r="D8081" s="17">
        <v>18246</v>
      </c>
      <c r="E8081" s="17">
        <v>8</v>
      </c>
      <c r="F8081" s="17">
        <v>4168</v>
      </c>
      <c r="G8081" s="13">
        <v>5</v>
      </c>
      <c r="H8081" s="17">
        <v>7</v>
      </c>
      <c r="I8081" s="17">
        <v>2</v>
      </c>
      <c r="J8081" s="17">
        <v>30</v>
      </c>
      <c r="K8081" s="10">
        <v>3030</v>
      </c>
      <c r="L8081" s="17"/>
      <c r="M8081" s="15"/>
      <c r="N8081" s="18"/>
      <c r="O8081" s="14"/>
      <c r="P8081" s="17">
        <v>1</v>
      </c>
      <c r="Q8081" s="19">
        <v>3030</v>
      </c>
      <c r="R8081" s="14">
        <v>200</v>
      </c>
      <c r="S8081" s="19">
        <v>606000</v>
      </c>
      <c r="T8081" s="17"/>
      <c r="U8081" s="17"/>
      <c r="V8081" s="17"/>
      <c r="W8081" s="4"/>
      <c r="X8081" s="17"/>
      <c r="Y8081" s="4"/>
      <c r="Z8081" s="17"/>
      <c r="AA8081" s="17"/>
      <c r="AB8081" s="17"/>
      <c r="AC8081" s="14"/>
      <c r="AD8081" s="14"/>
      <c r="AE8081" s="17"/>
      <c r="AF8081" s="14"/>
      <c r="AG8081" s="54"/>
      <c r="AH8081" s="11"/>
      <c r="AI8081" s="14"/>
      <c r="AJ8081" s="19">
        <v>0</v>
      </c>
      <c r="AK8081" s="23">
        <v>0</v>
      </c>
      <c r="AL8081" s="11"/>
      <c r="AM8081" s="19">
        <v>0</v>
      </c>
      <c r="AN8081" s="19">
        <v>606000</v>
      </c>
      <c r="AO8081" s="14"/>
      <c r="AP8081" s="14">
        <v>606000</v>
      </c>
      <c r="AQ8081" s="12">
        <v>1E-4</v>
      </c>
      <c r="AS8081" s="26"/>
    </row>
    <row r="8082" spans="1:45" s="19" customFormat="1" x14ac:dyDescent="0.2">
      <c r="A8082" s="122">
        <f t="shared" si="771"/>
        <v>6695</v>
      </c>
      <c r="B8082" s="13">
        <v>11</v>
      </c>
      <c r="C8082" s="17" t="s">
        <v>52</v>
      </c>
      <c r="D8082" s="17">
        <v>18247</v>
      </c>
      <c r="E8082" s="17">
        <v>15</v>
      </c>
      <c r="F8082" s="17">
        <v>4169</v>
      </c>
      <c r="G8082" s="13">
        <v>5</v>
      </c>
      <c r="H8082" s="17">
        <v>7</v>
      </c>
      <c r="I8082" s="17">
        <v>0</v>
      </c>
      <c r="J8082" s="17">
        <v>26</v>
      </c>
      <c r="K8082" s="10">
        <v>2826</v>
      </c>
      <c r="L8082" s="17"/>
      <c r="M8082" s="15"/>
      <c r="N8082" s="18"/>
      <c r="O8082" s="14"/>
      <c r="P8082" s="17">
        <v>1</v>
      </c>
      <c r="Q8082" s="19">
        <v>2826</v>
      </c>
      <c r="R8082" s="14">
        <v>375</v>
      </c>
      <c r="S8082" s="19">
        <v>1059750</v>
      </c>
      <c r="T8082" s="17"/>
      <c r="U8082" s="17"/>
      <c r="V8082" s="17"/>
      <c r="W8082" s="4"/>
      <c r="X8082" s="17"/>
      <c r="Y8082" s="4"/>
      <c r="Z8082" s="17"/>
      <c r="AA8082" s="17"/>
      <c r="AB8082" s="17"/>
      <c r="AC8082" s="14"/>
      <c r="AD8082" s="14"/>
      <c r="AE8082" s="17"/>
      <c r="AF8082" s="14"/>
      <c r="AG8082" s="54"/>
      <c r="AH8082" s="11"/>
      <c r="AI8082" s="14"/>
      <c r="AJ8082" s="19">
        <v>0</v>
      </c>
      <c r="AK8082" s="23">
        <v>0</v>
      </c>
      <c r="AL8082" s="11"/>
      <c r="AM8082" s="19">
        <v>0</v>
      </c>
      <c r="AN8082" s="19">
        <v>1059750</v>
      </c>
      <c r="AO8082" s="14"/>
      <c r="AP8082" s="14">
        <v>1059750</v>
      </c>
      <c r="AQ8082" s="12">
        <v>1E-4</v>
      </c>
      <c r="AS8082" s="26"/>
    </row>
    <row r="8083" spans="1:45" s="19" customFormat="1" x14ac:dyDescent="0.2">
      <c r="A8083" s="122">
        <f t="shared" si="771"/>
        <v>6696</v>
      </c>
      <c r="B8083" s="13">
        <v>12</v>
      </c>
      <c r="C8083" s="17" t="s">
        <v>52</v>
      </c>
      <c r="D8083" s="17">
        <v>18248</v>
      </c>
      <c r="E8083" s="17">
        <v>15</v>
      </c>
      <c r="F8083" s="17">
        <v>4170</v>
      </c>
      <c r="G8083" s="13">
        <v>5</v>
      </c>
      <c r="H8083" s="17">
        <v>4</v>
      </c>
      <c r="I8083" s="17">
        <v>1</v>
      </c>
      <c r="J8083" s="17">
        <v>19</v>
      </c>
      <c r="K8083" s="10">
        <v>1719</v>
      </c>
      <c r="L8083" s="17"/>
      <c r="M8083" s="15"/>
      <c r="N8083" s="18"/>
      <c r="O8083" s="14"/>
      <c r="P8083" s="17">
        <v>1</v>
      </c>
      <c r="Q8083" s="19">
        <v>1719</v>
      </c>
      <c r="R8083" s="14">
        <v>160</v>
      </c>
      <c r="S8083" s="19">
        <v>275040</v>
      </c>
      <c r="T8083" s="17"/>
      <c r="U8083" s="17"/>
      <c r="V8083" s="17"/>
      <c r="W8083" s="4"/>
      <c r="X8083" s="17"/>
      <c r="Y8083" s="4"/>
      <c r="Z8083" s="17"/>
      <c r="AA8083" s="17"/>
      <c r="AB8083" s="17"/>
      <c r="AC8083" s="14"/>
      <c r="AD8083" s="14"/>
      <c r="AE8083" s="17"/>
      <c r="AF8083" s="14"/>
      <c r="AG8083" s="54"/>
      <c r="AH8083" s="11"/>
      <c r="AI8083" s="14"/>
      <c r="AJ8083" s="19">
        <v>0</v>
      </c>
      <c r="AK8083" s="23">
        <v>0</v>
      </c>
      <c r="AL8083" s="11"/>
      <c r="AM8083" s="19">
        <v>0</v>
      </c>
      <c r="AN8083" s="19">
        <v>275040</v>
      </c>
      <c r="AO8083" s="14"/>
      <c r="AP8083" s="14">
        <v>275040</v>
      </c>
      <c r="AQ8083" s="12">
        <v>1E-4</v>
      </c>
      <c r="AS8083" s="26"/>
    </row>
    <row r="8084" spans="1:45" s="19" customFormat="1" x14ac:dyDescent="0.2">
      <c r="A8084" s="122">
        <f t="shared" si="771"/>
        <v>6697</v>
      </c>
      <c r="B8084" s="13">
        <v>13</v>
      </c>
      <c r="C8084" s="17" t="s">
        <v>52</v>
      </c>
      <c r="D8084" s="17">
        <v>18249</v>
      </c>
      <c r="E8084" s="17">
        <v>16</v>
      </c>
      <c r="F8084" s="17">
        <v>4171</v>
      </c>
      <c r="G8084" s="13">
        <v>5</v>
      </c>
      <c r="H8084" s="17">
        <v>14</v>
      </c>
      <c r="I8084" s="17">
        <v>2</v>
      </c>
      <c r="J8084" s="17">
        <v>83</v>
      </c>
      <c r="K8084" s="10">
        <v>5883</v>
      </c>
      <c r="L8084" s="17"/>
      <c r="M8084" s="15"/>
      <c r="N8084" s="18"/>
      <c r="O8084" s="14"/>
      <c r="P8084" s="17">
        <v>1</v>
      </c>
      <c r="Q8084" s="19">
        <v>5883</v>
      </c>
      <c r="R8084" s="14">
        <v>375</v>
      </c>
      <c r="S8084" s="19">
        <v>2206125</v>
      </c>
      <c r="T8084" s="17"/>
      <c r="U8084" s="17"/>
      <c r="V8084" s="17"/>
      <c r="W8084" s="4"/>
      <c r="X8084" s="17"/>
      <c r="Y8084" s="4"/>
      <c r="Z8084" s="17"/>
      <c r="AA8084" s="17"/>
      <c r="AB8084" s="17"/>
      <c r="AC8084" s="14"/>
      <c r="AD8084" s="14"/>
      <c r="AE8084" s="17"/>
      <c r="AF8084" s="14"/>
      <c r="AG8084" s="54"/>
      <c r="AH8084" s="11"/>
      <c r="AI8084" s="14"/>
      <c r="AJ8084" s="19">
        <v>0</v>
      </c>
      <c r="AK8084" s="23">
        <v>0</v>
      </c>
      <c r="AL8084" s="11"/>
      <c r="AM8084" s="19">
        <v>0</v>
      </c>
      <c r="AN8084" s="19">
        <v>2206125</v>
      </c>
      <c r="AO8084" s="14"/>
      <c r="AP8084" s="14">
        <v>2206125</v>
      </c>
      <c r="AQ8084" s="12">
        <v>1E-4</v>
      </c>
      <c r="AS8084" s="26"/>
    </row>
    <row r="8085" spans="1:45" s="19" customFormat="1" x14ac:dyDescent="0.2">
      <c r="A8085" s="122">
        <f t="shared" si="771"/>
        <v>6698</v>
      </c>
      <c r="B8085" s="13">
        <v>14</v>
      </c>
      <c r="C8085" s="17" t="s">
        <v>52</v>
      </c>
      <c r="D8085" s="17">
        <v>18250</v>
      </c>
      <c r="E8085" s="17">
        <v>17</v>
      </c>
      <c r="F8085" s="17">
        <v>4172</v>
      </c>
      <c r="G8085" s="13">
        <v>5</v>
      </c>
      <c r="H8085" s="17">
        <v>7</v>
      </c>
      <c r="I8085" s="17">
        <v>1</v>
      </c>
      <c r="J8085" s="17">
        <v>81</v>
      </c>
      <c r="K8085" s="10">
        <v>2981</v>
      </c>
      <c r="L8085" s="17"/>
      <c r="M8085" s="15"/>
      <c r="N8085" s="18"/>
      <c r="O8085" s="14"/>
      <c r="P8085" s="17">
        <v>1</v>
      </c>
      <c r="Q8085" s="19">
        <v>2981</v>
      </c>
      <c r="R8085" s="14">
        <v>375</v>
      </c>
      <c r="S8085" s="19">
        <v>1117875</v>
      </c>
      <c r="T8085" s="17"/>
      <c r="U8085" s="17"/>
      <c r="V8085" s="17"/>
      <c r="W8085" s="4"/>
      <c r="X8085" s="17"/>
      <c r="Y8085" s="4"/>
      <c r="Z8085" s="17"/>
      <c r="AA8085" s="17"/>
      <c r="AB8085" s="17"/>
      <c r="AC8085" s="14"/>
      <c r="AD8085" s="14"/>
      <c r="AE8085" s="17"/>
      <c r="AF8085" s="14"/>
      <c r="AG8085" s="54"/>
      <c r="AH8085" s="11"/>
      <c r="AI8085" s="14"/>
      <c r="AJ8085" s="19">
        <v>0</v>
      </c>
      <c r="AK8085" s="23">
        <v>0</v>
      </c>
      <c r="AL8085" s="11"/>
      <c r="AM8085" s="19">
        <v>0</v>
      </c>
      <c r="AN8085" s="19">
        <v>1117875</v>
      </c>
      <c r="AO8085" s="14"/>
      <c r="AP8085" s="14">
        <v>1117875</v>
      </c>
      <c r="AQ8085" s="12">
        <v>1E-4</v>
      </c>
      <c r="AS8085" s="26"/>
    </row>
    <row r="8086" spans="1:45" s="19" customFormat="1" x14ac:dyDescent="0.2">
      <c r="A8086" s="122">
        <f t="shared" si="771"/>
        <v>6699</v>
      </c>
      <c r="B8086" s="13">
        <v>15</v>
      </c>
      <c r="C8086" s="17" t="s">
        <v>52</v>
      </c>
      <c r="D8086" s="17">
        <v>18251</v>
      </c>
      <c r="E8086" s="17">
        <v>18</v>
      </c>
      <c r="F8086" s="17">
        <v>4173</v>
      </c>
      <c r="G8086" s="13">
        <v>5</v>
      </c>
      <c r="H8086" s="17">
        <v>13</v>
      </c>
      <c r="I8086" s="17">
        <v>0</v>
      </c>
      <c r="J8086" s="17">
        <v>32</v>
      </c>
      <c r="K8086" s="10">
        <v>5232</v>
      </c>
      <c r="L8086" s="17"/>
      <c r="M8086" s="15"/>
      <c r="N8086" s="18"/>
      <c r="O8086" s="14"/>
      <c r="P8086" s="17">
        <v>1</v>
      </c>
      <c r="Q8086" s="19">
        <v>5232</v>
      </c>
      <c r="R8086" s="14">
        <v>375</v>
      </c>
      <c r="S8086" s="19">
        <v>1962000</v>
      </c>
      <c r="T8086" s="17"/>
      <c r="U8086" s="17"/>
      <c r="V8086" s="17"/>
      <c r="W8086" s="4"/>
      <c r="X8086" s="17"/>
      <c r="Y8086" s="4"/>
      <c r="Z8086" s="17"/>
      <c r="AA8086" s="17"/>
      <c r="AB8086" s="17"/>
      <c r="AC8086" s="14"/>
      <c r="AD8086" s="14"/>
      <c r="AE8086" s="17"/>
      <c r="AF8086" s="14"/>
      <c r="AG8086" s="54"/>
      <c r="AH8086" s="11"/>
      <c r="AI8086" s="14"/>
      <c r="AJ8086" s="19">
        <v>0</v>
      </c>
      <c r="AK8086" s="23">
        <v>0</v>
      </c>
      <c r="AL8086" s="11"/>
      <c r="AM8086" s="19">
        <v>0</v>
      </c>
      <c r="AN8086" s="19">
        <v>1962000</v>
      </c>
      <c r="AO8086" s="14"/>
      <c r="AP8086" s="14">
        <v>1962000</v>
      </c>
      <c r="AQ8086" s="12">
        <v>1E-4</v>
      </c>
      <c r="AS8086" s="26"/>
    </row>
    <row r="8087" spans="1:45" s="19" customFormat="1" x14ac:dyDescent="0.2">
      <c r="A8087" s="122">
        <f t="shared" si="771"/>
        <v>6700</v>
      </c>
      <c r="B8087" s="13">
        <v>16</v>
      </c>
      <c r="C8087" s="17" t="s">
        <v>52</v>
      </c>
      <c r="D8087" s="17">
        <v>18252</v>
      </c>
      <c r="E8087" s="17">
        <v>19</v>
      </c>
      <c r="F8087" s="17">
        <v>4174</v>
      </c>
      <c r="G8087" s="13">
        <v>5</v>
      </c>
      <c r="H8087" s="17">
        <v>8</v>
      </c>
      <c r="I8087" s="17">
        <v>2</v>
      </c>
      <c r="J8087" s="17">
        <v>62</v>
      </c>
      <c r="K8087" s="10">
        <v>3462</v>
      </c>
      <c r="L8087" s="17"/>
      <c r="M8087" s="15"/>
      <c r="N8087" s="18"/>
      <c r="O8087" s="14"/>
      <c r="P8087" s="17">
        <v>1</v>
      </c>
      <c r="Q8087" s="19">
        <v>3462</v>
      </c>
      <c r="R8087" s="14">
        <v>375</v>
      </c>
      <c r="S8087" s="19">
        <v>1298250</v>
      </c>
      <c r="T8087" s="17"/>
      <c r="U8087" s="17"/>
      <c r="V8087" s="17"/>
      <c r="W8087" s="4"/>
      <c r="X8087" s="17"/>
      <c r="Y8087" s="4"/>
      <c r="Z8087" s="17"/>
      <c r="AA8087" s="17"/>
      <c r="AB8087" s="17"/>
      <c r="AC8087" s="14"/>
      <c r="AD8087" s="14"/>
      <c r="AE8087" s="17"/>
      <c r="AF8087" s="14"/>
      <c r="AG8087" s="54"/>
      <c r="AH8087" s="11"/>
      <c r="AI8087" s="14"/>
      <c r="AJ8087" s="19">
        <v>0</v>
      </c>
      <c r="AK8087" s="23">
        <v>0</v>
      </c>
      <c r="AL8087" s="11"/>
      <c r="AM8087" s="19">
        <v>0</v>
      </c>
      <c r="AN8087" s="19">
        <v>1298250</v>
      </c>
      <c r="AO8087" s="14"/>
      <c r="AP8087" s="14">
        <v>1298250</v>
      </c>
      <c r="AQ8087" s="12">
        <v>1E-4</v>
      </c>
      <c r="AS8087" s="26"/>
    </row>
    <row r="8088" spans="1:45" s="19" customFormat="1" x14ac:dyDescent="0.2">
      <c r="A8088" s="122">
        <f t="shared" si="771"/>
        <v>6701</v>
      </c>
      <c r="B8088" s="13">
        <v>17</v>
      </c>
      <c r="C8088" s="17" t="s">
        <v>52</v>
      </c>
      <c r="D8088" s="17">
        <v>18253</v>
      </c>
      <c r="E8088" s="17">
        <v>20</v>
      </c>
      <c r="F8088" s="17">
        <v>4175</v>
      </c>
      <c r="G8088" s="13">
        <v>5</v>
      </c>
      <c r="H8088" s="17">
        <v>4</v>
      </c>
      <c r="I8088" s="17">
        <v>1</v>
      </c>
      <c r="J8088" s="17">
        <v>87</v>
      </c>
      <c r="K8088" s="10">
        <v>1787</v>
      </c>
      <c r="L8088" s="17"/>
      <c r="M8088" s="15"/>
      <c r="N8088" s="18"/>
      <c r="O8088" s="14"/>
      <c r="P8088" s="17">
        <v>1</v>
      </c>
      <c r="Q8088" s="19">
        <v>1787</v>
      </c>
      <c r="R8088" s="14">
        <v>375</v>
      </c>
      <c r="S8088" s="19">
        <v>670125</v>
      </c>
      <c r="T8088" s="17"/>
      <c r="U8088" s="17"/>
      <c r="V8088" s="17"/>
      <c r="W8088" s="4"/>
      <c r="X8088" s="17"/>
      <c r="Y8088" s="4"/>
      <c r="Z8088" s="17"/>
      <c r="AA8088" s="17"/>
      <c r="AB8088" s="17"/>
      <c r="AC8088" s="14"/>
      <c r="AD8088" s="14"/>
      <c r="AE8088" s="17"/>
      <c r="AF8088" s="14"/>
      <c r="AG8088" s="54"/>
      <c r="AH8088" s="11"/>
      <c r="AI8088" s="14"/>
      <c r="AJ8088" s="19">
        <v>0</v>
      </c>
      <c r="AK8088" s="23">
        <v>0</v>
      </c>
      <c r="AL8088" s="11"/>
      <c r="AM8088" s="19">
        <v>0</v>
      </c>
      <c r="AN8088" s="19">
        <v>670125</v>
      </c>
      <c r="AO8088" s="14"/>
      <c r="AP8088" s="14">
        <v>670125</v>
      </c>
      <c r="AQ8088" s="12">
        <v>1E-4</v>
      </c>
      <c r="AS8088" s="26"/>
    </row>
    <row r="8089" spans="1:45" s="19" customFormat="1" x14ac:dyDescent="0.2">
      <c r="A8089" s="122">
        <f t="shared" si="771"/>
        <v>6702</v>
      </c>
      <c r="B8089" s="13">
        <v>18</v>
      </c>
      <c r="C8089" s="17" t="s">
        <v>52</v>
      </c>
      <c r="D8089" s="17">
        <v>18291</v>
      </c>
      <c r="E8089" s="17">
        <v>13</v>
      </c>
      <c r="F8089" s="17">
        <v>4183</v>
      </c>
      <c r="G8089" s="13">
        <v>5</v>
      </c>
      <c r="H8089" s="17">
        <v>6</v>
      </c>
      <c r="I8089" s="17">
        <v>3</v>
      </c>
      <c r="J8089" s="17">
        <v>80</v>
      </c>
      <c r="K8089" s="10">
        <v>2780</v>
      </c>
      <c r="L8089" s="17"/>
      <c r="M8089" s="15"/>
      <c r="N8089" s="18"/>
      <c r="O8089" s="14"/>
      <c r="P8089" s="17">
        <v>1</v>
      </c>
      <c r="Q8089" s="19">
        <v>2780</v>
      </c>
      <c r="R8089" s="14">
        <v>750</v>
      </c>
      <c r="S8089" s="19">
        <v>2085000</v>
      </c>
      <c r="T8089" s="17"/>
      <c r="U8089" s="17"/>
      <c r="V8089" s="17"/>
      <c r="W8089" s="4"/>
      <c r="X8089" s="17"/>
      <c r="Y8089" s="4"/>
      <c r="Z8089" s="17"/>
      <c r="AA8089" s="17"/>
      <c r="AB8089" s="17"/>
      <c r="AC8089" s="14"/>
      <c r="AD8089" s="14"/>
      <c r="AE8089" s="17"/>
      <c r="AF8089" s="14"/>
      <c r="AG8089" s="54"/>
      <c r="AH8089" s="11"/>
      <c r="AI8089" s="14"/>
      <c r="AJ8089" s="19">
        <v>0</v>
      </c>
      <c r="AK8089" s="23">
        <v>0</v>
      </c>
      <c r="AL8089" s="11"/>
      <c r="AM8089" s="19">
        <v>0</v>
      </c>
      <c r="AN8089" s="19">
        <v>2085000</v>
      </c>
      <c r="AO8089" s="14"/>
      <c r="AP8089" s="14">
        <v>2085000</v>
      </c>
      <c r="AQ8089" s="12">
        <v>1E-4</v>
      </c>
      <c r="AS8089" s="26"/>
    </row>
    <row r="8090" spans="1:45" s="19" customFormat="1" x14ac:dyDescent="0.2">
      <c r="A8090" s="122">
        <f t="shared" si="771"/>
        <v>6703</v>
      </c>
      <c r="B8090" s="13">
        <v>19</v>
      </c>
      <c r="C8090" s="17" t="s">
        <v>52</v>
      </c>
      <c r="D8090" s="17">
        <v>18292</v>
      </c>
      <c r="E8090" s="17">
        <v>12</v>
      </c>
      <c r="F8090" s="17">
        <v>4184</v>
      </c>
      <c r="G8090" s="13">
        <v>5</v>
      </c>
      <c r="H8090" s="17">
        <v>10</v>
      </c>
      <c r="I8090" s="17">
        <v>3</v>
      </c>
      <c r="J8090" s="17">
        <v>64</v>
      </c>
      <c r="K8090" s="10">
        <v>4364</v>
      </c>
      <c r="L8090" s="17"/>
      <c r="M8090" s="15"/>
      <c r="N8090" s="18"/>
      <c r="O8090" s="14"/>
      <c r="P8090" s="17">
        <v>1</v>
      </c>
      <c r="Q8090" s="19">
        <v>4364</v>
      </c>
      <c r="R8090" s="14">
        <v>160</v>
      </c>
      <c r="S8090" s="19">
        <v>698240</v>
      </c>
      <c r="T8090" s="17"/>
      <c r="U8090" s="17"/>
      <c r="V8090" s="17"/>
      <c r="W8090" s="4"/>
      <c r="X8090" s="17"/>
      <c r="Y8090" s="4"/>
      <c r="Z8090" s="17"/>
      <c r="AA8090" s="17"/>
      <c r="AB8090" s="17"/>
      <c r="AC8090" s="14"/>
      <c r="AD8090" s="14"/>
      <c r="AE8090" s="17"/>
      <c r="AF8090" s="14"/>
      <c r="AG8090" s="54"/>
      <c r="AH8090" s="11"/>
      <c r="AI8090" s="14"/>
      <c r="AJ8090" s="19">
        <v>0</v>
      </c>
      <c r="AK8090" s="23">
        <v>0</v>
      </c>
      <c r="AL8090" s="11"/>
      <c r="AM8090" s="19">
        <v>0</v>
      </c>
      <c r="AN8090" s="19">
        <v>698240</v>
      </c>
      <c r="AO8090" s="14"/>
      <c r="AP8090" s="14">
        <v>698240</v>
      </c>
      <c r="AQ8090" s="12">
        <v>1E-4</v>
      </c>
      <c r="AS8090" s="26"/>
    </row>
    <row r="8091" spans="1:45" s="19" customFormat="1" x14ac:dyDescent="0.2">
      <c r="A8091" s="122">
        <f t="shared" si="771"/>
        <v>6704</v>
      </c>
      <c r="B8091" s="13">
        <v>20</v>
      </c>
      <c r="C8091" s="17" t="s">
        <v>52</v>
      </c>
      <c r="D8091" s="17">
        <v>18293</v>
      </c>
      <c r="E8091" s="17">
        <v>10</v>
      </c>
      <c r="F8091" s="17">
        <v>4185</v>
      </c>
      <c r="G8091" s="13">
        <v>5</v>
      </c>
      <c r="H8091" s="17">
        <v>9</v>
      </c>
      <c r="I8091" s="17">
        <v>2</v>
      </c>
      <c r="J8091" s="17">
        <v>73</v>
      </c>
      <c r="K8091" s="10">
        <v>3873</v>
      </c>
      <c r="L8091" s="17"/>
      <c r="M8091" s="15"/>
      <c r="N8091" s="18"/>
      <c r="O8091" s="14"/>
      <c r="P8091" s="17">
        <v>1</v>
      </c>
      <c r="Q8091" s="19">
        <v>3873</v>
      </c>
      <c r="R8091" s="14">
        <v>160</v>
      </c>
      <c r="S8091" s="19">
        <v>619680</v>
      </c>
      <c r="T8091" s="17"/>
      <c r="U8091" s="17"/>
      <c r="V8091" s="17"/>
      <c r="W8091" s="4"/>
      <c r="X8091" s="17"/>
      <c r="Y8091" s="4"/>
      <c r="Z8091" s="17"/>
      <c r="AA8091" s="17"/>
      <c r="AB8091" s="17"/>
      <c r="AC8091" s="14"/>
      <c r="AD8091" s="14"/>
      <c r="AE8091" s="17"/>
      <c r="AF8091" s="14"/>
      <c r="AG8091" s="54"/>
      <c r="AH8091" s="11"/>
      <c r="AI8091" s="14"/>
      <c r="AJ8091" s="19">
        <v>0</v>
      </c>
      <c r="AK8091" s="23">
        <v>0</v>
      </c>
      <c r="AL8091" s="11"/>
      <c r="AM8091" s="19">
        <v>0</v>
      </c>
      <c r="AN8091" s="19">
        <v>619680</v>
      </c>
      <c r="AO8091" s="14"/>
      <c r="AP8091" s="14">
        <v>619680</v>
      </c>
      <c r="AQ8091" s="12">
        <v>1E-4</v>
      </c>
      <c r="AS8091" s="26"/>
    </row>
    <row r="8092" spans="1:45" s="19" customFormat="1" x14ac:dyDescent="0.2">
      <c r="A8092" s="122">
        <f t="shared" si="771"/>
        <v>6705</v>
      </c>
      <c r="B8092" s="13">
        <v>21</v>
      </c>
      <c r="C8092" s="17" t="s">
        <v>52</v>
      </c>
      <c r="D8092" s="17">
        <v>18294</v>
      </c>
      <c r="E8092" s="17">
        <v>11</v>
      </c>
      <c r="F8092" s="17">
        <v>4186</v>
      </c>
      <c r="G8092" s="13">
        <v>5</v>
      </c>
      <c r="H8092" s="17">
        <v>6</v>
      </c>
      <c r="I8092" s="17">
        <v>1</v>
      </c>
      <c r="J8092" s="17">
        <v>72</v>
      </c>
      <c r="K8092" s="10">
        <v>2572</v>
      </c>
      <c r="L8092" s="17"/>
      <c r="M8092" s="15"/>
      <c r="N8092" s="18"/>
      <c r="O8092" s="14"/>
      <c r="P8092" s="17">
        <v>1</v>
      </c>
      <c r="Q8092" s="19">
        <v>2572</v>
      </c>
      <c r="R8092" s="14">
        <v>160</v>
      </c>
      <c r="S8092" s="19">
        <v>411520</v>
      </c>
      <c r="T8092" s="17"/>
      <c r="U8092" s="17"/>
      <c r="V8092" s="17"/>
      <c r="W8092" s="4"/>
      <c r="X8092" s="17"/>
      <c r="Y8092" s="4"/>
      <c r="Z8092" s="17"/>
      <c r="AA8092" s="17"/>
      <c r="AB8092" s="17"/>
      <c r="AC8092" s="14"/>
      <c r="AD8092" s="14"/>
      <c r="AE8092" s="17"/>
      <c r="AF8092" s="14"/>
      <c r="AG8092" s="54"/>
      <c r="AH8092" s="11"/>
      <c r="AI8092" s="14"/>
      <c r="AJ8092" s="19">
        <v>0</v>
      </c>
      <c r="AK8092" s="23">
        <v>0</v>
      </c>
      <c r="AL8092" s="11"/>
      <c r="AM8092" s="19">
        <v>0</v>
      </c>
      <c r="AN8092" s="19">
        <v>411520</v>
      </c>
      <c r="AO8092" s="14"/>
      <c r="AP8092" s="14">
        <v>411520</v>
      </c>
      <c r="AQ8092" s="12">
        <v>1E-4</v>
      </c>
      <c r="AS8092" s="26"/>
    </row>
    <row r="8093" spans="1:45" s="19" customFormat="1" x14ac:dyDescent="0.2">
      <c r="A8093" s="122">
        <f t="shared" si="771"/>
        <v>6706</v>
      </c>
      <c r="B8093" s="13">
        <v>22</v>
      </c>
      <c r="C8093" s="17" t="s">
        <v>52</v>
      </c>
      <c r="D8093" s="17">
        <v>18295</v>
      </c>
      <c r="E8093" s="17">
        <v>1</v>
      </c>
      <c r="F8093" s="17">
        <v>4187</v>
      </c>
      <c r="G8093" s="13">
        <v>5</v>
      </c>
      <c r="H8093" s="17">
        <v>11</v>
      </c>
      <c r="I8093" s="17">
        <v>1</v>
      </c>
      <c r="J8093" s="17">
        <v>83</v>
      </c>
      <c r="K8093" s="10">
        <v>4583</v>
      </c>
      <c r="L8093" s="17"/>
      <c r="M8093" s="15"/>
      <c r="N8093" s="18"/>
      <c r="O8093" s="14"/>
      <c r="P8093" s="17">
        <v>1</v>
      </c>
      <c r="Q8093" s="19">
        <v>4583</v>
      </c>
      <c r="R8093" s="14">
        <v>200</v>
      </c>
      <c r="S8093" s="19">
        <v>916600</v>
      </c>
      <c r="T8093" s="17"/>
      <c r="U8093" s="17"/>
      <c r="V8093" s="17"/>
      <c r="W8093" s="4"/>
      <c r="X8093" s="17"/>
      <c r="Y8093" s="4"/>
      <c r="Z8093" s="17"/>
      <c r="AA8093" s="17"/>
      <c r="AB8093" s="17"/>
      <c r="AC8093" s="14"/>
      <c r="AD8093" s="14"/>
      <c r="AE8093" s="17"/>
      <c r="AF8093" s="14"/>
      <c r="AG8093" s="54"/>
      <c r="AH8093" s="11"/>
      <c r="AI8093" s="14"/>
      <c r="AJ8093" s="19">
        <v>0</v>
      </c>
      <c r="AK8093" s="23">
        <v>0</v>
      </c>
      <c r="AL8093" s="11"/>
      <c r="AM8093" s="19">
        <v>0</v>
      </c>
      <c r="AN8093" s="19">
        <v>916600</v>
      </c>
      <c r="AO8093" s="14"/>
      <c r="AP8093" s="14">
        <v>916600</v>
      </c>
      <c r="AQ8093" s="12">
        <v>1E-4</v>
      </c>
      <c r="AS8093" s="26"/>
    </row>
    <row r="8094" spans="1:45" s="19" customFormat="1" x14ac:dyDescent="0.2">
      <c r="A8094" s="122">
        <f t="shared" si="771"/>
        <v>6707</v>
      </c>
      <c r="B8094" s="13">
        <v>23</v>
      </c>
      <c r="C8094" s="17" t="s">
        <v>52</v>
      </c>
      <c r="D8094" s="17">
        <v>18296</v>
      </c>
      <c r="E8094" s="17">
        <v>2</v>
      </c>
      <c r="F8094" s="17">
        <v>4188</v>
      </c>
      <c r="G8094" s="13">
        <v>5</v>
      </c>
      <c r="H8094" s="17">
        <v>2</v>
      </c>
      <c r="I8094" s="17">
        <v>3</v>
      </c>
      <c r="J8094" s="17">
        <v>6</v>
      </c>
      <c r="K8094" s="10">
        <v>1106</v>
      </c>
      <c r="L8094" s="17"/>
      <c r="M8094" s="15"/>
      <c r="N8094" s="18"/>
      <c r="O8094" s="14"/>
      <c r="P8094" s="17">
        <v>1</v>
      </c>
      <c r="Q8094" s="19">
        <v>1106</v>
      </c>
      <c r="R8094" s="14">
        <v>160</v>
      </c>
      <c r="S8094" s="19">
        <v>176960</v>
      </c>
      <c r="T8094" s="17"/>
      <c r="U8094" s="17"/>
      <c r="V8094" s="17"/>
      <c r="W8094" s="4"/>
      <c r="X8094" s="17"/>
      <c r="Y8094" s="4"/>
      <c r="Z8094" s="17"/>
      <c r="AA8094" s="17"/>
      <c r="AB8094" s="17"/>
      <c r="AC8094" s="14"/>
      <c r="AD8094" s="14"/>
      <c r="AE8094" s="17"/>
      <c r="AF8094" s="14"/>
      <c r="AG8094" s="54"/>
      <c r="AH8094" s="11"/>
      <c r="AI8094" s="14"/>
      <c r="AJ8094" s="19">
        <v>0</v>
      </c>
      <c r="AK8094" s="23">
        <v>0</v>
      </c>
      <c r="AL8094" s="11"/>
      <c r="AM8094" s="19">
        <v>0</v>
      </c>
      <c r="AN8094" s="19">
        <v>176960</v>
      </c>
      <c r="AO8094" s="14"/>
      <c r="AP8094" s="14">
        <v>176960</v>
      </c>
      <c r="AQ8094" s="12">
        <v>1E-4</v>
      </c>
      <c r="AS8094" s="26"/>
    </row>
    <row r="8095" spans="1:45" s="19" customFormat="1" x14ac:dyDescent="0.2">
      <c r="A8095" s="122">
        <f t="shared" si="771"/>
        <v>6708</v>
      </c>
      <c r="B8095" s="13">
        <v>24</v>
      </c>
      <c r="C8095" s="17" t="s">
        <v>52</v>
      </c>
      <c r="D8095" s="17">
        <v>18297</v>
      </c>
      <c r="E8095" s="17">
        <v>3</v>
      </c>
      <c r="F8095" s="17">
        <v>4189</v>
      </c>
      <c r="G8095" s="13">
        <v>5</v>
      </c>
      <c r="H8095" s="17">
        <v>4</v>
      </c>
      <c r="I8095" s="17">
        <v>3</v>
      </c>
      <c r="J8095" s="17">
        <v>63</v>
      </c>
      <c r="K8095" s="10">
        <v>1963</v>
      </c>
      <c r="L8095" s="17"/>
      <c r="M8095" s="15"/>
      <c r="N8095" s="18"/>
      <c r="O8095" s="14"/>
      <c r="P8095" s="17">
        <v>1</v>
      </c>
      <c r="Q8095" s="19">
        <v>1963</v>
      </c>
      <c r="R8095" s="14">
        <v>200</v>
      </c>
      <c r="S8095" s="19">
        <v>392600</v>
      </c>
      <c r="T8095" s="17"/>
      <c r="U8095" s="17"/>
      <c r="V8095" s="17"/>
      <c r="W8095" s="4"/>
      <c r="X8095" s="17"/>
      <c r="Y8095" s="4"/>
      <c r="Z8095" s="17"/>
      <c r="AA8095" s="17"/>
      <c r="AB8095" s="17"/>
      <c r="AC8095" s="14"/>
      <c r="AD8095" s="14"/>
      <c r="AE8095" s="17"/>
      <c r="AF8095" s="14"/>
      <c r="AG8095" s="54"/>
      <c r="AH8095" s="11"/>
      <c r="AI8095" s="14"/>
      <c r="AJ8095" s="19">
        <v>0</v>
      </c>
      <c r="AK8095" s="23">
        <v>0</v>
      </c>
      <c r="AL8095" s="11"/>
      <c r="AM8095" s="19">
        <v>0</v>
      </c>
      <c r="AN8095" s="19">
        <v>392600</v>
      </c>
      <c r="AO8095" s="14"/>
      <c r="AP8095" s="14">
        <v>392600</v>
      </c>
      <c r="AQ8095" s="12">
        <v>1E-4</v>
      </c>
      <c r="AS8095" s="26"/>
    </row>
    <row r="8096" spans="1:45" s="19" customFormat="1" x14ac:dyDescent="0.2">
      <c r="A8096" s="122">
        <f t="shared" si="771"/>
        <v>6709</v>
      </c>
      <c r="B8096" s="13">
        <v>25</v>
      </c>
      <c r="C8096" s="17" t="s">
        <v>52</v>
      </c>
      <c r="D8096" s="17">
        <v>18298</v>
      </c>
      <c r="E8096" s="17">
        <v>4</v>
      </c>
      <c r="F8096" s="17">
        <v>4190</v>
      </c>
      <c r="G8096" s="13">
        <v>5</v>
      </c>
      <c r="H8096" s="17">
        <v>3</v>
      </c>
      <c r="I8096" s="17">
        <v>1</v>
      </c>
      <c r="J8096" s="17">
        <v>42</v>
      </c>
      <c r="K8096" s="10">
        <v>1342</v>
      </c>
      <c r="L8096" s="17"/>
      <c r="M8096" s="15"/>
      <c r="N8096" s="18"/>
      <c r="O8096" s="14"/>
      <c r="P8096" s="17">
        <v>1</v>
      </c>
      <c r="Q8096" s="19">
        <v>1342</v>
      </c>
      <c r="R8096" s="14">
        <v>200</v>
      </c>
      <c r="S8096" s="19">
        <v>268400</v>
      </c>
      <c r="T8096" s="17"/>
      <c r="U8096" s="17"/>
      <c r="V8096" s="17"/>
      <c r="W8096" s="4"/>
      <c r="X8096" s="17"/>
      <c r="Y8096" s="4"/>
      <c r="Z8096" s="17"/>
      <c r="AA8096" s="17"/>
      <c r="AB8096" s="17"/>
      <c r="AC8096" s="14"/>
      <c r="AD8096" s="14"/>
      <c r="AE8096" s="17"/>
      <c r="AF8096" s="14"/>
      <c r="AG8096" s="54"/>
      <c r="AH8096" s="11"/>
      <c r="AI8096" s="14"/>
      <c r="AJ8096" s="19">
        <v>0</v>
      </c>
      <c r="AK8096" s="23">
        <v>0</v>
      </c>
      <c r="AL8096" s="11"/>
      <c r="AM8096" s="19">
        <v>0</v>
      </c>
      <c r="AN8096" s="19">
        <v>268400</v>
      </c>
      <c r="AO8096" s="14"/>
      <c r="AP8096" s="14">
        <v>268400</v>
      </c>
      <c r="AQ8096" s="12">
        <v>1E-4</v>
      </c>
      <c r="AS8096" s="26"/>
    </row>
    <row r="8097" spans="1:45" s="19" customFormat="1" x14ac:dyDescent="0.2">
      <c r="A8097" s="122">
        <f t="shared" si="771"/>
        <v>6710</v>
      </c>
      <c r="B8097" s="13">
        <v>26</v>
      </c>
      <c r="C8097" s="17" t="s">
        <v>52</v>
      </c>
      <c r="D8097" s="17">
        <v>18299</v>
      </c>
      <c r="E8097" s="17">
        <v>5</v>
      </c>
      <c r="F8097" s="17">
        <v>4191</v>
      </c>
      <c r="G8097" s="13">
        <v>5</v>
      </c>
      <c r="H8097" s="17">
        <v>6</v>
      </c>
      <c r="I8097" s="17">
        <v>0</v>
      </c>
      <c r="J8097" s="17">
        <v>45</v>
      </c>
      <c r="K8097" s="10">
        <v>2445</v>
      </c>
      <c r="L8097" s="17"/>
      <c r="M8097" s="15"/>
      <c r="N8097" s="18"/>
      <c r="O8097" s="14"/>
      <c r="P8097" s="17">
        <v>1</v>
      </c>
      <c r="Q8097" s="19">
        <v>2445</v>
      </c>
      <c r="R8097" s="14">
        <v>160</v>
      </c>
      <c r="S8097" s="19">
        <v>391200</v>
      </c>
      <c r="T8097" s="17"/>
      <c r="U8097" s="17"/>
      <c r="V8097" s="17"/>
      <c r="W8097" s="4"/>
      <c r="X8097" s="17"/>
      <c r="Y8097" s="4"/>
      <c r="Z8097" s="17"/>
      <c r="AA8097" s="17"/>
      <c r="AB8097" s="17"/>
      <c r="AC8097" s="14"/>
      <c r="AD8097" s="14"/>
      <c r="AE8097" s="17"/>
      <c r="AF8097" s="14"/>
      <c r="AG8097" s="54"/>
      <c r="AH8097" s="11"/>
      <c r="AI8097" s="14"/>
      <c r="AJ8097" s="19">
        <v>0</v>
      </c>
      <c r="AK8097" s="23">
        <v>0</v>
      </c>
      <c r="AL8097" s="11"/>
      <c r="AM8097" s="19">
        <v>0</v>
      </c>
      <c r="AN8097" s="19">
        <v>391200</v>
      </c>
      <c r="AO8097" s="14"/>
      <c r="AP8097" s="14">
        <v>391200</v>
      </c>
      <c r="AQ8097" s="12">
        <v>1E-4</v>
      </c>
      <c r="AS8097" s="26"/>
    </row>
    <row r="8098" spans="1:45" s="19" customFormat="1" x14ac:dyDescent="0.2">
      <c r="A8098" s="122">
        <f t="shared" si="771"/>
        <v>6711</v>
      </c>
      <c r="B8098" s="13">
        <v>27</v>
      </c>
      <c r="C8098" s="17" t="s">
        <v>52</v>
      </c>
      <c r="D8098" s="17">
        <v>18300</v>
      </c>
      <c r="E8098" s="17">
        <v>6</v>
      </c>
      <c r="F8098" s="17">
        <v>4192</v>
      </c>
      <c r="G8098" s="13">
        <v>5</v>
      </c>
      <c r="H8098" s="17">
        <v>6</v>
      </c>
      <c r="I8098" s="17">
        <v>3</v>
      </c>
      <c r="J8098" s="17">
        <v>13</v>
      </c>
      <c r="K8098" s="10">
        <v>2713</v>
      </c>
      <c r="L8098" s="17"/>
      <c r="M8098" s="15"/>
      <c r="N8098" s="18"/>
      <c r="O8098" s="14"/>
      <c r="P8098" s="17">
        <v>1</v>
      </c>
      <c r="Q8098" s="19">
        <v>2713</v>
      </c>
      <c r="R8098" s="14">
        <v>160</v>
      </c>
      <c r="S8098" s="19">
        <v>434080</v>
      </c>
      <c r="T8098" s="17"/>
      <c r="U8098" s="17"/>
      <c r="V8098" s="17"/>
      <c r="W8098" s="4"/>
      <c r="X8098" s="17"/>
      <c r="Y8098" s="4"/>
      <c r="Z8098" s="17"/>
      <c r="AA8098" s="17"/>
      <c r="AB8098" s="17"/>
      <c r="AC8098" s="14"/>
      <c r="AD8098" s="14"/>
      <c r="AE8098" s="17"/>
      <c r="AF8098" s="14"/>
      <c r="AG8098" s="54"/>
      <c r="AH8098" s="11"/>
      <c r="AI8098" s="14"/>
      <c r="AJ8098" s="19">
        <v>0</v>
      </c>
      <c r="AK8098" s="23">
        <v>0</v>
      </c>
      <c r="AL8098" s="11"/>
      <c r="AM8098" s="19">
        <v>0</v>
      </c>
      <c r="AN8098" s="19">
        <v>434080</v>
      </c>
      <c r="AO8098" s="14"/>
      <c r="AP8098" s="14">
        <v>434080</v>
      </c>
      <c r="AQ8098" s="12">
        <v>1E-4</v>
      </c>
      <c r="AS8098" s="26"/>
    </row>
    <row r="8099" spans="1:45" s="19" customFormat="1" x14ac:dyDescent="0.2">
      <c r="A8099" s="122">
        <f t="shared" si="771"/>
        <v>6712</v>
      </c>
      <c r="B8099" s="13">
        <v>28</v>
      </c>
      <c r="C8099" s="17" t="s">
        <v>52</v>
      </c>
      <c r="D8099" s="17">
        <v>18301</v>
      </c>
      <c r="E8099" s="17">
        <v>7</v>
      </c>
      <c r="F8099" s="17">
        <v>4193</v>
      </c>
      <c r="G8099" s="13">
        <v>5</v>
      </c>
      <c r="H8099" s="17">
        <v>12</v>
      </c>
      <c r="I8099" s="17">
        <v>1</v>
      </c>
      <c r="J8099" s="17">
        <v>42</v>
      </c>
      <c r="K8099" s="10">
        <v>4942</v>
      </c>
      <c r="L8099" s="17"/>
      <c r="M8099" s="15"/>
      <c r="N8099" s="18"/>
      <c r="O8099" s="14"/>
      <c r="P8099" s="17">
        <v>1</v>
      </c>
      <c r="Q8099" s="19">
        <v>4942</v>
      </c>
      <c r="R8099" s="14">
        <v>200</v>
      </c>
      <c r="S8099" s="19">
        <v>988400</v>
      </c>
      <c r="T8099" s="17"/>
      <c r="U8099" s="17"/>
      <c r="V8099" s="17"/>
      <c r="W8099" s="4"/>
      <c r="X8099" s="17"/>
      <c r="Y8099" s="4"/>
      <c r="Z8099" s="17"/>
      <c r="AA8099" s="17"/>
      <c r="AB8099" s="17"/>
      <c r="AC8099" s="14"/>
      <c r="AD8099" s="14"/>
      <c r="AE8099" s="17"/>
      <c r="AF8099" s="14"/>
      <c r="AG8099" s="54"/>
      <c r="AH8099" s="11"/>
      <c r="AI8099" s="14"/>
      <c r="AJ8099" s="19">
        <v>0</v>
      </c>
      <c r="AK8099" s="23">
        <v>0</v>
      </c>
      <c r="AL8099" s="11"/>
      <c r="AM8099" s="19">
        <v>0</v>
      </c>
      <c r="AN8099" s="19">
        <v>988400</v>
      </c>
      <c r="AO8099" s="14"/>
      <c r="AP8099" s="14">
        <v>988400</v>
      </c>
      <c r="AQ8099" s="12">
        <v>1E-4</v>
      </c>
      <c r="AS8099" s="26"/>
    </row>
    <row r="8100" spans="1:45" s="19" customFormat="1" x14ac:dyDescent="0.2">
      <c r="A8100" s="122">
        <f t="shared" si="771"/>
        <v>6713</v>
      </c>
      <c r="B8100" s="13">
        <v>29</v>
      </c>
      <c r="C8100" s="17" t="s">
        <v>52</v>
      </c>
      <c r="D8100" s="17">
        <v>4792</v>
      </c>
      <c r="E8100" s="17">
        <v>100</v>
      </c>
      <c r="F8100" s="17">
        <v>2663</v>
      </c>
      <c r="G8100" s="13">
        <v>7</v>
      </c>
      <c r="H8100" s="17">
        <v>17</v>
      </c>
      <c r="I8100" s="17">
        <v>2</v>
      </c>
      <c r="J8100" s="17">
        <v>49</v>
      </c>
      <c r="K8100" s="10">
        <v>7049</v>
      </c>
      <c r="L8100" s="17"/>
      <c r="M8100" s="15"/>
      <c r="N8100" s="18"/>
      <c r="O8100" s="14"/>
      <c r="P8100" s="17">
        <v>1</v>
      </c>
      <c r="Q8100" s="19">
        <v>7049</v>
      </c>
      <c r="R8100" s="14">
        <v>160</v>
      </c>
      <c r="S8100" s="19">
        <v>1127840</v>
      </c>
      <c r="T8100" s="17"/>
      <c r="U8100" s="17"/>
      <c r="V8100" s="17"/>
      <c r="W8100" s="4"/>
      <c r="X8100" s="17"/>
      <c r="Y8100" s="4"/>
      <c r="Z8100" s="17"/>
      <c r="AA8100" s="17"/>
      <c r="AB8100" s="17"/>
      <c r="AC8100" s="14"/>
      <c r="AD8100" s="14"/>
      <c r="AE8100" s="17"/>
      <c r="AF8100" s="14"/>
      <c r="AG8100" s="54"/>
      <c r="AH8100" s="11"/>
      <c r="AI8100" s="14"/>
      <c r="AJ8100" s="19">
        <v>0</v>
      </c>
      <c r="AK8100" s="23">
        <v>0</v>
      </c>
      <c r="AL8100" s="11"/>
      <c r="AM8100" s="19">
        <v>0</v>
      </c>
      <c r="AN8100" s="19">
        <v>1127840</v>
      </c>
      <c r="AO8100" s="14"/>
      <c r="AP8100" s="14">
        <v>1127840</v>
      </c>
      <c r="AQ8100" s="12">
        <v>1E-4</v>
      </c>
      <c r="AS8100" s="26"/>
    </row>
    <row r="8101" spans="1:45" s="19" customFormat="1" x14ac:dyDescent="0.2">
      <c r="A8101" s="122">
        <f t="shared" si="771"/>
        <v>6714</v>
      </c>
      <c r="B8101" s="13">
        <v>30</v>
      </c>
      <c r="C8101" s="17" t="s">
        <v>52</v>
      </c>
      <c r="D8101" s="17">
        <v>4807</v>
      </c>
      <c r="E8101" s="17">
        <v>25</v>
      </c>
      <c r="F8101" s="17">
        <v>2679</v>
      </c>
      <c r="G8101" s="13">
        <v>7</v>
      </c>
      <c r="H8101" s="17">
        <v>15</v>
      </c>
      <c r="I8101" s="17">
        <v>0</v>
      </c>
      <c r="J8101" s="17">
        <v>22</v>
      </c>
      <c r="K8101" s="10">
        <v>6022</v>
      </c>
      <c r="L8101" s="17"/>
      <c r="M8101" s="15"/>
      <c r="N8101" s="18"/>
      <c r="O8101" s="14"/>
      <c r="P8101" s="17">
        <v>1</v>
      </c>
      <c r="Q8101" s="19">
        <v>6022</v>
      </c>
      <c r="R8101" s="14">
        <v>200</v>
      </c>
      <c r="S8101" s="19">
        <v>1204400</v>
      </c>
      <c r="T8101" s="17"/>
      <c r="U8101" s="17"/>
      <c r="V8101" s="17"/>
      <c r="W8101" s="4"/>
      <c r="X8101" s="17"/>
      <c r="Y8101" s="4"/>
      <c r="Z8101" s="17"/>
      <c r="AA8101" s="17"/>
      <c r="AB8101" s="17"/>
      <c r="AC8101" s="14"/>
      <c r="AD8101" s="14"/>
      <c r="AE8101" s="17"/>
      <c r="AF8101" s="14"/>
      <c r="AG8101" s="54"/>
      <c r="AH8101" s="11"/>
      <c r="AI8101" s="14"/>
      <c r="AJ8101" s="19">
        <v>0</v>
      </c>
      <c r="AK8101" s="23">
        <v>0</v>
      </c>
      <c r="AL8101" s="11"/>
      <c r="AM8101" s="19">
        <v>0</v>
      </c>
      <c r="AN8101" s="19">
        <v>1204400</v>
      </c>
      <c r="AO8101" s="14"/>
      <c r="AP8101" s="14">
        <v>1204400</v>
      </c>
      <c r="AQ8101" s="12">
        <v>1E-4</v>
      </c>
      <c r="AS8101" s="26"/>
    </row>
    <row r="8102" spans="1:45" s="19" customFormat="1" ht="42" x14ac:dyDescent="0.2">
      <c r="A8102" s="122">
        <f t="shared" si="771"/>
        <v>6715</v>
      </c>
      <c r="B8102" s="13">
        <v>31</v>
      </c>
      <c r="C8102" s="17" t="s">
        <v>52</v>
      </c>
      <c r="D8102" s="17">
        <v>5080</v>
      </c>
      <c r="E8102" s="17">
        <v>88</v>
      </c>
      <c r="F8102" s="17">
        <v>2890</v>
      </c>
      <c r="G8102" s="13">
        <v>7</v>
      </c>
      <c r="H8102" s="17">
        <v>45</v>
      </c>
      <c r="I8102" s="17">
        <v>2</v>
      </c>
      <c r="J8102" s="17">
        <v>19</v>
      </c>
      <c r="K8102" s="10">
        <v>18219</v>
      </c>
      <c r="L8102" s="17"/>
      <c r="M8102" s="15"/>
      <c r="N8102" s="18"/>
      <c r="O8102" s="14"/>
      <c r="P8102" s="17">
        <v>1</v>
      </c>
      <c r="Q8102" s="19">
        <v>18219</v>
      </c>
      <c r="R8102" s="14">
        <v>630</v>
      </c>
      <c r="S8102" s="19">
        <v>11477970</v>
      </c>
      <c r="T8102" s="17"/>
      <c r="U8102" s="17"/>
      <c r="V8102" s="17"/>
      <c r="W8102" s="4"/>
      <c r="X8102" s="17"/>
      <c r="Y8102" s="4"/>
      <c r="Z8102" s="17"/>
      <c r="AA8102" s="17"/>
      <c r="AB8102" s="17"/>
      <c r="AC8102" s="14"/>
      <c r="AD8102" s="14"/>
      <c r="AE8102" s="17"/>
      <c r="AF8102" s="14"/>
      <c r="AG8102" s="54"/>
      <c r="AH8102" s="11"/>
      <c r="AI8102" s="14"/>
      <c r="AJ8102" s="19">
        <v>0</v>
      </c>
      <c r="AK8102" s="23">
        <v>0</v>
      </c>
      <c r="AL8102" s="11"/>
      <c r="AM8102" s="19">
        <v>0</v>
      </c>
      <c r="AN8102" s="19">
        <v>11477970</v>
      </c>
      <c r="AO8102" s="14"/>
      <c r="AP8102" s="14">
        <v>11477970</v>
      </c>
      <c r="AQ8102" s="12">
        <v>1E-4</v>
      </c>
      <c r="AS8102" s="26"/>
    </row>
    <row r="8103" spans="1:45" s="19" customFormat="1" x14ac:dyDescent="0.2">
      <c r="A8103" s="122">
        <f t="shared" si="771"/>
        <v>6716</v>
      </c>
      <c r="B8103" s="13">
        <v>32</v>
      </c>
      <c r="C8103" s="17" t="s">
        <v>52</v>
      </c>
      <c r="D8103" s="17">
        <v>5081</v>
      </c>
      <c r="E8103" s="17">
        <v>89</v>
      </c>
      <c r="F8103" s="17">
        <v>2891</v>
      </c>
      <c r="G8103" s="13">
        <v>7</v>
      </c>
      <c r="H8103" s="17">
        <v>32</v>
      </c>
      <c r="I8103" s="17">
        <v>3</v>
      </c>
      <c r="J8103" s="17">
        <v>85</v>
      </c>
      <c r="K8103" s="10">
        <v>13185</v>
      </c>
      <c r="L8103" s="17"/>
      <c r="M8103" s="15"/>
      <c r="N8103" s="18"/>
      <c r="O8103" s="14"/>
      <c r="P8103" s="17">
        <v>1</v>
      </c>
      <c r="Q8103" s="19">
        <v>13185</v>
      </c>
      <c r="R8103" s="14">
        <v>160</v>
      </c>
      <c r="S8103" s="19">
        <v>2109600</v>
      </c>
      <c r="T8103" s="17"/>
      <c r="U8103" s="17"/>
      <c r="V8103" s="17"/>
      <c r="W8103" s="4"/>
      <c r="X8103" s="17"/>
      <c r="Y8103" s="4"/>
      <c r="Z8103" s="17"/>
      <c r="AA8103" s="17"/>
      <c r="AB8103" s="17"/>
      <c r="AC8103" s="14"/>
      <c r="AD8103" s="14"/>
      <c r="AE8103" s="17"/>
      <c r="AF8103" s="14"/>
      <c r="AG8103" s="54"/>
      <c r="AH8103" s="11"/>
      <c r="AI8103" s="14"/>
      <c r="AJ8103" s="19">
        <v>0</v>
      </c>
      <c r="AK8103" s="23">
        <v>0</v>
      </c>
      <c r="AL8103" s="11"/>
      <c r="AM8103" s="19">
        <v>0</v>
      </c>
      <c r="AN8103" s="19">
        <v>2109600</v>
      </c>
      <c r="AO8103" s="14"/>
      <c r="AP8103" s="14">
        <v>2109600</v>
      </c>
      <c r="AQ8103" s="12">
        <v>1E-4</v>
      </c>
      <c r="AS8103" s="26"/>
    </row>
    <row r="8104" spans="1:45" s="19" customFormat="1" x14ac:dyDescent="0.2">
      <c r="A8104" s="122">
        <f t="shared" si="771"/>
        <v>6717</v>
      </c>
      <c r="B8104" s="13">
        <v>33</v>
      </c>
      <c r="C8104" s="17" t="s">
        <v>52</v>
      </c>
      <c r="D8104" s="17">
        <v>5082</v>
      </c>
      <c r="E8104" s="17">
        <v>90</v>
      </c>
      <c r="F8104" s="17">
        <v>2892</v>
      </c>
      <c r="G8104" s="13">
        <v>7</v>
      </c>
      <c r="H8104" s="17">
        <v>9</v>
      </c>
      <c r="I8104" s="17">
        <v>3</v>
      </c>
      <c r="J8104" s="17">
        <v>68</v>
      </c>
      <c r="K8104" s="10">
        <v>3968</v>
      </c>
      <c r="L8104" s="17"/>
      <c r="M8104" s="15"/>
      <c r="N8104" s="18"/>
      <c r="O8104" s="14"/>
      <c r="P8104" s="17">
        <v>1</v>
      </c>
      <c r="Q8104" s="19">
        <v>3968</v>
      </c>
      <c r="R8104" s="14">
        <v>160</v>
      </c>
      <c r="S8104" s="19">
        <v>634880</v>
      </c>
      <c r="T8104" s="17"/>
      <c r="U8104" s="17"/>
      <c r="V8104" s="17"/>
      <c r="W8104" s="4"/>
      <c r="X8104" s="17"/>
      <c r="Y8104" s="4"/>
      <c r="Z8104" s="17"/>
      <c r="AA8104" s="17"/>
      <c r="AB8104" s="17"/>
      <c r="AC8104" s="14"/>
      <c r="AD8104" s="14"/>
      <c r="AE8104" s="17"/>
      <c r="AF8104" s="14"/>
      <c r="AG8104" s="54"/>
      <c r="AH8104" s="11"/>
      <c r="AI8104" s="14"/>
      <c r="AJ8104" s="19">
        <v>0</v>
      </c>
      <c r="AK8104" s="23">
        <v>0</v>
      </c>
      <c r="AL8104" s="11"/>
      <c r="AM8104" s="19">
        <v>0</v>
      </c>
      <c r="AN8104" s="19">
        <v>634880</v>
      </c>
      <c r="AO8104" s="14"/>
      <c r="AP8104" s="14">
        <v>634880</v>
      </c>
      <c r="AQ8104" s="12">
        <v>1E-4</v>
      </c>
      <c r="AS8104" s="26"/>
    </row>
    <row r="8105" spans="1:45" s="19" customFormat="1" x14ac:dyDescent="0.2">
      <c r="A8105" s="122">
        <f t="shared" si="771"/>
        <v>6718</v>
      </c>
      <c r="B8105" s="13">
        <v>34</v>
      </c>
      <c r="C8105" s="17" t="s">
        <v>52</v>
      </c>
      <c r="D8105" s="17">
        <v>5083</v>
      </c>
      <c r="E8105" s="17">
        <v>91</v>
      </c>
      <c r="F8105" s="17">
        <v>2893</v>
      </c>
      <c r="G8105" s="13">
        <v>7</v>
      </c>
      <c r="H8105" s="17">
        <v>21</v>
      </c>
      <c r="I8105" s="17">
        <v>3</v>
      </c>
      <c r="J8105" s="17">
        <v>52</v>
      </c>
      <c r="K8105" s="10">
        <v>8752</v>
      </c>
      <c r="L8105" s="17"/>
      <c r="M8105" s="15"/>
      <c r="N8105" s="18"/>
      <c r="O8105" s="14"/>
      <c r="P8105" s="17">
        <v>1</v>
      </c>
      <c r="Q8105" s="19">
        <v>8752</v>
      </c>
      <c r="R8105" s="14">
        <v>160</v>
      </c>
      <c r="S8105" s="19">
        <v>1400320</v>
      </c>
      <c r="T8105" s="17"/>
      <c r="U8105" s="17"/>
      <c r="V8105" s="17"/>
      <c r="W8105" s="4"/>
      <c r="X8105" s="17"/>
      <c r="Y8105" s="4"/>
      <c r="Z8105" s="17"/>
      <c r="AA8105" s="17"/>
      <c r="AB8105" s="17"/>
      <c r="AC8105" s="14"/>
      <c r="AD8105" s="14"/>
      <c r="AE8105" s="17"/>
      <c r="AF8105" s="14"/>
      <c r="AG8105" s="54"/>
      <c r="AH8105" s="11"/>
      <c r="AI8105" s="14"/>
      <c r="AJ8105" s="19">
        <v>0</v>
      </c>
      <c r="AK8105" s="23">
        <v>0</v>
      </c>
      <c r="AL8105" s="11"/>
      <c r="AM8105" s="19">
        <v>0</v>
      </c>
      <c r="AN8105" s="19">
        <v>1400320</v>
      </c>
      <c r="AO8105" s="14"/>
      <c r="AP8105" s="14">
        <v>1400320</v>
      </c>
      <c r="AQ8105" s="12">
        <v>1E-4</v>
      </c>
      <c r="AS8105" s="26"/>
    </row>
    <row r="8106" spans="1:45" s="19" customFormat="1" x14ac:dyDescent="0.2">
      <c r="A8106" s="122">
        <f t="shared" si="771"/>
        <v>6719</v>
      </c>
      <c r="B8106" s="13">
        <v>35</v>
      </c>
      <c r="C8106" s="17" t="s">
        <v>52</v>
      </c>
      <c r="D8106" s="17">
        <v>5084</v>
      </c>
      <c r="E8106" s="17">
        <v>92</v>
      </c>
      <c r="F8106" s="17">
        <v>2894</v>
      </c>
      <c r="G8106" s="13">
        <v>7</v>
      </c>
      <c r="H8106" s="17">
        <v>7</v>
      </c>
      <c r="I8106" s="17">
        <v>2</v>
      </c>
      <c r="J8106" s="17">
        <v>54</v>
      </c>
      <c r="K8106" s="10">
        <v>3054</v>
      </c>
      <c r="L8106" s="17"/>
      <c r="M8106" s="15"/>
      <c r="N8106" s="18"/>
      <c r="O8106" s="14"/>
      <c r="P8106" s="17">
        <v>1</v>
      </c>
      <c r="Q8106" s="19">
        <v>3054</v>
      </c>
      <c r="R8106" s="14">
        <v>160</v>
      </c>
      <c r="S8106" s="19">
        <v>488640</v>
      </c>
      <c r="T8106" s="17"/>
      <c r="U8106" s="17"/>
      <c r="V8106" s="17"/>
      <c r="W8106" s="4"/>
      <c r="X8106" s="17"/>
      <c r="Y8106" s="4"/>
      <c r="Z8106" s="17"/>
      <c r="AA8106" s="17"/>
      <c r="AB8106" s="17"/>
      <c r="AC8106" s="14"/>
      <c r="AD8106" s="14"/>
      <c r="AE8106" s="17"/>
      <c r="AF8106" s="14"/>
      <c r="AG8106" s="54"/>
      <c r="AH8106" s="11"/>
      <c r="AI8106" s="14"/>
      <c r="AJ8106" s="19">
        <v>0</v>
      </c>
      <c r="AK8106" s="23">
        <v>0</v>
      </c>
      <c r="AL8106" s="11"/>
      <c r="AM8106" s="19">
        <v>0</v>
      </c>
      <c r="AN8106" s="19">
        <v>488640</v>
      </c>
      <c r="AO8106" s="14"/>
      <c r="AP8106" s="14">
        <v>488640</v>
      </c>
      <c r="AQ8106" s="12">
        <v>1E-4</v>
      </c>
      <c r="AS8106" s="26"/>
    </row>
    <row r="8107" spans="1:45" s="19" customFormat="1" x14ac:dyDescent="0.2">
      <c r="A8107" s="122">
        <f t="shared" si="771"/>
        <v>6720</v>
      </c>
      <c r="B8107" s="13">
        <v>36</v>
      </c>
      <c r="C8107" s="17" t="s">
        <v>52</v>
      </c>
      <c r="D8107" s="17">
        <v>5085</v>
      </c>
      <c r="E8107" s="17">
        <v>93</v>
      </c>
      <c r="F8107" s="17">
        <v>2895</v>
      </c>
      <c r="G8107" s="13">
        <v>7</v>
      </c>
      <c r="H8107" s="17">
        <v>23</v>
      </c>
      <c r="I8107" s="17">
        <v>3</v>
      </c>
      <c r="J8107" s="17">
        <v>28</v>
      </c>
      <c r="K8107" s="10">
        <v>9528</v>
      </c>
      <c r="L8107" s="17"/>
      <c r="M8107" s="15"/>
      <c r="N8107" s="18"/>
      <c r="O8107" s="14"/>
      <c r="P8107" s="17">
        <v>1</v>
      </c>
      <c r="Q8107" s="19">
        <v>9528</v>
      </c>
      <c r="R8107" s="14">
        <v>160</v>
      </c>
      <c r="S8107" s="19">
        <v>1524480</v>
      </c>
      <c r="T8107" s="17"/>
      <c r="U8107" s="17"/>
      <c r="V8107" s="17"/>
      <c r="W8107" s="4"/>
      <c r="X8107" s="17"/>
      <c r="Y8107" s="4"/>
      <c r="Z8107" s="17"/>
      <c r="AA8107" s="17"/>
      <c r="AB8107" s="17"/>
      <c r="AC8107" s="14"/>
      <c r="AD8107" s="14"/>
      <c r="AE8107" s="17"/>
      <c r="AF8107" s="14"/>
      <c r="AG8107" s="54"/>
      <c r="AH8107" s="11"/>
      <c r="AI8107" s="14"/>
      <c r="AJ8107" s="19">
        <v>0</v>
      </c>
      <c r="AK8107" s="23">
        <v>0</v>
      </c>
      <c r="AL8107" s="11"/>
      <c r="AM8107" s="19">
        <v>0</v>
      </c>
      <c r="AN8107" s="19">
        <v>1524480</v>
      </c>
      <c r="AO8107" s="14"/>
      <c r="AP8107" s="14">
        <v>1524480</v>
      </c>
      <c r="AQ8107" s="12">
        <v>1E-4</v>
      </c>
      <c r="AS8107" s="26"/>
    </row>
    <row r="8108" spans="1:45" s="19" customFormat="1" x14ac:dyDescent="0.2">
      <c r="A8108" s="122">
        <f t="shared" si="771"/>
        <v>6721</v>
      </c>
      <c r="B8108" s="13">
        <v>37</v>
      </c>
      <c r="C8108" s="17" t="s">
        <v>52</v>
      </c>
      <c r="D8108" s="17">
        <v>5086</v>
      </c>
      <c r="E8108" s="17">
        <v>94</v>
      </c>
      <c r="F8108" s="17">
        <v>2896</v>
      </c>
      <c r="G8108" s="13">
        <v>7</v>
      </c>
      <c r="H8108" s="17">
        <v>9</v>
      </c>
      <c r="I8108" s="17">
        <v>3</v>
      </c>
      <c r="J8108" s="17">
        <v>60</v>
      </c>
      <c r="K8108" s="10">
        <v>3960</v>
      </c>
      <c r="L8108" s="17"/>
      <c r="M8108" s="15"/>
      <c r="N8108" s="18"/>
      <c r="O8108" s="14"/>
      <c r="P8108" s="17">
        <v>1</v>
      </c>
      <c r="Q8108" s="19">
        <v>3960</v>
      </c>
      <c r="R8108" s="14">
        <v>160</v>
      </c>
      <c r="S8108" s="19">
        <v>633600</v>
      </c>
      <c r="T8108" s="17"/>
      <c r="U8108" s="17"/>
      <c r="V8108" s="17"/>
      <c r="W8108" s="4"/>
      <c r="X8108" s="17"/>
      <c r="Y8108" s="4"/>
      <c r="Z8108" s="17"/>
      <c r="AA8108" s="17"/>
      <c r="AB8108" s="17"/>
      <c r="AC8108" s="14"/>
      <c r="AD8108" s="14"/>
      <c r="AE8108" s="17"/>
      <c r="AF8108" s="14"/>
      <c r="AG8108" s="54"/>
      <c r="AH8108" s="11"/>
      <c r="AI8108" s="14"/>
      <c r="AJ8108" s="19">
        <v>0</v>
      </c>
      <c r="AK8108" s="23">
        <v>0</v>
      </c>
      <c r="AL8108" s="11"/>
      <c r="AM8108" s="19">
        <v>0</v>
      </c>
      <c r="AN8108" s="19">
        <v>633600</v>
      </c>
      <c r="AO8108" s="14"/>
      <c r="AP8108" s="14">
        <v>633600</v>
      </c>
      <c r="AQ8108" s="12">
        <v>1E-4</v>
      </c>
      <c r="AS8108" s="26"/>
    </row>
    <row r="8109" spans="1:45" s="19" customFormat="1" x14ac:dyDescent="0.2">
      <c r="A8109" s="122">
        <f t="shared" si="771"/>
        <v>6722</v>
      </c>
      <c r="B8109" s="13">
        <v>38</v>
      </c>
      <c r="C8109" s="17" t="s">
        <v>52</v>
      </c>
      <c r="D8109" s="17">
        <v>5087</v>
      </c>
      <c r="E8109" s="17">
        <v>95</v>
      </c>
      <c r="F8109" s="17">
        <v>2897</v>
      </c>
      <c r="G8109" s="13">
        <v>7</v>
      </c>
      <c r="H8109" s="17">
        <v>22</v>
      </c>
      <c r="I8109" s="17">
        <v>2</v>
      </c>
      <c r="J8109" s="17">
        <v>61</v>
      </c>
      <c r="K8109" s="10">
        <v>9061</v>
      </c>
      <c r="L8109" s="17"/>
      <c r="M8109" s="15"/>
      <c r="N8109" s="18"/>
      <c r="O8109" s="14"/>
      <c r="P8109" s="17">
        <v>1</v>
      </c>
      <c r="Q8109" s="19">
        <v>9061</v>
      </c>
      <c r="R8109" s="14">
        <v>160</v>
      </c>
      <c r="S8109" s="19">
        <v>1449760</v>
      </c>
      <c r="T8109" s="17"/>
      <c r="U8109" s="17"/>
      <c r="V8109" s="17"/>
      <c r="W8109" s="4"/>
      <c r="X8109" s="17"/>
      <c r="Y8109" s="4"/>
      <c r="Z8109" s="17"/>
      <c r="AA8109" s="17"/>
      <c r="AB8109" s="17"/>
      <c r="AC8109" s="14"/>
      <c r="AD8109" s="14"/>
      <c r="AE8109" s="17"/>
      <c r="AF8109" s="14"/>
      <c r="AG8109" s="54"/>
      <c r="AH8109" s="11"/>
      <c r="AI8109" s="14"/>
      <c r="AJ8109" s="19">
        <v>0</v>
      </c>
      <c r="AK8109" s="23">
        <v>0</v>
      </c>
      <c r="AL8109" s="11"/>
      <c r="AM8109" s="19">
        <v>0</v>
      </c>
      <c r="AN8109" s="19">
        <v>1449760</v>
      </c>
      <c r="AO8109" s="14"/>
      <c r="AP8109" s="14">
        <v>1449760</v>
      </c>
      <c r="AQ8109" s="12">
        <v>1E-4</v>
      </c>
      <c r="AS8109" s="26"/>
    </row>
    <row r="8110" spans="1:45" s="19" customFormat="1" x14ac:dyDescent="0.2">
      <c r="A8110" s="122">
        <f t="shared" si="771"/>
        <v>6723</v>
      </c>
      <c r="B8110" s="13">
        <v>39</v>
      </c>
      <c r="C8110" s="17" t="s">
        <v>52</v>
      </c>
      <c r="D8110" s="17">
        <v>5088</v>
      </c>
      <c r="E8110" s="17">
        <v>3</v>
      </c>
      <c r="F8110" s="17">
        <v>2898</v>
      </c>
      <c r="G8110" s="13">
        <v>7</v>
      </c>
      <c r="H8110" s="17">
        <v>5</v>
      </c>
      <c r="I8110" s="17">
        <v>2</v>
      </c>
      <c r="J8110" s="17">
        <v>68</v>
      </c>
      <c r="K8110" s="10">
        <v>2268</v>
      </c>
      <c r="L8110" s="17"/>
      <c r="M8110" s="15"/>
      <c r="N8110" s="18"/>
      <c r="O8110" s="14"/>
      <c r="P8110" s="17">
        <v>1</v>
      </c>
      <c r="Q8110" s="19">
        <v>2268</v>
      </c>
      <c r="R8110" s="14">
        <v>160</v>
      </c>
      <c r="S8110" s="19">
        <v>362880</v>
      </c>
      <c r="T8110" s="17"/>
      <c r="U8110" s="17"/>
      <c r="V8110" s="17"/>
      <c r="W8110" s="4"/>
      <c r="X8110" s="17"/>
      <c r="Y8110" s="4"/>
      <c r="Z8110" s="17"/>
      <c r="AA8110" s="17"/>
      <c r="AB8110" s="17"/>
      <c r="AC8110" s="14"/>
      <c r="AD8110" s="14"/>
      <c r="AE8110" s="17"/>
      <c r="AF8110" s="14"/>
      <c r="AG8110" s="54"/>
      <c r="AH8110" s="11"/>
      <c r="AI8110" s="14"/>
      <c r="AJ8110" s="19">
        <v>0</v>
      </c>
      <c r="AK8110" s="23">
        <v>0</v>
      </c>
      <c r="AL8110" s="11"/>
      <c r="AM8110" s="19">
        <v>0</v>
      </c>
      <c r="AN8110" s="19">
        <v>362880</v>
      </c>
      <c r="AO8110" s="14"/>
      <c r="AP8110" s="14">
        <v>362880</v>
      </c>
      <c r="AQ8110" s="12">
        <v>1E-4</v>
      </c>
      <c r="AS8110" s="26"/>
    </row>
    <row r="8111" spans="1:45" s="19" customFormat="1" x14ac:dyDescent="0.2">
      <c r="A8111" s="122">
        <f t="shared" si="771"/>
        <v>6724</v>
      </c>
      <c r="B8111" s="13">
        <v>40</v>
      </c>
      <c r="C8111" s="17" t="s">
        <v>52</v>
      </c>
      <c r="D8111" s="17">
        <v>5089</v>
      </c>
      <c r="E8111" s="17">
        <v>2</v>
      </c>
      <c r="F8111" s="17">
        <v>2899</v>
      </c>
      <c r="G8111" s="13">
        <v>7</v>
      </c>
      <c r="H8111" s="17">
        <v>18</v>
      </c>
      <c r="I8111" s="17">
        <v>0</v>
      </c>
      <c r="J8111" s="17">
        <v>62</v>
      </c>
      <c r="K8111" s="10">
        <v>7262</v>
      </c>
      <c r="L8111" s="17"/>
      <c r="M8111" s="15"/>
      <c r="N8111" s="18"/>
      <c r="O8111" s="14"/>
      <c r="P8111" s="17">
        <v>1</v>
      </c>
      <c r="Q8111" s="19">
        <v>7262</v>
      </c>
      <c r="R8111" s="14">
        <v>160</v>
      </c>
      <c r="S8111" s="19">
        <v>1161920</v>
      </c>
      <c r="T8111" s="17"/>
      <c r="U8111" s="17"/>
      <c r="V8111" s="17"/>
      <c r="W8111" s="4"/>
      <c r="X8111" s="17"/>
      <c r="Y8111" s="4"/>
      <c r="Z8111" s="17"/>
      <c r="AA8111" s="17"/>
      <c r="AB8111" s="17"/>
      <c r="AC8111" s="14"/>
      <c r="AD8111" s="14"/>
      <c r="AE8111" s="17"/>
      <c r="AF8111" s="14"/>
      <c r="AG8111" s="54"/>
      <c r="AH8111" s="11"/>
      <c r="AI8111" s="14"/>
      <c r="AJ8111" s="19">
        <v>0</v>
      </c>
      <c r="AK8111" s="23">
        <v>0</v>
      </c>
      <c r="AL8111" s="11"/>
      <c r="AM8111" s="19">
        <v>0</v>
      </c>
      <c r="AN8111" s="19">
        <v>1161920</v>
      </c>
      <c r="AO8111" s="14"/>
      <c r="AP8111" s="14">
        <v>1161920</v>
      </c>
      <c r="AQ8111" s="12">
        <v>1E-4</v>
      </c>
      <c r="AS8111" s="26"/>
    </row>
    <row r="8112" spans="1:45" s="19" customFormat="1" x14ac:dyDescent="0.2">
      <c r="A8112" s="122">
        <f t="shared" si="771"/>
        <v>6725</v>
      </c>
      <c r="B8112" s="13">
        <v>41</v>
      </c>
      <c r="C8112" s="17" t="s">
        <v>52</v>
      </c>
      <c r="D8112" s="17">
        <v>5090</v>
      </c>
      <c r="E8112" s="17">
        <v>1</v>
      </c>
      <c r="F8112" s="17">
        <v>2900</v>
      </c>
      <c r="G8112" s="13">
        <v>7</v>
      </c>
      <c r="H8112" s="17">
        <v>35</v>
      </c>
      <c r="I8112" s="17">
        <v>3</v>
      </c>
      <c r="J8112" s="17">
        <v>57</v>
      </c>
      <c r="K8112" s="10">
        <v>14357</v>
      </c>
      <c r="L8112" s="17"/>
      <c r="M8112" s="15"/>
      <c r="N8112" s="18"/>
      <c r="O8112" s="14"/>
      <c r="P8112" s="17">
        <v>1</v>
      </c>
      <c r="Q8112" s="19">
        <v>14357</v>
      </c>
      <c r="R8112" s="14">
        <v>160</v>
      </c>
      <c r="S8112" s="19">
        <v>2297120</v>
      </c>
      <c r="T8112" s="17"/>
      <c r="U8112" s="17"/>
      <c r="V8112" s="17"/>
      <c r="W8112" s="4"/>
      <c r="X8112" s="17"/>
      <c r="Y8112" s="4"/>
      <c r="Z8112" s="17"/>
      <c r="AA8112" s="17"/>
      <c r="AB8112" s="17"/>
      <c r="AC8112" s="14"/>
      <c r="AD8112" s="14"/>
      <c r="AE8112" s="17"/>
      <c r="AF8112" s="14"/>
      <c r="AG8112" s="54"/>
      <c r="AH8112" s="11"/>
      <c r="AI8112" s="14"/>
      <c r="AJ8112" s="19">
        <v>0</v>
      </c>
      <c r="AK8112" s="23">
        <v>0</v>
      </c>
      <c r="AL8112" s="11"/>
      <c r="AM8112" s="19">
        <v>0</v>
      </c>
      <c r="AN8112" s="19">
        <v>2297120</v>
      </c>
      <c r="AO8112" s="14"/>
      <c r="AP8112" s="14">
        <v>2297120</v>
      </c>
      <c r="AQ8112" s="12">
        <v>1E-4</v>
      </c>
      <c r="AS8112" s="26"/>
    </row>
    <row r="8113" spans="1:45" s="19" customFormat="1" x14ac:dyDescent="0.2">
      <c r="A8113" s="122">
        <f t="shared" si="771"/>
        <v>6726</v>
      </c>
      <c r="B8113" s="13">
        <v>42</v>
      </c>
      <c r="C8113" s="17" t="s">
        <v>52</v>
      </c>
      <c r="D8113" s="17">
        <v>5091</v>
      </c>
      <c r="E8113" s="17">
        <v>4</v>
      </c>
      <c r="F8113" s="17">
        <v>2901</v>
      </c>
      <c r="G8113" s="13">
        <v>7</v>
      </c>
      <c r="H8113" s="17">
        <v>12</v>
      </c>
      <c r="I8113" s="17">
        <v>0</v>
      </c>
      <c r="J8113" s="17">
        <v>44</v>
      </c>
      <c r="K8113" s="10">
        <v>4844</v>
      </c>
      <c r="L8113" s="17"/>
      <c r="M8113" s="15"/>
      <c r="N8113" s="18"/>
      <c r="O8113" s="14"/>
      <c r="P8113" s="17">
        <v>1</v>
      </c>
      <c r="Q8113" s="19">
        <v>4844</v>
      </c>
      <c r="R8113" s="14">
        <v>160</v>
      </c>
      <c r="S8113" s="19">
        <v>775040</v>
      </c>
      <c r="T8113" s="17"/>
      <c r="U8113" s="17"/>
      <c r="V8113" s="17"/>
      <c r="W8113" s="4"/>
      <c r="X8113" s="17"/>
      <c r="Y8113" s="4"/>
      <c r="Z8113" s="17"/>
      <c r="AA8113" s="17"/>
      <c r="AB8113" s="17"/>
      <c r="AC8113" s="14"/>
      <c r="AD8113" s="14"/>
      <c r="AE8113" s="17"/>
      <c r="AF8113" s="14"/>
      <c r="AG8113" s="54"/>
      <c r="AH8113" s="11"/>
      <c r="AI8113" s="14"/>
      <c r="AJ8113" s="19">
        <v>0</v>
      </c>
      <c r="AK8113" s="23">
        <v>0</v>
      </c>
      <c r="AL8113" s="11"/>
      <c r="AM8113" s="19">
        <v>0</v>
      </c>
      <c r="AN8113" s="19">
        <v>775040</v>
      </c>
      <c r="AO8113" s="14"/>
      <c r="AP8113" s="14">
        <v>775040</v>
      </c>
      <c r="AQ8113" s="12">
        <v>1E-4</v>
      </c>
      <c r="AS8113" s="26"/>
    </row>
    <row r="8114" spans="1:45" s="19" customFormat="1" x14ac:dyDescent="0.2">
      <c r="A8114" s="122">
        <f t="shared" si="771"/>
        <v>6727</v>
      </c>
      <c r="B8114" s="13">
        <v>43</v>
      </c>
      <c r="C8114" s="17" t="s">
        <v>52</v>
      </c>
      <c r="D8114" s="17">
        <v>5092</v>
      </c>
      <c r="E8114" s="17">
        <v>5</v>
      </c>
      <c r="F8114" s="17">
        <v>2902</v>
      </c>
      <c r="G8114" s="13">
        <v>7</v>
      </c>
      <c r="H8114" s="17">
        <v>11</v>
      </c>
      <c r="I8114" s="17">
        <v>2</v>
      </c>
      <c r="J8114" s="17">
        <v>75</v>
      </c>
      <c r="K8114" s="10">
        <v>4675</v>
      </c>
      <c r="L8114" s="17"/>
      <c r="M8114" s="15"/>
      <c r="N8114" s="18"/>
      <c r="O8114" s="14"/>
      <c r="P8114" s="17">
        <v>1</v>
      </c>
      <c r="Q8114" s="19">
        <v>4675</v>
      </c>
      <c r="R8114" s="14">
        <v>160</v>
      </c>
      <c r="S8114" s="19">
        <v>748000</v>
      </c>
      <c r="T8114" s="17"/>
      <c r="U8114" s="17"/>
      <c r="V8114" s="17"/>
      <c r="W8114" s="4"/>
      <c r="X8114" s="17"/>
      <c r="Y8114" s="4"/>
      <c r="Z8114" s="17"/>
      <c r="AA8114" s="17"/>
      <c r="AB8114" s="17"/>
      <c r="AC8114" s="14"/>
      <c r="AD8114" s="14"/>
      <c r="AE8114" s="17"/>
      <c r="AF8114" s="14"/>
      <c r="AG8114" s="54"/>
      <c r="AH8114" s="11"/>
      <c r="AI8114" s="14"/>
      <c r="AJ8114" s="19">
        <v>0</v>
      </c>
      <c r="AK8114" s="23">
        <v>0</v>
      </c>
      <c r="AL8114" s="11"/>
      <c r="AM8114" s="19">
        <v>0</v>
      </c>
      <c r="AN8114" s="19">
        <v>748000</v>
      </c>
      <c r="AO8114" s="14"/>
      <c r="AP8114" s="14">
        <v>748000</v>
      </c>
      <c r="AQ8114" s="12">
        <v>1E-4</v>
      </c>
      <c r="AS8114" s="26"/>
    </row>
    <row r="8115" spans="1:45" s="19" customFormat="1" x14ac:dyDescent="0.2">
      <c r="A8115" s="122">
        <f t="shared" si="771"/>
        <v>6728</v>
      </c>
      <c r="B8115" s="13">
        <v>44</v>
      </c>
      <c r="C8115" s="17" t="s">
        <v>52</v>
      </c>
      <c r="D8115" s="17">
        <v>5093</v>
      </c>
      <c r="E8115" s="17">
        <v>6</v>
      </c>
      <c r="F8115" s="17">
        <v>2903</v>
      </c>
      <c r="G8115" s="13">
        <v>7</v>
      </c>
      <c r="H8115" s="17">
        <v>14</v>
      </c>
      <c r="I8115" s="17">
        <v>0</v>
      </c>
      <c r="J8115" s="17">
        <v>90</v>
      </c>
      <c r="K8115" s="10">
        <v>5690</v>
      </c>
      <c r="L8115" s="17"/>
      <c r="M8115" s="15"/>
      <c r="N8115" s="18"/>
      <c r="O8115" s="14"/>
      <c r="P8115" s="17">
        <v>1</v>
      </c>
      <c r="Q8115" s="19">
        <v>5690</v>
      </c>
      <c r="R8115" s="14">
        <v>160</v>
      </c>
      <c r="S8115" s="19">
        <v>910400</v>
      </c>
      <c r="T8115" s="17"/>
      <c r="U8115" s="17"/>
      <c r="V8115" s="17"/>
      <c r="W8115" s="4"/>
      <c r="X8115" s="17"/>
      <c r="Y8115" s="4"/>
      <c r="Z8115" s="17"/>
      <c r="AA8115" s="17"/>
      <c r="AB8115" s="17"/>
      <c r="AC8115" s="14"/>
      <c r="AD8115" s="14"/>
      <c r="AE8115" s="17"/>
      <c r="AF8115" s="14"/>
      <c r="AG8115" s="54"/>
      <c r="AH8115" s="11"/>
      <c r="AI8115" s="14"/>
      <c r="AJ8115" s="19">
        <v>0</v>
      </c>
      <c r="AK8115" s="23">
        <v>0</v>
      </c>
      <c r="AL8115" s="11"/>
      <c r="AM8115" s="19">
        <v>0</v>
      </c>
      <c r="AN8115" s="19">
        <v>910400</v>
      </c>
      <c r="AO8115" s="14"/>
      <c r="AP8115" s="14">
        <v>910400</v>
      </c>
      <c r="AQ8115" s="12">
        <v>1E-4</v>
      </c>
      <c r="AS8115" s="26"/>
    </row>
    <row r="8116" spans="1:45" s="19" customFormat="1" x14ac:dyDescent="0.2">
      <c r="A8116" s="122">
        <f t="shared" si="771"/>
        <v>6729</v>
      </c>
      <c r="B8116" s="13">
        <v>45</v>
      </c>
      <c r="C8116" s="17" t="s">
        <v>52</v>
      </c>
      <c r="D8116" s="17">
        <v>5137</v>
      </c>
      <c r="E8116" s="17">
        <v>7</v>
      </c>
      <c r="F8116" s="17">
        <v>2913</v>
      </c>
      <c r="G8116" s="13">
        <v>7</v>
      </c>
      <c r="H8116" s="17">
        <v>14</v>
      </c>
      <c r="I8116" s="17">
        <v>3</v>
      </c>
      <c r="J8116" s="17">
        <v>33</v>
      </c>
      <c r="K8116" s="10">
        <v>5933</v>
      </c>
      <c r="L8116" s="17"/>
      <c r="M8116" s="15"/>
      <c r="N8116" s="18"/>
      <c r="O8116" s="14"/>
      <c r="P8116" s="17">
        <v>1</v>
      </c>
      <c r="Q8116" s="19">
        <v>5933</v>
      </c>
      <c r="R8116" s="14">
        <v>160</v>
      </c>
      <c r="S8116" s="19">
        <v>949280</v>
      </c>
      <c r="T8116" s="17"/>
      <c r="U8116" s="17"/>
      <c r="V8116" s="17"/>
      <c r="W8116" s="4"/>
      <c r="X8116" s="17"/>
      <c r="Y8116" s="4"/>
      <c r="Z8116" s="17"/>
      <c r="AA8116" s="17"/>
      <c r="AB8116" s="17"/>
      <c r="AC8116" s="14"/>
      <c r="AD8116" s="14"/>
      <c r="AE8116" s="17"/>
      <c r="AF8116" s="14"/>
      <c r="AG8116" s="54"/>
      <c r="AH8116" s="11"/>
      <c r="AI8116" s="14"/>
      <c r="AJ8116" s="19">
        <v>0</v>
      </c>
      <c r="AK8116" s="23">
        <v>0</v>
      </c>
      <c r="AL8116" s="11"/>
      <c r="AM8116" s="19">
        <v>0</v>
      </c>
      <c r="AN8116" s="19">
        <v>949280</v>
      </c>
      <c r="AO8116" s="14"/>
      <c r="AP8116" s="14">
        <v>949280</v>
      </c>
      <c r="AQ8116" s="12">
        <v>1E-4</v>
      </c>
      <c r="AS8116" s="26"/>
    </row>
    <row r="8117" spans="1:45" s="19" customFormat="1" x14ac:dyDescent="0.2">
      <c r="A8117" s="122">
        <f t="shared" si="771"/>
        <v>6730</v>
      </c>
      <c r="B8117" s="13">
        <v>46</v>
      </c>
      <c r="C8117" s="17" t="s">
        <v>52</v>
      </c>
      <c r="D8117" s="17">
        <v>5138</v>
      </c>
      <c r="E8117" s="17">
        <v>9</v>
      </c>
      <c r="F8117" s="17">
        <v>2914</v>
      </c>
      <c r="G8117" s="13">
        <v>7</v>
      </c>
      <c r="H8117" s="17">
        <v>22</v>
      </c>
      <c r="I8117" s="17">
        <v>2</v>
      </c>
      <c r="J8117" s="17">
        <v>72</v>
      </c>
      <c r="K8117" s="10">
        <v>9072</v>
      </c>
      <c r="L8117" s="17"/>
      <c r="M8117" s="15"/>
      <c r="N8117" s="18"/>
      <c r="O8117" s="14"/>
      <c r="P8117" s="17">
        <v>1</v>
      </c>
      <c r="Q8117" s="19">
        <v>9072</v>
      </c>
      <c r="R8117" s="14">
        <v>160</v>
      </c>
      <c r="S8117" s="19">
        <v>1451520</v>
      </c>
      <c r="T8117" s="17"/>
      <c r="U8117" s="17"/>
      <c r="V8117" s="17"/>
      <c r="W8117" s="4"/>
      <c r="X8117" s="17"/>
      <c r="Y8117" s="4"/>
      <c r="Z8117" s="17"/>
      <c r="AA8117" s="17"/>
      <c r="AB8117" s="17"/>
      <c r="AC8117" s="14"/>
      <c r="AD8117" s="14"/>
      <c r="AE8117" s="17"/>
      <c r="AF8117" s="14"/>
      <c r="AG8117" s="54"/>
      <c r="AH8117" s="11"/>
      <c r="AI8117" s="14"/>
      <c r="AJ8117" s="19">
        <v>0</v>
      </c>
      <c r="AK8117" s="23">
        <v>0</v>
      </c>
      <c r="AL8117" s="11"/>
      <c r="AM8117" s="19">
        <v>0</v>
      </c>
      <c r="AN8117" s="19">
        <v>1451520</v>
      </c>
      <c r="AO8117" s="14"/>
      <c r="AP8117" s="14">
        <v>1451520</v>
      </c>
      <c r="AQ8117" s="12">
        <v>1E-4</v>
      </c>
      <c r="AS8117" s="26"/>
    </row>
    <row r="8118" spans="1:45" s="19" customFormat="1" x14ac:dyDescent="0.2">
      <c r="A8118" s="122">
        <f t="shared" si="771"/>
        <v>6731</v>
      </c>
      <c r="B8118" s="13">
        <v>47</v>
      </c>
      <c r="C8118" s="17" t="s">
        <v>52</v>
      </c>
      <c r="D8118" s="17">
        <v>5139</v>
      </c>
      <c r="E8118" s="17">
        <v>10</v>
      </c>
      <c r="F8118" s="17">
        <v>2915</v>
      </c>
      <c r="G8118" s="13">
        <v>7</v>
      </c>
      <c r="H8118" s="17">
        <v>20</v>
      </c>
      <c r="I8118" s="17">
        <v>1</v>
      </c>
      <c r="J8118" s="17">
        <v>79</v>
      </c>
      <c r="K8118" s="10">
        <v>8179</v>
      </c>
      <c r="L8118" s="17"/>
      <c r="M8118" s="15"/>
      <c r="N8118" s="18"/>
      <c r="O8118" s="14"/>
      <c r="P8118" s="17">
        <v>1</v>
      </c>
      <c r="Q8118" s="19">
        <v>8179</v>
      </c>
      <c r="R8118" s="14">
        <v>160</v>
      </c>
      <c r="S8118" s="19">
        <v>1308640</v>
      </c>
      <c r="T8118" s="17"/>
      <c r="U8118" s="17"/>
      <c r="V8118" s="17"/>
      <c r="W8118" s="4"/>
      <c r="X8118" s="17"/>
      <c r="Y8118" s="4"/>
      <c r="Z8118" s="17"/>
      <c r="AA8118" s="17"/>
      <c r="AB8118" s="17"/>
      <c r="AC8118" s="14"/>
      <c r="AD8118" s="14"/>
      <c r="AE8118" s="17"/>
      <c r="AF8118" s="14"/>
      <c r="AG8118" s="54"/>
      <c r="AH8118" s="11"/>
      <c r="AI8118" s="14"/>
      <c r="AJ8118" s="19">
        <v>0</v>
      </c>
      <c r="AK8118" s="23">
        <v>0</v>
      </c>
      <c r="AL8118" s="11"/>
      <c r="AM8118" s="19">
        <v>0</v>
      </c>
      <c r="AN8118" s="19">
        <v>1308640</v>
      </c>
      <c r="AO8118" s="14"/>
      <c r="AP8118" s="14">
        <v>1308640</v>
      </c>
      <c r="AQ8118" s="12">
        <v>1E-4</v>
      </c>
      <c r="AS8118" s="26"/>
    </row>
    <row r="8119" spans="1:45" s="19" customFormat="1" x14ac:dyDescent="0.2">
      <c r="A8119" s="122">
        <f t="shared" si="771"/>
        <v>6732</v>
      </c>
      <c r="B8119" s="13">
        <v>48</v>
      </c>
      <c r="C8119" s="17" t="s">
        <v>52</v>
      </c>
      <c r="D8119" s="17">
        <v>5141</v>
      </c>
      <c r="E8119" s="17">
        <v>12</v>
      </c>
      <c r="F8119" s="17">
        <v>2917</v>
      </c>
      <c r="G8119" s="13">
        <v>7</v>
      </c>
      <c r="H8119" s="17">
        <v>39</v>
      </c>
      <c r="I8119" s="17">
        <v>3</v>
      </c>
      <c r="J8119" s="17">
        <v>67</v>
      </c>
      <c r="K8119" s="10">
        <v>15967</v>
      </c>
      <c r="L8119" s="17"/>
      <c r="M8119" s="15"/>
      <c r="N8119" s="18"/>
      <c r="O8119" s="14"/>
      <c r="P8119" s="17">
        <v>1</v>
      </c>
      <c r="Q8119" s="19">
        <v>15967</v>
      </c>
      <c r="R8119" s="14">
        <v>160</v>
      </c>
      <c r="S8119" s="19">
        <v>2554720</v>
      </c>
      <c r="T8119" s="17"/>
      <c r="U8119" s="17"/>
      <c r="V8119" s="17"/>
      <c r="W8119" s="4"/>
      <c r="X8119" s="17"/>
      <c r="Y8119" s="4"/>
      <c r="Z8119" s="17"/>
      <c r="AA8119" s="17"/>
      <c r="AB8119" s="17"/>
      <c r="AC8119" s="14"/>
      <c r="AD8119" s="14"/>
      <c r="AE8119" s="17"/>
      <c r="AF8119" s="14"/>
      <c r="AG8119" s="54"/>
      <c r="AH8119" s="11"/>
      <c r="AI8119" s="14"/>
      <c r="AJ8119" s="19">
        <v>0</v>
      </c>
      <c r="AK8119" s="23">
        <v>0</v>
      </c>
      <c r="AL8119" s="11"/>
      <c r="AM8119" s="19">
        <v>0</v>
      </c>
      <c r="AN8119" s="19">
        <v>2554720</v>
      </c>
      <c r="AO8119" s="14"/>
      <c r="AP8119" s="14">
        <v>2554720</v>
      </c>
      <c r="AQ8119" s="12">
        <v>1E-4</v>
      </c>
      <c r="AS8119" s="26"/>
    </row>
    <row r="8120" spans="1:45" s="19" customFormat="1" x14ac:dyDescent="0.2">
      <c r="A8120" s="122">
        <f t="shared" si="771"/>
        <v>6733</v>
      </c>
      <c r="B8120" s="13">
        <v>49</v>
      </c>
      <c r="C8120" s="17" t="s">
        <v>52</v>
      </c>
      <c r="D8120" s="17">
        <v>5142</v>
      </c>
      <c r="E8120" s="17">
        <v>13</v>
      </c>
      <c r="F8120" s="17">
        <v>2918</v>
      </c>
      <c r="G8120" s="13">
        <v>7</v>
      </c>
      <c r="H8120" s="17">
        <v>18</v>
      </c>
      <c r="I8120" s="17">
        <v>1</v>
      </c>
      <c r="J8120" s="17">
        <v>86</v>
      </c>
      <c r="K8120" s="10">
        <v>7386</v>
      </c>
      <c r="L8120" s="17"/>
      <c r="M8120" s="15"/>
      <c r="N8120" s="18"/>
      <c r="O8120" s="14"/>
      <c r="P8120" s="17">
        <v>1</v>
      </c>
      <c r="Q8120" s="19">
        <v>7386</v>
      </c>
      <c r="R8120" s="14">
        <v>160</v>
      </c>
      <c r="S8120" s="19">
        <v>1181760</v>
      </c>
      <c r="T8120" s="17"/>
      <c r="U8120" s="17"/>
      <c r="V8120" s="17"/>
      <c r="W8120" s="4"/>
      <c r="X8120" s="17"/>
      <c r="Y8120" s="4"/>
      <c r="Z8120" s="17"/>
      <c r="AA8120" s="17"/>
      <c r="AB8120" s="17"/>
      <c r="AC8120" s="14"/>
      <c r="AD8120" s="14"/>
      <c r="AE8120" s="17"/>
      <c r="AF8120" s="14"/>
      <c r="AG8120" s="54"/>
      <c r="AH8120" s="11"/>
      <c r="AI8120" s="14"/>
      <c r="AJ8120" s="19">
        <v>0</v>
      </c>
      <c r="AK8120" s="23">
        <v>0</v>
      </c>
      <c r="AL8120" s="11"/>
      <c r="AM8120" s="19">
        <v>0</v>
      </c>
      <c r="AN8120" s="19">
        <v>1181760</v>
      </c>
      <c r="AO8120" s="14"/>
      <c r="AP8120" s="14">
        <v>1181760</v>
      </c>
      <c r="AQ8120" s="12">
        <v>1E-4</v>
      </c>
      <c r="AS8120" s="26"/>
    </row>
    <row r="8121" spans="1:45" s="19" customFormat="1" x14ac:dyDescent="0.2">
      <c r="A8121" s="122">
        <f t="shared" si="771"/>
        <v>6734</v>
      </c>
      <c r="B8121" s="13">
        <v>50</v>
      </c>
      <c r="C8121" s="17" t="s">
        <v>52</v>
      </c>
      <c r="D8121" s="17">
        <v>5144</v>
      </c>
      <c r="E8121" s="17">
        <v>105</v>
      </c>
      <c r="F8121" s="17">
        <v>2920</v>
      </c>
      <c r="G8121" s="13">
        <v>7</v>
      </c>
      <c r="H8121" s="17">
        <v>0</v>
      </c>
      <c r="I8121" s="17">
        <v>2</v>
      </c>
      <c r="J8121" s="17">
        <v>52</v>
      </c>
      <c r="K8121" s="10">
        <v>252</v>
      </c>
      <c r="L8121" s="17"/>
      <c r="M8121" s="15"/>
      <c r="N8121" s="18"/>
      <c r="O8121" s="14"/>
      <c r="P8121" s="17">
        <v>1</v>
      </c>
      <c r="Q8121" s="19">
        <v>252</v>
      </c>
      <c r="R8121" s="14">
        <v>160</v>
      </c>
      <c r="S8121" s="19">
        <v>40320</v>
      </c>
      <c r="T8121" s="17"/>
      <c r="U8121" s="17"/>
      <c r="V8121" s="17"/>
      <c r="W8121" s="4"/>
      <c r="X8121" s="17"/>
      <c r="Y8121" s="4"/>
      <c r="Z8121" s="17"/>
      <c r="AA8121" s="17"/>
      <c r="AB8121" s="17"/>
      <c r="AC8121" s="14"/>
      <c r="AD8121" s="14"/>
      <c r="AE8121" s="17"/>
      <c r="AF8121" s="14"/>
      <c r="AG8121" s="54"/>
      <c r="AH8121" s="11"/>
      <c r="AI8121" s="14"/>
      <c r="AJ8121" s="19">
        <v>0</v>
      </c>
      <c r="AK8121" s="23">
        <v>0</v>
      </c>
      <c r="AL8121" s="11"/>
      <c r="AM8121" s="19">
        <v>0</v>
      </c>
      <c r="AN8121" s="19">
        <v>40320</v>
      </c>
      <c r="AO8121" s="14"/>
      <c r="AP8121" s="14">
        <v>40320</v>
      </c>
      <c r="AQ8121" s="12">
        <v>1E-4</v>
      </c>
      <c r="AS8121" s="26"/>
    </row>
    <row r="8122" spans="1:45" s="19" customFormat="1" x14ac:dyDescent="0.2">
      <c r="A8122" s="122">
        <f t="shared" si="771"/>
        <v>6735</v>
      </c>
      <c r="B8122" s="13">
        <v>51</v>
      </c>
      <c r="C8122" s="17" t="s">
        <v>52</v>
      </c>
      <c r="D8122" s="17">
        <v>5146</v>
      </c>
      <c r="E8122" s="17">
        <v>107</v>
      </c>
      <c r="F8122" s="17">
        <v>2922</v>
      </c>
      <c r="G8122" s="13">
        <v>7</v>
      </c>
      <c r="H8122" s="17">
        <v>4</v>
      </c>
      <c r="I8122" s="17">
        <v>1</v>
      </c>
      <c r="J8122" s="17">
        <v>25</v>
      </c>
      <c r="K8122" s="10">
        <v>1725</v>
      </c>
      <c r="L8122" s="17"/>
      <c r="M8122" s="15"/>
      <c r="N8122" s="18"/>
      <c r="O8122" s="14"/>
      <c r="P8122" s="17">
        <v>1</v>
      </c>
      <c r="Q8122" s="19">
        <v>1725</v>
      </c>
      <c r="R8122" s="14">
        <v>160</v>
      </c>
      <c r="S8122" s="19">
        <v>276000</v>
      </c>
      <c r="T8122" s="17"/>
      <c r="U8122" s="17"/>
      <c r="V8122" s="17"/>
      <c r="W8122" s="4"/>
      <c r="X8122" s="17"/>
      <c r="Y8122" s="4"/>
      <c r="Z8122" s="17"/>
      <c r="AA8122" s="17"/>
      <c r="AB8122" s="17"/>
      <c r="AC8122" s="14"/>
      <c r="AD8122" s="14"/>
      <c r="AE8122" s="17"/>
      <c r="AF8122" s="14"/>
      <c r="AG8122" s="54"/>
      <c r="AH8122" s="11"/>
      <c r="AI8122" s="14"/>
      <c r="AJ8122" s="19">
        <v>0</v>
      </c>
      <c r="AK8122" s="23">
        <v>0</v>
      </c>
      <c r="AL8122" s="11"/>
      <c r="AM8122" s="19">
        <v>0</v>
      </c>
      <c r="AN8122" s="19">
        <v>276000</v>
      </c>
      <c r="AO8122" s="14"/>
      <c r="AP8122" s="14">
        <v>276000</v>
      </c>
      <c r="AQ8122" s="12">
        <v>1E-4</v>
      </c>
      <c r="AS8122" s="26"/>
    </row>
    <row r="8123" spans="1:45" s="19" customFormat="1" x14ac:dyDescent="0.2">
      <c r="A8123" s="122">
        <f t="shared" si="771"/>
        <v>6736</v>
      </c>
      <c r="B8123" s="13">
        <v>52</v>
      </c>
      <c r="C8123" s="17" t="s">
        <v>52</v>
      </c>
      <c r="D8123" s="17">
        <v>5147</v>
      </c>
      <c r="E8123" s="17">
        <v>108</v>
      </c>
      <c r="F8123" s="17">
        <v>2923</v>
      </c>
      <c r="G8123" s="13">
        <v>7</v>
      </c>
      <c r="H8123" s="17">
        <v>13</v>
      </c>
      <c r="I8123" s="17">
        <v>1</v>
      </c>
      <c r="J8123" s="17">
        <v>7</v>
      </c>
      <c r="K8123" s="10">
        <v>5307</v>
      </c>
      <c r="L8123" s="17"/>
      <c r="M8123" s="15"/>
      <c r="N8123" s="18"/>
      <c r="O8123" s="14"/>
      <c r="P8123" s="17">
        <v>1</v>
      </c>
      <c r="Q8123" s="19">
        <v>5307</v>
      </c>
      <c r="R8123" s="14">
        <v>160</v>
      </c>
      <c r="S8123" s="19">
        <v>849120</v>
      </c>
      <c r="T8123" s="17"/>
      <c r="U8123" s="17"/>
      <c r="V8123" s="17"/>
      <c r="W8123" s="4"/>
      <c r="X8123" s="17"/>
      <c r="Y8123" s="4"/>
      <c r="Z8123" s="17"/>
      <c r="AA8123" s="17"/>
      <c r="AB8123" s="17"/>
      <c r="AC8123" s="14"/>
      <c r="AD8123" s="14"/>
      <c r="AE8123" s="17"/>
      <c r="AF8123" s="14"/>
      <c r="AG8123" s="54"/>
      <c r="AH8123" s="11"/>
      <c r="AI8123" s="14"/>
      <c r="AJ8123" s="19">
        <v>0</v>
      </c>
      <c r="AK8123" s="23">
        <v>0</v>
      </c>
      <c r="AL8123" s="11"/>
      <c r="AM8123" s="19">
        <v>0</v>
      </c>
      <c r="AN8123" s="19">
        <v>849120</v>
      </c>
      <c r="AO8123" s="14"/>
      <c r="AP8123" s="14">
        <v>849120</v>
      </c>
      <c r="AQ8123" s="12">
        <v>1E-4</v>
      </c>
      <c r="AS8123" s="26"/>
    </row>
    <row r="8124" spans="1:45" s="19" customFormat="1" x14ac:dyDescent="0.2">
      <c r="A8124" s="122">
        <f t="shared" si="771"/>
        <v>6737</v>
      </c>
      <c r="B8124" s="13">
        <v>53</v>
      </c>
      <c r="C8124" s="17" t="s">
        <v>52</v>
      </c>
      <c r="D8124" s="17">
        <v>5148</v>
      </c>
      <c r="E8124" s="17">
        <v>109</v>
      </c>
      <c r="F8124" s="17">
        <v>2924</v>
      </c>
      <c r="G8124" s="13">
        <v>7</v>
      </c>
      <c r="H8124" s="17">
        <v>10</v>
      </c>
      <c r="I8124" s="17">
        <v>0</v>
      </c>
      <c r="J8124" s="17">
        <v>85</v>
      </c>
      <c r="K8124" s="10">
        <v>4085</v>
      </c>
      <c r="L8124" s="17"/>
      <c r="M8124" s="15"/>
      <c r="N8124" s="18"/>
      <c r="O8124" s="14"/>
      <c r="P8124" s="17">
        <v>1</v>
      </c>
      <c r="Q8124" s="19">
        <v>4085</v>
      </c>
      <c r="R8124" s="14">
        <v>160</v>
      </c>
      <c r="S8124" s="19">
        <v>653600</v>
      </c>
      <c r="T8124" s="17"/>
      <c r="U8124" s="17"/>
      <c r="V8124" s="17"/>
      <c r="W8124" s="4"/>
      <c r="X8124" s="17"/>
      <c r="Y8124" s="4"/>
      <c r="Z8124" s="17"/>
      <c r="AA8124" s="17"/>
      <c r="AB8124" s="17"/>
      <c r="AC8124" s="14"/>
      <c r="AD8124" s="14"/>
      <c r="AE8124" s="17"/>
      <c r="AF8124" s="14"/>
      <c r="AG8124" s="54"/>
      <c r="AH8124" s="11"/>
      <c r="AI8124" s="14"/>
      <c r="AJ8124" s="19">
        <v>0</v>
      </c>
      <c r="AK8124" s="23">
        <v>0</v>
      </c>
      <c r="AL8124" s="11"/>
      <c r="AM8124" s="19">
        <v>0</v>
      </c>
      <c r="AN8124" s="19">
        <v>653600</v>
      </c>
      <c r="AO8124" s="14"/>
      <c r="AP8124" s="14">
        <v>653600</v>
      </c>
      <c r="AQ8124" s="12">
        <v>1E-4</v>
      </c>
      <c r="AS8124" s="26"/>
    </row>
    <row r="8125" spans="1:45" s="19" customFormat="1" x14ac:dyDescent="0.2">
      <c r="A8125" s="122">
        <f t="shared" si="771"/>
        <v>6738</v>
      </c>
      <c r="B8125" s="13">
        <v>54</v>
      </c>
      <c r="C8125" s="17" t="s">
        <v>52</v>
      </c>
      <c r="D8125" s="17">
        <v>5149</v>
      </c>
      <c r="E8125" s="17">
        <v>110</v>
      </c>
      <c r="F8125" s="17">
        <v>2925</v>
      </c>
      <c r="G8125" s="13">
        <v>7</v>
      </c>
      <c r="H8125" s="17">
        <v>12</v>
      </c>
      <c r="I8125" s="17">
        <v>1</v>
      </c>
      <c r="J8125" s="17">
        <v>99</v>
      </c>
      <c r="K8125" s="10">
        <v>4999</v>
      </c>
      <c r="L8125" s="17"/>
      <c r="M8125" s="15"/>
      <c r="N8125" s="18"/>
      <c r="O8125" s="14"/>
      <c r="P8125" s="17">
        <v>1</v>
      </c>
      <c r="Q8125" s="19">
        <v>4999</v>
      </c>
      <c r="R8125" s="14">
        <v>160</v>
      </c>
      <c r="S8125" s="19">
        <v>799840</v>
      </c>
      <c r="T8125" s="17"/>
      <c r="U8125" s="17"/>
      <c r="V8125" s="17"/>
      <c r="W8125" s="4"/>
      <c r="X8125" s="17"/>
      <c r="Y8125" s="4"/>
      <c r="Z8125" s="17"/>
      <c r="AA8125" s="17"/>
      <c r="AB8125" s="17"/>
      <c r="AC8125" s="14"/>
      <c r="AD8125" s="14"/>
      <c r="AE8125" s="17"/>
      <c r="AF8125" s="14"/>
      <c r="AG8125" s="54"/>
      <c r="AH8125" s="11"/>
      <c r="AI8125" s="14"/>
      <c r="AJ8125" s="19">
        <v>0</v>
      </c>
      <c r="AK8125" s="23">
        <v>0</v>
      </c>
      <c r="AL8125" s="11"/>
      <c r="AM8125" s="19">
        <v>0</v>
      </c>
      <c r="AN8125" s="19">
        <v>799840</v>
      </c>
      <c r="AO8125" s="14"/>
      <c r="AP8125" s="14">
        <v>799840</v>
      </c>
      <c r="AQ8125" s="12">
        <v>1E-4</v>
      </c>
      <c r="AS8125" s="26"/>
    </row>
    <row r="8126" spans="1:45" s="19" customFormat="1" x14ac:dyDescent="0.2">
      <c r="A8126" s="122">
        <f t="shared" si="771"/>
        <v>6739</v>
      </c>
      <c r="B8126" s="13">
        <v>55</v>
      </c>
      <c r="C8126" s="17" t="s">
        <v>52</v>
      </c>
      <c r="D8126" s="17">
        <v>5150</v>
      </c>
      <c r="E8126" s="17">
        <v>111</v>
      </c>
      <c r="F8126" s="17">
        <v>2926</v>
      </c>
      <c r="G8126" s="13">
        <v>7</v>
      </c>
      <c r="H8126" s="17">
        <v>32</v>
      </c>
      <c r="I8126" s="17">
        <v>1</v>
      </c>
      <c r="J8126" s="17">
        <v>8</v>
      </c>
      <c r="K8126" s="10">
        <v>12908</v>
      </c>
      <c r="L8126" s="17"/>
      <c r="M8126" s="15"/>
      <c r="N8126" s="18"/>
      <c r="O8126" s="14"/>
      <c r="P8126" s="17">
        <v>1</v>
      </c>
      <c r="Q8126" s="19">
        <v>12908</v>
      </c>
      <c r="R8126" s="14">
        <v>160</v>
      </c>
      <c r="S8126" s="19">
        <v>2065280</v>
      </c>
      <c r="T8126" s="17"/>
      <c r="U8126" s="17"/>
      <c r="V8126" s="17"/>
      <c r="W8126" s="4"/>
      <c r="X8126" s="17"/>
      <c r="Y8126" s="4"/>
      <c r="Z8126" s="17"/>
      <c r="AA8126" s="17"/>
      <c r="AB8126" s="17"/>
      <c r="AC8126" s="14"/>
      <c r="AD8126" s="14"/>
      <c r="AE8126" s="17"/>
      <c r="AF8126" s="14"/>
      <c r="AG8126" s="54"/>
      <c r="AH8126" s="11"/>
      <c r="AI8126" s="14"/>
      <c r="AJ8126" s="19">
        <v>0</v>
      </c>
      <c r="AK8126" s="23">
        <v>0</v>
      </c>
      <c r="AL8126" s="11"/>
      <c r="AM8126" s="19">
        <v>0</v>
      </c>
      <c r="AN8126" s="19">
        <v>2065280</v>
      </c>
      <c r="AO8126" s="14"/>
      <c r="AP8126" s="14">
        <v>2065280</v>
      </c>
      <c r="AQ8126" s="12">
        <v>1E-4</v>
      </c>
      <c r="AS8126" s="26"/>
    </row>
    <row r="8127" spans="1:45" s="19" customFormat="1" x14ac:dyDescent="0.2">
      <c r="A8127" s="122">
        <f t="shared" si="771"/>
        <v>6740</v>
      </c>
      <c r="B8127" s="13">
        <v>56</v>
      </c>
      <c r="C8127" s="17" t="s">
        <v>52</v>
      </c>
      <c r="D8127" s="17">
        <v>5826</v>
      </c>
      <c r="E8127" s="17">
        <v>41</v>
      </c>
      <c r="F8127" s="17">
        <v>2396</v>
      </c>
      <c r="G8127" s="13">
        <v>7</v>
      </c>
      <c r="H8127" s="17">
        <v>20</v>
      </c>
      <c r="I8127" s="17">
        <v>0</v>
      </c>
      <c r="J8127" s="17">
        <v>82</v>
      </c>
      <c r="K8127" s="10">
        <v>8082</v>
      </c>
      <c r="L8127" s="17"/>
      <c r="M8127" s="15"/>
      <c r="N8127" s="18"/>
      <c r="O8127" s="14"/>
      <c r="P8127" s="17">
        <v>1</v>
      </c>
      <c r="Q8127" s="19">
        <v>8082</v>
      </c>
      <c r="R8127" s="14">
        <v>160</v>
      </c>
      <c r="S8127" s="19">
        <v>1293120</v>
      </c>
      <c r="T8127" s="17"/>
      <c r="U8127" s="17"/>
      <c r="V8127" s="17"/>
      <c r="W8127" s="4"/>
      <c r="X8127" s="17"/>
      <c r="Y8127" s="4"/>
      <c r="Z8127" s="17"/>
      <c r="AA8127" s="17"/>
      <c r="AB8127" s="17"/>
      <c r="AC8127" s="14"/>
      <c r="AD8127" s="14"/>
      <c r="AE8127" s="17"/>
      <c r="AF8127" s="14"/>
      <c r="AG8127" s="54"/>
      <c r="AH8127" s="11"/>
      <c r="AI8127" s="14"/>
      <c r="AJ8127" s="19">
        <v>0</v>
      </c>
      <c r="AK8127" s="23">
        <v>0</v>
      </c>
      <c r="AL8127" s="11"/>
      <c r="AM8127" s="19">
        <v>0</v>
      </c>
      <c r="AN8127" s="19">
        <v>1293120</v>
      </c>
      <c r="AO8127" s="14"/>
      <c r="AP8127" s="14">
        <v>1293120</v>
      </c>
      <c r="AQ8127" s="12">
        <v>1E-4</v>
      </c>
      <c r="AS8127" s="26"/>
    </row>
    <row r="8128" spans="1:45" s="19" customFormat="1" x14ac:dyDescent="0.2">
      <c r="A8128" s="122">
        <f t="shared" si="771"/>
        <v>6741</v>
      </c>
      <c r="B8128" s="13">
        <v>57</v>
      </c>
      <c r="C8128" s="17" t="s">
        <v>97</v>
      </c>
      <c r="D8128" s="17">
        <v>29</v>
      </c>
      <c r="E8128" s="17"/>
      <c r="F8128" s="17"/>
      <c r="G8128" s="13">
        <v>6</v>
      </c>
      <c r="H8128" s="17">
        <v>15</v>
      </c>
      <c r="I8128" s="17">
        <v>0</v>
      </c>
      <c r="J8128" s="17">
        <v>0</v>
      </c>
      <c r="K8128" s="10">
        <v>6000</v>
      </c>
      <c r="L8128" s="17"/>
      <c r="M8128" s="15"/>
      <c r="N8128" s="18"/>
      <c r="O8128" s="14"/>
      <c r="P8128" s="17">
        <v>1</v>
      </c>
      <c r="Q8128" s="19">
        <v>6000</v>
      </c>
      <c r="R8128" s="14">
        <v>160</v>
      </c>
      <c r="S8128" s="19">
        <v>960000</v>
      </c>
      <c r="T8128" s="17"/>
      <c r="U8128" s="17"/>
      <c r="V8128" s="17"/>
      <c r="W8128" s="4"/>
      <c r="X8128" s="17"/>
      <c r="Y8128" s="4"/>
      <c r="Z8128" s="17"/>
      <c r="AA8128" s="17"/>
      <c r="AB8128" s="17"/>
      <c r="AC8128" s="14"/>
      <c r="AD8128" s="14"/>
      <c r="AE8128" s="17"/>
      <c r="AF8128" s="14"/>
      <c r="AG8128" s="54"/>
      <c r="AH8128" s="11"/>
      <c r="AI8128" s="14"/>
      <c r="AJ8128" s="19">
        <v>0</v>
      </c>
      <c r="AK8128" s="23">
        <v>0</v>
      </c>
      <c r="AL8128" s="11"/>
      <c r="AM8128" s="19">
        <v>0</v>
      </c>
      <c r="AN8128" s="19">
        <v>960000</v>
      </c>
      <c r="AO8128" s="14"/>
      <c r="AP8128" s="14">
        <v>960000</v>
      </c>
      <c r="AQ8128" s="12">
        <v>1E-4</v>
      </c>
      <c r="AS8128" s="26"/>
    </row>
    <row r="8129" spans="1:44" s="26" customFormat="1" x14ac:dyDescent="0.2">
      <c r="A8129" s="122">
        <f t="shared" si="771"/>
        <v>6742</v>
      </c>
      <c r="B8129" s="13">
        <v>58</v>
      </c>
      <c r="C8129" s="17" t="s">
        <v>65</v>
      </c>
      <c r="D8129" s="17">
        <v>1545</v>
      </c>
      <c r="E8129" s="17">
        <v>13</v>
      </c>
      <c r="F8129" s="17"/>
      <c r="G8129" s="13"/>
      <c r="H8129" s="17">
        <v>19</v>
      </c>
      <c r="I8129" s="17">
        <v>0</v>
      </c>
      <c r="J8129" s="17">
        <v>60</v>
      </c>
      <c r="K8129" s="10">
        <v>7660</v>
      </c>
      <c r="L8129" s="17"/>
      <c r="M8129" s="15"/>
      <c r="N8129" s="18"/>
      <c r="O8129" s="14"/>
      <c r="P8129" s="17">
        <v>1</v>
      </c>
      <c r="Q8129" s="19">
        <v>7660</v>
      </c>
      <c r="R8129" s="14">
        <v>375</v>
      </c>
      <c r="S8129" s="19">
        <v>2872500</v>
      </c>
      <c r="T8129" s="17"/>
      <c r="U8129" s="17"/>
      <c r="V8129" s="17"/>
      <c r="W8129" s="4"/>
      <c r="X8129" s="17"/>
      <c r="Y8129" s="4"/>
      <c r="Z8129" s="17"/>
      <c r="AA8129" s="17"/>
      <c r="AB8129" s="17"/>
      <c r="AC8129" s="14"/>
      <c r="AD8129" s="14"/>
      <c r="AE8129" s="17"/>
      <c r="AF8129" s="14"/>
      <c r="AG8129" s="54"/>
      <c r="AH8129" s="11"/>
      <c r="AI8129" s="14"/>
      <c r="AJ8129" s="19">
        <v>0</v>
      </c>
      <c r="AK8129" s="23">
        <v>0</v>
      </c>
      <c r="AL8129" s="11"/>
      <c r="AM8129" s="19">
        <v>0</v>
      </c>
      <c r="AN8129" s="19">
        <v>2872500</v>
      </c>
      <c r="AO8129" s="14"/>
      <c r="AP8129" s="14">
        <v>2872500</v>
      </c>
      <c r="AQ8129" s="12">
        <v>1E-4</v>
      </c>
      <c r="AR8129" s="19"/>
    </row>
    <row r="8130" spans="1:44" s="26" customFormat="1" x14ac:dyDescent="0.2">
      <c r="A8130" s="122">
        <f t="shared" si="771"/>
        <v>6743</v>
      </c>
      <c r="B8130" s="13">
        <v>59</v>
      </c>
      <c r="C8130" s="17" t="s">
        <v>65</v>
      </c>
      <c r="D8130" s="17">
        <v>2112</v>
      </c>
      <c r="E8130" s="17">
        <v>4</v>
      </c>
      <c r="F8130" s="17"/>
      <c r="G8130" s="13"/>
      <c r="H8130" s="17">
        <v>25</v>
      </c>
      <c r="I8130" s="17">
        <v>2</v>
      </c>
      <c r="J8130" s="17">
        <v>13</v>
      </c>
      <c r="K8130" s="10">
        <v>10213</v>
      </c>
      <c r="L8130" s="17"/>
      <c r="M8130" s="15"/>
      <c r="N8130" s="18"/>
      <c r="O8130" s="14"/>
      <c r="P8130" s="17">
        <v>1</v>
      </c>
      <c r="Q8130" s="19">
        <v>10213</v>
      </c>
      <c r="R8130" s="14">
        <v>160</v>
      </c>
      <c r="S8130" s="19">
        <v>1634080</v>
      </c>
      <c r="T8130" s="17"/>
      <c r="U8130" s="17"/>
      <c r="V8130" s="17"/>
      <c r="W8130" s="4"/>
      <c r="X8130" s="17"/>
      <c r="Y8130" s="4"/>
      <c r="Z8130" s="17"/>
      <c r="AA8130" s="17"/>
      <c r="AB8130" s="17"/>
      <c r="AC8130" s="14"/>
      <c r="AD8130" s="14"/>
      <c r="AE8130" s="17"/>
      <c r="AF8130" s="14"/>
      <c r="AG8130" s="54"/>
      <c r="AH8130" s="11"/>
      <c r="AI8130" s="14"/>
      <c r="AJ8130" s="19">
        <v>0</v>
      </c>
      <c r="AK8130" s="23">
        <v>0</v>
      </c>
      <c r="AL8130" s="11"/>
      <c r="AM8130" s="19">
        <v>0</v>
      </c>
      <c r="AN8130" s="19">
        <v>1634080</v>
      </c>
      <c r="AO8130" s="14"/>
      <c r="AP8130" s="14">
        <v>1634080</v>
      </c>
      <c r="AQ8130" s="12">
        <v>1E-4</v>
      </c>
      <c r="AR8130" s="19"/>
    </row>
    <row r="8131" spans="1:44" s="26" customFormat="1" x14ac:dyDescent="0.2">
      <c r="A8131" s="122">
        <f t="shared" si="771"/>
        <v>6744</v>
      </c>
      <c r="B8131" s="13">
        <v>60</v>
      </c>
      <c r="C8131" s="17" t="s">
        <v>65</v>
      </c>
      <c r="D8131" s="17">
        <v>2358</v>
      </c>
      <c r="E8131" s="17">
        <v>1</v>
      </c>
      <c r="F8131" s="17"/>
      <c r="G8131" s="13"/>
      <c r="H8131" s="17">
        <v>45</v>
      </c>
      <c r="I8131" s="17">
        <v>2</v>
      </c>
      <c r="J8131" s="17">
        <v>30</v>
      </c>
      <c r="K8131" s="10">
        <v>18230</v>
      </c>
      <c r="L8131" s="17"/>
      <c r="M8131" s="15"/>
      <c r="N8131" s="18"/>
      <c r="O8131" s="14"/>
      <c r="P8131" s="17">
        <v>1</v>
      </c>
      <c r="Q8131" s="19">
        <v>18230</v>
      </c>
      <c r="R8131" s="14">
        <v>200</v>
      </c>
      <c r="S8131" s="19">
        <v>3646000</v>
      </c>
      <c r="T8131" s="17"/>
      <c r="U8131" s="17"/>
      <c r="V8131" s="17"/>
      <c r="W8131" s="4"/>
      <c r="X8131" s="17"/>
      <c r="Y8131" s="4"/>
      <c r="Z8131" s="17"/>
      <c r="AA8131" s="17"/>
      <c r="AB8131" s="17"/>
      <c r="AC8131" s="14"/>
      <c r="AD8131" s="14"/>
      <c r="AE8131" s="17"/>
      <c r="AF8131" s="14"/>
      <c r="AG8131" s="54"/>
      <c r="AH8131" s="11"/>
      <c r="AI8131" s="14"/>
      <c r="AJ8131" s="19">
        <v>0</v>
      </c>
      <c r="AK8131" s="23">
        <v>0</v>
      </c>
      <c r="AL8131" s="11"/>
      <c r="AM8131" s="19">
        <v>0</v>
      </c>
      <c r="AN8131" s="19">
        <v>3646000</v>
      </c>
      <c r="AO8131" s="14"/>
      <c r="AP8131" s="14">
        <v>3646000</v>
      </c>
      <c r="AQ8131" s="12">
        <v>1E-4</v>
      </c>
      <c r="AR8131" s="19"/>
    </row>
    <row r="8132" spans="1:44" s="26" customFormat="1" ht="84" x14ac:dyDescent="0.2">
      <c r="A8132" s="122">
        <f t="shared" si="771"/>
        <v>6745</v>
      </c>
      <c r="B8132" s="13">
        <v>61</v>
      </c>
      <c r="C8132" s="17" t="s">
        <v>65</v>
      </c>
      <c r="D8132" s="17">
        <v>2582</v>
      </c>
      <c r="E8132" s="17">
        <v>2</v>
      </c>
      <c r="F8132" s="17"/>
      <c r="G8132" s="13"/>
      <c r="H8132" s="17">
        <v>22</v>
      </c>
      <c r="I8132" s="17">
        <v>3</v>
      </c>
      <c r="J8132" s="17">
        <v>20</v>
      </c>
      <c r="K8132" s="10">
        <v>9120</v>
      </c>
      <c r="L8132" s="17"/>
      <c r="M8132" s="15"/>
      <c r="N8132" s="18"/>
      <c r="O8132" s="14"/>
      <c r="P8132" s="17">
        <v>1</v>
      </c>
      <c r="Q8132" s="19">
        <v>9120</v>
      </c>
      <c r="R8132" s="14">
        <v>200</v>
      </c>
      <c r="S8132" s="19">
        <v>1824000</v>
      </c>
      <c r="T8132" s="17"/>
      <c r="U8132" s="17"/>
      <c r="V8132" s="17"/>
      <c r="W8132" s="4"/>
      <c r="X8132" s="17"/>
      <c r="Y8132" s="4"/>
      <c r="Z8132" s="17"/>
      <c r="AA8132" s="17"/>
      <c r="AB8132" s="17"/>
      <c r="AC8132" s="14"/>
      <c r="AD8132" s="14"/>
      <c r="AE8132" s="17"/>
      <c r="AF8132" s="14"/>
      <c r="AG8132" s="54"/>
      <c r="AH8132" s="11"/>
      <c r="AI8132" s="14"/>
      <c r="AJ8132" s="19">
        <v>0</v>
      </c>
      <c r="AK8132" s="23">
        <v>0</v>
      </c>
      <c r="AL8132" s="11"/>
      <c r="AM8132" s="19">
        <v>0</v>
      </c>
      <c r="AN8132" s="19">
        <v>1824000</v>
      </c>
      <c r="AO8132" s="14"/>
      <c r="AP8132" s="14">
        <v>1824000</v>
      </c>
      <c r="AQ8132" s="12">
        <v>1E-4</v>
      </c>
      <c r="AR8132" s="19">
        <v>10420.657499999998</v>
      </c>
    </row>
    <row r="8133" spans="1:44" s="26" customFormat="1" x14ac:dyDescent="0.2">
      <c r="A8133" s="2"/>
      <c r="B8133" s="13"/>
      <c r="C8133" s="17"/>
      <c r="D8133" s="17"/>
      <c r="E8133" s="17"/>
      <c r="F8133" s="17"/>
      <c r="G8133" s="13"/>
      <c r="H8133" s="17"/>
      <c r="I8133" s="17"/>
      <c r="J8133" s="17"/>
      <c r="K8133" s="10"/>
      <c r="L8133" s="17"/>
      <c r="M8133" s="15"/>
      <c r="N8133" s="18"/>
      <c r="O8133" s="14"/>
      <c r="P8133" s="17"/>
      <c r="Q8133" s="19"/>
      <c r="R8133" s="14"/>
      <c r="S8133" s="19"/>
      <c r="T8133" s="17"/>
      <c r="U8133" s="17"/>
      <c r="V8133" s="17"/>
      <c r="W8133" s="4"/>
      <c r="X8133" s="17"/>
      <c r="Y8133" s="4"/>
      <c r="Z8133" s="17"/>
      <c r="AA8133" s="17"/>
      <c r="AB8133" s="17"/>
      <c r="AC8133" s="14"/>
      <c r="AD8133" s="14"/>
      <c r="AE8133" s="17"/>
      <c r="AF8133" s="14"/>
      <c r="AG8133" s="54"/>
      <c r="AH8133" s="11"/>
      <c r="AI8133" s="14"/>
      <c r="AJ8133" s="19"/>
      <c r="AK8133" s="23"/>
      <c r="AL8133" s="11"/>
      <c r="AM8133" s="19"/>
      <c r="AN8133" s="19"/>
      <c r="AO8133" s="14"/>
      <c r="AP8133" s="14">
        <v>104206575</v>
      </c>
      <c r="AQ8133" s="12"/>
      <c r="AR8133" s="19"/>
    </row>
    <row r="8134" spans="1:44" s="26" customFormat="1" x14ac:dyDescent="0.2">
      <c r="A8134" s="2"/>
      <c r="B8134" s="13"/>
      <c r="C8134" s="17"/>
      <c r="D8134" s="17"/>
      <c r="E8134" s="17"/>
      <c r="F8134" s="17"/>
      <c r="G8134" s="13"/>
      <c r="H8134" s="17"/>
      <c r="I8134" s="17"/>
      <c r="J8134" s="17"/>
      <c r="K8134" s="10"/>
      <c r="L8134" s="17"/>
      <c r="M8134" s="15"/>
      <c r="N8134" s="18"/>
      <c r="O8134" s="14"/>
      <c r="P8134" s="17"/>
      <c r="Q8134" s="19"/>
      <c r="R8134" s="14"/>
      <c r="S8134" s="19"/>
      <c r="T8134" s="17"/>
      <c r="U8134" s="17"/>
      <c r="V8134" s="17"/>
      <c r="W8134" s="4"/>
      <c r="X8134" s="17"/>
      <c r="Y8134" s="4"/>
      <c r="Z8134" s="17"/>
      <c r="AA8134" s="17"/>
      <c r="AB8134" s="17"/>
      <c r="AC8134" s="14"/>
      <c r="AD8134" s="14"/>
      <c r="AE8134" s="17"/>
      <c r="AF8134" s="14"/>
      <c r="AG8134" s="54"/>
      <c r="AH8134" s="11"/>
      <c r="AI8134" s="14"/>
      <c r="AJ8134" s="19"/>
      <c r="AK8134" s="23"/>
      <c r="AL8134" s="11"/>
      <c r="AM8134" s="19"/>
      <c r="AN8134" s="19"/>
      <c r="AO8134" s="14" t="s">
        <v>830</v>
      </c>
      <c r="AP8134" s="14">
        <v>75000000</v>
      </c>
      <c r="AQ8134" s="12">
        <v>1E-4</v>
      </c>
      <c r="AR8134" s="19"/>
    </row>
    <row r="8135" spans="1:44" s="26" customFormat="1" ht="42" x14ac:dyDescent="0.2">
      <c r="A8135" s="2"/>
      <c r="B8135" s="13"/>
      <c r="C8135" s="17"/>
      <c r="D8135" s="17"/>
      <c r="E8135" s="17"/>
      <c r="F8135" s="17"/>
      <c r="G8135" s="13"/>
      <c r="H8135" s="17"/>
      <c r="I8135" s="17"/>
      <c r="J8135" s="17"/>
      <c r="K8135" s="10"/>
      <c r="L8135" s="17"/>
      <c r="M8135" s="15"/>
      <c r="N8135" s="18"/>
      <c r="O8135" s="14"/>
      <c r="P8135" s="17"/>
      <c r="Q8135" s="19"/>
      <c r="R8135" s="14"/>
      <c r="S8135" s="19"/>
      <c r="T8135" s="17"/>
      <c r="U8135" s="17"/>
      <c r="V8135" s="17"/>
      <c r="W8135" s="4"/>
      <c r="X8135" s="17"/>
      <c r="Y8135" s="4"/>
      <c r="Z8135" s="17"/>
      <c r="AA8135" s="17"/>
      <c r="AB8135" s="17"/>
      <c r="AC8135" s="14"/>
      <c r="AD8135" s="14"/>
      <c r="AE8135" s="17"/>
      <c r="AF8135" s="14"/>
      <c r="AG8135" s="54"/>
      <c r="AH8135" s="11"/>
      <c r="AI8135" s="14"/>
      <c r="AJ8135" s="19"/>
      <c r="AK8135" s="23"/>
      <c r="AL8135" s="11"/>
      <c r="AM8135" s="19"/>
      <c r="AN8135" s="19">
        <v>24999999</v>
      </c>
      <c r="AO8135" s="14" t="s">
        <v>831</v>
      </c>
      <c r="AP8135" s="14">
        <v>25000000</v>
      </c>
      <c r="AQ8135" s="12">
        <v>2.9999999999999997E-4</v>
      </c>
      <c r="AR8135" s="19"/>
    </row>
    <row r="8136" spans="1:44" s="26" customFormat="1" ht="63" x14ac:dyDescent="0.2">
      <c r="A8136" s="2"/>
      <c r="B8136" s="13"/>
      <c r="C8136" s="17"/>
      <c r="D8136" s="17"/>
      <c r="E8136" s="17"/>
      <c r="F8136" s="17"/>
      <c r="G8136" s="13"/>
      <c r="H8136" s="17"/>
      <c r="I8136" s="17"/>
      <c r="J8136" s="17"/>
      <c r="K8136" s="10"/>
      <c r="L8136" s="17"/>
      <c r="M8136" s="15"/>
      <c r="N8136" s="18"/>
      <c r="O8136" s="14"/>
      <c r="P8136" s="17"/>
      <c r="Q8136" s="19"/>
      <c r="R8136" s="14"/>
      <c r="S8136" s="19"/>
      <c r="T8136" s="17"/>
      <c r="U8136" s="17"/>
      <c r="V8136" s="17"/>
      <c r="W8136" s="4"/>
      <c r="X8136" s="17"/>
      <c r="Y8136" s="4"/>
      <c r="Z8136" s="17"/>
      <c r="AA8136" s="17"/>
      <c r="AB8136" s="17"/>
      <c r="AC8136" s="14"/>
      <c r="AD8136" s="14"/>
      <c r="AE8136" s="17"/>
      <c r="AF8136" s="14"/>
      <c r="AG8136" s="54"/>
      <c r="AH8136" s="11"/>
      <c r="AI8136" s="14"/>
      <c r="AJ8136" s="19"/>
      <c r="AK8136" s="23"/>
      <c r="AL8136" s="11"/>
      <c r="AM8136" s="19"/>
      <c r="AN8136" s="19">
        <v>104206575</v>
      </c>
      <c r="AO8136" s="14" t="s">
        <v>832</v>
      </c>
      <c r="AP8136" s="14">
        <v>4206575</v>
      </c>
      <c r="AQ8136" s="12">
        <v>5.0000000000000001E-4</v>
      </c>
      <c r="AR8136" s="19"/>
    </row>
    <row r="8137" spans="1:44" s="26" customFormat="1" ht="42" x14ac:dyDescent="0.2">
      <c r="A8137" s="2">
        <v>6746</v>
      </c>
      <c r="B8137" s="13">
        <v>1</v>
      </c>
      <c r="C8137" s="17" t="s">
        <v>52</v>
      </c>
      <c r="D8137" s="17">
        <v>5918</v>
      </c>
      <c r="E8137" s="17">
        <v>50</v>
      </c>
      <c r="F8137" s="17">
        <v>3015</v>
      </c>
      <c r="G8137" s="13">
        <v>5</v>
      </c>
      <c r="H8137" s="17">
        <v>3</v>
      </c>
      <c r="I8137" s="17">
        <v>2</v>
      </c>
      <c r="J8137" s="17">
        <v>80</v>
      </c>
      <c r="K8137" s="10">
        <v>1303.6199999999999</v>
      </c>
      <c r="L8137" s="17">
        <v>276.38</v>
      </c>
      <c r="M8137" s="15"/>
      <c r="N8137" s="18"/>
      <c r="O8137" s="14"/>
      <c r="P8137" s="17"/>
      <c r="Q8137" s="19">
        <v>1480</v>
      </c>
      <c r="R8137" s="14">
        <v>200</v>
      </c>
      <c r="S8137" s="19">
        <v>296000</v>
      </c>
      <c r="T8137" s="17">
        <v>1</v>
      </c>
      <c r="U8137" s="17"/>
      <c r="V8137" s="17" t="s">
        <v>183</v>
      </c>
      <c r="W8137" s="4">
        <v>210</v>
      </c>
      <c r="X8137" s="17"/>
      <c r="Y8137" s="4">
        <v>210</v>
      </c>
      <c r="Z8137" s="17"/>
      <c r="AA8137" s="17"/>
      <c r="AB8137" s="17">
        <v>30</v>
      </c>
      <c r="AC8137" s="14"/>
      <c r="AD8137" s="14"/>
      <c r="AE8137" s="17"/>
      <c r="AF8137" s="14"/>
      <c r="AG8137" s="54"/>
      <c r="AH8137" s="11"/>
      <c r="AI8137" s="14"/>
      <c r="AJ8137" s="19">
        <v>0</v>
      </c>
      <c r="AK8137" s="23">
        <v>30</v>
      </c>
      <c r="AL8137" s="11"/>
      <c r="AM8137" s="19">
        <v>0</v>
      </c>
      <c r="AN8137" s="19">
        <v>296000</v>
      </c>
      <c r="AO8137" s="14"/>
      <c r="AP8137" s="14">
        <v>296000</v>
      </c>
      <c r="AQ8137" s="12"/>
      <c r="AR8137" s="19"/>
    </row>
    <row r="8138" spans="1:44" s="26" customFormat="1" ht="42" x14ac:dyDescent="0.2">
      <c r="A8138" s="2"/>
      <c r="B8138" s="13"/>
      <c r="C8138" s="17"/>
      <c r="D8138" s="17"/>
      <c r="E8138" s="17"/>
      <c r="F8138" s="17"/>
      <c r="G8138" s="13"/>
      <c r="H8138" s="17"/>
      <c r="I8138" s="17"/>
      <c r="J8138" s="17"/>
      <c r="K8138" s="10"/>
      <c r="L8138" s="17"/>
      <c r="M8138" s="15"/>
      <c r="N8138" s="18"/>
      <c r="O8138" s="14"/>
      <c r="P8138" s="17"/>
      <c r="Q8138" s="19">
        <v>0</v>
      </c>
      <c r="R8138" s="14" t="e">
        <v>#N/A</v>
      </c>
      <c r="S8138" s="19" t="e">
        <v>#N/A</v>
      </c>
      <c r="T8138" s="17">
        <v>2</v>
      </c>
      <c r="U8138" s="17"/>
      <c r="V8138" s="17" t="s">
        <v>183</v>
      </c>
      <c r="W8138" s="4">
        <v>140</v>
      </c>
      <c r="X8138" s="17"/>
      <c r="Y8138" s="4">
        <v>140</v>
      </c>
      <c r="Z8138" s="17"/>
      <c r="AA8138" s="17"/>
      <c r="AB8138" s="17">
        <v>32</v>
      </c>
      <c r="AC8138" s="14"/>
      <c r="AD8138" s="14"/>
      <c r="AE8138" s="17"/>
      <c r="AF8138" s="14"/>
      <c r="AG8138" s="54"/>
      <c r="AH8138" s="11"/>
      <c r="AI8138" s="14"/>
      <c r="AJ8138" s="19">
        <v>0</v>
      </c>
      <c r="AK8138" s="23">
        <v>32</v>
      </c>
      <c r="AL8138" s="11"/>
      <c r="AM8138" s="19">
        <v>0</v>
      </c>
      <c r="AN8138" s="19" t="e">
        <v>#N/A</v>
      </c>
      <c r="AO8138" s="14"/>
      <c r="AP8138" s="14" t="e">
        <v>#N/A</v>
      </c>
      <c r="AQ8138" s="12"/>
      <c r="AR8138" s="19"/>
    </row>
    <row r="8139" spans="1:44" s="26" customFormat="1" ht="42" x14ac:dyDescent="0.2">
      <c r="A8139" s="2"/>
      <c r="B8139" s="13"/>
      <c r="C8139" s="17"/>
      <c r="D8139" s="17"/>
      <c r="E8139" s="17"/>
      <c r="F8139" s="17"/>
      <c r="G8139" s="13"/>
      <c r="H8139" s="17"/>
      <c r="I8139" s="17"/>
      <c r="J8139" s="17"/>
      <c r="K8139" s="10"/>
      <c r="L8139" s="17"/>
      <c r="M8139" s="15"/>
      <c r="N8139" s="18"/>
      <c r="O8139" s="14"/>
      <c r="P8139" s="17"/>
      <c r="Q8139" s="19">
        <v>0</v>
      </c>
      <c r="R8139" s="14" t="e">
        <v>#N/A</v>
      </c>
      <c r="S8139" s="19" t="e">
        <v>#N/A</v>
      </c>
      <c r="T8139" s="17">
        <v>3</v>
      </c>
      <c r="U8139" s="17"/>
      <c r="V8139" s="17" t="s">
        <v>183</v>
      </c>
      <c r="W8139" s="4">
        <v>94.5</v>
      </c>
      <c r="X8139" s="17"/>
      <c r="Y8139" s="4">
        <v>94.5</v>
      </c>
      <c r="Z8139" s="17"/>
      <c r="AA8139" s="17"/>
      <c r="AB8139" s="17">
        <v>37</v>
      </c>
      <c r="AC8139" s="14"/>
      <c r="AD8139" s="14"/>
      <c r="AE8139" s="17"/>
      <c r="AF8139" s="14"/>
      <c r="AG8139" s="54"/>
      <c r="AH8139" s="11"/>
      <c r="AI8139" s="14"/>
      <c r="AJ8139" s="19">
        <v>0</v>
      </c>
      <c r="AK8139" s="23">
        <v>37</v>
      </c>
      <c r="AL8139" s="11"/>
      <c r="AM8139" s="19">
        <v>0</v>
      </c>
      <c r="AN8139" s="19" t="e">
        <v>#N/A</v>
      </c>
      <c r="AO8139" s="14"/>
      <c r="AP8139" s="14" t="e">
        <v>#N/A</v>
      </c>
      <c r="AQ8139" s="12"/>
      <c r="AR8139" s="19"/>
    </row>
    <row r="8140" spans="1:44" s="26" customFormat="1" ht="42" x14ac:dyDescent="0.2">
      <c r="A8140" s="2"/>
      <c r="B8140" s="13"/>
      <c r="C8140" s="17"/>
      <c r="D8140" s="17"/>
      <c r="E8140" s="17"/>
      <c r="F8140" s="17"/>
      <c r="G8140" s="13"/>
      <c r="H8140" s="17"/>
      <c r="I8140" s="17"/>
      <c r="J8140" s="17"/>
      <c r="K8140" s="10"/>
      <c r="L8140" s="17"/>
      <c r="M8140" s="15"/>
      <c r="N8140" s="18"/>
      <c r="O8140" s="14"/>
      <c r="P8140" s="17"/>
      <c r="Q8140" s="19">
        <v>0</v>
      </c>
      <c r="R8140" s="14" t="e">
        <v>#N/A</v>
      </c>
      <c r="S8140" s="19" t="e">
        <v>#N/A</v>
      </c>
      <c r="T8140" s="17">
        <v>4</v>
      </c>
      <c r="U8140" s="17"/>
      <c r="V8140" s="17" t="s">
        <v>183</v>
      </c>
      <c r="W8140" s="4">
        <v>104</v>
      </c>
      <c r="X8140" s="17"/>
      <c r="Y8140" s="4">
        <v>104</v>
      </c>
      <c r="Z8140" s="17"/>
      <c r="AA8140" s="17"/>
      <c r="AB8140" s="17">
        <v>31</v>
      </c>
      <c r="AC8140" s="14"/>
      <c r="AD8140" s="14"/>
      <c r="AE8140" s="17"/>
      <c r="AF8140" s="14"/>
      <c r="AG8140" s="54"/>
      <c r="AH8140" s="11"/>
      <c r="AI8140" s="14"/>
      <c r="AJ8140" s="19">
        <v>0</v>
      </c>
      <c r="AK8140" s="23">
        <v>31</v>
      </c>
      <c r="AL8140" s="11"/>
      <c r="AM8140" s="19">
        <v>0</v>
      </c>
      <c r="AN8140" s="19" t="e">
        <v>#N/A</v>
      </c>
      <c r="AO8140" s="14"/>
      <c r="AP8140" s="14" t="e">
        <v>#N/A</v>
      </c>
      <c r="AQ8140" s="12"/>
      <c r="AR8140" s="19"/>
    </row>
    <row r="8141" spans="1:44" s="26" customFormat="1" ht="42" x14ac:dyDescent="0.2">
      <c r="A8141" s="2"/>
      <c r="B8141" s="13"/>
      <c r="C8141" s="17"/>
      <c r="D8141" s="17"/>
      <c r="E8141" s="17"/>
      <c r="F8141" s="17"/>
      <c r="G8141" s="13"/>
      <c r="H8141" s="17"/>
      <c r="I8141" s="17"/>
      <c r="J8141" s="17"/>
      <c r="K8141" s="10"/>
      <c r="L8141" s="17"/>
      <c r="M8141" s="15"/>
      <c r="N8141" s="18"/>
      <c r="O8141" s="14"/>
      <c r="P8141" s="17"/>
      <c r="Q8141" s="19">
        <v>0</v>
      </c>
      <c r="R8141" s="14" t="e">
        <v>#N/A</v>
      </c>
      <c r="S8141" s="19" t="e">
        <v>#N/A</v>
      </c>
      <c r="T8141" s="17">
        <v>5</v>
      </c>
      <c r="U8141" s="17"/>
      <c r="V8141" s="17" t="s">
        <v>183</v>
      </c>
      <c r="W8141" s="4">
        <v>247</v>
      </c>
      <c r="X8141" s="17"/>
      <c r="Y8141" s="4">
        <v>247</v>
      </c>
      <c r="Z8141" s="17"/>
      <c r="AA8141" s="17"/>
      <c r="AB8141" s="17">
        <v>26</v>
      </c>
      <c r="AC8141" s="14"/>
      <c r="AD8141" s="14"/>
      <c r="AE8141" s="17"/>
      <c r="AF8141" s="14"/>
      <c r="AG8141" s="54"/>
      <c r="AH8141" s="11"/>
      <c r="AI8141" s="14"/>
      <c r="AJ8141" s="19">
        <v>0</v>
      </c>
      <c r="AK8141" s="23">
        <v>26</v>
      </c>
      <c r="AL8141" s="11"/>
      <c r="AM8141" s="19">
        <v>0</v>
      </c>
      <c r="AN8141" s="19" t="e">
        <v>#N/A</v>
      </c>
      <c r="AO8141" s="14"/>
      <c r="AP8141" s="14" t="e">
        <v>#N/A</v>
      </c>
      <c r="AQ8141" s="12"/>
      <c r="AR8141" s="19"/>
    </row>
    <row r="8142" spans="1:44" s="26" customFormat="1" ht="42" x14ac:dyDescent="0.2">
      <c r="A8142" s="2"/>
      <c r="B8142" s="13"/>
      <c r="C8142" s="17"/>
      <c r="D8142" s="17"/>
      <c r="E8142" s="17"/>
      <c r="F8142" s="17"/>
      <c r="G8142" s="13"/>
      <c r="H8142" s="17"/>
      <c r="I8142" s="17"/>
      <c r="J8142" s="17"/>
      <c r="K8142" s="10"/>
      <c r="L8142" s="17"/>
      <c r="M8142" s="15"/>
      <c r="N8142" s="18"/>
      <c r="O8142" s="14"/>
      <c r="P8142" s="17"/>
      <c r="Q8142" s="19">
        <v>0</v>
      </c>
      <c r="R8142" s="14" t="e">
        <v>#N/A</v>
      </c>
      <c r="S8142" s="19" t="e">
        <v>#N/A</v>
      </c>
      <c r="T8142" s="17">
        <v>6</v>
      </c>
      <c r="U8142" s="17"/>
      <c r="V8142" s="17" t="s">
        <v>183</v>
      </c>
      <c r="W8142" s="4">
        <v>50</v>
      </c>
      <c r="X8142" s="17"/>
      <c r="Y8142" s="4">
        <v>50</v>
      </c>
      <c r="Z8142" s="17"/>
      <c r="AA8142" s="17"/>
      <c r="AB8142" s="17">
        <v>13</v>
      </c>
      <c r="AC8142" s="14"/>
      <c r="AD8142" s="14"/>
      <c r="AE8142" s="17"/>
      <c r="AF8142" s="14"/>
      <c r="AG8142" s="54"/>
      <c r="AH8142" s="11"/>
      <c r="AI8142" s="14"/>
      <c r="AJ8142" s="19">
        <v>0</v>
      </c>
      <c r="AK8142" s="23">
        <v>13</v>
      </c>
      <c r="AL8142" s="11"/>
      <c r="AM8142" s="19">
        <v>0</v>
      </c>
      <c r="AN8142" s="19" t="e">
        <v>#N/A</v>
      </c>
      <c r="AO8142" s="14"/>
      <c r="AP8142" s="14" t="e">
        <v>#N/A</v>
      </c>
      <c r="AQ8142" s="12"/>
      <c r="AR8142" s="19"/>
    </row>
    <row r="8143" spans="1:44" s="26" customFormat="1" ht="42" x14ac:dyDescent="0.2">
      <c r="A8143" s="2"/>
      <c r="B8143" s="13"/>
      <c r="C8143" s="17"/>
      <c r="D8143" s="17"/>
      <c r="E8143" s="17"/>
      <c r="F8143" s="17"/>
      <c r="G8143" s="13"/>
      <c r="H8143" s="17"/>
      <c r="I8143" s="17"/>
      <c r="J8143" s="17"/>
      <c r="K8143" s="10"/>
      <c r="L8143" s="17"/>
      <c r="M8143" s="15"/>
      <c r="N8143" s="18"/>
      <c r="O8143" s="14"/>
      <c r="P8143" s="17"/>
      <c r="Q8143" s="19">
        <v>0</v>
      </c>
      <c r="R8143" s="14" t="e">
        <v>#N/A</v>
      </c>
      <c r="S8143" s="19" t="e">
        <v>#N/A</v>
      </c>
      <c r="T8143" s="17">
        <v>7</v>
      </c>
      <c r="U8143" s="17"/>
      <c r="V8143" s="17" t="s">
        <v>183</v>
      </c>
      <c r="W8143" s="4">
        <v>50</v>
      </c>
      <c r="X8143" s="17"/>
      <c r="Y8143" s="4"/>
      <c r="Z8143" s="17"/>
      <c r="AA8143" s="17"/>
      <c r="AB8143" s="17">
        <v>11</v>
      </c>
      <c r="AC8143" s="14"/>
      <c r="AD8143" s="14"/>
      <c r="AE8143" s="17"/>
      <c r="AF8143" s="14"/>
      <c r="AG8143" s="54"/>
      <c r="AH8143" s="11"/>
      <c r="AI8143" s="14"/>
      <c r="AJ8143" s="19">
        <v>0</v>
      </c>
      <c r="AK8143" s="23">
        <v>11</v>
      </c>
      <c r="AL8143" s="11"/>
      <c r="AM8143" s="19">
        <v>0</v>
      </c>
      <c r="AN8143" s="19" t="e">
        <v>#N/A</v>
      </c>
      <c r="AO8143" s="14"/>
      <c r="AP8143" s="14" t="e">
        <v>#N/A</v>
      </c>
      <c r="AQ8143" s="12"/>
      <c r="AR8143" s="19"/>
    </row>
    <row r="8144" spans="1:44" s="26" customFormat="1" ht="42" x14ac:dyDescent="0.2">
      <c r="A8144" s="2"/>
      <c r="B8144" s="13"/>
      <c r="C8144" s="17"/>
      <c r="D8144" s="17"/>
      <c r="E8144" s="17"/>
      <c r="F8144" s="17"/>
      <c r="G8144" s="13"/>
      <c r="H8144" s="17"/>
      <c r="I8144" s="17"/>
      <c r="J8144" s="17"/>
      <c r="K8144" s="10"/>
      <c r="L8144" s="17"/>
      <c r="M8144" s="15"/>
      <c r="N8144" s="18"/>
      <c r="O8144" s="14"/>
      <c r="P8144" s="17"/>
      <c r="Q8144" s="19">
        <v>0</v>
      </c>
      <c r="R8144" s="14" t="e">
        <v>#N/A</v>
      </c>
      <c r="S8144" s="19" t="e">
        <v>#N/A</v>
      </c>
      <c r="T8144" s="17">
        <v>8</v>
      </c>
      <c r="U8144" s="17"/>
      <c r="V8144" s="17" t="s">
        <v>183</v>
      </c>
      <c r="W8144" s="4">
        <v>260</v>
      </c>
      <c r="X8144" s="17"/>
      <c r="Y8144" s="4">
        <v>260</v>
      </c>
      <c r="Z8144" s="17"/>
      <c r="AA8144" s="17"/>
      <c r="AB8144" s="17">
        <v>21</v>
      </c>
      <c r="AC8144" s="14"/>
      <c r="AD8144" s="14"/>
      <c r="AE8144" s="17"/>
      <c r="AF8144" s="14"/>
      <c r="AG8144" s="54"/>
      <c r="AH8144" s="11"/>
      <c r="AI8144" s="14"/>
      <c r="AJ8144" s="19">
        <v>0</v>
      </c>
      <c r="AK8144" s="23">
        <v>21</v>
      </c>
      <c r="AL8144" s="11"/>
      <c r="AM8144" s="19">
        <v>0</v>
      </c>
      <c r="AN8144" s="19" t="e">
        <v>#N/A</v>
      </c>
      <c r="AO8144" s="14"/>
      <c r="AP8144" s="14" t="e">
        <v>#N/A</v>
      </c>
      <c r="AQ8144" s="12"/>
      <c r="AR8144" s="19"/>
    </row>
    <row r="8145" spans="1:45" ht="42" x14ac:dyDescent="0.2">
      <c r="Q8145" s="19">
        <v>0</v>
      </c>
      <c r="R8145" s="14" t="e">
        <v>#N/A</v>
      </c>
      <c r="S8145" s="19" t="e">
        <v>#N/A</v>
      </c>
      <c r="T8145" s="17">
        <v>9</v>
      </c>
      <c r="V8145" s="17" t="s">
        <v>183</v>
      </c>
      <c r="AB8145" s="17">
        <v>21</v>
      </c>
      <c r="AJ8145" s="19">
        <v>0</v>
      </c>
      <c r="AK8145" s="23">
        <v>21</v>
      </c>
      <c r="AM8145" s="19">
        <v>0</v>
      </c>
      <c r="AN8145" s="19" t="e">
        <v>#N/A</v>
      </c>
      <c r="AP8145" s="14" t="e">
        <v>#N/A</v>
      </c>
    </row>
    <row r="8146" spans="1:45" x14ac:dyDescent="0.2">
      <c r="A8146" s="2">
        <v>6747</v>
      </c>
      <c r="B8146" s="13">
        <v>1</v>
      </c>
      <c r="C8146" s="17" t="s">
        <v>52</v>
      </c>
      <c r="D8146" s="17">
        <v>20616</v>
      </c>
      <c r="E8146" s="17">
        <v>36</v>
      </c>
      <c r="F8146" s="17">
        <v>4595</v>
      </c>
      <c r="G8146" s="13">
        <v>5</v>
      </c>
      <c r="H8146" s="17">
        <v>2</v>
      </c>
      <c r="I8146" s="17">
        <v>2</v>
      </c>
      <c r="J8146" s="17">
        <v>11</v>
      </c>
      <c r="K8146" s="10">
        <v>1011</v>
      </c>
      <c r="P8146" s="17">
        <v>1</v>
      </c>
      <c r="Q8146" s="19">
        <v>1011</v>
      </c>
      <c r="R8146" s="14">
        <v>160</v>
      </c>
      <c r="S8146" s="19">
        <v>161760</v>
      </c>
      <c r="AJ8146" s="19">
        <v>0</v>
      </c>
      <c r="AK8146" s="23">
        <v>0</v>
      </c>
      <c r="AM8146" s="19">
        <v>0</v>
      </c>
      <c r="AN8146" s="19">
        <v>161760</v>
      </c>
      <c r="AP8146" s="14">
        <v>161760</v>
      </c>
    </row>
    <row r="8147" spans="1:45" x14ac:dyDescent="0.2">
      <c r="A8147" s="2">
        <f>+A8146+1</f>
        <v>6748</v>
      </c>
      <c r="B8147" s="13">
        <v>1</v>
      </c>
      <c r="C8147" s="17" t="s">
        <v>52</v>
      </c>
      <c r="D8147" s="17">
        <v>25578</v>
      </c>
      <c r="E8147" s="17">
        <v>136</v>
      </c>
      <c r="F8147" s="17">
        <v>4736</v>
      </c>
      <c r="G8147" s="13">
        <v>5</v>
      </c>
      <c r="H8147" s="17">
        <v>0</v>
      </c>
      <c r="I8147" s="17">
        <v>0</v>
      </c>
      <c r="J8147" s="17">
        <v>35</v>
      </c>
      <c r="K8147" s="10">
        <v>35</v>
      </c>
      <c r="P8147" s="17">
        <v>1</v>
      </c>
      <c r="Q8147" s="19">
        <v>35</v>
      </c>
      <c r="R8147" s="14">
        <v>1500</v>
      </c>
      <c r="S8147" s="19">
        <v>52500</v>
      </c>
      <c r="AJ8147" s="19">
        <v>0</v>
      </c>
      <c r="AK8147" s="23">
        <v>0</v>
      </c>
      <c r="AM8147" s="19">
        <v>0</v>
      </c>
      <c r="AN8147" s="19">
        <v>52500</v>
      </c>
      <c r="AP8147" s="14">
        <v>52500</v>
      </c>
    </row>
    <row r="8148" spans="1:45" ht="42" x14ac:dyDescent="0.2">
      <c r="A8148" s="122">
        <f t="shared" ref="A8148:A8152" si="772">+A8147+1</f>
        <v>6749</v>
      </c>
      <c r="B8148" s="13">
        <v>1</v>
      </c>
      <c r="C8148" s="17" t="s">
        <v>52</v>
      </c>
      <c r="D8148" s="17">
        <v>1661</v>
      </c>
      <c r="E8148" s="17">
        <v>2</v>
      </c>
      <c r="F8148" s="17">
        <v>755</v>
      </c>
      <c r="G8148" s="13">
        <v>6</v>
      </c>
      <c r="H8148" s="17">
        <v>27</v>
      </c>
      <c r="I8148" s="17">
        <v>0</v>
      </c>
      <c r="J8148" s="17">
        <v>42</v>
      </c>
      <c r="K8148" s="10">
        <v>10842</v>
      </c>
      <c r="P8148" s="17">
        <v>1</v>
      </c>
      <c r="Q8148" s="19">
        <v>10842</v>
      </c>
      <c r="R8148" s="14">
        <v>1100</v>
      </c>
      <c r="S8148" s="19">
        <v>11926200</v>
      </c>
      <c r="AJ8148" s="19">
        <v>0</v>
      </c>
      <c r="AK8148" s="23">
        <v>0</v>
      </c>
      <c r="AM8148" s="19">
        <v>0</v>
      </c>
      <c r="AN8148" s="19">
        <v>11926200</v>
      </c>
      <c r="AP8148" s="14">
        <v>11926200</v>
      </c>
      <c r="AS8148" s="26">
        <v>190</v>
      </c>
    </row>
    <row r="8149" spans="1:45" ht="42" x14ac:dyDescent="0.2">
      <c r="A8149" s="122">
        <f t="shared" si="772"/>
        <v>6750</v>
      </c>
      <c r="B8149" s="13">
        <v>1</v>
      </c>
      <c r="C8149" s="17" t="s">
        <v>52</v>
      </c>
      <c r="D8149" s="17">
        <v>18472</v>
      </c>
      <c r="E8149" s="17">
        <v>65</v>
      </c>
      <c r="F8149" s="17">
        <v>3374</v>
      </c>
      <c r="G8149" s="13">
        <v>6</v>
      </c>
      <c r="H8149" s="17">
        <v>0</v>
      </c>
      <c r="I8149" s="17">
        <v>0</v>
      </c>
      <c r="J8149" s="17">
        <v>45</v>
      </c>
      <c r="L8149" s="17" t="s">
        <v>589</v>
      </c>
      <c r="P8149" s="17">
        <v>2</v>
      </c>
      <c r="Q8149" s="19">
        <v>45</v>
      </c>
      <c r="R8149" s="14">
        <v>1500</v>
      </c>
      <c r="S8149" s="19">
        <v>67500</v>
      </c>
      <c r="T8149" s="17">
        <v>1</v>
      </c>
      <c r="V8149" s="17" t="s">
        <v>183</v>
      </c>
      <c r="W8149" s="4">
        <v>250</v>
      </c>
      <c r="Y8149" s="4">
        <v>250</v>
      </c>
      <c r="AB8149" s="17">
        <v>11</v>
      </c>
      <c r="AJ8149" s="19">
        <v>0</v>
      </c>
      <c r="AK8149" s="23">
        <v>11</v>
      </c>
      <c r="AM8149" s="19">
        <v>0</v>
      </c>
      <c r="AN8149" s="19">
        <v>67500</v>
      </c>
      <c r="AP8149" s="14">
        <v>67500</v>
      </c>
    </row>
    <row r="8150" spans="1:45" x14ac:dyDescent="0.2">
      <c r="A8150" s="122">
        <f t="shared" si="772"/>
        <v>6751</v>
      </c>
      <c r="B8150" s="13">
        <v>1</v>
      </c>
      <c r="C8150" s="17" t="s">
        <v>52</v>
      </c>
      <c r="D8150" s="17">
        <v>1755</v>
      </c>
      <c r="E8150" s="17">
        <v>7</v>
      </c>
      <c r="F8150" s="17">
        <v>760</v>
      </c>
      <c r="G8150" s="13">
        <v>7</v>
      </c>
      <c r="H8150" s="17">
        <v>4</v>
      </c>
      <c r="I8150" s="17">
        <v>2</v>
      </c>
      <c r="J8150" s="17">
        <v>42</v>
      </c>
      <c r="K8150" s="10">
        <v>1842</v>
      </c>
      <c r="P8150" s="17">
        <v>1</v>
      </c>
      <c r="Q8150" s="19">
        <v>1842</v>
      </c>
      <c r="R8150" s="14">
        <v>2250</v>
      </c>
      <c r="S8150" s="19">
        <v>4144500</v>
      </c>
      <c r="AJ8150" s="19">
        <v>0</v>
      </c>
      <c r="AK8150" s="23">
        <v>0</v>
      </c>
      <c r="AM8150" s="19">
        <v>0</v>
      </c>
      <c r="AN8150" s="19">
        <v>4144500</v>
      </c>
      <c r="AP8150" s="14">
        <v>4144500</v>
      </c>
    </row>
    <row r="8151" spans="1:45" x14ac:dyDescent="0.2">
      <c r="A8151" s="122">
        <f t="shared" si="772"/>
        <v>6752</v>
      </c>
      <c r="B8151" s="13">
        <v>1</v>
      </c>
      <c r="C8151" s="17" t="s">
        <v>52</v>
      </c>
      <c r="D8151" s="17">
        <v>4900</v>
      </c>
      <c r="E8151" s="17">
        <v>73</v>
      </c>
      <c r="F8151" s="17">
        <v>2774</v>
      </c>
      <c r="G8151" s="13">
        <v>7</v>
      </c>
      <c r="H8151" s="17">
        <v>26</v>
      </c>
      <c r="I8151" s="17">
        <v>0</v>
      </c>
      <c r="J8151" s="17">
        <v>59</v>
      </c>
      <c r="K8151" s="10">
        <v>10459</v>
      </c>
      <c r="P8151" s="17">
        <v>1</v>
      </c>
      <c r="Q8151" s="19">
        <v>10459</v>
      </c>
      <c r="R8151" s="14">
        <v>160</v>
      </c>
      <c r="S8151" s="19">
        <v>1673440</v>
      </c>
      <c r="AJ8151" s="19">
        <v>0</v>
      </c>
      <c r="AK8151" s="23">
        <v>0</v>
      </c>
      <c r="AM8151" s="19">
        <v>0</v>
      </c>
      <c r="AN8151" s="19">
        <v>1673440</v>
      </c>
      <c r="AP8151" s="14">
        <v>1673440</v>
      </c>
    </row>
    <row r="8152" spans="1:45" x14ac:dyDescent="0.2">
      <c r="A8152" s="122">
        <f t="shared" si="772"/>
        <v>6753</v>
      </c>
      <c r="B8152" s="13">
        <v>1</v>
      </c>
      <c r="C8152" s="17" t="s">
        <v>52</v>
      </c>
      <c r="D8152" s="17">
        <v>4917</v>
      </c>
      <c r="E8152" s="17">
        <v>49</v>
      </c>
      <c r="F8152" s="17">
        <v>2793</v>
      </c>
      <c r="G8152" s="13">
        <v>7</v>
      </c>
      <c r="H8152" s="17">
        <v>6</v>
      </c>
      <c r="I8152" s="17">
        <v>2</v>
      </c>
      <c r="J8152" s="17">
        <v>84</v>
      </c>
      <c r="K8152" s="10">
        <v>2684</v>
      </c>
      <c r="P8152" s="17">
        <v>1</v>
      </c>
      <c r="Q8152" s="19">
        <v>2684</v>
      </c>
      <c r="R8152" s="14">
        <v>470</v>
      </c>
      <c r="S8152" s="19">
        <v>1261480</v>
      </c>
      <c r="AJ8152" s="19">
        <v>0</v>
      </c>
      <c r="AK8152" s="23">
        <v>0</v>
      </c>
      <c r="AM8152" s="19">
        <v>0</v>
      </c>
      <c r="AN8152" s="19">
        <v>1261480</v>
      </c>
      <c r="AP8152" s="14">
        <v>1261480</v>
      </c>
      <c r="AS8152" s="26">
        <v>37</v>
      </c>
    </row>
    <row r="8153" spans="1:45" x14ac:dyDescent="0.2">
      <c r="R8153" s="14" t="e">
        <v>#N/A</v>
      </c>
    </row>
    <row r="8154" spans="1:45" ht="42" x14ac:dyDescent="0.2">
      <c r="A8154" s="2">
        <v>6754</v>
      </c>
      <c r="B8154" s="13">
        <v>1</v>
      </c>
      <c r="C8154" s="17" t="s">
        <v>52</v>
      </c>
      <c r="D8154" s="17">
        <v>4988</v>
      </c>
      <c r="E8154" s="17">
        <v>56</v>
      </c>
      <c r="F8154" s="17">
        <v>2606</v>
      </c>
      <c r="G8154" s="13">
        <v>7</v>
      </c>
      <c r="H8154" s="17">
        <v>0</v>
      </c>
      <c r="I8154" s="17">
        <v>0</v>
      </c>
      <c r="J8154" s="17">
        <v>37</v>
      </c>
      <c r="L8154" s="17" t="s">
        <v>682</v>
      </c>
      <c r="P8154" s="17">
        <v>2</v>
      </c>
      <c r="Q8154" s="19">
        <v>37</v>
      </c>
      <c r="R8154" s="14">
        <v>4500</v>
      </c>
      <c r="S8154" s="19">
        <v>166500</v>
      </c>
      <c r="T8154" s="17">
        <v>1</v>
      </c>
      <c r="V8154" s="17" t="s">
        <v>183</v>
      </c>
      <c r="W8154" s="4">
        <v>130</v>
      </c>
      <c r="Y8154" s="4">
        <v>130</v>
      </c>
      <c r="AB8154" s="17">
        <v>31</v>
      </c>
      <c r="AJ8154" s="19">
        <v>0</v>
      </c>
      <c r="AK8154" s="23">
        <v>31</v>
      </c>
      <c r="AM8154" s="19">
        <v>0</v>
      </c>
      <c r="AN8154" s="19">
        <v>166500</v>
      </c>
      <c r="AP8154" s="14">
        <v>166500</v>
      </c>
    </row>
    <row r="8155" spans="1:45" ht="42" x14ac:dyDescent="0.2">
      <c r="A8155" s="2">
        <f>+A8154+1</f>
        <v>6755</v>
      </c>
      <c r="B8155" s="13">
        <v>1</v>
      </c>
      <c r="C8155" s="17" t="s">
        <v>52</v>
      </c>
      <c r="D8155" s="17">
        <v>19372</v>
      </c>
      <c r="E8155" s="17">
        <v>70</v>
      </c>
      <c r="F8155" s="17">
        <v>4196</v>
      </c>
      <c r="G8155" s="13">
        <v>7</v>
      </c>
      <c r="H8155" s="17">
        <v>0</v>
      </c>
      <c r="I8155" s="17">
        <v>0</v>
      </c>
      <c r="J8155" s="17">
        <v>34</v>
      </c>
      <c r="N8155" s="18">
        <v>34</v>
      </c>
      <c r="P8155" s="17">
        <v>4</v>
      </c>
      <c r="Q8155" s="19">
        <v>34</v>
      </c>
      <c r="R8155" s="14">
        <v>4500</v>
      </c>
      <c r="S8155" s="19">
        <v>153000</v>
      </c>
      <c r="AJ8155" s="19">
        <v>0</v>
      </c>
      <c r="AK8155" s="23">
        <v>0</v>
      </c>
      <c r="AM8155" s="19">
        <v>0</v>
      </c>
      <c r="AN8155" s="19">
        <v>153000</v>
      </c>
      <c r="AP8155" s="14">
        <v>153000</v>
      </c>
      <c r="AQ8155" s="12">
        <v>3.0000000000000001E-3</v>
      </c>
      <c r="AS8155" s="26" t="s">
        <v>111</v>
      </c>
    </row>
    <row r="8156" spans="1:45" x14ac:dyDescent="0.2">
      <c r="A8156" s="122">
        <f t="shared" ref="A8156:A8167" si="773">+A8155+1</f>
        <v>6756</v>
      </c>
      <c r="B8156" s="13">
        <v>1</v>
      </c>
      <c r="C8156" s="17" t="s">
        <v>52</v>
      </c>
      <c r="D8156" s="17">
        <v>19849</v>
      </c>
      <c r="E8156" s="17">
        <v>6</v>
      </c>
      <c r="F8156" s="17">
        <v>4567</v>
      </c>
      <c r="G8156" s="13">
        <v>7</v>
      </c>
      <c r="H8156" s="17">
        <v>3</v>
      </c>
      <c r="I8156" s="17">
        <v>0</v>
      </c>
      <c r="J8156" s="17">
        <v>4</v>
      </c>
      <c r="M8156" s="15">
        <v>1204</v>
      </c>
      <c r="P8156" s="17">
        <v>3</v>
      </c>
      <c r="Q8156" s="19">
        <v>1204</v>
      </c>
      <c r="R8156" s="14">
        <v>1100</v>
      </c>
      <c r="S8156" s="19">
        <v>1324400</v>
      </c>
      <c r="AA8156" s="17" t="s">
        <v>833</v>
      </c>
      <c r="AJ8156" s="19">
        <v>0</v>
      </c>
      <c r="AK8156" s="23">
        <v>0</v>
      </c>
      <c r="AM8156" s="19">
        <v>0</v>
      </c>
      <c r="AN8156" s="19">
        <v>1324400</v>
      </c>
      <c r="AP8156" s="14">
        <v>1324400</v>
      </c>
    </row>
    <row r="8157" spans="1:45" ht="42" x14ac:dyDescent="0.2">
      <c r="A8157" s="122">
        <f t="shared" si="773"/>
        <v>6757</v>
      </c>
      <c r="B8157" s="13">
        <v>1</v>
      </c>
      <c r="C8157" s="17" t="s">
        <v>52</v>
      </c>
      <c r="D8157" s="17">
        <v>31178</v>
      </c>
      <c r="E8157" s="17">
        <v>94</v>
      </c>
      <c r="F8157" s="17">
        <v>5499</v>
      </c>
      <c r="G8157" s="13">
        <v>7</v>
      </c>
      <c r="H8157" s="17">
        <v>0</v>
      </c>
      <c r="I8157" s="17">
        <v>0</v>
      </c>
      <c r="J8157" s="17">
        <v>30</v>
      </c>
      <c r="L8157" s="17" t="s">
        <v>534</v>
      </c>
      <c r="P8157" s="17">
        <v>2</v>
      </c>
      <c r="Q8157" s="19">
        <v>30</v>
      </c>
      <c r="R8157" s="14">
        <v>4500</v>
      </c>
      <c r="S8157" s="19">
        <v>135000</v>
      </c>
      <c r="T8157" s="17">
        <v>1</v>
      </c>
      <c r="V8157" s="17" t="s">
        <v>183</v>
      </c>
      <c r="W8157" s="4">
        <v>115</v>
      </c>
      <c r="Y8157" s="4">
        <v>115</v>
      </c>
      <c r="AB8157" s="17">
        <v>29</v>
      </c>
      <c r="AJ8157" s="19">
        <v>0</v>
      </c>
      <c r="AK8157" s="23">
        <v>29</v>
      </c>
      <c r="AM8157" s="19">
        <v>0</v>
      </c>
      <c r="AN8157" s="19">
        <v>135000</v>
      </c>
      <c r="AP8157" s="14">
        <v>135000</v>
      </c>
    </row>
    <row r="8158" spans="1:45" x14ac:dyDescent="0.2">
      <c r="A8158" s="122">
        <f t="shared" si="773"/>
        <v>6758</v>
      </c>
      <c r="B8158" s="13">
        <v>1</v>
      </c>
      <c r="C8158" s="17" t="s">
        <v>52</v>
      </c>
      <c r="D8158" s="17">
        <v>1189</v>
      </c>
      <c r="E8158" s="17">
        <v>9</v>
      </c>
      <c r="F8158" s="17">
        <v>907</v>
      </c>
      <c r="H8158" s="17">
        <v>0</v>
      </c>
      <c r="I8158" s="17">
        <v>0</v>
      </c>
      <c r="J8158" s="17">
        <v>50</v>
      </c>
      <c r="N8158" s="18">
        <v>50</v>
      </c>
      <c r="P8158" s="17">
        <v>4</v>
      </c>
      <c r="Q8158" s="19">
        <v>50</v>
      </c>
      <c r="R8158" s="14">
        <v>2000</v>
      </c>
      <c r="S8158" s="19">
        <v>100000</v>
      </c>
      <c r="AJ8158" s="19">
        <v>0</v>
      </c>
      <c r="AK8158" s="23">
        <v>0</v>
      </c>
      <c r="AM8158" s="19">
        <v>0</v>
      </c>
      <c r="AN8158" s="19">
        <v>100000</v>
      </c>
      <c r="AP8158" s="14">
        <v>100000</v>
      </c>
      <c r="AQ8158" s="12">
        <v>3.0000000000000001E-3</v>
      </c>
    </row>
    <row r="8159" spans="1:45" x14ac:dyDescent="0.2">
      <c r="A8159" s="122">
        <f t="shared" si="773"/>
        <v>6759</v>
      </c>
      <c r="B8159" s="13">
        <v>1</v>
      </c>
      <c r="C8159" s="17" t="s">
        <v>52</v>
      </c>
      <c r="D8159" s="17">
        <v>1201</v>
      </c>
      <c r="E8159" s="17">
        <v>20</v>
      </c>
      <c r="F8159" s="17">
        <v>923</v>
      </c>
      <c r="H8159" s="17">
        <v>4</v>
      </c>
      <c r="I8159" s="17">
        <v>1</v>
      </c>
      <c r="J8159" s="17">
        <v>51</v>
      </c>
      <c r="K8159" s="10">
        <v>1751</v>
      </c>
      <c r="P8159" s="17">
        <v>1</v>
      </c>
      <c r="Q8159" s="19">
        <v>1751</v>
      </c>
      <c r="R8159" s="14">
        <v>500</v>
      </c>
      <c r="S8159" s="19">
        <v>875500</v>
      </c>
      <c r="AJ8159" s="19">
        <v>0</v>
      </c>
      <c r="AK8159" s="23">
        <v>0</v>
      </c>
      <c r="AM8159" s="19">
        <v>0</v>
      </c>
      <c r="AN8159" s="19">
        <v>875500</v>
      </c>
      <c r="AP8159" s="14">
        <v>875500</v>
      </c>
    </row>
    <row r="8160" spans="1:45" x14ac:dyDescent="0.2">
      <c r="A8160" s="122">
        <f t="shared" si="773"/>
        <v>6760</v>
      </c>
      <c r="B8160" s="13">
        <v>1</v>
      </c>
      <c r="C8160" s="17" t="s">
        <v>52</v>
      </c>
      <c r="D8160" s="17">
        <v>1289</v>
      </c>
      <c r="E8160" s="17">
        <v>6</v>
      </c>
      <c r="F8160" s="17">
        <v>788</v>
      </c>
      <c r="H8160" s="17">
        <v>7</v>
      </c>
      <c r="I8160" s="17">
        <v>0</v>
      </c>
      <c r="J8160" s="17">
        <v>4</v>
      </c>
      <c r="K8160" s="10">
        <v>2804</v>
      </c>
      <c r="P8160" s="17">
        <v>1</v>
      </c>
      <c r="Q8160" s="19">
        <v>2804</v>
      </c>
      <c r="R8160" s="14">
        <v>2250</v>
      </c>
      <c r="S8160" s="19">
        <v>6309000</v>
      </c>
      <c r="AJ8160" s="19">
        <v>0</v>
      </c>
      <c r="AK8160" s="23">
        <v>0</v>
      </c>
      <c r="AM8160" s="19">
        <v>0</v>
      </c>
      <c r="AN8160" s="19">
        <v>6309000</v>
      </c>
      <c r="AP8160" s="14">
        <v>6309000</v>
      </c>
    </row>
    <row r="8161" spans="1:45" x14ac:dyDescent="0.2">
      <c r="A8161" s="122">
        <f t="shared" si="773"/>
        <v>6761</v>
      </c>
      <c r="B8161" s="13">
        <v>2</v>
      </c>
      <c r="C8161" s="17" t="s">
        <v>52</v>
      </c>
      <c r="D8161" s="17">
        <v>1290</v>
      </c>
      <c r="E8161" s="17">
        <v>5</v>
      </c>
      <c r="F8161" s="17">
        <v>789</v>
      </c>
      <c r="H8161" s="17">
        <v>2</v>
      </c>
      <c r="I8161" s="17">
        <v>3</v>
      </c>
      <c r="J8161" s="17">
        <v>7</v>
      </c>
      <c r="K8161" s="10">
        <v>1107</v>
      </c>
      <c r="P8161" s="17">
        <v>1</v>
      </c>
      <c r="Q8161" s="19">
        <v>1107</v>
      </c>
      <c r="R8161" s="14">
        <v>160</v>
      </c>
      <c r="S8161" s="19">
        <v>177120</v>
      </c>
      <c r="AJ8161" s="19">
        <v>0</v>
      </c>
      <c r="AK8161" s="23">
        <v>0</v>
      </c>
      <c r="AM8161" s="19">
        <v>0</v>
      </c>
      <c r="AN8161" s="19">
        <v>177120</v>
      </c>
      <c r="AP8161" s="14">
        <v>177120</v>
      </c>
    </row>
    <row r="8162" spans="1:45" x14ac:dyDescent="0.2">
      <c r="A8162" s="122">
        <f t="shared" si="773"/>
        <v>6762</v>
      </c>
      <c r="B8162" s="13">
        <v>3</v>
      </c>
      <c r="C8162" s="17" t="s">
        <v>52</v>
      </c>
      <c r="D8162" s="17">
        <v>1686</v>
      </c>
      <c r="E8162" s="17">
        <v>17</v>
      </c>
      <c r="F8162" s="17">
        <v>1407</v>
      </c>
      <c r="H8162" s="17">
        <v>7</v>
      </c>
      <c r="I8162" s="17">
        <v>1</v>
      </c>
      <c r="J8162" s="17">
        <v>14</v>
      </c>
      <c r="K8162" s="10">
        <v>2914</v>
      </c>
      <c r="P8162" s="17">
        <v>1</v>
      </c>
      <c r="Q8162" s="19">
        <v>2914</v>
      </c>
      <c r="R8162" s="14">
        <v>1100</v>
      </c>
      <c r="S8162" s="19">
        <v>3205400</v>
      </c>
      <c r="AJ8162" s="19">
        <v>0</v>
      </c>
      <c r="AK8162" s="23">
        <v>0</v>
      </c>
      <c r="AM8162" s="19">
        <v>0</v>
      </c>
      <c r="AN8162" s="19">
        <v>3205400</v>
      </c>
      <c r="AP8162" s="14">
        <v>3205400</v>
      </c>
    </row>
    <row r="8163" spans="1:45" x14ac:dyDescent="0.2">
      <c r="A8163" s="122">
        <f t="shared" si="773"/>
        <v>6763</v>
      </c>
      <c r="B8163" s="13">
        <v>1</v>
      </c>
      <c r="C8163" s="17" t="s">
        <v>52</v>
      </c>
      <c r="D8163" s="17">
        <v>2036</v>
      </c>
      <c r="E8163" s="17">
        <v>21</v>
      </c>
      <c r="F8163" s="17">
        <v>1112</v>
      </c>
      <c r="H8163" s="17">
        <v>7</v>
      </c>
      <c r="I8163" s="17">
        <v>1</v>
      </c>
      <c r="J8163" s="17">
        <v>63</v>
      </c>
      <c r="K8163" s="10">
        <v>2963</v>
      </c>
      <c r="P8163" s="17">
        <v>1</v>
      </c>
      <c r="Q8163" s="19">
        <v>2963</v>
      </c>
      <c r="R8163" s="14">
        <v>160</v>
      </c>
      <c r="S8163" s="19">
        <v>474080</v>
      </c>
      <c r="AJ8163" s="19">
        <v>0</v>
      </c>
      <c r="AK8163" s="23">
        <v>0</v>
      </c>
      <c r="AM8163" s="19">
        <v>0</v>
      </c>
      <c r="AN8163" s="19">
        <v>474080</v>
      </c>
      <c r="AP8163" s="14">
        <v>474080</v>
      </c>
      <c r="AS8163" s="26">
        <v>70</v>
      </c>
    </row>
    <row r="8164" spans="1:45" x14ac:dyDescent="0.2">
      <c r="A8164" s="122">
        <f t="shared" si="773"/>
        <v>6764</v>
      </c>
      <c r="B8164" s="13">
        <v>2</v>
      </c>
      <c r="C8164" s="17" t="s">
        <v>52</v>
      </c>
      <c r="D8164" s="17">
        <v>2037</v>
      </c>
      <c r="E8164" s="17">
        <v>35</v>
      </c>
      <c r="F8164" s="17">
        <v>1113</v>
      </c>
      <c r="H8164" s="17">
        <v>2</v>
      </c>
      <c r="I8164" s="17">
        <v>3</v>
      </c>
      <c r="J8164" s="17">
        <v>32</v>
      </c>
      <c r="K8164" s="10">
        <v>1132</v>
      </c>
      <c r="P8164" s="17">
        <v>1</v>
      </c>
      <c r="Q8164" s="19">
        <v>1132</v>
      </c>
      <c r="R8164" s="14">
        <v>160</v>
      </c>
      <c r="S8164" s="19">
        <v>181120</v>
      </c>
      <c r="AJ8164" s="19">
        <v>0</v>
      </c>
      <c r="AK8164" s="23">
        <v>0</v>
      </c>
      <c r="AM8164" s="19">
        <v>0</v>
      </c>
      <c r="AN8164" s="19">
        <v>181120</v>
      </c>
      <c r="AP8164" s="14">
        <v>181120</v>
      </c>
    </row>
    <row r="8165" spans="1:45" ht="42" x14ac:dyDescent="0.2">
      <c r="A8165" s="122">
        <f t="shared" si="773"/>
        <v>6765</v>
      </c>
      <c r="B8165" s="13">
        <v>3</v>
      </c>
      <c r="C8165" s="17" t="s">
        <v>52</v>
      </c>
      <c r="D8165" s="17">
        <v>2041</v>
      </c>
      <c r="E8165" s="17">
        <v>40</v>
      </c>
      <c r="F8165" s="17">
        <v>1132</v>
      </c>
      <c r="H8165" s="17">
        <v>0</v>
      </c>
      <c r="I8165" s="17">
        <v>1</v>
      </c>
      <c r="J8165" s="17">
        <v>57</v>
      </c>
      <c r="L8165" s="17" t="s">
        <v>820</v>
      </c>
      <c r="P8165" s="17">
        <v>2</v>
      </c>
      <c r="Q8165" s="19">
        <v>157</v>
      </c>
      <c r="R8165" s="14">
        <v>2000</v>
      </c>
      <c r="S8165" s="19">
        <v>314000</v>
      </c>
      <c r="T8165" s="17">
        <v>1</v>
      </c>
      <c r="V8165" s="17" t="s">
        <v>183</v>
      </c>
      <c r="W8165" s="4">
        <v>162</v>
      </c>
      <c r="Y8165" s="4">
        <v>162</v>
      </c>
      <c r="AB8165" s="17">
        <v>24</v>
      </c>
      <c r="AJ8165" s="19">
        <v>0</v>
      </c>
      <c r="AK8165" s="23">
        <v>24</v>
      </c>
      <c r="AM8165" s="19">
        <v>0</v>
      </c>
      <c r="AN8165" s="19">
        <v>314000</v>
      </c>
      <c r="AP8165" s="14">
        <v>314000</v>
      </c>
    </row>
    <row r="8166" spans="1:45" x14ac:dyDescent="0.2">
      <c r="A8166" s="122">
        <f t="shared" si="773"/>
        <v>6766</v>
      </c>
      <c r="B8166" s="13">
        <v>4</v>
      </c>
      <c r="C8166" s="17" t="s">
        <v>52</v>
      </c>
      <c r="D8166" s="17">
        <v>2295</v>
      </c>
      <c r="E8166" s="17">
        <v>22</v>
      </c>
      <c r="F8166" s="17">
        <v>1774</v>
      </c>
      <c r="G8166" s="13">
        <v>3</v>
      </c>
      <c r="H8166" s="17">
        <v>15</v>
      </c>
      <c r="I8166" s="17">
        <v>3</v>
      </c>
      <c r="J8166" s="17">
        <v>70</v>
      </c>
      <c r="K8166" s="10">
        <v>6370</v>
      </c>
      <c r="P8166" s="17">
        <v>1</v>
      </c>
      <c r="Q8166" s="19">
        <v>6370</v>
      </c>
      <c r="R8166" s="14">
        <v>160</v>
      </c>
      <c r="S8166" s="19">
        <v>1019200</v>
      </c>
      <c r="AJ8166" s="19">
        <v>0</v>
      </c>
      <c r="AK8166" s="23">
        <v>0</v>
      </c>
      <c r="AM8166" s="19">
        <v>0</v>
      </c>
      <c r="AN8166" s="19">
        <v>1019200</v>
      </c>
      <c r="AP8166" s="14">
        <v>1019200</v>
      </c>
    </row>
    <row r="8167" spans="1:45" x14ac:dyDescent="0.2">
      <c r="A8167" s="122">
        <f t="shared" si="773"/>
        <v>6767</v>
      </c>
      <c r="B8167" s="13">
        <v>1</v>
      </c>
      <c r="C8167" s="17" t="s">
        <v>52</v>
      </c>
      <c r="D8167" s="17">
        <v>18754</v>
      </c>
      <c r="E8167" s="17">
        <v>146</v>
      </c>
      <c r="F8167" s="17">
        <v>3405</v>
      </c>
      <c r="H8167" s="17">
        <v>1</v>
      </c>
      <c r="I8167" s="17">
        <v>0</v>
      </c>
      <c r="J8167" s="17">
        <v>32</v>
      </c>
      <c r="K8167" s="10">
        <v>432</v>
      </c>
      <c r="P8167" s="17">
        <v>1</v>
      </c>
      <c r="Q8167" s="19">
        <v>432</v>
      </c>
      <c r="R8167" s="14">
        <v>500</v>
      </c>
      <c r="S8167" s="19">
        <v>216000</v>
      </c>
      <c r="AJ8167" s="19">
        <v>0</v>
      </c>
      <c r="AK8167" s="23">
        <v>0</v>
      </c>
      <c r="AM8167" s="19">
        <v>0</v>
      </c>
      <c r="AN8167" s="19">
        <v>216000</v>
      </c>
      <c r="AP8167" s="14">
        <v>216000</v>
      </c>
    </row>
    <row r="8168" spans="1:45" x14ac:dyDescent="0.2">
      <c r="R8168" s="14" t="e">
        <v>#N/A</v>
      </c>
    </row>
    <row r="8169" spans="1:45" x14ac:dyDescent="0.2">
      <c r="B8169" s="13">
        <v>1</v>
      </c>
      <c r="C8169" s="17" t="s">
        <v>69</v>
      </c>
      <c r="E8169" s="17">
        <v>1692</v>
      </c>
      <c r="F8169" s="17">
        <v>3</v>
      </c>
      <c r="G8169" s="13">
        <v>2</v>
      </c>
      <c r="H8169" s="17">
        <v>62</v>
      </c>
      <c r="I8169" s="17">
        <v>1</v>
      </c>
      <c r="J8169" s="17">
        <v>40</v>
      </c>
      <c r="K8169" s="10">
        <v>24940</v>
      </c>
      <c r="P8169" s="17">
        <v>1</v>
      </c>
      <c r="Q8169" s="19">
        <v>24940</v>
      </c>
      <c r="R8169" s="14" t="e">
        <v>#N/A</v>
      </c>
      <c r="S8169" s="19" t="e">
        <v>#N/A</v>
      </c>
      <c r="AJ8169" s="19">
        <v>0</v>
      </c>
      <c r="AK8169" s="23">
        <v>0</v>
      </c>
      <c r="AM8169" s="19">
        <v>0</v>
      </c>
      <c r="AN8169" s="19" t="e">
        <v>#N/A</v>
      </c>
      <c r="AP8169" s="14" t="e">
        <v>#N/A</v>
      </c>
      <c r="AQ8169" s="12">
        <v>1E-4</v>
      </c>
    </row>
    <row r="8170" spans="1:45" x14ac:dyDescent="0.2">
      <c r="B8170" s="13">
        <v>2</v>
      </c>
      <c r="C8170" s="17" t="s">
        <v>69</v>
      </c>
      <c r="E8170" s="17">
        <v>1693</v>
      </c>
      <c r="F8170" s="17">
        <v>3</v>
      </c>
      <c r="G8170" s="13">
        <v>2</v>
      </c>
      <c r="H8170" s="17">
        <v>19</v>
      </c>
      <c r="I8170" s="17">
        <v>1</v>
      </c>
      <c r="J8170" s="17">
        <v>38</v>
      </c>
      <c r="K8170" s="10">
        <v>7738</v>
      </c>
      <c r="P8170" s="17">
        <v>1</v>
      </c>
      <c r="Q8170" s="19">
        <v>7738</v>
      </c>
      <c r="R8170" s="14" t="e">
        <v>#N/A</v>
      </c>
      <c r="S8170" s="19" t="e">
        <v>#N/A</v>
      </c>
      <c r="AJ8170" s="19">
        <v>0</v>
      </c>
      <c r="AK8170" s="23">
        <v>0</v>
      </c>
      <c r="AM8170" s="19">
        <v>0</v>
      </c>
      <c r="AN8170" s="19" t="e">
        <v>#N/A</v>
      </c>
      <c r="AP8170" s="14" t="e">
        <v>#N/A</v>
      </c>
      <c r="AQ8170" s="12">
        <v>1E-4</v>
      </c>
    </row>
    <row r="8171" spans="1:45" x14ac:dyDescent="0.2">
      <c r="B8171" s="13">
        <v>1</v>
      </c>
      <c r="C8171" s="17" t="s">
        <v>69</v>
      </c>
      <c r="E8171" s="17">
        <v>2330</v>
      </c>
      <c r="F8171" s="17">
        <v>16</v>
      </c>
      <c r="G8171" s="13">
        <v>2</v>
      </c>
      <c r="H8171" s="17">
        <v>9</v>
      </c>
      <c r="I8171" s="17">
        <v>0</v>
      </c>
      <c r="J8171" s="17">
        <v>13</v>
      </c>
      <c r="K8171" s="10">
        <v>3613</v>
      </c>
      <c r="P8171" s="17">
        <v>1</v>
      </c>
      <c r="Q8171" s="19">
        <v>3613</v>
      </c>
      <c r="R8171" s="14" t="e">
        <v>#N/A</v>
      </c>
      <c r="S8171" s="19" t="e">
        <v>#N/A</v>
      </c>
      <c r="AJ8171" s="19">
        <v>0</v>
      </c>
      <c r="AK8171" s="23">
        <v>0</v>
      </c>
      <c r="AM8171" s="19">
        <v>0</v>
      </c>
      <c r="AN8171" s="19" t="e">
        <v>#N/A</v>
      </c>
      <c r="AP8171" s="14" t="e">
        <v>#N/A</v>
      </c>
      <c r="AQ8171" s="12">
        <v>1E-4</v>
      </c>
    </row>
    <row r="8172" spans="1:45" x14ac:dyDescent="0.2">
      <c r="A8172" s="2">
        <v>6768</v>
      </c>
      <c r="B8172" s="13">
        <v>1</v>
      </c>
      <c r="C8172" s="17" t="s">
        <v>69</v>
      </c>
      <c r="E8172" s="17">
        <v>1494</v>
      </c>
      <c r="F8172" s="17">
        <v>2</v>
      </c>
      <c r="G8172" s="13">
        <v>6</v>
      </c>
      <c r="H8172" s="17">
        <v>23</v>
      </c>
      <c r="I8172" s="17">
        <v>2</v>
      </c>
      <c r="J8172" s="17">
        <v>26</v>
      </c>
      <c r="K8172" s="10">
        <v>9426</v>
      </c>
      <c r="P8172" s="17">
        <v>1</v>
      </c>
      <c r="Q8172" s="19">
        <v>9426</v>
      </c>
      <c r="R8172" s="14">
        <v>160</v>
      </c>
      <c r="S8172" s="19">
        <v>1508160</v>
      </c>
      <c r="AJ8172" s="19">
        <v>0</v>
      </c>
      <c r="AK8172" s="23">
        <v>0</v>
      </c>
      <c r="AM8172" s="19">
        <v>0</v>
      </c>
      <c r="AN8172" s="19">
        <v>1508160</v>
      </c>
      <c r="AP8172" s="14">
        <v>1508160</v>
      </c>
      <c r="AQ8172" s="12">
        <v>1E-4</v>
      </c>
      <c r="AS8172" s="26">
        <v>391</v>
      </c>
    </row>
    <row r="8173" spans="1:45" x14ac:dyDescent="0.2">
      <c r="A8173" s="2">
        <f>+A8172+1</f>
        <v>6769</v>
      </c>
      <c r="B8173" s="13">
        <v>1</v>
      </c>
      <c r="C8173" s="17" t="s">
        <v>69</v>
      </c>
      <c r="E8173" s="17">
        <v>1514</v>
      </c>
      <c r="F8173" s="17">
        <v>7</v>
      </c>
      <c r="G8173" s="13">
        <v>6</v>
      </c>
      <c r="H8173" s="17">
        <v>26</v>
      </c>
      <c r="I8173" s="17">
        <v>2</v>
      </c>
      <c r="J8173" s="17">
        <v>80</v>
      </c>
      <c r="K8173" s="10">
        <v>10680</v>
      </c>
      <c r="P8173" s="17">
        <v>1</v>
      </c>
      <c r="Q8173" s="19">
        <v>10680</v>
      </c>
      <c r="R8173" s="14">
        <v>200</v>
      </c>
      <c r="S8173" s="19">
        <v>2136000</v>
      </c>
      <c r="AJ8173" s="19">
        <v>0</v>
      </c>
      <c r="AK8173" s="23">
        <v>0</v>
      </c>
      <c r="AM8173" s="19">
        <v>0</v>
      </c>
      <c r="AN8173" s="19">
        <v>2136000</v>
      </c>
      <c r="AP8173" s="14">
        <v>2136000</v>
      </c>
      <c r="AQ8173" s="12">
        <v>1E-4</v>
      </c>
    </row>
    <row r="8174" spans="1:45" x14ac:dyDescent="0.2">
      <c r="A8174" s="122">
        <f t="shared" ref="A8174:A8178" si="774">+A8173+1</f>
        <v>6770</v>
      </c>
      <c r="B8174" s="13">
        <v>1</v>
      </c>
      <c r="C8174" s="17" t="s">
        <v>69</v>
      </c>
      <c r="E8174" s="17">
        <v>2329</v>
      </c>
      <c r="F8174" s="17">
        <v>14</v>
      </c>
      <c r="G8174" s="13">
        <v>2</v>
      </c>
      <c r="H8174" s="17">
        <v>3</v>
      </c>
      <c r="I8174" s="17">
        <v>0</v>
      </c>
      <c r="J8174" s="17">
        <v>50</v>
      </c>
      <c r="K8174" s="10">
        <v>1250</v>
      </c>
      <c r="P8174" s="17">
        <v>1</v>
      </c>
      <c r="Q8174" s="19">
        <v>1250</v>
      </c>
      <c r="R8174" s="14">
        <v>200</v>
      </c>
      <c r="S8174" s="19">
        <v>250000</v>
      </c>
      <c r="AJ8174" s="19">
        <v>0</v>
      </c>
      <c r="AK8174" s="23">
        <v>0</v>
      </c>
      <c r="AM8174" s="19">
        <v>0</v>
      </c>
      <c r="AN8174" s="19">
        <v>250000</v>
      </c>
      <c r="AP8174" s="14">
        <v>250000</v>
      </c>
      <c r="AQ8174" s="12">
        <v>1E-4</v>
      </c>
    </row>
    <row r="8175" spans="1:45" x14ac:dyDescent="0.2">
      <c r="A8175" s="122">
        <f t="shared" si="774"/>
        <v>6771</v>
      </c>
      <c r="B8175" s="13">
        <v>1</v>
      </c>
      <c r="C8175" s="17" t="s">
        <v>69</v>
      </c>
      <c r="E8175" s="17">
        <v>1675</v>
      </c>
      <c r="F8175" s="17">
        <v>5</v>
      </c>
      <c r="G8175" s="13">
        <v>2</v>
      </c>
      <c r="H8175" s="17">
        <v>3</v>
      </c>
      <c r="I8175" s="17">
        <v>2</v>
      </c>
      <c r="J8175" s="17">
        <v>20</v>
      </c>
      <c r="K8175" s="10">
        <v>1420</v>
      </c>
      <c r="P8175" s="17">
        <v>1</v>
      </c>
      <c r="Q8175" s="19">
        <v>1420</v>
      </c>
      <c r="R8175" s="14">
        <v>160</v>
      </c>
      <c r="S8175" s="19">
        <v>227200</v>
      </c>
      <c r="AJ8175" s="19">
        <v>0</v>
      </c>
      <c r="AK8175" s="23">
        <v>0</v>
      </c>
      <c r="AM8175" s="19">
        <v>0</v>
      </c>
      <c r="AN8175" s="19">
        <v>227200</v>
      </c>
      <c r="AP8175" s="14">
        <v>227200</v>
      </c>
      <c r="AQ8175" s="12">
        <v>1E-4</v>
      </c>
    </row>
    <row r="8176" spans="1:45" x14ac:dyDescent="0.2">
      <c r="A8176" s="122">
        <f t="shared" si="774"/>
        <v>6772</v>
      </c>
      <c r="B8176" s="13">
        <v>1</v>
      </c>
      <c r="C8176" s="17" t="s">
        <v>69</v>
      </c>
      <c r="E8176" s="17">
        <v>1498</v>
      </c>
      <c r="F8176" s="17">
        <v>4</v>
      </c>
      <c r="G8176" s="13">
        <v>6</v>
      </c>
      <c r="H8176" s="17">
        <v>68</v>
      </c>
      <c r="I8176" s="17">
        <v>1</v>
      </c>
      <c r="J8176" s="17">
        <v>6</v>
      </c>
      <c r="K8176" s="10">
        <v>27306</v>
      </c>
      <c r="P8176" s="17">
        <v>1</v>
      </c>
      <c r="Q8176" s="19">
        <v>27306</v>
      </c>
      <c r="R8176" s="14">
        <v>160</v>
      </c>
      <c r="S8176" s="19">
        <v>4368960</v>
      </c>
      <c r="AJ8176" s="19">
        <v>0</v>
      </c>
      <c r="AK8176" s="23">
        <v>0</v>
      </c>
      <c r="AM8176" s="19">
        <v>0</v>
      </c>
      <c r="AN8176" s="19">
        <v>4368960</v>
      </c>
      <c r="AP8176" s="14">
        <v>4368960</v>
      </c>
      <c r="AQ8176" s="12">
        <v>1E-4</v>
      </c>
    </row>
    <row r="8177" spans="1:45" s="19" customFormat="1" x14ac:dyDescent="0.2">
      <c r="A8177" s="122">
        <f t="shared" si="774"/>
        <v>6773</v>
      </c>
      <c r="B8177" s="13">
        <v>1</v>
      </c>
      <c r="C8177" s="17" t="s">
        <v>69</v>
      </c>
      <c r="D8177" s="17"/>
      <c r="E8177" s="17">
        <v>2328</v>
      </c>
      <c r="F8177" s="17">
        <v>12</v>
      </c>
      <c r="G8177" s="13">
        <v>2</v>
      </c>
      <c r="H8177" s="17">
        <v>17</v>
      </c>
      <c r="I8177" s="17">
        <v>3</v>
      </c>
      <c r="J8177" s="17">
        <v>46</v>
      </c>
      <c r="K8177" s="10">
        <v>7146</v>
      </c>
      <c r="L8177" s="17"/>
      <c r="M8177" s="15"/>
      <c r="N8177" s="18"/>
      <c r="O8177" s="14"/>
      <c r="P8177" s="17">
        <v>1</v>
      </c>
      <c r="Q8177" s="19">
        <v>7146</v>
      </c>
      <c r="R8177" s="14">
        <v>160</v>
      </c>
      <c r="S8177" s="19">
        <v>1143360</v>
      </c>
      <c r="T8177" s="17"/>
      <c r="U8177" s="17"/>
      <c r="V8177" s="17"/>
      <c r="W8177" s="4"/>
      <c r="X8177" s="17"/>
      <c r="Y8177" s="4"/>
      <c r="Z8177" s="17"/>
      <c r="AA8177" s="17"/>
      <c r="AB8177" s="17"/>
      <c r="AC8177" s="14"/>
      <c r="AD8177" s="14"/>
      <c r="AE8177" s="17"/>
      <c r="AF8177" s="14"/>
      <c r="AG8177" s="54"/>
      <c r="AH8177" s="11"/>
      <c r="AI8177" s="14"/>
      <c r="AJ8177" s="19">
        <v>0</v>
      </c>
      <c r="AK8177" s="23">
        <v>0</v>
      </c>
      <c r="AL8177" s="11"/>
      <c r="AM8177" s="19">
        <v>0</v>
      </c>
      <c r="AN8177" s="19">
        <v>1143360</v>
      </c>
      <c r="AO8177" s="14"/>
      <c r="AP8177" s="14">
        <v>1143360</v>
      </c>
      <c r="AQ8177" s="12">
        <v>1E-4</v>
      </c>
      <c r="AS8177" s="26"/>
    </row>
    <row r="8178" spans="1:45" s="19" customFormat="1" x14ac:dyDescent="0.2">
      <c r="A8178" s="122">
        <f t="shared" si="774"/>
        <v>6774</v>
      </c>
      <c r="B8178" s="13">
        <v>1</v>
      </c>
      <c r="C8178" s="17" t="s">
        <v>69</v>
      </c>
      <c r="D8178" s="17"/>
      <c r="E8178" s="17">
        <v>1496</v>
      </c>
      <c r="F8178" s="17">
        <v>2</v>
      </c>
      <c r="G8178" s="13">
        <v>6</v>
      </c>
      <c r="H8178" s="17">
        <v>46</v>
      </c>
      <c r="I8178" s="17">
        <v>0</v>
      </c>
      <c r="J8178" s="17">
        <v>93</v>
      </c>
      <c r="K8178" s="10">
        <v>18493</v>
      </c>
      <c r="L8178" s="17"/>
      <c r="M8178" s="15"/>
      <c r="N8178" s="18"/>
      <c r="O8178" s="14"/>
      <c r="P8178" s="17">
        <v>1</v>
      </c>
      <c r="Q8178" s="19">
        <v>18493</v>
      </c>
      <c r="R8178" s="14">
        <v>160</v>
      </c>
      <c r="S8178" s="19">
        <v>2958880</v>
      </c>
      <c r="T8178" s="17"/>
      <c r="U8178" s="17"/>
      <c r="V8178" s="17"/>
      <c r="W8178" s="4"/>
      <c r="X8178" s="17"/>
      <c r="Y8178" s="4"/>
      <c r="Z8178" s="17"/>
      <c r="AA8178" s="17"/>
      <c r="AB8178" s="17"/>
      <c r="AC8178" s="14"/>
      <c r="AD8178" s="14"/>
      <c r="AE8178" s="17"/>
      <c r="AF8178" s="14"/>
      <c r="AG8178" s="54"/>
      <c r="AH8178" s="11"/>
      <c r="AI8178" s="14"/>
      <c r="AJ8178" s="19">
        <v>0</v>
      </c>
      <c r="AK8178" s="23">
        <v>0</v>
      </c>
      <c r="AL8178" s="11"/>
      <c r="AM8178" s="19">
        <v>0</v>
      </c>
      <c r="AN8178" s="19">
        <v>2958880</v>
      </c>
      <c r="AO8178" s="14"/>
      <c r="AP8178" s="14">
        <v>2958880</v>
      </c>
      <c r="AQ8178" s="12">
        <v>1E-4</v>
      </c>
      <c r="AS8178" s="26"/>
    </row>
    <row r="8179" spans="1:45" s="19" customFormat="1" x14ac:dyDescent="0.2">
      <c r="A8179" s="2"/>
      <c r="B8179" s="13">
        <v>1</v>
      </c>
      <c r="C8179" s="17" t="s">
        <v>69</v>
      </c>
      <c r="D8179" s="17"/>
      <c r="E8179" s="17">
        <v>2332</v>
      </c>
      <c r="F8179" s="17">
        <v>6</v>
      </c>
      <c r="G8179" s="13">
        <v>2</v>
      </c>
      <c r="H8179" s="17">
        <v>23</v>
      </c>
      <c r="I8179" s="17">
        <v>2</v>
      </c>
      <c r="J8179" s="17">
        <v>94</v>
      </c>
      <c r="K8179" s="10">
        <v>9494</v>
      </c>
      <c r="L8179" s="17"/>
      <c r="M8179" s="15"/>
      <c r="N8179" s="18"/>
      <c r="O8179" s="14"/>
      <c r="P8179" s="17">
        <v>1</v>
      </c>
      <c r="Q8179" s="19">
        <v>9494</v>
      </c>
      <c r="R8179" s="14" t="e">
        <v>#N/A</v>
      </c>
      <c r="S8179" s="19" t="e">
        <v>#N/A</v>
      </c>
      <c r="T8179" s="17"/>
      <c r="U8179" s="17"/>
      <c r="V8179" s="17"/>
      <c r="W8179" s="4"/>
      <c r="X8179" s="17"/>
      <c r="Y8179" s="4"/>
      <c r="Z8179" s="17"/>
      <c r="AA8179" s="17"/>
      <c r="AB8179" s="17"/>
      <c r="AC8179" s="14"/>
      <c r="AD8179" s="14"/>
      <c r="AE8179" s="17"/>
      <c r="AF8179" s="14"/>
      <c r="AG8179" s="54"/>
      <c r="AH8179" s="11"/>
      <c r="AI8179" s="14"/>
      <c r="AJ8179" s="19">
        <v>0</v>
      </c>
      <c r="AK8179" s="23">
        <v>0</v>
      </c>
      <c r="AL8179" s="11"/>
      <c r="AM8179" s="19">
        <v>0</v>
      </c>
      <c r="AN8179" s="19" t="e">
        <v>#N/A</v>
      </c>
      <c r="AO8179" s="14"/>
      <c r="AP8179" s="14" t="e">
        <v>#N/A</v>
      </c>
      <c r="AQ8179" s="12">
        <v>1E-4</v>
      </c>
      <c r="AS8179" s="26"/>
    </row>
    <row r="8180" spans="1:45" s="19" customFormat="1" x14ac:dyDescent="0.2">
      <c r="A8180" s="2">
        <v>6775</v>
      </c>
      <c r="B8180" s="13">
        <v>1</v>
      </c>
      <c r="C8180" s="17" t="s">
        <v>69</v>
      </c>
      <c r="D8180" s="17"/>
      <c r="E8180" s="17">
        <v>1499</v>
      </c>
      <c r="F8180" s="17">
        <v>1</v>
      </c>
      <c r="G8180" s="13">
        <v>2</v>
      </c>
      <c r="H8180" s="17">
        <v>76</v>
      </c>
      <c r="I8180" s="17">
        <v>2</v>
      </c>
      <c r="J8180" s="17">
        <v>81</v>
      </c>
      <c r="K8180" s="10">
        <v>30681</v>
      </c>
      <c r="L8180" s="17"/>
      <c r="M8180" s="15"/>
      <c r="N8180" s="18"/>
      <c r="O8180" s="14"/>
      <c r="P8180" s="17">
        <v>1</v>
      </c>
      <c r="Q8180" s="19">
        <v>30681</v>
      </c>
      <c r="R8180" s="14">
        <v>200</v>
      </c>
      <c r="S8180" s="19">
        <v>6136200</v>
      </c>
      <c r="T8180" s="17"/>
      <c r="U8180" s="17"/>
      <c r="V8180" s="17"/>
      <c r="W8180" s="4"/>
      <c r="X8180" s="17"/>
      <c r="Y8180" s="4"/>
      <c r="Z8180" s="17"/>
      <c r="AA8180" s="17"/>
      <c r="AB8180" s="17"/>
      <c r="AC8180" s="14"/>
      <c r="AD8180" s="14"/>
      <c r="AE8180" s="17"/>
      <c r="AF8180" s="14"/>
      <c r="AG8180" s="54"/>
      <c r="AH8180" s="11"/>
      <c r="AI8180" s="14"/>
      <c r="AJ8180" s="19">
        <v>0</v>
      </c>
      <c r="AK8180" s="23">
        <v>0</v>
      </c>
      <c r="AL8180" s="11"/>
      <c r="AM8180" s="19">
        <v>0</v>
      </c>
      <c r="AN8180" s="19">
        <v>6136200</v>
      </c>
      <c r="AO8180" s="14"/>
      <c r="AP8180" s="14">
        <v>6136200</v>
      </c>
      <c r="AQ8180" s="12">
        <v>1E-4</v>
      </c>
      <c r="AS8180" s="26"/>
    </row>
    <row r="8181" spans="1:45" s="19" customFormat="1" x14ac:dyDescent="0.2">
      <c r="A8181" s="2"/>
      <c r="B8181" s="13">
        <v>1</v>
      </c>
      <c r="C8181" s="17" t="s">
        <v>69</v>
      </c>
      <c r="D8181" s="17"/>
      <c r="E8181" s="17">
        <v>1692</v>
      </c>
      <c r="F8181" s="17">
        <v>2</v>
      </c>
      <c r="G8181" s="13">
        <v>2</v>
      </c>
      <c r="H8181" s="17">
        <v>99</v>
      </c>
      <c r="I8181" s="17">
        <v>2</v>
      </c>
      <c r="J8181" s="17">
        <v>74</v>
      </c>
      <c r="K8181" s="10">
        <v>39874</v>
      </c>
      <c r="L8181" s="17"/>
      <c r="M8181" s="15"/>
      <c r="N8181" s="18"/>
      <c r="O8181" s="14"/>
      <c r="P8181" s="17">
        <v>1</v>
      </c>
      <c r="Q8181" s="19">
        <v>39874</v>
      </c>
      <c r="R8181" s="14" t="e">
        <v>#N/A</v>
      </c>
      <c r="S8181" s="19" t="e">
        <v>#N/A</v>
      </c>
      <c r="T8181" s="17"/>
      <c r="U8181" s="17"/>
      <c r="V8181" s="17"/>
      <c r="W8181" s="4"/>
      <c r="X8181" s="17"/>
      <c r="Y8181" s="4"/>
      <c r="Z8181" s="17"/>
      <c r="AA8181" s="17"/>
      <c r="AB8181" s="17"/>
      <c r="AC8181" s="14"/>
      <c r="AD8181" s="14"/>
      <c r="AE8181" s="17"/>
      <c r="AF8181" s="14"/>
      <c r="AG8181" s="54"/>
      <c r="AH8181" s="11"/>
      <c r="AI8181" s="14"/>
      <c r="AJ8181" s="19">
        <v>0</v>
      </c>
      <c r="AK8181" s="23">
        <v>0</v>
      </c>
      <c r="AL8181" s="11"/>
      <c r="AM8181" s="19">
        <v>0</v>
      </c>
      <c r="AN8181" s="19" t="e">
        <v>#N/A</v>
      </c>
      <c r="AO8181" s="14"/>
      <c r="AP8181" s="14" t="e">
        <v>#N/A</v>
      </c>
      <c r="AQ8181" s="12">
        <v>1E-4</v>
      </c>
      <c r="AS8181" s="26"/>
    </row>
    <row r="8184" spans="1:45" s="19" customFormat="1" x14ac:dyDescent="0.2">
      <c r="A8184" s="2">
        <v>6776</v>
      </c>
      <c r="B8184" s="13">
        <v>1</v>
      </c>
      <c r="C8184" s="17" t="s">
        <v>69</v>
      </c>
      <c r="D8184" s="17"/>
      <c r="E8184" s="17">
        <v>1513</v>
      </c>
      <c r="F8184" s="17">
        <v>9</v>
      </c>
      <c r="G8184" s="13">
        <v>2</v>
      </c>
      <c r="H8184" s="17">
        <v>7</v>
      </c>
      <c r="I8184" s="17">
        <v>2</v>
      </c>
      <c r="J8184" s="17">
        <v>86</v>
      </c>
      <c r="K8184" s="10">
        <v>3086</v>
      </c>
      <c r="L8184" s="17"/>
      <c r="M8184" s="15"/>
      <c r="N8184" s="18"/>
      <c r="O8184" s="14"/>
      <c r="P8184" s="17">
        <v>1</v>
      </c>
      <c r="Q8184" s="19">
        <v>3086</v>
      </c>
      <c r="R8184" s="14">
        <v>160</v>
      </c>
      <c r="S8184" s="19">
        <v>493760</v>
      </c>
      <c r="T8184" s="17"/>
      <c r="U8184" s="17"/>
      <c r="V8184" s="17"/>
      <c r="W8184" s="4"/>
      <c r="X8184" s="17"/>
      <c r="Y8184" s="4"/>
      <c r="Z8184" s="17"/>
      <c r="AA8184" s="17"/>
      <c r="AB8184" s="17"/>
      <c r="AC8184" s="14"/>
      <c r="AD8184" s="14"/>
      <c r="AE8184" s="17"/>
      <c r="AF8184" s="14"/>
      <c r="AG8184" s="54"/>
      <c r="AH8184" s="11"/>
      <c r="AI8184" s="14"/>
      <c r="AJ8184" s="19">
        <v>0</v>
      </c>
      <c r="AK8184" s="23">
        <v>0</v>
      </c>
      <c r="AL8184" s="11"/>
      <c r="AM8184" s="19">
        <v>0</v>
      </c>
      <c r="AN8184" s="19">
        <v>493760</v>
      </c>
      <c r="AO8184" s="14"/>
      <c r="AP8184" s="14">
        <v>493760</v>
      </c>
      <c r="AQ8184" s="12">
        <v>1E-4</v>
      </c>
      <c r="AS8184" s="26"/>
    </row>
    <row r="8185" spans="1:45" s="19" customFormat="1" x14ac:dyDescent="0.2">
      <c r="A8185" s="2">
        <f>+A8184+1</f>
        <v>6777</v>
      </c>
      <c r="B8185" s="13">
        <v>1</v>
      </c>
      <c r="C8185" s="17" t="s">
        <v>52</v>
      </c>
      <c r="D8185" s="17">
        <v>41202</v>
      </c>
      <c r="E8185" s="17">
        <v>102</v>
      </c>
      <c r="F8185" s="17">
        <v>8318</v>
      </c>
      <c r="G8185" s="13">
        <v>1</v>
      </c>
      <c r="H8185" s="17">
        <v>0</v>
      </c>
      <c r="I8185" s="17">
        <v>3</v>
      </c>
      <c r="J8185" s="17">
        <v>78.5</v>
      </c>
      <c r="K8185" s="10">
        <v>1981</v>
      </c>
      <c r="L8185" s="17"/>
      <c r="M8185" s="15"/>
      <c r="N8185" s="18"/>
      <c r="O8185" s="14"/>
      <c r="P8185" s="17">
        <v>1</v>
      </c>
      <c r="Q8185" s="19">
        <v>378.5</v>
      </c>
      <c r="R8185" s="14">
        <v>160</v>
      </c>
      <c r="S8185" s="19">
        <v>60560</v>
      </c>
      <c r="T8185" s="17"/>
      <c r="U8185" s="17"/>
      <c r="V8185" s="17"/>
      <c r="W8185" s="4"/>
      <c r="X8185" s="17"/>
      <c r="Y8185" s="4"/>
      <c r="Z8185" s="17"/>
      <c r="AA8185" s="17"/>
      <c r="AB8185" s="17"/>
      <c r="AC8185" s="14"/>
      <c r="AD8185" s="14"/>
      <c r="AE8185" s="17"/>
      <c r="AF8185" s="14"/>
      <c r="AG8185" s="54"/>
      <c r="AH8185" s="11"/>
      <c r="AI8185" s="14"/>
      <c r="AJ8185" s="19">
        <v>0</v>
      </c>
      <c r="AK8185" s="23">
        <v>0</v>
      </c>
      <c r="AL8185" s="11"/>
      <c r="AM8185" s="19">
        <v>0</v>
      </c>
      <c r="AN8185" s="19">
        <v>60560</v>
      </c>
      <c r="AO8185" s="14"/>
      <c r="AP8185" s="14">
        <v>60560</v>
      </c>
      <c r="AQ8185" s="12"/>
      <c r="AS8185" s="26"/>
    </row>
    <row r="8186" spans="1:45" s="19" customFormat="1" x14ac:dyDescent="0.2">
      <c r="A8186" s="122">
        <f t="shared" ref="A8186:A8190" si="775">+A8185+1</f>
        <v>6778</v>
      </c>
      <c r="B8186" s="13">
        <v>2</v>
      </c>
      <c r="C8186" s="17" t="s">
        <v>52</v>
      </c>
      <c r="D8186" s="17">
        <v>41204</v>
      </c>
      <c r="E8186" s="17">
        <v>104</v>
      </c>
      <c r="F8186" s="17">
        <v>8320</v>
      </c>
      <c r="G8186" s="13">
        <v>1</v>
      </c>
      <c r="H8186" s="17">
        <v>1</v>
      </c>
      <c r="I8186" s="17">
        <v>0</v>
      </c>
      <c r="J8186" s="17">
        <v>85.5</v>
      </c>
      <c r="K8186" s="10"/>
      <c r="L8186" s="17"/>
      <c r="M8186" s="15"/>
      <c r="N8186" s="18"/>
      <c r="O8186" s="14"/>
      <c r="P8186" s="17">
        <v>1</v>
      </c>
      <c r="Q8186" s="19">
        <v>485.5</v>
      </c>
      <c r="R8186" s="14">
        <v>160</v>
      </c>
      <c r="S8186" s="19">
        <v>77680</v>
      </c>
      <c r="T8186" s="17"/>
      <c r="U8186" s="17"/>
      <c r="V8186" s="17"/>
      <c r="W8186" s="4"/>
      <c r="X8186" s="17"/>
      <c r="Y8186" s="4"/>
      <c r="Z8186" s="17"/>
      <c r="AA8186" s="17"/>
      <c r="AB8186" s="17"/>
      <c r="AC8186" s="14"/>
      <c r="AD8186" s="14"/>
      <c r="AE8186" s="17"/>
      <c r="AF8186" s="14"/>
      <c r="AG8186" s="54"/>
      <c r="AH8186" s="11"/>
      <c r="AI8186" s="14"/>
      <c r="AK8186" s="23"/>
      <c r="AL8186" s="11"/>
      <c r="AN8186" s="19">
        <v>77680</v>
      </c>
      <c r="AO8186" s="14"/>
      <c r="AP8186" s="14">
        <v>77680</v>
      </c>
      <c r="AQ8186" s="12"/>
      <c r="AS8186" s="26"/>
    </row>
    <row r="8187" spans="1:45" s="19" customFormat="1" x14ac:dyDescent="0.2">
      <c r="A8187" s="122">
        <f t="shared" si="775"/>
        <v>6779</v>
      </c>
      <c r="B8187" s="13">
        <v>1</v>
      </c>
      <c r="C8187" s="17" t="s">
        <v>69</v>
      </c>
      <c r="D8187" s="17"/>
      <c r="E8187" s="17">
        <v>1516</v>
      </c>
      <c r="F8187" s="17">
        <v>2</v>
      </c>
      <c r="G8187" s="13">
        <v>2</v>
      </c>
      <c r="H8187" s="17">
        <v>4</v>
      </c>
      <c r="I8187" s="17">
        <v>0</v>
      </c>
      <c r="J8187" s="17">
        <v>51</v>
      </c>
      <c r="K8187" s="10">
        <v>1651</v>
      </c>
      <c r="L8187" s="17"/>
      <c r="M8187" s="15"/>
      <c r="N8187" s="18"/>
      <c r="O8187" s="14"/>
      <c r="P8187" s="17">
        <v>1</v>
      </c>
      <c r="Q8187" s="19">
        <v>1651</v>
      </c>
      <c r="R8187" s="14">
        <v>160</v>
      </c>
      <c r="S8187" s="19">
        <v>264160</v>
      </c>
      <c r="T8187" s="17"/>
      <c r="U8187" s="17"/>
      <c r="V8187" s="17"/>
      <c r="W8187" s="4"/>
      <c r="X8187" s="17"/>
      <c r="Y8187" s="4"/>
      <c r="Z8187" s="17"/>
      <c r="AA8187" s="17"/>
      <c r="AB8187" s="17"/>
      <c r="AC8187" s="14"/>
      <c r="AD8187" s="14"/>
      <c r="AE8187" s="17"/>
      <c r="AF8187" s="14"/>
      <c r="AG8187" s="54"/>
      <c r="AH8187" s="11"/>
      <c r="AI8187" s="14"/>
      <c r="AJ8187" s="19">
        <v>0</v>
      </c>
      <c r="AK8187" s="23">
        <v>0</v>
      </c>
      <c r="AL8187" s="11"/>
      <c r="AM8187" s="19">
        <v>0</v>
      </c>
      <c r="AN8187" s="19">
        <v>264160</v>
      </c>
      <c r="AO8187" s="14"/>
      <c r="AP8187" s="14">
        <v>264160</v>
      </c>
      <c r="AQ8187" s="12">
        <v>1E-4</v>
      </c>
      <c r="AS8187" s="26"/>
    </row>
    <row r="8188" spans="1:45" s="19" customFormat="1" x14ac:dyDescent="0.2">
      <c r="A8188" s="122">
        <f t="shared" si="775"/>
        <v>6780</v>
      </c>
      <c r="B8188" s="13">
        <v>1</v>
      </c>
      <c r="C8188" s="17" t="s">
        <v>69</v>
      </c>
      <c r="D8188" s="17"/>
      <c r="E8188" s="17">
        <v>2329</v>
      </c>
      <c r="F8188" s="17">
        <v>28</v>
      </c>
      <c r="G8188" s="13">
        <v>2</v>
      </c>
      <c r="H8188" s="17">
        <v>5</v>
      </c>
      <c r="I8188" s="17">
        <v>3</v>
      </c>
      <c r="J8188" s="17">
        <v>33</v>
      </c>
      <c r="K8188" s="10">
        <v>2333</v>
      </c>
      <c r="L8188" s="17"/>
      <c r="M8188" s="15"/>
      <c r="N8188" s="18"/>
      <c r="O8188" s="14"/>
      <c r="P8188" s="17">
        <v>1</v>
      </c>
      <c r="Q8188" s="19">
        <v>2333</v>
      </c>
      <c r="R8188" s="14">
        <v>200</v>
      </c>
      <c r="S8188" s="19">
        <v>466600</v>
      </c>
      <c r="T8188" s="17"/>
      <c r="U8188" s="17"/>
      <c r="V8188" s="17"/>
      <c r="W8188" s="4"/>
      <c r="X8188" s="17"/>
      <c r="Y8188" s="4"/>
      <c r="Z8188" s="17"/>
      <c r="AA8188" s="17"/>
      <c r="AB8188" s="17"/>
      <c r="AC8188" s="14"/>
      <c r="AD8188" s="14"/>
      <c r="AE8188" s="17"/>
      <c r="AF8188" s="14"/>
      <c r="AG8188" s="54"/>
      <c r="AH8188" s="11"/>
      <c r="AI8188" s="14"/>
      <c r="AJ8188" s="19">
        <v>0</v>
      </c>
      <c r="AK8188" s="23">
        <v>0</v>
      </c>
      <c r="AL8188" s="11"/>
      <c r="AM8188" s="19">
        <v>0</v>
      </c>
      <c r="AN8188" s="19">
        <v>466600</v>
      </c>
      <c r="AO8188" s="14"/>
      <c r="AP8188" s="14">
        <v>466600</v>
      </c>
      <c r="AQ8188" s="12">
        <v>1E-4</v>
      </c>
      <c r="AS8188" s="26"/>
    </row>
    <row r="8189" spans="1:45" s="19" customFormat="1" x14ac:dyDescent="0.2">
      <c r="A8189" s="122">
        <f t="shared" si="775"/>
        <v>6781</v>
      </c>
      <c r="B8189" s="13">
        <v>1</v>
      </c>
      <c r="C8189" s="17" t="s">
        <v>69</v>
      </c>
      <c r="D8189" s="17"/>
      <c r="E8189" s="17">
        <v>1514</v>
      </c>
      <c r="F8189" s="17">
        <v>1</v>
      </c>
      <c r="G8189" s="13">
        <v>6</v>
      </c>
      <c r="H8189" s="17">
        <v>14</v>
      </c>
      <c r="I8189" s="17">
        <v>0</v>
      </c>
      <c r="J8189" s="17">
        <v>96</v>
      </c>
      <c r="K8189" s="10">
        <v>5696</v>
      </c>
      <c r="L8189" s="17"/>
      <c r="M8189" s="15"/>
      <c r="N8189" s="18"/>
      <c r="O8189" s="14"/>
      <c r="P8189" s="17">
        <v>1</v>
      </c>
      <c r="Q8189" s="19">
        <v>5696</v>
      </c>
      <c r="R8189" s="14">
        <v>160</v>
      </c>
      <c r="S8189" s="19">
        <v>911360</v>
      </c>
      <c r="T8189" s="17"/>
      <c r="U8189" s="17"/>
      <c r="V8189" s="17"/>
      <c r="W8189" s="4"/>
      <c r="X8189" s="17"/>
      <c r="Y8189" s="4"/>
      <c r="Z8189" s="17"/>
      <c r="AA8189" s="17"/>
      <c r="AB8189" s="17"/>
      <c r="AC8189" s="14"/>
      <c r="AD8189" s="14"/>
      <c r="AE8189" s="17"/>
      <c r="AF8189" s="14"/>
      <c r="AG8189" s="54"/>
      <c r="AH8189" s="11"/>
      <c r="AI8189" s="14"/>
      <c r="AJ8189" s="19">
        <v>0</v>
      </c>
      <c r="AK8189" s="23">
        <v>0</v>
      </c>
      <c r="AL8189" s="11"/>
      <c r="AM8189" s="19">
        <v>0</v>
      </c>
      <c r="AN8189" s="19">
        <v>911360</v>
      </c>
      <c r="AO8189" s="14"/>
      <c r="AP8189" s="14">
        <v>911360</v>
      </c>
      <c r="AQ8189" s="12">
        <v>1E-4</v>
      </c>
      <c r="AS8189" s="26"/>
    </row>
    <row r="8190" spans="1:45" s="19" customFormat="1" x14ac:dyDescent="0.2">
      <c r="A8190" s="122">
        <f t="shared" si="775"/>
        <v>6782</v>
      </c>
      <c r="B8190" s="13">
        <v>1</v>
      </c>
      <c r="C8190" s="17" t="s">
        <v>69</v>
      </c>
      <c r="D8190" s="17"/>
      <c r="E8190" s="17">
        <v>2328</v>
      </c>
      <c r="F8190" s="17">
        <v>16</v>
      </c>
      <c r="G8190" s="13">
        <v>2</v>
      </c>
      <c r="H8190" s="17">
        <v>2</v>
      </c>
      <c r="I8190" s="17">
        <v>1</v>
      </c>
      <c r="J8190" s="17">
        <v>18</v>
      </c>
      <c r="K8190" s="10">
        <v>918</v>
      </c>
      <c r="L8190" s="17"/>
      <c r="M8190" s="15"/>
      <c r="N8190" s="18"/>
      <c r="O8190" s="14"/>
      <c r="P8190" s="17">
        <v>1</v>
      </c>
      <c r="Q8190" s="19">
        <v>918</v>
      </c>
      <c r="R8190" s="14">
        <v>160</v>
      </c>
      <c r="S8190" s="19">
        <v>146880</v>
      </c>
      <c r="T8190" s="17"/>
      <c r="U8190" s="17"/>
      <c r="V8190" s="17"/>
      <c r="W8190" s="4"/>
      <c r="X8190" s="17"/>
      <c r="Y8190" s="4"/>
      <c r="Z8190" s="17"/>
      <c r="AA8190" s="17"/>
      <c r="AB8190" s="17"/>
      <c r="AC8190" s="14"/>
      <c r="AD8190" s="14"/>
      <c r="AE8190" s="17"/>
      <c r="AF8190" s="14"/>
      <c r="AG8190" s="54"/>
      <c r="AH8190" s="11"/>
      <c r="AI8190" s="14"/>
      <c r="AJ8190" s="19">
        <v>0</v>
      </c>
      <c r="AK8190" s="23">
        <v>0</v>
      </c>
      <c r="AL8190" s="11"/>
      <c r="AM8190" s="19">
        <v>0</v>
      </c>
      <c r="AN8190" s="19">
        <v>146880</v>
      </c>
      <c r="AO8190" s="14"/>
      <c r="AP8190" s="14">
        <v>146880</v>
      </c>
      <c r="AQ8190" s="12">
        <v>1E-4</v>
      </c>
      <c r="AS8190" s="26"/>
    </row>
    <row r="8191" spans="1:45" s="19" customFormat="1" x14ac:dyDescent="0.2">
      <c r="A8191" s="2"/>
      <c r="B8191" s="13">
        <v>1</v>
      </c>
      <c r="C8191" s="17" t="s">
        <v>69</v>
      </c>
      <c r="D8191" s="17"/>
      <c r="E8191" s="17">
        <v>2330</v>
      </c>
      <c r="F8191" s="17">
        <v>15</v>
      </c>
      <c r="G8191" s="13">
        <v>2</v>
      </c>
      <c r="H8191" s="17">
        <v>12</v>
      </c>
      <c r="I8191" s="17">
        <v>2</v>
      </c>
      <c r="J8191" s="17">
        <v>80</v>
      </c>
      <c r="K8191" s="10">
        <v>5080</v>
      </c>
      <c r="L8191" s="17"/>
      <c r="M8191" s="15"/>
      <c r="N8191" s="18"/>
      <c r="O8191" s="14"/>
      <c r="P8191" s="17">
        <v>1</v>
      </c>
      <c r="Q8191" s="19">
        <v>5080</v>
      </c>
      <c r="R8191" s="14" t="e">
        <v>#N/A</v>
      </c>
      <c r="S8191" s="19" t="e">
        <v>#N/A</v>
      </c>
      <c r="T8191" s="17"/>
      <c r="U8191" s="17"/>
      <c r="V8191" s="17"/>
      <c r="W8191" s="4"/>
      <c r="X8191" s="17"/>
      <c r="Y8191" s="4"/>
      <c r="Z8191" s="17"/>
      <c r="AA8191" s="17"/>
      <c r="AB8191" s="17"/>
      <c r="AC8191" s="14"/>
      <c r="AD8191" s="14"/>
      <c r="AE8191" s="17"/>
      <c r="AF8191" s="14"/>
      <c r="AG8191" s="54"/>
      <c r="AH8191" s="11"/>
      <c r="AI8191" s="14"/>
      <c r="AJ8191" s="19">
        <v>0</v>
      </c>
      <c r="AK8191" s="23">
        <v>0</v>
      </c>
      <c r="AL8191" s="11"/>
      <c r="AM8191" s="19">
        <v>0</v>
      </c>
      <c r="AN8191" s="19" t="e">
        <v>#N/A</v>
      </c>
      <c r="AO8191" s="14"/>
      <c r="AP8191" s="14" t="e">
        <v>#N/A</v>
      </c>
      <c r="AQ8191" s="12">
        <v>1E-4</v>
      </c>
      <c r="AS8191" s="26"/>
    </row>
    <row r="8192" spans="1:45" s="19" customFormat="1" x14ac:dyDescent="0.2">
      <c r="A8192" s="2"/>
      <c r="B8192" s="13">
        <v>1</v>
      </c>
      <c r="C8192" s="17" t="s">
        <v>69</v>
      </c>
      <c r="D8192" s="17"/>
      <c r="E8192" s="17">
        <v>2330</v>
      </c>
      <c r="F8192" s="17">
        <v>7</v>
      </c>
      <c r="G8192" s="13">
        <v>2</v>
      </c>
      <c r="H8192" s="17">
        <v>10</v>
      </c>
      <c r="I8192" s="17">
        <v>2</v>
      </c>
      <c r="J8192" s="17">
        <v>47</v>
      </c>
      <c r="K8192" s="10">
        <v>4247</v>
      </c>
      <c r="L8192" s="17"/>
      <c r="M8192" s="15"/>
      <c r="N8192" s="18"/>
      <c r="O8192" s="14"/>
      <c r="P8192" s="17">
        <v>1</v>
      </c>
      <c r="Q8192" s="19">
        <v>4247</v>
      </c>
      <c r="R8192" s="14" t="e">
        <v>#N/A</v>
      </c>
      <c r="S8192" s="19" t="e">
        <v>#N/A</v>
      </c>
      <c r="T8192" s="17"/>
      <c r="U8192" s="17"/>
      <c r="V8192" s="17"/>
      <c r="W8192" s="4"/>
      <c r="X8192" s="17"/>
      <c r="Y8192" s="4"/>
      <c r="Z8192" s="17"/>
      <c r="AA8192" s="17"/>
      <c r="AB8192" s="17"/>
      <c r="AC8192" s="14"/>
      <c r="AD8192" s="14"/>
      <c r="AE8192" s="17"/>
      <c r="AF8192" s="14"/>
      <c r="AG8192" s="54"/>
      <c r="AH8192" s="11"/>
      <c r="AI8192" s="14"/>
      <c r="AJ8192" s="19">
        <v>0</v>
      </c>
      <c r="AK8192" s="23">
        <v>0</v>
      </c>
      <c r="AL8192" s="11"/>
      <c r="AM8192" s="19">
        <v>0</v>
      </c>
      <c r="AN8192" s="19" t="e">
        <v>#N/A</v>
      </c>
      <c r="AO8192" s="14"/>
      <c r="AP8192" s="14" t="e">
        <v>#N/A</v>
      </c>
      <c r="AQ8192" s="12">
        <v>1E-4</v>
      </c>
      <c r="AS8192" s="26"/>
    </row>
    <row r="8193" spans="1:45" x14ac:dyDescent="0.2">
      <c r="B8193" s="13">
        <v>1</v>
      </c>
      <c r="C8193" s="17" t="s">
        <v>69</v>
      </c>
      <c r="E8193" s="17">
        <v>2330</v>
      </c>
      <c r="F8193" s="17">
        <v>9</v>
      </c>
      <c r="G8193" s="13">
        <v>2</v>
      </c>
      <c r="H8193" s="17">
        <v>14</v>
      </c>
      <c r="I8193" s="17">
        <v>2</v>
      </c>
      <c r="J8193" s="17">
        <v>50</v>
      </c>
      <c r="K8193" s="10">
        <v>5850</v>
      </c>
      <c r="P8193" s="17">
        <v>1</v>
      </c>
      <c r="Q8193" s="19">
        <v>5850</v>
      </c>
      <c r="R8193" s="14" t="e">
        <v>#N/A</v>
      </c>
      <c r="S8193" s="19" t="e">
        <v>#N/A</v>
      </c>
      <c r="AE8193" s="17" t="s">
        <v>834</v>
      </c>
      <c r="AJ8193" s="19">
        <v>0</v>
      </c>
      <c r="AK8193" s="23">
        <v>0</v>
      </c>
      <c r="AM8193" s="19">
        <v>0</v>
      </c>
      <c r="AN8193" s="19" t="e">
        <v>#N/A</v>
      </c>
      <c r="AP8193" s="14" t="e">
        <v>#N/A</v>
      </c>
      <c r="AQ8193" s="12">
        <v>1E-4</v>
      </c>
    </row>
    <row r="8194" spans="1:45" x14ac:dyDescent="0.2">
      <c r="A8194" s="2">
        <v>6783</v>
      </c>
      <c r="B8194" s="13">
        <v>1</v>
      </c>
      <c r="C8194" s="17" t="s">
        <v>69</v>
      </c>
      <c r="E8194" s="17">
        <v>1470</v>
      </c>
      <c r="F8194" s="17">
        <v>3</v>
      </c>
      <c r="G8194" s="13">
        <v>2</v>
      </c>
      <c r="H8194" s="17">
        <v>44</v>
      </c>
      <c r="I8194" s="17">
        <v>1</v>
      </c>
      <c r="J8194" s="17">
        <v>47</v>
      </c>
      <c r="K8194" s="10">
        <v>17747</v>
      </c>
      <c r="P8194" s="17">
        <v>1</v>
      </c>
      <c r="Q8194" s="19">
        <v>17747</v>
      </c>
      <c r="R8194" s="14">
        <v>160</v>
      </c>
      <c r="S8194" s="19">
        <v>2839520</v>
      </c>
      <c r="AJ8194" s="19">
        <v>0</v>
      </c>
      <c r="AK8194" s="23">
        <v>0</v>
      </c>
      <c r="AM8194" s="19">
        <v>0</v>
      </c>
      <c r="AN8194" s="19">
        <v>2839520</v>
      </c>
      <c r="AP8194" s="14">
        <v>2839520</v>
      </c>
      <c r="AQ8194" s="12">
        <v>1E-4</v>
      </c>
    </row>
    <row r="8195" spans="1:45" x14ac:dyDescent="0.2">
      <c r="A8195" s="2">
        <f>+A8194+1</f>
        <v>6784</v>
      </c>
      <c r="B8195" s="13">
        <v>1</v>
      </c>
      <c r="C8195" s="17" t="s">
        <v>69</v>
      </c>
      <c r="E8195" s="17">
        <v>1519</v>
      </c>
      <c r="F8195" s="17">
        <v>3</v>
      </c>
      <c r="G8195" s="13">
        <v>2</v>
      </c>
      <c r="H8195" s="17">
        <v>20</v>
      </c>
      <c r="I8195" s="17">
        <v>3</v>
      </c>
      <c r="J8195" s="17">
        <v>40</v>
      </c>
      <c r="K8195" s="10">
        <v>8340</v>
      </c>
      <c r="P8195" s="17">
        <v>1</v>
      </c>
      <c r="Q8195" s="19">
        <v>8340</v>
      </c>
      <c r="R8195" s="14">
        <v>160</v>
      </c>
      <c r="S8195" s="19">
        <v>1334400</v>
      </c>
      <c r="AJ8195" s="19">
        <v>0</v>
      </c>
      <c r="AK8195" s="23">
        <v>0</v>
      </c>
      <c r="AM8195" s="19">
        <v>0</v>
      </c>
      <c r="AN8195" s="19">
        <v>1334400</v>
      </c>
      <c r="AP8195" s="14">
        <v>1334400</v>
      </c>
      <c r="AQ8195" s="12">
        <v>1E-4</v>
      </c>
    </row>
    <row r="8196" spans="1:45" x14ac:dyDescent="0.2">
      <c r="A8196" s="122">
        <f t="shared" ref="A8196:A8200" si="776">+A8195+1</f>
        <v>6785</v>
      </c>
      <c r="B8196" s="13">
        <v>1</v>
      </c>
      <c r="C8196" s="17" t="s">
        <v>69</v>
      </c>
      <c r="G8196" s="13">
        <v>6</v>
      </c>
      <c r="H8196" s="17">
        <v>43</v>
      </c>
      <c r="I8196" s="17">
        <v>3</v>
      </c>
      <c r="J8196" s="17">
        <v>76</v>
      </c>
      <c r="K8196" s="10" t="s">
        <v>835</v>
      </c>
      <c r="P8196" s="17">
        <v>1</v>
      </c>
      <c r="Q8196" s="19">
        <v>17576</v>
      </c>
      <c r="R8196" s="14">
        <v>160</v>
      </c>
      <c r="S8196" s="19">
        <v>2812160</v>
      </c>
      <c r="AE8196" s="17" t="s">
        <v>836</v>
      </c>
      <c r="AJ8196" s="19">
        <v>0</v>
      </c>
      <c r="AK8196" s="23">
        <v>0</v>
      </c>
      <c r="AM8196" s="19">
        <v>0</v>
      </c>
      <c r="AN8196" s="19">
        <v>2812160</v>
      </c>
      <c r="AP8196" s="14">
        <v>2812160</v>
      </c>
      <c r="AQ8196" s="12">
        <v>1E-4</v>
      </c>
      <c r="AS8196" s="26">
        <v>242</v>
      </c>
    </row>
    <row r="8197" spans="1:45" x14ac:dyDescent="0.2">
      <c r="A8197" s="122">
        <f t="shared" si="776"/>
        <v>6786</v>
      </c>
      <c r="B8197" s="13">
        <v>1</v>
      </c>
      <c r="C8197" s="17" t="s">
        <v>69</v>
      </c>
      <c r="G8197" s="13">
        <v>6</v>
      </c>
      <c r="H8197" s="17">
        <v>48</v>
      </c>
      <c r="I8197" s="17">
        <v>3</v>
      </c>
      <c r="J8197" s="17">
        <v>81</v>
      </c>
      <c r="K8197" s="10" t="s">
        <v>837</v>
      </c>
      <c r="P8197" s="17">
        <v>1</v>
      </c>
      <c r="Q8197" s="19">
        <v>19581</v>
      </c>
      <c r="R8197" s="14">
        <v>160</v>
      </c>
      <c r="S8197" s="19">
        <v>3132960</v>
      </c>
      <c r="AE8197" s="17" t="s">
        <v>836</v>
      </c>
      <c r="AJ8197" s="19">
        <v>0</v>
      </c>
      <c r="AK8197" s="23">
        <v>0</v>
      </c>
      <c r="AM8197" s="19">
        <v>0</v>
      </c>
      <c r="AN8197" s="19">
        <v>3132960</v>
      </c>
      <c r="AP8197" s="14">
        <v>3132960</v>
      </c>
      <c r="AQ8197" s="12">
        <v>1E-4</v>
      </c>
      <c r="AS8197" s="26">
        <v>269</v>
      </c>
    </row>
    <row r="8198" spans="1:45" x14ac:dyDescent="0.2">
      <c r="A8198" s="122">
        <f t="shared" si="776"/>
        <v>6787</v>
      </c>
      <c r="B8198" s="13">
        <v>1</v>
      </c>
      <c r="C8198" s="17" t="s">
        <v>69</v>
      </c>
      <c r="E8198" s="17">
        <v>1518</v>
      </c>
      <c r="F8198" s="17">
        <v>6</v>
      </c>
      <c r="G8198" s="13">
        <v>2</v>
      </c>
      <c r="H8198" s="17">
        <v>2</v>
      </c>
      <c r="I8198" s="17">
        <v>3</v>
      </c>
      <c r="J8198" s="17">
        <v>75</v>
      </c>
      <c r="K8198" s="10">
        <v>1175</v>
      </c>
      <c r="P8198" s="17">
        <v>1</v>
      </c>
      <c r="Q8198" s="19">
        <v>1175</v>
      </c>
      <c r="R8198" s="14">
        <v>160</v>
      </c>
      <c r="S8198" s="19">
        <v>188000</v>
      </c>
      <c r="AJ8198" s="19">
        <v>0</v>
      </c>
      <c r="AK8198" s="23">
        <v>0</v>
      </c>
      <c r="AM8198" s="19">
        <v>0</v>
      </c>
      <c r="AN8198" s="19">
        <v>188000</v>
      </c>
      <c r="AP8198" s="14">
        <v>188000</v>
      </c>
      <c r="AQ8198" s="12">
        <v>1E-4</v>
      </c>
    </row>
    <row r="8199" spans="1:45" x14ac:dyDescent="0.2">
      <c r="A8199" s="122">
        <f t="shared" si="776"/>
        <v>6788</v>
      </c>
      <c r="B8199" s="13">
        <v>1</v>
      </c>
      <c r="C8199" s="17" t="s">
        <v>69</v>
      </c>
      <c r="E8199" s="17">
        <v>1469</v>
      </c>
      <c r="F8199" s="17">
        <v>7</v>
      </c>
      <c r="G8199" s="13">
        <v>2</v>
      </c>
      <c r="H8199" s="17">
        <v>11</v>
      </c>
      <c r="I8199" s="17">
        <v>3</v>
      </c>
      <c r="J8199" s="17">
        <v>86</v>
      </c>
      <c r="K8199" s="10">
        <v>4786</v>
      </c>
      <c r="P8199" s="17">
        <v>1</v>
      </c>
      <c r="Q8199" s="19">
        <v>4786</v>
      </c>
      <c r="R8199" s="14">
        <v>200</v>
      </c>
      <c r="S8199" s="19">
        <v>957200</v>
      </c>
      <c r="AJ8199" s="19">
        <v>0</v>
      </c>
      <c r="AK8199" s="23">
        <v>0</v>
      </c>
      <c r="AM8199" s="19">
        <v>0</v>
      </c>
      <c r="AN8199" s="19">
        <v>957200</v>
      </c>
      <c r="AP8199" s="14">
        <v>957200</v>
      </c>
      <c r="AQ8199" s="12">
        <v>1E-4</v>
      </c>
    </row>
    <row r="8200" spans="1:45" x14ac:dyDescent="0.2">
      <c r="A8200" s="122">
        <f t="shared" si="776"/>
        <v>6789</v>
      </c>
      <c r="B8200" s="13">
        <v>2</v>
      </c>
      <c r="C8200" s="17" t="s">
        <v>69</v>
      </c>
      <c r="E8200" s="17">
        <v>1470</v>
      </c>
      <c r="F8200" s="17">
        <v>1</v>
      </c>
      <c r="G8200" s="13">
        <v>2</v>
      </c>
      <c r="H8200" s="17">
        <v>18</v>
      </c>
      <c r="I8200" s="17">
        <v>3</v>
      </c>
      <c r="J8200" s="17">
        <v>16</v>
      </c>
      <c r="K8200" s="10">
        <v>7516</v>
      </c>
      <c r="P8200" s="17">
        <v>1</v>
      </c>
      <c r="Q8200" s="19">
        <v>7516</v>
      </c>
      <c r="R8200" s="14">
        <v>200</v>
      </c>
      <c r="S8200" s="19">
        <v>1503200</v>
      </c>
      <c r="AJ8200" s="19">
        <v>0</v>
      </c>
      <c r="AK8200" s="23">
        <v>0</v>
      </c>
      <c r="AM8200" s="19">
        <v>0</v>
      </c>
      <c r="AN8200" s="19">
        <v>1503200</v>
      </c>
      <c r="AP8200" s="14">
        <v>1503200</v>
      </c>
      <c r="AQ8200" s="12">
        <v>1E-4</v>
      </c>
    </row>
    <row r="8201" spans="1:45" x14ac:dyDescent="0.2">
      <c r="B8201" s="13">
        <v>1</v>
      </c>
      <c r="C8201" s="17" t="s">
        <v>69</v>
      </c>
      <c r="E8201" s="17">
        <v>1692</v>
      </c>
      <c r="F8201" s="17">
        <v>1</v>
      </c>
      <c r="G8201" s="13">
        <v>2</v>
      </c>
      <c r="H8201" s="17">
        <v>98</v>
      </c>
      <c r="I8201" s="17">
        <v>1</v>
      </c>
      <c r="J8201" s="17">
        <v>83</v>
      </c>
      <c r="K8201" s="10">
        <v>39383</v>
      </c>
      <c r="P8201" s="17">
        <v>1</v>
      </c>
      <c r="Q8201" s="19">
        <v>39383</v>
      </c>
      <c r="R8201" s="14" t="e">
        <v>#N/A</v>
      </c>
      <c r="S8201" s="19" t="e">
        <v>#N/A</v>
      </c>
      <c r="AJ8201" s="19">
        <v>0</v>
      </c>
      <c r="AK8201" s="23">
        <v>0</v>
      </c>
      <c r="AM8201" s="19">
        <v>0</v>
      </c>
      <c r="AN8201" s="19" t="e">
        <v>#N/A</v>
      </c>
      <c r="AP8201" s="14" t="e">
        <v>#N/A</v>
      </c>
      <c r="AQ8201" s="12">
        <v>1E-4</v>
      </c>
    </row>
    <row r="8202" spans="1:45" x14ac:dyDescent="0.2">
      <c r="B8202" s="13">
        <v>1</v>
      </c>
      <c r="C8202" s="17" t="s">
        <v>69</v>
      </c>
      <c r="E8202" s="17">
        <v>2330</v>
      </c>
      <c r="F8202" s="17">
        <v>17</v>
      </c>
      <c r="G8202" s="13">
        <v>2</v>
      </c>
      <c r="H8202" s="17">
        <v>21</v>
      </c>
      <c r="I8202" s="17">
        <v>0</v>
      </c>
      <c r="J8202" s="17">
        <v>85</v>
      </c>
      <c r="K8202" s="10">
        <v>8485</v>
      </c>
      <c r="P8202" s="17">
        <v>1</v>
      </c>
      <c r="Q8202" s="19">
        <v>8485</v>
      </c>
      <c r="R8202" s="14" t="e">
        <v>#N/A</v>
      </c>
      <c r="S8202" s="19" t="e">
        <v>#N/A</v>
      </c>
      <c r="AJ8202" s="19">
        <v>0</v>
      </c>
      <c r="AK8202" s="23">
        <v>0</v>
      </c>
      <c r="AM8202" s="19">
        <v>0</v>
      </c>
      <c r="AN8202" s="19" t="e">
        <v>#N/A</v>
      </c>
      <c r="AP8202" s="14" t="e">
        <v>#N/A</v>
      </c>
      <c r="AQ8202" s="12">
        <v>1E-4</v>
      </c>
    </row>
    <row r="8203" spans="1:45" x14ac:dyDescent="0.2">
      <c r="A8203" s="2">
        <v>6790</v>
      </c>
      <c r="B8203" s="13">
        <v>1</v>
      </c>
      <c r="C8203" s="17" t="s">
        <v>69</v>
      </c>
      <c r="E8203" s="17">
        <v>1518</v>
      </c>
      <c r="F8203" s="17">
        <v>2</v>
      </c>
      <c r="G8203" s="13">
        <v>2</v>
      </c>
      <c r="H8203" s="17">
        <v>7</v>
      </c>
      <c r="I8203" s="17">
        <v>3</v>
      </c>
      <c r="J8203" s="17">
        <v>15</v>
      </c>
      <c r="K8203" s="10">
        <v>3115</v>
      </c>
      <c r="P8203" s="17">
        <v>1</v>
      </c>
      <c r="Q8203" s="19">
        <v>3115</v>
      </c>
      <c r="R8203" s="14">
        <v>200</v>
      </c>
      <c r="S8203" s="19">
        <v>623000</v>
      </c>
      <c r="AJ8203" s="19">
        <v>0</v>
      </c>
      <c r="AK8203" s="23">
        <v>0</v>
      </c>
      <c r="AM8203" s="19">
        <v>0</v>
      </c>
      <c r="AN8203" s="19">
        <v>623000</v>
      </c>
      <c r="AP8203" s="14">
        <v>623000</v>
      </c>
      <c r="AQ8203" s="12">
        <v>1E-4</v>
      </c>
    </row>
    <row r="8204" spans="1:45" x14ac:dyDescent="0.2">
      <c r="A8204" s="2">
        <f>+A8203+1</f>
        <v>6791</v>
      </c>
      <c r="B8204" s="13">
        <v>1</v>
      </c>
      <c r="C8204" s="17" t="s">
        <v>69</v>
      </c>
      <c r="E8204" s="17">
        <v>1500</v>
      </c>
      <c r="F8204" s="17">
        <v>6</v>
      </c>
      <c r="G8204" s="13">
        <v>6</v>
      </c>
      <c r="H8204" s="17">
        <v>52</v>
      </c>
      <c r="I8204" s="17">
        <v>0</v>
      </c>
      <c r="J8204" s="17">
        <v>28</v>
      </c>
      <c r="K8204" s="10">
        <v>20828</v>
      </c>
      <c r="P8204" s="17">
        <v>1</v>
      </c>
      <c r="Q8204" s="19">
        <v>20828</v>
      </c>
      <c r="R8204" s="14">
        <v>160</v>
      </c>
      <c r="S8204" s="19">
        <v>3332480</v>
      </c>
      <c r="AJ8204" s="19">
        <v>0</v>
      </c>
      <c r="AK8204" s="23">
        <v>0</v>
      </c>
      <c r="AM8204" s="19">
        <v>0</v>
      </c>
      <c r="AN8204" s="19">
        <v>3332480</v>
      </c>
      <c r="AP8204" s="14">
        <v>3332480</v>
      </c>
      <c r="AQ8204" s="12">
        <v>1E-4</v>
      </c>
    </row>
    <row r="8205" spans="1:45" x14ac:dyDescent="0.2">
      <c r="A8205" s="122">
        <f t="shared" ref="A8205:A8206" si="777">+A8204+1</f>
        <v>6792</v>
      </c>
      <c r="B8205" s="13">
        <v>1</v>
      </c>
      <c r="C8205" s="17" t="s">
        <v>69</v>
      </c>
      <c r="E8205" s="17">
        <v>1500</v>
      </c>
      <c r="F8205" s="17">
        <v>11</v>
      </c>
      <c r="G8205" s="13">
        <v>6</v>
      </c>
      <c r="H8205" s="17">
        <v>36</v>
      </c>
      <c r="I8205" s="17">
        <v>2</v>
      </c>
      <c r="J8205" s="17">
        <v>60</v>
      </c>
      <c r="K8205" s="10">
        <v>14660</v>
      </c>
      <c r="P8205" s="17">
        <v>1</v>
      </c>
      <c r="Q8205" s="19">
        <v>14660</v>
      </c>
      <c r="R8205" s="14">
        <v>200</v>
      </c>
      <c r="S8205" s="19">
        <v>2932000</v>
      </c>
      <c r="AJ8205" s="19">
        <v>0</v>
      </c>
      <c r="AK8205" s="23">
        <v>0</v>
      </c>
      <c r="AM8205" s="19">
        <v>0</v>
      </c>
      <c r="AN8205" s="19">
        <v>2932000</v>
      </c>
      <c r="AP8205" s="14">
        <v>2932000</v>
      </c>
      <c r="AQ8205" s="12">
        <v>1E-4</v>
      </c>
    </row>
    <row r="8206" spans="1:45" x14ac:dyDescent="0.2">
      <c r="A8206" s="122">
        <f t="shared" si="777"/>
        <v>6793</v>
      </c>
      <c r="B8206" s="13">
        <v>1</v>
      </c>
      <c r="C8206" s="17" t="s">
        <v>69</v>
      </c>
      <c r="E8206" s="17">
        <v>1675</v>
      </c>
      <c r="F8206" s="17">
        <v>4</v>
      </c>
      <c r="G8206" s="13">
        <v>2</v>
      </c>
      <c r="H8206" s="17">
        <v>14</v>
      </c>
      <c r="I8206" s="17">
        <v>3</v>
      </c>
      <c r="J8206" s="17">
        <v>44</v>
      </c>
      <c r="K8206" s="10">
        <v>5944</v>
      </c>
      <c r="P8206" s="17">
        <v>1</v>
      </c>
      <c r="Q8206" s="19">
        <v>5944</v>
      </c>
      <c r="R8206" s="14">
        <v>160</v>
      </c>
      <c r="S8206" s="19">
        <v>951040</v>
      </c>
      <c r="AJ8206" s="19">
        <v>0</v>
      </c>
      <c r="AK8206" s="23">
        <v>0</v>
      </c>
      <c r="AM8206" s="19">
        <v>0</v>
      </c>
      <c r="AN8206" s="19">
        <v>951040</v>
      </c>
      <c r="AP8206" s="14">
        <v>951040</v>
      </c>
      <c r="AQ8206" s="12">
        <v>1E-4</v>
      </c>
    </row>
    <row r="8207" spans="1:45" x14ac:dyDescent="0.2">
      <c r="B8207" s="13">
        <v>1</v>
      </c>
      <c r="C8207" s="17" t="s">
        <v>69</v>
      </c>
      <c r="E8207" s="17">
        <v>2330</v>
      </c>
      <c r="F8207" s="17">
        <v>5</v>
      </c>
      <c r="G8207" s="13">
        <v>2</v>
      </c>
      <c r="H8207" s="17">
        <v>10</v>
      </c>
      <c r="I8207" s="17">
        <v>1</v>
      </c>
      <c r="J8207" s="17">
        <v>63</v>
      </c>
      <c r="K8207" s="10">
        <v>4163</v>
      </c>
      <c r="P8207" s="17">
        <v>1</v>
      </c>
      <c r="Q8207" s="19">
        <v>4163</v>
      </c>
      <c r="R8207" s="14" t="e">
        <v>#N/A</v>
      </c>
      <c r="S8207" s="19" t="e">
        <v>#N/A</v>
      </c>
      <c r="AJ8207" s="19">
        <v>0</v>
      </c>
      <c r="AK8207" s="23">
        <v>0</v>
      </c>
      <c r="AM8207" s="19">
        <v>0</v>
      </c>
      <c r="AN8207" s="19" t="e">
        <v>#N/A</v>
      </c>
      <c r="AP8207" s="14" t="e">
        <v>#N/A</v>
      </c>
      <c r="AQ8207" s="12">
        <v>1E-4</v>
      </c>
    </row>
    <row r="8209" spans="1:45" x14ac:dyDescent="0.2">
      <c r="A8209" s="2">
        <v>6794</v>
      </c>
      <c r="B8209" s="13">
        <v>1</v>
      </c>
      <c r="C8209" s="17" t="s">
        <v>69</v>
      </c>
      <c r="E8209" s="17">
        <v>156</v>
      </c>
      <c r="F8209" s="17">
        <v>3</v>
      </c>
      <c r="G8209" s="13">
        <v>1</v>
      </c>
      <c r="H8209" s="17">
        <v>4</v>
      </c>
      <c r="I8209" s="17">
        <v>3</v>
      </c>
      <c r="J8209" s="17">
        <v>80</v>
      </c>
      <c r="K8209" s="10">
        <v>1980</v>
      </c>
      <c r="P8209" s="17">
        <v>1</v>
      </c>
      <c r="Q8209" s="19">
        <v>1980</v>
      </c>
      <c r="R8209" s="14">
        <v>160</v>
      </c>
      <c r="S8209" s="19">
        <v>316800</v>
      </c>
      <c r="AJ8209" s="19">
        <v>0</v>
      </c>
      <c r="AK8209" s="23">
        <v>0</v>
      </c>
      <c r="AM8209" s="19">
        <v>0</v>
      </c>
      <c r="AN8209" s="19">
        <v>316800</v>
      </c>
      <c r="AP8209" s="14">
        <v>316800</v>
      </c>
      <c r="AQ8209" s="12">
        <v>1E-4</v>
      </c>
      <c r="AS8209" s="26">
        <v>15</v>
      </c>
    </row>
    <row r="8210" spans="1:45" x14ac:dyDescent="0.2">
      <c r="A8210" s="2">
        <f>+A8209+1</f>
        <v>6795</v>
      </c>
      <c r="B8210" s="13">
        <v>2</v>
      </c>
      <c r="C8210" s="17" t="s">
        <v>65</v>
      </c>
      <c r="D8210" s="17">
        <v>1789</v>
      </c>
      <c r="E8210" s="17">
        <v>148</v>
      </c>
      <c r="H8210" s="17">
        <v>1</v>
      </c>
      <c r="I8210" s="17">
        <v>2</v>
      </c>
      <c r="J8210" s="17">
        <v>13</v>
      </c>
      <c r="K8210" s="10">
        <v>613</v>
      </c>
      <c r="P8210" s="17">
        <v>1</v>
      </c>
      <c r="Q8210" s="19">
        <v>613</v>
      </c>
      <c r="R8210" s="14">
        <v>160</v>
      </c>
      <c r="S8210" s="19">
        <v>98080</v>
      </c>
      <c r="AJ8210" s="19">
        <v>0</v>
      </c>
      <c r="AK8210" s="23">
        <v>0</v>
      </c>
      <c r="AM8210" s="19">
        <v>0</v>
      </c>
      <c r="AN8210" s="19">
        <v>98080</v>
      </c>
      <c r="AP8210" s="14">
        <v>98080</v>
      </c>
      <c r="AQ8210" s="12">
        <v>1E-4</v>
      </c>
    </row>
    <row r="8211" spans="1:45" x14ac:dyDescent="0.2">
      <c r="A8211" s="122">
        <f t="shared" ref="A8211:A8213" si="778">+A8210+1</f>
        <v>6796</v>
      </c>
      <c r="B8211" s="13">
        <v>1</v>
      </c>
      <c r="C8211" s="17" t="s">
        <v>69</v>
      </c>
      <c r="E8211" s="17">
        <v>1516</v>
      </c>
      <c r="F8211" s="17">
        <v>14</v>
      </c>
      <c r="G8211" s="13">
        <v>2</v>
      </c>
      <c r="H8211" s="17">
        <v>7</v>
      </c>
      <c r="I8211" s="17">
        <v>1</v>
      </c>
      <c r="J8211" s="17">
        <v>5</v>
      </c>
      <c r="K8211" s="10">
        <v>2905</v>
      </c>
      <c r="P8211" s="17">
        <v>1</v>
      </c>
      <c r="Q8211" s="19">
        <v>2905</v>
      </c>
      <c r="R8211" s="14">
        <v>200</v>
      </c>
      <c r="S8211" s="19">
        <v>581000</v>
      </c>
      <c r="AJ8211" s="19">
        <v>0</v>
      </c>
      <c r="AK8211" s="23">
        <v>0</v>
      </c>
      <c r="AM8211" s="19">
        <v>0</v>
      </c>
      <c r="AN8211" s="19">
        <v>581000</v>
      </c>
      <c r="AP8211" s="14">
        <v>581000</v>
      </c>
      <c r="AQ8211" s="12">
        <v>1E-4</v>
      </c>
    </row>
    <row r="8212" spans="1:45" x14ac:dyDescent="0.2">
      <c r="A8212" s="122">
        <f t="shared" si="778"/>
        <v>6797</v>
      </c>
      <c r="B8212" s="13">
        <v>1</v>
      </c>
      <c r="C8212" s="17" t="s">
        <v>69</v>
      </c>
      <c r="E8212" s="17">
        <v>1500</v>
      </c>
      <c r="F8212" s="17">
        <v>9</v>
      </c>
      <c r="G8212" s="13">
        <v>6</v>
      </c>
      <c r="H8212" s="17">
        <v>14</v>
      </c>
      <c r="I8212" s="17">
        <v>1</v>
      </c>
      <c r="J8212" s="17">
        <v>41</v>
      </c>
      <c r="K8212" s="10">
        <v>5741</v>
      </c>
      <c r="P8212" s="17">
        <v>1</v>
      </c>
      <c r="Q8212" s="19">
        <v>5741</v>
      </c>
      <c r="R8212" s="14">
        <v>160</v>
      </c>
      <c r="S8212" s="19">
        <v>918560</v>
      </c>
      <c r="AJ8212" s="19">
        <v>0</v>
      </c>
      <c r="AK8212" s="23">
        <v>0</v>
      </c>
      <c r="AM8212" s="19">
        <v>0</v>
      </c>
      <c r="AN8212" s="19">
        <v>918560</v>
      </c>
      <c r="AP8212" s="14">
        <v>918560</v>
      </c>
      <c r="AQ8212" s="12">
        <v>1E-4</v>
      </c>
    </row>
    <row r="8213" spans="1:45" x14ac:dyDescent="0.2">
      <c r="A8213" s="122">
        <f t="shared" si="778"/>
        <v>6798</v>
      </c>
      <c r="B8213" s="13">
        <v>1</v>
      </c>
      <c r="C8213" s="17" t="s">
        <v>69</v>
      </c>
      <c r="E8213" s="17">
        <v>1515</v>
      </c>
      <c r="F8213" s="17">
        <v>9</v>
      </c>
      <c r="G8213" s="13">
        <v>6</v>
      </c>
      <c r="H8213" s="17">
        <v>7</v>
      </c>
      <c r="I8213" s="17">
        <v>3</v>
      </c>
      <c r="J8213" s="17">
        <v>40</v>
      </c>
      <c r="K8213" s="10">
        <v>3140</v>
      </c>
      <c r="P8213" s="17">
        <v>1</v>
      </c>
      <c r="Q8213" s="19">
        <v>3140</v>
      </c>
      <c r="R8213" s="14">
        <v>200</v>
      </c>
      <c r="S8213" s="19">
        <v>628000</v>
      </c>
      <c r="AJ8213" s="19">
        <v>0</v>
      </c>
      <c r="AK8213" s="23">
        <v>0</v>
      </c>
      <c r="AM8213" s="19">
        <v>0</v>
      </c>
      <c r="AN8213" s="19">
        <v>628000</v>
      </c>
      <c r="AP8213" s="14">
        <v>628000</v>
      </c>
      <c r="AQ8213" s="12">
        <v>1E-4</v>
      </c>
    </row>
    <row r="8214" spans="1:45" x14ac:dyDescent="0.2">
      <c r="B8214" s="13">
        <v>1</v>
      </c>
      <c r="C8214" s="17" t="s">
        <v>69</v>
      </c>
      <c r="E8214" s="17">
        <v>2330</v>
      </c>
      <c r="F8214" s="17">
        <v>10</v>
      </c>
      <c r="G8214" s="13">
        <v>2</v>
      </c>
      <c r="H8214" s="17">
        <v>24</v>
      </c>
      <c r="I8214" s="17">
        <v>1</v>
      </c>
      <c r="J8214" s="17">
        <v>28</v>
      </c>
      <c r="K8214" s="10">
        <v>9728</v>
      </c>
      <c r="P8214" s="17">
        <v>1</v>
      </c>
      <c r="Q8214" s="19">
        <v>9728</v>
      </c>
      <c r="R8214" s="14" t="e">
        <v>#N/A</v>
      </c>
      <c r="S8214" s="19" t="e">
        <v>#N/A</v>
      </c>
      <c r="AJ8214" s="19">
        <v>0</v>
      </c>
      <c r="AK8214" s="23">
        <v>0</v>
      </c>
      <c r="AM8214" s="19">
        <v>0</v>
      </c>
      <c r="AN8214" s="19" t="e">
        <v>#N/A</v>
      </c>
      <c r="AP8214" s="14" t="e">
        <v>#N/A</v>
      </c>
      <c r="AQ8214" s="12">
        <v>1E-4</v>
      </c>
    </row>
    <row r="8215" spans="1:45" x14ac:dyDescent="0.2">
      <c r="B8215" s="13">
        <v>2</v>
      </c>
      <c r="C8215" s="17" t="s">
        <v>69</v>
      </c>
      <c r="E8215" s="17">
        <v>2330</v>
      </c>
      <c r="F8215" s="17">
        <v>18</v>
      </c>
      <c r="G8215" s="13">
        <v>2</v>
      </c>
      <c r="H8215" s="17">
        <v>18</v>
      </c>
      <c r="I8215" s="17">
        <v>3</v>
      </c>
      <c r="J8215" s="17">
        <v>82</v>
      </c>
      <c r="K8215" s="10">
        <v>7582</v>
      </c>
      <c r="P8215" s="17">
        <v>1</v>
      </c>
      <c r="Q8215" s="19">
        <v>7582</v>
      </c>
      <c r="R8215" s="14" t="e">
        <v>#N/A</v>
      </c>
      <c r="S8215" s="19" t="e">
        <v>#N/A</v>
      </c>
      <c r="AJ8215" s="19">
        <v>0</v>
      </c>
      <c r="AK8215" s="23">
        <v>0</v>
      </c>
      <c r="AM8215" s="19">
        <v>0</v>
      </c>
      <c r="AN8215" s="19" t="e">
        <v>#N/A</v>
      </c>
      <c r="AP8215" s="14" t="e">
        <v>#N/A</v>
      </c>
      <c r="AQ8215" s="12">
        <v>1E-4</v>
      </c>
    </row>
    <row r="8216" spans="1:45" x14ac:dyDescent="0.2">
      <c r="A8216" s="2">
        <v>6799</v>
      </c>
      <c r="B8216" s="13">
        <v>1</v>
      </c>
      <c r="C8216" s="17" t="s">
        <v>69</v>
      </c>
      <c r="E8216" s="17">
        <v>153</v>
      </c>
      <c r="F8216" s="17">
        <v>5</v>
      </c>
      <c r="G8216" s="13">
        <v>1</v>
      </c>
      <c r="H8216" s="17">
        <v>17</v>
      </c>
      <c r="I8216" s="17">
        <v>2</v>
      </c>
      <c r="J8216" s="17">
        <v>92</v>
      </c>
      <c r="K8216" s="10">
        <v>7092</v>
      </c>
      <c r="P8216" s="17">
        <v>1</v>
      </c>
      <c r="Q8216" s="19">
        <v>7092</v>
      </c>
      <c r="R8216" s="14">
        <v>200</v>
      </c>
      <c r="S8216" s="19">
        <v>1418400</v>
      </c>
      <c r="AJ8216" s="19">
        <v>0</v>
      </c>
      <c r="AK8216" s="23">
        <v>0</v>
      </c>
      <c r="AM8216" s="19">
        <v>0</v>
      </c>
      <c r="AN8216" s="19">
        <v>1418400</v>
      </c>
      <c r="AP8216" s="14">
        <v>1418400</v>
      </c>
      <c r="AQ8216" s="12">
        <v>1E-4</v>
      </c>
    </row>
    <row r="8217" spans="1:45" x14ac:dyDescent="0.2">
      <c r="A8217" s="2">
        <v>6800</v>
      </c>
      <c r="B8217" s="13">
        <v>1</v>
      </c>
      <c r="C8217" s="17" t="s">
        <v>69</v>
      </c>
      <c r="E8217" s="17">
        <v>1516</v>
      </c>
      <c r="F8217" s="17">
        <v>16</v>
      </c>
      <c r="G8217" s="13">
        <v>2</v>
      </c>
      <c r="H8217" s="17">
        <v>9</v>
      </c>
      <c r="I8217" s="17">
        <v>0</v>
      </c>
      <c r="J8217" s="17">
        <v>70</v>
      </c>
      <c r="K8217" s="10">
        <v>3670</v>
      </c>
      <c r="P8217" s="17">
        <v>1</v>
      </c>
      <c r="Q8217" s="19">
        <v>3670</v>
      </c>
      <c r="R8217" s="14">
        <v>160</v>
      </c>
      <c r="S8217" s="19">
        <v>587200</v>
      </c>
      <c r="AJ8217" s="19">
        <v>0</v>
      </c>
      <c r="AK8217" s="23">
        <v>0</v>
      </c>
      <c r="AM8217" s="19">
        <v>0</v>
      </c>
      <c r="AN8217" s="19">
        <v>587200</v>
      </c>
      <c r="AP8217" s="14">
        <v>587200</v>
      </c>
      <c r="AQ8217" s="12">
        <v>1E-4</v>
      </c>
    </row>
    <row r="8218" spans="1:45" x14ac:dyDescent="0.2">
      <c r="B8218" s="13">
        <v>1</v>
      </c>
      <c r="C8218" s="17" t="s">
        <v>69</v>
      </c>
      <c r="E8218" s="17">
        <v>2331</v>
      </c>
      <c r="F8218" s="17">
        <v>1</v>
      </c>
      <c r="G8218" s="13">
        <v>2</v>
      </c>
      <c r="H8218" s="17">
        <v>0</v>
      </c>
      <c r="I8218" s="17">
        <v>2</v>
      </c>
      <c r="J8218" s="17">
        <v>52</v>
      </c>
      <c r="K8218" s="10">
        <v>252</v>
      </c>
      <c r="P8218" s="17">
        <v>1</v>
      </c>
      <c r="Q8218" s="19">
        <v>252</v>
      </c>
      <c r="R8218" s="14" t="e">
        <v>#N/A</v>
      </c>
      <c r="S8218" s="19" t="e">
        <v>#N/A</v>
      </c>
      <c r="AJ8218" s="19">
        <v>0</v>
      </c>
      <c r="AK8218" s="23">
        <v>0</v>
      </c>
      <c r="AM8218" s="19">
        <v>0</v>
      </c>
      <c r="AN8218" s="19" t="e">
        <v>#N/A</v>
      </c>
      <c r="AP8218" s="14" t="e">
        <v>#N/A</v>
      </c>
      <c r="AQ8218" s="12">
        <v>1E-4</v>
      </c>
    </row>
    <row r="8219" spans="1:45" x14ac:dyDescent="0.2">
      <c r="B8219" s="13">
        <v>2</v>
      </c>
      <c r="C8219" s="17" t="s">
        <v>69</v>
      </c>
      <c r="E8219" s="17">
        <v>2331</v>
      </c>
      <c r="F8219" s="17">
        <v>2</v>
      </c>
      <c r="G8219" s="13">
        <v>2</v>
      </c>
      <c r="H8219" s="17">
        <v>6</v>
      </c>
      <c r="I8219" s="17">
        <v>0</v>
      </c>
      <c r="J8219" s="17">
        <v>57</v>
      </c>
      <c r="K8219" s="10">
        <v>2457</v>
      </c>
      <c r="P8219" s="17">
        <v>1</v>
      </c>
      <c r="Q8219" s="19">
        <v>2457</v>
      </c>
      <c r="R8219" s="14" t="e">
        <v>#N/A</v>
      </c>
      <c r="S8219" s="19" t="e">
        <v>#N/A</v>
      </c>
      <c r="AJ8219" s="19">
        <v>0</v>
      </c>
      <c r="AK8219" s="23">
        <v>0</v>
      </c>
      <c r="AM8219" s="19">
        <v>0</v>
      </c>
      <c r="AN8219" s="19" t="e">
        <v>#N/A</v>
      </c>
      <c r="AP8219" s="14" t="e">
        <v>#N/A</v>
      </c>
      <c r="AQ8219" s="12">
        <v>1E-4</v>
      </c>
    </row>
    <row r="8220" spans="1:45" x14ac:dyDescent="0.2">
      <c r="B8220" s="13">
        <v>1</v>
      </c>
      <c r="C8220" s="17" t="s">
        <v>69</v>
      </c>
      <c r="E8220" s="17">
        <v>2330</v>
      </c>
      <c r="F8220" s="17">
        <v>12</v>
      </c>
      <c r="G8220" s="13">
        <v>2</v>
      </c>
      <c r="H8220" s="17">
        <v>21</v>
      </c>
      <c r="I8220" s="17">
        <v>0</v>
      </c>
      <c r="J8220" s="17">
        <v>37</v>
      </c>
      <c r="K8220" s="10">
        <v>8437</v>
      </c>
      <c r="P8220" s="17">
        <v>1</v>
      </c>
      <c r="Q8220" s="19">
        <v>8437</v>
      </c>
      <c r="R8220" s="14" t="e">
        <v>#N/A</v>
      </c>
      <c r="S8220" s="19" t="e">
        <v>#N/A</v>
      </c>
      <c r="AE8220" s="17" t="s">
        <v>834</v>
      </c>
      <c r="AJ8220" s="19">
        <v>0</v>
      </c>
      <c r="AK8220" s="23">
        <v>0</v>
      </c>
      <c r="AM8220" s="19">
        <v>0</v>
      </c>
      <c r="AN8220" s="19" t="e">
        <v>#N/A</v>
      </c>
      <c r="AP8220" s="14" t="e">
        <v>#N/A</v>
      </c>
      <c r="AQ8220" s="12">
        <v>1E-4</v>
      </c>
    </row>
    <row r="8221" spans="1:45" x14ac:dyDescent="0.2">
      <c r="A8221" s="2">
        <v>6801</v>
      </c>
      <c r="B8221" s="13">
        <v>1</v>
      </c>
      <c r="C8221" s="17" t="s">
        <v>69</v>
      </c>
      <c r="E8221" s="17">
        <v>2328</v>
      </c>
      <c r="F8221" s="17">
        <v>15</v>
      </c>
      <c r="G8221" s="13">
        <v>2</v>
      </c>
      <c r="H8221" s="17">
        <v>3</v>
      </c>
      <c r="I8221" s="17">
        <v>3</v>
      </c>
      <c r="J8221" s="17">
        <v>40</v>
      </c>
      <c r="K8221" s="10">
        <v>1540</v>
      </c>
      <c r="P8221" s="17">
        <v>1</v>
      </c>
      <c r="Q8221" s="19">
        <v>1540</v>
      </c>
      <c r="R8221" s="14">
        <v>160</v>
      </c>
      <c r="S8221" s="19">
        <v>246400</v>
      </c>
      <c r="AJ8221" s="19">
        <v>0</v>
      </c>
      <c r="AK8221" s="23">
        <v>0</v>
      </c>
      <c r="AM8221" s="19">
        <v>0</v>
      </c>
      <c r="AN8221" s="19">
        <v>246400</v>
      </c>
      <c r="AP8221" s="14">
        <v>246400</v>
      </c>
      <c r="AQ8221" s="12">
        <v>1E-4</v>
      </c>
    </row>
    <row r="8222" spans="1:45" x14ac:dyDescent="0.2">
      <c r="B8222" s="13">
        <v>1</v>
      </c>
      <c r="C8222" s="17" t="s">
        <v>69</v>
      </c>
      <c r="E8222" s="17">
        <v>2330</v>
      </c>
      <c r="F8222" s="17">
        <v>4</v>
      </c>
      <c r="G8222" s="13">
        <v>2</v>
      </c>
      <c r="H8222" s="17">
        <v>7</v>
      </c>
      <c r="I8222" s="17">
        <v>1</v>
      </c>
      <c r="J8222" s="17">
        <v>53</v>
      </c>
      <c r="K8222" s="10">
        <v>2953</v>
      </c>
      <c r="P8222" s="17">
        <v>1</v>
      </c>
      <c r="Q8222" s="19">
        <v>2953</v>
      </c>
      <c r="R8222" s="14" t="e">
        <v>#N/A</v>
      </c>
      <c r="S8222" s="19" t="e">
        <v>#N/A</v>
      </c>
      <c r="AJ8222" s="19">
        <v>0</v>
      </c>
      <c r="AK8222" s="23">
        <v>0</v>
      </c>
      <c r="AM8222" s="19">
        <v>0</v>
      </c>
      <c r="AN8222" s="19" t="e">
        <v>#N/A</v>
      </c>
      <c r="AP8222" s="14" t="e">
        <v>#N/A</v>
      </c>
      <c r="AQ8222" s="12">
        <v>1E-4</v>
      </c>
    </row>
    <row r="8223" spans="1:45" x14ac:dyDescent="0.2">
      <c r="B8223" s="13">
        <v>1</v>
      </c>
      <c r="C8223" s="17" t="s">
        <v>69</v>
      </c>
      <c r="E8223" s="17">
        <v>155</v>
      </c>
      <c r="F8223" s="17">
        <v>5</v>
      </c>
      <c r="G8223" s="13">
        <v>2</v>
      </c>
      <c r="H8223" s="17">
        <v>32</v>
      </c>
      <c r="I8223" s="17">
        <v>0</v>
      </c>
      <c r="J8223" s="17">
        <v>14</v>
      </c>
      <c r="K8223" s="10">
        <v>12814</v>
      </c>
      <c r="P8223" s="17">
        <v>1</v>
      </c>
      <c r="Q8223" s="19">
        <v>12814</v>
      </c>
      <c r="R8223" s="14" t="e">
        <v>#N/A</v>
      </c>
      <c r="S8223" s="19" t="e">
        <v>#N/A</v>
      </c>
      <c r="AJ8223" s="19">
        <v>0</v>
      </c>
      <c r="AK8223" s="23">
        <v>0</v>
      </c>
      <c r="AM8223" s="19">
        <v>0</v>
      </c>
      <c r="AN8223" s="19" t="e">
        <v>#N/A</v>
      </c>
      <c r="AP8223" s="14" t="e">
        <v>#N/A</v>
      </c>
      <c r="AQ8223" s="12">
        <v>1E-4</v>
      </c>
    </row>
    <row r="8224" spans="1:45" x14ac:dyDescent="0.2">
      <c r="A8224" s="2">
        <v>6802</v>
      </c>
      <c r="B8224" s="13">
        <v>1</v>
      </c>
      <c r="C8224" s="17" t="s">
        <v>69</v>
      </c>
      <c r="E8224" s="17">
        <v>1494</v>
      </c>
      <c r="F8224" s="17">
        <v>3</v>
      </c>
      <c r="G8224" s="13">
        <v>6</v>
      </c>
      <c r="H8224" s="17">
        <v>98</v>
      </c>
      <c r="I8224" s="17">
        <v>3</v>
      </c>
      <c r="J8224" s="17">
        <v>47</v>
      </c>
      <c r="K8224" s="10">
        <v>39547</v>
      </c>
      <c r="P8224" s="17">
        <v>1</v>
      </c>
      <c r="Q8224" s="19">
        <v>39547</v>
      </c>
      <c r="R8224" s="14">
        <v>160</v>
      </c>
      <c r="S8224" s="19">
        <v>6327520</v>
      </c>
      <c r="AJ8224" s="19">
        <v>0</v>
      </c>
      <c r="AK8224" s="23">
        <v>0</v>
      </c>
      <c r="AM8224" s="19">
        <v>0</v>
      </c>
      <c r="AN8224" s="19">
        <v>6327520</v>
      </c>
      <c r="AP8224" s="14">
        <v>6327520</v>
      </c>
      <c r="AQ8224" s="12">
        <v>1E-4</v>
      </c>
    </row>
    <row r="8225" spans="1:45" s="19" customFormat="1" x14ac:dyDescent="0.2">
      <c r="A8225" s="2"/>
      <c r="B8225" s="13">
        <v>1</v>
      </c>
      <c r="C8225" s="17" t="s">
        <v>69</v>
      </c>
      <c r="D8225" s="17"/>
      <c r="E8225" s="17">
        <v>2330</v>
      </c>
      <c r="F8225" s="17">
        <v>1</v>
      </c>
      <c r="G8225" s="13">
        <v>2</v>
      </c>
      <c r="H8225" s="17">
        <v>19</v>
      </c>
      <c r="I8225" s="17">
        <v>1</v>
      </c>
      <c r="J8225" s="17">
        <v>88</v>
      </c>
      <c r="K8225" s="10">
        <v>7788</v>
      </c>
      <c r="L8225" s="17"/>
      <c r="M8225" s="15"/>
      <c r="N8225" s="18"/>
      <c r="O8225" s="14"/>
      <c r="P8225" s="17">
        <v>1</v>
      </c>
      <c r="Q8225" s="19">
        <v>7788</v>
      </c>
      <c r="R8225" s="14" t="e">
        <v>#N/A</v>
      </c>
      <c r="S8225" s="19" t="e">
        <v>#N/A</v>
      </c>
      <c r="T8225" s="17"/>
      <c r="U8225" s="17"/>
      <c r="V8225" s="17"/>
      <c r="W8225" s="4"/>
      <c r="X8225" s="17"/>
      <c r="Y8225" s="4"/>
      <c r="Z8225" s="17"/>
      <c r="AA8225" s="17"/>
      <c r="AB8225" s="17"/>
      <c r="AC8225" s="14"/>
      <c r="AD8225" s="14"/>
      <c r="AE8225" s="17"/>
      <c r="AF8225" s="14"/>
      <c r="AG8225" s="54"/>
      <c r="AH8225" s="11"/>
      <c r="AI8225" s="14"/>
      <c r="AJ8225" s="19">
        <v>0</v>
      </c>
      <c r="AK8225" s="23">
        <v>0</v>
      </c>
      <c r="AL8225" s="11"/>
      <c r="AM8225" s="19">
        <v>0</v>
      </c>
      <c r="AN8225" s="19" t="e">
        <v>#N/A</v>
      </c>
      <c r="AO8225" s="14"/>
      <c r="AP8225" s="14" t="e">
        <v>#N/A</v>
      </c>
      <c r="AQ8225" s="12">
        <v>1E-4</v>
      </c>
      <c r="AS8225" s="26"/>
    </row>
    <row r="8226" spans="1:45" s="19" customFormat="1" x14ac:dyDescent="0.2">
      <c r="A8226" s="2"/>
      <c r="B8226" s="13">
        <v>1</v>
      </c>
      <c r="C8226" s="17" t="s">
        <v>69</v>
      </c>
      <c r="D8226" s="17"/>
      <c r="E8226" s="17">
        <v>2331</v>
      </c>
      <c r="F8226" s="17">
        <v>4</v>
      </c>
      <c r="G8226" s="13">
        <v>2</v>
      </c>
      <c r="H8226" s="17">
        <v>3</v>
      </c>
      <c r="I8226" s="17">
        <v>1</v>
      </c>
      <c r="J8226" s="17">
        <v>29</v>
      </c>
      <c r="K8226" s="10">
        <v>1329</v>
      </c>
      <c r="L8226" s="17"/>
      <c r="M8226" s="15"/>
      <c r="N8226" s="18"/>
      <c r="O8226" s="14"/>
      <c r="P8226" s="17">
        <v>1</v>
      </c>
      <c r="Q8226" s="19">
        <v>1329</v>
      </c>
      <c r="R8226" s="14" t="e">
        <v>#N/A</v>
      </c>
      <c r="S8226" s="19" t="e">
        <v>#N/A</v>
      </c>
      <c r="T8226" s="17"/>
      <c r="U8226" s="17"/>
      <c r="V8226" s="17"/>
      <c r="W8226" s="4"/>
      <c r="X8226" s="17"/>
      <c r="Y8226" s="4"/>
      <c r="Z8226" s="17"/>
      <c r="AA8226" s="17"/>
      <c r="AB8226" s="17"/>
      <c r="AC8226" s="14"/>
      <c r="AD8226" s="14"/>
      <c r="AE8226" s="17"/>
      <c r="AF8226" s="14"/>
      <c r="AG8226" s="54"/>
      <c r="AH8226" s="11"/>
      <c r="AI8226" s="14"/>
      <c r="AJ8226" s="19">
        <v>0</v>
      </c>
      <c r="AK8226" s="23">
        <v>0</v>
      </c>
      <c r="AL8226" s="11"/>
      <c r="AM8226" s="19">
        <v>0</v>
      </c>
      <c r="AN8226" s="19" t="e">
        <v>#N/A</v>
      </c>
      <c r="AO8226" s="14"/>
      <c r="AP8226" s="14" t="e">
        <v>#N/A</v>
      </c>
      <c r="AQ8226" s="12">
        <v>1E-4</v>
      </c>
      <c r="AS8226" s="26"/>
    </row>
    <row r="8227" spans="1:45" s="19" customFormat="1" x14ac:dyDescent="0.2">
      <c r="A8227" s="2"/>
      <c r="B8227" s="13">
        <v>1</v>
      </c>
      <c r="C8227" s="17" t="s">
        <v>69</v>
      </c>
      <c r="D8227" s="17"/>
      <c r="E8227" s="17">
        <v>2330</v>
      </c>
      <c r="F8227" s="17">
        <v>3</v>
      </c>
      <c r="G8227" s="13">
        <v>2</v>
      </c>
      <c r="H8227" s="17">
        <v>26</v>
      </c>
      <c r="I8227" s="17">
        <v>1</v>
      </c>
      <c r="J8227" s="17">
        <v>26</v>
      </c>
      <c r="K8227" s="10">
        <v>10526</v>
      </c>
      <c r="L8227" s="17"/>
      <c r="M8227" s="15"/>
      <c r="N8227" s="18"/>
      <c r="O8227" s="14"/>
      <c r="P8227" s="17">
        <v>1</v>
      </c>
      <c r="Q8227" s="19">
        <v>10526</v>
      </c>
      <c r="R8227" s="14" t="e">
        <v>#N/A</v>
      </c>
      <c r="S8227" s="19" t="e">
        <v>#N/A</v>
      </c>
      <c r="T8227" s="17"/>
      <c r="U8227" s="17"/>
      <c r="V8227" s="17"/>
      <c r="W8227" s="4"/>
      <c r="X8227" s="17"/>
      <c r="Y8227" s="4"/>
      <c r="Z8227" s="17"/>
      <c r="AA8227" s="17"/>
      <c r="AB8227" s="17"/>
      <c r="AC8227" s="14"/>
      <c r="AD8227" s="14"/>
      <c r="AE8227" s="17"/>
      <c r="AF8227" s="14"/>
      <c r="AG8227" s="54"/>
      <c r="AH8227" s="11"/>
      <c r="AI8227" s="14"/>
      <c r="AJ8227" s="19">
        <v>0</v>
      </c>
      <c r="AK8227" s="23">
        <v>0</v>
      </c>
      <c r="AL8227" s="11"/>
      <c r="AM8227" s="19">
        <v>0</v>
      </c>
      <c r="AN8227" s="19" t="e">
        <v>#N/A</v>
      </c>
      <c r="AO8227" s="14"/>
      <c r="AP8227" s="14" t="e">
        <v>#N/A</v>
      </c>
      <c r="AQ8227" s="12">
        <v>1E-4</v>
      </c>
      <c r="AS8227" s="26"/>
    </row>
    <row r="8228" spans="1:45" s="19" customFormat="1" x14ac:dyDescent="0.2">
      <c r="A8228" s="2"/>
      <c r="B8228" s="13">
        <v>1</v>
      </c>
      <c r="C8228" s="17" t="s">
        <v>69</v>
      </c>
      <c r="D8228" s="17"/>
      <c r="E8228" s="17">
        <v>2331</v>
      </c>
      <c r="F8228" s="17">
        <v>5</v>
      </c>
      <c r="G8228" s="13">
        <v>2</v>
      </c>
      <c r="H8228" s="17">
        <v>9</v>
      </c>
      <c r="I8228" s="17">
        <v>3</v>
      </c>
      <c r="J8228" s="17">
        <v>88</v>
      </c>
      <c r="K8228" s="10">
        <v>3988</v>
      </c>
      <c r="L8228" s="17"/>
      <c r="M8228" s="15"/>
      <c r="N8228" s="18"/>
      <c r="O8228" s="14"/>
      <c r="P8228" s="17">
        <v>1</v>
      </c>
      <c r="Q8228" s="19">
        <v>3988</v>
      </c>
      <c r="R8228" s="14" t="e">
        <v>#N/A</v>
      </c>
      <c r="S8228" s="19" t="e">
        <v>#N/A</v>
      </c>
      <c r="T8228" s="17"/>
      <c r="U8228" s="17"/>
      <c r="V8228" s="17"/>
      <c r="W8228" s="4"/>
      <c r="X8228" s="17"/>
      <c r="Y8228" s="4"/>
      <c r="Z8228" s="17"/>
      <c r="AA8228" s="17"/>
      <c r="AB8228" s="17"/>
      <c r="AC8228" s="14"/>
      <c r="AD8228" s="14"/>
      <c r="AE8228" s="17"/>
      <c r="AF8228" s="14"/>
      <c r="AG8228" s="54"/>
      <c r="AH8228" s="11"/>
      <c r="AI8228" s="14"/>
      <c r="AJ8228" s="19">
        <v>0</v>
      </c>
      <c r="AK8228" s="23">
        <v>0</v>
      </c>
      <c r="AL8228" s="11"/>
      <c r="AM8228" s="19">
        <v>0</v>
      </c>
      <c r="AN8228" s="19" t="e">
        <v>#N/A</v>
      </c>
      <c r="AO8228" s="14"/>
      <c r="AP8228" s="14" t="e">
        <v>#N/A</v>
      </c>
      <c r="AQ8228" s="12">
        <v>1E-4</v>
      </c>
      <c r="AS8228" s="26"/>
    </row>
    <row r="8229" spans="1:45" s="19" customFormat="1" x14ac:dyDescent="0.2">
      <c r="A8229" s="2">
        <v>6803</v>
      </c>
      <c r="B8229" s="13">
        <v>1</v>
      </c>
      <c r="C8229" s="17" t="s">
        <v>69</v>
      </c>
      <c r="D8229" s="17"/>
      <c r="E8229" s="17">
        <v>1496</v>
      </c>
      <c r="F8229" s="17">
        <v>3</v>
      </c>
      <c r="G8229" s="13">
        <v>6</v>
      </c>
      <c r="H8229" s="17">
        <v>33</v>
      </c>
      <c r="I8229" s="17">
        <v>1</v>
      </c>
      <c r="J8229" s="17">
        <v>72</v>
      </c>
      <c r="K8229" s="10">
        <v>13372</v>
      </c>
      <c r="L8229" s="17"/>
      <c r="M8229" s="15"/>
      <c r="N8229" s="18"/>
      <c r="O8229" s="14"/>
      <c r="P8229" s="17">
        <v>1</v>
      </c>
      <c r="Q8229" s="19">
        <v>13372</v>
      </c>
      <c r="R8229" s="14">
        <v>160</v>
      </c>
      <c r="S8229" s="19">
        <v>2139520</v>
      </c>
      <c r="T8229" s="17"/>
      <c r="U8229" s="17"/>
      <c r="V8229" s="17"/>
      <c r="W8229" s="4"/>
      <c r="X8229" s="17"/>
      <c r="Y8229" s="4"/>
      <c r="Z8229" s="17"/>
      <c r="AA8229" s="17"/>
      <c r="AB8229" s="17"/>
      <c r="AC8229" s="14"/>
      <c r="AD8229" s="14"/>
      <c r="AE8229" s="17"/>
      <c r="AF8229" s="14"/>
      <c r="AG8229" s="54"/>
      <c r="AH8229" s="11"/>
      <c r="AI8229" s="14"/>
      <c r="AJ8229" s="19">
        <v>0</v>
      </c>
      <c r="AK8229" s="23">
        <v>0</v>
      </c>
      <c r="AL8229" s="11"/>
      <c r="AM8229" s="19">
        <v>0</v>
      </c>
      <c r="AN8229" s="19">
        <v>2139520</v>
      </c>
      <c r="AO8229" s="14"/>
      <c r="AP8229" s="14">
        <v>2139520</v>
      </c>
      <c r="AQ8229" s="12">
        <v>1E-4</v>
      </c>
      <c r="AS8229" s="26"/>
    </row>
    <row r="8230" spans="1:45" s="19" customFormat="1" x14ac:dyDescent="0.2">
      <c r="A8230" s="2">
        <f>+A8229+1</f>
        <v>6804</v>
      </c>
      <c r="B8230" s="13">
        <v>2</v>
      </c>
      <c r="C8230" s="17" t="s">
        <v>69</v>
      </c>
      <c r="D8230" s="17"/>
      <c r="E8230" s="17">
        <v>1496</v>
      </c>
      <c r="F8230" s="17">
        <v>4</v>
      </c>
      <c r="G8230" s="13">
        <v>6</v>
      </c>
      <c r="H8230" s="17">
        <v>6</v>
      </c>
      <c r="I8230" s="17">
        <v>1</v>
      </c>
      <c r="J8230" s="17">
        <v>80</v>
      </c>
      <c r="K8230" s="10">
        <v>2580</v>
      </c>
      <c r="L8230" s="17"/>
      <c r="M8230" s="15"/>
      <c r="N8230" s="18"/>
      <c r="O8230" s="14"/>
      <c r="P8230" s="17">
        <v>1</v>
      </c>
      <c r="Q8230" s="19">
        <v>2580</v>
      </c>
      <c r="R8230" s="14">
        <v>200</v>
      </c>
      <c r="S8230" s="19">
        <v>516000</v>
      </c>
      <c r="T8230" s="17"/>
      <c r="U8230" s="17"/>
      <c r="V8230" s="17"/>
      <c r="W8230" s="4"/>
      <c r="X8230" s="17"/>
      <c r="Y8230" s="4"/>
      <c r="Z8230" s="17"/>
      <c r="AA8230" s="17"/>
      <c r="AB8230" s="17"/>
      <c r="AC8230" s="14"/>
      <c r="AD8230" s="14"/>
      <c r="AE8230" s="17"/>
      <c r="AF8230" s="14"/>
      <c r="AG8230" s="54"/>
      <c r="AH8230" s="11"/>
      <c r="AI8230" s="14"/>
      <c r="AJ8230" s="19">
        <v>0</v>
      </c>
      <c r="AK8230" s="23">
        <v>0</v>
      </c>
      <c r="AL8230" s="11"/>
      <c r="AM8230" s="19">
        <v>0</v>
      </c>
      <c r="AN8230" s="19">
        <v>516000</v>
      </c>
      <c r="AO8230" s="14"/>
      <c r="AP8230" s="14">
        <v>516000</v>
      </c>
      <c r="AQ8230" s="12">
        <v>1E-4</v>
      </c>
      <c r="AS8230" s="26"/>
    </row>
    <row r="8231" spans="1:45" s="19" customFormat="1" x14ac:dyDescent="0.2">
      <c r="A8231" s="122">
        <f t="shared" ref="A8231:A8232" si="779">+A8230+1</f>
        <v>6805</v>
      </c>
      <c r="B8231" s="13">
        <v>3</v>
      </c>
      <c r="C8231" s="17" t="s">
        <v>69</v>
      </c>
      <c r="D8231" s="17"/>
      <c r="E8231" s="17">
        <v>1502</v>
      </c>
      <c r="F8231" s="17">
        <v>3</v>
      </c>
      <c r="G8231" s="13">
        <v>6</v>
      </c>
      <c r="H8231" s="17">
        <v>24</v>
      </c>
      <c r="I8231" s="17">
        <v>1</v>
      </c>
      <c r="J8231" s="17">
        <v>45</v>
      </c>
      <c r="K8231" s="10">
        <v>9745</v>
      </c>
      <c r="L8231" s="17"/>
      <c r="M8231" s="15"/>
      <c r="N8231" s="18"/>
      <c r="O8231" s="14"/>
      <c r="P8231" s="17">
        <v>1</v>
      </c>
      <c r="Q8231" s="19">
        <v>9745</v>
      </c>
      <c r="R8231" s="14">
        <v>200</v>
      </c>
      <c r="S8231" s="19">
        <v>1949000</v>
      </c>
      <c r="T8231" s="17"/>
      <c r="U8231" s="17"/>
      <c r="V8231" s="17"/>
      <c r="W8231" s="4"/>
      <c r="X8231" s="17"/>
      <c r="Y8231" s="4"/>
      <c r="Z8231" s="17"/>
      <c r="AA8231" s="17"/>
      <c r="AB8231" s="17"/>
      <c r="AC8231" s="14"/>
      <c r="AD8231" s="14"/>
      <c r="AE8231" s="17"/>
      <c r="AF8231" s="14"/>
      <c r="AG8231" s="54"/>
      <c r="AH8231" s="11"/>
      <c r="AI8231" s="14"/>
      <c r="AJ8231" s="19">
        <v>0</v>
      </c>
      <c r="AK8231" s="23">
        <v>0</v>
      </c>
      <c r="AL8231" s="11"/>
      <c r="AM8231" s="19">
        <v>0</v>
      </c>
      <c r="AN8231" s="19">
        <v>1949000</v>
      </c>
      <c r="AO8231" s="14"/>
      <c r="AP8231" s="14">
        <v>1949000</v>
      </c>
      <c r="AQ8231" s="12">
        <v>1E-4</v>
      </c>
      <c r="AS8231" s="26"/>
    </row>
    <row r="8232" spans="1:45" s="19" customFormat="1" x14ac:dyDescent="0.2">
      <c r="A8232" s="122">
        <f t="shared" si="779"/>
        <v>6806</v>
      </c>
      <c r="B8232" s="13">
        <v>1</v>
      </c>
      <c r="C8232" s="17" t="s">
        <v>69</v>
      </c>
      <c r="D8232" s="17"/>
      <c r="E8232" s="17">
        <v>2328</v>
      </c>
      <c r="F8232" s="17">
        <v>2</v>
      </c>
      <c r="G8232" s="13">
        <v>2</v>
      </c>
      <c r="H8232" s="17">
        <v>6</v>
      </c>
      <c r="I8232" s="17">
        <v>3</v>
      </c>
      <c r="J8232" s="17">
        <v>8</v>
      </c>
      <c r="K8232" s="10">
        <v>2708</v>
      </c>
      <c r="L8232" s="17"/>
      <c r="M8232" s="15"/>
      <c r="N8232" s="18"/>
      <c r="O8232" s="14"/>
      <c r="P8232" s="17">
        <v>1</v>
      </c>
      <c r="Q8232" s="19">
        <v>2708</v>
      </c>
      <c r="R8232" s="14">
        <v>160</v>
      </c>
      <c r="S8232" s="19">
        <v>433280</v>
      </c>
      <c r="T8232" s="17"/>
      <c r="U8232" s="17"/>
      <c r="V8232" s="17"/>
      <c r="W8232" s="4"/>
      <c r="X8232" s="17"/>
      <c r="Y8232" s="4"/>
      <c r="Z8232" s="17"/>
      <c r="AA8232" s="17"/>
      <c r="AB8232" s="17"/>
      <c r="AC8232" s="14"/>
      <c r="AD8232" s="14"/>
      <c r="AE8232" s="17"/>
      <c r="AF8232" s="14"/>
      <c r="AG8232" s="54"/>
      <c r="AH8232" s="11"/>
      <c r="AI8232" s="14"/>
      <c r="AJ8232" s="19">
        <v>0</v>
      </c>
      <c r="AK8232" s="23">
        <v>0</v>
      </c>
      <c r="AL8232" s="11"/>
      <c r="AM8232" s="19">
        <v>0</v>
      </c>
      <c r="AN8232" s="19">
        <v>433280</v>
      </c>
      <c r="AO8232" s="14"/>
      <c r="AP8232" s="14">
        <v>433280</v>
      </c>
      <c r="AQ8232" s="12">
        <v>1E-4</v>
      </c>
      <c r="AS8232" s="26"/>
    </row>
    <row r="8233" spans="1:45" s="19" customFormat="1" x14ac:dyDescent="0.2">
      <c r="A8233" s="2"/>
      <c r="B8233" s="13">
        <v>1</v>
      </c>
      <c r="C8233" s="17" t="s">
        <v>69</v>
      </c>
      <c r="D8233" s="17"/>
      <c r="E8233" s="17">
        <v>2331</v>
      </c>
      <c r="F8233" s="17">
        <v>3</v>
      </c>
      <c r="G8233" s="13">
        <v>2</v>
      </c>
      <c r="H8233" s="17">
        <v>43</v>
      </c>
      <c r="I8233" s="17">
        <v>0</v>
      </c>
      <c r="J8233" s="17">
        <v>38</v>
      </c>
      <c r="K8233" s="10">
        <v>17238</v>
      </c>
      <c r="L8233" s="17"/>
      <c r="M8233" s="15"/>
      <c r="N8233" s="18"/>
      <c r="O8233" s="14"/>
      <c r="P8233" s="17">
        <v>1</v>
      </c>
      <c r="Q8233" s="19">
        <v>17238</v>
      </c>
      <c r="R8233" s="14" t="e">
        <v>#N/A</v>
      </c>
      <c r="S8233" s="19" t="e">
        <v>#N/A</v>
      </c>
      <c r="T8233" s="17"/>
      <c r="U8233" s="17"/>
      <c r="V8233" s="17"/>
      <c r="W8233" s="4"/>
      <c r="X8233" s="17"/>
      <c r="Y8233" s="4"/>
      <c r="Z8233" s="17"/>
      <c r="AA8233" s="17"/>
      <c r="AB8233" s="17"/>
      <c r="AC8233" s="14"/>
      <c r="AD8233" s="14"/>
      <c r="AE8233" s="17"/>
      <c r="AF8233" s="14"/>
      <c r="AG8233" s="54"/>
      <c r="AH8233" s="11"/>
      <c r="AI8233" s="14"/>
      <c r="AJ8233" s="19">
        <v>0</v>
      </c>
      <c r="AK8233" s="23">
        <v>0</v>
      </c>
      <c r="AL8233" s="11"/>
      <c r="AM8233" s="19">
        <v>0</v>
      </c>
      <c r="AN8233" s="19" t="e">
        <v>#N/A</v>
      </c>
      <c r="AO8233" s="14"/>
      <c r="AP8233" s="14" t="e">
        <v>#N/A</v>
      </c>
      <c r="AQ8233" s="12">
        <v>1E-4</v>
      </c>
      <c r="AS8233" s="26"/>
    </row>
    <row r="8234" spans="1:45" s="19" customFormat="1" x14ac:dyDescent="0.2">
      <c r="A8234" s="2">
        <v>6807</v>
      </c>
      <c r="B8234" s="13">
        <v>1</v>
      </c>
      <c r="C8234" s="17" t="s">
        <v>69</v>
      </c>
      <c r="D8234" s="17"/>
      <c r="E8234" s="17">
        <v>1469</v>
      </c>
      <c r="F8234" s="17">
        <v>10</v>
      </c>
      <c r="G8234" s="13">
        <v>2</v>
      </c>
      <c r="H8234" s="17">
        <v>19</v>
      </c>
      <c r="I8234" s="17">
        <v>0</v>
      </c>
      <c r="J8234" s="17">
        <v>89</v>
      </c>
      <c r="K8234" s="10">
        <v>7689</v>
      </c>
      <c r="L8234" s="17"/>
      <c r="M8234" s="15"/>
      <c r="N8234" s="18"/>
      <c r="O8234" s="14"/>
      <c r="P8234" s="17">
        <v>1</v>
      </c>
      <c r="Q8234" s="19">
        <v>7689</v>
      </c>
      <c r="R8234" s="14">
        <v>160</v>
      </c>
      <c r="S8234" s="19">
        <v>1230240</v>
      </c>
      <c r="T8234" s="17"/>
      <c r="U8234" s="17"/>
      <c r="V8234" s="17"/>
      <c r="W8234" s="4"/>
      <c r="X8234" s="17"/>
      <c r="Y8234" s="4"/>
      <c r="Z8234" s="17"/>
      <c r="AA8234" s="17"/>
      <c r="AB8234" s="17"/>
      <c r="AC8234" s="14"/>
      <c r="AD8234" s="14"/>
      <c r="AE8234" s="17"/>
      <c r="AF8234" s="14"/>
      <c r="AG8234" s="54"/>
      <c r="AH8234" s="11"/>
      <c r="AI8234" s="14"/>
      <c r="AJ8234" s="19">
        <v>0</v>
      </c>
      <c r="AK8234" s="23">
        <v>0</v>
      </c>
      <c r="AL8234" s="11"/>
      <c r="AM8234" s="19">
        <v>0</v>
      </c>
      <c r="AN8234" s="19">
        <v>1230240</v>
      </c>
      <c r="AO8234" s="14"/>
      <c r="AP8234" s="14">
        <v>1230240</v>
      </c>
      <c r="AQ8234" s="12">
        <v>1E-4</v>
      </c>
      <c r="AS8234" s="26"/>
    </row>
    <row r="8235" spans="1:45" s="19" customFormat="1" x14ac:dyDescent="0.2">
      <c r="A8235" s="2">
        <v>6808</v>
      </c>
      <c r="B8235" s="13">
        <v>1</v>
      </c>
      <c r="C8235" s="17" t="s">
        <v>69</v>
      </c>
      <c r="D8235" s="17"/>
      <c r="E8235" s="17">
        <v>1513</v>
      </c>
      <c r="F8235" s="17">
        <v>12</v>
      </c>
      <c r="G8235" s="13">
        <v>2</v>
      </c>
      <c r="H8235" s="17">
        <v>9</v>
      </c>
      <c r="I8235" s="17">
        <v>1</v>
      </c>
      <c r="J8235" s="17">
        <v>87</v>
      </c>
      <c r="K8235" s="10">
        <v>3787</v>
      </c>
      <c r="L8235" s="17"/>
      <c r="M8235" s="15"/>
      <c r="N8235" s="18"/>
      <c r="O8235" s="14"/>
      <c r="P8235" s="17">
        <v>1</v>
      </c>
      <c r="Q8235" s="19">
        <v>3787</v>
      </c>
      <c r="R8235" s="14">
        <v>160</v>
      </c>
      <c r="S8235" s="19">
        <v>605920</v>
      </c>
      <c r="T8235" s="17"/>
      <c r="U8235" s="17"/>
      <c r="V8235" s="17"/>
      <c r="W8235" s="4"/>
      <c r="X8235" s="17"/>
      <c r="Y8235" s="4"/>
      <c r="Z8235" s="17"/>
      <c r="AA8235" s="17"/>
      <c r="AB8235" s="17"/>
      <c r="AC8235" s="14"/>
      <c r="AD8235" s="14"/>
      <c r="AE8235" s="17"/>
      <c r="AF8235" s="14"/>
      <c r="AG8235" s="54"/>
      <c r="AH8235" s="11"/>
      <c r="AI8235" s="14"/>
      <c r="AJ8235" s="19">
        <v>0</v>
      </c>
      <c r="AK8235" s="23">
        <v>0</v>
      </c>
      <c r="AL8235" s="11"/>
      <c r="AM8235" s="19">
        <v>0</v>
      </c>
      <c r="AN8235" s="19">
        <v>605920</v>
      </c>
      <c r="AO8235" s="14"/>
      <c r="AP8235" s="14">
        <v>605920</v>
      </c>
      <c r="AQ8235" s="12">
        <v>1E-4</v>
      </c>
      <c r="AS8235" s="26"/>
    </row>
    <row r="8236" spans="1:45" s="19" customFormat="1" x14ac:dyDescent="0.2">
      <c r="A8236" s="2"/>
      <c r="B8236" s="13">
        <v>1</v>
      </c>
      <c r="C8236" s="17" t="s">
        <v>69</v>
      </c>
      <c r="D8236" s="17"/>
      <c r="E8236" s="17">
        <v>2330</v>
      </c>
      <c r="F8236" s="17">
        <v>11</v>
      </c>
      <c r="G8236" s="13">
        <v>2</v>
      </c>
      <c r="H8236" s="17">
        <v>11</v>
      </c>
      <c r="I8236" s="17">
        <v>3</v>
      </c>
      <c r="J8236" s="17">
        <v>83</v>
      </c>
      <c r="K8236" s="10">
        <v>4783</v>
      </c>
      <c r="L8236" s="17"/>
      <c r="M8236" s="15"/>
      <c r="N8236" s="18"/>
      <c r="O8236" s="14"/>
      <c r="P8236" s="17">
        <v>1</v>
      </c>
      <c r="Q8236" s="19">
        <v>4783</v>
      </c>
      <c r="R8236" s="14" t="e">
        <v>#N/A</v>
      </c>
      <c r="S8236" s="19" t="e">
        <v>#N/A</v>
      </c>
      <c r="T8236" s="17"/>
      <c r="U8236" s="17"/>
      <c r="V8236" s="17"/>
      <c r="W8236" s="4"/>
      <c r="X8236" s="17"/>
      <c r="Y8236" s="4"/>
      <c r="Z8236" s="17"/>
      <c r="AA8236" s="17"/>
      <c r="AB8236" s="17"/>
      <c r="AC8236" s="14"/>
      <c r="AD8236" s="14"/>
      <c r="AE8236" s="17"/>
      <c r="AF8236" s="14"/>
      <c r="AG8236" s="54"/>
      <c r="AH8236" s="11"/>
      <c r="AI8236" s="14"/>
      <c r="AJ8236" s="19">
        <v>0</v>
      </c>
      <c r="AK8236" s="23">
        <v>0</v>
      </c>
      <c r="AL8236" s="11"/>
      <c r="AM8236" s="19">
        <v>0</v>
      </c>
      <c r="AN8236" s="19" t="e">
        <v>#N/A</v>
      </c>
      <c r="AO8236" s="14"/>
      <c r="AP8236" s="14" t="e">
        <v>#N/A</v>
      </c>
      <c r="AQ8236" s="12">
        <v>1E-4</v>
      </c>
      <c r="AS8236" s="26"/>
    </row>
    <row r="8237" spans="1:45" s="19" customFormat="1" x14ac:dyDescent="0.2">
      <c r="A8237" s="2">
        <v>6809</v>
      </c>
      <c r="B8237" s="13">
        <v>1</v>
      </c>
      <c r="C8237" s="17" t="s">
        <v>69</v>
      </c>
      <c r="D8237" s="17"/>
      <c r="E8237" s="17">
        <v>1520</v>
      </c>
      <c r="F8237" s="17">
        <v>4</v>
      </c>
      <c r="G8237" s="13">
        <v>2</v>
      </c>
      <c r="H8237" s="17">
        <v>4</v>
      </c>
      <c r="I8237" s="17">
        <v>3</v>
      </c>
      <c r="J8237" s="17">
        <v>95</v>
      </c>
      <c r="K8237" s="10">
        <v>1995</v>
      </c>
      <c r="L8237" s="17"/>
      <c r="M8237" s="15"/>
      <c r="N8237" s="18"/>
      <c r="O8237" s="14"/>
      <c r="P8237" s="17">
        <v>1</v>
      </c>
      <c r="Q8237" s="19">
        <v>1995</v>
      </c>
      <c r="R8237" s="14">
        <v>200</v>
      </c>
      <c r="S8237" s="19">
        <v>399000</v>
      </c>
      <c r="T8237" s="17"/>
      <c r="U8237" s="17"/>
      <c r="V8237" s="17"/>
      <c r="W8237" s="4"/>
      <c r="X8237" s="17"/>
      <c r="Y8237" s="4"/>
      <c r="Z8237" s="17"/>
      <c r="AA8237" s="17"/>
      <c r="AB8237" s="17"/>
      <c r="AC8237" s="14"/>
      <c r="AD8237" s="14"/>
      <c r="AE8237" s="17"/>
      <c r="AF8237" s="14"/>
      <c r="AG8237" s="54"/>
      <c r="AH8237" s="11"/>
      <c r="AI8237" s="14"/>
      <c r="AJ8237" s="19">
        <v>0</v>
      </c>
      <c r="AK8237" s="23">
        <v>0</v>
      </c>
      <c r="AL8237" s="11"/>
      <c r="AM8237" s="19">
        <v>0</v>
      </c>
      <c r="AN8237" s="19">
        <v>399000</v>
      </c>
      <c r="AO8237" s="14"/>
      <c r="AP8237" s="14">
        <v>399000</v>
      </c>
      <c r="AQ8237" s="12">
        <v>1E-4</v>
      </c>
      <c r="AS8237" s="26"/>
    </row>
    <row r="8238" spans="1:45" s="19" customFormat="1" x14ac:dyDescent="0.2">
      <c r="A8238" s="2">
        <f>+A8237+1</f>
        <v>6810</v>
      </c>
      <c r="B8238" s="13">
        <v>1</v>
      </c>
      <c r="C8238" s="17" t="s">
        <v>69</v>
      </c>
      <c r="D8238" s="17"/>
      <c r="E8238" s="17">
        <v>1499</v>
      </c>
      <c r="F8238" s="17">
        <v>3</v>
      </c>
      <c r="G8238" s="13">
        <v>2</v>
      </c>
      <c r="H8238" s="17">
        <v>55</v>
      </c>
      <c r="I8238" s="17">
        <v>1</v>
      </c>
      <c r="J8238" s="17">
        <v>55</v>
      </c>
      <c r="K8238" s="10">
        <v>22155</v>
      </c>
      <c r="L8238" s="17"/>
      <c r="M8238" s="15"/>
      <c r="N8238" s="18"/>
      <c r="O8238" s="14"/>
      <c r="P8238" s="17">
        <v>1</v>
      </c>
      <c r="Q8238" s="19">
        <v>22155</v>
      </c>
      <c r="R8238" s="14">
        <v>200</v>
      </c>
      <c r="S8238" s="19">
        <v>4431000</v>
      </c>
      <c r="T8238" s="17"/>
      <c r="U8238" s="17"/>
      <c r="V8238" s="17"/>
      <c r="W8238" s="4"/>
      <c r="X8238" s="17"/>
      <c r="Y8238" s="4"/>
      <c r="Z8238" s="17"/>
      <c r="AA8238" s="17"/>
      <c r="AB8238" s="17"/>
      <c r="AC8238" s="14"/>
      <c r="AD8238" s="14"/>
      <c r="AE8238" s="17"/>
      <c r="AF8238" s="14"/>
      <c r="AG8238" s="54"/>
      <c r="AH8238" s="11"/>
      <c r="AI8238" s="14"/>
      <c r="AJ8238" s="19">
        <v>0</v>
      </c>
      <c r="AK8238" s="23">
        <v>0</v>
      </c>
      <c r="AL8238" s="11"/>
      <c r="AM8238" s="19">
        <v>0</v>
      </c>
      <c r="AN8238" s="19">
        <v>4431000</v>
      </c>
      <c r="AO8238" s="14"/>
      <c r="AP8238" s="14">
        <v>4431000</v>
      </c>
      <c r="AQ8238" s="12">
        <v>1E-4</v>
      </c>
      <c r="AS8238" s="26"/>
    </row>
    <row r="8239" spans="1:45" s="19" customFormat="1" x14ac:dyDescent="0.2">
      <c r="A8239" s="122">
        <f t="shared" ref="A8239:A8240" si="780">+A8238+1</f>
        <v>6811</v>
      </c>
      <c r="B8239" s="13">
        <v>1</v>
      </c>
      <c r="C8239" s="17" t="s">
        <v>69</v>
      </c>
      <c r="D8239" s="17"/>
      <c r="E8239" s="17">
        <v>1518</v>
      </c>
      <c r="F8239" s="17">
        <v>11</v>
      </c>
      <c r="G8239" s="13">
        <v>2</v>
      </c>
      <c r="H8239" s="17">
        <v>7</v>
      </c>
      <c r="I8239" s="17">
        <v>1</v>
      </c>
      <c r="J8239" s="17">
        <v>45</v>
      </c>
      <c r="K8239" s="10">
        <v>2945</v>
      </c>
      <c r="L8239" s="17"/>
      <c r="M8239" s="15"/>
      <c r="N8239" s="18"/>
      <c r="O8239" s="14"/>
      <c r="P8239" s="17">
        <v>1</v>
      </c>
      <c r="Q8239" s="19">
        <v>2945</v>
      </c>
      <c r="R8239" s="14">
        <v>160</v>
      </c>
      <c r="S8239" s="19">
        <v>471200</v>
      </c>
      <c r="T8239" s="17"/>
      <c r="U8239" s="17"/>
      <c r="V8239" s="17"/>
      <c r="W8239" s="4"/>
      <c r="X8239" s="17"/>
      <c r="Y8239" s="4"/>
      <c r="Z8239" s="17"/>
      <c r="AA8239" s="17"/>
      <c r="AB8239" s="17"/>
      <c r="AC8239" s="14"/>
      <c r="AD8239" s="14"/>
      <c r="AE8239" s="17"/>
      <c r="AF8239" s="14"/>
      <c r="AG8239" s="54"/>
      <c r="AH8239" s="11"/>
      <c r="AI8239" s="14"/>
      <c r="AJ8239" s="19">
        <v>0</v>
      </c>
      <c r="AK8239" s="23">
        <v>0</v>
      </c>
      <c r="AL8239" s="11"/>
      <c r="AM8239" s="19">
        <v>0</v>
      </c>
      <c r="AN8239" s="19">
        <v>471200</v>
      </c>
      <c r="AO8239" s="14"/>
      <c r="AP8239" s="14">
        <v>471200</v>
      </c>
      <c r="AQ8239" s="12">
        <v>1E-4</v>
      </c>
      <c r="AS8239" s="26"/>
    </row>
    <row r="8240" spans="1:45" s="19" customFormat="1" x14ac:dyDescent="0.2">
      <c r="A8240" s="122">
        <f t="shared" si="780"/>
        <v>6812</v>
      </c>
      <c r="B8240" s="13">
        <v>1</v>
      </c>
      <c r="C8240" s="17" t="s">
        <v>69</v>
      </c>
      <c r="D8240" s="17"/>
      <c r="E8240" s="17">
        <v>1502</v>
      </c>
      <c r="F8240" s="17">
        <v>2</v>
      </c>
      <c r="G8240" s="13">
        <v>6</v>
      </c>
      <c r="H8240" s="17">
        <v>68</v>
      </c>
      <c r="I8240" s="17">
        <v>0</v>
      </c>
      <c r="J8240" s="17">
        <v>25</v>
      </c>
      <c r="K8240" s="10">
        <v>27225</v>
      </c>
      <c r="L8240" s="17"/>
      <c r="M8240" s="15"/>
      <c r="N8240" s="18"/>
      <c r="O8240" s="14"/>
      <c r="P8240" s="17">
        <v>1</v>
      </c>
      <c r="Q8240" s="19">
        <v>27225</v>
      </c>
      <c r="R8240" s="14">
        <v>200</v>
      </c>
      <c r="S8240" s="19">
        <v>5445000</v>
      </c>
      <c r="T8240" s="17"/>
      <c r="U8240" s="17"/>
      <c r="V8240" s="17"/>
      <c r="W8240" s="4"/>
      <c r="X8240" s="17"/>
      <c r="Y8240" s="4"/>
      <c r="Z8240" s="17"/>
      <c r="AA8240" s="17"/>
      <c r="AB8240" s="17"/>
      <c r="AC8240" s="14"/>
      <c r="AD8240" s="14"/>
      <c r="AE8240" s="17"/>
      <c r="AF8240" s="14"/>
      <c r="AG8240" s="54"/>
      <c r="AH8240" s="11"/>
      <c r="AI8240" s="14"/>
      <c r="AJ8240" s="19">
        <v>0</v>
      </c>
      <c r="AK8240" s="23">
        <v>0</v>
      </c>
      <c r="AL8240" s="11"/>
      <c r="AM8240" s="19">
        <v>0</v>
      </c>
      <c r="AN8240" s="19">
        <v>5445000</v>
      </c>
      <c r="AO8240" s="14"/>
      <c r="AP8240" s="14">
        <v>5445000</v>
      </c>
      <c r="AQ8240" s="12">
        <v>1E-4</v>
      </c>
      <c r="AS8240" s="26"/>
    </row>
    <row r="8241" spans="1:45" x14ac:dyDescent="0.2">
      <c r="B8241" s="13">
        <v>1</v>
      </c>
      <c r="C8241" s="17" t="s">
        <v>69</v>
      </c>
      <c r="E8241" s="17">
        <v>2330</v>
      </c>
      <c r="F8241" s="17">
        <v>8</v>
      </c>
      <c r="G8241" s="13">
        <v>2</v>
      </c>
      <c r="H8241" s="17">
        <v>11</v>
      </c>
      <c r="I8241" s="17">
        <v>3</v>
      </c>
      <c r="J8241" s="17">
        <v>76</v>
      </c>
      <c r="K8241" s="10">
        <v>4776</v>
      </c>
      <c r="P8241" s="17">
        <v>1</v>
      </c>
      <c r="Q8241" s="19">
        <v>4776</v>
      </c>
      <c r="R8241" s="14" t="e">
        <v>#N/A</v>
      </c>
      <c r="S8241" s="19" t="e">
        <v>#N/A</v>
      </c>
      <c r="AJ8241" s="19">
        <v>0</v>
      </c>
      <c r="AK8241" s="23">
        <v>0</v>
      </c>
      <c r="AM8241" s="19">
        <v>0</v>
      </c>
      <c r="AN8241" s="19" t="e">
        <v>#N/A</v>
      </c>
      <c r="AP8241" s="14" t="e">
        <v>#N/A</v>
      </c>
      <c r="AQ8241" s="12">
        <v>1E-4</v>
      </c>
    </row>
    <row r="8242" spans="1:45" x14ac:dyDescent="0.2">
      <c r="B8242" s="13">
        <v>1</v>
      </c>
      <c r="C8242" s="17" t="s">
        <v>69</v>
      </c>
      <c r="E8242" s="17">
        <v>2330</v>
      </c>
      <c r="F8242" s="17">
        <v>13</v>
      </c>
      <c r="G8242" s="13">
        <v>2</v>
      </c>
      <c r="H8242" s="17">
        <v>20</v>
      </c>
      <c r="I8242" s="17">
        <v>1</v>
      </c>
      <c r="J8242" s="17">
        <v>40</v>
      </c>
      <c r="K8242" s="10">
        <v>8140</v>
      </c>
      <c r="P8242" s="17">
        <v>1</v>
      </c>
      <c r="Q8242" s="19">
        <v>8140</v>
      </c>
      <c r="R8242" s="14" t="e">
        <v>#N/A</v>
      </c>
      <c r="S8242" s="19" t="e">
        <v>#N/A</v>
      </c>
      <c r="AJ8242" s="19">
        <v>0</v>
      </c>
      <c r="AK8242" s="23">
        <v>0</v>
      </c>
      <c r="AM8242" s="19">
        <v>0</v>
      </c>
      <c r="AN8242" s="19" t="e">
        <v>#N/A</v>
      </c>
      <c r="AP8242" s="14" t="e">
        <v>#N/A</v>
      </c>
      <c r="AQ8242" s="12">
        <v>1E-4</v>
      </c>
    </row>
    <row r="8243" spans="1:45" x14ac:dyDescent="0.2">
      <c r="A8243" s="2">
        <v>6813</v>
      </c>
      <c r="B8243" s="13">
        <v>1</v>
      </c>
      <c r="C8243" s="17" t="s">
        <v>69</v>
      </c>
      <c r="E8243" s="17">
        <v>159</v>
      </c>
      <c r="F8243" s="17">
        <v>4</v>
      </c>
      <c r="G8243" s="13">
        <v>1</v>
      </c>
      <c r="H8243" s="17">
        <v>9</v>
      </c>
      <c r="I8243" s="17">
        <v>2</v>
      </c>
      <c r="J8243" s="17">
        <v>33</v>
      </c>
      <c r="K8243" s="10">
        <v>3833</v>
      </c>
      <c r="P8243" s="17">
        <v>1</v>
      </c>
      <c r="Q8243" s="19">
        <v>3833</v>
      </c>
      <c r="R8243" s="14">
        <v>160</v>
      </c>
      <c r="S8243" s="19">
        <v>613280</v>
      </c>
      <c r="AJ8243" s="19">
        <v>0</v>
      </c>
      <c r="AK8243" s="23">
        <v>0</v>
      </c>
      <c r="AM8243" s="19">
        <v>0</v>
      </c>
      <c r="AN8243" s="19">
        <v>613280</v>
      </c>
      <c r="AP8243" s="14">
        <v>613280</v>
      </c>
      <c r="AQ8243" s="12">
        <v>1E-4</v>
      </c>
      <c r="AS8243" s="26">
        <v>29</v>
      </c>
    </row>
    <row r="8244" spans="1:45" x14ac:dyDescent="0.2">
      <c r="A8244" s="2">
        <v>6814</v>
      </c>
      <c r="B8244" s="13">
        <v>1</v>
      </c>
      <c r="C8244" s="17" t="s">
        <v>69</v>
      </c>
      <c r="E8244" s="17">
        <v>2329</v>
      </c>
      <c r="F8244" s="17">
        <v>29</v>
      </c>
      <c r="G8244" s="13">
        <v>2</v>
      </c>
      <c r="H8244" s="17">
        <v>3</v>
      </c>
      <c r="I8244" s="17">
        <v>1</v>
      </c>
      <c r="J8244" s="17">
        <v>75</v>
      </c>
      <c r="K8244" s="10">
        <v>1375</v>
      </c>
      <c r="P8244" s="17">
        <v>1</v>
      </c>
      <c r="Q8244" s="19">
        <v>1375</v>
      </c>
      <c r="R8244" s="14">
        <v>160</v>
      </c>
      <c r="S8244" s="19">
        <v>220000</v>
      </c>
      <c r="AJ8244" s="19">
        <v>0</v>
      </c>
      <c r="AK8244" s="23">
        <v>0</v>
      </c>
      <c r="AM8244" s="19">
        <v>0</v>
      </c>
      <c r="AN8244" s="19">
        <v>220000</v>
      </c>
      <c r="AP8244" s="14">
        <v>220000</v>
      </c>
      <c r="AQ8244" s="12">
        <v>1E-4</v>
      </c>
    </row>
    <row r="8245" spans="1:45" x14ac:dyDescent="0.2">
      <c r="B8245" s="13">
        <v>1</v>
      </c>
      <c r="C8245" s="17" t="s">
        <v>69</v>
      </c>
      <c r="E8245" s="17">
        <v>2330</v>
      </c>
      <c r="F8245" s="17">
        <v>14</v>
      </c>
      <c r="G8245" s="13">
        <v>2</v>
      </c>
      <c r="H8245" s="17">
        <v>10</v>
      </c>
      <c r="I8245" s="17">
        <v>0</v>
      </c>
      <c r="J8245" s="17">
        <v>76</v>
      </c>
      <c r="K8245" s="10">
        <v>4076</v>
      </c>
      <c r="P8245" s="17">
        <v>1</v>
      </c>
      <c r="Q8245" s="19">
        <v>4076</v>
      </c>
      <c r="R8245" s="14" t="e">
        <v>#N/A</v>
      </c>
      <c r="S8245" s="19" t="e">
        <v>#N/A</v>
      </c>
      <c r="AJ8245" s="19">
        <v>0</v>
      </c>
      <c r="AK8245" s="23">
        <v>0</v>
      </c>
      <c r="AM8245" s="19">
        <v>0</v>
      </c>
      <c r="AN8245" s="19" t="e">
        <v>#N/A</v>
      </c>
      <c r="AP8245" s="14" t="e">
        <v>#N/A</v>
      </c>
      <c r="AQ8245" s="12">
        <v>1E-4</v>
      </c>
    </row>
    <row r="8246" spans="1:45" x14ac:dyDescent="0.2">
      <c r="A8246" s="2">
        <v>6815</v>
      </c>
      <c r="B8246" s="13">
        <v>1</v>
      </c>
      <c r="C8246" s="17" t="s">
        <v>69</v>
      </c>
      <c r="E8246" s="17">
        <v>1494</v>
      </c>
      <c r="F8246" s="17">
        <v>1</v>
      </c>
      <c r="G8246" s="13">
        <v>6</v>
      </c>
      <c r="H8246" s="17">
        <v>21</v>
      </c>
      <c r="I8246" s="17">
        <v>2</v>
      </c>
      <c r="J8246" s="17">
        <v>5</v>
      </c>
      <c r="K8246" s="10">
        <v>8605</v>
      </c>
      <c r="P8246" s="17">
        <v>1</v>
      </c>
      <c r="Q8246" s="19">
        <v>8605</v>
      </c>
      <c r="R8246" s="14">
        <v>160</v>
      </c>
      <c r="S8246" s="19">
        <v>1376800</v>
      </c>
      <c r="AJ8246" s="19">
        <v>0</v>
      </c>
      <c r="AK8246" s="23">
        <v>0</v>
      </c>
      <c r="AM8246" s="19">
        <v>0</v>
      </c>
      <c r="AN8246" s="19">
        <v>1376800</v>
      </c>
      <c r="AP8246" s="14">
        <v>1376800</v>
      </c>
      <c r="AQ8246" s="12">
        <v>1E-4</v>
      </c>
    </row>
    <row r="8247" spans="1:45" x14ac:dyDescent="0.2">
      <c r="A8247" s="2">
        <f>+A8246+1</f>
        <v>6816</v>
      </c>
      <c r="B8247" s="13">
        <v>1</v>
      </c>
      <c r="C8247" s="17" t="s">
        <v>69</v>
      </c>
      <c r="E8247" s="17">
        <v>151</v>
      </c>
      <c r="F8247" s="17">
        <v>8</v>
      </c>
      <c r="G8247" s="13">
        <v>2</v>
      </c>
      <c r="H8247" s="17">
        <v>39</v>
      </c>
      <c r="I8247" s="17">
        <v>3</v>
      </c>
      <c r="J8247" s="17">
        <v>69</v>
      </c>
      <c r="K8247" s="10">
        <v>15969</v>
      </c>
      <c r="P8247" s="17">
        <v>1</v>
      </c>
      <c r="Q8247" s="19">
        <v>15969</v>
      </c>
      <c r="R8247" s="14">
        <v>160</v>
      </c>
      <c r="S8247" s="19">
        <v>2555040</v>
      </c>
      <c r="AJ8247" s="19">
        <v>0</v>
      </c>
      <c r="AK8247" s="23">
        <v>0</v>
      </c>
      <c r="AM8247" s="19">
        <v>0</v>
      </c>
      <c r="AN8247" s="19">
        <v>2555040</v>
      </c>
      <c r="AP8247" s="14">
        <v>2555040</v>
      </c>
      <c r="AQ8247" s="12">
        <v>1E-4</v>
      </c>
    </row>
    <row r="8248" spans="1:45" x14ac:dyDescent="0.2">
      <c r="A8248" s="122">
        <f t="shared" ref="A8248:A8311" si="781">+A8247+1</f>
        <v>6817</v>
      </c>
      <c r="B8248" s="13">
        <v>1</v>
      </c>
      <c r="C8248" s="17" t="s">
        <v>65</v>
      </c>
      <c r="D8248" s="17">
        <v>1565</v>
      </c>
      <c r="E8248" s="17">
        <v>133</v>
      </c>
      <c r="H8248" s="17">
        <v>18</v>
      </c>
      <c r="I8248" s="17">
        <v>2</v>
      </c>
      <c r="J8248" s="17">
        <v>26</v>
      </c>
      <c r="K8248" s="10">
        <v>7426</v>
      </c>
      <c r="P8248" s="17">
        <v>1</v>
      </c>
      <c r="Q8248" s="19">
        <v>7426</v>
      </c>
      <c r="R8248" s="14">
        <v>500</v>
      </c>
      <c r="S8248" s="19">
        <v>3713000</v>
      </c>
      <c r="AJ8248" s="19">
        <v>0</v>
      </c>
      <c r="AK8248" s="23">
        <v>0</v>
      </c>
      <c r="AM8248" s="19">
        <v>0</v>
      </c>
      <c r="AN8248" s="19">
        <v>3713000</v>
      </c>
      <c r="AP8248" s="14">
        <v>3713000</v>
      </c>
      <c r="AQ8248" s="12">
        <v>1E-4</v>
      </c>
    </row>
    <row r="8249" spans="1:45" x14ac:dyDescent="0.2">
      <c r="A8249" s="122">
        <f t="shared" si="781"/>
        <v>6818</v>
      </c>
      <c r="B8249" s="13">
        <v>2</v>
      </c>
      <c r="C8249" s="17" t="s">
        <v>65</v>
      </c>
      <c r="D8249" s="17">
        <v>1568</v>
      </c>
      <c r="E8249" s="17">
        <v>136</v>
      </c>
      <c r="H8249" s="17">
        <v>22</v>
      </c>
      <c r="I8249" s="17">
        <v>0</v>
      </c>
      <c r="J8249" s="17">
        <v>6</v>
      </c>
      <c r="K8249" s="10">
        <v>8806</v>
      </c>
      <c r="P8249" s="17">
        <v>1</v>
      </c>
      <c r="Q8249" s="19">
        <v>8806</v>
      </c>
      <c r="R8249" s="14">
        <v>160</v>
      </c>
      <c r="S8249" s="19">
        <v>1408960</v>
      </c>
      <c r="AJ8249" s="19">
        <v>0</v>
      </c>
      <c r="AK8249" s="23">
        <v>0</v>
      </c>
      <c r="AM8249" s="19">
        <v>0</v>
      </c>
      <c r="AN8249" s="19">
        <v>1408960</v>
      </c>
      <c r="AP8249" s="14">
        <v>1408960</v>
      </c>
      <c r="AQ8249" s="12">
        <v>1E-4</v>
      </c>
    </row>
    <row r="8250" spans="1:45" x14ac:dyDescent="0.2">
      <c r="A8250" s="122">
        <f t="shared" si="781"/>
        <v>6819</v>
      </c>
      <c r="B8250" s="13">
        <v>3</v>
      </c>
      <c r="C8250" s="17" t="s">
        <v>65</v>
      </c>
      <c r="D8250" s="17">
        <v>1569</v>
      </c>
      <c r="E8250" s="17">
        <v>137</v>
      </c>
      <c r="H8250" s="17">
        <v>13</v>
      </c>
      <c r="I8250" s="17">
        <v>2</v>
      </c>
      <c r="J8250" s="17">
        <v>20</v>
      </c>
      <c r="K8250" s="10">
        <v>5420</v>
      </c>
      <c r="P8250" s="17">
        <v>1</v>
      </c>
      <c r="Q8250" s="19">
        <v>5420</v>
      </c>
      <c r="R8250" s="14">
        <v>160</v>
      </c>
      <c r="S8250" s="19">
        <v>867200</v>
      </c>
      <c r="AJ8250" s="19">
        <v>0</v>
      </c>
      <c r="AK8250" s="23">
        <v>0</v>
      </c>
      <c r="AM8250" s="19">
        <v>0</v>
      </c>
      <c r="AN8250" s="19">
        <v>867200</v>
      </c>
      <c r="AP8250" s="14">
        <v>867200</v>
      </c>
      <c r="AQ8250" s="12">
        <v>1E-4</v>
      </c>
    </row>
    <row r="8251" spans="1:45" x14ac:dyDescent="0.2">
      <c r="A8251" s="122">
        <f t="shared" si="781"/>
        <v>6820</v>
      </c>
      <c r="B8251" s="13">
        <v>4</v>
      </c>
      <c r="C8251" s="17" t="s">
        <v>65</v>
      </c>
      <c r="D8251" s="17">
        <v>1570</v>
      </c>
      <c r="E8251" s="17">
        <v>138</v>
      </c>
      <c r="H8251" s="17">
        <v>15</v>
      </c>
      <c r="I8251" s="17">
        <v>1</v>
      </c>
      <c r="J8251" s="17">
        <v>16</v>
      </c>
      <c r="K8251" s="10">
        <v>6116</v>
      </c>
      <c r="P8251" s="17">
        <v>1</v>
      </c>
      <c r="Q8251" s="19">
        <v>6116</v>
      </c>
      <c r="R8251" s="14">
        <v>160</v>
      </c>
      <c r="S8251" s="19">
        <v>978560</v>
      </c>
      <c r="AJ8251" s="19">
        <v>0</v>
      </c>
      <c r="AK8251" s="23">
        <v>0</v>
      </c>
      <c r="AM8251" s="19">
        <v>0</v>
      </c>
      <c r="AN8251" s="19">
        <v>978560</v>
      </c>
      <c r="AP8251" s="14">
        <v>978560</v>
      </c>
      <c r="AQ8251" s="12">
        <v>1E-4</v>
      </c>
    </row>
    <row r="8252" spans="1:45" x14ac:dyDescent="0.2">
      <c r="A8252" s="122">
        <f t="shared" si="781"/>
        <v>6821</v>
      </c>
      <c r="B8252" s="13">
        <v>5</v>
      </c>
      <c r="C8252" s="17" t="s">
        <v>65</v>
      </c>
      <c r="D8252" s="17">
        <v>1571</v>
      </c>
      <c r="E8252" s="17">
        <v>139</v>
      </c>
      <c r="H8252" s="17">
        <v>9</v>
      </c>
      <c r="I8252" s="17">
        <v>2</v>
      </c>
      <c r="J8252" s="17">
        <v>50</v>
      </c>
      <c r="K8252" s="10">
        <v>3850</v>
      </c>
      <c r="P8252" s="17">
        <v>1</v>
      </c>
      <c r="Q8252" s="19">
        <v>3850</v>
      </c>
      <c r="R8252" s="14">
        <v>160</v>
      </c>
      <c r="S8252" s="19">
        <v>616000</v>
      </c>
      <c r="AJ8252" s="19">
        <v>0</v>
      </c>
      <c r="AK8252" s="23">
        <v>0</v>
      </c>
      <c r="AM8252" s="19">
        <v>0</v>
      </c>
      <c r="AN8252" s="19">
        <v>616000</v>
      </c>
      <c r="AP8252" s="14">
        <v>616000</v>
      </c>
      <c r="AQ8252" s="12">
        <v>1E-4</v>
      </c>
    </row>
    <row r="8253" spans="1:45" x14ac:dyDescent="0.2">
      <c r="A8253" s="122">
        <f t="shared" si="781"/>
        <v>6822</v>
      </c>
      <c r="B8253" s="13">
        <v>6</v>
      </c>
      <c r="C8253" s="17" t="s">
        <v>65</v>
      </c>
      <c r="D8253" s="17">
        <v>1572</v>
      </c>
      <c r="E8253" s="17">
        <v>146</v>
      </c>
      <c r="H8253" s="17">
        <v>11</v>
      </c>
      <c r="I8253" s="17">
        <v>0</v>
      </c>
      <c r="J8253" s="17">
        <v>80</v>
      </c>
      <c r="K8253" s="10">
        <v>4480</v>
      </c>
      <c r="P8253" s="17">
        <v>1</v>
      </c>
      <c r="Q8253" s="19">
        <v>4480</v>
      </c>
      <c r="R8253" s="14">
        <v>160</v>
      </c>
      <c r="S8253" s="19">
        <v>716800</v>
      </c>
      <c r="AJ8253" s="19">
        <v>0</v>
      </c>
      <c r="AK8253" s="23">
        <v>0</v>
      </c>
      <c r="AM8253" s="19">
        <v>0</v>
      </c>
      <c r="AN8253" s="19">
        <v>716800</v>
      </c>
      <c r="AP8253" s="14">
        <v>716800</v>
      </c>
      <c r="AQ8253" s="12">
        <v>1E-4</v>
      </c>
    </row>
    <row r="8254" spans="1:45" x14ac:dyDescent="0.2">
      <c r="A8254" s="122">
        <f t="shared" si="781"/>
        <v>6823</v>
      </c>
      <c r="B8254" s="13">
        <v>7</v>
      </c>
      <c r="C8254" s="17" t="s">
        <v>65</v>
      </c>
      <c r="D8254" s="17">
        <v>1573</v>
      </c>
      <c r="E8254" s="17">
        <v>141</v>
      </c>
      <c r="H8254" s="17">
        <v>24</v>
      </c>
      <c r="I8254" s="17">
        <v>1</v>
      </c>
      <c r="J8254" s="17">
        <v>53</v>
      </c>
      <c r="K8254" s="10">
        <v>9753</v>
      </c>
      <c r="P8254" s="17">
        <v>1</v>
      </c>
      <c r="Q8254" s="19">
        <v>9753</v>
      </c>
      <c r="R8254" s="14">
        <v>160</v>
      </c>
      <c r="S8254" s="19">
        <v>1560480</v>
      </c>
      <c r="AJ8254" s="19">
        <v>0</v>
      </c>
      <c r="AK8254" s="23">
        <v>0</v>
      </c>
      <c r="AM8254" s="19">
        <v>0</v>
      </c>
      <c r="AN8254" s="19">
        <v>1560480</v>
      </c>
      <c r="AP8254" s="14">
        <v>1560480</v>
      </c>
      <c r="AQ8254" s="12">
        <v>1E-4</v>
      </c>
    </row>
    <row r="8255" spans="1:45" x14ac:dyDescent="0.2">
      <c r="A8255" s="122">
        <f t="shared" si="781"/>
        <v>6824</v>
      </c>
      <c r="B8255" s="13">
        <v>8</v>
      </c>
      <c r="C8255" s="17" t="s">
        <v>65</v>
      </c>
      <c r="D8255" s="17">
        <v>1667</v>
      </c>
      <c r="E8255" s="17">
        <v>3</v>
      </c>
      <c r="H8255" s="17">
        <v>18</v>
      </c>
      <c r="I8255" s="17">
        <v>1</v>
      </c>
      <c r="J8255" s="17">
        <v>6</v>
      </c>
      <c r="K8255" s="10">
        <v>7306</v>
      </c>
      <c r="P8255" s="17">
        <v>1</v>
      </c>
      <c r="Q8255" s="19">
        <v>7306</v>
      </c>
      <c r="R8255" s="14">
        <v>160</v>
      </c>
      <c r="S8255" s="19">
        <v>1168960</v>
      </c>
      <c r="AJ8255" s="19">
        <v>0</v>
      </c>
      <c r="AK8255" s="23">
        <v>0</v>
      </c>
      <c r="AM8255" s="19">
        <v>0</v>
      </c>
      <c r="AN8255" s="19">
        <v>1168960</v>
      </c>
      <c r="AP8255" s="14">
        <v>1168960</v>
      </c>
      <c r="AQ8255" s="12">
        <v>1E-4</v>
      </c>
    </row>
    <row r="8256" spans="1:45" x14ac:dyDescent="0.2">
      <c r="A8256" s="122">
        <f t="shared" si="781"/>
        <v>6825</v>
      </c>
      <c r="B8256" s="13">
        <v>9</v>
      </c>
      <c r="C8256" s="17" t="s">
        <v>65</v>
      </c>
      <c r="D8256" s="17">
        <v>1767</v>
      </c>
      <c r="E8256" s="17">
        <v>2</v>
      </c>
      <c r="H8256" s="17">
        <v>23</v>
      </c>
      <c r="I8256" s="17">
        <v>0</v>
      </c>
      <c r="J8256" s="17">
        <v>86</v>
      </c>
      <c r="K8256" s="10">
        <v>9286</v>
      </c>
      <c r="P8256" s="17">
        <v>1</v>
      </c>
      <c r="Q8256" s="19">
        <v>9286</v>
      </c>
      <c r="R8256" s="14">
        <v>160</v>
      </c>
      <c r="S8256" s="19">
        <v>1485760</v>
      </c>
      <c r="AJ8256" s="19">
        <v>0</v>
      </c>
      <c r="AK8256" s="23">
        <v>0</v>
      </c>
      <c r="AM8256" s="19">
        <v>0</v>
      </c>
      <c r="AN8256" s="19">
        <v>1485760</v>
      </c>
      <c r="AP8256" s="14">
        <v>1485760</v>
      </c>
      <c r="AQ8256" s="12">
        <v>1E-4</v>
      </c>
    </row>
    <row r="8257" spans="1:45" ht="63" x14ac:dyDescent="0.2">
      <c r="A8257" s="122">
        <f t="shared" si="781"/>
        <v>6826</v>
      </c>
      <c r="B8257" s="13">
        <v>10</v>
      </c>
      <c r="C8257" s="17" t="s">
        <v>65</v>
      </c>
      <c r="D8257" s="17">
        <v>2341</v>
      </c>
      <c r="E8257" s="17">
        <v>120</v>
      </c>
      <c r="H8257" s="17">
        <v>10</v>
      </c>
      <c r="I8257" s="17">
        <v>1</v>
      </c>
      <c r="J8257" s="17">
        <v>40</v>
      </c>
      <c r="K8257" s="10">
        <v>4140</v>
      </c>
      <c r="P8257" s="17">
        <v>1</v>
      </c>
      <c r="Q8257" s="19">
        <v>4140</v>
      </c>
      <c r="R8257" s="14">
        <v>160</v>
      </c>
      <c r="S8257" s="19">
        <v>662400</v>
      </c>
      <c r="AJ8257" s="19">
        <v>0</v>
      </c>
      <c r="AK8257" s="23">
        <v>0</v>
      </c>
      <c r="AM8257" s="19">
        <v>0</v>
      </c>
      <c r="AN8257" s="19">
        <v>662400</v>
      </c>
      <c r="AP8257" s="14">
        <v>662400</v>
      </c>
      <c r="AQ8257" s="12">
        <v>1E-4</v>
      </c>
      <c r="AR8257" s="19">
        <v>1317.8120000000001</v>
      </c>
    </row>
    <row r="8258" spans="1:45" x14ac:dyDescent="0.2">
      <c r="A8258" s="122">
        <f t="shared" si="781"/>
        <v>6827</v>
      </c>
      <c r="B8258" s="13">
        <v>1</v>
      </c>
      <c r="C8258" s="17" t="s">
        <v>65</v>
      </c>
      <c r="D8258" s="17">
        <v>2535</v>
      </c>
      <c r="E8258" s="17">
        <v>133</v>
      </c>
      <c r="H8258" s="17">
        <v>0</v>
      </c>
      <c r="I8258" s="17">
        <v>1</v>
      </c>
      <c r="J8258" s="17">
        <v>54</v>
      </c>
      <c r="N8258" s="18" t="s">
        <v>330</v>
      </c>
      <c r="P8258" s="17">
        <v>4</v>
      </c>
      <c r="Q8258" s="19">
        <v>154</v>
      </c>
      <c r="R8258" s="14">
        <v>200</v>
      </c>
      <c r="S8258" s="19">
        <v>30800</v>
      </c>
      <c r="AJ8258" s="19">
        <v>0</v>
      </c>
      <c r="AK8258" s="23">
        <v>0</v>
      </c>
      <c r="AM8258" s="19">
        <v>0</v>
      </c>
      <c r="AN8258" s="19">
        <v>30800</v>
      </c>
      <c r="AP8258" s="14">
        <v>30800</v>
      </c>
      <c r="AQ8258" s="12">
        <v>3.0000000000000001E-3</v>
      </c>
    </row>
    <row r="8259" spans="1:45" ht="63" x14ac:dyDescent="0.2">
      <c r="A8259" s="122">
        <f t="shared" si="781"/>
        <v>6828</v>
      </c>
      <c r="B8259" s="13">
        <v>2</v>
      </c>
      <c r="C8259" s="17" t="s">
        <v>65</v>
      </c>
      <c r="D8259" s="17">
        <v>2538</v>
      </c>
      <c r="E8259" s="17">
        <v>134</v>
      </c>
      <c r="H8259" s="17">
        <v>0</v>
      </c>
      <c r="I8259" s="17">
        <v>1</v>
      </c>
      <c r="J8259" s="17">
        <v>20</v>
      </c>
      <c r="N8259" s="18" t="s">
        <v>282</v>
      </c>
      <c r="P8259" s="17">
        <v>4</v>
      </c>
      <c r="Q8259" s="19">
        <v>120</v>
      </c>
      <c r="R8259" s="14">
        <v>200</v>
      </c>
      <c r="S8259" s="19">
        <v>24000</v>
      </c>
      <c r="AJ8259" s="19">
        <v>0</v>
      </c>
      <c r="AK8259" s="23">
        <v>0</v>
      </c>
      <c r="AM8259" s="19">
        <v>0</v>
      </c>
      <c r="AN8259" s="19">
        <v>24000</v>
      </c>
      <c r="AP8259" s="14">
        <v>24000</v>
      </c>
      <c r="AQ8259" s="12">
        <v>3.0000000000000001E-3</v>
      </c>
      <c r="AR8259" s="19">
        <v>164.4</v>
      </c>
    </row>
    <row r="8260" spans="1:45" x14ac:dyDescent="0.2">
      <c r="A8260" s="122">
        <f t="shared" si="781"/>
        <v>6829</v>
      </c>
      <c r="B8260" s="13">
        <v>1</v>
      </c>
      <c r="C8260" s="17" t="s">
        <v>97</v>
      </c>
      <c r="D8260" s="17">
        <v>27</v>
      </c>
      <c r="G8260" s="13">
        <v>5</v>
      </c>
      <c r="H8260" s="17">
        <v>5</v>
      </c>
      <c r="I8260" s="17">
        <v>0</v>
      </c>
      <c r="J8260" s="17">
        <v>0</v>
      </c>
      <c r="K8260" s="10">
        <v>2000</v>
      </c>
      <c r="P8260" s="17">
        <v>1</v>
      </c>
      <c r="Q8260" s="19">
        <v>2000</v>
      </c>
      <c r="R8260" s="14">
        <v>160</v>
      </c>
      <c r="S8260" s="19">
        <v>320000</v>
      </c>
      <c r="AJ8260" s="19">
        <v>0</v>
      </c>
      <c r="AK8260" s="23">
        <v>0</v>
      </c>
      <c r="AM8260" s="19">
        <v>0</v>
      </c>
      <c r="AN8260" s="19">
        <v>320000</v>
      </c>
      <c r="AP8260" s="14">
        <v>320000</v>
      </c>
      <c r="AQ8260" s="12">
        <v>1E-4</v>
      </c>
      <c r="AS8260" s="26">
        <v>12471</v>
      </c>
    </row>
    <row r="8261" spans="1:45" x14ac:dyDescent="0.2">
      <c r="A8261" s="122">
        <f t="shared" si="781"/>
        <v>6830</v>
      </c>
      <c r="B8261" s="13">
        <v>2</v>
      </c>
      <c r="C8261" s="17" t="s">
        <v>65</v>
      </c>
      <c r="D8261" s="17">
        <v>695</v>
      </c>
      <c r="E8261" s="17">
        <v>11</v>
      </c>
      <c r="H8261" s="17">
        <v>8</v>
      </c>
      <c r="I8261" s="17">
        <v>1</v>
      </c>
      <c r="J8261" s="17">
        <v>26</v>
      </c>
      <c r="K8261" s="10">
        <v>3326</v>
      </c>
      <c r="P8261" s="17">
        <v>1</v>
      </c>
      <c r="Q8261" s="19">
        <v>3326</v>
      </c>
      <c r="R8261" s="14">
        <v>160</v>
      </c>
      <c r="S8261" s="19">
        <v>532160</v>
      </c>
      <c r="AJ8261" s="19">
        <v>0</v>
      </c>
      <c r="AK8261" s="23">
        <v>0</v>
      </c>
      <c r="AM8261" s="19">
        <v>0</v>
      </c>
      <c r="AN8261" s="19">
        <v>532160</v>
      </c>
      <c r="AP8261" s="14">
        <v>532160</v>
      </c>
      <c r="AQ8261" s="12">
        <v>1E-4</v>
      </c>
    </row>
    <row r="8262" spans="1:45" x14ac:dyDescent="0.2">
      <c r="A8262" s="122">
        <f t="shared" si="781"/>
        <v>6831</v>
      </c>
      <c r="B8262" s="13">
        <v>3</v>
      </c>
      <c r="C8262" s="17" t="s">
        <v>65</v>
      </c>
      <c r="D8262" s="17">
        <v>696</v>
      </c>
      <c r="E8262" s="17">
        <v>13</v>
      </c>
      <c r="H8262" s="17">
        <v>35</v>
      </c>
      <c r="I8262" s="17">
        <v>1</v>
      </c>
      <c r="J8262" s="17">
        <v>53</v>
      </c>
      <c r="K8262" s="10">
        <v>14153</v>
      </c>
      <c r="P8262" s="17">
        <v>1</v>
      </c>
      <c r="Q8262" s="19">
        <v>14153</v>
      </c>
      <c r="R8262" s="14">
        <v>160</v>
      </c>
      <c r="S8262" s="19">
        <v>2264480</v>
      </c>
      <c r="AJ8262" s="19">
        <v>0</v>
      </c>
      <c r="AK8262" s="23">
        <v>0</v>
      </c>
      <c r="AM8262" s="19">
        <v>0</v>
      </c>
      <c r="AN8262" s="19">
        <v>2264480</v>
      </c>
      <c r="AP8262" s="14">
        <v>2264480</v>
      </c>
      <c r="AQ8262" s="12">
        <v>1E-4</v>
      </c>
    </row>
    <row r="8263" spans="1:45" x14ac:dyDescent="0.2">
      <c r="A8263" s="122">
        <f t="shared" si="781"/>
        <v>6832</v>
      </c>
      <c r="B8263" s="13">
        <v>4</v>
      </c>
      <c r="C8263" s="17" t="s">
        <v>65</v>
      </c>
      <c r="D8263" s="17">
        <v>705</v>
      </c>
      <c r="E8263" s="17">
        <v>24</v>
      </c>
      <c r="H8263" s="17">
        <v>45</v>
      </c>
      <c r="I8263" s="17">
        <v>0</v>
      </c>
      <c r="J8263" s="17">
        <v>93</v>
      </c>
      <c r="K8263" s="10">
        <v>18093</v>
      </c>
      <c r="P8263" s="17">
        <v>1</v>
      </c>
      <c r="Q8263" s="19">
        <v>18093</v>
      </c>
      <c r="R8263" s="14">
        <v>160</v>
      </c>
      <c r="S8263" s="19">
        <v>2894880</v>
      </c>
      <c r="AJ8263" s="19">
        <v>0</v>
      </c>
      <c r="AK8263" s="23">
        <v>0</v>
      </c>
      <c r="AM8263" s="19">
        <v>0</v>
      </c>
      <c r="AN8263" s="19">
        <v>2894880</v>
      </c>
      <c r="AP8263" s="14">
        <v>2894880</v>
      </c>
      <c r="AQ8263" s="12">
        <v>1E-4</v>
      </c>
    </row>
    <row r="8264" spans="1:45" x14ac:dyDescent="0.2">
      <c r="A8264" s="122">
        <f t="shared" si="781"/>
        <v>6833</v>
      </c>
      <c r="B8264" s="13">
        <v>5</v>
      </c>
      <c r="C8264" s="17" t="s">
        <v>65</v>
      </c>
      <c r="D8264" s="17">
        <v>726</v>
      </c>
      <c r="E8264" s="17">
        <v>45</v>
      </c>
      <c r="H8264" s="17">
        <v>33</v>
      </c>
      <c r="I8264" s="17">
        <v>2</v>
      </c>
      <c r="J8264" s="17">
        <v>30</v>
      </c>
      <c r="K8264" s="10">
        <v>13430</v>
      </c>
      <c r="P8264" s="17">
        <v>1</v>
      </c>
      <c r="Q8264" s="19">
        <v>13430</v>
      </c>
      <c r="R8264" s="14">
        <v>200</v>
      </c>
      <c r="S8264" s="19">
        <v>2686000</v>
      </c>
      <c r="AJ8264" s="19">
        <v>0</v>
      </c>
      <c r="AK8264" s="23">
        <v>0</v>
      </c>
      <c r="AM8264" s="19">
        <v>0</v>
      </c>
      <c r="AN8264" s="19">
        <v>2686000</v>
      </c>
      <c r="AP8264" s="14">
        <v>2686000</v>
      </c>
      <c r="AQ8264" s="12">
        <v>1E-4</v>
      </c>
    </row>
    <row r="8265" spans="1:45" x14ac:dyDescent="0.2">
      <c r="A8265" s="122">
        <f t="shared" si="781"/>
        <v>6834</v>
      </c>
      <c r="B8265" s="13">
        <v>6</v>
      </c>
      <c r="C8265" s="17" t="s">
        <v>65</v>
      </c>
      <c r="D8265" s="17">
        <v>737</v>
      </c>
      <c r="E8265" s="17">
        <v>63</v>
      </c>
      <c r="H8265" s="17">
        <v>62</v>
      </c>
      <c r="I8265" s="17">
        <v>1</v>
      </c>
      <c r="J8265" s="17">
        <v>63</v>
      </c>
      <c r="K8265" s="10">
        <v>24963</v>
      </c>
      <c r="P8265" s="17">
        <v>1</v>
      </c>
      <c r="Q8265" s="19">
        <v>24963</v>
      </c>
      <c r="R8265" s="14">
        <v>160</v>
      </c>
      <c r="S8265" s="19">
        <v>3994080</v>
      </c>
      <c r="AJ8265" s="19">
        <v>0</v>
      </c>
      <c r="AK8265" s="23">
        <v>0</v>
      </c>
      <c r="AM8265" s="19">
        <v>0</v>
      </c>
      <c r="AN8265" s="19">
        <v>3994080</v>
      </c>
      <c r="AP8265" s="14">
        <v>3994080</v>
      </c>
      <c r="AQ8265" s="12">
        <v>1E-4</v>
      </c>
    </row>
    <row r="8266" spans="1:45" x14ac:dyDescent="0.2">
      <c r="A8266" s="122">
        <f t="shared" si="781"/>
        <v>6835</v>
      </c>
      <c r="B8266" s="13">
        <v>7</v>
      </c>
      <c r="C8266" s="17" t="s">
        <v>65</v>
      </c>
      <c r="D8266" s="17">
        <v>738</v>
      </c>
      <c r="E8266" s="17">
        <v>64</v>
      </c>
      <c r="H8266" s="17">
        <v>42</v>
      </c>
      <c r="I8266" s="17">
        <v>2</v>
      </c>
      <c r="J8266" s="17">
        <v>16</v>
      </c>
      <c r="K8266" s="10">
        <v>17016</v>
      </c>
      <c r="P8266" s="17">
        <v>1</v>
      </c>
      <c r="Q8266" s="19">
        <v>17016</v>
      </c>
      <c r="R8266" s="14">
        <v>160</v>
      </c>
      <c r="S8266" s="19">
        <v>2722560</v>
      </c>
      <c r="AJ8266" s="19">
        <v>0</v>
      </c>
      <c r="AK8266" s="23">
        <v>0</v>
      </c>
      <c r="AM8266" s="19">
        <v>0</v>
      </c>
      <c r="AN8266" s="19">
        <v>2722560</v>
      </c>
      <c r="AP8266" s="14">
        <v>2722560</v>
      </c>
      <c r="AQ8266" s="12">
        <v>1E-4</v>
      </c>
    </row>
    <row r="8267" spans="1:45" x14ac:dyDescent="0.2">
      <c r="A8267" s="122">
        <f t="shared" si="781"/>
        <v>6836</v>
      </c>
      <c r="B8267" s="13">
        <v>8</v>
      </c>
      <c r="C8267" s="17" t="s">
        <v>65</v>
      </c>
      <c r="D8267" s="17">
        <v>904</v>
      </c>
      <c r="E8267" s="17">
        <v>12</v>
      </c>
      <c r="H8267" s="17">
        <v>20</v>
      </c>
      <c r="I8267" s="17">
        <v>1</v>
      </c>
      <c r="J8267" s="17">
        <v>60</v>
      </c>
      <c r="K8267" s="10">
        <v>8160</v>
      </c>
      <c r="P8267" s="17">
        <v>1</v>
      </c>
      <c r="Q8267" s="19">
        <v>8160</v>
      </c>
      <c r="R8267" s="14">
        <v>160</v>
      </c>
      <c r="S8267" s="19">
        <v>1305600</v>
      </c>
      <c r="AJ8267" s="19">
        <v>0</v>
      </c>
      <c r="AK8267" s="23">
        <v>0</v>
      </c>
      <c r="AM8267" s="19">
        <v>0</v>
      </c>
      <c r="AN8267" s="19">
        <v>1305600</v>
      </c>
      <c r="AP8267" s="14">
        <v>1305600</v>
      </c>
      <c r="AQ8267" s="12">
        <v>1E-4</v>
      </c>
    </row>
    <row r="8268" spans="1:45" x14ac:dyDescent="0.2">
      <c r="A8268" s="122">
        <f t="shared" si="781"/>
        <v>6837</v>
      </c>
      <c r="B8268" s="13">
        <v>9</v>
      </c>
      <c r="C8268" s="17" t="s">
        <v>65</v>
      </c>
      <c r="D8268" s="17">
        <v>912</v>
      </c>
      <c r="E8268" s="17">
        <v>71</v>
      </c>
      <c r="H8268" s="17">
        <v>8</v>
      </c>
      <c r="I8268" s="17">
        <v>2</v>
      </c>
      <c r="J8268" s="17">
        <v>63</v>
      </c>
      <c r="K8268" s="10">
        <v>3463</v>
      </c>
      <c r="P8268" s="17">
        <v>1</v>
      </c>
      <c r="Q8268" s="19">
        <v>3463</v>
      </c>
      <c r="R8268" s="14">
        <v>200</v>
      </c>
      <c r="S8268" s="19">
        <v>692600</v>
      </c>
      <c r="AJ8268" s="19">
        <v>0</v>
      </c>
      <c r="AK8268" s="23">
        <v>0</v>
      </c>
      <c r="AM8268" s="19">
        <v>0</v>
      </c>
      <c r="AN8268" s="19">
        <v>692600</v>
      </c>
      <c r="AP8268" s="14">
        <v>692600</v>
      </c>
      <c r="AQ8268" s="12">
        <v>1E-4</v>
      </c>
    </row>
    <row r="8269" spans="1:45" x14ac:dyDescent="0.2">
      <c r="A8269" s="122">
        <f t="shared" si="781"/>
        <v>6838</v>
      </c>
      <c r="B8269" s="13">
        <v>10</v>
      </c>
      <c r="C8269" s="17" t="s">
        <v>65</v>
      </c>
      <c r="D8269" s="17">
        <v>1055</v>
      </c>
      <c r="E8269" s="17">
        <v>86</v>
      </c>
      <c r="H8269" s="17">
        <v>8</v>
      </c>
      <c r="I8269" s="17">
        <v>2</v>
      </c>
      <c r="J8269" s="17">
        <v>60</v>
      </c>
      <c r="K8269" s="10">
        <v>3460</v>
      </c>
      <c r="P8269" s="17">
        <v>1</v>
      </c>
      <c r="Q8269" s="19">
        <v>3460</v>
      </c>
      <c r="R8269" s="14">
        <v>375</v>
      </c>
      <c r="S8269" s="19">
        <v>1297500</v>
      </c>
      <c r="AJ8269" s="19">
        <v>0</v>
      </c>
      <c r="AK8269" s="23">
        <v>0</v>
      </c>
      <c r="AM8269" s="19">
        <v>0</v>
      </c>
      <c r="AN8269" s="19">
        <v>1297500</v>
      </c>
      <c r="AP8269" s="14">
        <v>1297500</v>
      </c>
      <c r="AQ8269" s="12">
        <v>1E-4</v>
      </c>
    </row>
    <row r="8270" spans="1:45" x14ac:dyDescent="0.2">
      <c r="A8270" s="122">
        <f t="shared" si="781"/>
        <v>6839</v>
      </c>
      <c r="B8270" s="13">
        <v>11</v>
      </c>
      <c r="C8270" s="17" t="s">
        <v>65</v>
      </c>
      <c r="D8270" s="17">
        <v>1312</v>
      </c>
      <c r="E8270" s="17">
        <v>26</v>
      </c>
      <c r="H8270" s="17">
        <v>5</v>
      </c>
      <c r="I8270" s="17">
        <v>3</v>
      </c>
      <c r="J8270" s="17">
        <v>76</v>
      </c>
      <c r="K8270" s="10">
        <v>2376</v>
      </c>
      <c r="P8270" s="17">
        <v>1</v>
      </c>
      <c r="Q8270" s="19">
        <v>2376</v>
      </c>
      <c r="R8270" s="14">
        <v>160</v>
      </c>
      <c r="S8270" s="19">
        <v>380160</v>
      </c>
      <c r="AJ8270" s="19">
        <v>0</v>
      </c>
      <c r="AK8270" s="23">
        <v>0</v>
      </c>
      <c r="AM8270" s="19">
        <v>0</v>
      </c>
      <c r="AN8270" s="19">
        <v>380160</v>
      </c>
      <c r="AP8270" s="14">
        <v>380160</v>
      </c>
      <c r="AQ8270" s="12">
        <v>1E-4</v>
      </c>
    </row>
    <row r="8271" spans="1:45" x14ac:dyDescent="0.2">
      <c r="A8271" s="122">
        <f t="shared" si="781"/>
        <v>6840</v>
      </c>
      <c r="B8271" s="13">
        <v>12</v>
      </c>
      <c r="C8271" s="17" t="s">
        <v>65</v>
      </c>
      <c r="D8271" s="17">
        <v>1314</v>
      </c>
      <c r="E8271" s="17">
        <v>28</v>
      </c>
      <c r="H8271" s="17">
        <v>13</v>
      </c>
      <c r="I8271" s="17">
        <v>0</v>
      </c>
      <c r="J8271" s="17">
        <v>66</v>
      </c>
      <c r="K8271" s="10">
        <v>5266</v>
      </c>
      <c r="P8271" s="17">
        <v>1</v>
      </c>
      <c r="Q8271" s="19">
        <v>5266</v>
      </c>
      <c r="R8271" s="14">
        <v>160</v>
      </c>
      <c r="S8271" s="19">
        <v>842560</v>
      </c>
      <c r="AJ8271" s="19">
        <v>0</v>
      </c>
      <c r="AK8271" s="23">
        <v>0</v>
      </c>
      <c r="AM8271" s="19">
        <v>0</v>
      </c>
      <c r="AN8271" s="19">
        <v>842560</v>
      </c>
      <c r="AP8271" s="14">
        <v>842560</v>
      </c>
      <c r="AQ8271" s="12">
        <v>1E-4</v>
      </c>
    </row>
    <row r="8272" spans="1:45" x14ac:dyDescent="0.2">
      <c r="A8272" s="122">
        <f t="shared" si="781"/>
        <v>6841</v>
      </c>
      <c r="B8272" s="13">
        <v>13</v>
      </c>
      <c r="C8272" s="17" t="s">
        <v>65</v>
      </c>
      <c r="D8272" s="17">
        <v>1315</v>
      </c>
      <c r="E8272" s="17">
        <v>29</v>
      </c>
      <c r="H8272" s="17">
        <v>19</v>
      </c>
      <c r="I8272" s="17">
        <v>1</v>
      </c>
      <c r="J8272" s="17">
        <v>26</v>
      </c>
      <c r="K8272" s="10">
        <v>7726</v>
      </c>
      <c r="P8272" s="17">
        <v>1</v>
      </c>
      <c r="Q8272" s="19">
        <v>7726</v>
      </c>
      <c r="R8272" s="14">
        <v>160</v>
      </c>
      <c r="S8272" s="19">
        <v>1236160</v>
      </c>
      <c r="AJ8272" s="19">
        <v>0</v>
      </c>
      <c r="AK8272" s="23">
        <v>0</v>
      </c>
      <c r="AM8272" s="19">
        <v>0</v>
      </c>
      <c r="AN8272" s="19">
        <v>1236160</v>
      </c>
      <c r="AP8272" s="14">
        <v>1236160</v>
      </c>
      <c r="AQ8272" s="12">
        <v>1E-4</v>
      </c>
    </row>
    <row r="8273" spans="1:45" s="19" customFormat="1" x14ac:dyDescent="0.2">
      <c r="A8273" s="122">
        <f t="shared" si="781"/>
        <v>6842</v>
      </c>
      <c r="B8273" s="13">
        <v>14</v>
      </c>
      <c r="C8273" s="17" t="s">
        <v>65</v>
      </c>
      <c r="D8273" s="17">
        <v>1316</v>
      </c>
      <c r="E8273" s="17">
        <v>30</v>
      </c>
      <c r="F8273" s="17"/>
      <c r="G8273" s="13"/>
      <c r="H8273" s="17">
        <v>7</v>
      </c>
      <c r="I8273" s="17">
        <v>0</v>
      </c>
      <c r="J8273" s="17">
        <v>96</v>
      </c>
      <c r="K8273" s="10">
        <v>2896</v>
      </c>
      <c r="L8273" s="17"/>
      <c r="M8273" s="15"/>
      <c r="N8273" s="18"/>
      <c r="O8273" s="14"/>
      <c r="P8273" s="17">
        <v>1</v>
      </c>
      <c r="Q8273" s="19">
        <v>2896</v>
      </c>
      <c r="R8273" s="14">
        <v>160</v>
      </c>
      <c r="S8273" s="19">
        <v>463360</v>
      </c>
      <c r="T8273" s="17"/>
      <c r="U8273" s="17"/>
      <c r="V8273" s="17"/>
      <c r="W8273" s="4"/>
      <c r="X8273" s="17"/>
      <c r="Y8273" s="4"/>
      <c r="Z8273" s="17"/>
      <c r="AA8273" s="17"/>
      <c r="AB8273" s="17"/>
      <c r="AC8273" s="14"/>
      <c r="AD8273" s="14"/>
      <c r="AE8273" s="17"/>
      <c r="AF8273" s="14"/>
      <c r="AG8273" s="54"/>
      <c r="AH8273" s="11"/>
      <c r="AI8273" s="14"/>
      <c r="AJ8273" s="19">
        <v>0</v>
      </c>
      <c r="AK8273" s="23">
        <v>0</v>
      </c>
      <c r="AL8273" s="11"/>
      <c r="AM8273" s="19">
        <v>0</v>
      </c>
      <c r="AN8273" s="19">
        <v>463360</v>
      </c>
      <c r="AO8273" s="14"/>
      <c r="AP8273" s="14">
        <v>463360</v>
      </c>
      <c r="AQ8273" s="12">
        <v>1E-4</v>
      </c>
      <c r="AS8273" s="26"/>
    </row>
    <row r="8274" spans="1:45" s="19" customFormat="1" x14ac:dyDescent="0.2">
      <c r="A8274" s="122">
        <f t="shared" si="781"/>
        <v>6843</v>
      </c>
      <c r="B8274" s="13">
        <v>15</v>
      </c>
      <c r="C8274" s="17" t="s">
        <v>65</v>
      </c>
      <c r="D8274" s="17">
        <v>1317</v>
      </c>
      <c r="E8274" s="17">
        <v>31</v>
      </c>
      <c r="F8274" s="17"/>
      <c r="G8274" s="13"/>
      <c r="H8274" s="17">
        <v>6</v>
      </c>
      <c r="I8274" s="17">
        <v>1</v>
      </c>
      <c r="J8274" s="17">
        <v>6</v>
      </c>
      <c r="K8274" s="10">
        <v>2506</v>
      </c>
      <c r="L8274" s="17"/>
      <c r="M8274" s="15"/>
      <c r="N8274" s="18"/>
      <c r="O8274" s="14"/>
      <c r="P8274" s="17">
        <v>1</v>
      </c>
      <c r="Q8274" s="19">
        <v>2506</v>
      </c>
      <c r="R8274" s="14">
        <v>160</v>
      </c>
      <c r="S8274" s="19">
        <v>400960</v>
      </c>
      <c r="T8274" s="17"/>
      <c r="U8274" s="17"/>
      <c r="V8274" s="17"/>
      <c r="W8274" s="4"/>
      <c r="X8274" s="17"/>
      <c r="Y8274" s="4"/>
      <c r="Z8274" s="17"/>
      <c r="AA8274" s="17"/>
      <c r="AB8274" s="17"/>
      <c r="AC8274" s="14"/>
      <c r="AD8274" s="14"/>
      <c r="AE8274" s="17"/>
      <c r="AF8274" s="14"/>
      <c r="AG8274" s="54"/>
      <c r="AH8274" s="11"/>
      <c r="AI8274" s="14"/>
      <c r="AJ8274" s="19">
        <v>0</v>
      </c>
      <c r="AK8274" s="23">
        <v>0</v>
      </c>
      <c r="AL8274" s="11"/>
      <c r="AM8274" s="19">
        <v>0</v>
      </c>
      <c r="AN8274" s="19">
        <v>400960</v>
      </c>
      <c r="AO8274" s="14"/>
      <c r="AP8274" s="14">
        <v>400960</v>
      </c>
      <c r="AQ8274" s="12">
        <v>1E-4</v>
      </c>
      <c r="AS8274" s="26"/>
    </row>
    <row r="8275" spans="1:45" s="19" customFormat="1" x14ac:dyDescent="0.2">
      <c r="A8275" s="122">
        <f t="shared" si="781"/>
        <v>6844</v>
      </c>
      <c r="B8275" s="13">
        <v>16</v>
      </c>
      <c r="C8275" s="17" t="s">
        <v>65</v>
      </c>
      <c r="D8275" s="17">
        <v>1344</v>
      </c>
      <c r="E8275" s="17">
        <v>58</v>
      </c>
      <c r="F8275" s="17"/>
      <c r="G8275" s="13"/>
      <c r="H8275" s="17">
        <v>7</v>
      </c>
      <c r="I8275" s="17">
        <v>2</v>
      </c>
      <c r="J8275" s="17">
        <v>20</v>
      </c>
      <c r="K8275" s="10">
        <v>3020</v>
      </c>
      <c r="L8275" s="17"/>
      <c r="M8275" s="15"/>
      <c r="N8275" s="18"/>
      <c r="O8275" s="14"/>
      <c r="P8275" s="17">
        <v>1</v>
      </c>
      <c r="Q8275" s="19">
        <v>3020</v>
      </c>
      <c r="R8275" s="14">
        <v>160</v>
      </c>
      <c r="S8275" s="19">
        <v>483200</v>
      </c>
      <c r="T8275" s="17"/>
      <c r="U8275" s="17"/>
      <c r="V8275" s="17"/>
      <c r="W8275" s="4"/>
      <c r="X8275" s="17"/>
      <c r="Y8275" s="4"/>
      <c r="Z8275" s="17"/>
      <c r="AA8275" s="17"/>
      <c r="AB8275" s="17"/>
      <c r="AC8275" s="14"/>
      <c r="AD8275" s="14"/>
      <c r="AE8275" s="17"/>
      <c r="AF8275" s="14"/>
      <c r="AG8275" s="54"/>
      <c r="AH8275" s="11"/>
      <c r="AI8275" s="14"/>
      <c r="AJ8275" s="19">
        <v>0</v>
      </c>
      <c r="AK8275" s="23">
        <v>0</v>
      </c>
      <c r="AL8275" s="11"/>
      <c r="AM8275" s="19">
        <v>0</v>
      </c>
      <c r="AN8275" s="19">
        <v>483200</v>
      </c>
      <c r="AO8275" s="14"/>
      <c r="AP8275" s="14">
        <v>483200</v>
      </c>
      <c r="AQ8275" s="12">
        <v>1E-4</v>
      </c>
      <c r="AS8275" s="26"/>
    </row>
    <row r="8276" spans="1:45" s="19" customFormat="1" x14ac:dyDescent="0.2">
      <c r="A8276" s="122">
        <f t="shared" si="781"/>
        <v>6845</v>
      </c>
      <c r="B8276" s="13">
        <v>17</v>
      </c>
      <c r="C8276" s="17" t="s">
        <v>65</v>
      </c>
      <c r="D8276" s="17">
        <v>1493</v>
      </c>
      <c r="E8276" s="17">
        <v>75</v>
      </c>
      <c r="F8276" s="17"/>
      <c r="G8276" s="13"/>
      <c r="H8276" s="17">
        <v>36</v>
      </c>
      <c r="I8276" s="17">
        <v>2</v>
      </c>
      <c r="J8276" s="17">
        <v>60</v>
      </c>
      <c r="K8276" s="10">
        <v>14660</v>
      </c>
      <c r="L8276" s="17"/>
      <c r="M8276" s="15"/>
      <c r="N8276" s="18"/>
      <c r="O8276" s="14"/>
      <c r="P8276" s="17">
        <v>1</v>
      </c>
      <c r="Q8276" s="19">
        <v>14660</v>
      </c>
      <c r="R8276" s="14">
        <v>375</v>
      </c>
      <c r="S8276" s="19">
        <v>5497500</v>
      </c>
      <c r="T8276" s="17"/>
      <c r="U8276" s="17"/>
      <c r="V8276" s="17"/>
      <c r="W8276" s="4"/>
      <c r="X8276" s="17"/>
      <c r="Y8276" s="4"/>
      <c r="Z8276" s="17"/>
      <c r="AA8276" s="17"/>
      <c r="AB8276" s="17"/>
      <c r="AC8276" s="14"/>
      <c r="AD8276" s="14"/>
      <c r="AE8276" s="17"/>
      <c r="AF8276" s="14"/>
      <c r="AG8276" s="54"/>
      <c r="AH8276" s="11"/>
      <c r="AI8276" s="14"/>
      <c r="AJ8276" s="19">
        <v>0</v>
      </c>
      <c r="AK8276" s="23">
        <v>0</v>
      </c>
      <c r="AL8276" s="11"/>
      <c r="AM8276" s="19">
        <v>0</v>
      </c>
      <c r="AN8276" s="19">
        <v>5497500</v>
      </c>
      <c r="AO8276" s="14"/>
      <c r="AP8276" s="14">
        <v>5497500</v>
      </c>
      <c r="AQ8276" s="12">
        <v>1E-4</v>
      </c>
      <c r="AS8276" s="26"/>
    </row>
    <row r="8277" spans="1:45" s="19" customFormat="1" x14ac:dyDescent="0.2">
      <c r="A8277" s="122">
        <f t="shared" si="781"/>
        <v>6846</v>
      </c>
      <c r="B8277" s="13">
        <v>18</v>
      </c>
      <c r="C8277" s="17" t="s">
        <v>65</v>
      </c>
      <c r="D8277" s="17">
        <v>1494</v>
      </c>
      <c r="E8277" s="17">
        <v>78</v>
      </c>
      <c r="F8277" s="17"/>
      <c r="G8277" s="13"/>
      <c r="H8277" s="17">
        <v>25</v>
      </c>
      <c r="I8277" s="17">
        <v>0</v>
      </c>
      <c r="J8277" s="17">
        <v>53</v>
      </c>
      <c r="K8277" s="10">
        <v>10053</v>
      </c>
      <c r="L8277" s="17"/>
      <c r="M8277" s="15"/>
      <c r="N8277" s="18"/>
      <c r="O8277" s="14"/>
      <c r="P8277" s="17">
        <v>1</v>
      </c>
      <c r="Q8277" s="19">
        <v>10053</v>
      </c>
      <c r="R8277" s="14">
        <v>160</v>
      </c>
      <c r="S8277" s="19">
        <v>1608480</v>
      </c>
      <c r="T8277" s="17"/>
      <c r="U8277" s="17"/>
      <c r="V8277" s="17"/>
      <c r="W8277" s="4"/>
      <c r="X8277" s="17"/>
      <c r="Y8277" s="4"/>
      <c r="Z8277" s="17"/>
      <c r="AA8277" s="17"/>
      <c r="AB8277" s="17"/>
      <c r="AC8277" s="14"/>
      <c r="AD8277" s="14"/>
      <c r="AE8277" s="17"/>
      <c r="AF8277" s="14"/>
      <c r="AG8277" s="54"/>
      <c r="AH8277" s="11"/>
      <c r="AI8277" s="14"/>
      <c r="AJ8277" s="19">
        <v>0</v>
      </c>
      <c r="AK8277" s="23">
        <v>0</v>
      </c>
      <c r="AL8277" s="11"/>
      <c r="AM8277" s="19">
        <v>0</v>
      </c>
      <c r="AN8277" s="19">
        <v>1608480</v>
      </c>
      <c r="AO8277" s="14"/>
      <c r="AP8277" s="14">
        <v>1608480</v>
      </c>
      <c r="AQ8277" s="12">
        <v>1E-4</v>
      </c>
      <c r="AS8277" s="26"/>
    </row>
    <row r="8278" spans="1:45" s="19" customFormat="1" x14ac:dyDescent="0.2">
      <c r="A8278" s="122">
        <f t="shared" si="781"/>
        <v>6847</v>
      </c>
      <c r="B8278" s="13">
        <v>19</v>
      </c>
      <c r="C8278" s="17" t="s">
        <v>65</v>
      </c>
      <c r="D8278" s="17">
        <v>1561</v>
      </c>
      <c r="E8278" s="17">
        <v>29</v>
      </c>
      <c r="F8278" s="17"/>
      <c r="G8278" s="13"/>
      <c r="H8278" s="17">
        <v>26</v>
      </c>
      <c r="I8278" s="17">
        <v>0</v>
      </c>
      <c r="J8278" s="17">
        <v>0</v>
      </c>
      <c r="K8278" s="10">
        <v>10400</v>
      </c>
      <c r="L8278" s="17"/>
      <c r="M8278" s="15"/>
      <c r="N8278" s="18"/>
      <c r="O8278" s="14"/>
      <c r="P8278" s="17">
        <v>1</v>
      </c>
      <c r="Q8278" s="19">
        <v>10400</v>
      </c>
      <c r="R8278" s="14">
        <v>375</v>
      </c>
      <c r="S8278" s="19">
        <v>3900000</v>
      </c>
      <c r="T8278" s="17"/>
      <c r="U8278" s="17"/>
      <c r="V8278" s="17"/>
      <c r="W8278" s="4"/>
      <c r="X8278" s="17"/>
      <c r="Y8278" s="4"/>
      <c r="Z8278" s="17"/>
      <c r="AA8278" s="17"/>
      <c r="AB8278" s="17"/>
      <c r="AC8278" s="14"/>
      <c r="AD8278" s="14"/>
      <c r="AE8278" s="17"/>
      <c r="AF8278" s="14"/>
      <c r="AG8278" s="54"/>
      <c r="AH8278" s="11"/>
      <c r="AI8278" s="14"/>
      <c r="AJ8278" s="19">
        <v>0</v>
      </c>
      <c r="AK8278" s="23">
        <v>0</v>
      </c>
      <c r="AL8278" s="11"/>
      <c r="AM8278" s="19">
        <v>0</v>
      </c>
      <c r="AN8278" s="19">
        <v>3900000</v>
      </c>
      <c r="AO8278" s="14"/>
      <c r="AP8278" s="14">
        <v>3900000</v>
      </c>
      <c r="AQ8278" s="12">
        <v>1E-4</v>
      </c>
      <c r="AS8278" s="26"/>
    </row>
    <row r="8279" spans="1:45" s="19" customFormat="1" x14ac:dyDescent="0.2">
      <c r="A8279" s="122">
        <f t="shared" si="781"/>
        <v>6848</v>
      </c>
      <c r="B8279" s="13">
        <v>20</v>
      </c>
      <c r="C8279" s="17" t="s">
        <v>65</v>
      </c>
      <c r="D8279" s="17">
        <v>1683</v>
      </c>
      <c r="E8279" s="17">
        <v>3</v>
      </c>
      <c r="F8279" s="17"/>
      <c r="G8279" s="13"/>
      <c r="H8279" s="17">
        <v>6</v>
      </c>
      <c r="I8279" s="17">
        <v>1</v>
      </c>
      <c r="J8279" s="17">
        <v>93</v>
      </c>
      <c r="K8279" s="10">
        <v>2593</v>
      </c>
      <c r="L8279" s="17"/>
      <c r="M8279" s="15"/>
      <c r="N8279" s="18"/>
      <c r="O8279" s="14"/>
      <c r="P8279" s="17">
        <v>1</v>
      </c>
      <c r="Q8279" s="19">
        <v>2593</v>
      </c>
      <c r="R8279" s="14">
        <v>160</v>
      </c>
      <c r="S8279" s="19">
        <v>414880</v>
      </c>
      <c r="T8279" s="17"/>
      <c r="U8279" s="17"/>
      <c r="V8279" s="17"/>
      <c r="W8279" s="4"/>
      <c r="X8279" s="17"/>
      <c r="Y8279" s="4"/>
      <c r="Z8279" s="17"/>
      <c r="AA8279" s="17"/>
      <c r="AB8279" s="17"/>
      <c r="AC8279" s="14"/>
      <c r="AD8279" s="14"/>
      <c r="AE8279" s="17"/>
      <c r="AF8279" s="14"/>
      <c r="AG8279" s="54"/>
      <c r="AH8279" s="11"/>
      <c r="AI8279" s="14"/>
      <c r="AJ8279" s="19">
        <v>0</v>
      </c>
      <c r="AK8279" s="23">
        <v>0</v>
      </c>
      <c r="AL8279" s="11"/>
      <c r="AM8279" s="19">
        <v>0</v>
      </c>
      <c r="AN8279" s="19">
        <v>414880</v>
      </c>
      <c r="AO8279" s="14"/>
      <c r="AP8279" s="14">
        <v>414880</v>
      </c>
      <c r="AQ8279" s="12">
        <v>1E-4</v>
      </c>
      <c r="AS8279" s="26"/>
    </row>
    <row r="8280" spans="1:45" s="19" customFormat="1" x14ac:dyDescent="0.2">
      <c r="A8280" s="122">
        <f t="shared" si="781"/>
        <v>6849</v>
      </c>
      <c r="B8280" s="13">
        <v>21</v>
      </c>
      <c r="C8280" s="17" t="s">
        <v>65</v>
      </c>
      <c r="D8280" s="17">
        <v>1684</v>
      </c>
      <c r="E8280" s="17">
        <v>4</v>
      </c>
      <c r="F8280" s="17"/>
      <c r="G8280" s="13"/>
      <c r="H8280" s="17">
        <v>9</v>
      </c>
      <c r="I8280" s="17">
        <v>2</v>
      </c>
      <c r="J8280" s="17">
        <v>77</v>
      </c>
      <c r="K8280" s="10">
        <v>3877</v>
      </c>
      <c r="L8280" s="17"/>
      <c r="M8280" s="15"/>
      <c r="N8280" s="18"/>
      <c r="O8280" s="14"/>
      <c r="P8280" s="17">
        <v>1</v>
      </c>
      <c r="Q8280" s="19">
        <v>3877</v>
      </c>
      <c r="R8280" s="14">
        <v>160</v>
      </c>
      <c r="S8280" s="19">
        <v>620320</v>
      </c>
      <c r="T8280" s="17"/>
      <c r="U8280" s="17"/>
      <c r="V8280" s="17"/>
      <c r="W8280" s="4"/>
      <c r="X8280" s="17"/>
      <c r="Y8280" s="4"/>
      <c r="Z8280" s="17"/>
      <c r="AA8280" s="17"/>
      <c r="AB8280" s="17"/>
      <c r="AC8280" s="14"/>
      <c r="AD8280" s="14"/>
      <c r="AE8280" s="17"/>
      <c r="AF8280" s="14"/>
      <c r="AG8280" s="54"/>
      <c r="AH8280" s="11"/>
      <c r="AI8280" s="14"/>
      <c r="AJ8280" s="19">
        <v>0</v>
      </c>
      <c r="AK8280" s="23">
        <v>0</v>
      </c>
      <c r="AL8280" s="11"/>
      <c r="AM8280" s="19">
        <v>0</v>
      </c>
      <c r="AN8280" s="19">
        <v>620320</v>
      </c>
      <c r="AO8280" s="14"/>
      <c r="AP8280" s="14">
        <v>620320</v>
      </c>
      <c r="AQ8280" s="12">
        <v>1E-4</v>
      </c>
      <c r="AS8280" s="26"/>
    </row>
    <row r="8281" spans="1:45" s="19" customFormat="1" x14ac:dyDescent="0.2">
      <c r="A8281" s="122">
        <f t="shared" si="781"/>
        <v>6850</v>
      </c>
      <c r="B8281" s="13">
        <v>22</v>
      </c>
      <c r="C8281" s="17" t="s">
        <v>65</v>
      </c>
      <c r="D8281" s="17">
        <v>1692</v>
      </c>
      <c r="E8281" s="17">
        <v>12</v>
      </c>
      <c r="F8281" s="17"/>
      <c r="G8281" s="13"/>
      <c r="H8281" s="17">
        <v>12</v>
      </c>
      <c r="I8281" s="17">
        <v>3</v>
      </c>
      <c r="J8281" s="17">
        <v>93</v>
      </c>
      <c r="K8281" s="10">
        <v>5193</v>
      </c>
      <c r="L8281" s="17"/>
      <c r="M8281" s="15"/>
      <c r="N8281" s="18"/>
      <c r="O8281" s="14"/>
      <c r="P8281" s="17">
        <v>1</v>
      </c>
      <c r="Q8281" s="19">
        <v>5193</v>
      </c>
      <c r="R8281" s="14">
        <v>160</v>
      </c>
      <c r="S8281" s="19">
        <v>830880</v>
      </c>
      <c r="T8281" s="17"/>
      <c r="U8281" s="17"/>
      <c r="V8281" s="17"/>
      <c r="W8281" s="4"/>
      <c r="X8281" s="17"/>
      <c r="Y8281" s="4"/>
      <c r="Z8281" s="17"/>
      <c r="AA8281" s="17"/>
      <c r="AB8281" s="17"/>
      <c r="AC8281" s="14"/>
      <c r="AD8281" s="14"/>
      <c r="AE8281" s="17"/>
      <c r="AF8281" s="14"/>
      <c r="AG8281" s="54"/>
      <c r="AH8281" s="11"/>
      <c r="AI8281" s="14"/>
      <c r="AJ8281" s="19">
        <v>0</v>
      </c>
      <c r="AK8281" s="23">
        <v>0</v>
      </c>
      <c r="AL8281" s="11"/>
      <c r="AM8281" s="19">
        <v>0</v>
      </c>
      <c r="AN8281" s="19">
        <v>830880</v>
      </c>
      <c r="AO8281" s="14"/>
      <c r="AP8281" s="14">
        <v>830880</v>
      </c>
      <c r="AQ8281" s="12">
        <v>1E-4</v>
      </c>
      <c r="AS8281" s="26"/>
    </row>
    <row r="8282" spans="1:45" s="19" customFormat="1" x14ac:dyDescent="0.2">
      <c r="A8282" s="122">
        <f t="shared" si="781"/>
        <v>6851</v>
      </c>
      <c r="B8282" s="13">
        <v>23</v>
      </c>
      <c r="C8282" s="17" t="s">
        <v>65</v>
      </c>
      <c r="D8282" s="17">
        <v>1694</v>
      </c>
      <c r="E8282" s="17">
        <v>14</v>
      </c>
      <c r="F8282" s="17"/>
      <c r="G8282" s="13"/>
      <c r="H8282" s="17">
        <v>1</v>
      </c>
      <c r="I8282" s="17">
        <v>2</v>
      </c>
      <c r="J8282" s="17">
        <v>80</v>
      </c>
      <c r="K8282" s="10">
        <v>680</v>
      </c>
      <c r="L8282" s="17"/>
      <c r="M8282" s="15"/>
      <c r="N8282" s="18"/>
      <c r="O8282" s="14"/>
      <c r="P8282" s="17">
        <v>1</v>
      </c>
      <c r="Q8282" s="19">
        <v>680</v>
      </c>
      <c r="R8282" s="14">
        <v>160</v>
      </c>
      <c r="S8282" s="19">
        <v>108800</v>
      </c>
      <c r="T8282" s="17"/>
      <c r="U8282" s="17"/>
      <c r="V8282" s="17"/>
      <c r="W8282" s="4"/>
      <c r="X8282" s="17"/>
      <c r="Y8282" s="4"/>
      <c r="Z8282" s="17"/>
      <c r="AA8282" s="17"/>
      <c r="AB8282" s="17"/>
      <c r="AC8282" s="14"/>
      <c r="AD8282" s="14"/>
      <c r="AE8282" s="17"/>
      <c r="AF8282" s="14"/>
      <c r="AG8282" s="54"/>
      <c r="AH8282" s="11"/>
      <c r="AI8282" s="14"/>
      <c r="AJ8282" s="19">
        <v>0</v>
      </c>
      <c r="AK8282" s="23">
        <v>0</v>
      </c>
      <c r="AL8282" s="11"/>
      <c r="AM8282" s="19">
        <v>0</v>
      </c>
      <c r="AN8282" s="19">
        <v>108800</v>
      </c>
      <c r="AO8282" s="14"/>
      <c r="AP8282" s="14">
        <v>108800</v>
      </c>
      <c r="AQ8282" s="12">
        <v>1E-4</v>
      </c>
      <c r="AS8282" s="26"/>
    </row>
    <row r="8283" spans="1:45" s="19" customFormat="1" x14ac:dyDescent="0.2">
      <c r="A8283" s="122">
        <f t="shared" si="781"/>
        <v>6852</v>
      </c>
      <c r="B8283" s="13">
        <v>24</v>
      </c>
      <c r="C8283" s="17" t="s">
        <v>65</v>
      </c>
      <c r="D8283" s="17">
        <v>1695</v>
      </c>
      <c r="E8283" s="17">
        <v>15</v>
      </c>
      <c r="F8283" s="17"/>
      <c r="G8283" s="13"/>
      <c r="H8283" s="17">
        <v>33</v>
      </c>
      <c r="I8283" s="17">
        <v>1</v>
      </c>
      <c r="J8283" s="17">
        <v>60</v>
      </c>
      <c r="K8283" s="10">
        <v>13360</v>
      </c>
      <c r="L8283" s="17"/>
      <c r="M8283" s="15"/>
      <c r="N8283" s="18"/>
      <c r="O8283" s="14"/>
      <c r="P8283" s="17">
        <v>1</v>
      </c>
      <c r="Q8283" s="19">
        <v>13360</v>
      </c>
      <c r="R8283" s="14">
        <v>160</v>
      </c>
      <c r="S8283" s="19">
        <v>2137600</v>
      </c>
      <c r="T8283" s="17"/>
      <c r="U8283" s="17"/>
      <c r="V8283" s="17"/>
      <c r="W8283" s="4"/>
      <c r="X8283" s="17"/>
      <c r="Y8283" s="4"/>
      <c r="Z8283" s="17"/>
      <c r="AA8283" s="17"/>
      <c r="AB8283" s="17"/>
      <c r="AC8283" s="14"/>
      <c r="AD8283" s="14"/>
      <c r="AE8283" s="17"/>
      <c r="AF8283" s="14"/>
      <c r="AG8283" s="54"/>
      <c r="AH8283" s="11"/>
      <c r="AI8283" s="14"/>
      <c r="AJ8283" s="19">
        <v>0</v>
      </c>
      <c r="AK8283" s="23">
        <v>0</v>
      </c>
      <c r="AL8283" s="11"/>
      <c r="AM8283" s="19">
        <v>0</v>
      </c>
      <c r="AN8283" s="19">
        <v>2137600</v>
      </c>
      <c r="AO8283" s="14"/>
      <c r="AP8283" s="14">
        <v>2137600</v>
      </c>
      <c r="AQ8283" s="12">
        <v>1E-4</v>
      </c>
      <c r="AS8283" s="26"/>
    </row>
    <row r="8284" spans="1:45" s="19" customFormat="1" x14ac:dyDescent="0.2">
      <c r="A8284" s="122">
        <f t="shared" si="781"/>
        <v>6853</v>
      </c>
      <c r="B8284" s="13">
        <v>25</v>
      </c>
      <c r="C8284" s="17" t="s">
        <v>65</v>
      </c>
      <c r="D8284" s="17">
        <v>1719</v>
      </c>
      <c r="E8284" s="17">
        <v>40</v>
      </c>
      <c r="F8284" s="17"/>
      <c r="G8284" s="13"/>
      <c r="H8284" s="17">
        <v>10</v>
      </c>
      <c r="I8284" s="17">
        <v>3</v>
      </c>
      <c r="J8284" s="17">
        <v>20</v>
      </c>
      <c r="K8284" s="10">
        <v>4320</v>
      </c>
      <c r="L8284" s="17"/>
      <c r="M8284" s="15"/>
      <c r="N8284" s="18"/>
      <c r="O8284" s="14"/>
      <c r="P8284" s="17">
        <v>1</v>
      </c>
      <c r="Q8284" s="19">
        <v>4320</v>
      </c>
      <c r="R8284" s="14">
        <v>160</v>
      </c>
      <c r="S8284" s="19">
        <v>691200</v>
      </c>
      <c r="T8284" s="17"/>
      <c r="U8284" s="17"/>
      <c r="V8284" s="17"/>
      <c r="W8284" s="4"/>
      <c r="X8284" s="17"/>
      <c r="Y8284" s="4"/>
      <c r="Z8284" s="17"/>
      <c r="AA8284" s="17"/>
      <c r="AB8284" s="17"/>
      <c r="AC8284" s="14"/>
      <c r="AD8284" s="14"/>
      <c r="AE8284" s="17"/>
      <c r="AF8284" s="14"/>
      <c r="AG8284" s="54"/>
      <c r="AH8284" s="11"/>
      <c r="AI8284" s="14"/>
      <c r="AJ8284" s="19">
        <v>0</v>
      </c>
      <c r="AK8284" s="23">
        <v>0</v>
      </c>
      <c r="AL8284" s="11"/>
      <c r="AM8284" s="19">
        <v>0</v>
      </c>
      <c r="AN8284" s="19">
        <v>691200</v>
      </c>
      <c r="AO8284" s="14"/>
      <c r="AP8284" s="14">
        <v>691200</v>
      </c>
      <c r="AQ8284" s="12">
        <v>1E-4</v>
      </c>
      <c r="AS8284" s="26"/>
    </row>
    <row r="8285" spans="1:45" s="19" customFormat="1" x14ac:dyDescent="0.2">
      <c r="A8285" s="122">
        <f t="shared" si="781"/>
        <v>6854</v>
      </c>
      <c r="B8285" s="13">
        <v>26</v>
      </c>
      <c r="C8285" s="17" t="s">
        <v>65</v>
      </c>
      <c r="D8285" s="17">
        <v>1720</v>
      </c>
      <c r="E8285" s="17">
        <v>41</v>
      </c>
      <c r="F8285" s="17"/>
      <c r="G8285" s="13"/>
      <c r="H8285" s="17">
        <v>6</v>
      </c>
      <c r="I8285" s="17">
        <v>3</v>
      </c>
      <c r="J8285" s="17">
        <v>46</v>
      </c>
      <c r="K8285" s="10"/>
      <c r="L8285" s="17"/>
      <c r="M8285" s="15"/>
      <c r="N8285" s="18"/>
      <c r="O8285" s="14"/>
      <c r="P8285" s="17">
        <v>1</v>
      </c>
      <c r="Q8285" s="19">
        <v>2746</v>
      </c>
      <c r="R8285" s="14">
        <v>160</v>
      </c>
      <c r="S8285" s="19">
        <v>439360</v>
      </c>
      <c r="T8285" s="17"/>
      <c r="U8285" s="17"/>
      <c r="V8285" s="17"/>
      <c r="W8285" s="4"/>
      <c r="X8285" s="17"/>
      <c r="Y8285" s="4"/>
      <c r="Z8285" s="17"/>
      <c r="AA8285" s="17"/>
      <c r="AB8285" s="17"/>
      <c r="AC8285" s="14"/>
      <c r="AD8285" s="14"/>
      <c r="AE8285" s="17"/>
      <c r="AF8285" s="14"/>
      <c r="AG8285" s="54"/>
      <c r="AH8285" s="11"/>
      <c r="AI8285" s="14"/>
      <c r="AJ8285" s="19">
        <v>0</v>
      </c>
      <c r="AK8285" s="23">
        <v>0</v>
      </c>
      <c r="AL8285" s="11"/>
      <c r="AM8285" s="19">
        <v>0</v>
      </c>
      <c r="AN8285" s="19">
        <v>439360</v>
      </c>
      <c r="AO8285" s="14"/>
      <c r="AP8285" s="14">
        <v>439360</v>
      </c>
      <c r="AQ8285" s="12">
        <v>1E-4</v>
      </c>
      <c r="AS8285" s="26"/>
    </row>
    <row r="8286" spans="1:45" s="19" customFormat="1" x14ac:dyDescent="0.2">
      <c r="A8286" s="122">
        <f t="shared" si="781"/>
        <v>6855</v>
      </c>
      <c r="B8286" s="13">
        <v>27</v>
      </c>
      <c r="C8286" s="17" t="s">
        <v>65</v>
      </c>
      <c r="D8286" s="17">
        <v>1721</v>
      </c>
      <c r="E8286" s="17">
        <v>42</v>
      </c>
      <c r="F8286" s="17"/>
      <c r="G8286" s="13"/>
      <c r="H8286" s="17">
        <v>6</v>
      </c>
      <c r="I8286" s="17">
        <v>1</v>
      </c>
      <c r="J8286" s="17">
        <v>76</v>
      </c>
      <c r="K8286" s="10">
        <v>2576</v>
      </c>
      <c r="L8286" s="17"/>
      <c r="M8286" s="15"/>
      <c r="N8286" s="18"/>
      <c r="O8286" s="14"/>
      <c r="P8286" s="17">
        <v>1</v>
      </c>
      <c r="Q8286" s="19">
        <v>2576</v>
      </c>
      <c r="R8286" s="14">
        <v>160</v>
      </c>
      <c r="S8286" s="19">
        <v>412160</v>
      </c>
      <c r="T8286" s="17"/>
      <c r="U8286" s="17"/>
      <c r="V8286" s="17"/>
      <c r="W8286" s="4"/>
      <c r="X8286" s="17"/>
      <c r="Y8286" s="4"/>
      <c r="Z8286" s="17"/>
      <c r="AA8286" s="17"/>
      <c r="AB8286" s="17"/>
      <c r="AC8286" s="14"/>
      <c r="AD8286" s="14"/>
      <c r="AE8286" s="17"/>
      <c r="AF8286" s="14"/>
      <c r="AG8286" s="54"/>
      <c r="AH8286" s="11"/>
      <c r="AI8286" s="14"/>
      <c r="AJ8286" s="19">
        <v>0</v>
      </c>
      <c r="AK8286" s="23">
        <v>0</v>
      </c>
      <c r="AL8286" s="11"/>
      <c r="AM8286" s="19">
        <v>0</v>
      </c>
      <c r="AN8286" s="19">
        <v>412160</v>
      </c>
      <c r="AO8286" s="14"/>
      <c r="AP8286" s="14">
        <v>412160</v>
      </c>
      <c r="AQ8286" s="12">
        <v>1E-4</v>
      </c>
      <c r="AS8286" s="26"/>
    </row>
    <row r="8287" spans="1:45" s="19" customFormat="1" x14ac:dyDescent="0.2">
      <c r="A8287" s="122">
        <f t="shared" si="781"/>
        <v>6856</v>
      </c>
      <c r="B8287" s="13">
        <v>28</v>
      </c>
      <c r="C8287" s="17" t="s">
        <v>65</v>
      </c>
      <c r="D8287" s="17">
        <v>1722</v>
      </c>
      <c r="E8287" s="17">
        <v>43</v>
      </c>
      <c r="F8287" s="17"/>
      <c r="G8287" s="13"/>
      <c r="H8287" s="17">
        <v>9</v>
      </c>
      <c r="I8287" s="17">
        <v>3</v>
      </c>
      <c r="J8287" s="17">
        <v>46</v>
      </c>
      <c r="K8287" s="10">
        <v>3946</v>
      </c>
      <c r="L8287" s="17"/>
      <c r="M8287" s="15"/>
      <c r="N8287" s="18"/>
      <c r="O8287" s="14"/>
      <c r="P8287" s="17">
        <v>1</v>
      </c>
      <c r="Q8287" s="19">
        <v>3946</v>
      </c>
      <c r="R8287" s="14">
        <v>160</v>
      </c>
      <c r="S8287" s="19">
        <v>631360</v>
      </c>
      <c r="T8287" s="17"/>
      <c r="U8287" s="17"/>
      <c r="V8287" s="17"/>
      <c r="W8287" s="4"/>
      <c r="X8287" s="17"/>
      <c r="Y8287" s="4"/>
      <c r="Z8287" s="17"/>
      <c r="AA8287" s="17"/>
      <c r="AB8287" s="17"/>
      <c r="AC8287" s="14"/>
      <c r="AD8287" s="14"/>
      <c r="AE8287" s="17"/>
      <c r="AF8287" s="14"/>
      <c r="AG8287" s="54"/>
      <c r="AH8287" s="11"/>
      <c r="AI8287" s="14"/>
      <c r="AJ8287" s="19">
        <v>0</v>
      </c>
      <c r="AK8287" s="23">
        <v>0</v>
      </c>
      <c r="AL8287" s="11"/>
      <c r="AM8287" s="19">
        <v>0</v>
      </c>
      <c r="AN8287" s="19">
        <v>631360</v>
      </c>
      <c r="AO8287" s="14"/>
      <c r="AP8287" s="14">
        <v>631360</v>
      </c>
      <c r="AQ8287" s="12">
        <v>1E-4</v>
      </c>
      <c r="AS8287" s="26"/>
    </row>
    <row r="8288" spans="1:45" s="19" customFormat="1" x14ac:dyDescent="0.2">
      <c r="A8288" s="122">
        <f t="shared" si="781"/>
        <v>6857</v>
      </c>
      <c r="B8288" s="13">
        <v>29</v>
      </c>
      <c r="C8288" s="17" t="s">
        <v>65</v>
      </c>
      <c r="D8288" s="17">
        <v>1741</v>
      </c>
      <c r="E8288" s="17">
        <v>62</v>
      </c>
      <c r="F8288" s="17"/>
      <c r="G8288" s="13"/>
      <c r="H8288" s="17">
        <v>6</v>
      </c>
      <c r="I8288" s="17">
        <v>2</v>
      </c>
      <c r="J8288" s="17">
        <v>30</v>
      </c>
      <c r="K8288" s="10">
        <v>2630</v>
      </c>
      <c r="L8288" s="17"/>
      <c r="M8288" s="15"/>
      <c r="N8288" s="18"/>
      <c r="O8288" s="14"/>
      <c r="P8288" s="17">
        <v>1</v>
      </c>
      <c r="Q8288" s="19">
        <v>2630</v>
      </c>
      <c r="R8288" s="14">
        <v>160</v>
      </c>
      <c r="S8288" s="19">
        <v>420800</v>
      </c>
      <c r="T8288" s="17"/>
      <c r="U8288" s="17"/>
      <c r="V8288" s="17"/>
      <c r="W8288" s="4"/>
      <c r="X8288" s="17"/>
      <c r="Y8288" s="4"/>
      <c r="Z8288" s="17"/>
      <c r="AA8288" s="17"/>
      <c r="AB8288" s="17"/>
      <c r="AC8288" s="14"/>
      <c r="AD8288" s="14"/>
      <c r="AE8288" s="17"/>
      <c r="AF8288" s="14"/>
      <c r="AG8288" s="54"/>
      <c r="AH8288" s="11"/>
      <c r="AI8288" s="14"/>
      <c r="AJ8288" s="19">
        <v>0</v>
      </c>
      <c r="AK8288" s="23">
        <v>0</v>
      </c>
      <c r="AL8288" s="11"/>
      <c r="AM8288" s="19">
        <v>0</v>
      </c>
      <c r="AN8288" s="19">
        <v>420800</v>
      </c>
      <c r="AO8288" s="14"/>
      <c r="AP8288" s="14">
        <v>420800</v>
      </c>
      <c r="AQ8288" s="12">
        <v>1E-4</v>
      </c>
      <c r="AS8288" s="26"/>
    </row>
    <row r="8289" spans="1:45" s="19" customFormat="1" x14ac:dyDescent="0.2">
      <c r="A8289" s="122">
        <f t="shared" si="781"/>
        <v>6858</v>
      </c>
      <c r="B8289" s="13">
        <v>30</v>
      </c>
      <c r="C8289" s="17" t="s">
        <v>65</v>
      </c>
      <c r="D8289" s="17">
        <v>1747</v>
      </c>
      <c r="E8289" s="17">
        <v>73</v>
      </c>
      <c r="F8289" s="17"/>
      <c r="G8289" s="13"/>
      <c r="H8289" s="17">
        <v>3</v>
      </c>
      <c r="I8289" s="17">
        <v>1</v>
      </c>
      <c r="J8289" s="17">
        <v>10</v>
      </c>
      <c r="K8289" s="10">
        <v>1310</v>
      </c>
      <c r="L8289" s="17"/>
      <c r="M8289" s="15"/>
      <c r="N8289" s="18"/>
      <c r="O8289" s="14"/>
      <c r="P8289" s="17">
        <v>1</v>
      </c>
      <c r="Q8289" s="19">
        <v>1310</v>
      </c>
      <c r="R8289" s="14">
        <v>160</v>
      </c>
      <c r="S8289" s="19">
        <v>209600</v>
      </c>
      <c r="T8289" s="17"/>
      <c r="U8289" s="17"/>
      <c r="V8289" s="17"/>
      <c r="W8289" s="4"/>
      <c r="X8289" s="17"/>
      <c r="Y8289" s="4"/>
      <c r="Z8289" s="17"/>
      <c r="AA8289" s="17"/>
      <c r="AB8289" s="17"/>
      <c r="AC8289" s="14"/>
      <c r="AD8289" s="14"/>
      <c r="AE8289" s="17"/>
      <c r="AF8289" s="14"/>
      <c r="AG8289" s="54"/>
      <c r="AH8289" s="11"/>
      <c r="AI8289" s="14"/>
      <c r="AJ8289" s="19">
        <v>0</v>
      </c>
      <c r="AK8289" s="23">
        <v>0</v>
      </c>
      <c r="AL8289" s="11"/>
      <c r="AM8289" s="19">
        <v>0</v>
      </c>
      <c r="AN8289" s="19">
        <v>209600</v>
      </c>
      <c r="AO8289" s="14"/>
      <c r="AP8289" s="14">
        <v>209600</v>
      </c>
      <c r="AQ8289" s="12">
        <v>1E-4</v>
      </c>
      <c r="AS8289" s="26"/>
    </row>
    <row r="8290" spans="1:45" s="19" customFormat="1" x14ac:dyDescent="0.2">
      <c r="A8290" s="122">
        <f t="shared" si="781"/>
        <v>6859</v>
      </c>
      <c r="B8290" s="13">
        <v>31</v>
      </c>
      <c r="C8290" s="17" t="s">
        <v>65</v>
      </c>
      <c r="D8290" s="17">
        <v>1749</v>
      </c>
      <c r="E8290" s="17">
        <v>75</v>
      </c>
      <c r="F8290" s="17"/>
      <c r="G8290" s="13"/>
      <c r="H8290" s="17">
        <v>3</v>
      </c>
      <c r="I8290" s="17">
        <v>0</v>
      </c>
      <c r="J8290" s="17">
        <v>0</v>
      </c>
      <c r="K8290" s="10">
        <v>1200</v>
      </c>
      <c r="L8290" s="17"/>
      <c r="M8290" s="15"/>
      <c r="N8290" s="18"/>
      <c r="O8290" s="14"/>
      <c r="P8290" s="17">
        <v>1</v>
      </c>
      <c r="Q8290" s="19">
        <v>1200</v>
      </c>
      <c r="R8290" s="14">
        <v>160</v>
      </c>
      <c r="S8290" s="19">
        <v>192000</v>
      </c>
      <c r="T8290" s="17"/>
      <c r="U8290" s="17"/>
      <c r="V8290" s="17"/>
      <c r="W8290" s="4"/>
      <c r="X8290" s="17"/>
      <c r="Y8290" s="4"/>
      <c r="Z8290" s="17"/>
      <c r="AA8290" s="17"/>
      <c r="AB8290" s="17"/>
      <c r="AC8290" s="14"/>
      <c r="AD8290" s="14"/>
      <c r="AE8290" s="17"/>
      <c r="AF8290" s="14"/>
      <c r="AG8290" s="54"/>
      <c r="AH8290" s="11"/>
      <c r="AI8290" s="14"/>
      <c r="AJ8290" s="19">
        <v>0</v>
      </c>
      <c r="AK8290" s="23">
        <v>0</v>
      </c>
      <c r="AL8290" s="11"/>
      <c r="AM8290" s="19">
        <v>0</v>
      </c>
      <c r="AN8290" s="19">
        <v>192000</v>
      </c>
      <c r="AO8290" s="14"/>
      <c r="AP8290" s="14">
        <v>192000</v>
      </c>
      <c r="AQ8290" s="12">
        <v>1E-4</v>
      </c>
      <c r="AS8290" s="26"/>
    </row>
    <row r="8291" spans="1:45" s="19" customFormat="1" x14ac:dyDescent="0.2">
      <c r="A8291" s="122">
        <f t="shared" si="781"/>
        <v>6860</v>
      </c>
      <c r="B8291" s="13">
        <v>32</v>
      </c>
      <c r="C8291" s="17" t="s">
        <v>65</v>
      </c>
      <c r="D8291" s="17">
        <v>1750</v>
      </c>
      <c r="E8291" s="17">
        <v>76</v>
      </c>
      <c r="F8291" s="17"/>
      <c r="G8291" s="13"/>
      <c r="H8291" s="17">
        <v>4</v>
      </c>
      <c r="I8291" s="17">
        <v>0</v>
      </c>
      <c r="J8291" s="17">
        <v>26</v>
      </c>
      <c r="K8291" s="10">
        <v>1626</v>
      </c>
      <c r="L8291" s="17"/>
      <c r="M8291" s="15"/>
      <c r="N8291" s="18"/>
      <c r="O8291" s="14"/>
      <c r="P8291" s="17">
        <v>1</v>
      </c>
      <c r="Q8291" s="19">
        <v>1626</v>
      </c>
      <c r="R8291" s="14">
        <v>200</v>
      </c>
      <c r="S8291" s="19">
        <v>325200</v>
      </c>
      <c r="T8291" s="17"/>
      <c r="U8291" s="17"/>
      <c r="V8291" s="17"/>
      <c r="W8291" s="4"/>
      <c r="X8291" s="17"/>
      <c r="Y8291" s="4"/>
      <c r="Z8291" s="17"/>
      <c r="AA8291" s="17"/>
      <c r="AB8291" s="17"/>
      <c r="AC8291" s="14"/>
      <c r="AD8291" s="14"/>
      <c r="AE8291" s="17"/>
      <c r="AF8291" s="14"/>
      <c r="AG8291" s="54"/>
      <c r="AH8291" s="11"/>
      <c r="AI8291" s="14"/>
      <c r="AJ8291" s="19">
        <v>0</v>
      </c>
      <c r="AK8291" s="23">
        <v>0</v>
      </c>
      <c r="AL8291" s="11"/>
      <c r="AM8291" s="19">
        <v>0</v>
      </c>
      <c r="AN8291" s="19">
        <v>325200</v>
      </c>
      <c r="AO8291" s="14"/>
      <c r="AP8291" s="14">
        <v>325200</v>
      </c>
      <c r="AQ8291" s="12">
        <v>1E-4</v>
      </c>
      <c r="AS8291" s="26"/>
    </row>
    <row r="8292" spans="1:45" s="19" customFormat="1" x14ac:dyDescent="0.2">
      <c r="A8292" s="122">
        <f t="shared" si="781"/>
        <v>6861</v>
      </c>
      <c r="B8292" s="13">
        <v>33</v>
      </c>
      <c r="C8292" s="17" t="s">
        <v>65</v>
      </c>
      <c r="D8292" s="17">
        <v>1751</v>
      </c>
      <c r="E8292" s="17">
        <v>77</v>
      </c>
      <c r="F8292" s="17"/>
      <c r="G8292" s="13"/>
      <c r="H8292" s="17">
        <v>10</v>
      </c>
      <c r="I8292" s="17">
        <v>1</v>
      </c>
      <c r="J8292" s="17">
        <v>76</v>
      </c>
      <c r="K8292" s="10">
        <v>4176</v>
      </c>
      <c r="L8292" s="17"/>
      <c r="M8292" s="15"/>
      <c r="N8292" s="18"/>
      <c r="O8292" s="14"/>
      <c r="P8292" s="17">
        <v>1</v>
      </c>
      <c r="Q8292" s="19">
        <v>4176</v>
      </c>
      <c r="R8292" s="14">
        <v>200</v>
      </c>
      <c r="S8292" s="19">
        <v>835200</v>
      </c>
      <c r="T8292" s="17"/>
      <c r="U8292" s="17"/>
      <c r="V8292" s="17"/>
      <c r="W8292" s="4"/>
      <c r="X8292" s="17"/>
      <c r="Y8292" s="4"/>
      <c r="Z8292" s="17"/>
      <c r="AA8292" s="17"/>
      <c r="AB8292" s="17"/>
      <c r="AC8292" s="14"/>
      <c r="AD8292" s="14"/>
      <c r="AE8292" s="17"/>
      <c r="AF8292" s="14"/>
      <c r="AG8292" s="54"/>
      <c r="AH8292" s="11"/>
      <c r="AI8292" s="14"/>
      <c r="AJ8292" s="19">
        <v>0</v>
      </c>
      <c r="AK8292" s="23">
        <v>0</v>
      </c>
      <c r="AL8292" s="11"/>
      <c r="AM8292" s="19">
        <v>0</v>
      </c>
      <c r="AN8292" s="19">
        <v>835200</v>
      </c>
      <c r="AO8292" s="14"/>
      <c r="AP8292" s="14">
        <v>835200</v>
      </c>
      <c r="AQ8292" s="12">
        <v>1E-4</v>
      </c>
      <c r="AS8292" s="26"/>
    </row>
    <row r="8293" spans="1:45" s="19" customFormat="1" x14ac:dyDescent="0.2">
      <c r="A8293" s="122">
        <f t="shared" si="781"/>
        <v>6862</v>
      </c>
      <c r="B8293" s="13">
        <v>34</v>
      </c>
      <c r="C8293" s="17" t="s">
        <v>65</v>
      </c>
      <c r="D8293" s="17">
        <v>1752</v>
      </c>
      <c r="E8293" s="17">
        <v>78</v>
      </c>
      <c r="F8293" s="17"/>
      <c r="G8293" s="13"/>
      <c r="H8293" s="17">
        <v>9</v>
      </c>
      <c r="I8293" s="17">
        <v>2</v>
      </c>
      <c r="J8293" s="17">
        <v>23</v>
      </c>
      <c r="K8293" s="10">
        <v>3823</v>
      </c>
      <c r="L8293" s="17"/>
      <c r="M8293" s="15"/>
      <c r="N8293" s="18"/>
      <c r="O8293" s="14"/>
      <c r="P8293" s="17">
        <v>1</v>
      </c>
      <c r="Q8293" s="19">
        <v>3823</v>
      </c>
      <c r="R8293" s="14">
        <v>160</v>
      </c>
      <c r="S8293" s="19">
        <v>611680</v>
      </c>
      <c r="T8293" s="17"/>
      <c r="U8293" s="17"/>
      <c r="V8293" s="17"/>
      <c r="W8293" s="4"/>
      <c r="X8293" s="17"/>
      <c r="Y8293" s="4"/>
      <c r="Z8293" s="17"/>
      <c r="AA8293" s="17"/>
      <c r="AB8293" s="17"/>
      <c r="AC8293" s="14"/>
      <c r="AD8293" s="14"/>
      <c r="AE8293" s="17"/>
      <c r="AF8293" s="14"/>
      <c r="AG8293" s="54"/>
      <c r="AH8293" s="11"/>
      <c r="AI8293" s="14"/>
      <c r="AJ8293" s="19">
        <v>0</v>
      </c>
      <c r="AK8293" s="23">
        <v>0</v>
      </c>
      <c r="AL8293" s="11"/>
      <c r="AM8293" s="19">
        <v>0</v>
      </c>
      <c r="AN8293" s="19">
        <v>611680</v>
      </c>
      <c r="AO8293" s="14"/>
      <c r="AP8293" s="14">
        <v>611680</v>
      </c>
      <c r="AQ8293" s="12">
        <v>1E-4</v>
      </c>
      <c r="AS8293" s="26"/>
    </row>
    <row r="8294" spans="1:45" s="19" customFormat="1" x14ac:dyDescent="0.2">
      <c r="A8294" s="122">
        <f t="shared" si="781"/>
        <v>6863</v>
      </c>
      <c r="B8294" s="13">
        <v>35</v>
      </c>
      <c r="C8294" s="17" t="s">
        <v>65</v>
      </c>
      <c r="D8294" s="17">
        <v>1753</v>
      </c>
      <c r="E8294" s="17">
        <v>79</v>
      </c>
      <c r="F8294" s="17"/>
      <c r="G8294" s="13"/>
      <c r="H8294" s="17">
        <v>3</v>
      </c>
      <c r="I8294" s="17">
        <v>1</v>
      </c>
      <c r="J8294" s="17">
        <v>33</v>
      </c>
      <c r="K8294" s="10">
        <v>1333</v>
      </c>
      <c r="L8294" s="17"/>
      <c r="M8294" s="15"/>
      <c r="N8294" s="18"/>
      <c r="O8294" s="14"/>
      <c r="P8294" s="17">
        <v>1</v>
      </c>
      <c r="Q8294" s="19">
        <v>1333</v>
      </c>
      <c r="R8294" s="14">
        <v>160</v>
      </c>
      <c r="S8294" s="19">
        <v>213280</v>
      </c>
      <c r="T8294" s="17"/>
      <c r="U8294" s="17"/>
      <c r="V8294" s="17"/>
      <c r="W8294" s="4"/>
      <c r="X8294" s="17"/>
      <c r="Y8294" s="4"/>
      <c r="Z8294" s="17"/>
      <c r="AA8294" s="17"/>
      <c r="AB8294" s="17"/>
      <c r="AC8294" s="14"/>
      <c r="AD8294" s="14"/>
      <c r="AE8294" s="17"/>
      <c r="AF8294" s="14"/>
      <c r="AG8294" s="54"/>
      <c r="AH8294" s="11"/>
      <c r="AI8294" s="14"/>
      <c r="AJ8294" s="19">
        <v>0</v>
      </c>
      <c r="AK8294" s="23">
        <v>0</v>
      </c>
      <c r="AL8294" s="11"/>
      <c r="AM8294" s="19">
        <v>0</v>
      </c>
      <c r="AN8294" s="19">
        <v>213280</v>
      </c>
      <c r="AO8294" s="14"/>
      <c r="AP8294" s="14">
        <v>213280</v>
      </c>
      <c r="AQ8294" s="12">
        <v>1E-4</v>
      </c>
      <c r="AS8294" s="26"/>
    </row>
    <row r="8295" spans="1:45" s="19" customFormat="1" x14ac:dyDescent="0.2">
      <c r="A8295" s="122">
        <f t="shared" si="781"/>
        <v>6864</v>
      </c>
      <c r="B8295" s="13">
        <v>36</v>
      </c>
      <c r="C8295" s="17" t="s">
        <v>65</v>
      </c>
      <c r="D8295" s="17">
        <v>1754</v>
      </c>
      <c r="E8295" s="17">
        <v>80</v>
      </c>
      <c r="F8295" s="17"/>
      <c r="G8295" s="13"/>
      <c r="H8295" s="17">
        <v>3</v>
      </c>
      <c r="I8295" s="17">
        <v>3</v>
      </c>
      <c r="J8295" s="17">
        <v>50</v>
      </c>
      <c r="K8295" s="10">
        <v>1550</v>
      </c>
      <c r="L8295" s="17"/>
      <c r="M8295" s="15"/>
      <c r="N8295" s="18"/>
      <c r="O8295" s="14"/>
      <c r="P8295" s="17">
        <v>1</v>
      </c>
      <c r="Q8295" s="19">
        <v>1550</v>
      </c>
      <c r="R8295" s="14">
        <v>200</v>
      </c>
      <c r="S8295" s="19">
        <v>310000</v>
      </c>
      <c r="T8295" s="17"/>
      <c r="U8295" s="17"/>
      <c r="V8295" s="17"/>
      <c r="W8295" s="4"/>
      <c r="X8295" s="17"/>
      <c r="Y8295" s="4"/>
      <c r="Z8295" s="17"/>
      <c r="AA8295" s="17"/>
      <c r="AB8295" s="17"/>
      <c r="AC8295" s="14"/>
      <c r="AD8295" s="14"/>
      <c r="AE8295" s="17"/>
      <c r="AF8295" s="14"/>
      <c r="AG8295" s="54"/>
      <c r="AH8295" s="11"/>
      <c r="AI8295" s="14"/>
      <c r="AJ8295" s="19">
        <v>0</v>
      </c>
      <c r="AK8295" s="23">
        <v>0</v>
      </c>
      <c r="AL8295" s="11"/>
      <c r="AM8295" s="19">
        <v>0</v>
      </c>
      <c r="AN8295" s="19">
        <v>310000</v>
      </c>
      <c r="AO8295" s="14"/>
      <c r="AP8295" s="14">
        <v>310000</v>
      </c>
      <c r="AQ8295" s="12">
        <v>1E-4</v>
      </c>
      <c r="AS8295" s="26"/>
    </row>
    <row r="8296" spans="1:45" s="19" customFormat="1" x14ac:dyDescent="0.2">
      <c r="A8296" s="122">
        <f t="shared" si="781"/>
        <v>6865</v>
      </c>
      <c r="B8296" s="13">
        <v>37</v>
      </c>
      <c r="C8296" s="17" t="s">
        <v>65</v>
      </c>
      <c r="D8296" s="17">
        <v>1755</v>
      </c>
      <c r="E8296" s="17">
        <v>81</v>
      </c>
      <c r="F8296" s="17"/>
      <c r="G8296" s="13"/>
      <c r="H8296" s="17">
        <v>15</v>
      </c>
      <c r="I8296" s="17">
        <v>3</v>
      </c>
      <c r="J8296" s="17">
        <v>66</v>
      </c>
      <c r="K8296" s="10">
        <v>6366</v>
      </c>
      <c r="L8296" s="17"/>
      <c r="M8296" s="15"/>
      <c r="N8296" s="18"/>
      <c r="O8296" s="14"/>
      <c r="P8296" s="17">
        <v>1</v>
      </c>
      <c r="Q8296" s="19">
        <v>6366</v>
      </c>
      <c r="R8296" s="14">
        <v>200</v>
      </c>
      <c r="S8296" s="19">
        <v>1273200</v>
      </c>
      <c r="T8296" s="17"/>
      <c r="U8296" s="17"/>
      <c r="V8296" s="17"/>
      <c r="W8296" s="4"/>
      <c r="X8296" s="17"/>
      <c r="Y8296" s="4"/>
      <c r="Z8296" s="17"/>
      <c r="AA8296" s="17"/>
      <c r="AB8296" s="17"/>
      <c r="AC8296" s="14"/>
      <c r="AD8296" s="14"/>
      <c r="AE8296" s="17"/>
      <c r="AF8296" s="14"/>
      <c r="AG8296" s="54"/>
      <c r="AH8296" s="11"/>
      <c r="AI8296" s="14"/>
      <c r="AJ8296" s="19">
        <v>0</v>
      </c>
      <c r="AK8296" s="23">
        <v>0</v>
      </c>
      <c r="AL8296" s="11"/>
      <c r="AM8296" s="19">
        <v>0</v>
      </c>
      <c r="AN8296" s="19">
        <v>1273200</v>
      </c>
      <c r="AO8296" s="14"/>
      <c r="AP8296" s="14">
        <v>1273200</v>
      </c>
      <c r="AQ8296" s="12">
        <v>1E-4</v>
      </c>
      <c r="AS8296" s="26"/>
    </row>
    <row r="8297" spans="1:45" s="19" customFormat="1" x14ac:dyDescent="0.2">
      <c r="A8297" s="122">
        <f t="shared" si="781"/>
        <v>6866</v>
      </c>
      <c r="B8297" s="13">
        <v>38</v>
      </c>
      <c r="C8297" s="17" t="s">
        <v>65</v>
      </c>
      <c r="D8297" s="17">
        <v>1829</v>
      </c>
      <c r="E8297" s="17">
        <v>83</v>
      </c>
      <c r="F8297" s="17"/>
      <c r="G8297" s="13"/>
      <c r="H8297" s="17">
        <v>11</v>
      </c>
      <c r="I8297" s="17">
        <v>3</v>
      </c>
      <c r="J8297" s="17">
        <v>83</v>
      </c>
      <c r="K8297" s="10">
        <v>4783</v>
      </c>
      <c r="L8297" s="17"/>
      <c r="M8297" s="15"/>
      <c r="N8297" s="18"/>
      <c r="O8297" s="14"/>
      <c r="P8297" s="17">
        <v>1</v>
      </c>
      <c r="Q8297" s="19">
        <v>4783</v>
      </c>
      <c r="R8297" s="14">
        <v>160</v>
      </c>
      <c r="S8297" s="19">
        <v>765280</v>
      </c>
      <c r="T8297" s="17"/>
      <c r="U8297" s="17"/>
      <c r="V8297" s="17"/>
      <c r="W8297" s="4"/>
      <c r="X8297" s="17"/>
      <c r="Y8297" s="4"/>
      <c r="Z8297" s="17"/>
      <c r="AA8297" s="17"/>
      <c r="AB8297" s="17"/>
      <c r="AC8297" s="14"/>
      <c r="AD8297" s="14"/>
      <c r="AE8297" s="17"/>
      <c r="AF8297" s="14"/>
      <c r="AG8297" s="54"/>
      <c r="AH8297" s="11"/>
      <c r="AI8297" s="14"/>
      <c r="AJ8297" s="19">
        <v>0</v>
      </c>
      <c r="AK8297" s="23">
        <v>0</v>
      </c>
      <c r="AL8297" s="11"/>
      <c r="AM8297" s="19">
        <v>0</v>
      </c>
      <c r="AN8297" s="19">
        <v>765280</v>
      </c>
      <c r="AO8297" s="14"/>
      <c r="AP8297" s="14">
        <v>765280</v>
      </c>
      <c r="AQ8297" s="12">
        <v>1E-4</v>
      </c>
      <c r="AS8297" s="26"/>
    </row>
    <row r="8298" spans="1:45" s="19" customFormat="1" x14ac:dyDescent="0.2">
      <c r="A8298" s="122">
        <f t="shared" si="781"/>
        <v>6867</v>
      </c>
      <c r="B8298" s="13">
        <v>39</v>
      </c>
      <c r="C8298" s="17" t="s">
        <v>65</v>
      </c>
      <c r="D8298" s="17">
        <v>1842</v>
      </c>
      <c r="E8298" s="17">
        <v>98</v>
      </c>
      <c r="F8298" s="17"/>
      <c r="G8298" s="13"/>
      <c r="H8298" s="17">
        <v>10</v>
      </c>
      <c r="I8298" s="17">
        <v>1</v>
      </c>
      <c r="J8298" s="17">
        <v>46</v>
      </c>
      <c r="K8298" s="10">
        <v>4146</v>
      </c>
      <c r="L8298" s="17"/>
      <c r="M8298" s="15"/>
      <c r="N8298" s="18"/>
      <c r="O8298" s="14"/>
      <c r="P8298" s="17">
        <v>1</v>
      </c>
      <c r="Q8298" s="19">
        <v>4146</v>
      </c>
      <c r="R8298" s="14">
        <v>200</v>
      </c>
      <c r="S8298" s="19">
        <v>829200</v>
      </c>
      <c r="T8298" s="17"/>
      <c r="U8298" s="17"/>
      <c r="V8298" s="17"/>
      <c r="W8298" s="4"/>
      <c r="X8298" s="17"/>
      <c r="Y8298" s="4"/>
      <c r="Z8298" s="17"/>
      <c r="AA8298" s="17"/>
      <c r="AB8298" s="17"/>
      <c r="AC8298" s="14"/>
      <c r="AD8298" s="14"/>
      <c r="AE8298" s="17"/>
      <c r="AF8298" s="14"/>
      <c r="AG8298" s="54"/>
      <c r="AH8298" s="11"/>
      <c r="AI8298" s="14"/>
      <c r="AJ8298" s="19">
        <v>0</v>
      </c>
      <c r="AK8298" s="23">
        <v>0</v>
      </c>
      <c r="AL8298" s="11"/>
      <c r="AM8298" s="19">
        <v>0</v>
      </c>
      <c r="AN8298" s="19">
        <v>829200</v>
      </c>
      <c r="AO8298" s="14"/>
      <c r="AP8298" s="14">
        <v>829200</v>
      </c>
      <c r="AQ8298" s="12">
        <v>1E-4</v>
      </c>
      <c r="AS8298" s="26"/>
    </row>
    <row r="8299" spans="1:45" s="19" customFormat="1" x14ac:dyDescent="0.2">
      <c r="A8299" s="122">
        <f t="shared" si="781"/>
        <v>6868</v>
      </c>
      <c r="B8299" s="13">
        <v>40</v>
      </c>
      <c r="C8299" s="17" t="s">
        <v>65</v>
      </c>
      <c r="D8299" s="17">
        <v>1868</v>
      </c>
      <c r="E8299" s="17">
        <v>137</v>
      </c>
      <c r="F8299" s="17"/>
      <c r="G8299" s="13"/>
      <c r="H8299" s="17">
        <v>17</v>
      </c>
      <c r="I8299" s="17">
        <v>1</v>
      </c>
      <c r="J8299" s="17">
        <v>0</v>
      </c>
      <c r="K8299" s="10">
        <v>6900</v>
      </c>
      <c r="L8299" s="17"/>
      <c r="M8299" s="15"/>
      <c r="N8299" s="18"/>
      <c r="O8299" s="14"/>
      <c r="P8299" s="17">
        <v>1</v>
      </c>
      <c r="Q8299" s="19">
        <v>6900</v>
      </c>
      <c r="R8299" s="14">
        <v>200</v>
      </c>
      <c r="S8299" s="19">
        <v>1380000</v>
      </c>
      <c r="T8299" s="17"/>
      <c r="U8299" s="17"/>
      <c r="V8299" s="17"/>
      <c r="W8299" s="4"/>
      <c r="X8299" s="17"/>
      <c r="Y8299" s="4"/>
      <c r="Z8299" s="17"/>
      <c r="AA8299" s="17"/>
      <c r="AB8299" s="17"/>
      <c r="AC8299" s="14"/>
      <c r="AD8299" s="14"/>
      <c r="AE8299" s="17"/>
      <c r="AF8299" s="14"/>
      <c r="AG8299" s="54"/>
      <c r="AH8299" s="11"/>
      <c r="AI8299" s="14"/>
      <c r="AJ8299" s="19">
        <v>0</v>
      </c>
      <c r="AK8299" s="23">
        <v>0</v>
      </c>
      <c r="AL8299" s="11"/>
      <c r="AM8299" s="19">
        <v>0</v>
      </c>
      <c r="AN8299" s="19">
        <v>1380000</v>
      </c>
      <c r="AO8299" s="14"/>
      <c r="AP8299" s="14">
        <v>1380000</v>
      </c>
      <c r="AQ8299" s="12">
        <v>1E-4</v>
      </c>
      <c r="AS8299" s="26"/>
    </row>
    <row r="8300" spans="1:45" s="19" customFormat="1" x14ac:dyDescent="0.2">
      <c r="A8300" s="122">
        <f t="shared" si="781"/>
        <v>6869</v>
      </c>
      <c r="B8300" s="13">
        <v>41</v>
      </c>
      <c r="C8300" s="17" t="s">
        <v>65</v>
      </c>
      <c r="D8300" s="17">
        <v>1876</v>
      </c>
      <c r="E8300" s="17">
        <v>147</v>
      </c>
      <c r="F8300" s="17"/>
      <c r="G8300" s="13"/>
      <c r="H8300" s="17">
        <v>6</v>
      </c>
      <c r="I8300" s="17">
        <v>0</v>
      </c>
      <c r="J8300" s="17">
        <v>40</v>
      </c>
      <c r="K8300" s="10">
        <v>2460</v>
      </c>
      <c r="L8300" s="17"/>
      <c r="M8300" s="15"/>
      <c r="N8300" s="18"/>
      <c r="O8300" s="14"/>
      <c r="P8300" s="17">
        <v>1</v>
      </c>
      <c r="Q8300" s="19">
        <v>2440</v>
      </c>
      <c r="R8300" s="14">
        <v>160</v>
      </c>
      <c r="S8300" s="19">
        <v>390400</v>
      </c>
      <c r="T8300" s="17"/>
      <c r="U8300" s="17"/>
      <c r="V8300" s="17"/>
      <c r="W8300" s="4"/>
      <c r="X8300" s="17"/>
      <c r="Y8300" s="4"/>
      <c r="Z8300" s="17"/>
      <c r="AA8300" s="17"/>
      <c r="AB8300" s="17"/>
      <c r="AC8300" s="14"/>
      <c r="AD8300" s="14"/>
      <c r="AE8300" s="17"/>
      <c r="AF8300" s="14"/>
      <c r="AG8300" s="54"/>
      <c r="AH8300" s="11"/>
      <c r="AI8300" s="14"/>
      <c r="AJ8300" s="19">
        <v>0</v>
      </c>
      <c r="AK8300" s="23">
        <v>0</v>
      </c>
      <c r="AL8300" s="11"/>
      <c r="AM8300" s="19">
        <v>0</v>
      </c>
      <c r="AN8300" s="19">
        <v>390400</v>
      </c>
      <c r="AO8300" s="14"/>
      <c r="AP8300" s="14">
        <v>390400</v>
      </c>
      <c r="AQ8300" s="12">
        <v>1E-4</v>
      </c>
      <c r="AS8300" s="26"/>
    </row>
    <row r="8301" spans="1:45" s="19" customFormat="1" x14ac:dyDescent="0.2">
      <c r="A8301" s="122">
        <f t="shared" si="781"/>
        <v>6870</v>
      </c>
      <c r="B8301" s="13">
        <v>42</v>
      </c>
      <c r="C8301" s="17" t="s">
        <v>65</v>
      </c>
      <c r="D8301" s="17">
        <v>2061</v>
      </c>
      <c r="E8301" s="17">
        <v>14</v>
      </c>
      <c r="F8301" s="17"/>
      <c r="G8301" s="13"/>
      <c r="H8301" s="17">
        <v>35</v>
      </c>
      <c r="I8301" s="17">
        <v>3</v>
      </c>
      <c r="J8301" s="17">
        <v>70</v>
      </c>
      <c r="K8301" s="10">
        <v>14370</v>
      </c>
      <c r="L8301" s="17"/>
      <c r="M8301" s="15"/>
      <c r="N8301" s="18"/>
      <c r="O8301" s="14"/>
      <c r="P8301" s="17">
        <v>1</v>
      </c>
      <c r="Q8301" s="19">
        <v>14370</v>
      </c>
      <c r="R8301" s="14">
        <v>160</v>
      </c>
      <c r="S8301" s="19">
        <v>2299200</v>
      </c>
      <c r="T8301" s="17"/>
      <c r="U8301" s="17"/>
      <c r="V8301" s="17"/>
      <c r="W8301" s="4"/>
      <c r="X8301" s="17"/>
      <c r="Y8301" s="4"/>
      <c r="Z8301" s="17"/>
      <c r="AA8301" s="17"/>
      <c r="AB8301" s="17"/>
      <c r="AC8301" s="14"/>
      <c r="AD8301" s="14"/>
      <c r="AE8301" s="17"/>
      <c r="AF8301" s="14"/>
      <c r="AG8301" s="54"/>
      <c r="AH8301" s="11"/>
      <c r="AI8301" s="14"/>
      <c r="AJ8301" s="19">
        <v>0</v>
      </c>
      <c r="AK8301" s="23">
        <v>0</v>
      </c>
      <c r="AL8301" s="11"/>
      <c r="AM8301" s="19">
        <v>0</v>
      </c>
      <c r="AN8301" s="19">
        <v>2299200</v>
      </c>
      <c r="AO8301" s="14"/>
      <c r="AP8301" s="14">
        <v>2299200</v>
      </c>
      <c r="AQ8301" s="12">
        <v>1E-4</v>
      </c>
      <c r="AS8301" s="26"/>
    </row>
    <row r="8302" spans="1:45" s="19" customFormat="1" x14ac:dyDescent="0.2">
      <c r="A8302" s="122">
        <f t="shared" si="781"/>
        <v>6871</v>
      </c>
      <c r="B8302" s="13">
        <v>43</v>
      </c>
      <c r="C8302" s="17" t="s">
        <v>65</v>
      </c>
      <c r="D8302" s="17">
        <v>2068</v>
      </c>
      <c r="E8302" s="17">
        <v>26</v>
      </c>
      <c r="F8302" s="17"/>
      <c r="G8302" s="13"/>
      <c r="H8302" s="17">
        <v>10</v>
      </c>
      <c r="I8302" s="17">
        <v>0</v>
      </c>
      <c r="J8302" s="17">
        <v>20</v>
      </c>
      <c r="K8302" s="10">
        <v>4020</v>
      </c>
      <c r="L8302" s="17"/>
      <c r="M8302" s="15"/>
      <c r="N8302" s="18"/>
      <c r="O8302" s="14"/>
      <c r="P8302" s="17">
        <v>1</v>
      </c>
      <c r="Q8302" s="19">
        <v>4020</v>
      </c>
      <c r="R8302" s="14">
        <v>160</v>
      </c>
      <c r="S8302" s="19">
        <v>643200</v>
      </c>
      <c r="T8302" s="17"/>
      <c r="U8302" s="17"/>
      <c r="V8302" s="17"/>
      <c r="W8302" s="4"/>
      <c r="X8302" s="17"/>
      <c r="Y8302" s="4"/>
      <c r="Z8302" s="17"/>
      <c r="AA8302" s="17"/>
      <c r="AB8302" s="17"/>
      <c r="AC8302" s="14"/>
      <c r="AD8302" s="14"/>
      <c r="AE8302" s="17"/>
      <c r="AF8302" s="14"/>
      <c r="AG8302" s="54"/>
      <c r="AH8302" s="11"/>
      <c r="AI8302" s="14"/>
      <c r="AJ8302" s="19">
        <v>0</v>
      </c>
      <c r="AK8302" s="23">
        <v>0</v>
      </c>
      <c r="AL8302" s="11"/>
      <c r="AM8302" s="19">
        <v>0</v>
      </c>
      <c r="AN8302" s="19">
        <v>643200</v>
      </c>
      <c r="AO8302" s="14"/>
      <c r="AP8302" s="14">
        <v>643200</v>
      </c>
      <c r="AQ8302" s="12">
        <v>1E-4</v>
      </c>
      <c r="AS8302" s="26"/>
    </row>
    <row r="8303" spans="1:45" s="19" customFormat="1" x14ac:dyDescent="0.2">
      <c r="A8303" s="122">
        <f t="shared" si="781"/>
        <v>6872</v>
      </c>
      <c r="B8303" s="13">
        <v>44</v>
      </c>
      <c r="C8303" s="17" t="s">
        <v>65</v>
      </c>
      <c r="D8303" s="17">
        <v>2069</v>
      </c>
      <c r="E8303" s="17">
        <v>27</v>
      </c>
      <c r="F8303" s="17"/>
      <c r="G8303" s="13"/>
      <c r="H8303" s="17">
        <v>10</v>
      </c>
      <c r="I8303" s="17">
        <v>3</v>
      </c>
      <c r="J8303" s="17">
        <v>45</v>
      </c>
      <c r="K8303" s="10">
        <v>4345</v>
      </c>
      <c r="L8303" s="17"/>
      <c r="M8303" s="15"/>
      <c r="N8303" s="18"/>
      <c r="O8303" s="14"/>
      <c r="P8303" s="17">
        <v>1</v>
      </c>
      <c r="Q8303" s="19">
        <v>4345</v>
      </c>
      <c r="R8303" s="14">
        <v>160</v>
      </c>
      <c r="S8303" s="19">
        <v>695200</v>
      </c>
      <c r="T8303" s="17"/>
      <c r="U8303" s="17"/>
      <c r="V8303" s="17"/>
      <c r="W8303" s="4"/>
      <c r="X8303" s="17"/>
      <c r="Y8303" s="4"/>
      <c r="Z8303" s="17"/>
      <c r="AA8303" s="17"/>
      <c r="AB8303" s="17"/>
      <c r="AC8303" s="14"/>
      <c r="AD8303" s="14"/>
      <c r="AE8303" s="17"/>
      <c r="AF8303" s="14"/>
      <c r="AG8303" s="54"/>
      <c r="AH8303" s="11"/>
      <c r="AI8303" s="14"/>
      <c r="AJ8303" s="19">
        <v>0</v>
      </c>
      <c r="AK8303" s="23">
        <v>0</v>
      </c>
      <c r="AL8303" s="11"/>
      <c r="AM8303" s="19">
        <v>0</v>
      </c>
      <c r="AN8303" s="19">
        <v>695200</v>
      </c>
      <c r="AO8303" s="14"/>
      <c r="AP8303" s="14">
        <v>695200</v>
      </c>
      <c r="AQ8303" s="12">
        <v>1E-4</v>
      </c>
      <c r="AS8303" s="26"/>
    </row>
    <row r="8304" spans="1:45" s="19" customFormat="1" x14ac:dyDescent="0.2">
      <c r="A8304" s="122">
        <f t="shared" si="781"/>
        <v>6873</v>
      </c>
      <c r="B8304" s="13">
        <v>45</v>
      </c>
      <c r="C8304" s="17" t="s">
        <v>65</v>
      </c>
      <c r="D8304" s="17">
        <v>2077</v>
      </c>
      <c r="E8304" s="17">
        <v>16</v>
      </c>
      <c r="F8304" s="17"/>
      <c r="G8304" s="13"/>
      <c r="H8304" s="17">
        <v>13</v>
      </c>
      <c r="I8304" s="17">
        <v>1</v>
      </c>
      <c r="J8304" s="17">
        <v>60</v>
      </c>
      <c r="K8304" s="10">
        <v>5360</v>
      </c>
      <c r="L8304" s="17"/>
      <c r="M8304" s="15"/>
      <c r="N8304" s="18"/>
      <c r="O8304" s="14"/>
      <c r="P8304" s="17">
        <v>1</v>
      </c>
      <c r="Q8304" s="19">
        <v>5360</v>
      </c>
      <c r="R8304" s="14">
        <v>160</v>
      </c>
      <c r="S8304" s="19">
        <v>857600</v>
      </c>
      <c r="T8304" s="17"/>
      <c r="U8304" s="17"/>
      <c r="V8304" s="17"/>
      <c r="W8304" s="4"/>
      <c r="X8304" s="17"/>
      <c r="Y8304" s="4"/>
      <c r="Z8304" s="17"/>
      <c r="AA8304" s="17"/>
      <c r="AB8304" s="17"/>
      <c r="AC8304" s="14"/>
      <c r="AD8304" s="14"/>
      <c r="AE8304" s="17"/>
      <c r="AF8304" s="14"/>
      <c r="AG8304" s="54"/>
      <c r="AH8304" s="11"/>
      <c r="AI8304" s="14"/>
      <c r="AJ8304" s="19">
        <v>0</v>
      </c>
      <c r="AK8304" s="23">
        <v>0</v>
      </c>
      <c r="AL8304" s="11"/>
      <c r="AM8304" s="19">
        <v>0</v>
      </c>
      <c r="AN8304" s="19">
        <v>857600</v>
      </c>
      <c r="AO8304" s="14"/>
      <c r="AP8304" s="14">
        <v>857600</v>
      </c>
      <c r="AQ8304" s="12">
        <v>1E-4</v>
      </c>
      <c r="AS8304" s="26"/>
    </row>
    <row r="8305" spans="1:45" s="19" customFormat="1" x14ac:dyDescent="0.2">
      <c r="A8305" s="122">
        <f t="shared" si="781"/>
        <v>6874</v>
      </c>
      <c r="B8305" s="13">
        <v>46</v>
      </c>
      <c r="C8305" s="17" t="s">
        <v>65</v>
      </c>
      <c r="D8305" s="17">
        <v>2078</v>
      </c>
      <c r="E8305" s="17">
        <v>17</v>
      </c>
      <c r="F8305" s="17"/>
      <c r="G8305" s="13"/>
      <c r="H8305" s="17">
        <v>34</v>
      </c>
      <c r="I8305" s="17">
        <v>0</v>
      </c>
      <c r="J8305" s="17">
        <v>40</v>
      </c>
      <c r="K8305" s="10">
        <v>13640</v>
      </c>
      <c r="L8305" s="17"/>
      <c r="M8305" s="15"/>
      <c r="N8305" s="18"/>
      <c r="O8305" s="14"/>
      <c r="P8305" s="17">
        <v>1</v>
      </c>
      <c r="Q8305" s="19">
        <v>13640</v>
      </c>
      <c r="R8305" s="14">
        <v>160</v>
      </c>
      <c r="S8305" s="19">
        <v>2182400</v>
      </c>
      <c r="T8305" s="17"/>
      <c r="U8305" s="17"/>
      <c r="V8305" s="17"/>
      <c r="W8305" s="4"/>
      <c r="X8305" s="17"/>
      <c r="Y8305" s="4"/>
      <c r="Z8305" s="17"/>
      <c r="AA8305" s="17"/>
      <c r="AB8305" s="17"/>
      <c r="AC8305" s="14"/>
      <c r="AD8305" s="14"/>
      <c r="AE8305" s="17"/>
      <c r="AF8305" s="14"/>
      <c r="AG8305" s="54"/>
      <c r="AH8305" s="11"/>
      <c r="AI8305" s="14"/>
      <c r="AJ8305" s="19">
        <v>0</v>
      </c>
      <c r="AK8305" s="23">
        <v>0</v>
      </c>
      <c r="AL8305" s="11"/>
      <c r="AM8305" s="19">
        <v>0</v>
      </c>
      <c r="AN8305" s="19">
        <v>2182400</v>
      </c>
      <c r="AO8305" s="14"/>
      <c r="AP8305" s="14">
        <v>2182400</v>
      </c>
      <c r="AQ8305" s="12">
        <v>1E-4</v>
      </c>
      <c r="AS8305" s="26"/>
    </row>
    <row r="8306" spans="1:45" s="19" customFormat="1" x14ac:dyDescent="0.2">
      <c r="A8306" s="122">
        <f t="shared" si="781"/>
        <v>6875</v>
      </c>
      <c r="B8306" s="13">
        <v>47</v>
      </c>
      <c r="C8306" s="17" t="s">
        <v>65</v>
      </c>
      <c r="D8306" s="17">
        <v>2122</v>
      </c>
      <c r="E8306" s="17">
        <v>115</v>
      </c>
      <c r="F8306" s="17"/>
      <c r="G8306" s="13"/>
      <c r="H8306" s="17">
        <v>16</v>
      </c>
      <c r="I8306" s="17">
        <v>2</v>
      </c>
      <c r="J8306" s="17">
        <v>13</v>
      </c>
      <c r="K8306" s="10">
        <v>6613</v>
      </c>
      <c r="L8306" s="17"/>
      <c r="M8306" s="15"/>
      <c r="N8306" s="18"/>
      <c r="O8306" s="14"/>
      <c r="P8306" s="17">
        <v>1</v>
      </c>
      <c r="Q8306" s="19">
        <v>6613</v>
      </c>
      <c r="R8306" s="14">
        <v>160</v>
      </c>
      <c r="S8306" s="19">
        <v>1058080</v>
      </c>
      <c r="T8306" s="17"/>
      <c r="U8306" s="17"/>
      <c r="V8306" s="17"/>
      <c r="W8306" s="4"/>
      <c r="X8306" s="17"/>
      <c r="Y8306" s="4"/>
      <c r="Z8306" s="17"/>
      <c r="AA8306" s="17"/>
      <c r="AB8306" s="17"/>
      <c r="AC8306" s="14"/>
      <c r="AD8306" s="14"/>
      <c r="AE8306" s="17"/>
      <c r="AF8306" s="14"/>
      <c r="AG8306" s="54"/>
      <c r="AH8306" s="11"/>
      <c r="AI8306" s="14"/>
      <c r="AJ8306" s="19">
        <v>0</v>
      </c>
      <c r="AK8306" s="23">
        <v>0</v>
      </c>
      <c r="AL8306" s="11"/>
      <c r="AM8306" s="19">
        <v>0</v>
      </c>
      <c r="AN8306" s="19">
        <v>1058080</v>
      </c>
      <c r="AO8306" s="14"/>
      <c r="AP8306" s="14">
        <v>1058080</v>
      </c>
      <c r="AQ8306" s="12">
        <v>1E-4</v>
      </c>
      <c r="AS8306" s="26"/>
    </row>
    <row r="8307" spans="1:45" s="19" customFormat="1" x14ac:dyDescent="0.2">
      <c r="A8307" s="122">
        <f t="shared" si="781"/>
        <v>6876</v>
      </c>
      <c r="B8307" s="13">
        <v>48</v>
      </c>
      <c r="C8307" s="17" t="s">
        <v>65</v>
      </c>
      <c r="D8307" s="17">
        <v>2123</v>
      </c>
      <c r="E8307" s="17">
        <v>117</v>
      </c>
      <c r="F8307" s="17"/>
      <c r="G8307" s="13"/>
      <c r="H8307" s="17">
        <v>13</v>
      </c>
      <c r="I8307" s="17">
        <v>1</v>
      </c>
      <c r="J8307" s="17">
        <v>40</v>
      </c>
      <c r="K8307" s="10">
        <v>5340</v>
      </c>
      <c r="L8307" s="17"/>
      <c r="M8307" s="15"/>
      <c r="N8307" s="18"/>
      <c r="O8307" s="14"/>
      <c r="P8307" s="17">
        <v>1</v>
      </c>
      <c r="Q8307" s="19">
        <v>5340</v>
      </c>
      <c r="R8307" s="14">
        <v>160</v>
      </c>
      <c r="S8307" s="19">
        <v>854400</v>
      </c>
      <c r="T8307" s="17"/>
      <c r="U8307" s="17"/>
      <c r="V8307" s="17"/>
      <c r="W8307" s="4"/>
      <c r="X8307" s="17"/>
      <c r="Y8307" s="4"/>
      <c r="Z8307" s="17"/>
      <c r="AA8307" s="17"/>
      <c r="AB8307" s="17"/>
      <c r="AC8307" s="14"/>
      <c r="AD8307" s="14"/>
      <c r="AE8307" s="17"/>
      <c r="AF8307" s="14"/>
      <c r="AG8307" s="54"/>
      <c r="AH8307" s="11"/>
      <c r="AI8307" s="14"/>
      <c r="AJ8307" s="19">
        <v>0</v>
      </c>
      <c r="AK8307" s="23">
        <v>0</v>
      </c>
      <c r="AL8307" s="11"/>
      <c r="AM8307" s="19">
        <v>0</v>
      </c>
      <c r="AN8307" s="19">
        <v>854400</v>
      </c>
      <c r="AO8307" s="14"/>
      <c r="AP8307" s="14">
        <v>854400</v>
      </c>
      <c r="AQ8307" s="12">
        <v>1E-4</v>
      </c>
      <c r="AS8307" s="26"/>
    </row>
    <row r="8308" spans="1:45" s="19" customFormat="1" x14ac:dyDescent="0.2">
      <c r="A8308" s="122">
        <f t="shared" si="781"/>
        <v>6877</v>
      </c>
      <c r="B8308" s="13">
        <v>49</v>
      </c>
      <c r="C8308" s="17" t="s">
        <v>65</v>
      </c>
      <c r="D8308" s="17">
        <v>2130</v>
      </c>
      <c r="E8308" s="17">
        <v>125</v>
      </c>
      <c r="F8308" s="17"/>
      <c r="G8308" s="13"/>
      <c r="H8308" s="17">
        <v>24</v>
      </c>
      <c r="I8308" s="17">
        <v>0</v>
      </c>
      <c r="J8308" s="17">
        <v>0</v>
      </c>
      <c r="K8308" s="10">
        <v>9600</v>
      </c>
      <c r="L8308" s="17"/>
      <c r="M8308" s="15"/>
      <c r="N8308" s="18"/>
      <c r="O8308" s="14"/>
      <c r="P8308" s="17">
        <v>1</v>
      </c>
      <c r="Q8308" s="19">
        <v>9600</v>
      </c>
      <c r="R8308" s="14">
        <v>160</v>
      </c>
      <c r="S8308" s="19">
        <v>1536000</v>
      </c>
      <c r="T8308" s="17"/>
      <c r="U8308" s="17"/>
      <c r="V8308" s="17"/>
      <c r="W8308" s="4"/>
      <c r="X8308" s="17"/>
      <c r="Y8308" s="4"/>
      <c r="Z8308" s="17"/>
      <c r="AA8308" s="17"/>
      <c r="AB8308" s="17"/>
      <c r="AC8308" s="14"/>
      <c r="AD8308" s="14"/>
      <c r="AE8308" s="17"/>
      <c r="AF8308" s="14"/>
      <c r="AG8308" s="54"/>
      <c r="AH8308" s="11"/>
      <c r="AI8308" s="14"/>
      <c r="AJ8308" s="19">
        <v>0</v>
      </c>
      <c r="AK8308" s="23">
        <v>0</v>
      </c>
      <c r="AL8308" s="11"/>
      <c r="AM8308" s="19">
        <v>0</v>
      </c>
      <c r="AN8308" s="19">
        <v>1536000</v>
      </c>
      <c r="AO8308" s="14"/>
      <c r="AP8308" s="14">
        <v>1536000</v>
      </c>
      <c r="AQ8308" s="12">
        <v>1E-4</v>
      </c>
      <c r="AS8308" s="26"/>
    </row>
    <row r="8309" spans="1:45" s="19" customFormat="1" x14ac:dyDescent="0.2">
      <c r="A8309" s="122">
        <f t="shared" si="781"/>
        <v>6878</v>
      </c>
      <c r="B8309" s="13">
        <v>50</v>
      </c>
      <c r="C8309" s="17" t="s">
        <v>65</v>
      </c>
      <c r="D8309" s="17">
        <v>2187</v>
      </c>
      <c r="E8309" s="17">
        <v>15</v>
      </c>
      <c r="F8309" s="17"/>
      <c r="G8309" s="13"/>
      <c r="H8309" s="17">
        <v>5</v>
      </c>
      <c r="I8309" s="17">
        <v>2</v>
      </c>
      <c r="J8309" s="17">
        <v>13</v>
      </c>
      <c r="K8309" s="10">
        <v>2213</v>
      </c>
      <c r="L8309" s="17"/>
      <c r="M8309" s="15"/>
      <c r="N8309" s="18"/>
      <c r="O8309" s="14"/>
      <c r="P8309" s="17">
        <v>1</v>
      </c>
      <c r="Q8309" s="19">
        <v>2213</v>
      </c>
      <c r="R8309" s="14">
        <v>160</v>
      </c>
      <c r="S8309" s="19">
        <v>354080</v>
      </c>
      <c r="T8309" s="17"/>
      <c r="U8309" s="17"/>
      <c r="V8309" s="17"/>
      <c r="W8309" s="4"/>
      <c r="X8309" s="17"/>
      <c r="Y8309" s="4"/>
      <c r="Z8309" s="17"/>
      <c r="AA8309" s="17"/>
      <c r="AB8309" s="17"/>
      <c r="AC8309" s="14"/>
      <c r="AD8309" s="14"/>
      <c r="AE8309" s="17"/>
      <c r="AF8309" s="14"/>
      <c r="AG8309" s="54"/>
      <c r="AH8309" s="11"/>
      <c r="AI8309" s="14"/>
      <c r="AJ8309" s="19">
        <v>0</v>
      </c>
      <c r="AK8309" s="23">
        <v>0</v>
      </c>
      <c r="AL8309" s="11"/>
      <c r="AM8309" s="19">
        <v>0</v>
      </c>
      <c r="AN8309" s="19">
        <v>354080</v>
      </c>
      <c r="AO8309" s="14"/>
      <c r="AP8309" s="14">
        <v>354080</v>
      </c>
      <c r="AQ8309" s="12">
        <v>1E-4</v>
      </c>
      <c r="AS8309" s="26"/>
    </row>
    <row r="8310" spans="1:45" s="19" customFormat="1" x14ac:dyDescent="0.2">
      <c r="A8310" s="122">
        <f t="shared" si="781"/>
        <v>6879</v>
      </c>
      <c r="B8310" s="13">
        <v>51</v>
      </c>
      <c r="C8310" s="17" t="s">
        <v>65</v>
      </c>
      <c r="D8310" s="17">
        <v>2188</v>
      </c>
      <c r="E8310" s="17">
        <v>18</v>
      </c>
      <c r="F8310" s="17"/>
      <c r="G8310" s="13"/>
      <c r="H8310" s="17">
        <v>33</v>
      </c>
      <c r="I8310" s="17">
        <v>3</v>
      </c>
      <c r="J8310" s="17">
        <v>30</v>
      </c>
      <c r="K8310" s="10">
        <v>13530</v>
      </c>
      <c r="L8310" s="17"/>
      <c r="M8310" s="15"/>
      <c r="N8310" s="18"/>
      <c r="O8310" s="14"/>
      <c r="P8310" s="17">
        <v>1</v>
      </c>
      <c r="Q8310" s="19">
        <v>13530</v>
      </c>
      <c r="R8310" s="14">
        <v>160</v>
      </c>
      <c r="S8310" s="19">
        <v>2164800</v>
      </c>
      <c r="T8310" s="17"/>
      <c r="U8310" s="17"/>
      <c r="V8310" s="17"/>
      <c r="W8310" s="4"/>
      <c r="X8310" s="17"/>
      <c r="Y8310" s="4"/>
      <c r="Z8310" s="17"/>
      <c r="AA8310" s="17"/>
      <c r="AB8310" s="17"/>
      <c r="AC8310" s="14"/>
      <c r="AD8310" s="14"/>
      <c r="AE8310" s="17"/>
      <c r="AF8310" s="14"/>
      <c r="AG8310" s="54"/>
      <c r="AH8310" s="11"/>
      <c r="AI8310" s="14"/>
      <c r="AJ8310" s="19">
        <v>0</v>
      </c>
      <c r="AK8310" s="23">
        <v>0</v>
      </c>
      <c r="AL8310" s="11"/>
      <c r="AM8310" s="19">
        <v>0</v>
      </c>
      <c r="AN8310" s="19">
        <v>2164800</v>
      </c>
      <c r="AO8310" s="14"/>
      <c r="AP8310" s="14">
        <v>2164800</v>
      </c>
      <c r="AQ8310" s="12">
        <v>1E-4</v>
      </c>
      <c r="AS8310" s="26"/>
    </row>
    <row r="8311" spans="1:45" s="19" customFormat="1" x14ac:dyDescent="0.2">
      <c r="A8311" s="122">
        <f t="shared" si="781"/>
        <v>6880</v>
      </c>
      <c r="B8311" s="13">
        <v>52</v>
      </c>
      <c r="C8311" s="17" t="s">
        <v>65</v>
      </c>
      <c r="D8311" s="17">
        <v>2197</v>
      </c>
      <c r="E8311" s="17">
        <v>39</v>
      </c>
      <c r="F8311" s="17"/>
      <c r="G8311" s="13"/>
      <c r="H8311" s="17">
        <v>18</v>
      </c>
      <c r="I8311" s="17">
        <v>0</v>
      </c>
      <c r="J8311" s="17">
        <v>50</v>
      </c>
      <c r="K8311" s="10">
        <v>7250</v>
      </c>
      <c r="L8311" s="17"/>
      <c r="M8311" s="15"/>
      <c r="N8311" s="18"/>
      <c r="O8311" s="14"/>
      <c r="P8311" s="17">
        <v>1</v>
      </c>
      <c r="Q8311" s="19">
        <v>7250</v>
      </c>
      <c r="R8311" s="14">
        <v>160</v>
      </c>
      <c r="S8311" s="19">
        <v>1160000</v>
      </c>
      <c r="T8311" s="17"/>
      <c r="U8311" s="17"/>
      <c r="V8311" s="17"/>
      <c r="W8311" s="4"/>
      <c r="X8311" s="17"/>
      <c r="Y8311" s="4"/>
      <c r="Z8311" s="17"/>
      <c r="AA8311" s="17"/>
      <c r="AB8311" s="17"/>
      <c r="AC8311" s="14"/>
      <c r="AD8311" s="14"/>
      <c r="AE8311" s="17"/>
      <c r="AF8311" s="14"/>
      <c r="AG8311" s="54"/>
      <c r="AH8311" s="11"/>
      <c r="AI8311" s="14"/>
      <c r="AJ8311" s="19">
        <v>0</v>
      </c>
      <c r="AK8311" s="23">
        <v>0</v>
      </c>
      <c r="AL8311" s="11"/>
      <c r="AM8311" s="19">
        <v>0</v>
      </c>
      <c r="AN8311" s="19">
        <v>1160000</v>
      </c>
      <c r="AO8311" s="14"/>
      <c r="AP8311" s="14">
        <v>1160000</v>
      </c>
      <c r="AQ8311" s="12">
        <v>1E-4</v>
      </c>
      <c r="AS8311" s="26"/>
    </row>
    <row r="8312" spans="1:45" s="19" customFormat="1" x14ac:dyDescent="0.2">
      <c r="A8312" s="122">
        <f t="shared" ref="A8312:A8362" si="782">+A8311+1</f>
        <v>6881</v>
      </c>
      <c r="B8312" s="13">
        <v>53</v>
      </c>
      <c r="C8312" s="17" t="s">
        <v>65</v>
      </c>
      <c r="D8312" s="17">
        <v>2198</v>
      </c>
      <c r="E8312" s="17">
        <v>40</v>
      </c>
      <c r="F8312" s="17"/>
      <c r="G8312" s="13"/>
      <c r="H8312" s="17">
        <v>18</v>
      </c>
      <c r="I8312" s="17">
        <v>2</v>
      </c>
      <c r="J8312" s="17">
        <v>20</v>
      </c>
      <c r="K8312" s="10">
        <v>7420</v>
      </c>
      <c r="L8312" s="17"/>
      <c r="M8312" s="15"/>
      <c r="N8312" s="18"/>
      <c r="O8312" s="14"/>
      <c r="P8312" s="17">
        <v>1</v>
      </c>
      <c r="Q8312" s="19">
        <v>7420</v>
      </c>
      <c r="R8312" s="14">
        <v>160</v>
      </c>
      <c r="S8312" s="19">
        <v>1187200</v>
      </c>
      <c r="T8312" s="17"/>
      <c r="U8312" s="17"/>
      <c r="V8312" s="17"/>
      <c r="W8312" s="4"/>
      <c r="X8312" s="17"/>
      <c r="Y8312" s="4"/>
      <c r="Z8312" s="17"/>
      <c r="AA8312" s="17"/>
      <c r="AB8312" s="17"/>
      <c r="AC8312" s="14"/>
      <c r="AD8312" s="14"/>
      <c r="AE8312" s="17"/>
      <c r="AF8312" s="14"/>
      <c r="AG8312" s="54"/>
      <c r="AH8312" s="11"/>
      <c r="AI8312" s="14"/>
      <c r="AJ8312" s="19">
        <v>0</v>
      </c>
      <c r="AK8312" s="23">
        <v>0</v>
      </c>
      <c r="AL8312" s="11"/>
      <c r="AM8312" s="19">
        <v>0</v>
      </c>
      <c r="AN8312" s="19">
        <v>1187200</v>
      </c>
      <c r="AO8312" s="14"/>
      <c r="AP8312" s="14">
        <v>1187200</v>
      </c>
      <c r="AQ8312" s="12">
        <v>1E-4</v>
      </c>
      <c r="AS8312" s="26"/>
    </row>
    <row r="8313" spans="1:45" s="19" customFormat="1" x14ac:dyDescent="0.2">
      <c r="A8313" s="122">
        <f t="shared" si="782"/>
        <v>6882</v>
      </c>
      <c r="B8313" s="13">
        <v>54</v>
      </c>
      <c r="C8313" s="17" t="s">
        <v>65</v>
      </c>
      <c r="D8313" s="17">
        <v>2199</v>
      </c>
      <c r="E8313" s="17">
        <v>41</v>
      </c>
      <c r="F8313" s="17"/>
      <c r="G8313" s="13"/>
      <c r="H8313" s="17">
        <v>41</v>
      </c>
      <c r="I8313" s="17">
        <v>3</v>
      </c>
      <c r="J8313" s="17">
        <v>50</v>
      </c>
      <c r="K8313" s="10">
        <v>16750</v>
      </c>
      <c r="L8313" s="17"/>
      <c r="M8313" s="15"/>
      <c r="N8313" s="18"/>
      <c r="O8313" s="14"/>
      <c r="P8313" s="17">
        <v>1</v>
      </c>
      <c r="Q8313" s="19">
        <v>16750</v>
      </c>
      <c r="R8313" s="14">
        <v>160</v>
      </c>
      <c r="S8313" s="19">
        <v>2680000</v>
      </c>
      <c r="T8313" s="17"/>
      <c r="U8313" s="17"/>
      <c r="V8313" s="17"/>
      <c r="W8313" s="4"/>
      <c r="X8313" s="17"/>
      <c r="Y8313" s="4"/>
      <c r="Z8313" s="17"/>
      <c r="AA8313" s="17"/>
      <c r="AB8313" s="17"/>
      <c r="AC8313" s="14"/>
      <c r="AD8313" s="14"/>
      <c r="AE8313" s="17"/>
      <c r="AF8313" s="14"/>
      <c r="AG8313" s="54"/>
      <c r="AH8313" s="11"/>
      <c r="AI8313" s="14"/>
      <c r="AJ8313" s="19">
        <v>0</v>
      </c>
      <c r="AK8313" s="23">
        <v>0</v>
      </c>
      <c r="AL8313" s="11"/>
      <c r="AM8313" s="19">
        <v>0</v>
      </c>
      <c r="AN8313" s="19">
        <v>2680000</v>
      </c>
      <c r="AO8313" s="14"/>
      <c r="AP8313" s="14">
        <v>2680000</v>
      </c>
      <c r="AQ8313" s="12">
        <v>1E-4</v>
      </c>
      <c r="AS8313" s="26"/>
    </row>
    <row r="8314" spans="1:45" s="19" customFormat="1" x14ac:dyDescent="0.2">
      <c r="A8314" s="122">
        <f t="shared" si="782"/>
        <v>6883</v>
      </c>
      <c r="B8314" s="13">
        <v>55</v>
      </c>
      <c r="C8314" s="17" t="s">
        <v>65</v>
      </c>
      <c r="D8314" s="17">
        <v>2200</v>
      </c>
      <c r="E8314" s="17">
        <v>43</v>
      </c>
      <c r="F8314" s="17"/>
      <c r="G8314" s="13"/>
      <c r="H8314" s="17">
        <v>32</v>
      </c>
      <c r="I8314" s="17">
        <v>2</v>
      </c>
      <c r="J8314" s="17">
        <v>10</v>
      </c>
      <c r="K8314" s="10">
        <v>13010</v>
      </c>
      <c r="L8314" s="17"/>
      <c r="M8314" s="15"/>
      <c r="N8314" s="18"/>
      <c r="O8314" s="14"/>
      <c r="P8314" s="17">
        <v>1</v>
      </c>
      <c r="Q8314" s="19">
        <v>13010</v>
      </c>
      <c r="R8314" s="14">
        <v>160</v>
      </c>
      <c r="S8314" s="19">
        <v>2081600</v>
      </c>
      <c r="T8314" s="17"/>
      <c r="U8314" s="17"/>
      <c r="V8314" s="17"/>
      <c r="W8314" s="4"/>
      <c r="X8314" s="17"/>
      <c r="Y8314" s="4"/>
      <c r="Z8314" s="17"/>
      <c r="AA8314" s="17"/>
      <c r="AB8314" s="17"/>
      <c r="AC8314" s="14"/>
      <c r="AD8314" s="14"/>
      <c r="AE8314" s="17"/>
      <c r="AF8314" s="14"/>
      <c r="AG8314" s="54"/>
      <c r="AH8314" s="11"/>
      <c r="AI8314" s="14"/>
      <c r="AJ8314" s="19">
        <v>0</v>
      </c>
      <c r="AK8314" s="23">
        <v>0</v>
      </c>
      <c r="AL8314" s="11"/>
      <c r="AM8314" s="19">
        <v>0</v>
      </c>
      <c r="AN8314" s="19">
        <v>2081600</v>
      </c>
      <c r="AO8314" s="14"/>
      <c r="AP8314" s="14">
        <v>2081600</v>
      </c>
      <c r="AQ8314" s="12">
        <v>1E-4</v>
      </c>
      <c r="AS8314" s="26"/>
    </row>
    <row r="8315" spans="1:45" s="19" customFormat="1" x14ac:dyDescent="0.2">
      <c r="A8315" s="122">
        <f t="shared" si="782"/>
        <v>6884</v>
      </c>
      <c r="B8315" s="13">
        <v>56</v>
      </c>
      <c r="C8315" s="17" t="s">
        <v>65</v>
      </c>
      <c r="D8315" s="17">
        <v>2201</v>
      </c>
      <c r="E8315" s="17">
        <v>44</v>
      </c>
      <c r="F8315" s="17"/>
      <c r="G8315" s="13"/>
      <c r="H8315" s="17">
        <v>24</v>
      </c>
      <c r="I8315" s="17">
        <v>1</v>
      </c>
      <c r="J8315" s="17">
        <v>0</v>
      </c>
      <c r="K8315" s="10">
        <v>97</v>
      </c>
      <c r="L8315" s="17"/>
      <c r="M8315" s="15"/>
      <c r="N8315" s="18"/>
      <c r="O8315" s="14"/>
      <c r="P8315" s="17">
        <v>1</v>
      </c>
      <c r="Q8315" s="19">
        <v>9700</v>
      </c>
      <c r="R8315" s="14">
        <v>160</v>
      </c>
      <c r="S8315" s="19">
        <v>1552000</v>
      </c>
      <c r="T8315" s="17"/>
      <c r="U8315" s="17"/>
      <c r="V8315" s="17"/>
      <c r="W8315" s="4"/>
      <c r="X8315" s="17"/>
      <c r="Y8315" s="4"/>
      <c r="Z8315" s="17"/>
      <c r="AA8315" s="17"/>
      <c r="AB8315" s="17"/>
      <c r="AC8315" s="14"/>
      <c r="AD8315" s="14"/>
      <c r="AE8315" s="17"/>
      <c r="AF8315" s="14"/>
      <c r="AG8315" s="54"/>
      <c r="AH8315" s="11"/>
      <c r="AI8315" s="14"/>
      <c r="AJ8315" s="19">
        <v>0</v>
      </c>
      <c r="AK8315" s="23">
        <v>0</v>
      </c>
      <c r="AL8315" s="11"/>
      <c r="AM8315" s="19">
        <v>0</v>
      </c>
      <c r="AN8315" s="19">
        <v>1552000</v>
      </c>
      <c r="AO8315" s="14"/>
      <c r="AP8315" s="14">
        <v>1552000</v>
      </c>
      <c r="AQ8315" s="12">
        <v>1E-4</v>
      </c>
      <c r="AS8315" s="26"/>
    </row>
    <row r="8316" spans="1:45" s="19" customFormat="1" x14ac:dyDescent="0.2">
      <c r="A8316" s="122">
        <f t="shared" si="782"/>
        <v>6885</v>
      </c>
      <c r="B8316" s="13">
        <v>57</v>
      </c>
      <c r="C8316" s="17" t="s">
        <v>65</v>
      </c>
      <c r="D8316" s="17">
        <v>2202</v>
      </c>
      <c r="E8316" s="17">
        <v>45</v>
      </c>
      <c r="F8316" s="17"/>
      <c r="G8316" s="13"/>
      <c r="H8316" s="17">
        <v>26</v>
      </c>
      <c r="I8316" s="17">
        <v>1</v>
      </c>
      <c r="J8316" s="17">
        <v>0</v>
      </c>
      <c r="K8316" s="10">
        <v>10500</v>
      </c>
      <c r="L8316" s="17"/>
      <c r="M8316" s="15"/>
      <c r="N8316" s="18"/>
      <c r="O8316" s="14"/>
      <c r="P8316" s="17">
        <v>1</v>
      </c>
      <c r="Q8316" s="19">
        <v>10500</v>
      </c>
      <c r="R8316" s="14">
        <v>160</v>
      </c>
      <c r="S8316" s="19">
        <v>1680000</v>
      </c>
      <c r="T8316" s="17"/>
      <c r="U8316" s="17"/>
      <c r="V8316" s="17"/>
      <c r="W8316" s="4"/>
      <c r="X8316" s="17"/>
      <c r="Y8316" s="4"/>
      <c r="Z8316" s="17"/>
      <c r="AA8316" s="17"/>
      <c r="AB8316" s="17"/>
      <c r="AC8316" s="14"/>
      <c r="AD8316" s="14"/>
      <c r="AE8316" s="17"/>
      <c r="AF8316" s="14"/>
      <c r="AG8316" s="54"/>
      <c r="AH8316" s="11"/>
      <c r="AI8316" s="14"/>
      <c r="AJ8316" s="19">
        <v>0</v>
      </c>
      <c r="AK8316" s="23">
        <v>0</v>
      </c>
      <c r="AL8316" s="11"/>
      <c r="AM8316" s="19">
        <v>0</v>
      </c>
      <c r="AN8316" s="19">
        <v>1680000</v>
      </c>
      <c r="AO8316" s="14"/>
      <c r="AP8316" s="14">
        <v>1680000</v>
      </c>
      <c r="AQ8316" s="12">
        <v>1E-4</v>
      </c>
      <c r="AS8316" s="26"/>
    </row>
    <row r="8317" spans="1:45" s="19" customFormat="1" x14ac:dyDescent="0.2">
      <c r="A8317" s="122">
        <f t="shared" si="782"/>
        <v>6886</v>
      </c>
      <c r="B8317" s="13">
        <v>58</v>
      </c>
      <c r="C8317" s="17" t="s">
        <v>65</v>
      </c>
      <c r="D8317" s="17">
        <v>2203</v>
      </c>
      <c r="E8317" s="17">
        <v>46</v>
      </c>
      <c r="F8317" s="17"/>
      <c r="G8317" s="13"/>
      <c r="H8317" s="17">
        <v>6</v>
      </c>
      <c r="I8317" s="17">
        <v>2</v>
      </c>
      <c r="J8317" s="17">
        <v>90</v>
      </c>
      <c r="K8317" s="10">
        <v>2690</v>
      </c>
      <c r="L8317" s="17"/>
      <c r="M8317" s="15"/>
      <c r="N8317" s="18"/>
      <c r="O8317" s="14"/>
      <c r="P8317" s="17">
        <v>1</v>
      </c>
      <c r="Q8317" s="19">
        <v>2690</v>
      </c>
      <c r="R8317" s="14">
        <v>160</v>
      </c>
      <c r="S8317" s="19">
        <v>430400</v>
      </c>
      <c r="T8317" s="17"/>
      <c r="U8317" s="17"/>
      <c r="V8317" s="17"/>
      <c r="W8317" s="4"/>
      <c r="X8317" s="17"/>
      <c r="Y8317" s="4"/>
      <c r="Z8317" s="17"/>
      <c r="AA8317" s="17"/>
      <c r="AB8317" s="17"/>
      <c r="AC8317" s="14"/>
      <c r="AD8317" s="14"/>
      <c r="AE8317" s="17"/>
      <c r="AF8317" s="14"/>
      <c r="AG8317" s="54"/>
      <c r="AH8317" s="11"/>
      <c r="AI8317" s="14"/>
      <c r="AJ8317" s="19">
        <v>0</v>
      </c>
      <c r="AK8317" s="23">
        <v>0</v>
      </c>
      <c r="AL8317" s="11"/>
      <c r="AM8317" s="19">
        <v>0</v>
      </c>
      <c r="AN8317" s="19">
        <v>430400</v>
      </c>
      <c r="AO8317" s="14"/>
      <c r="AP8317" s="14">
        <v>430400</v>
      </c>
      <c r="AQ8317" s="12">
        <v>1E-4</v>
      </c>
      <c r="AS8317" s="26"/>
    </row>
    <row r="8318" spans="1:45" s="19" customFormat="1" x14ac:dyDescent="0.2">
      <c r="A8318" s="122">
        <f t="shared" si="782"/>
        <v>6887</v>
      </c>
      <c r="B8318" s="13">
        <v>59</v>
      </c>
      <c r="C8318" s="17" t="s">
        <v>65</v>
      </c>
      <c r="D8318" s="17">
        <v>2204</v>
      </c>
      <c r="E8318" s="17">
        <v>47</v>
      </c>
      <c r="F8318" s="17"/>
      <c r="G8318" s="13"/>
      <c r="H8318" s="17">
        <v>6</v>
      </c>
      <c r="I8318" s="17">
        <v>0</v>
      </c>
      <c r="J8318" s="17">
        <v>70</v>
      </c>
      <c r="K8318" s="10">
        <v>2470</v>
      </c>
      <c r="L8318" s="17"/>
      <c r="M8318" s="15"/>
      <c r="N8318" s="18"/>
      <c r="O8318" s="14"/>
      <c r="P8318" s="17">
        <v>1</v>
      </c>
      <c r="Q8318" s="19">
        <v>2470</v>
      </c>
      <c r="R8318" s="14">
        <v>160</v>
      </c>
      <c r="S8318" s="19">
        <v>395200</v>
      </c>
      <c r="T8318" s="17"/>
      <c r="U8318" s="17"/>
      <c r="V8318" s="17"/>
      <c r="W8318" s="4"/>
      <c r="X8318" s="17"/>
      <c r="Y8318" s="4"/>
      <c r="Z8318" s="17"/>
      <c r="AA8318" s="17"/>
      <c r="AB8318" s="17"/>
      <c r="AC8318" s="14"/>
      <c r="AD8318" s="14"/>
      <c r="AE8318" s="17"/>
      <c r="AF8318" s="14"/>
      <c r="AG8318" s="54"/>
      <c r="AH8318" s="11"/>
      <c r="AI8318" s="14"/>
      <c r="AJ8318" s="19">
        <v>0</v>
      </c>
      <c r="AK8318" s="23">
        <v>0</v>
      </c>
      <c r="AL8318" s="11"/>
      <c r="AM8318" s="19">
        <v>0</v>
      </c>
      <c r="AN8318" s="19">
        <v>395200</v>
      </c>
      <c r="AO8318" s="14"/>
      <c r="AP8318" s="14">
        <v>395200</v>
      </c>
      <c r="AQ8318" s="12">
        <v>1E-4</v>
      </c>
      <c r="AS8318" s="26"/>
    </row>
    <row r="8319" spans="1:45" s="19" customFormat="1" x14ac:dyDescent="0.2">
      <c r="A8319" s="122">
        <f t="shared" si="782"/>
        <v>6888</v>
      </c>
      <c r="B8319" s="13">
        <v>60</v>
      </c>
      <c r="C8319" s="17" t="s">
        <v>65</v>
      </c>
      <c r="D8319" s="17">
        <v>2210</v>
      </c>
      <c r="E8319" s="17">
        <v>109</v>
      </c>
      <c r="F8319" s="17"/>
      <c r="G8319" s="13"/>
      <c r="H8319" s="17">
        <v>14</v>
      </c>
      <c r="I8319" s="17">
        <v>1</v>
      </c>
      <c r="J8319" s="17">
        <v>25</v>
      </c>
      <c r="K8319" s="10">
        <v>5725</v>
      </c>
      <c r="L8319" s="17"/>
      <c r="M8319" s="15"/>
      <c r="N8319" s="18"/>
      <c r="O8319" s="14"/>
      <c r="P8319" s="17">
        <v>1</v>
      </c>
      <c r="Q8319" s="19">
        <v>5725</v>
      </c>
      <c r="R8319" s="14">
        <v>375</v>
      </c>
      <c r="S8319" s="19">
        <v>2146875</v>
      </c>
      <c r="T8319" s="17"/>
      <c r="U8319" s="17"/>
      <c r="V8319" s="17"/>
      <c r="W8319" s="4"/>
      <c r="X8319" s="17"/>
      <c r="Y8319" s="4"/>
      <c r="Z8319" s="17"/>
      <c r="AA8319" s="17"/>
      <c r="AB8319" s="17"/>
      <c r="AC8319" s="14"/>
      <c r="AD8319" s="14"/>
      <c r="AE8319" s="17"/>
      <c r="AF8319" s="14"/>
      <c r="AG8319" s="54"/>
      <c r="AH8319" s="11"/>
      <c r="AI8319" s="14"/>
      <c r="AJ8319" s="19">
        <v>0</v>
      </c>
      <c r="AK8319" s="23">
        <v>0</v>
      </c>
      <c r="AL8319" s="11"/>
      <c r="AM8319" s="19">
        <v>0</v>
      </c>
      <c r="AN8319" s="19">
        <v>2146875</v>
      </c>
      <c r="AO8319" s="14"/>
      <c r="AP8319" s="14">
        <v>2146875</v>
      </c>
      <c r="AQ8319" s="12">
        <v>1E-4</v>
      </c>
      <c r="AS8319" s="26"/>
    </row>
    <row r="8320" spans="1:45" s="19" customFormat="1" x14ac:dyDescent="0.2">
      <c r="A8320" s="122">
        <f t="shared" si="782"/>
        <v>6889</v>
      </c>
      <c r="B8320" s="13">
        <v>61</v>
      </c>
      <c r="C8320" s="17" t="s">
        <v>65</v>
      </c>
      <c r="D8320" s="17">
        <v>2238</v>
      </c>
      <c r="E8320" s="17">
        <v>176</v>
      </c>
      <c r="F8320" s="17"/>
      <c r="G8320" s="13"/>
      <c r="H8320" s="17">
        <v>11</v>
      </c>
      <c r="I8320" s="17">
        <v>2</v>
      </c>
      <c r="J8320" s="17">
        <v>60</v>
      </c>
      <c r="K8320" s="10">
        <v>4660</v>
      </c>
      <c r="L8320" s="17"/>
      <c r="M8320" s="15"/>
      <c r="N8320" s="18"/>
      <c r="O8320" s="14"/>
      <c r="P8320" s="17">
        <v>1</v>
      </c>
      <c r="Q8320" s="19">
        <v>4660</v>
      </c>
      <c r="R8320" s="14">
        <v>160</v>
      </c>
      <c r="S8320" s="19">
        <v>745600</v>
      </c>
      <c r="T8320" s="17"/>
      <c r="U8320" s="17"/>
      <c r="V8320" s="17"/>
      <c r="W8320" s="4"/>
      <c r="X8320" s="17"/>
      <c r="Y8320" s="4"/>
      <c r="Z8320" s="17"/>
      <c r="AA8320" s="17"/>
      <c r="AB8320" s="17"/>
      <c r="AC8320" s="14"/>
      <c r="AD8320" s="14"/>
      <c r="AE8320" s="17"/>
      <c r="AF8320" s="14"/>
      <c r="AG8320" s="54"/>
      <c r="AH8320" s="11"/>
      <c r="AI8320" s="14"/>
      <c r="AJ8320" s="19">
        <v>0</v>
      </c>
      <c r="AK8320" s="23">
        <v>0</v>
      </c>
      <c r="AL8320" s="11"/>
      <c r="AM8320" s="19">
        <v>0</v>
      </c>
      <c r="AN8320" s="19">
        <v>745600</v>
      </c>
      <c r="AO8320" s="14"/>
      <c r="AP8320" s="14">
        <v>745600</v>
      </c>
      <c r="AQ8320" s="12">
        <v>1E-4</v>
      </c>
      <c r="AS8320" s="26"/>
    </row>
    <row r="8321" spans="1:45" s="19" customFormat="1" x14ac:dyDescent="0.2">
      <c r="A8321" s="122">
        <f t="shared" si="782"/>
        <v>6890</v>
      </c>
      <c r="B8321" s="13">
        <v>62</v>
      </c>
      <c r="C8321" s="17" t="s">
        <v>65</v>
      </c>
      <c r="D8321" s="17">
        <v>2240</v>
      </c>
      <c r="E8321" s="17">
        <v>179</v>
      </c>
      <c r="F8321" s="17"/>
      <c r="G8321" s="13"/>
      <c r="H8321" s="17">
        <v>6</v>
      </c>
      <c r="I8321" s="17">
        <v>2</v>
      </c>
      <c r="J8321" s="17">
        <v>20</v>
      </c>
      <c r="K8321" s="10">
        <v>2620</v>
      </c>
      <c r="L8321" s="17"/>
      <c r="M8321" s="15"/>
      <c r="N8321" s="18"/>
      <c r="O8321" s="14"/>
      <c r="P8321" s="17">
        <v>1</v>
      </c>
      <c r="Q8321" s="19">
        <v>2620</v>
      </c>
      <c r="R8321" s="14">
        <v>375</v>
      </c>
      <c r="S8321" s="19">
        <v>982500</v>
      </c>
      <c r="T8321" s="17"/>
      <c r="U8321" s="17"/>
      <c r="V8321" s="17"/>
      <c r="W8321" s="4"/>
      <c r="X8321" s="17"/>
      <c r="Y8321" s="4"/>
      <c r="Z8321" s="17"/>
      <c r="AA8321" s="17"/>
      <c r="AB8321" s="17"/>
      <c r="AC8321" s="14"/>
      <c r="AD8321" s="14"/>
      <c r="AE8321" s="17"/>
      <c r="AF8321" s="14"/>
      <c r="AG8321" s="54"/>
      <c r="AH8321" s="11"/>
      <c r="AI8321" s="14"/>
      <c r="AJ8321" s="19">
        <v>0</v>
      </c>
      <c r="AK8321" s="23">
        <v>0</v>
      </c>
      <c r="AL8321" s="11"/>
      <c r="AM8321" s="19">
        <v>0</v>
      </c>
      <c r="AN8321" s="19">
        <v>982500</v>
      </c>
      <c r="AO8321" s="14"/>
      <c r="AP8321" s="14">
        <v>982500</v>
      </c>
      <c r="AQ8321" s="12">
        <v>1E-4</v>
      </c>
      <c r="AS8321" s="26"/>
    </row>
    <row r="8322" spans="1:45" s="19" customFormat="1" x14ac:dyDescent="0.2">
      <c r="A8322" s="122">
        <f t="shared" si="782"/>
        <v>6891</v>
      </c>
      <c r="B8322" s="13">
        <v>63</v>
      </c>
      <c r="C8322" s="17" t="s">
        <v>65</v>
      </c>
      <c r="D8322" s="17">
        <v>2278</v>
      </c>
      <c r="E8322" s="17">
        <v>56</v>
      </c>
      <c r="F8322" s="17"/>
      <c r="G8322" s="13"/>
      <c r="H8322" s="17">
        <v>7</v>
      </c>
      <c r="I8322" s="17">
        <v>2</v>
      </c>
      <c r="J8322" s="17">
        <v>13</v>
      </c>
      <c r="K8322" s="10">
        <v>3013</v>
      </c>
      <c r="L8322" s="17"/>
      <c r="M8322" s="15"/>
      <c r="N8322" s="18"/>
      <c r="O8322" s="14"/>
      <c r="P8322" s="17">
        <v>1</v>
      </c>
      <c r="Q8322" s="19">
        <v>3013</v>
      </c>
      <c r="R8322" s="14">
        <v>1100</v>
      </c>
      <c r="S8322" s="19">
        <v>3314300</v>
      </c>
      <c r="T8322" s="17"/>
      <c r="U8322" s="17"/>
      <c r="V8322" s="17"/>
      <c r="W8322" s="4"/>
      <c r="X8322" s="17"/>
      <c r="Y8322" s="4"/>
      <c r="Z8322" s="17"/>
      <c r="AA8322" s="17"/>
      <c r="AB8322" s="17"/>
      <c r="AC8322" s="14"/>
      <c r="AD8322" s="14"/>
      <c r="AE8322" s="17"/>
      <c r="AF8322" s="14"/>
      <c r="AG8322" s="54"/>
      <c r="AH8322" s="11"/>
      <c r="AI8322" s="14"/>
      <c r="AJ8322" s="19">
        <v>0</v>
      </c>
      <c r="AK8322" s="23">
        <v>0</v>
      </c>
      <c r="AL8322" s="11"/>
      <c r="AM8322" s="19">
        <v>0</v>
      </c>
      <c r="AN8322" s="19">
        <v>3314300</v>
      </c>
      <c r="AO8322" s="14"/>
      <c r="AP8322" s="14">
        <v>3314300</v>
      </c>
      <c r="AQ8322" s="12">
        <v>1E-4</v>
      </c>
      <c r="AS8322" s="26"/>
    </row>
    <row r="8323" spans="1:45" s="19" customFormat="1" x14ac:dyDescent="0.2">
      <c r="A8323" s="122">
        <f t="shared" si="782"/>
        <v>6892</v>
      </c>
      <c r="B8323" s="13">
        <v>64</v>
      </c>
      <c r="C8323" s="17" t="s">
        <v>65</v>
      </c>
      <c r="D8323" s="17">
        <v>2344</v>
      </c>
      <c r="E8323" s="17">
        <v>38</v>
      </c>
      <c r="F8323" s="17"/>
      <c r="G8323" s="13"/>
      <c r="H8323" s="17">
        <v>47</v>
      </c>
      <c r="I8323" s="17">
        <v>3</v>
      </c>
      <c r="J8323" s="17">
        <v>60</v>
      </c>
      <c r="K8323" s="10">
        <v>19160</v>
      </c>
      <c r="L8323" s="17"/>
      <c r="M8323" s="15"/>
      <c r="N8323" s="18"/>
      <c r="O8323" s="14"/>
      <c r="P8323" s="17">
        <v>1</v>
      </c>
      <c r="Q8323" s="19">
        <v>19160</v>
      </c>
      <c r="R8323" s="14">
        <v>160</v>
      </c>
      <c r="S8323" s="19">
        <v>3065600</v>
      </c>
      <c r="T8323" s="17"/>
      <c r="U8323" s="17"/>
      <c r="V8323" s="17"/>
      <c r="W8323" s="4"/>
      <c r="X8323" s="17"/>
      <c r="Y8323" s="4"/>
      <c r="Z8323" s="17"/>
      <c r="AA8323" s="17"/>
      <c r="AB8323" s="17"/>
      <c r="AC8323" s="14"/>
      <c r="AD8323" s="14"/>
      <c r="AE8323" s="17"/>
      <c r="AF8323" s="14"/>
      <c r="AG8323" s="54"/>
      <c r="AH8323" s="11"/>
      <c r="AI8323" s="14"/>
      <c r="AJ8323" s="19">
        <v>0</v>
      </c>
      <c r="AK8323" s="23">
        <v>0</v>
      </c>
      <c r="AL8323" s="11"/>
      <c r="AM8323" s="19">
        <v>0</v>
      </c>
      <c r="AN8323" s="19">
        <v>3065600</v>
      </c>
      <c r="AO8323" s="14"/>
      <c r="AP8323" s="14">
        <v>3065600</v>
      </c>
      <c r="AQ8323" s="12">
        <v>1E-4</v>
      </c>
      <c r="AS8323" s="26"/>
    </row>
    <row r="8324" spans="1:45" s="19" customFormat="1" x14ac:dyDescent="0.2">
      <c r="A8324" s="122">
        <f t="shared" si="782"/>
        <v>6893</v>
      </c>
      <c r="B8324" s="13">
        <v>65</v>
      </c>
      <c r="C8324" s="17" t="s">
        <v>65</v>
      </c>
      <c r="D8324" s="17">
        <v>2392</v>
      </c>
      <c r="E8324" s="17">
        <v>14</v>
      </c>
      <c r="F8324" s="17"/>
      <c r="G8324" s="13"/>
      <c r="H8324" s="17">
        <v>13</v>
      </c>
      <c r="I8324" s="17">
        <v>1</v>
      </c>
      <c r="J8324" s="17">
        <v>46</v>
      </c>
      <c r="K8324" s="10">
        <v>5346</v>
      </c>
      <c r="L8324" s="17"/>
      <c r="M8324" s="15"/>
      <c r="N8324" s="18"/>
      <c r="O8324" s="14"/>
      <c r="P8324" s="17">
        <v>1</v>
      </c>
      <c r="Q8324" s="19">
        <v>5346</v>
      </c>
      <c r="R8324" s="14">
        <v>160</v>
      </c>
      <c r="S8324" s="19">
        <v>855360</v>
      </c>
      <c r="T8324" s="17"/>
      <c r="U8324" s="17"/>
      <c r="V8324" s="17"/>
      <c r="W8324" s="4"/>
      <c r="X8324" s="17"/>
      <c r="Y8324" s="4"/>
      <c r="Z8324" s="17"/>
      <c r="AA8324" s="17"/>
      <c r="AB8324" s="17"/>
      <c r="AC8324" s="14"/>
      <c r="AD8324" s="14"/>
      <c r="AE8324" s="17"/>
      <c r="AF8324" s="14"/>
      <c r="AG8324" s="54"/>
      <c r="AH8324" s="11"/>
      <c r="AI8324" s="14"/>
      <c r="AJ8324" s="19">
        <v>0</v>
      </c>
      <c r="AK8324" s="23">
        <v>0</v>
      </c>
      <c r="AL8324" s="11"/>
      <c r="AM8324" s="19">
        <v>0</v>
      </c>
      <c r="AN8324" s="19">
        <v>855360</v>
      </c>
      <c r="AO8324" s="14"/>
      <c r="AP8324" s="14">
        <v>855360</v>
      </c>
      <c r="AQ8324" s="12">
        <v>1E-4</v>
      </c>
      <c r="AS8324" s="26"/>
    </row>
    <row r="8325" spans="1:45" s="19" customFormat="1" x14ac:dyDescent="0.2">
      <c r="A8325" s="122">
        <f t="shared" si="782"/>
        <v>6894</v>
      </c>
      <c r="B8325" s="13">
        <v>66</v>
      </c>
      <c r="C8325" s="17" t="s">
        <v>65</v>
      </c>
      <c r="D8325" s="17">
        <v>2408</v>
      </c>
      <c r="E8325" s="17">
        <v>166</v>
      </c>
      <c r="F8325" s="17"/>
      <c r="G8325" s="13"/>
      <c r="H8325" s="17">
        <v>23</v>
      </c>
      <c r="I8325" s="17">
        <v>2</v>
      </c>
      <c r="J8325" s="17">
        <v>66</v>
      </c>
      <c r="K8325" s="10">
        <v>9466</v>
      </c>
      <c r="L8325" s="17"/>
      <c r="M8325" s="15"/>
      <c r="N8325" s="18"/>
      <c r="O8325" s="14"/>
      <c r="P8325" s="17">
        <v>1</v>
      </c>
      <c r="Q8325" s="19">
        <v>9466</v>
      </c>
      <c r="R8325" s="14">
        <v>160</v>
      </c>
      <c r="S8325" s="19">
        <v>1514560</v>
      </c>
      <c r="T8325" s="17"/>
      <c r="U8325" s="17"/>
      <c r="V8325" s="17"/>
      <c r="W8325" s="4"/>
      <c r="X8325" s="17"/>
      <c r="Y8325" s="4"/>
      <c r="Z8325" s="17"/>
      <c r="AA8325" s="17"/>
      <c r="AB8325" s="17"/>
      <c r="AC8325" s="14"/>
      <c r="AD8325" s="14"/>
      <c r="AE8325" s="17"/>
      <c r="AF8325" s="14"/>
      <c r="AG8325" s="54"/>
      <c r="AH8325" s="11"/>
      <c r="AI8325" s="14"/>
      <c r="AJ8325" s="19">
        <v>0</v>
      </c>
      <c r="AK8325" s="23">
        <v>0</v>
      </c>
      <c r="AL8325" s="11"/>
      <c r="AM8325" s="19">
        <v>0</v>
      </c>
      <c r="AN8325" s="19">
        <v>1514560</v>
      </c>
      <c r="AO8325" s="14"/>
      <c r="AP8325" s="14">
        <v>1514560</v>
      </c>
      <c r="AQ8325" s="12">
        <v>1E-4</v>
      </c>
      <c r="AS8325" s="26"/>
    </row>
    <row r="8326" spans="1:45" s="19" customFormat="1" x14ac:dyDescent="0.2">
      <c r="A8326" s="122">
        <f t="shared" si="782"/>
        <v>6895</v>
      </c>
      <c r="B8326" s="13">
        <v>67</v>
      </c>
      <c r="C8326" s="17" t="s">
        <v>65</v>
      </c>
      <c r="D8326" s="17">
        <v>2422</v>
      </c>
      <c r="E8326" s="17">
        <v>181</v>
      </c>
      <c r="F8326" s="17"/>
      <c r="G8326" s="13"/>
      <c r="H8326" s="17">
        <v>1</v>
      </c>
      <c r="I8326" s="17">
        <v>1</v>
      </c>
      <c r="J8326" s="17">
        <v>56</v>
      </c>
      <c r="K8326" s="10">
        <v>556</v>
      </c>
      <c r="L8326" s="17"/>
      <c r="M8326" s="15"/>
      <c r="N8326" s="18"/>
      <c r="O8326" s="14"/>
      <c r="P8326" s="17">
        <v>1</v>
      </c>
      <c r="Q8326" s="19">
        <v>556</v>
      </c>
      <c r="R8326" s="14">
        <v>160</v>
      </c>
      <c r="S8326" s="19">
        <v>88960</v>
      </c>
      <c r="T8326" s="17"/>
      <c r="U8326" s="17"/>
      <c r="V8326" s="17"/>
      <c r="W8326" s="4"/>
      <c r="X8326" s="17"/>
      <c r="Y8326" s="4"/>
      <c r="Z8326" s="17"/>
      <c r="AA8326" s="17"/>
      <c r="AB8326" s="17"/>
      <c r="AC8326" s="14"/>
      <c r="AD8326" s="14"/>
      <c r="AE8326" s="17"/>
      <c r="AF8326" s="14"/>
      <c r="AG8326" s="54"/>
      <c r="AH8326" s="11"/>
      <c r="AI8326" s="14"/>
      <c r="AJ8326" s="19">
        <v>0</v>
      </c>
      <c r="AK8326" s="23">
        <v>0</v>
      </c>
      <c r="AL8326" s="11"/>
      <c r="AM8326" s="19">
        <v>0</v>
      </c>
      <c r="AN8326" s="19">
        <v>88960</v>
      </c>
      <c r="AO8326" s="14"/>
      <c r="AP8326" s="14">
        <v>88960</v>
      </c>
      <c r="AQ8326" s="12">
        <v>1E-4</v>
      </c>
      <c r="AS8326" s="26"/>
    </row>
    <row r="8327" spans="1:45" s="19" customFormat="1" x14ac:dyDescent="0.2">
      <c r="A8327" s="122">
        <f t="shared" si="782"/>
        <v>6896</v>
      </c>
      <c r="B8327" s="13">
        <v>68</v>
      </c>
      <c r="C8327" s="17" t="s">
        <v>65</v>
      </c>
      <c r="D8327" s="17">
        <v>2428</v>
      </c>
      <c r="E8327" s="17">
        <v>182</v>
      </c>
      <c r="F8327" s="17"/>
      <c r="G8327" s="13"/>
      <c r="H8327" s="17">
        <v>15</v>
      </c>
      <c r="I8327" s="17">
        <v>1</v>
      </c>
      <c r="J8327" s="17">
        <v>60</v>
      </c>
      <c r="K8327" s="10">
        <v>6160</v>
      </c>
      <c r="L8327" s="17"/>
      <c r="M8327" s="15"/>
      <c r="N8327" s="18"/>
      <c r="O8327" s="14"/>
      <c r="P8327" s="17">
        <v>1</v>
      </c>
      <c r="Q8327" s="19">
        <v>6160</v>
      </c>
      <c r="R8327" s="14">
        <v>750</v>
      </c>
      <c r="S8327" s="19">
        <v>4620000</v>
      </c>
      <c r="T8327" s="17"/>
      <c r="U8327" s="17"/>
      <c r="V8327" s="17"/>
      <c r="W8327" s="4"/>
      <c r="X8327" s="17"/>
      <c r="Y8327" s="4"/>
      <c r="Z8327" s="17"/>
      <c r="AA8327" s="17"/>
      <c r="AB8327" s="17"/>
      <c r="AC8327" s="14"/>
      <c r="AD8327" s="14"/>
      <c r="AE8327" s="17"/>
      <c r="AF8327" s="14"/>
      <c r="AG8327" s="54"/>
      <c r="AH8327" s="11"/>
      <c r="AI8327" s="14"/>
      <c r="AJ8327" s="19">
        <v>0</v>
      </c>
      <c r="AK8327" s="23">
        <v>0</v>
      </c>
      <c r="AL8327" s="11"/>
      <c r="AM8327" s="19">
        <v>0</v>
      </c>
      <c r="AN8327" s="19">
        <v>4620000</v>
      </c>
      <c r="AO8327" s="14"/>
      <c r="AP8327" s="14">
        <v>4620000</v>
      </c>
      <c r="AQ8327" s="12">
        <v>1E-4</v>
      </c>
      <c r="AS8327" s="26"/>
    </row>
    <row r="8328" spans="1:45" s="19" customFormat="1" x14ac:dyDescent="0.2">
      <c r="A8328" s="122">
        <f t="shared" si="782"/>
        <v>6897</v>
      </c>
      <c r="B8328" s="13">
        <v>69</v>
      </c>
      <c r="C8328" s="17" t="s">
        <v>65</v>
      </c>
      <c r="D8328" s="17">
        <v>2429</v>
      </c>
      <c r="E8328" s="17">
        <v>183</v>
      </c>
      <c r="F8328" s="17"/>
      <c r="G8328" s="13"/>
      <c r="H8328" s="17">
        <v>12</v>
      </c>
      <c r="I8328" s="17">
        <v>0</v>
      </c>
      <c r="J8328" s="17">
        <v>20</v>
      </c>
      <c r="K8328" s="10">
        <v>4820</v>
      </c>
      <c r="L8328" s="17"/>
      <c r="M8328" s="15"/>
      <c r="N8328" s="18"/>
      <c r="O8328" s="14"/>
      <c r="P8328" s="17">
        <v>1</v>
      </c>
      <c r="Q8328" s="19">
        <v>4820</v>
      </c>
      <c r="R8328" s="14">
        <v>160</v>
      </c>
      <c r="S8328" s="19">
        <v>771200</v>
      </c>
      <c r="T8328" s="17"/>
      <c r="U8328" s="17"/>
      <c r="V8328" s="17"/>
      <c r="W8328" s="4"/>
      <c r="X8328" s="17"/>
      <c r="Y8328" s="4"/>
      <c r="Z8328" s="17"/>
      <c r="AA8328" s="17"/>
      <c r="AB8328" s="17"/>
      <c r="AC8328" s="14"/>
      <c r="AD8328" s="14"/>
      <c r="AE8328" s="17"/>
      <c r="AF8328" s="14"/>
      <c r="AG8328" s="54"/>
      <c r="AH8328" s="11"/>
      <c r="AI8328" s="14"/>
      <c r="AJ8328" s="19">
        <v>0</v>
      </c>
      <c r="AK8328" s="23">
        <v>0</v>
      </c>
      <c r="AL8328" s="11"/>
      <c r="AM8328" s="19">
        <v>0</v>
      </c>
      <c r="AN8328" s="19">
        <v>771200</v>
      </c>
      <c r="AO8328" s="14"/>
      <c r="AP8328" s="14">
        <v>771200</v>
      </c>
      <c r="AQ8328" s="12">
        <v>1E-4</v>
      </c>
      <c r="AS8328" s="26"/>
    </row>
    <row r="8329" spans="1:45" s="19" customFormat="1" x14ac:dyDescent="0.2">
      <c r="A8329" s="122">
        <f t="shared" si="782"/>
        <v>6898</v>
      </c>
      <c r="B8329" s="13">
        <v>70</v>
      </c>
      <c r="C8329" s="17" t="s">
        <v>65</v>
      </c>
      <c r="D8329" s="17">
        <v>2444</v>
      </c>
      <c r="E8329" s="17">
        <v>83</v>
      </c>
      <c r="F8329" s="17"/>
      <c r="G8329" s="13"/>
      <c r="H8329" s="17">
        <v>2</v>
      </c>
      <c r="I8329" s="17">
        <v>0</v>
      </c>
      <c r="J8329" s="17">
        <v>80</v>
      </c>
      <c r="K8329" s="10">
        <v>880</v>
      </c>
      <c r="L8329" s="17"/>
      <c r="M8329" s="15"/>
      <c r="N8329" s="18"/>
      <c r="O8329" s="14"/>
      <c r="P8329" s="17">
        <v>1</v>
      </c>
      <c r="Q8329" s="19">
        <v>880</v>
      </c>
      <c r="R8329" s="14">
        <v>160</v>
      </c>
      <c r="S8329" s="19">
        <v>140800</v>
      </c>
      <c r="T8329" s="17"/>
      <c r="U8329" s="17"/>
      <c r="V8329" s="17"/>
      <c r="W8329" s="4"/>
      <c r="X8329" s="17"/>
      <c r="Y8329" s="4"/>
      <c r="Z8329" s="17"/>
      <c r="AA8329" s="17"/>
      <c r="AB8329" s="17"/>
      <c r="AC8329" s="14"/>
      <c r="AD8329" s="14"/>
      <c r="AE8329" s="17"/>
      <c r="AF8329" s="14"/>
      <c r="AG8329" s="54"/>
      <c r="AH8329" s="11"/>
      <c r="AI8329" s="14"/>
      <c r="AJ8329" s="19">
        <v>0</v>
      </c>
      <c r="AK8329" s="23">
        <v>0</v>
      </c>
      <c r="AL8329" s="11"/>
      <c r="AM8329" s="19">
        <v>0</v>
      </c>
      <c r="AN8329" s="19">
        <v>140800</v>
      </c>
      <c r="AO8329" s="14"/>
      <c r="AP8329" s="14">
        <v>140800</v>
      </c>
      <c r="AQ8329" s="12">
        <v>1E-4</v>
      </c>
      <c r="AS8329" s="26"/>
    </row>
    <row r="8330" spans="1:45" s="19" customFormat="1" x14ac:dyDescent="0.2">
      <c r="A8330" s="122">
        <f t="shared" si="782"/>
        <v>6899</v>
      </c>
      <c r="B8330" s="13">
        <v>71</v>
      </c>
      <c r="C8330" s="17" t="s">
        <v>65</v>
      </c>
      <c r="D8330" s="17">
        <v>2448</v>
      </c>
      <c r="E8330" s="17">
        <v>82</v>
      </c>
      <c r="F8330" s="17"/>
      <c r="G8330" s="13"/>
      <c r="H8330" s="17">
        <v>17</v>
      </c>
      <c r="I8330" s="17">
        <v>3</v>
      </c>
      <c r="J8330" s="17">
        <v>46</v>
      </c>
      <c r="K8330" s="10">
        <v>7146</v>
      </c>
      <c r="L8330" s="17"/>
      <c r="M8330" s="15"/>
      <c r="N8330" s="18"/>
      <c r="O8330" s="14"/>
      <c r="P8330" s="17">
        <v>1</v>
      </c>
      <c r="Q8330" s="19">
        <v>7146</v>
      </c>
      <c r="R8330" s="14">
        <v>160</v>
      </c>
      <c r="S8330" s="19">
        <v>1143360</v>
      </c>
      <c r="T8330" s="17"/>
      <c r="U8330" s="17"/>
      <c r="V8330" s="17"/>
      <c r="W8330" s="4"/>
      <c r="X8330" s="17"/>
      <c r="Y8330" s="4"/>
      <c r="Z8330" s="17"/>
      <c r="AA8330" s="17"/>
      <c r="AB8330" s="17"/>
      <c r="AC8330" s="14"/>
      <c r="AD8330" s="14"/>
      <c r="AE8330" s="17"/>
      <c r="AF8330" s="14"/>
      <c r="AG8330" s="54"/>
      <c r="AH8330" s="11"/>
      <c r="AI8330" s="14"/>
      <c r="AJ8330" s="19">
        <v>0</v>
      </c>
      <c r="AK8330" s="23">
        <v>0</v>
      </c>
      <c r="AL8330" s="11"/>
      <c r="AM8330" s="19">
        <v>0</v>
      </c>
      <c r="AN8330" s="19">
        <v>1143360</v>
      </c>
      <c r="AO8330" s="14"/>
      <c r="AP8330" s="14">
        <v>1143360</v>
      </c>
      <c r="AQ8330" s="12">
        <v>1E-4</v>
      </c>
      <c r="AS8330" s="26"/>
    </row>
    <row r="8331" spans="1:45" s="19" customFormat="1" x14ac:dyDescent="0.2">
      <c r="A8331" s="122">
        <f t="shared" si="782"/>
        <v>6900</v>
      </c>
      <c r="B8331" s="13">
        <v>72</v>
      </c>
      <c r="C8331" s="17" t="s">
        <v>65</v>
      </c>
      <c r="D8331" s="17">
        <v>2470</v>
      </c>
      <c r="E8331" s="17">
        <v>127</v>
      </c>
      <c r="F8331" s="17"/>
      <c r="G8331" s="13"/>
      <c r="H8331" s="17">
        <v>70</v>
      </c>
      <c r="I8331" s="17">
        <v>0</v>
      </c>
      <c r="J8331" s="17">
        <v>40</v>
      </c>
      <c r="K8331" s="10">
        <v>28040</v>
      </c>
      <c r="L8331" s="17"/>
      <c r="M8331" s="15"/>
      <c r="N8331" s="18"/>
      <c r="O8331" s="14"/>
      <c r="P8331" s="17">
        <v>1</v>
      </c>
      <c r="Q8331" s="19">
        <v>28040</v>
      </c>
      <c r="R8331" s="14">
        <v>200</v>
      </c>
      <c r="S8331" s="19">
        <v>5608000</v>
      </c>
      <c r="T8331" s="17"/>
      <c r="U8331" s="17"/>
      <c r="V8331" s="17"/>
      <c r="W8331" s="4"/>
      <c r="X8331" s="17"/>
      <c r="Y8331" s="4"/>
      <c r="Z8331" s="17"/>
      <c r="AA8331" s="17"/>
      <c r="AB8331" s="17"/>
      <c r="AC8331" s="14"/>
      <c r="AD8331" s="14"/>
      <c r="AE8331" s="17"/>
      <c r="AF8331" s="14"/>
      <c r="AG8331" s="54"/>
      <c r="AH8331" s="11"/>
      <c r="AI8331" s="14"/>
      <c r="AJ8331" s="19">
        <v>0</v>
      </c>
      <c r="AK8331" s="23">
        <v>0</v>
      </c>
      <c r="AL8331" s="11"/>
      <c r="AM8331" s="19">
        <v>0</v>
      </c>
      <c r="AN8331" s="19">
        <v>5608000</v>
      </c>
      <c r="AO8331" s="14"/>
      <c r="AP8331" s="14">
        <v>5608000</v>
      </c>
      <c r="AQ8331" s="12">
        <v>1E-4</v>
      </c>
      <c r="AS8331" s="26"/>
    </row>
    <row r="8332" spans="1:45" s="19" customFormat="1" x14ac:dyDescent="0.2">
      <c r="A8332" s="122">
        <f t="shared" si="782"/>
        <v>6901</v>
      </c>
      <c r="B8332" s="13">
        <v>73</v>
      </c>
      <c r="C8332" s="17" t="s">
        <v>65</v>
      </c>
      <c r="D8332" s="17">
        <v>2471</v>
      </c>
      <c r="E8332" s="17">
        <v>65</v>
      </c>
      <c r="F8332" s="17"/>
      <c r="G8332" s="13"/>
      <c r="H8332" s="17">
        <v>64</v>
      </c>
      <c r="I8332" s="17">
        <v>1</v>
      </c>
      <c r="J8332" s="17">
        <v>60</v>
      </c>
      <c r="K8332" s="10">
        <v>25760</v>
      </c>
      <c r="L8332" s="17"/>
      <c r="M8332" s="15"/>
      <c r="N8332" s="18"/>
      <c r="O8332" s="14"/>
      <c r="P8332" s="17">
        <v>1</v>
      </c>
      <c r="Q8332" s="19">
        <v>25760</v>
      </c>
      <c r="R8332" s="14">
        <v>160</v>
      </c>
      <c r="S8332" s="19">
        <v>4121600</v>
      </c>
      <c r="T8332" s="17"/>
      <c r="U8332" s="17"/>
      <c r="V8332" s="17"/>
      <c r="W8332" s="4"/>
      <c r="X8332" s="17"/>
      <c r="Y8332" s="4"/>
      <c r="Z8332" s="17"/>
      <c r="AA8332" s="17"/>
      <c r="AB8332" s="17"/>
      <c r="AC8332" s="14"/>
      <c r="AD8332" s="14"/>
      <c r="AE8332" s="17"/>
      <c r="AF8332" s="14"/>
      <c r="AG8332" s="54"/>
      <c r="AH8332" s="11"/>
      <c r="AI8332" s="14"/>
      <c r="AJ8332" s="19">
        <v>0</v>
      </c>
      <c r="AK8332" s="23">
        <v>0</v>
      </c>
      <c r="AL8332" s="11"/>
      <c r="AM8332" s="19">
        <v>0</v>
      </c>
      <c r="AN8332" s="19">
        <v>4121600</v>
      </c>
      <c r="AO8332" s="14"/>
      <c r="AP8332" s="14">
        <v>4121600</v>
      </c>
      <c r="AQ8332" s="12">
        <v>1E-4</v>
      </c>
      <c r="AS8332" s="26"/>
    </row>
    <row r="8333" spans="1:45" s="19" customFormat="1" x14ac:dyDescent="0.2">
      <c r="A8333" s="122">
        <f t="shared" si="782"/>
        <v>6902</v>
      </c>
      <c r="B8333" s="13">
        <v>74</v>
      </c>
      <c r="C8333" s="17" t="s">
        <v>65</v>
      </c>
      <c r="D8333" s="17">
        <v>2472</v>
      </c>
      <c r="E8333" s="17">
        <v>171</v>
      </c>
      <c r="F8333" s="17"/>
      <c r="G8333" s="13"/>
      <c r="H8333" s="17">
        <v>44</v>
      </c>
      <c r="I8333" s="17">
        <v>3</v>
      </c>
      <c r="J8333" s="17">
        <v>6</v>
      </c>
      <c r="K8333" s="10">
        <v>17906</v>
      </c>
      <c r="L8333" s="17"/>
      <c r="M8333" s="15"/>
      <c r="N8333" s="18"/>
      <c r="O8333" s="14"/>
      <c r="P8333" s="17">
        <v>1</v>
      </c>
      <c r="Q8333" s="19">
        <v>17906</v>
      </c>
      <c r="R8333" s="14">
        <v>200</v>
      </c>
      <c r="S8333" s="19">
        <v>3581200</v>
      </c>
      <c r="T8333" s="17"/>
      <c r="U8333" s="17"/>
      <c r="V8333" s="17"/>
      <c r="W8333" s="4"/>
      <c r="X8333" s="17"/>
      <c r="Y8333" s="4"/>
      <c r="Z8333" s="17"/>
      <c r="AA8333" s="17"/>
      <c r="AB8333" s="17"/>
      <c r="AC8333" s="14"/>
      <c r="AD8333" s="14"/>
      <c r="AE8333" s="17"/>
      <c r="AF8333" s="14"/>
      <c r="AG8333" s="54"/>
      <c r="AH8333" s="11"/>
      <c r="AI8333" s="14"/>
      <c r="AJ8333" s="19">
        <v>0</v>
      </c>
      <c r="AK8333" s="23">
        <v>0</v>
      </c>
      <c r="AL8333" s="11"/>
      <c r="AM8333" s="19">
        <v>0</v>
      </c>
      <c r="AN8333" s="19">
        <v>3581200</v>
      </c>
      <c r="AO8333" s="14"/>
      <c r="AP8333" s="14">
        <v>3581200</v>
      </c>
      <c r="AQ8333" s="12">
        <v>1E-4</v>
      </c>
      <c r="AS8333" s="26"/>
    </row>
    <row r="8334" spans="1:45" s="19" customFormat="1" x14ac:dyDescent="0.2">
      <c r="A8334" s="122">
        <f t="shared" si="782"/>
        <v>6903</v>
      </c>
      <c r="B8334" s="13">
        <v>75</v>
      </c>
      <c r="C8334" s="17" t="s">
        <v>65</v>
      </c>
      <c r="D8334" s="17">
        <v>2473</v>
      </c>
      <c r="E8334" s="17">
        <v>111</v>
      </c>
      <c r="F8334" s="17"/>
      <c r="G8334" s="13"/>
      <c r="H8334" s="17">
        <v>37</v>
      </c>
      <c r="I8334" s="17">
        <v>2</v>
      </c>
      <c r="J8334" s="17">
        <v>0</v>
      </c>
      <c r="K8334" s="10">
        <v>15000</v>
      </c>
      <c r="L8334" s="17"/>
      <c r="M8334" s="15"/>
      <c r="N8334" s="18"/>
      <c r="O8334" s="14"/>
      <c r="P8334" s="17">
        <v>1</v>
      </c>
      <c r="Q8334" s="19">
        <v>15000</v>
      </c>
      <c r="R8334" s="14">
        <v>375</v>
      </c>
      <c r="S8334" s="19">
        <v>5625000</v>
      </c>
      <c r="T8334" s="17"/>
      <c r="U8334" s="17"/>
      <c r="V8334" s="17"/>
      <c r="W8334" s="4"/>
      <c r="X8334" s="17"/>
      <c r="Y8334" s="4"/>
      <c r="Z8334" s="17"/>
      <c r="AA8334" s="17"/>
      <c r="AB8334" s="17"/>
      <c r="AC8334" s="14"/>
      <c r="AD8334" s="14"/>
      <c r="AE8334" s="17"/>
      <c r="AF8334" s="14"/>
      <c r="AG8334" s="54"/>
      <c r="AH8334" s="11"/>
      <c r="AI8334" s="14"/>
      <c r="AJ8334" s="19">
        <v>0</v>
      </c>
      <c r="AK8334" s="23">
        <v>0</v>
      </c>
      <c r="AL8334" s="11"/>
      <c r="AM8334" s="19">
        <v>0</v>
      </c>
      <c r="AN8334" s="19">
        <v>5625000</v>
      </c>
      <c r="AO8334" s="14"/>
      <c r="AP8334" s="14">
        <v>5625000</v>
      </c>
      <c r="AQ8334" s="12">
        <v>1E-4</v>
      </c>
      <c r="AS8334" s="26"/>
    </row>
    <row r="8335" spans="1:45" s="19" customFormat="1" x14ac:dyDescent="0.2">
      <c r="A8335" s="122">
        <f t="shared" si="782"/>
        <v>6904</v>
      </c>
      <c r="B8335" s="13">
        <v>76</v>
      </c>
      <c r="C8335" s="17" t="s">
        <v>65</v>
      </c>
      <c r="D8335" s="17">
        <v>2474</v>
      </c>
      <c r="E8335" s="17">
        <v>6</v>
      </c>
      <c r="F8335" s="17"/>
      <c r="G8335" s="13"/>
      <c r="H8335" s="17">
        <v>32</v>
      </c>
      <c r="I8335" s="17">
        <v>0</v>
      </c>
      <c r="J8335" s="17">
        <v>36</v>
      </c>
      <c r="K8335" s="10">
        <v>12836</v>
      </c>
      <c r="L8335" s="17"/>
      <c r="M8335" s="15"/>
      <c r="N8335" s="18"/>
      <c r="O8335" s="14"/>
      <c r="P8335" s="17">
        <v>1</v>
      </c>
      <c r="Q8335" s="19">
        <v>12836</v>
      </c>
      <c r="R8335" s="14">
        <v>160</v>
      </c>
      <c r="S8335" s="19">
        <v>2053760</v>
      </c>
      <c r="T8335" s="17"/>
      <c r="U8335" s="17"/>
      <c r="V8335" s="17"/>
      <c r="W8335" s="4"/>
      <c r="X8335" s="17"/>
      <c r="Y8335" s="4"/>
      <c r="Z8335" s="17"/>
      <c r="AA8335" s="17"/>
      <c r="AB8335" s="17"/>
      <c r="AC8335" s="14"/>
      <c r="AD8335" s="14"/>
      <c r="AE8335" s="17"/>
      <c r="AF8335" s="14"/>
      <c r="AG8335" s="54"/>
      <c r="AH8335" s="11"/>
      <c r="AI8335" s="14"/>
      <c r="AJ8335" s="19">
        <v>0</v>
      </c>
      <c r="AK8335" s="23">
        <v>0</v>
      </c>
      <c r="AL8335" s="11"/>
      <c r="AM8335" s="19">
        <v>0</v>
      </c>
      <c r="AN8335" s="19">
        <v>2053760</v>
      </c>
      <c r="AO8335" s="14"/>
      <c r="AP8335" s="14">
        <v>2053760</v>
      </c>
      <c r="AQ8335" s="12">
        <v>1E-4</v>
      </c>
      <c r="AS8335" s="26"/>
    </row>
    <row r="8336" spans="1:45" s="19" customFormat="1" x14ac:dyDescent="0.2">
      <c r="A8336" s="122">
        <f t="shared" si="782"/>
        <v>6905</v>
      </c>
      <c r="B8336" s="13">
        <v>77</v>
      </c>
      <c r="C8336" s="17" t="s">
        <v>65</v>
      </c>
      <c r="D8336" s="17">
        <v>2475</v>
      </c>
      <c r="E8336" s="17">
        <v>170</v>
      </c>
      <c r="F8336" s="17"/>
      <c r="G8336" s="13"/>
      <c r="H8336" s="17">
        <v>57</v>
      </c>
      <c r="I8336" s="17">
        <v>3</v>
      </c>
      <c r="J8336" s="17">
        <v>66</v>
      </c>
      <c r="K8336" s="10">
        <v>23166</v>
      </c>
      <c r="L8336" s="17"/>
      <c r="M8336" s="15"/>
      <c r="N8336" s="18"/>
      <c r="O8336" s="14"/>
      <c r="P8336" s="17">
        <v>1</v>
      </c>
      <c r="Q8336" s="19">
        <v>23166</v>
      </c>
      <c r="R8336" s="14">
        <v>200</v>
      </c>
      <c r="S8336" s="19">
        <v>4633200</v>
      </c>
      <c r="T8336" s="17"/>
      <c r="U8336" s="17"/>
      <c r="V8336" s="17"/>
      <c r="W8336" s="4"/>
      <c r="X8336" s="17"/>
      <c r="Y8336" s="4"/>
      <c r="Z8336" s="17"/>
      <c r="AA8336" s="17"/>
      <c r="AB8336" s="17"/>
      <c r="AC8336" s="14"/>
      <c r="AD8336" s="14"/>
      <c r="AE8336" s="17"/>
      <c r="AF8336" s="14"/>
      <c r="AG8336" s="54"/>
      <c r="AH8336" s="11"/>
      <c r="AI8336" s="14"/>
      <c r="AJ8336" s="19">
        <v>0</v>
      </c>
      <c r="AK8336" s="23">
        <v>0</v>
      </c>
      <c r="AL8336" s="11"/>
      <c r="AM8336" s="19">
        <v>0</v>
      </c>
      <c r="AN8336" s="19">
        <v>4633200</v>
      </c>
      <c r="AO8336" s="14"/>
      <c r="AP8336" s="14">
        <v>4633200</v>
      </c>
      <c r="AQ8336" s="12">
        <v>1E-4</v>
      </c>
      <c r="AS8336" s="26"/>
    </row>
    <row r="8337" spans="1:45" s="19" customFormat="1" x14ac:dyDescent="0.2">
      <c r="A8337" s="122">
        <f t="shared" si="782"/>
        <v>6906</v>
      </c>
      <c r="B8337" s="13">
        <v>78</v>
      </c>
      <c r="C8337" s="17" t="s">
        <v>65</v>
      </c>
      <c r="D8337" s="17">
        <v>2476</v>
      </c>
      <c r="E8337" s="17">
        <v>64</v>
      </c>
      <c r="F8337" s="17"/>
      <c r="G8337" s="13"/>
      <c r="H8337" s="17">
        <v>97</v>
      </c>
      <c r="I8337" s="17">
        <v>2</v>
      </c>
      <c r="J8337" s="17">
        <v>10</v>
      </c>
      <c r="K8337" s="10">
        <v>39010</v>
      </c>
      <c r="L8337" s="17"/>
      <c r="M8337" s="15"/>
      <c r="N8337" s="18"/>
      <c r="O8337" s="14"/>
      <c r="P8337" s="17">
        <v>1</v>
      </c>
      <c r="Q8337" s="19">
        <v>39010</v>
      </c>
      <c r="R8337" s="14">
        <v>160</v>
      </c>
      <c r="S8337" s="19">
        <v>6241600</v>
      </c>
      <c r="T8337" s="17"/>
      <c r="U8337" s="17"/>
      <c r="V8337" s="17"/>
      <c r="W8337" s="4"/>
      <c r="X8337" s="17"/>
      <c r="Y8337" s="4"/>
      <c r="Z8337" s="17"/>
      <c r="AA8337" s="17"/>
      <c r="AB8337" s="17"/>
      <c r="AC8337" s="14"/>
      <c r="AD8337" s="14"/>
      <c r="AE8337" s="17"/>
      <c r="AF8337" s="14"/>
      <c r="AG8337" s="54"/>
      <c r="AH8337" s="11"/>
      <c r="AI8337" s="14"/>
      <c r="AJ8337" s="19">
        <v>0</v>
      </c>
      <c r="AK8337" s="23">
        <v>0</v>
      </c>
      <c r="AL8337" s="11"/>
      <c r="AM8337" s="19">
        <v>0</v>
      </c>
      <c r="AN8337" s="19">
        <v>6241600</v>
      </c>
      <c r="AO8337" s="14"/>
      <c r="AP8337" s="14">
        <v>6241600</v>
      </c>
      <c r="AQ8337" s="12">
        <v>1E-4</v>
      </c>
      <c r="AS8337" s="26"/>
    </row>
    <row r="8338" spans="1:45" s="19" customFormat="1" x14ac:dyDescent="0.2">
      <c r="A8338" s="122">
        <f t="shared" si="782"/>
        <v>6907</v>
      </c>
      <c r="B8338" s="13">
        <v>79</v>
      </c>
      <c r="C8338" s="17" t="s">
        <v>65</v>
      </c>
      <c r="D8338" s="17">
        <v>2477</v>
      </c>
      <c r="E8338" s="17">
        <v>105</v>
      </c>
      <c r="F8338" s="17"/>
      <c r="G8338" s="13"/>
      <c r="H8338" s="17">
        <v>64</v>
      </c>
      <c r="I8338" s="17">
        <v>0</v>
      </c>
      <c r="J8338" s="17">
        <v>40</v>
      </c>
      <c r="K8338" s="10">
        <v>25640</v>
      </c>
      <c r="L8338" s="17"/>
      <c r="M8338" s="15"/>
      <c r="N8338" s="18"/>
      <c r="O8338" s="14"/>
      <c r="P8338" s="17">
        <v>1</v>
      </c>
      <c r="Q8338" s="19">
        <v>25640</v>
      </c>
      <c r="R8338" s="14">
        <v>160</v>
      </c>
      <c r="S8338" s="19">
        <v>4102400</v>
      </c>
      <c r="T8338" s="17"/>
      <c r="U8338" s="17"/>
      <c r="V8338" s="17"/>
      <c r="W8338" s="4"/>
      <c r="X8338" s="17"/>
      <c r="Y8338" s="4"/>
      <c r="Z8338" s="17"/>
      <c r="AA8338" s="17"/>
      <c r="AB8338" s="17"/>
      <c r="AC8338" s="14"/>
      <c r="AD8338" s="14"/>
      <c r="AE8338" s="17"/>
      <c r="AF8338" s="14"/>
      <c r="AG8338" s="54"/>
      <c r="AH8338" s="11"/>
      <c r="AI8338" s="14"/>
      <c r="AJ8338" s="19">
        <v>0</v>
      </c>
      <c r="AK8338" s="23">
        <v>0</v>
      </c>
      <c r="AL8338" s="11"/>
      <c r="AM8338" s="19">
        <v>0</v>
      </c>
      <c r="AN8338" s="19">
        <v>4102400</v>
      </c>
      <c r="AO8338" s="14"/>
      <c r="AP8338" s="14">
        <v>4102400</v>
      </c>
      <c r="AQ8338" s="12">
        <v>1E-4</v>
      </c>
      <c r="AS8338" s="26"/>
    </row>
    <row r="8339" spans="1:45" s="19" customFormat="1" x14ac:dyDescent="0.2">
      <c r="A8339" s="122">
        <f t="shared" si="782"/>
        <v>6908</v>
      </c>
      <c r="B8339" s="13">
        <v>80</v>
      </c>
      <c r="C8339" s="17" t="s">
        <v>65</v>
      </c>
      <c r="D8339" s="17">
        <v>2478</v>
      </c>
      <c r="E8339" s="17">
        <v>63</v>
      </c>
      <c r="F8339" s="17"/>
      <c r="G8339" s="13"/>
      <c r="H8339" s="17">
        <v>23</v>
      </c>
      <c r="I8339" s="17">
        <v>2</v>
      </c>
      <c r="J8339" s="17">
        <v>40</v>
      </c>
      <c r="K8339" s="10">
        <v>9440</v>
      </c>
      <c r="L8339" s="17"/>
      <c r="M8339" s="15"/>
      <c r="N8339" s="18"/>
      <c r="O8339" s="14"/>
      <c r="P8339" s="17">
        <v>1</v>
      </c>
      <c r="Q8339" s="19">
        <v>9440</v>
      </c>
      <c r="R8339" s="14">
        <v>200</v>
      </c>
      <c r="S8339" s="19">
        <v>1888000</v>
      </c>
      <c r="T8339" s="17"/>
      <c r="U8339" s="17"/>
      <c r="V8339" s="17"/>
      <c r="W8339" s="4"/>
      <c r="X8339" s="17"/>
      <c r="Y8339" s="4"/>
      <c r="Z8339" s="17"/>
      <c r="AA8339" s="17"/>
      <c r="AB8339" s="17"/>
      <c r="AC8339" s="14"/>
      <c r="AD8339" s="14"/>
      <c r="AE8339" s="17"/>
      <c r="AF8339" s="14"/>
      <c r="AG8339" s="54"/>
      <c r="AH8339" s="11"/>
      <c r="AI8339" s="14"/>
      <c r="AJ8339" s="19">
        <v>0</v>
      </c>
      <c r="AK8339" s="23">
        <v>0</v>
      </c>
      <c r="AL8339" s="11"/>
      <c r="AM8339" s="19">
        <v>0</v>
      </c>
      <c r="AN8339" s="19">
        <v>1888000</v>
      </c>
      <c r="AO8339" s="14"/>
      <c r="AP8339" s="14">
        <v>1888000</v>
      </c>
      <c r="AQ8339" s="12">
        <v>1E-4</v>
      </c>
      <c r="AS8339" s="26"/>
    </row>
    <row r="8340" spans="1:45" s="19" customFormat="1" x14ac:dyDescent="0.2">
      <c r="A8340" s="122">
        <f t="shared" si="782"/>
        <v>6909</v>
      </c>
      <c r="B8340" s="13">
        <v>81</v>
      </c>
      <c r="C8340" s="17" t="s">
        <v>65</v>
      </c>
      <c r="D8340" s="17">
        <v>2479</v>
      </c>
      <c r="E8340" s="17">
        <v>66</v>
      </c>
      <c r="F8340" s="17"/>
      <c r="G8340" s="13"/>
      <c r="H8340" s="17">
        <v>81</v>
      </c>
      <c r="I8340" s="17">
        <v>3</v>
      </c>
      <c r="J8340" s="17">
        <v>36</v>
      </c>
      <c r="K8340" s="10">
        <v>32736</v>
      </c>
      <c r="L8340" s="17"/>
      <c r="M8340" s="15"/>
      <c r="N8340" s="18"/>
      <c r="O8340" s="14"/>
      <c r="P8340" s="17">
        <v>1</v>
      </c>
      <c r="Q8340" s="19">
        <v>32736</v>
      </c>
      <c r="R8340" s="14">
        <v>160</v>
      </c>
      <c r="S8340" s="19">
        <v>5237760</v>
      </c>
      <c r="T8340" s="17"/>
      <c r="U8340" s="17"/>
      <c r="V8340" s="17"/>
      <c r="W8340" s="4"/>
      <c r="X8340" s="17"/>
      <c r="Y8340" s="4"/>
      <c r="Z8340" s="17"/>
      <c r="AA8340" s="17"/>
      <c r="AB8340" s="17"/>
      <c r="AC8340" s="14"/>
      <c r="AD8340" s="14"/>
      <c r="AE8340" s="17"/>
      <c r="AF8340" s="14"/>
      <c r="AG8340" s="54"/>
      <c r="AH8340" s="11"/>
      <c r="AI8340" s="14"/>
      <c r="AJ8340" s="19">
        <v>0</v>
      </c>
      <c r="AK8340" s="23">
        <v>0</v>
      </c>
      <c r="AL8340" s="11"/>
      <c r="AM8340" s="19">
        <v>0</v>
      </c>
      <c r="AN8340" s="19">
        <v>5237760</v>
      </c>
      <c r="AO8340" s="14"/>
      <c r="AP8340" s="14">
        <v>5237760</v>
      </c>
      <c r="AQ8340" s="12">
        <v>1E-4</v>
      </c>
      <c r="AS8340" s="26"/>
    </row>
    <row r="8341" spans="1:45" s="19" customFormat="1" x14ac:dyDescent="0.2">
      <c r="A8341" s="122">
        <f t="shared" si="782"/>
        <v>6910</v>
      </c>
      <c r="B8341" s="13">
        <v>82</v>
      </c>
      <c r="C8341" s="17" t="s">
        <v>65</v>
      </c>
      <c r="D8341" s="17">
        <v>2489</v>
      </c>
      <c r="E8341" s="17">
        <v>32</v>
      </c>
      <c r="F8341" s="17"/>
      <c r="G8341" s="13"/>
      <c r="H8341" s="17">
        <v>7</v>
      </c>
      <c r="I8341" s="17">
        <v>3</v>
      </c>
      <c r="J8341" s="17">
        <v>70</v>
      </c>
      <c r="K8341" s="10">
        <v>3170</v>
      </c>
      <c r="L8341" s="17"/>
      <c r="M8341" s="15"/>
      <c r="N8341" s="18"/>
      <c r="O8341" s="14"/>
      <c r="P8341" s="17">
        <v>1</v>
      </c>
      <c r="Q8341" s="19">
        <v>3170</v>
      </c>
      <c r="R8341" s="14">
        <v>160</v>
      </c>
      <c r="S8341" s="19">
        <v>507200</v>
      </c>
      <c r="T8341" s="17"/>
      <c r="U8341" s="17"/>
      <c r="V8341" s="17"/>
      <c r="W8341" s="4"/>
      <c r="X8341" s="17"/>
      <c r="Y8341" s="4"/>
      <c r="Z8341" s="17"/>
      <c r="AA8341" s="17"/>
      <c r="AB8341" s="17"/>
      <c r="AC8341" s="14"/>
      <c r="AD8341" s="14"/>
      <c r="AE8341" s="17"/>
      <c r="AF8341" s="14"/>
      <c r="AG8341" s="54"/>
      <c r="AH8341" s="11"/>
      <c r="AI8341" s="14"/>
      <c r="AJ8341" s="19">
        <v>0</v>
      </c>
      <c r="AK8341" s="23">
        <v>0</v>
      </c>
      <c r="AL8341" s="11"/>
      <c r="AM8341" s="19">
        <v>0</v>
      </c>
      <c r="AN8341" s="19">
        <v>507200</v>
      </c>
      <c r="AO8341" s="14"/>
      <c r="AP8341" s="14">
        <v>507200</v>
      </c>
      <c r="AQ8341" s="12">
        <v>1E-4</v>
      </c>
      <c r="AS8341" s="26"/>
    </row>
    <row r="8342" spans="1:45" s="19" customFormat="1" x14ac:dyDescent="0.2">
      <c r="A8342" s="122">
        <f t="shared" si="782"/>
        <v>6911</v>
      </c>
      <c r="B8342" s="13">
        <v>83</v>
      </c>
      <c r="C8342" s="17" t="s">
        <v>65</v>
      </c>
      <c r="D8342" s="17">
        <v>2490</v>
      </c>
      <c r="E8342" s="17">
        <v>187</v>
      </c>
      <c r="F8342" s="17"/>
      <c r="G8342" s="13"/>
      <c r="H8342" s="17">
        <v>4</v>
      </c>
      <c r="I8342" s="17">
        <v>2</v>
      </c>
      <c r="J8342" s="17">
        <v>5</v>
      </c>
      <c r="K8342" s="10">
        <v>1805</v>
      </c>
      <c r="L8342" s="17"/>
      <c r="M8342" s="15"/>
      <c r="N8342" s="18"/>
      <c r="O8342" s="14"/>
      <c r="P8342" s="17">
        <v>1</v>
      </c>
      <c r="Q8342" s="19">
        <v>1805</v>
      </c>
      <c r="R8342" s="14">
        <v>160</v>
      </c>
      <c r="S8342" s="19">
        <v>288800</v>
      </c>
      <c r="T8342" s="17"/>
      <c r="U8342" s="17"/>
      <c r="V8342" s="17"/>
      <c r="W8342" s="4"/>
      <c r="X8342" s="17"/>
      <c r="Y8342" s="4"/>
      <c r="Z8342" s="17"/>
      <c r="AA8342" s="17"/>
      <c r="AB8342" s="17"/>
      <c r="AC8342" s="14"/>
      <c r="AD8342" s="14"/>
      <c r="AE8342" s="17"/>
      <c r="AF8342" s="14"/>
      <c r="AG8342" s="54"/>
      <c r="AH8342" s="11"/>
      <c r="AI8342" s="14"/>
      <c r="AJ8342" s="19">
        <v>0</v>
      </c>
      <c r="AK8342" s="23">
        <v>0</v>
      </c>
      <c r="AL8342" s="11"/>
      <c r="AM8342" s="19">
        <v>0</v>
      </c>
      <c r="AN8342" s="19">
        <v>288800</v>
      </c>
      <c r="AO8342" s="14"/>
      <c r="AP8342" s="14">
        <v>288800</v>
      </c>
      <c r="AQ8342" s="12">
        <v>1E-4</v>
      </c>
      <c r="AS8342" s="26"/>
    </row>
    <row r="8343" spans="1:45" s="19" customFormat="1" x14ac:dyDescent="0.2">
      <c r="A8343" s="122">
        <f t="shared" si="782"/>
        <v>6912</v>
      </c>
      <c r="B8343" s="13">
        <v>84</v>
      </c>
      <c r="C8343" s="17" t="s">
        <v>65</v>
      </c>
      <c r="D8343" s="17">
        <v>2491</v>
      </c>
      <c r="E8343" s="17">
        <v>33</v>
      </c>
      <c r="F8343" s="17"/>
      <c r="G8343" s="13"/>
      <c r="H8343" s="17">
        <v>11</v>
      </c>
      <c r="I8343" s="17">
        <v>1</v>
      </c>
      <c r="J8343" s="17">
        <v>20</v>
      </c>
      <c r="K8343" s="10">
        <v>4520</v>
      </c>
      <c r="L8343" s="17"/>
      <c r="M8343" s="15"/>
      <c r="N8343" s="18"/>
      <c r="O8343" s="14"/>
      <c r="P8343" s="17">
        <v>1</v>
      </c>
      <c r="Q8343" s="19">
        <v>4520</v>
      </c>
      <c r="R8343" s="14">
        <v>160</v>
      </c>
      <c r="S8343" s="19">
        <v>723200</v>
      </c>
      <c r="T8343" s="17"/>
      <c r="U8343" s="17"/>
      <c r="V8343" s="17"/>
      <c r="W8343" s="4"/>
      <c r="X8343" s="17"/>
      <c r="Y8343" s="4"/>
      <c r="Z8343" s="17"/>
      <c r="AA8343" s="17"/>
      <c r="AB8343" s="17"/>
      <c r="AC8343" s="14"/>
      <c r="AD8343" s="14"/>
      <c r="AE8343" s="17"/>
      <c r="AF8343" s="14"/>
      <c r="AG8343" s="54"/>
      <c r="AH8343" s="11"/>
      <c r="AI8343" s="14"/>
      <c r="AJ8343" s="19">
        <v>0</v>
      </c>
      <c r="AK8343" s="23">
        <v>0</v>
      </c>
      <c r="AL8343" s="11"/>
      <c r="AM8343" s="19">
        <v>0</v>
      </c>
      <c r="AN8343" s="19">
        <v>723200</v>
      </c>
      <c r="AO8343" s="14"/>
      <c r="AP8343" s="14">
        <v>723200</v>
      </c>
      <c r="AQ8343" s="12">
        <v>1E-4</v>
      </c>
      <c r="AS8343" s="26"/>
    </row>
    <row r="8344" spans="1:45" s="19" customFormat="1" x14ac:dyDescent="0.2">
      <c r="A8344" s="122">
        <f t="shared" si="782"/>
        <v>6913</v>
      </c>
      <c r="B8344" s="13">
        <v>85</v>
      </c>
      <c r="C8344" s="17" t="s">
        <v>65</v>
      </c>
      <c r="D8344" s="17">
        <v>2492</v>
      </c>
      <c r="E8344" s="17">
        <v>34</v>
      </c>
      <c r="F8344" s="17"/>
      <c r="G8344" s="13"/>
      <c r="H8344" s="17">
        <v>21</v>
      </c>
      <c r="I8344" s="17">
        <v>0</v>
      </c>
      <c r="J8344" s="17">
        <v>20</v>
      </c>
      <c r="K8344" s="10">
        <v>8420</v>
      </c>
      <c r="L8344" s="17"/>
      <c r="M8344" s="15"/>
      <c r="N8344" s="18"/>
      <c r="O8344" s="14"/>
      <c r="P8344" s="17">
        <v>1</v>
      </c>
      <c r="Q8344" s="19">
        <v>8420</v>
      </c>
      <c r="R8344" s="14">
        <v>160</v>
      </c>
      <c r="S8344" s="19">
        <v>1347200</v>
      </c>
      <c r="T8344" s="17"/>
      <c r="U8344" s="17"/>
      <c r="V8344" s="17"/>
      <c r="W8344" s="4"/>
      <c r="X8344" s="17"/>
      <c r="Y8344" s="4"/>
      <c r="Z8344" s="17"/>
      <c r="AA8344" s="17"/>
      <c r="AB8344" s="17"/>
      <c r="AC8344" s="14"/>
      <c r="AD8344" s="14"/>
      <c r="AE8344" s="17"/>
      <c r="AF8344" s="14"/>
      <c r="AG8344" s="54"/>
      <c r="AH8344" s="11"/>
      <c r="AI8344" s="14"/>
      <c r="AJ8344" s="19">
        <v>0</v>
      </c>
      <c r="AK8344" s="23">
        <v>0</v>
      </c>
      <c r="AL8344" s="11"/>
      <c r="AM8344" s="19">
        <v>0</v>
      </c>
      <c r="AN8344" s="19">
        <v>1347200</v>
      </c>
      <c r="AO8344" s="14"/>
      <c r="AP8344" s="14">
        <v>1347200</v>
      </c>
      <c r="AQ8344" s="12">
        <v>1E-4</v>
      </c>
      <c r="AS8344" s="26"/>
    </row>
    <row r="8345" spans="1:45" s="19" customFormat="1" x14ac:dyDescent="0.2">
      <c r="A8345" s="122">
        <f t="shared" si="782"/>
        <v>6914</v>
      </c>
      <c r="B8345" s="13">
        <v>86</v>
      </c>
      <c r="C8345" s="17" t="s">
        <v>65</v>
      </c>
      <c r="D8345" s="17">
        <v>2493</v>
      </c>
      <c r="E8345" s="17">
        <v>185</v>
      </c>
      <c r="F8345" s="17"/>
      <c r="G8345" s="13"/>
      <c r="H8345" s="17">
        <v>22</v>
      </c>
      <c r="I8345" s="17">
        <v>2</v>
      </c>
      <c r="J8345" s="17">
        <v>80</v>
      </c>
      <c r="K8345" s="10">
        <v>9080</v>
      </c>
      <c r="L8345" s="17"/>
      <c r="M8345" s="15"/>
      <c r="N8345" s="18"/>
      <c r="O8345" s="14"/>
      <c r="P8345" s="17">
        <v>1</v>
      </c>
      <c r="Q8345" s="19">
        <v>9080</v>
      </c>
      <c r="R8345" s="14">
        <v>200</v>
      </c>
      <c r="S8345" s="19">
        <v>1816000</v>
      </c>
      <c r="T8345" s="17"/>
      <c r="U8345" s="17"/>
      <c r="V8345" s="17"/>
      <c r="W8345" s="4"/>
      <c r="X8345" s="17"/>
      <c r="Y8345" s="4"/>
      <c r="Z8345" s="17"/>
      <c r="AA8345" s="17"/>
      <c r="AB8345" s="17"/>
      <c r="AC8345" s="14"/>
      <c r="AD8345" s="14"/>
      <c r="AE8345" s="17"/>
      <c r="AF8345" s="14"/>
      <c r="AG8345" s="54"/>
      <c r="AH8345" s="11"/>
      <c r="AI8345" s="14"/>
      <c r="AJ8345" s="19">
        <v>0</v>
      </c>
      <c r="AK8345" s="23">
        <v>0</v>
      </c>
      <c r="AL8345" s="11"/>
      <c r="AM8345" s="19">
        <v>0</v>
      </c>
      <c r="AN8345" s="19">
        <v>1816000</v>
      </c>
      <c r="AO8345" s="14"/>
      <c r="AP8345" s="14">
        <v>1816000</v>
      </c>
      <c r="AQ8345" s="12">
        <v>1E-4</v>
      </c>
      <c r="AS8345" s="26"/>
    </row>
    <row r="8346" spans="1:45" s="19" customFormat="1" x14ac:dyDescent="0.2">
      <c r="A8346" s="122">
        <f t="shared" si="782"/>
        <v>6915</v>
      </c>
      <c r="B8346" s="13">
        <v>87</v>
      </c>
      <c r="C8346" s="17" t="s">
        <v>65</v>
      </c>
      <c r="D8346" s="17">
        <v>2494</v>
      </c>
      <c r="E8346" s="17">
        <v>31</v>
      </c>
      <c r="F8346" s="17"/>
      <c r="G8346" s="13"/>
      <c r="H8346" s="17">
        <v>24</v>
      </c>
      <c r="I8346" s="17">
        <v>0</v>
      </c>
      <c r="J8346" s="17">
        <v>0</v>
      </c>
      <c r="K8346" s="10">
        <v>9600</v>
      </c>
      <c r="L8346" s="17"/>
      <c r="M8346" s="15"/>
      <c r="N8346" s="18"/>
      <c r="O8346" s="14"/>
      <c r="P8346" s="17">
        <v>1</v>
      </c>
      <c r="Q8346" s="19">
        <v>9600</v>
      </c>
      <c r="R8346" s="14">
        <v>160</v>
      </c>
      <c r="S8346" s="19">
        <v>1536000</v>
      </c>
      <c r="T8346" s="17"/>
      <c r="U8346" s="17"/>
      <c r="V8346" s="17"/>
      <c r="W8346" s="4"/>
      <c r="X8346" s="17"/>
      <c r="Y8346" s="4"/>
      <c r="Z8346" s="17"/>
      <c r="AA8346" s="17"/>
      <c r="AB8346" s="17"/>
      <c r="AC8346" s="14"/>
      <c r="AD8346" s="14"/>
      <c r="AE8346" s="17"/>
      <c r="AF8346" s="14"/>
      <c r="AG8346" s="54"/>
      <c r="AH8346" s="11"/>
      <c r="AI8346" s="14"/>
      <c r="AJ8346" s="19">
        <v>0</v>
      </c>
      <c r="AK8346" s="23">
        <v>0</v>
      </c>
      <c r="AL8346" s="11"/>
      <c r="AM8346" s="19">
        <v>0</v>
      </c>
      <c r="AN8346" s="19">
        <v>1536000</v>
      </c>
      <c r="AO8346" s="14"/>
      <c r="AP8346" s="14">
        <v>1536000</v>
      </c>
      <c r="AQ8346" s="12">
        <v>1E-4</v>
      </c>
      <c r="AS8346" s="26"/>
    </row>
    <row r="8347" spans="1:45" s="19" customFormat="1" x14ac:dyDescent="0.2">
      <c r="A8347" s="122">
        <f t="shared" si="782"/>
        <v>6916</v>
      </c>
      <c r="B8347" s="13">
        <v>88</v>
      </c>
      <c r="C8347" s="17" t="s">
        <v>65</v>
      </c>
      <c r="D8347" s="17">
        <v>1294</v>
      </c>
      <c r="E8347" s="17">
        <v>8</v>
      </c>
      <c r="F8347" s="17"/>
      <c r="G8347" s="13"/>
      <c r="H8347" s="17">
        <v>15</v>
      </c>
      <c r="I8347" s="17">
        <v>2</v>
      </c>
      <c r="J8347" s="17">
        <v>46</v>
      </c>
      <c r="K8347" s="10">
        <v>6246</v>
      </c>
      <c r="L8347" s="17"/>
      <c r="M8347" s="15"/>
      <c r="N8347" s="18"/>
      <c r="O8347" s="14"/>
      <c r="P8347" s="17">
        <v>1</v>
      </c>
      <c r="Q8347" s="19">
        <v>6246</v>
      </c>
      <c r="R8347" s="14">
        <v>160</v>
      </c>
      <c r="S8347" s="19">
        <v>999360</v>
      </c>
      <c r="T8347" s="17"/>
      <c r="U8347" s="17"/>
      <c r="V8347" s="17"/>
      <c r="W8347" s="4"/>
      <c r="X8347" s="17"/>
      <c r="Y8347" s="4"/>
      <c r="Z8347" s="17"/>
      <c r="AA8347" s="17"/>
      <c r="AB8347" s="17"/>
      <c r="AC8347" s="14"/>
      <c r="AD8347" s="14"/>
      <c r="AE8347" s="17"/>
      <c r="AF8347" s="14"/>
      <c r="AG8347" s="54"/>
      <c r="AH8347" s="11"/>
      <c r="AI8347" s="14"/>
      <c r="AJ8347" s="19">
        <v>0</v>
      </c>
      <c r="AK8347" s="23">
        <v>0</v>
      </c>
      <c r="AL8347" s="11"/>
      <c r="AM8347" s="19">
        <v>0</v>
      </c>
      <c r="AN8347" s="19">
        <v>999360</v>
      </c>
      <c r="AO8347" s="14"/>
      <c r="AP8347" s="14">
        <v>999360</v>
      </c>
      <c r="AQ8347" s="12">
        <v>1E-4</v>
      </c>
      <c r="AS8347" s="26"/>
    </row>
    <row r="8348" spans="1:45" s="19" customFormat="1" x14ac:dyDescent="0.2">
      <c r="A8348" s="122">
        <f t="shared" si="782"/>
        <v>6917</v>
      </c>
      <c r="B8348" s="13">
        <v>89</v>
      </c>
      <c r="C8348" s="17" t="s">
        <v>65</v>
      </c>
      <c r="D8348" s="17">
        <v>1682</v>
      </c>
      <c r="E8348" s="17">
        <v>2</v>
      </c>
      <c r="F8348" s="17"/>
      <c r="G8348" s="13"/>
      <c r="H8348" s="17">
        <v>11</v>
      </c>
      <c r="I8348" s="17">
        <v>1</v>
      </c>
      <c r="J8348" s="17">
        <v>63</v>
      </c>
      <c r="K8348" s="10">
        <v>4563</v>
      </c>
      <c r="L8348" s="17"/>
      <c r="M8348" s="15"/>
      <c r="N8348" s="18"/>
      <c r="O8348" s="14"/>
      <c r="P8348" s="17">
        <v>1</v>
      </c>
      <c r="Q8348" s="19">
        <v>4563</v>
      </c>
      <c r="R8348" s="14">
        <v>200</v>
      </c>
      <c r="S8348" s="19">
        <v>912600</v>
      </c>
      <c r="T8348" s="17"/>
      <c r="U8348" s="17"/>
      <c r="V8348" s="17"/>
      <c r="W8348" s="4"/>
      <c r="X8348" s="17"/>
      <c r="Y8348" s="4"/>
      <c r="Z8348" s="17"/>
      <c r="AA8348" s="17"/>
      <c r="AB8348" s="17"/>
      <c r="AC8348" s="14"/>
      <c r="AD8348" s="14"/>
      <c r="AE8348" s="17"/>
      <c r="AF8348" s="14"/>
      <c r="AG8348" s="54"/>
      <c r="AH8348" s="11"/>
      <c r="AI8348" s="14"/>
      <c r="AJ8348" s="19">
        <v>0</v>
      </c>
      <c r="AK8348" s="23">
        <v>0</v>
      </c>
      <c r="AL8348" s="11"/>
      <c r="AM8348" s="19">
        <v>0</v>
      </c>
      <c r="AN8348" s="19">
        <v>912600</v>
      </c>
      <c r="AO8348" s="14"/>
      <c r="AP8348" s="14">
        <v>912600</v>
      </c>
      <c r="AQ8348" s="12">
        <v>1E-4</v>
      </c>
      <c r="AS8348" s="26"/>
    </row>
    <row r="8349" spans="1:45" s="19" customFormat="1" x14ac:dyDescent="0.2">
      <c r="A8349" s="122">
        <f t="shared" si="782"/>
        <v>6918</v>
      </c>
      <c r="B8349" s="13">
        <v>90</v>
      </c>
      <c r="C8349" s="17" t="s">
        <v>65</v>
      </c>
      <c r="D8349" s="17">
        <v>2205</v>
      </c>
      <c r="E8349" s="17">
        <v>48</v>
      </c>
      <c r="F8349" s="17"/>
      <c r="G8349" s="13"/>
      <c r="H8349" s="17">
        <v>16</v>
      </c>
      <c r="I8349" s="17">
        <v>3</v>
      </c>
      <c r="J8349" s="17">
        <v>35</v>
      </c>
      <c r="K8349" s="10">
        <v>6735</v>
      </c>
      <c r="L8349" s="17"/>
      <c r="M8349" s="15"/>
      <c r="N8349" s="18"/>
      <c r="O8349" s="14"/>
      <c r="P8349" s="17">
        <v>1</v>
      </c>
      <c r="Q8349" s="19">
        <v>6735</v>
      </c>
      <c r="R8349" s="14">
        <v>160</v>
      </c>
      <c r="S8349" s="19">
        <v>1077600</v>
      </c>
      <c r="T8349" s="17"/>
      <c r="U8349" s="17"/>
      <c r="V8349" s="17"/>
      <c r="W8349" s="4"/>
      <c r="X8349" s="17"/>
      <c r="Y8349" s="4"/>
      <c r="Z8349" s="17"/>
      <c r="AA8349" s="17"/>
      <c r="AB8349" s="17"/>
      <c r="AC8349" s="14"/>
      <c r="AD8349" s="14"/>
      <c r="AE8349" s="17"/>
      <c r="AF8349" s="14"/>
      <c r="AG8349" s="54"/>
      <c r="AH8349" s="11"/>
      <c r="AI8349" s="14"/>
      <c r="AJ8349" s="19">
        <v>0</v>
      </c>
      <c r="AK8349" s="23">
        <v>0</v>
      </c>
      <c r="AL8349" s="11"/>
      <c r="AM8349" s="19">
        <v>0</v>
      </c>
      <c r="AN8349" s="19">
        <v>1077600</v>
      </c>
      <c r="AO8349" s="14"/>
      <c r="AP8349" s="14">
        <v>1077600</v>
      </c>
      <c r="AQ8349" s="12">
        <v>1E-4</v>
      </c>
      <c r="AS8349" s="26"/>
    </row>
    <row r="8350" spans="1:45" s="19" customFormat="1" x14ac:dyDescent="0.2">
      <c r="A8350" s="122">
        <f t="shared" si="782"/>
        <v>6919</v>
      </c>
      <c r="B8350" s="13">
        <v>91</v>
      </c>
      <c r="C8350" s="17" t="s">
        <v>97</v>
      </c>
      <c r="D8350" s="17">
        <v>113</v>
      </c>
      <c r="E8350" s="17"/>
      <c r="F8350" s="17"/>
      <c r="G8350" s="13">
        <v>6</v>
      </c>
      <c r="H8350" s="17">
        <v>20</v>
      </c>
      <c r="I8350" s="17">
        <v>1</v>
      </c>
      <c r="J8350" s="17">
        <v>0</v>
      </c>
      <c r="K8350" s="10">
        <v>8100</v>
      </c>
      <c r="L8350" s="17"/>
      <c r="M8350" s="15"/>
      <c r="N8350" s="18"/>
      <c r="O8350" s="14"/>
      <c r="P8350" s="17">
        <v>1</v>
      </c>
      <c r="Q8350" s="19">
        <v>8100</v>
      </c>
      <c r="R8350" s="14">
        <v>160</v>
      </c>
      <c r="S8350" s="19">
        <v>1296000</v>
      </c>
      <c r="T8350" s="17"/>
      <c r="U8350" s="17"/>
      <c r="V8350" s="17"/>
      <c r="W8350" s="4"/>
      <c r="X8350" s="17"/>
      <c r="Y8350" s="4"/>
      <c r="Z8350" s="17"/>
      <c r="AA8350" s="17"/>
      <c r="AB8350" s="17"/>
      <c r="AC8350" s="14"/>
      <c r="AD8350" s="14"/>
      <c r="AE8350" s="17"/>
      <c r="AF8350" s="14"/>
      <c r="AG8350" s="54"/>
      <c r="AH8350" s="11"/>
      <c r="AI8350" s="14"/>
      <c r="AJ8350" s="19">
        <v>0</v>
      </c>
      <c r="AK8350" s="23">
        <v>0</v>
      </c>
      <c r="AL8350" s="11"/>
      <c r="AM8350" s="19">
        <v>0</v>
      </c>
      <c r="AN8350" s="19">
        <v>1296000</v>
      </c>
      <c r="AO8350" s="14"/>
      <c r="AP8350" s="14">
        <v>1296000</v>
      </c>
      <c r="AQ8350" s="12">
        <v>1E-4</v>
      </c>
      <c r="AS8350" s="26"/>
    </row>
    <row r="8351" spans="1:45" s="19" customFormat="1" x14ac:dyDescent="0.2">
      <c r="A8351" s="122">
        <f t="shared" si="782"/>
        <v>6920</v>
      </c>
      <c r="B8351" s="13">
        <v>92</v>
      </c>
      <c r="C8351" s="17" t="s">
        <v>65</v>
      </c>
      <c r="D8351" s="17">
        <v>702</v>
      </c>
      <c r="E8351" s="17">
        <v>21</v>
      </c>
      <c r="F8351" s="17"/>
      <c r="G8351" s="13"/>
      <c r="H8351" s="17">
        <v>11</v>
      </c>
      <c r="I8351" s="17">
        <v>3</v>
      </c>
      <c r="J8351" s="17">
        <v>66</v>
      </c>
      <c r="K8351" s="10">
        <v>4766</v>
      </c>
      <c r="L8351" s="17"/>
      <c r="M8351" s="15"/>
      <c r="N8351" s="18"/>
      <c r="O8351" s="14"/>
      <c r="P8351" s="17">
        <v>1</v>
      </c>
      <c r="Q8351" s="19">
        <v>4766</v>
      </c>
      <c r="R8351" s="14">
        <v>160</v>
      </c>
      <c r="S8351" s="19">
        <v>762560</v>
      </c>
      <c r="T8351" s="17"/>
      <c r="U8351" s="17"/>
      <c r="V8351" s="17"/>
      <c r="W8351" s="4"/>
      <c r="X8351" s="17"/>
      <c r="Y8351" s="4"/>
      <c r="Z8351" s="17"/>
      <c r="AA8351" s="17"/>
      <c r="AB8351" s="17"/>
      <c r="AC8351" s="14"/>
      <c r="AD8351" s="14"/>
      <c r="AE8351" s="17"/>
      <c r="AF8351" s="14"/>
      <c r="AG8351" s="54"/>
      <c r="AH8351" s="11"/>
      <c r="AI8351" s="14"/>
      <c r="AJ8351" s="19">
        <v>0</v>
      </c>
      <c r="AK8351" s="23">
        <v>0</v>
      </c>
      <c r="AL8351" s="11"/>
      <c r="AM8351" s="19">
        <v>0</v>
      </c>
      <c r="AN8351" s="19">
        <v>762560</v>
      </c>
      <c r="AO8351" s="14"/>
      <c r="AP8351" s="14">
        <v>762560</v>
      </c>
      <c r="AQ8351" s="12">
        <v>1E-4</v>
      </c>
      <c r="AS8351" s="26"/>
    </row>
    <row r="8352" spans="1:45" s="19" customFormat="1" x14ac:dyDescent="0.2">
      <c r="A8352" s="122">
        <f t="shared" si="782"/>
        <v>6921</v>
      </c>
      <c r="B8352" s="13">
        <v>93</v>
      </c>
      <c r="C8352" s="17" t="s">
        <v>65</v>
      </c>
      <c r="D8352" s="17">
        <v>911</v>
      </c>
      <c r="E8352" s="17">
        <v>61</v>
      </c>
      <c r="F8352" s="17"/>
      <c r="G8352" s="13"/>
      <c r="H8352" s="17">
        <v>3</v>
      </c>
      <c r="I8352" s="17">
        <v>0</v>
      </c>
      <c r="J8352" s="17">
        <v>66</v>
      </c>
      <c r="K8352" s="10">
        <v>1266</v>
      </c>
      <c r="L8352" s="17"/>
      <c r="M8352" s="15"/>
      <c r="N8352" s="18"/>
      <c r="O8352" s="14"/>
      <c r="P8352" s="17">
        <v>1</v>
      </c>
      <c r="Q8352" s="19">
        <v>1266</v>
      </c>
      <c r="R8352" s="14">
        <v>160</v>
      </c>
      <c r="S8352" s="19">
        <v>202560</v>
      </c>
      <c r="T8352" s="17"/>
      <c r="U8352" s="17"/>
      <c r="V8352" s="17"/>
      <c r="W8352" s="4"/>
      <c r="X8352" s="17"/>
      <c r="Y8352" s="4"/>
      <c r="Z8352" s="17"/>
      <c r="AA8352" s="17"/>
      <c r="AB8352" s="17"/>
      <c r="AC8352" s="14"/>
      <c r="AD8352" s="14"/>
      <c r="AE8352" s="17"/>
      <c r="AF8352" s="14"/>
      <c r="AG8352" s="54"/>
      <c r="AH8352" s="11"/>
      <c r="AI8352" s="14"/>
      <c r="AJ8352" s="19">
        <v>0</v>
      </c>
      <c r="AK8352" s="23">
        <v>0</v>
      </c>
      <c r="AL8352" s="11"/>
      <c r="AM8352" s="19">
        <v>0</v>
      </c>
      <c r="AN8352" s="19">
        <v>202560</v>
      </c>
      <c r="AO8352" s="14"/>
      <c r="AP8352" s="14">
        <v>202560</v>
      </c>
      <c r="AQ8352" s="12">
        <v>1E-4</v>
      </c>
      <c r="AS8352" s="26"/>
    </row>
    <row r="8353" spans="1:44" s="26" customFormat="1" x14ac:dyDescent="0.2">
      <c r="A8353" s="122">
        <f t="shared" si="782"/>
        <v>6922</v>
      </c>
      <c r="B8353" s="13">
        <v>94</v>
      </c>
      <c r="C8353" s="17" t="s">
        <v>65</v>
      </c>
      <c r="D8353" s="17">
        <v>2041</v>
      </c>
      <c r="E8353" s="17">
        <v>1</v>
      </c>
      <c r="F8353" s="17"/>
      <c r="G8353" s="13"/>
      <c r="H8353" s="17">
        <v>5</v>
      </c>
      <c r="I8353" s="17">
        <v>0</v>
      </c>
      <c r="J8353" s="17">
        <v>0</v>
      </c>
      <c r="K8353" s="10">
        <v>2000</v>
      </c>
      <c r="L8353" s="17"/>
      <c r="M8353" s="15"/>
      <c r="N8353" s="18"/>
      <c r="O8353" s="14"/>
      <c r="P8353" s="17">
        <v>1</v>
      </c>
      <c r="Q8353" s="19">
        <v>2000</v>
      </c>
      <c r="R8353" s="14">
        <v>3350</v>
      </c>
      <c r="S8353" s="19">
        <v>6700000</v>
      </c>
      <c r="T8353" s="17"/>
      <c r="U8353" s="17"/>
      <c r="V8353" s="17"/>
      <c r="W8353" s="4"/>
      <c r="X8353" s="17"/>
      <c r="Y8353" s="4"/>
      <c r="Z8353" s="17"/>
      <c r="AA8353" s="17"/>
      <c r="AB8353" s="17"/>
      <c r="AC8353" s="14"/>
      <c r="AD8353" s="14"/>
      <c r="AE8353" s="17"/>
      <c r="AF8353" s="14"/>
      <c r="AG8353" s="54"/>
      <c r="AH8353" s="11"/>
      <c r="AI8353" s="14"/>
      <c r="AJ8353" s="19">
        <v>0</v>
      </c>
      <c r="AK8353" s="23">
        <v>0</v>
      </c>
      <c r="AL8353" s="11"/>
      <c r="AM8353" s="19">
        <v>0</v>
      </c>
      <c r="AN8353" s="19">
        <v>6700000</v>
      </c>
      <c r="AO8353" s="14"/>
      <c r="AP8353" s="14">
        <v>6700000</v>
      </c>
      <c r="AQ8353" s="12">
        <v>1E-4</v>
      </c>
      <c r="AR8353" s="19"/>
    </row>
    <row r="8354" spans="1:44" s="26" customFormat="1" x14ac:dyDescent="0.2">
      <c r="A8354" s="122">
        <f t="shared" si="782"/>
        <v>6923</v>
      </c>
      <c r="B8354" s="13">
        <v>95</v>
      </c>
      <c r="C8354" s="17" t="s">
        <v>65</v>
      </c>
      <c r="D8354" s="17">
        <v>694</v>
      </c>
      <c r="E8354" s="17">
        <v>10</v>
      </c>
      <c r="F8354" s="17"/>
      <c r="G8354" s="13"/>
      <c r="H8354" s="17">
        <v>40</v>
      </c>
      <c r="I8354" s="17">
        <v>0</v>
      </c>
      <c r="J8354" s="17">
        <v>26</v>
      </c>
      <c r="K8354" s="10">
        <v>16026</v>
      </c>
      <c r="L8354" s="17"/>
      <c r="M8354" s="15"/>
      <c r="N8354" s="18"/>
      <c r="O8354" s="14"/>
      <c r="P8354" s="17">
        <v>1</v>
      </c>
      <c r="Q8354" s="19">
        <v>16026</v>
      </c>
      <c r="R8354" s="14">
        <v>160</v>
      </c>
      <c r="S8354" s="19">
        <v>2564160</v>
      </c>
      <c r="T8354" s="17"/>
      <c r="U8354" s="17"/>
      <c r="V8354" s="17"/>
      <c r="W8354" s="4"/>
      <c r="X8354" s="17"/>
      <c r="Y8354" s="4"/>
      <c r="Z8354" s="17"/>
      <c r="AA8354" s="17"/>
      <c r="AB8354" s="17"/>
      <c r="AC8354" s="14"/>
      <c r="AD8354" s="14"/>
      <c r="AE8354" s="17"/>
      <c r="AF8354" s="14"/>
      <c r="AG8354" s="54"/>
      <c r="AH8354" s="11"/>
      <c r="AI8354" s="14"/>
      <c r="AJ8354" s="19">
        <v>0</v>
      </c>
      <c r="AK8354" s="23">
        <v>0</v>
      </c>
      <c r="AL8354" s="11"/>
      <c r="AM8354" s="19">
        <v>0</v>
      </c>
      <c r="AN8354" s="19">
        <v>2564160</v>
      </c>
      <c r="AO8354" s="14"/>
      <c r="AP8354" s="14">
        <v>2564160</v>
      </c>
      <c r="AQ8354" s="12">
        <v>1E-4</v>
      </c>
      <c r="AR8354" s="19"/>
    </row>
    <row r="8355" spans="1:44" s="26" customFormat="1" ht="84" x14ac:dyDescent="0.2">
      <c r="A8355" s="122">
        <f t="shared" si="782"/>
        <v>6924</v>
      </c>
      <c r="B8355" s="13">
        <v>96</v>
      </c>
      <c r="C8355" s="17" t="s">
        <v>65</v>
      </c>
      <c r="D8355" s="17">
        <v>693</v>
      </c>
      <c r="E8355" s="17">
        <v>9</v>
      </c>
      <c r="F8355" s="17"/>
      <c r="G8355" s="13"/>
      <c r="H8355" s="17">
        <v>47</v>
      </c>
      <c r="I8355" s="17">
        <v>2</v>
      </c>
      <c r="J8355" s="17">
        <v>13</v>
      </c>
      <c r="K8355" s="10">
        <v>19013</v>
      </c>
      <c r="L8355" s="17"/>
      <c r="M8355" s="15"/>
      <c r="N8355" s="18"/>
      <c r="O8355" s="14"/>
      <c r="P8355" s="17">
        <v>1</v>
      </c>
      <c r="Q8355" s="19">
        <v>19013</v>
      </c>
      <c r="R8355" s="14">
        <v>160</v>
      </c>
      <c r="S8355" s="19">
        <v>3042080</v>
      </c>
      <c r="T8355" s="17"/>
      <c r="U8355" s="17"/>
      <c r="V8355" s="17"/>
      <c r="W8355" s="4"/>
      <c r="X8355" s="17"/>
      <c r="Y8355" s="4"/>
      <c r="Z8355" s="17"/>
      <c r="AA8355" s="17"/>
      <c r="AB8355" s="17"/>
      <c r="AC8355" s="14"/>
      <c r="AD8355" s="14"/>
      <c r="AE8355" s="17"/>
      <c r="AF8355" s="14"/>
      <c r="AG8355" s="54"/>
      <c r="AH8355" s="11"/>
      <c r="AI8355" s="14"/>
      <c r="AJ8355" s="19">
        <v>0</v>
      </c>
      <c r="AK8355" s="23">
        <v>0</v>
      </c>
      <c r="AL8355" s="11"/>
      <c r="AM8355" s="19">
        <v>0</v>
      </c>
      <c r="AN8355" s="19">
        <v>3042080</v>
      </c>
      <c r="AO8355" s="14"/>
      <c r="AP8355" s="14">
        <v>3042080</v>
      </c>
      <c r="AQ8355" s="12">
        <v>1E-4</v>
      </c>
      <c r="AR8355" s="19">
        <v>15763.295499999998</v>
      </c>
    </row>
    <row r="8356" spans="1:44" s="26" customFormat="1" x14ac:dyDescent="0.2">
      <c r="A8356" s="122">
        <f t="shared" si="782"/>
        <v>6925</v>
      </c>
      <c r="B8356" s="13"/>
      <c r="C8356" s="17"/>
      <c r="D8356" s="17"/>
      <c r="E8356" s="17"/>
      <c r="F8356" s="17"/>
      <c r="G8356" s="13"/>
      <c r="H8356" s="17"/>
      <c r="I8356" s="17"/>
      <c r="J8356" s="17"/>
      <c r="K8356" s="10"/>
      <c r="L8356" s="17"/>
      <c r="M8356" s="15"/>
      <c r="N8356" s="18"/>
      <c r="O8356" s="14"/>
      <c r="P8356" s="17"/>
      <c r="Q8356" s="19"/>
      <c r="R8356" s="14"/>
      <c r="S8356" s="19"/>
      <c r="T8356" s="17"/>
      <c r="U8356" s="17"/>
      <c r="V8356" s="17"/>
      <c r="W8356" s="4"/>
      <c r="X8356" s="17"/>
      <c r="Y8356" s="4"/>
      <c r="Z8356" s="17"/>
      <c r="AA8356" s="17"/>
      <c r="AB8356" s="17"/>
      <c r="AC8356" s="14"/>
      <c r="AD8356" s="14"/>
      <c r="AE8356" s="17"/>
      <c r="AF8356" s="14"/>
      <c r="AG8356" s="54"/>
      <c r="AH8356" s="11"/>
      <c r="AI8356" s="14"/>
      <c r="AJ8356" s="19"/>
      <c r="AK8356" s="23"/>
      <c r="AL8356" s="11"/>
      <c r="AM8356" s="19"/>
      <c r="AN8356" s="19"/>
      <c r="AO8356" s="14"/>
      <c r="AP8356" s="14">
        <v>170865875</v>
      </c>
      <c r="AQ8356" s="12"/>
      <c r="AR8356" s="19"/>
    </row>
    <row r="8357" spans="1:44" s="26" customFormat="1" x14ac:dyDescent="0.2">
      <c r="A8357" s="122">
        <f t="shared" si="782"/>
        <v>6926</v>
      </c>
      <c r="B8357" s="13"/>
      <c r="C8357" s="17"/>
      <c r="D8357" s="17"/>
      <c r="E8357" s="17"/>
      <c r="F8357" s="17"/>
      <c r="G8357" s="13"/>
      <c r="H8357" s="17"/>
      <c r="I8357" s="17"/>
      <c r="J8357" s="17"/>
      <c r="K8357" s="10"/>
      <c r="L8357" s="17"/>
      <c r="M8357" s="15"/>
      <c r="N8357" s="18"/>
      <c r="O8357" s="14"/>
      <c r="P8357" s="17"/>
      <c r="Q8357" s="19"/>
      <c r="R8357" s="14"/>
      <c r="S8357" s="19"/>
      <c r="T8357" s="17"/>
      <c r="U8357" s="17"/>
      <c r="V8357" s="17"/>
      <c r="W8357" s="4"/>
      <c r="X8357" s="17"/>
      <c r="Y8357" s="4"/>
      <c r="Z8357" s="17"/>
      <c r="AA8357" s="17"/>
      <c r="AB8357" s="17"/>
      <c r="AC8357" s="14"/>
      <c r="AD8357" s="14"/>
      <c r="AE8357" s="17"/>
      <c r="AF8357" s="14"/>
      <c r="AG8357" s="54"/>
      <c r="AH8357" s="11"/>
      <c r="AI8357" s="14"/>
      <c r="AJ8357" s="19"/>
      <c r="AK8357" s="23"/>
      <c r="AL8357" s="11"/>
      <c r="AM8357" s="19"/>
      <c r="AN8357" s="19">
        <v>50432.9375</v>
      </c>
      <c r="AO8357" s="14" t="s">
        <v>830</v>
      </c>
      <c r="AP8357" s="14">
        <v>75000000</v>
      </c>
      <c r="AQ8357" s="12">
        <v>1E-4</v>
      </c>
      <c r="AR8357" s="19"/>
    </row>
    <row r="8358" spans="1:44" s="26" customFormat="1" x14ac:dyDescent="0.2">
      <c r="A8358" s="122">
        <f t="shared" si="782"/>
        <v>6927</v>
      </c>
      <c r="B8358" s="13"/>
      <c r="C8358" s="17"/>
      <c r="D8358" s="17"/>
      <c r="E8358" s="17"/>
      <c r="F8358" s="17"/>
      <c r="G8358" s="13"/>
      <c r="H8358" s="17"/>
      <c r="I8358" s="17"/>
      <c r="J8358" s="17"/>
      <c r="K8358" s="10"/>
      <c r="L8358" s="17"/>
      <c r="M8358" s="15"/>
      <c r="N8358" s="18"/>
      <c r="O8358" s="14"/>
      <c r="P8358" s="17"/>
      <c r="Q8358" s="19"/>
      <c r="R8358" s="14"/>
      <c r="S8358" s="19"/>
      <c r="T8358" s="17"/>
      <c r="U8358" s="17"/>
      <c r="V8358" s="17"/>
      <c r="W8358" s="4"/>
      <c r="X8358" s="17"/>
      <c r="Y8358" s="4"/>
      <c r="Z8358" s="17"/>
      <c r="AA8358" s="17"/>
      <c r="AB8358" s="17"/>
      <c r="AC8358" s="14"/>
      <c r="AD8358" s="14"/>
      <c r="AE8358" s="17"/>
      <c r="AF8358" s="14"/>
      <c r="AG8358" s="54"/>
      <c r="AH8358" s="11"/>
      <c r="AI8358" s="14"/>
      <c r="AJ8358" s="19"/>
      <c r="AK8358" s="23"/>
      <c r="AL8358" s="11"/>
      <c r="AM8358" s="19"/>
      <c r="AN8358" s="19"/>
      <c r="AO8358" s="14" t="s">
        <v>831</v>
      </c>
      <c r="AP8358" s="14">
        <v>25000000</v>
      </c>
      <c r="AQ8358" s="12">
        <v>2.9999999999999997E-4</v>
      </c>
      <c r="AR8358" s="19"/>
    </row>
    <row r="8359" spans="1:44" s="26" customFormat="1" x14ac:dyDescent="0.2">
      <c r="A8359" s="122">
        <f t="shared" si="782"/>
        <v>6928</v>
      </c>
      <c r="B8359" s="13"/>
      <c r="C8359" s="17"/>
      <c r="D8359" s="17"/>
      <c r="E8359" s="17"/>
      <c r="F8359" s="17"/>
      <c r="G8359" s="13"/>
      <c r="H8359" s="17"/>
      <c r="I8359" s="17"/>
      <c r="J8359" s="17"/>
      <c r="K8359" s="10"/>
      <c r="L8359" s="17"/>
      <c r="M8359" s="15"/>
      <c r="N8359" s="18"/>
      <c r="O8359" s="14"/>
      <c r="P8359" s="17"/>
      <c r="Q8359" s="19"/>
      <c r="R8359" s="14"/>
      <c r="S8359" s="19"/>
      <c r="T8359" s="17"/>
      <c r="U8359" s="17"/>
      <c r="V8359" s="17"/>
      <c r="W8359" s="4"/>
      <c r="X8359" s="17"/>
      <c r="Y8359" s="4"/>
      <c r="Z8359" s="17"/>
      <c r="AA8359" s="17"/>
      <c r="AB8359" s="17"/>
      <c r="AC8359" s="14"/>
      <c r="AD8359" s="14"/>
      <c r="AE8359" s="17"/>
      <c r="AF8359" s="14"/>
      <c r="AG8359" s="54"/>
      <c r="AH8359" s="11"/>
      <c r="AI8359" s="14"/>
      <c r="AJ8359" s="19"/>
      <c r="AK8359" s="23"/>
      <c r="AL8359" s="11"/>
      <c r="AM8359" s="19"/>
      <c r="AN8359" s="19"/>
      <c r="AO8359" s="14" t="s">
        <v>832</v>
      </c>
      <c r="AP8359" s="14">
        <v>70865875</v>
      </c>
      <c r="AQ8359" s="12">
        <v>5.0000000000000001E-4</v>
      </c>
      <c r="AR8359" s="19"/>
    </row>
    <row r="8360" spans="1:44" s="26" customFormat="1" ht="84" x14ac:dyDescent="0.2">
      <c r="A8360" s="122">
        <f t="shared" si="782"/>
        <v>6929</v>
      </c>
      <c r="B8360" s="13">
        <v>1</v>
      </c>
      <c r="C8360" s="17" t="s">
        <v>65</v>
      </c>
      <c r="D8360" s="17">
        <v>2722</v>
      </c>
      <c r="E8360" s="17">
        <v>49</v>
      </c>
      <c r="F8360" s="17"/>
      <c r="G8360" s="13"/>
      <c r="H8360" s="17">
        <v>0</v>
      </c>
      <c r="I8360" s="17">
        <v>1</v>
      </c>
      <c r="J8360" s="17">
        <v>31</v>
      </c>
      <c r="K8360" s="10"/>
      <c r="L8360" s="17"/>
      <c r="M8360" s="15"/>
      <c r="N8360" s="18">
        <v>131</v>
      </c>
      <c r="O8360" s="14"/>
      <c r="P8360" s="17">
        <v>4</v>
      </c>
      <c r="Q8360" s="19">
        <v>131</v>
      </c>
      <c r="R8360" s="14">
        <v>2000</v>
      </c>
      <c r="S8360" s="19">
        <v>262000</v>
      </c>
      <c r="T8360" s="17"/>
      <c r="U8360" s="17"/>
      <c r="V8360" s="17"/>
      <c r="W8360" s="4"/>
      <c r="X8360" s="17"/>
      <c r="Y8360" s="4"/>
      <c r="Z8360" s="17"/>
      <c r="AA8360" s="17"/>
      <c r="AB8360" s="17"/>
      <c r="AC8360" s="14"/>
      <c r="AD8360" s="14"/>
      <c r="AE8360" s="17" t="s">
        <v>838</v>
      </c>
      <c r="AF8360" s="14"/>
      <c r="AG8360" s="54"/>
      <c r="AH8360" s="11"/>
      <c r="AI8360" s="14"/>
      <c r="AJ8360" s="19">
        <v>0</v>
      </c>
      <c r="AK8360" s="23">
        <v>0</v>
      </c>
      <c r="AL8360" s="11"/>
      <c r="AM8360" s="19">
        <v>0</v>
      </c>
      <c r="AN8360" s="19">
        <v>262000</v>
      </c>
      <c r="AO8360" s="14" t="s">
        <v>839</v>
      </c>
      <c r="AP8360" s="14">
        <v>26200</v>
      </c>
      <c r="AQ8360" s="12">
        <v>3.0000000000000001E-3</v>
      </c>
      <c r="AR8360" s="19"/>
    </row>
    <row r="8361" spans="1:44" s="26" customFormat="1" ht="42" x14ac:dyDescent="0.2">
      <c r="A8361" s="122">
        <f t="shared" si="782"/>
        <v>6930</v>
      </c>
      <c r="B8361" s="13">
        <v>2</v>
      </c>
      <c r="C8361" s="17" t="s">
        <v>65</v>
      </c>
      <c r="D8361" s="17">
        <v>3617</v>
      </c>
      <c r="E8361" s="17">
        <v>173</v>
      </c>
      <c r="F8361" s="17"/>
      <c r="G8361" s="13"/>
      <c r="H8361" s="17">
        <v>0</v>
      </c>
      <c r="I8361" s="17">
        <v>0</v>
      </c>
      <c r="J8361" s="17">
        <v>34</v>
      </c>
      <c r="K8361" s="10"/>
      <c r="L8361" s="17"/>
      <c r="M8361" s="15"/>
      <c r="N8361" s="18">
        <v>34</v>
      </c>
      <c r="O8361" s="14"/>
      <c r="P8361" s="17">
        <v>4</v>
      </c>
      <c r="Q8361" s="19">
        <v>34</v>
      </c>
      <c r="R8361" s="14">
        <v>250</v>
      </c>
      <c r="S8361" s="19">
        <v>8500</v>
      </c>
      <c r="T8361" s="17"/>
      <c r="U8361" s="17"/>
      <c r="V8361" s="17"/>
      <c r="W8361" s="4"/>
      <c r="X8361" s="17"/>
      <c r="Y8361" s="4"/>
      <c r="Z8361" s="17"/>
      <c r="AA8361" s="17"/>
      <c r="AB8361" s="17"/>
      <c r="AC8361" s="14"/>
      <c r="AD8361" s="14"/>
      <c r="AE8361" s="17"/>
      <c r="AF8361" s="14"/>
      <c r="AG8361" s="54"/>
      <c r="AH8361" s="11"/>
      <c r="AI8361" s="14"/>
      <c r="AJ8361" s="19">
        <v>0</v>
      </c>
      <c r="AK8361" s="23">
        <v>0</v>
      </c>
      <c r="AL8361" s="11"/>
      <c r="AM8361" s="19">
        <v>0</v>
      </c>
      <c r="AN8361" s="19">
        <v>8500</v>
      </c>
      <c r="AO8361" s="14" t="s">
        <v>839</v>
      </c>
      <c r="AP8361" s="14">
        <v>850</v>
      </c>
      <c r="AQ8361" s="12">
        <v>3.0000000000000001E-3</v>
      </c>
      <c r="AR8361" s="19"/>
    </row>
    <row r="8362" spans="1:44" s="26" customFormat="1" x14ac:dyDescent="0.2">
      <c r="A8362" s="122">
        <f t="shared" si="782"/>
        <v>6931</v>
      </c>
      <c r="B8362" s="13">
        <v>1</v>
      </c>
      <c r="C8362" s="17" t="s">
        <v>65</v>
      </c>
      <c r="D8362" s="17">
        <v>964</v>
      </c>
      <c r="E8362" s="17">
        <v>18</v>
      </c>
      <c r="F8362" s="17"/>
      <c r="G8362" s="13"/>
      <c r="H8362" s="17">
        <v>10</v>
      </c>
      <c r="I8362" s="17">
        <v>3</v>
      </c>
      <c r="J8362" s="17">
        <v>60</v>
      </c>
      <c r="K8362" s="10">
        <v>4360</v>
      </c>
      <c r="L8362" s="17"/>
      <c r="M8362" s="15"/>
      <c r="N8362" s="18"/>
      <c r="O8362" s="14"/>
      <c r="P8362" s="17">
        <v>1</v>
      </c>
      <c r="Q8362" s="19">
        <v>4360</v>
      </c>
      <c r="R8362" s="14">
        <v>500</v>
      </c>
      <c r="S8362" s="19">
        <v>2180000</v>
      </c>
      <c r="T8362" s="17"/>
      <c r="U8362" s="17"/>
      <c r="V8362" s="17"/>
      <c r="W8362" s="4"/>
      <c r="X8362" s="17"/>
      <c r="Y8362" s="4"/>
      <c r="Z8362" s="17"/>
      <c r="AA8362" s="17"/>
      <c r="AB8362" s="17"/>
      <c r="AC8362" s="14"/>
      <c r="AD8362" s="14"/>
      <c r="AE8362" s="17"/>
      <c r="AF8362" s="14"/>
      <c r="AG8362" s="54"/>
      <c r="AH8362" s="11"/>
      <c r="AI8362" s="14"/>
      <c r="AJ8362" s="19">
        <v>0</v>
      </c>
      <c r="AK8362" s="23">
        <v>0</v>
      </c>
      <c r="AL8362" s="11"/>
      <c r="AM8362" s="19">
        <v>0</v>
      </c>
      <c r="AN8362" s="19">
        <v>2180000</v>
      </c>
      <c r="AO8362" s="14"/>
      <c r="AP8362" s="14">
        <v>2180000</v>
      </c>
      <c r="AQ8362" s="12">
        <v>1E-4</v>
      </c>
      <c r="AR8362" s="19"/>
    </row>
    <row r="8363" spans="1:44" s="26" customFormat="1" x14ac:dyDescent="0.2">
      <c r="A8363" s="2"/>
      <c r="B8363" s="13">
        <v>1</v>
      </c>
      <c r="C8363" s="17" t="s">
        <v>97</v>
      </c>
      <c r="D8363" s="17">
        <v>328</v>
      </c>
      <c r="E8363" s="17"/>
      <c r="F8363" s="17"/>
      <c r="G8363" s="13">
        <v>2</v>
      </c>
      <c r="H8363" s="17">
        <v>0</v>
      </c>
      <c r="I8363" s="17">
        <v>0</v>
      </c>
      <c r="J8363" s="17">
        <v>27</v>
      </c>
      <c r="K8363" s="10">
        <v>27</v>
      </c>
      <c r="L8363" s="17"/>
      <c r="M8363" s="15"/>
      <c r="N8363" s="18"/>
      <c r="O8363" s="14"/>
      <c r="P8363" s="17">
        <v>1</v>
      </c>
      <c r="Q8363" s="19">
        <v>27</v>
      </c>
      <c r="R8363" s="14" t="e">
        <v>#N/A</v>
      </c>
      <c r="S8363" s="19" t="e">
        <v>#N/A</v>
      </c>
      <c r="T8363" s="17"/>
      <c r="U8363" s="17"/>
      <c r="V8363" s="17"/>
      <c r="W8363" s="4"/>
      <c r="X8363" s="17"/>
      <c r="Y8363" s="4"/>
      <c r="Z8363" s="17"/>
      <c r="AA8363" s="17"/>
      <c r="AB8363" s="17"/>
      <c r="AC8363" s="14"/>
      <c r="AD8363" s="14"/>
      <c r="AE8363" s="17"/>
      <c r="AF8363" s="14"/>
      <c r="AG8363" s="54"/>
      <c r="AH8363" s="11"/>
      <c r="AI8363" s="14"/>
      <c r="AJ8363" s="19">
        <v>0</v>
      </c>
      <c r="AK8363" s="23">
        <v>0</v>
      </c>
      <c r="AL8363" s="11"/>
      <c r="AM8363" s="19">
        <v>0</v>
      </c>
      <c r="AN8363" s="19" t="e">
        <v>#N/A</v>
      </c>
      <c r="AO8363" s="14"/>
      <c r="AP8363" s="14" t="e">
        <v>#N/A</v>
      </c>
      <c r="AQ8363" s="12">
        <v>1E-4</v>
      </c>
      <c r="AR8363" s="19"/>
    </row>
    <row r="8364" spans="1:44" s="26" customFormat="1" x14ac:dyDescent="0.2">
      <c r="A8364" s="2"/>
      <c r="B8364" s="13">
        <v>1</v>
      </c>
      <c r="C8364" s="17" t="s">
        <v>97</v>
      </c>
      <c r="D8364" s="17">
        <v>94</v>
      </c>
      <c r="E8364" s="17"/>
      <c r="F8364" s="17">
        <v>153</v>
      </c>
      <c r="G8364" s="13">
        <v>4</v>
      </c>
      <c r="H8364" s="17">
        <v>4</v>
      </c>
      <c r="I8364" s="17">
        <v>2</v>
      </c>
      <c r="J8364" s="17">
        <v>56</v>
      </c>
      <c r="K8364" s="10" t="s">
        <v>840</v>
      </c>
      <c r="L8364" s="17"/>
      <c r="M8364" s="15"/>
      <c r="N8364" s="18"/>
      <c r="O8364" s="14"/>
      <c r="P8364" s="17">
        <v>1</v>
      </c>
      <c r="Q8364" s="19">
        <v>1856</v>
      </c>
      <c r="R8364" s="14" t="e">
        <v>#N/A</v>
      </c>
      <c r="S8364" s="19" t="e">
        <v>#N/A</v>
      </c>
      <c r="T8364" s="17"/>
      <c r="U8364" s="17"/>
      <c r="V8364" s="17"/>
      <c r="W8364" s="4"/>
      <c r="X8364" s="17"/>
      <c r="Y8364" s="4"/>
      <c r="Z8364" s="17"/>
      <c r="AA8364" s="17"/>
      <c r="AB8364" s="17"/>
      <c r="AC8364" s="14"/>
      <c r="AD8364" s="14"/>
      <c r="AE8364" s="17" t="s">
        <v>166</v>
      </c>
      <c r="AF8364" s="14"/>
      <c r="AG8364" s="54"/>
      <c r="AH8364" s="11"/>
      <c r="AI8364" s="14"/>
      <c r="AJ8364" s="19">
        <v>0</v>
      </c>
      <c r="AK8364" s="23">
        <v>0</v>
      </c>
      <c r="AL8364" s="11"/>
      <c r="AM8364" s="19">
        <v>0</v>
      </c>
      <c r="AN8364" s="19" t="e">
        <v>#N/A</v>
      </c>
      <c r="AO8364" s="14"/>
      <c r="AP8364" s="14" t="e">
        <v>#N/A</v>
      </c>
      <c r="AQ8364" s="12">
        <v>1E-4</v>
      </c>
      <c r="AR8364" s="19"/>
    </row>
    <row r="8365" spans="1:44" s="26" customFormat="1" x14ac:dyDescent="0.2">
      <c r="A8365" s="2">
        <v>6932</v>
      </c>
      <c r="B8365" s="13">
        <v>1</v>
      </c>
      <c r="C8365" s="17" t="s">
        <v>65</v>
      </c>
      <c r="D8365" s="17">
        <v>1901</v>
      </c>
      <c r="E8365" s="17">
        <v>64</v>
      </c>
      <c r="F8365" s="17"/>
      <c r="G8365" s="13"/>
      <c r="H8365" s="17">
        <v>16</v>
      </c>
      <c r="I8365" s="17">
        <v>1</v>
      </c>
      <c r="J8365" s="17">
        <v>56</v>
      </c>
      <c r="K8365" s="10">
        <v>6556</v>
      </c>
      <c r="L8365" s="17"/>
      <c r="M8365" s="15"/>
      <c r="N8365" s="18"/>
      <c r="O8365" s="14"/>
      <c r="P8365" s="17">
        <v>1</v>
      </c>
      <c r="Q8365" s="19">
        <v>6556</v>
      </c>
      <c r="R8365" s="14">
        <v>160</v>
      </c>
      <c r="S8365" s="19">
        <v>1048960</v>
      </c>
      <c r="T8365" s="17"/>
      <c r="U8365" s="17"/>
      <c r="V8365" s="17"/>
      <c r="W8365" s="4"/>
      <c r="X8365" s="17"/>
      <c r="Y8365" s="4"/>
      <c r="Z8365" s="17"/>
      <c r="AA8365" s="17"/>
      <c r="AB8365" s="17"/>
      <c r="AC8365" s="14"/>
      <c r="AD8365" s="14"/>
      <c r="AE8365" s="17"/>
      <c r="AF8365" s="14"/>
      <c r="AG8365" s="54"/>
      <c r="AH8365" s="11"/>
      <c r="AI8365" s="14"/>
      <c r="AJ8365" s="19">
        <v>0</v>
      </c>
      <c r="AK8365" s="23">
        <v>0</v>
      </c>
      <c r="AL8365" s="11"/>
      <c r="AM8365" s="19">
        <v>0</v>
      </c>
      <c r="AN8365" s="19">
        <v>1048960</v>
      </c>
      <c r="AO8365" s="14"/>
      <c r="AP8365" s="14">
        <v>1048960</v>
      </c>
      <c r="AQ8365" s="12">
        <v>1E-4</v>
      </c>
      <c r="AR8365" s="19"/>
    </row>
    <row r="8366" spans="1:44" s="26" customFormat="1" x14ac:dyDescent="0.2">
      <c r="A8366" s="2"/>
      <c r="B8366" s="13">
        <v>1</v>
      </c>
      <c r="C8366" s="17" t="s">
        <v>65</v>
      </c>
      <c r="D8366" s="17">
        <v>3301</v>
      </c>
      <c r="E8366" s="17">
        <v>552</v>
      </c>
      <c r="F8366" s="17"/>
      <c r="G8366" s="13"/>
      <c r="H8366" s="17">
        <v>0</v>
      </c>
      <c r="I8366" s="17">
        <v>1</v>
      </c>
      <c r="J8366" s="17">
        <v>16</v>
      </c>
      <c r="K8366" s="10">
        <v>116</v>
      </c>
      <c r="L8366" s="17"/>
      <c r="M8366" s="15"/>
      <c r="N8366" s="18"/>
      <c r="O8366" s="14"/>
      <c r="P8366" s="17">
        <v>1</v>
      </c>
      <c r="Q8366" s="19">
        <v>116</v>
      </c>
      <c r="R8366" s="14" t="e">
        <v>#N/A</v>
      </c>
      <c r="S8366" s="19" t="e">
        <v>#N/A</v>
      </c>
      <c r="T8366" s="17"/>
      <c r="U8366" s="17"/>
      <c r="V8366" s="17"/>
      <c r="W8366" s="4"/>
      <c r="X8366" s="17"/>
      <c r="Y8366" s="4"/>
      <c r="Z8366" s="17"/>
      <c r="AA8366" s="17"/>
      <c r="AB8366" s="17"/>
      <c r="AC8366" s="14"/>
      <c r="AD8366" s="14"/>
      <c r="AE8366" s="17"/>
      <c r="AF8366" s="14"/>
      <c r="AG8366" s="54"/>
      <c r="AH8366" s="11"/>
      <c r="AI8366" s="14"/>
      <c r="AJ8366" s="19">
        <v>0</v>
      </c>
      <c r="AK8366" s="23">
        <v>0</v>
      </c>
      <c r="AL8366" s="11"/>
      <c r="AM8366" s="19">
        <v>0</v>
      </c>
      <c r="AN8366" s="19" t="e">
        <v>#N/A</v>
      </c>
      <c r="AO8366" s="14"/>
      <c r="AP8366" s="14" t="e">
        <v>#N/A</v>
      </c>
      <c r="AQ8366" s="12">
        <v>1E-4</v>
      </c>
      <c r="AR8366" s="19"/>
    </row>
    <row r="8367" spans="1:44" s="26" customFormat="1" x14ac:dyDescent="0.2">
      <c r="A8367" s="2">
        <v>6933</v>
      </c>
      <c r="B8367" s="13">
        <v>1</v>
      </c>
      <c r="C8367" s="17" t="s">
        <v>65</v>
      </c>
      <c r="D8367" s="17">
        <v>765</v>
      </c>
      <c r="E8367" s="17">
        <v>12</v>
      </c>
      <c r="F8367" s="17"/>
      <c r="G8367" s="13"/>
      <c r="H8367" s="17">
        <v>2</v>
      </c>
      <c r="I8367" s="17">
        <v>0</v>
      </c>
      <c r="J8367" s="17">
        <v>30</v>
      </c>
      <c r="K8367" s="10">
        <v>830</v>
      </c>
      <c r="L8367" s="17"/>
      <c r="M8367" s="15"/>
      <c r="N8367" s="18"/>
      <c r="O8367" s="14"/>
      <c r="P8367" s="17">
        <v>1</v>
      </c>
      <c r="Q8367" s="19">
        <v>830</v>
      </c>
      <c r="R8367" s="14">
        <v>160</v>
      </c>
      <c r="S8367" s="19">
        <v>132800</v>
      </c>
      <c r="T8367" s="17"/>
      <c r="U8367" s="17"/>
      <c r="V8367" s="17"/>
      <c r="W8367" s="4"/>
      <c r="X8367" s="17"/>
      <c r="Y8367" s="4"/>
      <c r="Z8367" s="17"/>
      <c r="AA8367" s="17"/>
      <c r="AB8367" s="17"/>
      <c r="AC8367" s="14"/>
      <c r="AD8367" s="14"/>
      <c r="AE8367" s="17"/>
      <c r="AF8367" s="14"/>
      <c r="AG8367" s="54"/>
      <c r="AH8367" s="11"/>
      <c r="AI8367" s="14"/>
      <c r="AJ8367" s="19">
        <v>0</v>
      </c>
      <c r="AK8367" s="23">
        <v>0</v>
      </c>
      <c r="AL8367" s="11"/>
      <c r="AM8367" s="19">
        <v>0</v>
      </c>
      <c r="AN8367" s="19">
        <v>132800</v>
      </c>
      <c r="AO8367" s="14"/>
      <c r="AP8367" s="14">
        <v>132800</v>
      </c>
      <c r="AQ8367" s="12">
        <v>1E-4</v>
      </c>
      <c r="AR8367" s="19"/>
    </row>
    <row r="8368" spans="1:44" s="26" customFormat="1" x14ac:dyDescent="0.2">
      <c r="A8368" s="2">
        <v>6934</v>
      </c>
      <c r="B8368" s="13">
        <v>2</v>
      </c>
      <c r="C8368" s="17" t="s">
        <v>65</v>
      </c>
      <c r="D8368" s="17">
        <v>756</v>
      </c>
      <c r="E8368" s="17">
        <v>3</v>
      </c>
      <c r="F8368" s="17"/>
      <c r="G8368" s="13"/>
      <c r="H8368" s="17">
        <v>1</v>
      </c>
      <c r="I8368" s="17">
        <v>0</v>
      </c>
      <c r="J8368" s="17">
        <v>0</v>
      </c>
      <c r="K8368" s="10">
        <v>373</v>
      </c>
      <c r="L8368" s="17">
        <v>27</v>
      </c>
      <c r="M8368" s="15"/>
      <c r="N8368" s="18"/>
      <c r="O8368" s="14"/>
      <c r="P8368" s="17">
        <v>5</v>
      </c>
      <c r="Q8368" s="19">
        <v>400</v>
      </c>
      <c r="R8368" s="14">
        <v>2000</v>
      </c>
      <c r="S8368" s="19">
        <v>800000</v>
      </c>
      <c r="T8368" s="17"/>
      <c r="U8368" s="17"/>
      <c r="V8368" s="17"/>
      <c r="W8368" s="4"/>
      <c r="X8368" s="17"/>
      <c r="Y8368" s="4"/>
      <c r="Z8368" s="17"/>
      <c r="AA8368" s="17"/>
      <c r="AB8368" s="17"/>
      <c r="AC8368" s="14"/>
      <c r="AD8368" s="14"/>
      <c r="AE8368" s="17"/>
      <c r="AF8368" s="14"/>
      <c r="AG8368" s="54"/>
      <c r="AH8368" s="11"/>
      <c r="AI8368" s="14"/>
      <c r="AJ8368" s="19"/>
      <c r="AK8368" s="23"/>
      <c r="AL8368" s="11"/>
      <c r="AM8368" s="19">
        <v>0</v>
      </c>
      <c r="AN8368" s="19">
        <v>800000</v>
      </c>
      <c r="AO8368" s="14"/>
      <c r="AP8368" s="14">
        <v>800000</v>
      </c>
      <c r="AQ8368" s="12">
        <v>2.0000000000000001E-4</v>
      </c>
      <c r="AR8368" s="19"/>
    </row>
    <row r="8369" spans="1:45" ht="42" x14ac:dyDescent="0.2">
      <c r="T8369" s="17">
        <v>1</v>
      </c>
      <c r="V8369" s="17" t="s">
        <v>183</v>
      </c>
      <c r="W8369" s="4">
        <v>48</v>
      </c>
      <c r="Y8369" s="4">
        <v>48</v>
      </c>
      <c r="AB8369" s="17">
        <v>19</v>
      </c>
      <c r="AF8369" s="14">
        <v>2</v>
      </c>
      <c r="AG8369" s="54">
        <v>48</v>
      </c>
      <c r="AH8369" s="11">
        <v>1</v>
      </c>
      <c r="AI8369" s="14">
        <v>7250</v>
      </c>
      <c r="AJ8369" s="19">
        <v>348000</v>
      </c>
      <c r="AK8369" s="23">
        <v>19</v>
      </c>
      <c r="AL8369" s="11">
        <v>0.28000000000000003</v>
      </c>
      <c r="AM8369" s="19">
        <v>250560</v>
      </c>
      <c r="AN8369" s="19">
        <v>250560</v>
      </c>
      <c r="AP8369" s="14">
        <v>250560</v>
      </c>
    </row>
    <row r="8370" spans="1:45" ht="42" x14ac:dyDescent="0.2">
      <c r="T8370" s="17">
        <v>2</v>
      </c>
      <c r="V8370" s="17" t="s">
        <v>183</v>
      </c>
      <c r="W8370" s="4">
        <v>60</v>
      </c>
      <c r="Y8370" s="4">
        <v>60</v>
      </c>
      <c r="AB8370" s="17">
        <v>21</v>
      </c>
      <c r="AF8370" s="14">
        <v>2</v>
      </c>
      <c r="AG8370" s="54">
        <v>60</v>
      </c>
      <c r="AH8370" s="11">
        <v>1</v>
      </c>
      <c r="AI8370" s="14">
        <v>7250</v>
      </c>
      <c r="AJ8370" s="19">
        <v>435000</v>
      </c>
      <c r="AK8370" s="23">
        <v>21</v>
      </c>
      <c r="AL8370" s="11">
        <v>0.32</v>
      </c>
      <c r="AM8370" s="19">
        <v>295800</v>
      </c>
      <c r="AN8370" s="19">
        <v>295800</v>
      </c>
      <c r="AP8370" s="14">
        <v>295800</v>
      </c>
    </row>
    <row r="8371" spans="1:45" x14ac:dyDescent="0.2">
      <c r="B8371" s="13">
        <v>1</v>
      </c>
      <c r="C8371" s="17" t="s">
        <v>97</v>
      </c>
      <c r="D8371" s="17">
        <v>375</v>
      </c>
      <c r="G8371" s="13">
        <v>2</v>
      </c>
      <c r="H8371" s="17">
        <v>0</v>
      </c>
      <c r="I8371" s="17">
        <v>3</v>
      </c>
      <c r="J8371" s="17">
        <v>64</v>
      </c>
      <c r="K8371" s="10">
        <v>364</v>
      </c>
      <c r="P8371" s="17">
        <v>1</v>
      </c>
      <c r="Q8371" s="19">
        <v>364</v>
      </c>
      <c r="R8371" s="14" t="e">
        <v>#N/A</v>
      </c>
      <c r="S8371" s="19" t="e">
        <v>#N/A</v>
      </c>
      <c r="AJ8371" s="19">
        <v>0</v>
      </c>
      <c r="AK8371" s="23">
        <v>0</v>
      </c>
      <c r="AM8371" s="19">
        <v>0</v>
      </c>
      <c r="AN8371" s="19" t="e">
        <v>#N/A</v>
      </c>
      <c r="AP8371" s="14" t="e">
        <v>#N/A</v>
      </c>
      <c r="AQ8371" s="12">
        <v>1E-4</v>
      </c>
    </row>
    <row r="8372" spans="1:45" x14ac:dyDescent="0.2">
      <c r="A8372" s="2">
        <v>6935</v>
      </c>
      <c r="B8372" s="13">
        <v>1</v>
      </c>
      <c r="C8372" s="17" t="s">
        <v>65</v>
      </c>
      <c r="D8372" s="17">
        <v>1588</v>
      </c>
      <c r="E8372" s="17">
        <v>161</v>
      </c>
      <c r="H8372" s="17">
        <v>25</v>
      </c>
      <c r="I8372" s="17">
        <v>1</v>
      </c>
      <c r="J8372" s="17">
        <v>53</v>
      </c>
      <c r="K8372" s="10">
        <v>10153</v>
      </c>
      <c r="P8372" s="17">
        <v>1</v>
      </c>
      <c r="Q8372" s="19">
        <v>10153</v>
      </c>
      <c r="R8372" s="14">
        <v>200</v>
      </c>
      <c r="S8372" s="19">
        <v>2030600</v>
      </c>
      <c r="AJ8372" s="19">
        <v>0</v>
      </c>
      <c r="AK8372" s="23">
        <v>0</v>
      </c>
      <c r="AM8372" s="19">
        <v>0</v>
      </c>
      <c r="AN8372" s="19">
        <v>2030600</v>
      </c>
      <c r="AP8372" s="14">
        <v>2030600</v>
      </c>
      <c r="AQ8372" s="12">
        <v>1E-4</v>
      </c>
      <c r="AS8372" s="26">
        <v>140</v>
      </c>
    </row>
    <row r="8373" spans="1:45" ht="63" x14ac:dyDescent="0.2">
      <c r="A8373" s="2">
        <v>6936</v>
      </c>
      <c r="B8373" s="13">
        <v>1</v>
      </c>
      <c r="C8373" s="17" t="s">
        <v>65</v>
      </c>
      <c r="D8373" s="17">
        <v>2875</v>
      </c>
      <c r="E8373" s="17">
        <v>188</v>
      </c>
      <c r="H8373" s="17">
        <v>0</v>
      </c>
      <c r="I8373" s="17">
        <v>1</v>
      </c>
      <c r="J8373" s="17">
        <v>19</v>
      </c>
      <c r="M8373" s="15" t="s">
        <v>841</v>
      </c>
      <c r="P8373" s="17">
        <v>3</v>
      </c>
      <c r="Q8373" s="19">
        <v>119</v>
      </c>
      <c r="R8373" s="14">
        <v>2000</v>
      </c>
      <c r="S8373" s="19">
        <v>238000</v>
      </c>
      <c r="U8373" s="17" t="s">
        <v>57</v>
      </c>
      <c r="V8373" s="17" t="s">
        <v>56</v>
      </c>
      <c r="W8373" s="4" t="s">
        <v>260</v>
      </c>
      <c r="Z8373" s="17" t="s">
        <v>260</v>
      </c>
      <c r="AB8373" s="17">
        <v>28</v>
      </c>
      <c r="AE8373" s="17" t="s">
        <v>842</v>
      </c>
      <c r="AF8373" s="14">
        <v>3</v>
      </c>
      <c r="AG8373" s="54">
        <v>126</v>
      </c>
      <c r="AH8373" s="11">
        <v>1</v>
      </c>
      <c r="AI8373" s="14">
        <v>7250</v>
      </c>
      <c r="AJ8373" s="19">
        <v>913500</v>
      </c>
      <c r="AK8373" s="23">
        <v>28</v>
      </c>
      <c r="AL8373" s="11">
        <v>0.46</v>
      </c>
      <c r="AM8373" s="19">
        <v>493290</v>
      </c>
      <c r="AN8373" s="19">
        <v>731290</v>
      </c>
      <c r="AP8373" s="14">
        <v>731290</v>
      </c>
      <c r="AQ8373" s="12">
        <v>3.0000000000000001E-3</v>
      </c>
      <c r="AS8373" s="26">
        <v>2</v>
      </c>
    </row>
    <row r="8374" spans="1:45" x14ac:dyDescent="0.2">
      <c r="AE8374" s="17" t="s">
        <v>843</v>
      </c>
    </row>
    <row r="8375" spans="1:45" ht="42" x14ac:dyDescent="0.2">
      <c r="A8375" s="2">
        <v>6937</v>
      </c>
      <c r="B8375" s="13">
        <v>1</v>
      </c>
      <c r="C8375" s="17" t="s">
        <v>65</v>
      </c>
      <c r="D8375" s="17">
        <v>1906</v>
      </c>
      <c r="E8375" s="17">
        <v>78</v>
      </c>
      <c r="H8375" s="17">
        <v>2</v>
      </c>
      <c r="I8375" s="17">
        <v>1</v>
      </c>
      <c r="J8375" s="17">
        <v>6</v>
      </c>
      <c r="K8375" s="10">
        <v>852.88</v>
      </c>
      <c r="L8375" s="17">
        <v>53.12</v>
      </c>
      <c r="P8375" s="17">
        <v>5</v>
      </c>
      <c r="Q8375" s="19">
        <v>906</v>
      </c>
      <c r="R8375" s="14">
        <v>1000</v>
      </c>
      <c r="S8375" s="19">
        <v>906000</v>
      </c>
      <c r="T8375" s="17">
        <v>1</v>
      </c>
      <c r="V8375" s="17" t="s">
        <v>183</v>
      </c>
      <c r="W8375" s="4">
        <v>212.5</v>
      </c>
      <c r="Y8375" s="4">
        <v>212.5</v>
      </c>
      <c r="AB8375" s="17">
        <v>32</v>
      </c>
      <c r="AF8375" s="14">
        <v>3</v>
      </c>
      <c r="AG8375" s="54">
        <v>212.5</v>
      </c>
      <c r="AH8375" s="11">
        <v>1</v>
      </c>
      <c r="AI8375" s="14">
        <v>7250</v>
      </c>
      <c r="AJ8375" s="19">
        <v>1540625</v>
      </c>
      <c r="AK8375" s="23">
        <v>32</v>
      </c>
      <c r="AL8375" s="11">
        <v>0.54</v>
      </c>
      <c r="AM8375" s="19">
        <v>708687.5</v>
      </c>
      <c r="AN8375" s="19">
        <v>1614687.5</v>
      </c>
      <c r="AP8375" s="14">
        <v>1614687.5</v>
      </c>
      <c r="AQ8375" s="12">
        <v>3.0000000000000001E-3</v>
      </c>
    </row>
    <row r="8376" spans="1:45" x14ac:dyDescent="0.2">
      <c r="A8376" s="2">
        <f>+A8375+1</f>
        <v>6938</v>
      </c>
      <c r="B8376" s="13">
        <v>1</v>
      </c>
      <c r="C8376" s="17" t="s">
        <v>65</v>
      </c>
      <c r="D8376" s="17">
        <v>3641</v>
      </c>
      <c r="E8376" s="17">
        <v>248</v>
      </c>
      <c r="H8376" s="17">
        <v>0</v>
      </c>
      <c r="I8376" s="17">
        <v>2</v>
      </c>
      <c r="J8376" s="17">
        <v>62</v>
      </c>
      <c r="K8376" s="10">
        <v>262</v>
      </c>
      <c r="P8376" s="17">
        <v>1</v>
      </c>
      <c r="Q8376" s="19">
        <v>262</v>
      </c>
      <c r="R8376" s="14">
        <v>200</v>
      </c>
      <c r="S8376" s="19">
        <v>52400</v>
      </c>
      <c r="AJ8376" s="19">
        <v>0</v>
      </c>
      <c r="AK8376" s="23">
        <v>0</v>
      </c>
      <c r="AM8376" s="19">
        <v>0</v>
      </c>
      <c r="AN8376" s="19">
        <v>52400</v>
      </c>
      <c r="AP8376" s="14">
        <v>52400</v>
      </c>
      <c r="AQ8376" s="12">
        <v>1E-4</v>
      </c>
    </row>
    <row r="8377" spans="1:45" x14ac:dyDescent="0.2">
      <c r="B8377" s="13">
        <v>1</v>
      </c>
      <c r="C8377" s="17" t="s">
        <v>65</v>
      </c>
      <c r="D8377" s="17">
        <v>117</v>
      </c>
      <c r="E8377" s="17">
        <v>6</v>
      </c>
      <c r="H8377" s="17">
        <v>0</v>
      </c>
      <c r="I8377" s="17">
        <v>3</v>
      </c>
      <c r="J8377" s="17">
        <v>85</v>
      </c>
      <c r="K8377" s="10">
        <v>385</v>
      </c>
      <c r="P8377" s="17">
        <v>1</v>
      </c>
      <c r="Q8377" s="19">
        <v>385</v>
      </c>
      <c r="R8377" s="14" t="e">
        <v>#N/A</v>
      </c>
      <c r="S8377" s="19" t="e">
        <v>#N/A</v>
      </c>
      <c r="AJ8377" s="19">
        <v>0</v>
      </c>
      <c r="AK8377" s="23">
        <v>0</v>
      </c>
      <c r="AM8377" s="19">
        <v>0</v>
      </c>
      <c r="AN8377" s="19" t="e">
        <v>#N/A</v>
      </c>
      <c r="AP8377" s="14" t="e">
        <v>#N/A</v>
      </c>
      <c r="AQ8377" s="12">
        <v>1E-4</v>
      </c>
    </row>
    <row r="8378" spans="1:45" x14ac:dyDescent="0.2">
      <c r="B8378" s="13">
        <v>1</v>
      </c>
      <c r="C8378" s="17" t="s">
        <v>65</v>
      </c>
      <c r="D8378" s="17">
        <v>2567</v>
      </c>
      <c r="E8378" s="17">
        <v>68</v>
      </c>
      <c r="H8378" s="17">
        <v>15</v>
      </c>
      <c r="I8378" s="17">
        <v>3</v>
      </c>
      <c r="J8378" s="17">
        <v>4</v>
      </c>
      <c r="K8378" s="10">
        <v>6304</v>
      </c>
      <c r="P8378" s="17">
        <v>1</v>
      </c>
      <c r="Q8378" s="19">
        <v>6304</v>
      </c>
      <c r="R8378" s="14" t="e">
        <v>#N/A</v>
      </c>
      <c r="S8378" s="19" t="e">
        <v>#N/A</v>
      </c>
      <c r="AE8378" s="17" t="s">
        <v>95</v>
      </c>
      <c r="AJ8378" s="19">
        <v>0</v>
      </c>
      <c r="AK8378" s="23">
        <v>0</v>
      </c>
      <c r="AM8378" s="19">
        <v>0</v>
      </c>
      <c r="AN8378" s="19" t="e">
        <v>#N/A</v>
      </c>
      <c r="AP8378" s="14" t="e">
        <v>#N/A</v>
      </c>
      <c r="AQ8378" s="12">
        <v>1E-4</v>
      </c>
    </row>
    <row r="8379" spans="1:45" x14ac:dyDescent="0.2">
      <c r="B8379" s="13">
        <v>1</v>
      </c>
      <c r="C8379" s="17" t="s">
        <v>97</v>
      </c>
      <c r="D8379" s="17">
        <v>21</v>
      </c>
      <c r="G8379" s="13">
        <v>3</v>
      </c>
      <c r="H8379" s="17">
        <v>20</v>
      </c>
      <c r="I8379" s="17">
        <v>0</v>
      </c>
      <c r="J8379" s="17">
        <v>0</v>
      </c>
      <c r="K8379" s="10">
        <v>8000</v>
      </c>
      <c r="P8379" s="17">
        <v>1</v>
      </c>
      <c r="Q8379" s="19">
        <v>8000</v>
      </c>
      <c r="R8379" s="14" t="e">
        <v>#N/A</v>
      </c>
      <c r="S8379" s="19" t="e">
        <v>#N/A</v>
      </c>
      <c r="AJ8379" s="19">
        <v>0</v>
      </c>
      <c r="AK8379" s="23">
        <v>0</v>
      </c>
      <c r="AM8379" s="19">
        <v>0</v>
      </c>
      <c r="AN8379" s="19" t="e">
        <v>#N/A</v>
      </c>
      <c r="AP8379" s="14" t="e">
        <v>#N/A</v>
      </c>
      <c r="AQ8379" s="12">
        <v>1E-4</v>
      </c>
    </row>
    <row r="8380" spans="1:45" x14ac:dyDescent="0.2">
      <c r="B8380" s="13">
        <v>2</v>
      </c>
      <c r="C8380" s="17" t="s">
        <v>97</v>
      </c>
      <c r="D8380" s="17">
        <v>160</v>
      </c>
      <c r="G8380" s="13">
        <v>3</v>
      </c>
      <c r="H8380" s="17">
        <v>30</v>
      </c>
      <c r="I8380" s="17">
        <v>0</v>
      </c>
      <c r="J8380" s="17">
        <v>0</v>
      </c>
      <c r="K8380" s="10">
        <v>12000</v>
      </c>
      <c r="P8380" s="17">
        <v>1</v>
      </c>
      <c r="Q8380" s="19">
        <v>12000</v>
      </c>
      <c r="R8380" s="14" t="e">
        <v>#N/A</v>
      </c>
      <c r="S8380" s="19" t="e">
        <v>#N/A</v>
      </c>
      <c r="AJ8380" s="19">
        <v>0</v>
      </c>
      <c r="AK8380" s="23">
        <v>0</v>
      </c>
      <c r="AM8380" s="19">
        <v>0</v>
      </c>
      <c r="AN8380" s="19" t="e">
        <v>#N/A</v>
      </c>
      <c r="AP8380" s="14" t="e">
        <v>#N/A</v>
      </c>
      <c r="AQ8380" s="12">
        <v>1E-4</v>
      </c>
    </row>
    <row r="8381" spans="1:45" x14ac:dyDescent="0.2">
      <c r="B8381" s="13">
        <v>3</v>
      </c>
      <c r="C8381" s="17" t="s">
        <v>97</v>
      </c>
      <c r="D8381" s="17">
        <v>203</v>
      </c>
      <c r="G8381" s="13">
        <v>3</v>
      </c>
      <c r="H8381" s="17">
        <v>20</v>
      </c>
      <c r="I8381" s="17">
        <v>0</v>
      </c>
      <c r="J8381" s="17">
        <v>0</v>
      </c>
      <c r="K8381" s="10">
        <v>8000</v>
      </c>
      <c r="P8381" s="17">
        <v>1</v>
      </c>
      <c r="Q8381" s="19">
        <v>8000</v>
      </c>
      <c r="R8381" s="14" t="e">
        <v>#N/A</v>
      </c>
      <c r="S8381" s="19" t="e">
        <v>#N/A</v>
      </c>
      <c r="AJ8381" s="19">
        <v>0</v>
      </c>
      <c r="AK8381" s="23">
        <v>0</v>
      </c>
      <c r="AM8381" s="19">
        <v>0</v>
      </c>
      <c r="AN8381" s="19" t="e">
        <v>#N/A</v>
      </c>
      <c r="AP8381" s="14" t="e">
        <v>#N/A</v>
      </c>
      <c r="AQ8381" s="12">
        <v>1E-4</v>
      </c>
    </row>
    <row r="8382" spans="1:45" x14ac:dyDescent="0.2">
      <c r="A8382" s="2">
        <v>6939</v>
      </c>
      <c r="B8382" s="13">
        <v>4</v>
      </c>
      <c r="C8382" s="17" t="s">
        <v>65</v>
      </c>
      <c r="D8382" s="17">
        <v>394</v>
      </c>
      <c r="E8382" s="17">
        <v>55</v>
      </c>
      <c r="H8382" s="17">
        <v>3</v>
      </c>
      <c r="I8382" s="17">
        <v>0</v>
      </c>
      <c r="J8382" s="17">
        <v>33</v>
      </c>
      <c r="K8382" s="10">
        <v>1233</v>
      </c>
      <c r="P8382" s="17">
        <v>1</v>
      </c>
      <c r="Q8382" s="19">
        <v>1233</v>
      </c>
      <c r="R8382" s="14">
        <v>160</v>
      </c>
      <c r="S8382" s="19">
        <v>197280</v>
      </c>
      <c r="AE8382" s="17" t="s">
        <v>94</v>
      </c>
      <c r="AJ8382" s="19">
        <v>0</v>
      </c>
      <c r="AK8382" s="23">
        <v>0</v>
      </c>
      <c r="AM8382" s="19">
        <v>0</v>
      </c>
      <c r="AN8382" s="19">
        <v>197280</v>
      </c>
      <c r="AP8382" s="14">
        <v>197280</v>
      </c>
      <c r="AQ8382" s="12">
        <v>1E-4</v>
      </c>
    </row>
    <row r="8383" spans="1:45" x14ac:dyDescent="0.2">
      <c r="B8383" s="13">
        <v>1</v>
      </c>
      <c r="C8383" s="17" t="s">
        <v>65</v>
      </c>
      <c r="D8383" s="17">
        <v>3678</v>
      </c>
      <c r="E8383" s="17">
        <v>267</v>
      </c>
      <c r="H8383" s="17">
        <v>1</v>
      </c>
      <c r="I8383" s="17">
        <v>3</v>
      </c>
      <c r="J8383" s="17">
        <v>44</v>
      </c>
      <c r="K8383" s="10">
        <v>744</v>
      </c>
      <c r="P8383" s="17">
        <v>1</v>
      </c>
      <c r="Q8383" s="19">
        <v>744</v>
      </c>
      <c r="R8383" s="14" t="e">
        <v>#N/A</v>
      </c>
      <c r="S8383" s="19" t="e">
        <v>#N/A</v>
      </c>
      <c r="AE8383" s="17" t="s">
        <v>94</v>
      </c>
      <c r="AJ8383" s="19">
        <v>0</v>
      </c>
      <c r="AK8383" s="23">
        <v>0</v>
      </c>
      <c r="AM8383" s="19">
        <v>0</v>
      </c>
      <c r="AN8383" s="19" t="e">
        <v>#N/A</v>
      </c>
      <c r="AP8383" s="14" t="e">
        <v>#N/A</v>
      </c>
      <c r="AQ8383" s="12">
        <v>1E-4</v>
      </c>
    </row>
    <row r="8384" spans="1:45" x14ac:dyDescent="0.2">
      <c r="A8384" s="2">
        <v>6940</v>
      </c>
      <c r="B8384" s="13">
        <v>1</v>
      </c>
      <c r="C8384" s="17" t="s">
        <v>65</v>
      </c>
      <c r="D8384" s="17">
        <v>1882</v>
      </c>
      <c r="E8384" s="17">
        <v>153</v>
      </c>
      <c r="H8384" s="17">
        <v>0</v>
      </c>
      <c r="I8384" s="17">
        <v>1</v>
      </c>
      <c r="J8384" s="17">
        <v>0</v>
      </c>
      <c r="K8384" s="10">
        <v>100</v>
      </c>
      <c r="P8384" s="17">
        <v>1</v>
      </c>
      <c r="Q8384" s="19">
        <v>100</v>
      </c>
      <c r="R8384" s="14">
        <v>1500</v>
      </c>
      <c r="S8384" s="19">
        <v>150000</v>
      </c>
      <c r="AJ8384" s="19">
        <v>0</v>
      </c>
      <c r="AK8384" s="23">
        <v>0</v>
      </c>
      <c r="AM8384" s="19">
        <v>0</v>
      </c>
      <c r="AN8384" s="19">
        <v>150000</v>
      </c>
      <c r="AP8384" s="14">
        <v>150000</v>
      </c>
      <c r="AQ8384" s="12">
        <v>1E-4</v>
      </c>
    </row>
    <row r="8385" spans="1:49" x14ac:dyDescent="0.2">
      <c r="B8385" s="13">
        <v>1</v>
      </c>
      <c r="C8385" s="17" t="s">
        <v>97</v>
      </c>
      <c r="D8385" s="17">
        <v>26</v>
      </c>
      <c r="G8385" s="13">
        <v>6</v>
      </c>
      <c r="H8385" s="17">
        <v>49</v>
      </c>
      <c r="I8385" s="17">
        <v>3</v>
      </c>
      <c r="J8385" s="17">
        <v>50</v>
      </c>
      <c r="K8385" s="10">
        <v>19950</v>
      </c>
      <c r="P8385" s="17">
        <v>1</v>
      </c>
      <c r="Q8385" s="19">
        <v>19950</v>
      </c>
      <c r="R8385" s="14" t="e">
        <v>#N/A</v>
      </c>
      <c r="S8385" s="19" t="e">
        <v>#N/A</v>
      </c>
      <c r="AJ8385" s="19">
        <v>0</v>
      </c>
      <c r="AK8385" s="23">
        <v>0</v>
      </c>
      <c r="AM8385" s="19">
        <v>0</v>
      </c>
      <c r="AN8385" s="19" t="e">
        <v>#N/A</v>
      </c>
      <c r="AP8385" s="14" t="e">
        <v>#N/A</v>
      </c>
      <c r="AQ8385" s="12">
        <v>1E-4</v>
      </c>
    </row>
    <row r="8386" spans="1:49" x14ac:dyDescent="0.2">
      <c r="B8386" s="13">
        <v>1</v>
      </c>
      <c r="C8386" s="17" t="s">
        <v>65</v>
      </c>
      <c r="D8386" s="17">
        <v>3545</v>
      </c>
      <c r="E8386" s="17">
        <v>243</v>
      </c>
      <c r="H8386" s="17">
        <v>6</v>
      </c>
      <c r="I8386" s="17">
        <v>0</v>
      </c>
      <c r="J8386" s="17">
        <v>7</v>
      </c>
      <c r="K8386" s="10">
        <v>2407</v>
      </c>
      <c r="P8386" s="17">
        <v>1</v>
      </c>
      <c r="Q8386" s="19">
        <v>2407</v>
      </c>
      <c r="R8386" s="14" t="e">
        <v>#N/A</v>
      </c>
      <c r="S8386" s="19" t="e">
        <v>#N/A</v>
      </c>
      <c r="AJ8386" s="19">
        <v>0</v>
      </c>
      <c r="AK8386" s="23">
        <v>0</v>
      </c>
      <c r="AM8386" s="19">
        <v>0</v>
      </c>
      <c r="AN8386" s="19" t="e">
        <v>#N/A</v>
      </c>
      <c r="AP8386" s="14" t="e">
        <v>#N/A</v>
      </c>
      <c r="AQ8386" s="12">
        <v>1E-4</v>
      </c>
    </row>
    <row r="8387" spans="1:49" x14ac:dyDescent="0.2">
      <c r="A8387" s="2">
        <v>6942</v>
      </c>
      <c r="B8387" s="13">
        <v>1</v>
      </c>
      <c r="C8387" s="17" t="s">
        <v>65</v>
      </c>
      <c r="D8387" s="17">
        <v>417</v>
      </c>
      <c r="E8387" s="17">
        <v>79</v>
      </c>
      <c r="H8387" s="17">
        <v>4</v>
      </c>
      <c r="I8387" s="17">
        <v>1</v>
      </c>
      <c r="J8387" s="17">
        <v>16</v>
      </c>
      <c r="K8387" s="10">
        <v>1716</v>
      </c>
      <c r="P8387" s="17">
        <v>1</v>
      </c>
      <c r="Q8387" s="19">
        <v>1716</v>
      </c>
      <c r="R8387" s="14">
        <v>200</v>
      </c>
      <c r="S8387" s="19">
        <v>343200</v>
      </c>
      <c r="AJ8387" s="19">
        <v>0</v>
      </c>
      <c r="AK8387" s="23">
        <v>0</v>
      </c>
      <c r="AM8387" s="19">
        <v>0</v>
      </c>
      <c r="AN8387" s="19">
        <v>343200</v>
      </c>
      <c r="AP8387" s="14">
        <v>343200</v>
      </c>
      <c r="AQ8387" s="12">
        <v>1E-4</v>
      </c>
    </row>
    <row r="8388" spans="1:49" x14ac:dyDescent="0.2">
      <c r="B8388" s="13">
        <v>1</v>
      </c>
      <c r="C8388" s="17" t="s">
        <v>97</v>
      </c>
      <c r="D8388" s="17">
        <v>76</v>
      </c>
      <c r="G8388" s="13">
        <v>4</v>
      </c>
      <c r="H8388" s="17">
        <v>6</v>
      </c>
      <c r="I8388" s="17">
        <v>0</v>
      </c>
      <c r="J8388" s="17">
        <v>0</v>
      </c>
      <c r="K8388" s="10">
        <v>2400</v>
      </c>
      <c r="P8388" s="17">
        <v>1</v>
      </c>
      <c r="Q8388" s="19">
        <v>2400</v>
      </c>
      <c r="R8388" s="14" t="e">
        <v>#N/A</v>
      </c>
      <c r="S8388" s="19" t="e">
        <v>#N/A</v>
      </c>
      <c r="AJ8388" s="19">
        <v>0</v>
      </c>
      <c r="AK8388" s="23">
        <v>0</v>
      </c>
      <c r="AM8388" s="19">
        <v>0</v>
      </c>
      <c r="AN8388" s="19" t="e">
        <v>#N/A</v>
      </c>
      <c r="AP8388" s="14" t="e">
        <v>#N/A</v>
      </c>
      <c r="AQ8388" s="12">
        <v>1E-4</v>
      </c>
    </row>
    <row r="8389" spans="1:49" x14ac:dyDescent="0.2">
      <c r="A8389" s="2">
        <v>6943</v>
      </c>
      <c r="B8389" s="13">
        <v>2</v>
      </c>
      <c r="C8389" s="17" t="s">
        <v>65</v>
      </c>
      <c r="D8389" s="17">
        <v>2095</v>
      </c>
      <c r="E8389" s="17">
        <v>2</v>
      </c>
      <c r="H8389" s="17">
        <v>13</v>
      </c>
      <c r="I8389" s="17">
        <v>2</v>
      </c>
      <c r="J8389" s="17">
        <v>95</v>
      </c>
      <c r="K8389" s="10">
        <v>5495</v>
      </c>
      <c r="P8389" s="17">
        <v>1</v>
      </c>
      <c r="Q8389" s="19">
        <v>5495</v>
      </c>
      <c r="R8389" s="14">
        <v>1000</v>
      </c>
      <c r="S8389" s="19">
        <v>5495000</v>
      </c>
      <c r="AE8389" s="17" t="s">
        <v>94</v>
      </c>
      <c r="AJ8389" s="19">
        <v>0</v>
      </c>
      <c r="AK8389" s="23">
        <v>0</v>
      </c>
      <c r="AM8389" s="19">
        <v>0</v>
      </c>
      <c r="AN8389" s="19">
        <v>5495000</v>
      </c>
      <c r="AP8389" s="14">
        <v>5495000</v>
      </c>
      <c r="AQ8389" s="12">
        <v>1E-4</v>
      </c>
    </row>
    <row r="8390" spans="1:49" x14ac:dyDescent="0.2">
      <c r="A8390" s="2">
        <v>6944</v>
      </c>
      <c r="B8390" s="13">
        <v>1</v>
      </c>
      <c r="C8390" s="17" t="s">
        <v>65</v>
      </c>
      <c r="D8390" s="17">
        <v>1926</v>
      </c>
      <c r="E8390" s="17">
        <v>105</v>
      </c>
      <c r="H8390" s="17">
        <v>2</v>
      </c>
      <c r="I8390" s="17">
        <v>2</v>
      </c>
      <c r="J8390" s="17">
        <v>76</v>
      </c>
      <c r="K8390" s="10">
        <v>1076</v>
      </c>
      <c r="P8390" s="17">
        <v>1</v>
      </c>
      <c r="Q8390" s="19">
        <v>1076</v>
      </c>
      <c r="R8390" s="14">
        <v>160</v>
      </c>
      <c r="S8390" s="19">
        <v>172160</v>
      </c>
      <c r="AJ8390" s="19">
        <v>0</v>
      </c>
      <c r="AK8390" s="23">
        <v>0</v>
      </c>
      <c r="AM8390" s="19">
        <v>0</v>
      </c>
      <c r="AN8390" s="19">
        <v>172160</v>
      </c>
      <c r="AP8390" s="14">
        <v>172160</v>
      </c>
      <c r="AQ8390" s="12">
        <v>1E-4</v>
      </c>
      <c r="AS8390" s="26">
        <v>10</v>
      </c>
    </row>
    <row r="8391" spans="1:49" x14ac:dyDescent="0.2">
      <c r="B8391" s="13">
        <v>1</v>
      </c>
      <c r="C8391" s="17" t="s">
        <v>97</v>
      </c>
      <c r="D8391" s="17">
        <v>235</v>
      </c>
      <c r="G8391" s="13">
        <v>2</v>
      </c>
      <c r="H8391" s="17">
        <v>3</v>
      </c>
      <c r="I8391" s="17">
        <v>0</v>
      </c>
      <c r="J8391" s="17">
        <v>28</v>
      </c>
      <c r="K8391" s="10">
        <v>1228</v>
      </c>
      <c r="P8391" s="17">
        <v>1</v>
      </c>
      <c r="Q8391" s="19">
        <v>1228</v>
      </c>
      <c r="R8391" s="14" t="e">
        <v>#N/A</v>
      </c>
      <c r="S8391" s="19" t="e">
        <v>#N/A</v>
      </c>
      <c r="AJ8391" s="19">
        <v>0</v>
      </c>
      <c r="AK8391" s="23">
        <v>0</v>
      </c>
      <c r="AM8391" s="19">
        <v>0</v>
      </c>
      <c r="AN8391" s="19" t="e">
        <v>#N/A</v>
      </c>
      <c r="AP8391" s="14" t="e">
        <v>#N/A</v>
      </c>
      <c r="AQ8391" s="12">
        <v>1E-4</v>
      </c>
    </row>
    <row r="8392" spans="1:49" x14ac:dyDescent="0.2">
      <c r="A8392" s="2">
        <v>6945</v>
      </c>
      <c r="B8392" s="13">
        <v>1</v>
      </c>
      <c r="C8392" s="17" t="s">
        <v>65</v>
      </c>
      <c r="D8392" s="17">
        <v>1604</v>
      </c>
      <c r="E8392" s="17">
        <v>81</v>
      </c>
      <c r="H8392" s="17">
        <v>5</v>
      </c>
      <c r="I8392" s="17">
        <v>0</v>
      </c>
      <c r="J8392" s="17">
        <v>36</v>
      </c>
      <c r="K8392" s="10">
        <v>2036</v>
      </c>
      <c r="P8392" s="17">
        <v>1</v>
      </c>
      <c r="Q8392" s="19">
        <v>2036</v>
      </c>
      <c r="R8392" s="14">
        <v>160</v>
      </c>
      <c r="S8392" s="19">
        <v>325760</v>
      </c>
      <c r="AJ8392" s="19">
        <v>0</v>
      </c>
      <c r="AK8392" s="23">
        <v>0</v>
      </c>
      <c r="AM8392" s="19">
        <v>0</v>
      </c>
      <c r="AN8392" s="19">
        <v>325760</v>
      </c>
      <c r="AP8392" s="14">
        <v>325760</v>
      </c>
      <c r="AQ8392" s="12">
        <v>1E-4</v>
      </c>
      <c r="AS8392" s="26">
        <v>16</v>
      </c>
    </row>
    <row r="8393" spans="1:49" x14ac:dyDescent="0.2">
      <c r="A8393" s="2">
        <f>+A8392+1</f>
        <v>6946</v>
      </c>
      <c r="B8393" s="13">
        <v>1</v>
      </c>
      <c r="C8393" s="17" t="s">
        <v>65</v>
      </c>
      <c r="D8393" s="17">
        <v>3097</v>
      </c>
      <c r="E8393" s="17">
        <v>63</v>
      </c>
      <c r="H8393" s="17">
        <v>0</v>
      </c>
      <c r="I8393" s="17">
        <v>1</v>
      </c>
      <c r="J8393" s="17">
        <v>64</v>
      </c>
      <c r="K8393" s="10">
        <v>164</v>
      </c>
      <c r="P8393" s="17">
        <v>2</v>
      </c>
      <c r="Q8393" s="19">
        <v>164</v>
      </c>
      <c r="R8393" s="14">
        <v>2000</v>
      </c>
      <c r="S8393" s="19">
        <v>328000</v>
      </c>
      <c r="AJ8393" s="19">
        <v>0</v>
      </c>
      <c r="AK8393" s="23">
        <v>0</v>
      </c>
      <c r="AM8393" s="19">
        <v>0</v>
      </c>
      <c r="AN8393" s="19">
        <v>328000</v>
      </c>
      <c r="AP8393" s="14">
        <v>328000</v>
      </c>
      <c r="AQ8393" s="12">
        <v>2.0000000000000001E-4</v>
      </c>
    </row>
    <row r="8394" spans="1:49" x14ac:dyDescent="0.2">
      <c r="A8394" s="122">
        <f t="shared" ref="A8394:A8397" si="783">+A8393+1</f>
        <v>6947</v>
      </c>
      <c r="B8394" s="13">
        <v>1</v>
      </c>
      <c r="C8394" s="17" t="s">
        <v>65</v>
      </c>
      <c r="D8394" s="17">
        <v>1919</v>
      </c>
      <c r="E8394" s="17">
        <v>98</v>
      </c>
      <c r="H8394" s="17">
        <v>2</v>
      </c>
      <c r="I8394" s="17">
        <v>3</v>
      </c>
      <c r="J8394" s="17">
        <v>23</v>
      </c>
      <c r="K8394" s="10">
        <v>1123</v>
      </c>
      <c r="P8394" s="17">
        <v>1</v>
      </c>
      <c r="Q8394" s="19">
        <v>1123</v>
      </c>
      <c r="R8394" s="14">
        <v>160</v>
      </c>
      <c r="S8394" s="19">
        <v>179680</v>
      </c>
      <c r="AJ8394" s="19">
        <v>0</v>
      </c>
      <c r="AK8394" s="23">
        <v>0</v>
      </c>
      <c r="AM8394" s="19">
        <v>0</v>
      </c>
      <c r="AN8394" s="19">
        <v>179680</v>
      </c>
      <c r="AP8394" s="14">
        <v>179680</v>
      </c>
      <c r="AQ8394" s="12">
        <v>1E-4</v>
      </c>
    </row>
    <row r="8395" spans="1:49" x14ac:dyDescent="0.2">
      <c r="A8395" s="122">
        <f t="shared" si="783"/>
        <v>6948</v>
      </c>
      <c r="B8395" s="13">
        <v>1</v>
      </c>
      <c r="C8395" s="17" t="s">
        <v>65</v>
      </c>
      <c r="D8395" s="17">
        <v>2222</v>
      </c>
      <c r="E8395" s="17">
        <v>150</v>
      </c>
      <c r="H8395" s="17">
        <v>0</v>
      </c>
      <c r="I8395" s="17">
        <v>3</v>
      </c>
      <c r="J8395" s="17">
        <v>0</v>
      </c>
      <c r="K8395" s="10">
        <v>300</v>
      </c>
      <c r="P8395" s="17">
        <v>1</v>
      </c>
      <c r="Q8395" s="19">
        <v>300</v>
      </c>
      <c r="R8395" s="14">
        <v>160</v>
      </c>
      <c r="S8395" s="19">
        <v>48000</v>
      </c>
      <c r="AJ8395" s="19">
        <v>0</v>
      </c>
      <c r="AK8395" s="23">
        <v>0</v>
      </c>
      <c r="AM8395" s="19">
        <v>0</v>
      </c>
      <c r="AN8395" s="19">
        <v>48000</v>
      </c>
      <c r="AP8395" s="14">
        <v>48000</v>
      </c>
      <c r="AQ8395" s="12">
        <v>1E-4</v>
      </c>
    </row>
    <row r="8396" spans="1:49" x14ac:dyDescent="0.2">
      <c r="A8396" s="122">
        <f t="shared" si="783"/>
        <v>6949</v>
      </c>
      <c r="B8396" s="13">
        <v>1</v>
      </c>
      <c r="C8396" s="17" t="s">
        <v>65</v>
      </c>
      <c r="D8396" s="17">
        <v>1590</v>
      </c>
      <c r="E8396" s="17">
        <v>163</v>
      </c>
      <c r="H8396" s="17">
        <v>3</v>
      </c>
      <c r="I8396" s="17">
        <v>2</v>
      </c>
      <c r="J8396" s="17">
        <v>93</v>
      </c>
      <c r="K8396" s="10">
        <v>1493</v>
      </c>
      <c r="P8396" s="17">
        <v>1</v>
      </c>
      <c r="Q8396" s="19">
        <v>1493</v>
      </c>
      <c r="R8396" s="14">
        <v>200</v>
      </c>
      <c r="S8396" s="19">
        <v>298600</v>
      </c>
      <c r="AJ8396" s="19">
        <v>0</v>
      </c>
      <c r="AK8396" s="23">
        <v>0</v>
      </c>
      <c r="AM8396" s="19">
        <v>0</v>
      </c>
      <c r="AN8396" s="19">
        <v>298600</v>
      </c>
      <c r="AP8396" s="14">
        <v>298600</v>
      </c>
      <c r="AQ8396" s="12">
        <v>1E-4</v>
      </c>
    </row>
    <row r="8397" spans="1:49" x14ac:dyDescent="0.2">
      <c r="A8397" s="122">
        <f t="shared" si="783"/>
        <v>6950</v>
      </c>
      <c r="B8397" s="13">
        <v>1</v>
      </c>
      <c r="C8397" s="17" t="s">
        <v>65</v>
      </c>
      <c r="D8397" s="17">
        <v>2342</v>
      </c>
      <c r="E8397" s="17">
        <v>122</v>
      </c>
      <c r="H8397" s="17">
        <v>1</v>
      </c>
      <c r="I8397" s="17">
        <v>1</v>
      </c>
      <c r="J8397" s="17">
        <v>10</v>
      </c>
      <c r="K8397" s="10">
        <v>510</v>
      </c>
      <c r="P8397" s="17">
        <v>1</v>
      </c>
      <c r="Q8397" s="19">
        <v>510</v>
      </c>
      <c r="R8397" s="14">
        <v>160</v>
      </c>
      <c r="S8397" s="19">
        <v>81600</v>
      </c>
      <c r="AE8397" s="17" t="s">
        <v>95</v>
      </c>
      <c r="AJ8397" s="19">
        <v>0</v>
      </c>
      <c r="AK8397" s="23">
        <v>0</v>
      </c>
      <c r="AM8397" s="19">
        <v>0</v>
      </c>
      <c r="AN8397" s="19">
        <v>81600</v>
      </c>
      <c r="AP8397" s="14">
        <v>81600</v>
      </c>
      <c r="AQ8397" s="12">
        <v>1E-4</v>
      </c>
    </row>
    <row r="8398" spans="1:49" x14ac:dyDescent="0.2">
      <c r="B8398" s="13">
        <v>1</v>
      </c>
      <c r="C8398" s="17" t="s">
        <v>65</v>
      </c>
      <c r="D8398" s="17">
        <v>233</v>
      </c>
      <c r="E8398" s="17">
        <v>60</v>
      </c>
      <c r="H8398" s="17">
        <v>8</v>
      </c>
      <c r="I8398" s="17">
        <v>1</v>
      </c>
      <c r="J8398" s="17">
        <v>0</v>
      </c>
      <c r="K8398" s="10">
        <v>3300</v>
      </c>
      <c r="P8398" s="17">
        <v>1</v>
      </c>
      <c r="Q8398" s="19">
        <v>3300</v>
      </c>
      <c r="R8398" s="14" t="e">
        <v>#N/A</v>
      </c>
      <c r="S8398" s="19" t="e">
        <v>#N/A</v>
      </c>
      <c r="AE8398" s="17" t="s">
        <v>94</v>
      </c>
      <c r="AJ8398" s="19">
        <v>0</v>
      </c>
      <c r="AK8398" s="23">
        <v>0</v>
      </c>
      <c r="AM8398" s="19">
        <v>0</v>
      </c>
      <c r="AN8398" s="19" t="e">
        <v>#N/A</v>
      </c>
      <c r="AP8398" s="14" t="e">
        <v>#N/A</v>
      </c>
      <c r="AQ8398" s="12">
        <v>1E-4</v>
      </c>
      <c r="AS8398" s="26">
        <v>74</v>
      </c>
      <c r="AW8398" s="14" t="s">
        <v>102</v>
      </c>
    </row>
    <row r="8399" spans="1:49" x14ac:dyDescent="0.2">
      <c r="B8399" s="13">
        <v>2</v>
      </c>
      <c r="C8399" s="17" t="s">
        <v>65</v>
      </c>
      <c r="D8399" s="17">
        <v>286</v>
      </c>
      <c r="E8399" s="17">
        <v>115</v>
      </c>
      <c r="H8399" s="17">
        <v>0</v>
      </c>
      <c r="I8399" s="17">
        <v>1</v>
      </c>
      <c r="J8399" s="17">
        <v>10</v>
      </c>
      <c r="K8399" s="10">
        <v>110</v>
      </c>
      <c r="P8399" s="17">
        <v>1</v>
      </c>
      <c r="Q8399" s="19">
        <v>110</v>
      </c>
      <c r="R8399" s="14" t="e">
        <v>#N/A</v>
      </c>
      <c r="S8399" s="19" t="e">
        <v>#N/A</v>
      </c>
      <c r="AE8399" s="17" t="s">
        <v>94</v>
      </c>
      <c r="AJ8399" s="19">
        <v>0</v>
      </c>
      <c r="AK8399" s="23">
        <v>0</v>
      </c>
      <c r="AM8399" s="19">
        <v>0</v>
      </c>
      <c r="AN8399" s="19" t="e">
        <v>#N/A</v>
      </c>
      <c r="AP8399" s="14" t="e">
        <v>#N/A</v>
      </c>
      <c r="AQ8399" s="12">
        <v>1E-4</v>
      </c>
    </row>
    <row r="8400" spans="1:49" x14ac:dyDescent="0.2">
      <c r="A8400" s="2">
        <v>6951</v>
      </c>
      <c r="B8400" s="13">
        <v>1</v>
      </c>
      <c r="C8400" s="17" t="s">
        <v>65</v>
      </c>
      <c r="D8400" s="17">
        <v>1123</v>
      </c>
      <c r="E8400" s="17">
        <v>32</v>
      </c>
      <c r="H8400" s="17">
        <v>15</v>
      </c>
      <c r="I8400" s="17">
        <v>3</v>
      </c>
      <c r="J8400" s="17">
        <v>0</v>
      </c>
      <c r="K8400" s="10">
        <v>6300</v>
      </c>
      <c r="P8400" s="17">
        <v>1</v>
      </c>
      <c r="Q8400" s="19">
        <v>6300</v>
      </c>
      <c r="R8400" s="14">
        <v>160</v>
      </c>
      <c r="S8400" s="19">
        <v>1008000</v>
      </c>
      <c r="AJ8400" s="19">
        <v>0</v>
      </c>
      <c r="AK8400" s="23">
        <v>0</v>
      </c>
      <c r="AM8400" s="19">
        <v>0</v>
      </c>
      <c r="AN8400" s="19">
        <v>1008000</v>
      </c>
      <c r="AP8400" s="14">
        <v>1008000</v>
      </c>
      <c r="AQ8400" s="12">
        <v>1E-4</v>
      </c>
    </row>
    <row r="8401" spans="1:45" x14ac:dyDescent="0.2">
      <c r="B8401" s="13">
        <v>1</v>
      </c>
      <c r="C8401" s="17" t="s">
        <v>97</v>
      </c>
      <c r="D8401" s="17">
        <v>2</v>
      </c>
      <c r="G8401" s="13">
        <v>6</v>
      </c>
      <c r="H8401" s="17">
        <v>2</v>
      </c>
      <c r="I8401" s="17">
        <v>2</v>
      </c>
      <c r="J8401" s="17">
        <v>0</v>
      </c>
      <c r="K8401" s="10">
        <v>1000</v>
      </c>
      <c r="P8401" s="17">
        <v>1</v>
      </c>
      <c r="Q8401" s="19">
        <v>1000</v>
      </c>
      <c r="R8401" s="14" t="e">
        <v>#N/A</v>
      </c>
      <c r="S8401" s="19" t="e">
        <v>#N/A</v>
      </c>
      <c r="AJ8401" s="19">
        <v>0</v>
      </c>
      <c r="AK8401" s="23">
        <v>0</v>
      </c>
      <c r="AM8401" s="19">
        <v>0</v>
      </c>
      <c r="AN8401" s="19" t="e">
        <v>#N/A</v>
      </c>
      <c r="AP8401" s="14" t="e">
        <v>#N/A</v>
      </c>
      <c r="AQ8401" s="12">
        <v>1E-4</v>
      </c>
    </row>
    <row r="8402" spans="1:45" x14ac:dyDescent="0.2">
      <c r="B8402" s="13">
        <v>2</v>
      </c>
      <c r="C8402" s="17" t="s">
        <v>97</v>
      </c>
      <c r="D8402" s="17">
        <v>52</v>
      </c>
      <c r="G8402" s="13">
        <v>6</v>
      </c>
      <c r="H8402" s="17">
        <v>2</v>
      </c>
      <c r="I8402" s="17">
        <v>2</v>
      </c>
      <c r="J8402" s="17">
        <v>50</v>
      </c>
      <c r="K8402" s="10">
        <v>1050</v>
      </c>
      <c r="P8402" s="17">
        <v>1</v>
      </c>
      <c r="Q8402" s="19">
        <v>1050</v>
      </c>
      <c r="R8402" s="14" t="e">
        <v>#N/A</v>
      </c>
      <c r="S8402" s="19" t="e">
        <v>#N/A</v>
      </c>
      <c r="AJ8402" s="19">
        <v>0</v>
      </c>
      <c r="AK8402" s="23">
        <v>0</v>
      </c>
      <c r="AM8402" s="19">
        <v>0</v>
      </c>
      <c r="AN8402" s="19" t="e">
        <v>#N/A</v>
      </c>
      <c r="AP8402" s="14" t="e">
        <v>#N/A</v>
      </c>
      <c r="AQ8402" s="12">
        <v>1E-4</v>
      </c>
    </row>
    <row r="8403" spans="1:45" x14ac:dyDescent="0.2">
      <c r="A8403" s="2">
        <v>6952</v>
      </c>
      <c r="B8403" s="13">
        <v>1</v>
      </c>
      <c r="C8403" s="17" t="s">
        <v>65</v>
      </c>
      <c r="D8403" s="17">
        <v>1067</v>
      </c>
      <c r="E8403" s="17">
        <v>99</v>
      </c>
      <c r="H8403" s="17">
        <v>0</v>
      </c>
      <c r="I8403" s="17">
        <v>0</v>
      </c>
      <c r="J8403" s="17">
        <v>63</v>
      </c>
      <c r="K8403" s="10">
        <v>63</v>
      </c>
      <c r="P8403" s="17">
        <v>1</v>
      </c>
      <c r="Q8403" s="19">
        <v>63</v>
      </c>
      <c r="R8403" s="14">
        <v>1500</v>
      </c>
      <c r="S8403" s="19">
        <v>94500</v>
      </c>
      <c r="AJ8403" s="19">
        <v>0</v>
      </c>
      <c r="AK8403" s="23">
        <v>0</v>
      </c>
      <c r="AM8403" s="19">
        <v>0</v>
      </c>
      <c r="AN8403" s="19">
        <v>94500</v>
      </c>
      <c r="AP8403" s="14">
        <v>94500</v>
      </c>
      <c r="AQ8403" s="12">
        <v>1E-4</v>
      </c>
    </row>
    <row r="8404" spans="1:45" x14ac:dyDescent="0.2">
      <c r="A8404" s="2">
        <f>+A8403+1</f>
        <v>6953</v>
      </c>
      <c r="B8404" s="13">
        <v>1</v>
      </c>
      <c r="C8404" s="17" t="s">
        <v>65</v>
      </c>
      <c r="D8404" s="17">
        <v>594</v>
      </c>
      <c r="E8404" s="17">
        <v>208</v>
      </c>
      <c r="H8404" s="17">
        <v>3</v>
      </c>
      <c r="I8404" s="17">
        <v>3</v>
      </c>
      <c r="J8404" s="17">
        <v>66</v>
      </c>
      <c r="K8404" s="10">
        <v>1566</v>
      </c>
      <c r="P8404" s="17">
        <v>1</v>
      </c>
      <c r="Q8404" s="19">
        <v>1566</v>
      </c>
      <c r="R8404" s="14">
        <v>200</v>
      </c>
      <c r="S8404" s="19">
        <v>313200</v>
      </c>
      <c r="AJ8404" s="19">
        <v>0</v>
      </c>
      <c r="AK8404" s="23">
        <v>0</v>
      </c>
      <c r="AM8404" s="19">
        <v>0</v>
      </c>
      <c r="AN8404" s="19">
        <v>313200</v>
      </c>
      <c r="AP8404" s="14">
        <v>313200</v>
      </c>
      <c r="AQ8404" s="12">
        <v>1E-4</v>
      </c>
    </row>
    <row r="8405" spans="1:45" x14ac:dyDescent="0.2">
      <c r="A8405" s="122">
        <f t="shared" ref="A8405:A8408" si="784">+A8404+1</f>
        <v>6954</v>
      </c>
      <c r="B8405" s="13">
        <v>1</v>
      </c>
      <c r="C8405" s="17" t="s">
        <v>65</v>
      </c>
      <c r="D8405" s="17">
        <v>2034</v>
      </c>
      <c r="E8405" s="17">
        <v>157</v>
      </c>
      <c r="H8405" s="17">
        <v>2</v>
      </c>
      <c r="I8405" s="17">
        <v>3</v>
      </c>
      <c r="J8405" s="17">
        <v>20</v>
      </c>
      <c r="K8405" s="10">
        <v>1120</v>
      </c>
      <c r="P8405" s="17">
        <v>1</v>
      </c>
      <c r="Q8405" s="19">
        <v>1120</v>
      </c>
      <c r="R8405" s="14">
        <v>160</v>
      </c>
      <c r="S8405" s="19">
        <v>179200</v>
      </c>
      <c r="AJ8405" s="19">
        <v>0</v>
      </c>
      <c r="AK8405" s="23">
        <v>0</v>
      </c>
      <c r="AM8405" s="19">
        <v>0</v>
      </c>
      <c r="AN8405" s="19">
        <v>179200</v>
      </c>
      <c r="AP8405" s="14">
        <v>179200</v>
      </c>
      <c r="AQ8405" s="12">
        <v>1E-4</v>
      </c>
    </row>
    <row r="8406" spans="1:45" x14ac:dyDescent="0.2">
      <c r="A8406" s="122">
        <f t="shared" si="784"/>
        <v>6955</v>
      </c>
      <c r="B8406" s="13">
        <v>1</v>
      </c>
      <c r="C8406" s="17" t="s">
        <v>65</v>
      </c>
      <c r="D8406" s="17">
        <v>1039</v>
      </c>
      <c r="E8406" s="17">
        <v>210</v>
      </c>
      <c r="H8406" s="17">
        <v>1</v>
      </c>
      <c r="I8406" s="17">
        <v>2</v>
      </c>
      <c r="J8406" s="17">
        <v>0</v>
      </c>
      <c r="K8406" s="10">
        <v>600</v>
      </c>
      <c r="P8406" s="17">
        <v>1</v>
      </c>
      <c r="Q8406" s="19">
        <v>600</v>
      </c>
      <c r="R8406" s="14">
        <v>200</v>
      </c>
      <c r="S8406" s="19">
        <v>120000</v>
      </c>
      <c r="AJ8406" s="19">
        <v>0</v>
      </c>
      <c r="AK8406" s="23">
        <v>0</v>
      </c>
      <c r="AM8406" s="19">
        <v>0</v>
      </c>
      <c r="AN8406" s="19">
        <v>120000</v>
      </c>
      <c r="AP8406" s="14">
        <v>120000</v>
      </c>
      <c r="AQ8406" s="12">
        <v>1E-4</v>
      </c>
    </row>
    <row r="8407" spans="1:45" x14ac:dyDescent="0.2">
      <c r="A8407" s="122">
        <f t="shared" si="784"/>
        <v>6956</v>
      </c>
      <c r="B8407" s="13">
        <v>1</v>
      </c>
      <c r="C8407" s="17" t="s">
        <v>65</v>
      </c>
      <c r="D8407" s="17">
        <v>447</v>
      </c>
      <c r="E8407" s="17">
        <v>111</v>
      </c>
      <c r="H8407" s="17">
        <v>14</v>
      </c>
      <c r="I8407" s="17">
        <v>0</v>
      </c>
      <c r="J8407" s="17">
        <v>93</v>
      </c>
      <c r="K8407" s="10">
        <v>5693</v>
      </c>
      <c r="P8407" s="17">
        <v>1</v>
      </c>
      <c r="Q8407" s="19">
        <v>5693</v>
      </c>
      <c r="R8407" s="14">
        <v>200</v>
      </c>
      <c r="S8407" s="19">
        <v>1138600</v>
      </c>
      <c r="AJ8407" s="19">
        <v>0</v>
      </c>
      <c r="AK8407" s="23">
        <v>0</v>
      </c>
      <c r="AM8407" s="19">
        <v>0</v>
      </c>
      <c r="AN8407" s="19">
        <v>1138600</v>
      </c>
      <c r="AP8407" s="14">
        <v>1138600</v>
      </c>
      <c r="AQ8407" s="12">
        <v>1E-4</v>
      </c>
    </row>
    <row r="8408" spans="1:45" x14ac:dyDescent="0.2">
      <c r="A8408" s="122">
        <f t="shared" si="784"/>
        <v>6957</v>
      </c>
      <c r="B8408" s="13">
        <v>1</v>
      </c>
      <c r="C8408" s="17" t="s">
        <v>65</v>
      </c>
      <c r="D8408" s="17">
        <v>1124</v>
      </c>
      <c r="E8408" s="17">
        <v>33</v>
      </c>
      <c r="H8408" s="17">
        <v>10</v>
      </c>
      <c r="I8408" s="17">
        <v>1</v>
      </c>
      <c r="J8408" s="17">
        <v>50</v>
      </c>
      <c r="K8408" s="10">
        <v>4150</v>
      </c>
      <c r="P8408" s="17">
        <v>1</v>
      </c>
      <c r="Q8408" s="19">
        <v>4150</v>
      </c>
      <c r="R8408" s="14">
        <v>160</v>
      </c>
      <c r="S8408" s="19">
        <v>664000</v>
      </c>
      <c r="AJ8408" s="19">
        <v>0</v>
      </c>
      <c r="AK8408" s="23">
        <v>0</v>
      </c>
      <c r="AM8408" s="19">
        <v>0</v>
      </c>
      <c r="AN8408" s="19">
        <v>664000</v>
      </c>
      <c r="AP8408" s="14">
        <v>664000</v>
      </c>
      <c r="AQ8408" s="12">
        <v>1E-4</v>
      </c>
    </row>
    <row r="8409" spans="1:45" x14ac:dyDescent="0.2">
      <c r="B8409" s="13">
        <v>1</v>
      </c>
      <c r="C8409" s="17" t="s">
        <v>65</v>
      </c>
      <c r="D8409" s="17">
        <v>88</v>
      </c>
      <c r="E8409" s="17">
        <v>9</v>
      </c>
      <c r="H8409" s="17">
        <v>2</v>
      </c>
      <c r="I8409" s="17">
        <v>2</v>
      </c>
      <c r="J8409" s="17">
        <v>50</v>
      </c>
      <c r="K8409" s="10">
        <v>1050</v>
      </c>
      <c r="P8409" s="17">
        <v>1</v>
      </c>
      <c r="Q8409" s="19">
        <v>1050</v>
      </c>
      <c r="R8409" s="14" t="e">
        <v>#N/A</v>
      </c>
      <c r="S8409" s="19" t="e">
        <v>#N/A</v>
      </c>
      <c r="AE8409" s="17" t="s">
        <v>94</v>
      </c>
      <c r="AJ8409" s="19">
        <v>0</v>
      </c>
      <c r="AK8409" s="23">
        <v>0</v>
      </c>
      <c r="AM8409" s="19">
        <v>0</v>
      </c>
      <c r="AN8409" s="19" t="e">
        <v>#N/A</v>
      </c>
      <c r="AP8409" s="14" t="e">
        <v>#N/A</v>
      </c>
      <c r="AQ8409" s="12">
        <v>1E-4</v>
      </c>
    </row>
    <row r="8410" spans="1:45" ht="42" x14ac:dyDescent="0.2">
      <c r="A8410" s="2">
        <v>6958</v>
      </c>
      <c r="B8410" s="13">
        <v>1</v>
      </c>
      <c r="C8410" s="17" t="s">
        <v>65</v>
      </c>
      <c r="D8410" s="17">
        <v>3086</v>
      </c>
      <c r="E8410" s="17">
        <v>61</v>
      </c>
      <c r="H8410" s="17">
        <v>0</v>
      </c>
      <c r="I8410" s="17">
        <v>0</v>
      </c>
      <c r="J8410" s="17">
        <v>51</v>
      </c>
      <c r="L8410" s="17" t="s">
        <v>622</v>
      </c>
      <c r="P8410" s="17">
        <v>2</v>
      </c>
      <c r="Q8410" s="19">
        <v>51</v>
      </c>
      <c r="R8410" s="14">
        <v>2000</v>
      </c>
      <c r="S8410" s="19">
        <v>102000</v>
      </c>
      <c r="T8410" s="17">
        <v>1</v>
      </c>
      <c r="V8410" s="17" t="s">
        <v>183</v>
      </c>
      <c r="W8410" s="4">
        <v>108</v>
      </c>
      <c r="Y8410" s="4">
        <v>108</v>
      </c>
      <c r="AB8410" s="17">
        <v>8</v>
      </c>
      <c r="AJ8410" s="19">
        <v>0</v>
      </c>
      <c r="AK8410" s="23">
        <v>8</v>
      </c>
      <c r="AM8410" s="19">
        <v>0</v>
      </c>
      <c r="AN8410" s="19">
        <v>102000</v>
      </c>
      <c r="AP8410" s="14">
        <v>102000</v>
      </c>
      <c r="AQ8410" s="12">
        <v>2.0000000000000001E-4</v>
      </c>
    </row>
    <row r="8411" spans="1:45" x14ac:dyDescent="0.2">
      <c r="A8411" s="2">
        <v>6959</v>
      </c>
      <c r="B8411" s="13">
        <v>1</v>
      </c>
      <c r="C8411" s="17" t="s">
        <v>65</v>
      </c>
      <c r="D8411" s="17">
        <v>2906</v>
      </c>
      <c r="E8411" s="17">
        <v>195</v>
      </c>
      <c r="H8411" s="17">
        <v>0</v>
      </c>
      <c r="I8411" s="17">
        <v>0</v>
      </c>
      <c r="J8411" s="17">
        <v>86</v>
      </c>
      <c r="L8411" s="17">
        <v>86</v>
      </c>
      <c r="P8411" s="17">
        <v>2</v>
      </c>
      <c r="Q8411" s="19">
        <v>86</v>
      </c>
      <c r="R8411" s="14">
        <v>160</v>
      </c>
      <c r="S8411" s="19">
        <v>13760</v>
      </c>
      <c r="AJ8411" s="19">
        <v>0</v>
      </c>
      <c r="AK8411" s="23">
        <v>0</v>
      </c>
      <c r="AM8411" s="19">
        <v>0</v>
      </c>
      <c r="AN8411" s="19">
        <v>13760</v>
      </c>
      <c r="AP8411" s="14">
        <v>13760</v>
      </c>
      <c r="AQ8411" s="12">
        <v>1E-4</v>
      </c>
    </row>
    <row r="8412" spans="1:45" x14ac:dyDescent="0.2">
      <c r="A8412" s="2">
        <v>6960</v>
      </c>
      <c r="B8412" s="13">
        <v>1</v>
      </c>
      <c r="C8412" s="17" t="s">
        <v>65</v>
      </c>
      <c r="D8412" s="17">
        <v>2366</v>
      </c>
      <c r="E8412" s="17">
        <v>110</v>
      </c>
      <c r="H8412" s="17">
        <v>1</v>
      </c>
      <c r="I8412" s="17">
        <v>0</v>
      </c>
      <c r="J8412" s="17">
        <v>0</v>
      </c>
      <c r="K8412" s="10">
        <v>400</v>
      </c>
      <c r="P8412" s="17">
        <v>1</v>
      </c>
      <c r="Q8412" s="19">
        <v>400</v>
      </c>
      <c r="R8412" s="14">
        <v>160</v>
      </c>
      <c r="S8412" s="19">
        <v>64000</v>
      </c>
      <c r="AJ8412" s="19">
        <v>0</v>
      </c>
      <c r="AK8412" s="23">
        <v>0</v>
      </c>
      <c r="AM8412" s="19">
        <v>0</v>
      </c>
      <c r="AN8412" s="19">
        <v>64000</v>
      </c>
      <c r="AP8412" s="14">
        <v>64000</v>
      </c>
      <c r="AQ8412" s="12">
        <v>1E-4</v>
      </c>
      <c r="AS8412" s="26">
        <v>3</v>
      </c>
    </row>
    <row r="8413" spans="1:45" x14ac:dyDescent="0.2">
      <c r="Q8413" s="19">
        <v>0</v>
      </c>
      <c r="R8413" s="14" t="e">
        <v>#N/A</v>
      </c>
      <c r="S8413" s="19" t="e">
        <v>#N/A</v>
      </c>
      <c r="AJ8413" s="19">
        <v>0</v>
      </c>
      <c r="AK8413" s="23">
        <v>0</v>
      </c>
      <c r="AM8413" s="19">
        <v>0</v>
      </c>
      <c r="AN8413" s="19" t="e">
        <v>#N/A</v>
      </c>
      <c r="AP8413" s="14" t="e">
        <v>#N/A</v>
      </c>
      <c r="AQ8413" s="12">
        <v>1E-4</v>
      </c>
    </row>
    <row r="8414" spans="1:45" x14ac:dyDescent="0.2">
      <c r="B8414" s="13">
        <v>1</v>
      </c>
      <c r="C8414" s="17" t="s">
        <v>65</v>
      </c>
      <c r="D8414" s="17">
        <v>3706</v>
      </c>
      <c r="E8414" s="17">
        <v>276</v>
      </c>
      <c r="H8414" s="17">
        <v>5</v>
      </c>
      <c r="I8414" s="17">
        <v>2</v>
      </c>
      <c r="J8414" s="17">
        <v>17</v>
      </c>
      <c r="K8414" s="10">
        <v>2217</v>
      </c>
      <c r="P8414" s="17">
        <v>1</v>
      </c>
      <c r="Q8414" s="19">
        <v>2217</v>
      </c>
      <c r="R8414" s="14" t="e">
        <v>#N/A</v>
      </c>
      <c r="S8414" s="19" t="e">
        <v>#N/A</v>
      </c>
      <c r="AE8414" s="17" t="s">
        <v>94</v>
      </c>
      <c r="AJ8414" s="19">
        <v>0</v>
      </c>
      <c r="AK8414" s="23">
        <v>0</v>
      </c>
      <c r="AM8414" s="19">
        <v>0</v>
      </c>
      <c r="AN8414" s="19" t="e">
        <v>#N/A</v>
      </c>
      <c r="AP8414" s="14" t="e">
        <v>#N/A</v>
      </c>
      <c r="AQ8414" s="12">
        <v>1E-4</v>
      </c>
    </row>
    <row r="8415" spans="1:45" x14ac:dyDescent="0.2">
      <c r="A8415" s="2">
        <v>6961</v>
      </c>
      <c r="B8415" s="13">
        <v>1</v>
      </c>
      <c r="C8415" s="17" t="s">
        <v>65</v>
      </c>
      <c r="D8415" s="17">
        <v>1196</v>
      </c>
      <c r="E8415" s="17">
        <v>51</v>
      </c>
      <c r="H8415" s="17">
        <v>5</v>
      </c>
      <c r="I8415" s="17">
        <v>3</v>
      </c>
      <c r="J8415" s="17">
        <v>83</v>
      </c>
      <c r="K8415" s="10">
        <v>2383</v>
      </c>
      <c r="P8415" s="17">
        <v>1</v>
      </c>
      <c r="Q8415" s="19">
        <v>2383</v>
      </c>
      <c r="R8415" s="14">
        <v>1500</v>
      </c>
      <c r="S8415" s="19">
        <v>3574500</v>
      </c>
      <c r="AE8415" s="17" t="s">
        <v>94</v>
      </c>
      <c r="AJ8415" s="19">
        <v>0</v>
      </c>
      <c r="AK8415" s="23">
        <v>0</v>
      </c>
      <c r="AM8415" s="19">
        <v>0</v>
      </c>
      <c r="AN8415" s="19">
        <v>3574500</v>
      </c>
      <c r="AP8415" s="14">
        <v>3574500</v>
      </c>
      <c r="AQ8415" s="12">
        <v>1E-4</v>
      </c>
    </row>
    <row r="8416" spans="1:45" x14ac:dyDescent="0.2">
      <c r="A8416" s="2">
        <v>6962</v>
      </c>
      <c r="B8416" s="13">
        <v>1</v>
      </c>
      <c r="C8416" s="17" t="s">
        <v>65</v>
      </c>
      <c r="D8416" s="17">
        <v>760</v>
      </c>
      <c r="E8416" s="17">
        <v>7</v>
      </c>
      <c r="H8416" s="17">
        <v>2</v>
      </c>
      <c r="I8416" s="17">
        <v>3</v>
      </c>
      <c r="J8416" s="17">
        <v>60</v>
      </c>
      <c r="K8416" s="10">
        <v>1160</v>
      </c>
      <c r="P8416" s="17">
        <v>2</v>
      </c>
      <c r="Q8416" s="19">
        <v>1160</v>
      </c>
      <c r="R8416" s="14">
        <v>500</v>
      </c>
      <c r="S8416" s="19">
        <v>580000</v>
      </c>
      <c r="AM8416" s="19">
        <v>0</v>
      </c>
      <c r="AN8416" s="19">
        <v>580000</v>
      </c>
      <c r="AP8416" s="14">
        <v>580000</v>
      </c>
      <c r="AQ8416" s="12">
        <v>2.0000000000000001E-4</v>
      </c>
    </row>
    <row r="8417" spans="1:45" ht="63" x14ac:dyDescent="0.2">
      <c r="U8417" s="17" t="s">
        <v>57</v>
      </c>
      <c r="V8417" s="17" t="s">
        <v>88</v>
      </c>
      <c r="AB8417" s="17">
        <v>50</v>
      </c>
      <c r="AJ8417" s="19">
        <v>0</v>
      </c>
      <c r="AK8417" s="23">
        <v>50</v>
      </c>
    </row>
    <row r="8418" spans="1:45" ht="63" x14ac:dyDescent="0.2">
      <c r="U8418" s="17" t="s">
        <v>57</v>
      </c>
      <c r="V8418" s="17" t="s">
        <v>56</v>
      </c>
      <c r="AB8418" s="17">
        <v>2</v>
      </c>
    </row>
    <row r="8419" spans="1:45" x14ac:dyDescent="0.2">
      <c r="A8419" s="2">
        <v>6963</v>
      </c>
      <c r="B8419" s="13">
        <v>1</v>
      </c>
      <c r="C8419" s="17" t="s">
        <v>65</v>
      </c>
      <c r="D8419" s="17">
        <v>1954</v>
      </c>
      <c r="E8419" s="17">
        <v>40</v>
      </c>
      <c r="H8419" s="17">
        <v>3</v>
      </c>
      <c r="I8419" s="17">
        <v>3</v>
      </c>
      <c r="J8419" s="17">
        <v>60</v>
      </c>
      <c r="K8419" s="10">
        <v>1560</v>
      </c>
      <c r="P8419" s="17">
        <v>1</v>
      </c>
      <c r="Q8419" s="19">
        <v>1560</v>
      </c>
      <c r="R8419" s="14">
        <v>160</v>
      </c>
      <c r="S8419" s="19">
        <v>249600</v>
      </c>
      <c r="AJ8419" s="19">
        <v>0</v>
      </c>
      <c r="AK8419" s="23">
        <v>0</v>
      </c>
      <c r="AM8419" s="19">
        <v>0</v>
      </c>
      <c r="AN8419" s="19">
        <v>249600</v>
      </c>
      <c r="AP8419" s="14">
        <v>249600</v>
      </c>
      <c r="AQ8419" s="12">
        <v>1E-4</v>
      </c>
      <c r="AS8419" s="26">
        <v>10</v>
      </c>
    </row>
    <row r="8420" spans="1:45" x14ac:dyDescent="0.2">
      <c r="B8420" s="13">
        <v>1</v>
      </c>
      <c r="C8420" s="17" t="s">
        <v>97</v>
      </c>
      <c r="D8420" s="17">
        <v>209</v>
      </c>
      <c r="G8420" s="13">
        <v>3</v>
      </c>
      <c r="H8420" s="17">
        <v>25</v>
      </c>
      <c r="I8420" s="17">
        <v>0</v>
      </c>
      <c r="J8420" s="17">
        <v>0</v>
      </c>
      <c r="K8420" s="10">
        <v>10000</v>
      </c>
      <c r="P8420" s="17">
        <v>1</v>
      </c>
      <c r="Q8420" s="19">
        <v>10000</v>
      </c>
      <c r="R8420" s="14" t="e">
        <v>#N/A</v>
      </c>
      <c r="S8420" s="19" t="e">
        <v>#N/A</v>
      </c>
      <c r="AJ8420" s="19">
        <v>0</v>
      </c>
      <c r="AK8420" s="23">
        <v>0</v>
      </c>
      <c r="AM8420" s="19">
        <v>0</v>
      </c>
      <c r="AN8420" s="19" t="e">
        <v>#N/A</v>
      </c>
      <c r="AP8420" s="14" t="e">
        <v>#N/A</v>
      </c>
      <c r="AQ8420" s="12">
        <v>1E-4</v>
      </c>
    </row>
    <row r="8421" spans="1:45" x14ac:dyDescent="0.2">
      <c r="A8421" s="2">
        <v>6964</v>
      </c>
      <c r="B8421" s="13">
        <v>1</v>
      </c>
      <c r="C8421" s="17" t="s">
        <v>65</v>
      </c>
      <c r="D8421" s="17">
        <v>1805</v>
      </c>
      <c r="E8421" s="17">
        <v>3</v>
      </c>
      <c r="H8421" s="17">
        <v>9</v>
      </c>
      <c r="I8421" s="17">
        <v>3</v>
      </c>
      <c r="J8421" s="17">
        <v>75</v>
      </c>
      <c r="K8421" s="10" t="s">
        <v>844</v>
      </c>
      <c r="P8421" s="17">
        <v>1</v>
      </c>
      <c r="Q8421" s="19">
        <v>3975</v>
      </c>
      <c r="R8421" s="14">
        <v>500</v>
      </c>
      <c r="S8421" s="19">
        <v>1987500</v>
      </c>
      <c r="AJ8421" s="19">
        <v>0</v>
      </c>
      <c r="AK8421" s="23">
        <v>0</v>
      </c>
      <c r="AM8421" s="19">
        <v>0</v>
      </c>
      <c r="AN8421" s="19">
        <v>1987500</v>
      </c>
      <c r="AP8421" s="14">
        <v>1987500</v>
      </c>
      <c r="AQ8421" s="12">
        <v>1E-4</v>
      </c>
    </row>
    <row r="8422" spans="1:45" x14ac:dyDescent="0.2">
      <c r="A8422" s="2">
        <v>6965</v>
      </c>
      <c r="B8422" s="13">
        <v>2</v>
      </c>
      <c r="C8422" s="17" t="s">
        <v>65</v>
      </c>
      <c r="D8422" s="17">
        <v>1806</v>
      </c>
      <c r="E8422" s="17">
        <v>4</v>
      </c>
      <c r="H8422" s="17">
        <v>3</v>
      </c>
      <c r="I8422" s="17">
        <v>0</v>
      </c>
      <c r="J8422" s="17">
        <v>3</v>
      </c>
      <c r="K8422" s="10">
        <v>1203</v>
      </c>
      <c r="P8422" s="17">
        <v>1</v>
      </c>
      <c r="Q8422" s="19">
        <v>1203</v>
      </c>
      <c r="R8422" s="14">
        <v>160</v>
      </c>
      <c r="S8422" s="19">
        <v>192480</v>
      </c>
      <c r="AE8422" s="17" t="s">
        <v>845</v>
      </c>
      <c r="AJ8422" s="19">
        <v>0</v>
      </c>
      <c r="AK8422" s="23">
        <v>0</v>
      </c>
      <c r="AM8422" s="19">
        <v>0</v>
      </c>
      <c r="AN8422" s="19">
        <v>192480</v>
      </c>
      <c r="AP8422" s="14">
        <v>192480</v>
      </c>
      <c r="AQ8422" s="12">
        <v>1E-4</v>
      </c>
    </row>
    <row r="8423" spans="1:45" x14ac:dyDescent="0.2">
      <c r="B8423" s="13">
        <v>3</v>
      </c>
      <c r="C8423" s="17" t="s">
        <v>65</v>
      </c>
      <c r="D8423" s="17">
        <v>1819</v>
      </c>
      <c r="E8423" s="17">
        <v>18</v>
      </c>
      <c r="H8423" s="17">
        <v>28</v>
      </c>
      <c r="I8423" s="17">
        <v>1</v>
      </c>
      <c r="J8423" s="17">
        <v>93</v>
      </c>
      <c r="K8423" s="10">
        <v>11393</v>
      </c>
      <c r="P8423" s="17">
        <v>1</v>
      </c>
      <c r="Q8423" s="19">
        <v>11393</v>
      </c>
      <c r="R8423" s="14" t="e">
        <v>#N/A</v>
      </c>
      <c r="S8423" s="19" t="e">
        <v>#N/A</v>
      </c>
      <c r="AE8423" s="17" t="s">
        <v>846</v>
      </c>
      <c r="AJ8423" s="19">
        <v>0</v>
      </c>
      <c r="AK8423" s="23">
        <v>0</v>
      </c>
      <c r="AM8423" s="19">
        <v>0</v>
      </c>
      <c r="AN8423" s="19" t="e">
        <v>#N/A</v>
      </c>
      <c r="AP8423" s="14" t="e">
        <v>#N/A</v>
      </c>
      <c r="AQ8423" s="12">
        <v>1E-4</v>
      </c>
    </row>
    <row r="8424" spans="1:45" x14ac:dyDescent="0.2">
      <c r="A8424" s="2">
        <v>6966</v>
      </c>
      <c r="B8424" s="13">
        <v>4</v>
      </c>
      <c r="C8424" s="17" t="s">
        <v>65</v>
      </c>
      <c r="D8424" s="17">
        <v>1820</v>
      </c>
      <c r="E8424" s="17">
        <v>19</v>
      </c>
      <c r="H8424" s="17">
        <v>7</v>
      </c>
      <c r="I8424" s="17">
        <v>0</v>
      </c>
      <c r="J8424" s="17">
        <v>66</v>
      </c>
      <c r="K8424" s="10">
        <v>2866</v>
      </c>
      <c r="P8424" s="17">
        <v>1</v>
      </c>
      <c r="Q8424" s="19">
        <v>2866</v>
      </c>
      <c r="R8424" s="14">
        <v>160</v>
      </c>
      <c r="S8424" s="19">
        <v>458560</v>
      </c>
      <c r="AJ8424" s="19">
        <v>0</v>
      </c>
      <c r="AK8424" s="23">
        <v>0</v>
      </c>
      <c r="AM8424" s="19">
        <v>0</v>
      </c>
      <c r="AN8424" s="19">
        <v>458560</v>
      </c>
      <c r="AP8424" s="14">
        <v>458560</v>
      </c>
      <c r="AQ8424" s="12">
        <v>1E-4</v>
      </c>
    </row>
    <row r="8425" spans="1:45" x14ac:dyDescent="0.2">
      <c r="B8425" s="13">
        <v>1</v>
      </c>
      <c r="C8425" s="17" t="s">
        <v>65</v>
      </c>
      <c r="D8425" s="17">
        <v>3679</v>
      </c>
      <c r="E8425" s="17">
        <v>268</v>
      </c>
      <c r="H8425" s="17">
        <v>4</v>
      </c>
      <c r="I8425" s="17">
        <v>2</v>
      </c>
      <c r="J8425" s="17">
        <v>36</v>
      </c>
      <c r="K8425" s="10">
        <v>1836</v>
      </c>
      <c r="P8425" s="17">
        <v>1</v>
      </c>
      <c r="Q8425" s="19">
        <v>1836</v>
      </c>
      <c r="R8425" s="14" t="e">
        <v>#N/A</v>
      </c>
      <c r="S8425" s="19" t="e">
        <v>#N/A</v>
      </c>
      <c r="AE8425" s="17" t="s">
        <v>94</v>
      </c>
      <c r="AJ8425" s="19">
        <v>0</v>
      </c>
      <c r="AK8425" s="23">
        <v>0</v>
      </c>
      <c r="AM8425" s="19">
        <v>0</v>
      </c>
      <c r="AN8425" s="19" t="e">
        <v>#N/A</v>
      </c>
      <c r="AP8425" s="14" t="e">
        <v>#N/A</v>
      </c>
      <c r="AQ8425" s="12">
        <v>1E-4</v>
      </c>
    </row>
    <row r="8426" spans="1:45" x14ac:dyDescent="0.2">
      <c r="Q8426" s="19">
        <v>0</v>
      </c>
      <c r="R8426" s="14" t="e">
        <v>#N/A</v>
      </c>
      <c r="AK8426" s="23">
        <v>0</v>
      </c>
      <c r="AP8426" s="14">
        <v>0</v>
      </c>
      <c r="AQ8426" s="12">
        <v>1E-4</v>
      </c>
    </row>
    <row r="8427" spans="1:45" x14ac:dyDescent="0.2">
      <c r="A8427" s="2">
        <v>6967</v>
      </c>
      <c r="B8427" s="13">
        <v>1</v>
      </c>
      <c r="C8427" s="17" t="s">
        <v>65</v>
      </c>
      <c r="D8427" s="17">
        <v>1726</v>
      </c>
      <c r="E8427" s="17">
        <v>47</v>
      </c>
      <c r="H8427" s="17">
        <v>1</v>
      </c>
      <c r="I8427" s="17">
        <v>2</v>
      </c>
      <c r="J8427" s="17">
        <v>40</v>
      </c>
      <c r="K8427" s="10">
        <v>640</v>
      </c>
      <c r="P8427" s="17">
        <v>1</v>
      </c>
      <c r="Q8427" s="19">
        <v>640</v>
      </c>
      <c r="R8427" s="14">
        <v>160</v>
      </c>
      <c r="S8427" s="19">
        <v>102400</v>
      </c>
      <c r="AE8427" s="17" t="s">
        <v>611</v>
      </c>
      <c r="AJ8427" s="19">
        <v>0</v>
      </c>
      <c r="AK8427" s="23">
        <v>0</v>
      </c>
      <c r="AM8427" s="19">
        <v>0</v>
      </c>
      <c r="AN8427" s="19">
        <v>102400</v>
      </c>
      <c r="AP8427" s="14">
        <v>102400</v>
      </c>
      <c r="AQ8427" s="12">
        <v>1E-4</v>
      </c>
    </row>
    <row r="8428" spans="1:45" x14ac:dyDescent="0.2">
      <c r="A8428" s="2">
        <v>6968</v>
      </c>
      <c r="B8428" s="13">
        <v>1</v>
      </c>
      <c r="C8428" s="17" t="s">
        <v>65</v>
      </c>
      <c r="D8428" s="17">
        <v>2421</v>
      </c>
      <c r="E8428" s="17">
        <v>168</v>
      </c>
      <c r="H8428" s="17">
        <v>4</v>
      </c>
      <c r="I8428" s="17">
        <v>0</v>
      </c>
      <c r="J8428" s="17">
        <v>80</v>
      </c>
      <c r="K8428" s="10">
        <v>1680</v>
      </c>
      <c r="P8428" s="17">
        <v>1</v>
      </c>
      <c r="Q8428" s="19">
        <v>1680</v>
      </c>
      <c r="R8428" s="14">
        <v>4500</v>
      </c>
      <c r="S8428" s="19">
        <v>7560000</v>
      </c>
      <c r="AE8428" s="17" t="s">
        <v>95</v>
      </c>
      <c r="AJ8428" s="19">
        <v>0</v>
      </c>
      <c r="AK8428" s="23">
        <v>0</v>
      </c>
      <c r="AM8428" s="19">
        <v>0</v>
      </c>
      <c r="AN8428" s="19">
        <v>7560000</v>
      </c>
      <c r="AP8428" s="14">
        <v>7560000</v>
      </c>
      <c r="AQ8428" s="12">
        <v>1E-4</v>
      </c>
    </row>
    <row r="8429" spans="1:45" x14ac:dyDescent="0.2">
      <c r="B8429" s="13">
        <v>1</v>
      </c>
      <c r="C8429" s="17" t="s">
        <v>97</v>
      </c>
      <c r="D8429" s="17">
        <v>31</v>
      </c>
      <c r="G8429" s="13">
        <v>6</v>
      </c>
      <c r="H8429" s="17">
        <v>15</v>
      </c>
      <c r="I8429" s="17">
        <v>0</v>
      </c>
      <c r="J8429" s="17">
        <v>0</v>
      </c>
      <c r="K8429" s="10">
        <v>6000</v>
      </c>
      <c r="P8429" s="17">
        <v>1</v>
      </c>
      <c r="Q8429" s="19">
        <v>6000</v>
      </c>
      <c r="R8429" s="14" t="e">
        <v>#N/A</v>
      </c>
      <c r="S8429" s="19" t="e">
        <v>#N/A</v>
      </c>
      <c r="AJ8429" s="19">
        <v>0</v>
      </c>
      <c r="AK8429" s="23">
        <v>0</v>
      </c>
      <c r="AM8429" s="19">
        <v>0</v>
      </c>
      <c r="AN8429" s="19" t="e">
        <v>#N/A</v>
      </c>
      <c r="AP8429" s="14" t="e">
        <v>#N/A</v>
      </c>
      <c r="AQ8429" s="12">
        <v>1E-4</v>
      </c>
    </row>
    <row r="8430" spans="1:45" x14ac:dyDescent="0.2">
      <c r="A8430" s="2">
        <v>6969</v>
      </c>
      <c r="B8430" s="13">
        <v>1</v>
      </c>
      <c r="C8430" s="17" t="s">
        <v>65</v>
      </c>
      <c r="D8430" s="17">
        <v>1599</v>
      </c>
      <c r="E8430" s="17">
        <v>74</v>
      </c>
      <c r="H8430" s="17">
        <v>2</v>
      </c>
      <c r="I8430" s="17">
        <v>2</v>
      </c>
      <c r="J8430" s="17">
        <v>0</v>
      </c>
      <c r="K8430" s="10">
        <v>1000</v>
      </c>
      <c r="P8430" s="17">
        <v>1</v>
      </c>
      <c r="Q8430" s="19">
        <v>1000</v>
      </c>
      <c r="R8430" s="14">
        <v>160</v>
      </c>
      <c r="S8430" s="19">
        <v>160000</v>
      </c>
      <c r="AJ8430" s="19">
        <v>0</v>
      </c>
      <c r="AK8430" s="23">
        <v>0</v>
      </c>
      <c r="AM8430" s="19">
        <v>0</v>
      </c>
      <c r="AN8430" s="19">
        <v>160000</v>
      </c>
      <c r="AP8430" s="14">
        <v>160000</v>
      </c>
      <c r="AQ8430" s="12">
        <v>1E-4</v>
      </c>
    </row>
    <row r="8431" spans="1:45" x14ac:dyDescent="0.2">
      <c r="R8431" s="14" t="e">
        <v>#N/A</v>
      </c>
    </row>
    <row r="8432" spans="1:45" x14ac:dyDescent="0.2">
      <c r="A8432" s="2">
        <v>6970</v>
      </c>
      <c r="B8432" s="13">
        <v>1</v>
      </c>
      <c r="C8432" s="17" t="s">
        <v>65</v>
      </c>
      <c r="D8432" s="17">
        <v>1980</v>
      </c>
      <c r="E8432" s="17">
        <v>89</v>
      </c>
      <c r="H8432" s="17">
        <v>0</v>
      </c>
      <c r="I8432" s="17">
        <v>2</v>
      </c>
      <c r="J8432" s="17">
        <v>80</v>
      </c>
      <c r="K8432" s="10">
        <v>280</v>
      </c>
      <c r="P8432" s="17">
        <v>1</v>
      </c>
      <c r="Q8432" s="19">
        <v>280</v>
      </c>
      <c r="R8432" s="14">
        <v>160</v>
      </c>
      <c r="S8432" s="19">
        <v>44800</v>
      </c>
      <c r="AJ8432" s="19">
        <v>0</v>
      </c>
      <c r="AK8432" s="23">
        <v>0</v>
      </c>
      <c r="AM8432" s="19">
        <v>0</v>
      </c>
      <c r="AN8432" s="19">
        <v>44800</v>
      </c>
      <c r="AP8432" s="14">
        <v>44800</v>
      </c>
      <c r="AQ8432" s="12">
        <v>1E-4</v>
      </c>
    </row>
    <row r="8433" spans="1:45" x14ac:dyDescent="0.2">
      <c r="A8433" s="2">
        <v>6971</v>
      </c>
      <c r="B8433" s="13">
        <v>1</v>
      </c>
      <c r="C8433" s="17" t="s">
        <v>65</v>
      </c>
      <c r="D8433" s="17">
        <v>699</v>
      </c>
      <c r="E8433" s="17">
        <v>16</v>
      </c>
      <c r="H8433" s="17">
        <v>9</v>
      </c>
      <c r="I8433" s="17">
        <v>0</v>
      </c>
      <c r="J8433" s="17">
        <v>40</v>
      </c>
      <c r="K8433" s="10">
        <v>3640</v>
      </c>
      <c r="P8433" s="17">
        <v>1</v>
      </c>
      <c r="Q8433" s="19">
        <v>3640</v>
      </c>
      <c r="R8433" s="14">
        <v>375</v>
      </c>
      <c r="S8433" s="19">
        <v>1365000</v>
      </c>
      <c r="AJ8433" s="19">
        <v>0</v>
      </c>
      <c r="AK8433" s="23">
        <v>0</v>
      </c>
      <c r="AM8433" s="19">
        <v>0</v>
      </c>
      <c r="AN8433" s="19">
        <v>1365000</v>
      </c>
      <c r="AP8433" s="14">
        <v>1365000</v>
      </c>
      <c r="AQ8433" s="12">
        <v>1E-4</v>
      </c>
    </row>
    <row r="8434" spans="1:45" x14ac:dyDescent="0.2">
      <c r="A8434" s="2">
        <v>6972</v>
      </c>
      <c r="B8434" s="13">
        <v>1</v>
      </c>
      <c r="C8434" s="17" t="s">
        <v>65</v>
      </c>
      <c r="D8434" s="17">
        <v>1281</v>
      </c>
      <c r="E8434" s="17">
        <v>142</v>
      </c>
      <c r="H8434" s="17">
        <v>0</v>
      </c>
      <c r="I8434" s="17">
        <v>3</v>
      </c>
      <c r="J8434" s="17">
        <v>20</v>
      </c>
      <c r="K8434" s="10">
        <v>320</v>
      </c>
      <c r="P8434" s="17">
        <v>1</v>
      </c>
      <c r="Q8434" s="19">
        <v>320</v>
      </c>
      <c r="R8434" s="14">
        <v>160</v>
      </c>
      <c r="S8434" s="19">
        <v>51200</v>
      </c>
      <c r="AJ8434" s="19">
        <v>0</v>
      </c>
      <c r="AK8434" s="23">
        <v>0</v>
      </c>
      <c r="AM8434" s="19">
        <v>0</v>
      </c>
      <c r="AN8434" s="19">
        <v>51200</v>
      </c>
      <c r="AP8434" s="14">
        <v>51200</v>
      </c>
      <c r="AQ8434" s="12">
        <v>1E-4</v>
      </c>
    </row>
    <row r="8435" spans="1:45" x14ac:dyDescent="0.2">
      <c r="B8435" s="13">
        <v>1</v>
      </c>
      <c r="C8435" s="17" t="s">
        <v>97</v>
      </c>
      <c r="D8435" s="17">
        <v>8</v>
      </c>
      <c r="G8435" s="13">
        <v>6</v>
      </c>
      <c r="H8435" s="17">
        <v>3</v>
      </c>
      <c r="I8435" s="17">
        <v>2</v>
      </c>
      <c r="J8435" s="17">
        <v>0</v>
      </c>
      <c r="K8435" s="10">
        <v>1400</v>
      </c>
      <c r="P8435" s="17">
        <v>1</v>
      </c>
      <c r="Q8435" s="19">
        <v>1400</v>
      </c>
      <c r="R8435" s="14" t="e">
        <v>#N/A</v>
      </c>
      <c r="S8435" s="19" t="e">
        <v>#N/A</v>
      </c>
      <c r="AJ8435" s="19">
        <v>0</v>
      </c>
      <c r="AK8435" s="23">
        <v>0</v>
      </c>
      <c r="AM8435" s="19">
        <v>0</v>
      </c>
      <c r="AN8435" s="19" t="e">
        <v>#N/A</v>
      </c>
      <c r="AP8435" s="14" t="e">
        <v>#N/A</v>
      </c>
      <c r="AQ8435" s="12">
        <v>1E-4</v>
      </c>
    </row>
    <row r="8436" spans="1:45" x14ac:dyDescent="0.2">
      <c r="A8436" s="2">
        <v>6973</v>
      </c>
      <c r="B8436" s="13">
        <v>1</v>
      </c>
      <c r="C8436" s="17" t="s">
        <v>65</v>
      </c>
      <c r="D8436" s="17">
        <v>2064</v>
      </c>
      <c r="E8436" s="17">
        <v>22</v>
      </c>
      <c r="H8436" s="17">
        <v>10</v>
      </c>
      <c r="I8436" s="17">
        <v>0</v>
      </c>
      <c r="J8436" s="17">
        <v>0</v>
      </c>
      <c r="K8436" s="10">
        <v>4000</v>
      </c>
      <c r="P8436" s="17">
        <v>1</v>
      </c>
      <c r="Q8436" s="19">
        <v>4000</v>
      </c>
      <c r="R8436" s="14">
        <v>1000</v>
      </c>
      <c r="S8436" s="19">
        <v>4000000</v>
      </c>
      <c r="AJ8436" s="19">
        <v>0</v>
      </c>
      <c r="AK8436" s="23">
        <v>0</v>
      </c>
      <c r="AM8436" s="19">
        <v>0</v>
      </c>
      <c r="AN8436" s="19">
        <v>4000000</v>
      </c>
      <c r="AP8436" s="14">
        <v>4000000</v>
      </c>
      <c r="AQ8436" s="12">
        <v>1E-4</v>
      </c>
      <c r="AS8436" s="26">
        <v>696</v>
      </c>
    </row>
    <row r="8437" spans="1:45" x14ac:dyDescent="0.2">
      <c r="A8437" s="2">
        <v>6974</v>
      </c>
      <c r="B8437" s="13">
        <v>2</v>
      </c>
      <c r="C8437" s="17" t="s">
        <v>65</v>
      </c>
      <c r="D8437" s="17">
        <v>2076</v>
      </c>
      <c r="E8437" s="17">
        <v>7</v>
      </c>
      <c r="H8437" s="17">
        <v>40</v>
      </c>
      <c r="I8437" s="17">
        <v>3</v>
      </c>
      <c r="J8437" s="17">
        <v>50</v>
      </c>
      <c r="K8437" s="10">
        <v>16350</v>
      </c>
      <c r="P8437" s="17">
        <v>1</v>
      </c>
      <c r="Q8437" s="19">
        <v>16350</v>
      </c>
      <c r="R8437" s="14">
        <v>160</v>
      </c>
      <c r="S8437" s="19">
        <v>2616000</v>
      </c>
      <c r="AJ8437" s="19">
        <v>0</v>
      </c>
      <c r="AK8437" s="23">
        <v>0</v>
      </c>
      <c r="AM8437" s="19">
        <v>0</v>
      </c>
      <c r="AN8437" s="19">
        <v>2616000</v>
      </c>
      <c r="AP8437" s="14">
        <v>2616000</v>
      </c>
      <c r="AQ8437" s="12">
        <v>1E-4</v>
      </c>
    </row>
    <row r="8438" spans="1:45" x14ac:dyDescent="0.2">
      <c r="B8438" s="13">
        <v>1</v>
      </c>
      <c r="C8438" s="17" t="s">
        <v>65</v>
      </c>
      <c r="D8438" s="17">
        <v>187</v>
      </c>
      <c r="E8438" s="17">
        <v>85</v>
      </c>
      <c r="H8438" s="17">
        <v>3</v>
      </c>
      <c r="I8438" s="17">
        <v>1</v>
      </c>
      <c r="J8438" s="17">
        <v>43</v>
      </c>
      <c r="K8438" s="10">
        <v>1343</v>
      </c>
      <c r="P8438" s="17">
        <v>1</v>
      </c>
      <c r="Q8438" s="19">
        <v>1343</v>
      </c>
      <c r="R8438" s="14" t="e">
        <v>#N/A</v>
      </c>
      <c r="S8438" s="19" t="e">
        <v>#N/A</v>
      </c>
      <c r="AE8438" s="17" t="s">
        <v>94</v>
      </c>
      <c r="AJ8438" s="19">
        <v>0</v>
      </c>
      <c r="AK8438" s="23">
        <v>0</v>
      </c>
      <c r="AM8438" s="19">
        <v>0</v>
      </c>
      <c r="AN8438" s="19" t="e">
        <v>#N/A</v>
      </c>
      <c r="AP8438" s="14" t="e">
        <v>#N/A</v>
      </c>
      <c r="AQ8438" s="12">
        <v>1E-4</v>
      </c>
    </row>
    <row r="8439" spans="1:45" x14ac:dyDescent="0.2">
      <c r="B8439" s="13">
        <v>1</v>
      </c>
      <c r="C8439" s="17" t="s">
        <v>97</v>
      </c>
      <c r="D8439" s="17">
        <v>136</v>
      </c>
      <c r="G8439" s="13">
        <v>2</v>
      </c>
      <c r="H8439" s="17">
        <v>5</v>
      </c>
      <c r="I8439" s="17">
        <v>1</v>
      </c>
      <c r="J8439" s="17">
        <v>21</v>
      </c>
      <c r="K8439" s="10">
        <v>2121</v>
      </c>
      <c r="P8439" s="17">
        <v>1</v>
      </c>
      <c r="Q8439" s="19">
        <v>2121</v>
      </c>
      <c r="R8439" s="14" t="e">
        <v>#N/A</v>
      </c>
      <c r="S8439" s="19" t="e">
        <v>#N/A</v>
      </c>
      <c r="AJ8439" s="19">
        <v>0</v>
      </c>
      <c r="AK8439" s="23">
        <v>0</v>
      </c>
      <c r="AM8439" s="19">
        <v>0</v>
      </c>
      <c r="AN8439" s="19" t="e">
        <v>#N/A</v>
      </c>
      <c r="AP8439" s="14" t="e">
        <v>#N/A</v>
      </c>
      <c r="AQ8439" s="12">
        <v>1E-4</v>
      </c>
    </row>
    <row r="8440" spans="1:45" x14ac:dyDescent="0.2">
      <c r="A8440" s="2">
        <v>6975</v>
      </c>
      <c r="B8440" s="13">
        <v>1</v>
      </c>
      <c r="C8440" s="17" t="s">
        <v>65</v>
      </c>
      <c r="D8440" s="17">
        <v>2062</v>
      </c>
      <c r="E8440" s="17">
        <v>20</v>
      </c>
      <c r="H8440" s="17">
        <v>27</v>
      </c>
      <c r="I8440" s="17">
        <v>1</v>
      </c>
      <c r="J8440" s="17">
        <v>70</v>
      </c>
      <c r="K8440" s="10">
        <v>10970</v>
      </c>
      <c r="P8440" s="17">
        <v>1</v>
      </c>
      <c r="Q8440" s="19">
        <v>10970</v>
      </c>
      <c r="R8440" s="14">
        <v>160</v>
      </c>
      <c r="S8440" s="19">
        <v>1755200</v>
      </c>
      <c r="AJ8440" s="19">
        <v>0</v>
      </c>
      <c r="AK8440" s="23">
        <v>0</v>
      </c>
      <c r="AM8440" s="19">
        <v>0</v>
      </c>
      <c r="AN8440" s="19">
        <v>1755200</v>
      </c>
      <c r="AP8440" s="14">
        <v>1755200</v>
      </c>
      <c r="AQ8440" s="12">
        <v>1E-4</v>
      </c>
      <c r="AS8440" s="26">
        <v>465</v>
      </c>
    </row>
    <row r="8441" spans="1:45" x14ac:dyDescent="0.2">
      <c r="A8441" s="2">
        <v>6976</v>
      </c>
      <c r="B8441" s="13">
        <v>2</v>
      </c>
      <c r="C8441" s="17" t="s">
        <v>65</v>
      </c>
      <c r="D8441" s="17">
        <v>2065</v>
      </c>
      <c r="E8441" s="17">
        <v>23</v>
      </c>
      <c r="H8441" s="17">
        <v>9</v>
      </c>
      <c r="I8441" s="17">
        <v>0</v>
      </c>
      <c r="J8441" s="17">
        <v>50</v>
      </c>
      <c r="K8441" s="10">
        <v>3650</v>
      </c>
      <c r="P8441" s="17">
        <v>1</v>
      </c>
      <c r="Q8441" s="19">
        <v>3650</v>
      </c>
      <c r="R8441" s="14">
        <v>1000</v>
      </c>
      <c r="S8441" s="19">
        <v>3650000</v>
      </c>
      <c r="AJ8441" s="19">
        <v>0</v>
      </c>
      <c r="AK8441" s="23">
        <v>0</v>
      </c>
      <c r="AM8441" s="19">
        <v>0</v>
      </c>
      <c r="AN8441" s="19">
        <v>3650000</v>
      </c>
      <c r="AP8441" s="14">
        <v>3650000</v>
      </c>
      <c r="AQ8441" s="12">
        <v>1E-4</v>
      </c>
    </row>
    <row r="8442" spans="1:45" x14ac:dyDescent="0.2">
      <c r="A8442" s="2">
        <f>+A8441+1</f>
        <v>6977</v>
      </c>
      <c r="B8442" s="13">
        <v>3</v>
      </c>
      <c r="C8442" s="17" t="s">
        <v>65</v>
      </c>
      <c r="D8442" s="17">
        <v>2066</v>
      </c>
      <c r="E8442" s="17">
        <v>24</v>
      </c>
      <c r="H8442" s="17">
        <v>4</v>
      </c>
      <c r="I8442" s="17">
        <v>1</v>
      </c>
      <c r="J8442" s="17">
        <v>50</v>
      </c>
      <c r="K8442" s="10">
        <v>1750</v>
      </c>
      <c r="P8442" s="17">
        <v>1</v>
      </c>
      <c r="Q8442" s="19">
        <v>1750</v>
      </c>
      <c r="R8442" s="14">
        <v>160</v>
      </c>
      <c r="S8442" s="19">
        <v>280000</v>
      </c>
      <c r="AJ8442" s="19">
        <v>0</v>
      </c>
      <c r="AK8442" s="23">
        <v>0</v>
      </c>
      <c r="AM8442" s="19">
        <v>0</v>
      </c>
      <c r="AN8442" s="19">
        <v>280000</v>
      </c>
      <c r="AP8442" s="14">
        <v>280000</v>
      </c>
      <c r="AQ8442" s="12">
        <v>1E-4</v>
      </c>
    </row>
    <row r="8443" spans="1:45" x14ac:dyDescent="0.2">
      <c r="A8443" s="122">
        <f t="shared" ref="A8443:A8453" si="785">+A8442+1</f>
        <v>6978</v>
      </c>
      <c r="B8443" s="13">
        <v>4</v>
      </c>
      <c r="C8443" s="17" t="s">
        <v>65</v>
      </c>
      <c r="D8443" s="17">
        <v>2067</v>
      </c>
      <c r="E8443" s="17">
        <v>25</v>
      </c>
      <c r="H8443" s="17">
        <v>9</v>
      </c>
      <c r="I8443" s="17">
        <v>3</v>
      </c>
      <c r="J8443" s="17">
        <v>0</v>
      </c>
      <c r="K8443" s="10">
        <v>3900</v>
      </c>
      <c r="P8443" s="17">
        <v>1</v>
      </c>
      <c r="Q8443" s="19">
        <v>3900</v>
      </c>
      <c r="R8443" s="14">
        <v>160</v>
      </c>
      <c r="S8443" s="19">
        <v>624000</v>
      </c>
      <c r="AJ8443" s="19">
        <v>0</v>
      </c>
      <c r="AK8443" s="23">
        <v>0</v>
      </c>
      <c r="AM8443" s="19">
        <v>0</v>
      </c>
      <c r="AN8443" s="19">
        <v>624000</v>
      </c>
      <c r="AP8443" s="14">
        <v>624000</v>
      </c>
      <c r="AQ8443" s="12">
        <v>1E-4</v>
      </c>
    </row>
    <row r="8444" spans="1:45" x14ac:dyDescent="0.2">
      <c r="A8444" s="122">
        <f t="shared" si="785"/>
        <v>6979</v>
      </c>
      <c r="B8444" s="13">
        <v>5</v>
      </c>
      <c r="C8444" s="17" t="s">
        <v>65</v>
      </c>
      <c r="D8444" s="17">
        <v>2070</v>
      </c>
      <c r="E8444" s="17">
        <v>28</v>
      </c>
      <c r="H8444" s="17">
        <v>8</v>
      </c>
      <c r="I8444" s="17">
        <v>2</v>
      </c>
      <c r="J8444" s="17">
        <v>50</v>
      </c>
      <c r="K8444" s="10">
        <v>3450</v>
      </c>
      <c r="P8444" s="17">
        <v>1</v>
      </c>
      <c r="Q8444" s="19">
        <v>3450</v>
      </c>
      <c r="R8444" s="14">
        <v>160</v>
      </c>
      <c r="S8444" s="19">
        <v>552000</v>
      </c>
      <c r="AJ8444" s="19">
        <v>0</v>
      </c>
      <c r="AK8444" s="23">
        <v>0</v>
      </c>
      <c r="AM8444" s="19">
        <v>0</v>
      </c>
      <c r="AN8444" s="19">
        <v>552000</v>
      </c>
      <c r="AP8444" s="14">
        <v>552000</v>
      </c>
      <c r="AQ8444" s="12">
        <v>1E-4</v>
      </c>
    </row>
    <row r="8445" spans="1:45" x14ac:dyDescent="0.2">
      <c r="A8445" s="122">
        <f t="shared" si="785"/>
        <v>6980</v>
      </c>
      <c r="B8445" s="13">
        <v>6</v>
      </c>
      <c r="C8445" s="17" t="s">
        <v>65</v>
      </c>
      <c r="D8445" s="17">
        <v>2071</v>
      </c>
      <c r="E8445" s="17">
        <v>29</v>
      </c>
      <c r="H8445" s="17">
        <v>6</v>
      </c>
      <c r="I8445" s="17">
        <v>0</v>
      </c>
      <c r="J8445" s="17">
        <v>15</v>
      </c>
      <c r="K8445" s="10">
        <v>2415</v>
      </c>
      <c r="P8445" s="17">
        <v>1</v>
      </c>
      <c r="Q8445" s="19">
        <v>2415</v>
      </c>
      <c r="R8445" s="14">
        <v>160</v>
      </c>
      <c r="S8445" s="19">
        <v>386400</v>
      </c>
      <c r="AJ8445" s="19">
        <v>0</v>
      </c>
      <c r="AK8445" s="23">
        <v>0</v>
      </c>
      <c r="AM8445" s="19">
        <v>0</v>
      </c>
      <c r="AN8445" s="19">
        <v>386400</v>
      </c>
      <c r="AP8445" s="14">
        <v>386400</v>
      </c>
      <c r="AQ8445" s="12">
        <v>1E-4</v>
      </c>
    </row>
    <row r="8446" spans="1:45" x14ac:dyDescent="0.2">
      <c r="A8446" s="122">
        <f t="shared" si="785"/>
        <v>6981</v>
      </c>
      <c r="B8446" s="13">
        <v>7</v>
      </c>
      <c r="C8446" s="17" t="s">
        <v>65</v>
      </c>
      <c r="D8446" s="17">
        <v>2072</v>
      </c>
      <c r="E8446" s="17">
        <v>30</v>
      </c>
      <c r="H8446" s="17">
        <v>19</v>
      </c>
      <c r="I8446" s="17">
        <v>1</v>
      </c>
      <c r="J8446" s="17">
        <v>70</v>
      </c>
      <c r="K8446" s="10">
        <v>7770</v>
      </c>
      <c r="P8446" s="17">
        <v>1</v>
      </c>
      <c r="Q8446" s="19">
        <v>7770</v>
      </c>
      <c r="R8446" s="14">
        <v>160</v>
      </c>
      <c r="S8446" s="19">
        <v>1243200</v>
      </c>
      <c r="AJ8446" s="19">
        <v>0</v>
      </c>
      <c r="AK8446" s="23">
        <v>0</v>
      </c>
      <c r="AM8446" s="19">
        <v>0</v>
      </c>
      <c r="AN8446" s="19">
        <v>1243200</v>
      </c>
      <c r="AP8446" s="14">
        <v>1243200</v>
      </c>
      <c r="AQ8446" s="12">
        <v>1E-4</v>
      </c>
    </row>
    <row r="8447" spans="1:45" x14ac:dyDescent="0.2">
      <c r="A8447" s="122">
        <f t="shared" si="785"/>
        <v>6982</v>
      </c>
      <c r="B8447" s="13">
        <v>8</v>
      </c>
      <c r="C8447" s="17" t="s">
        <v>65</v>
      </c>
      <c r="D8447" s="17">
        <v>2073</v>
      </c>
      <c r="E8447" s="17">
        <v>31</v>
      </c>
      <c r="H8447" s="17">
        <v>18</v>
      </c>
      <c r="I8447" s="17">
        <v>1</v>
      </c>
      <c r="J8447" s="17">
        <v>50</v>
      </c>
      <c r="K8447" s="10">
        <v>7350</v>
      </c>
      <c r="P8447" s="17">
        <v>1</v>
      </c>
      <c r="Q8447" s="19">
        <v>7350</v>
      </c>
      <c r="R8447" s="14">
        <v>200</v>
      </c>
      <c r="S8447" s="19">
        <v>1470000</v>
      </c>
      <c r="AJ8447" s="19">
        <v>0</v>
      </c>
      <c r="AK8447" s="23">
        <v>0</v>
      </c>
      <c r="AM8447" s="19">
        <v>0</v>
      </c>
      <c r="AN8447" s="19">
        <v>1470000</v>
      </c>
      <c r="AP8447" s="14">
        <v>1470000</v>
      </c>
      <c r="AQ8447" s="12">
        <v>1E-4</v>
      </c>
    </row>
    <row r="8448" spans="1:45" x14ac:dyDescent="0.2">
      <c r="A8448" s="122">
        <f t="shared" si="785"/>
        <v>6983</v>
      </c>
      <c r="B8448" s="13">
        <v>9</v>
      </c>
      <c r="C8448" s="17" t="s">
        <v>65</v>
      </c>
      <c r="D8448" s="17">
        <v>2189</v>
      </c>
      <c r="E8448" s="17">
        <v>19</v>
      </c>
      <c r="H8448" s="17">
        <v>5</v>
      </c>
      <c r="I8448" s="17">
        <v>2</v>
      </c>
      <c r="J8448" s="17">
        <v>40</v>
      </c>
      <c r="K8448" s="10">
        <v>2240</v>
      </c>
      <c r="P8448" s="17">
        <v>1</v>
      </c>
      <c r="Q8448" s="19">
        <v>2240</v>
      </c>
      <c r="R8448" s="14">
        <v>200</v>
      </c>
      <c r="S8448" s="19">
        <v>448000</v>
      </c>
      <c r="AJ8448" s="19">
        <v>0</v>
      </c>
      <c r="AK8448" s="23">
        <v>0</v>
      </c>
      <c r="AM8448" s="19">
        <v>0</v>
      </c>
      <c r="AN8448" s="19">
        <v>448000</v>
      </c>
      <c r="AP8448" s="14">
        <v>448000</v>
      </c>
      <c r="AQ8448" s="12">
        <v>1E-4</v>
      </c>
    </row>
    <row r="8449" spans="1:45" ht="63" x14ac:dyDescent="0.2">
      <c r="A8449" s="122">
        <f t="shared" si="785"/>
        <v>6984</v>
      </c>
      <c r="B8449" s="13">
        <v>10</v>
      </c>
      <c r="C8449" s="17" t="s">
        <v>65</v>
      </c>
      <c r="D8449" s="17">
        <v>2190</v>
      </c>
      <c r="E8449" s="17">
        <v>32</v>
      </c>
      <c r="H8449" s="17">
        <v>13</v>
      </c>
      <c r="I8449" s="17">
        <v>1</v>
      </c>
      <c r="J8449" s="17">
        <v>60</v>
      </c>
      <c r="K8449" s="10">
        <v>5360</v>
      </c>
      <c r="P8449" s="17">
        <v>1</v>
      </c>
      <c r="Q8449" s="19">
        <v>5360</v>
      </c>
      <c r="R8449" s="14">
        <v>200</v>
      </c>
      <c r="S8449" s="19">
        <v>1072000</v>
      </c>
      <c r="AJ8449" s="19">
        <v>0</v>
      </c>
      <c r="AK8449" s="23">
        <v>0</v>
      </c>
      <c r="AM8449" s="19">
        <v>0</v>
      </c>
      <c r="AN8449" s="19">
        <v>1072000</v>
      </c>
      <c r="AP8449" s="14">
        <v>1072000</v>
      </c>
      <c r="AQ8449" s="12">
        <v>1E-4</v>
      </c>
      <c r="AR8449" s="19">
        <v>1148.0800000000002</v>
      </c>
    </row>
    <row r="8450" spans="1:45" x14ac:dyDescent="0.2">
      <c r="A8450" s="122">
        <f t="shared" si="785"/>
        <v>6985</v>
      </c>
      <c r="B8450" s="13">
        <v>1</v>
      </c>
      <c r="C8450" s="17" t="s">
        <v>65</v>
      </c>
      <c r="D8450" s="17">
        <v>1591</v>
      </c>
      <c r="E8450" s="17">
        <v>164</v>
      </c>
      <c r="H8450" s="17">
        <v>0</v>
      </c>
      <c r="I8450" s="17">
        <v>3</v>
      </c>
      <c r="J8450" s="17">
        <v>87</v>
      </c>
      <c r="K8450" s="10">
        <v>387</v>
      </c>
      <c r="P8450" s="17">
        <v>1</v>
      </c>
      <c r="Q8450" s="19">
        <v>387</v>
      </c>
      <c r="R8450" s="14">
        <v>200</v>
      </c>
      <c r="S8450" s="19">
        <v>77400</v>
      </c>
      <c r="AJ8450" s="19">
        <v>0</v>
      </c>
      <c r="AK8450" s="23">
        <v>0</v>
      </c>
      <c r="AM8450" s="19">
        <v>0</v>
      </c>
      <c r="AN8450" s="19">
        <v>77400</v>
      </c>
      <c r="AP8450" s="14">
        <v>77400</v>
      </c>
      <c r="AQ8450" s="12">
        <v>1E-4</v>
      </c>
    </row>
    <row r="8451" spans="1:45" x14ac:dyDescent="0.2">
      <c r="A8451" s="122">
        <f t="shared" si="785"/>
        <v>6986</v>
      </c>
      <c r="B8451" s="13">
        <v>1</v>
      </c>
      <c r="C8451" s="17" t="s">
        <v>65</v>
      </c>
      <c r="D8451" s="17">
        <v>1737</v>
      </c>
      <c r="E8451" s="17">
        <v>58</v>
      </c>
      <c r="H8451" s="17">
        <v>0</v>
      </c>
      <c r="I8451" s="17">
        <v>2</v>
      </c>
      <c r="J8451" s="17">
        <v>96</v>
      </c>
      <c r="K8451" s="10">
        <v>296</v>
      </c>
      <c r="P8451" s="17">
        <v>1</v>
      </c>
      <c r="Q8451" s="19">
        <v>296</v>
      </c>
      <c r="R8451" s="14">
        <v>160</v>
      </c>
      <c r="S8451" s="19">
        <v>47360</v>
      </c>
      <c r="AE8451" s="17" t="s">
        <v>95</v>
      </c>
      <c r="AJ8451" s="19">
        <v>0</v>
      </c>
      <c r="AK8451" s="23">
        <v>0</v>
      </c>
      <c r="AM8451" s="19">
        <v>0</v>
      </c>
      <c r="AN8451" s="19">
        <v>47360</v>
      </c>
      <c r="AP8451" s="14">
        <v>47360</v>
      </c>
      <c r="AQ8451" s="12">
        <v>1E-4</v>
      </c>
    </row>
    <row r="8452" spans="1:45" x14ac:dyDescent="0.2">
      <c r="A8452" s="122">
        <f t="shared" si="785"/>
        <v>6987</v>
      </c>
      <c r="B8452" s="13">
        <v>1</v>
      </c>
      <c r="C8452" s="17" t="s">
        <v>65</v>
      </c>
      <c r="D8452" s="17">
        <v>1811</v>
      </c>
      <c r="E8452" s="17">
        <v>9</v>
      </c>
      <c r="H8452" s="17">
        <v>1</v>
      </c>
      <c r="I8452" s="17">
        <v>3</v>
      </c>
      <c r="J8452" s="17">
        <v>36</v>
      </c>
      <c r="K8452" s="10">
        <v>736</v>
      </c>
      <c r="P8452" s="17">
        <v>1</v>
      </c>
      <c r="Q8452" s="19">
        <v>736</v>
      </c>
      <c r="R8452" s="14">
        <v>500</v>
      </c>
      <c r="S8452" s="19">
        <v>368000</v>
      </c>
      <c r="AJ8452" s="19">
        <v>0</v>
      </c>
      <c r="AK8452" s="23">
        <v>0</v>
      </c>
      <c r="AM8452" s="19">
        <v>0</v>
      </c>
      <c r="AN8452" s="19">
        <v>368000</v>
      </c>
      <c r="AP8452" s="14">
        <v>368000</v>
      </c>
      <c r="AQ8452" s="12">
        <v>1E-4</v>
      </c>
      <c r="AS8452" s="26">
        <v>10</v>
      </c>
    </row>
    <row r="8453" spans="1:45" x14ac:dyDescent="0.2">
      <c r="A8453" s="122">
        <f t="shared" si="785"/>
        <v>6988</v>
      </c>
      <c r="B8453" s="13">
        <v>1</v>
      </c>
      <c r="C8453" s="17" t="s">
        <v>65</v>
      </c>
      <c r="D8453" s="17">
        <v>1866</v>
      </c>
      <c r="E8453" s="17">
        <v>129</v>
      </c>
      <c r="H8453" s="17">
        <v>3</v>
      </c>
      <c r="I8453" s="17">
        <v>0</v>
      </c>
      <c r="J8453" s="17">
        <v>73</v>
      </c>
      <c r="K8453" s="10">
        <v>1273</v>
      </c>
      <c r="P8453" s="17">
        <v>1</v>
      </c>
      <c r="Q8453" s="19">
        <v>1273</v>
      </c>
      <c r="R8453" s="14">
        <v>160</v>
      </c>
      <c r="S8453" s="19">
        <v>203680</v>
      </c>
      <c r="AJ8453" s="19">
        <v>0</v>
      </c>
      <c r="AK8453" s="23">
        <v>0</v>
      </c>
      <c r="AM8453" s="19">
        <v>0</v>
      </c>
      <c r="AN8453" s="19">
        <v>203680</v>
      </c>
      <c r="AP8453" s="14">
        <v>203680</v>
      </c>
      <c r="AQ8453" s="12">
        <v>1E-4</v>
      </c>
    </row>
    <row r="8454" spans="1:45" x14ac:dyDescent="0.2">
      <c r="B8454" s="13">
        <v>1</v>
      </c>
      <c r="C8454" s="17" t="s">
        <v>65</v>
      </c>
      <c r="D8454" s="17">
        <v>79</v>
      </c>
      <c r="E8454" s="17">
        <v>2</v>
      </c>
      <c r="H8454" s="17">
        <v>0</v>
      </c>
      <c r="I8454" s="17">
        <v>0</v>
      </c>
      <c r="J8454" s="17">
        <v>28</v>
      </c>
      <c r="K8454" s="10">
        <v>28</v>
      </c>
      <c r="P8454" s="17">
        <v>1</v>
      </c>
      <c r="Q8454" s="19">
        <v>28</v>
      </c>
      <c r="R8454" s="14" t="e">
        <v>#N/A</v>
      </c>
      <c r="S8454" s="19" t="e">
        <v>#N/A</v>
      </c>
      <c r="AJ8454" s="19">
        <v>0</v>
      </c>
      <c r="AK8454" s="23">
        <v>0</v>
      </c>
      <c r="AM8454" s="19">
        <v>0</v>
      </c>
      <c r="AN8454" s="19" t="e">
        <v>#N/A</v>
      </c>
      <c r="AP8454" s="14" t="e">
        <v>#N/A</v>
      </c>
      <c r="AQ8454" s="12">
        <v>1E-4</v>
      </c>
    </row>
    <row r="8455" spans="1:45" x14ac:dyDescent="0.2">
      <c r="B8455" s="13">
        <v>1</v>
      </c>
      <c r="C8455" s="17" t="s">
        <v>65</v>
      </c>
      <c r="D8455" s="17">
        <v>3155</v>
      </c>
      <c r="E8455" s="17">
        <v>71</v>
      </c>
      <c r="H8455" s="17">
        <v>0</v>
      </c>
      <c r="I8455" s="17">
        <v>1</v>
      </c>
      <c r="J8455" s="17">
        <v>32</v>
      </c>
      <c r="K8455" s="10">
        <v>132</v>
      </c>
      <c r="P8455" s="17">
        <v>1</v>
      </c>
      <c r="Q8455" s="19">
        <v>132</v>
      </c>
      <c r="R8455" s="14" t="e">
        <v>#N/A</v>
      </c>
      <c r="S8455" s="19" t="e">
        <v>#N/A</v>
      </c>
      <c r="AJ8455" s="19">
        <v>0</v>
      </c>
      <c r="AK8455" s="23">
        <v>0</v>
      </c>
      <c r="AM8455" s="19">
        <v>0</v>
      </c>
      <c r="AN8455" s="19" t="e">
        <v>#N/A</v>
      </c>
      <c r="AP8455" s="14" t="e">
        <v>#N/A</v>
      </c>
      <c r="AQ8455" s="12">
        <v>1E-4</v>
      </c>
    </row>
    <row r="8456" spans="1:45" ht="42" x14ac:dyDescent="0.2">
      <c r="A8456" s="2">
        <v>6989</v>
      </c>
      <c r="B8456" s="13">
        <v>1</v>
      </c>
      <c r="C8456" s="17" t="s">
        <v>65</v>
      </c>
      <c r="D8456" s="17">
        <v>1370</v>
      </c>
      <c r="E8456" s="17">
        <v>58</v>
      </c>
      <c r="H8456" s="17">
        <v>7</v>
      </c>
      <c r="I8456" s="17">
        <v>0</v>
      </c>
      <c r="J8456" s="17">
        <v>40</v>
      </c>
      <c r="K8456" s="10">
        <v>2840</v>
      </c>
      <c r="P8456" s="17">
        <v>1</v>
      </c>
      <c r="Q8456" s="19">
        <v>2840</v>
      </c>
      <c r="R8456" s="14">
        <v>160</v>
      </c>
      <c r="S8456" s="19">
        <v>454400</v>
      </c>
      <c r="AJ8456" s="19">
        <v>0</v>
      </c>
      <c r="AK8456" s="23">
        <v>0</v>
      </c>
      <c r="AM8456" s="19">
        <v>0</v>
      </c>
      <c r="AN8456" s="19">
        <v>454400</v>
      </c>
      <c r="AP8456" s="14">
        <v>454400</v>
      </c>
      <c r="AQ8456" s="12">
        <v>1E-4</v>
      </c>
      <c r="AR8456" s="19" t="s">
        <v>847</v>
      </c>
    </row>
    <row r="8457" spans="1:45" x14ac:dyDescent="0.2">
      <c r="B8457" s="13">
        <v>1</v>
      </c>
      <c r="C8457" s="17" t="s">
        <v>65</v>
      </c>
      <c r="D8457" s="17">
        <v>222</v>
      </c>
      <c r="E8457" s="17">
        <v>137</v>
      </c>
      <c r="H8457" s="17">
        <v>0</v>
      </c>
      <c r="I8457" s="17">
        <v>2</v>
      </c>
      <c r="J8457" s="17">
        <v>0</v>
      </c>
      <c r="K8457" s="10">
        <v>200</v>
      </c>
      <c r="P8457" s="17">
        <v>1</v>
      </c>
      <c r="Q8457" s="19">
        <v>200</v>
      </c>
      <c r="R8457" s="14" t="e">
        <v>#N/A</v>
      </c>
      <c r="S8457" s="19" t="e">
        <v>#N/A</v>
      </c>
      <c r="AJ8457" s="19">
        <v>0</v>
      </c>
      <c r="AK8457" s="23">
        <v>0</v>
      </c>
      <c r="AM8457" s="19">
        <v>0</v>
      </c>
      <c r="AN8457" s="19" t="e">
        <v>#N/A</v>
      </c>
      <c r="AP8457" s="14" t="e">
        <v>#N/A</v>
      </c>
      <c r="AQ8457" s="12">
        <v>1E-4</v>
      </c>
    </row>
    <row r="8458" spans="1:45" x14ac:dyDescent="0.2">
      <c r="A8458" s="2">
        <v>6990</v>
      </c>
      <c r="B8458" s="13">
        <v>1</v>
      </c>
      <c r="C8458" s="17" t="s">
        <v>65</v>
      </c>
      <c r="D8458" s="17">
        <v>862</v>
      </c>
      <c r="E8458" s="17">
        <v>133</v>
      </c>
      <c r="H8458" s="17">
        <v>5</v>
      </c>
      <c r="I8458" s="17">
        <v>1</v>
      </c>
      <c r="J8458" s="17">
        <v>67</v>
      </c>
      <c r="K8458" s="10">
        <v>2167</v>
      </c>
      <c r="P8458" s="17">
        <v>1</v>
      </c>
      <c r="Q8458" s="19">
        <v>2167</v>
      </c>
      <c r="R8458" s="14">
        <v>3000</v>
      </c>
      <c r="S8458" s="19">
        <v>6501000</v>
      </c>
      <c r="AE8458" s="17" t="s">
        <v>94</v>
      </c>
      <c r="AJ8458" s="19">
        <v>0</v>
      </c>
      <c r="AK8458" s="23">
        <v>0</v>
      </c>
      <c r="AM8458" s="19">
        <v>0</v>
      </c>
      <c r="AN8458" s="19">
        <v>6501000</v>
      </c>
      <c r="AP8458" s="14">
        <v>6501000</v>
      </c>
      <c r="AQ8458" s="12">
        <v>1E-4</v>
      </c>
    </row>
    <row r="8459" spans="1:45" x14ac:dyDescent="0.2">
      <c r="A8459" s="2">
        <f>+A8458+1</f>
        <v>6991</v>
      </c>
      <c r="B8459" s="13">
        <v>1</v>
      </c>
      <c r="C8459" s="17" t="s">
        <v>65</v>
      </c>
      <c r="D8459" s="17">
        <v>1114</v>
      </c>
      <c r="E8459" s="17">
        <v>23</v>
      </c>
      <c r="H8459" s="17">
        <v>5</v>
      </c>
      <c r="I8459" s="17">
        <v>2</v>
      </c>
      <c r="J8459" s="17">
        <v>50</v>
      </c>
      <c r="K8459" s="10">
        <v>2250</v>
      </c>
      <c r="P8459" s="17">
        <v>1</v>
      </c>
      <c r="Q8459" s="19">
        <v>2250</v>
      </c>
      <c r="R8459" s="14">
        <v>250</v>
      </c>
      <c r="S8459" s="19">
        <v>562500</v>
      </c>
      <c r="AJ8459" s="19">
        <v>0</v>
      </c>
      <c r="AK8459" s="23">
        <v>0</v>
      </c>
      <c r="AM8459" s="19">
        <v>0</v>
      </c>
      <c r="AN8459" s="19">
        <v>562500</v>
      </c>
      <c r="AP8459" s="14">
        <v>562500</v>
      </c>
      <c r="AQ8459" s="12">
        <v>1E-4</v>
      </c>
    </row>
    <row r="8460" spans="1:45" x14ac:dyDescent="0.2">
      <c r="A8460" s="122">
        <f t="shared" ref="A8460:A8461" si="786">+A8459+1</f>
        <v>6992</v>
      </c>
      <c r="B8460" s="13">
        <v>1</v>
      </c>
      <c r="C8460" s="17" t="s">
        <v>65</v>
      </c>
      <c r="D8460" s="17">
        <v>951</v>
      </c>
      <c r="E8460" s="17">
        <v>239</v>
      </c>
      <c r="H8460" s="17">
        <v>0</v>
      </c>
      <c r="I8460" s="17">
        <v>1</v>
      </c>
      <c r="J8460" s="17">
        <v>80</v>
      </c>
      <c r="K8460" s="10">
        <v>180</v>
      </c>
      <c r="P8460" s="17">
        <v>1</v>
      </c>
      <c r="Q8460" s="19">
        <v>180</v>
      </c>
      <c r="R8460" s="14">
        <v>160</v>
      </c>
      <c r="S8460" s="19">
        <v>28800</v>
      </c>
      <c r="AE8460" s="17" t="s">
        <v>848</v>
      </c>
      <c r="AJ8460" s="19">
        <v>0</v>
      </c>
      <c r="AK8460" s="23">
        <v>0</v>
      </c>
      <c r="AM8460" s="19">
        <v>0</v>
      </c>
      <c r="AN8460" s="19">
        <v>28800</v>
      </c>
      <c r="AP8460" s="14">
        <v>28800</v>
      </c>
      <c r="AQ8460" s="12">
        <v>1E-4</v>
      </c>
    </row>
    <row r="8461" spans="1:45" x14ac:dyDescent="0.2">
      <c r="A8461" s="122">
        <f t="shared" si="786"/>
        <v>6993</v>
      </c>
      <c r="B8461" s="13">
        <v>1</v>
      </c>
      <c r="C8461" s="17" t="s">
        <v>65</v>
      </c>
      <c r="D8461" s="17">
        <v>1710</v>
      </c>
      <c r="E8461" s="17">
        <v>30</v>
      </c>
      <c r="H8461" s="17">
        <v>5</v>
      </c>
      <c r="I8461" s="17">
        <v>2</v>
      </c>
      <c r="J8461" s="17">
        <v>26</v>
      </c>
      <c r="K8461" s="10">
        <v>2226</v>
      </c>
      <c r="P8461" s="17">
        <v>1</v>
      </c>
      <c r="Q8461" s="19">
        <v>2226</v>
      </c>
      <c r="R8461" s="14">
        <v>160</v>
      </c>
      <c r="S8461" s="19">
        <v>356160</v>
      </c>
      <c r="AJ8461" s="19">
        <v>0</v>
      </c>
      <c r="AK8461" s="23">
        <v>0</v>
      </c>
      <c r="AM8461" s="19">
        <v>0</v>
      </c>
      <c r="AN8461" s="19">
        <v>356160</v>
      </c>
      <c r="AP8461" s="14">
        <v>356160</v>
      </c>
      <c r="AQ8461" s="12">
        <v>1E-4</v>
      </c>
      <c r="AS8461" s="26">
        <v>17</v>
      </c>
    </row>
    <row r="8462" spans="1:45" x14ac:dyDescent="0.2">
      <c r="B8462" s="13">
        <v>1</v>
      </c>
      <c r="C8462" s="17" t="s">
        <v>65</v>
      </c>
      <c r="D8462" s="17">
        <v>569</v>
      </c>
      <c r="E8462" s="17">
        <v>177</v>
      </c>
      <c r="H8462" s="17">
        <v>2</v>
      </c>
      <c r="I8462" s="17">
        <v>2</v>
      </c>
      <c r="J8462" s="17">
        <v>86</v>
      </c>
      <c r="K8462" s="10">
        <v>1086</v>
      </c>
      <c r="P8462" s="17">
        <v>1</v>
      </c>
      <c r="Q8462" s="19">
        <v>1086</v>
      </c>
      <c r="R8462" s="14" t="e">
        <v>#N/A</v>
      </c>
      <c r="S8462" s="19" t="e">
        <v>#N/A</v>
      </c>
      <c r="AE8462" s="17" t="s">
        <v>94</v>
      </c>
      <c r="AJ8462" s="19">
        <v>0</v>
      </c>
      <c r="AK8462" s="23">
        <v>0</v>
      </c>
      <c r="AM8462" s="19">
        <v>0</v>
      </c>
      <c r="AN8462" s="19" t="e">
        <v>#N/A</v>
      </c>
      <c r="AP8462" s="14" t="e">
        <v>#N/A</v>
      </c>
      <c r="AQ8462" s="12">
        <v>1E-4</v>
      </c>
    </row>
    <row r="8463" spans="1:45" x14ac:dyDescent="0.2">
      <c r="P8463" s="17">
        <v>1</v>
      </c>
      <c r="Q8463" s="19">
        <v>0</v>
      </c>
      <c r="R8463" s="14" t="e">
        <v>#N/A</v>
      </c>
    </row>
    <row r="8464" spans="1:45" x14ac:dyDescent="0.2">
      <c r="A8464" s="2">
        <v>6994</v>
      </c>
      <c r="B8464" s="13">
        <v>1</v>
      </c>
      <c r="C8464" s="17" t="s">
        <v>65</v>
      </c>
      <c r="D8464" s="17">
        <v>473</v>
      </c>
      <c r="E8464" s="17">
        <v>26</v>
      </c>
      <c r="H8464" s="17">
        <v>1</v>
      </c>
      <c r="I8464" s="17">
        <v>0</v>
      </c>
      <c r="J8464" s="17">
        <v>40</v>
      </c>
      <c r="K8464" s="10">
        <v>440</v>
      </c>
      <c r="P8464" s="17">
        <v>1</v>
      </c>
      <c r="Q8464" s="19">
        <v>440</v>
      </c>
      <c r="R8464" s="14">
        <v>160</v>
      </c>
      <c r="S8464" s="19">
        <v>70400</v>
      </c>
      <c r="AJ8464" s="19">
        <v>0</v>
      </c>
      <c r="AK8464" s="23">
        <v>0</v>
      </c>
      <c r="AM8464" s="19">
        <v>0</v>
      </c>
      <c r="AN8464" s="19">
        <v>70400</v>
      </c>
      <c r="AP8464" s="14">
        <v>70400</v>
      </c>
      <c r="AQ8464" s="12">
        <v>1E-4</v>
      </c>
    </row>
    <row r="8465" spans="1:45" x14ac:dyDescent="0.2">
      <c r="B8465" s="13">
        <v>1</v>
      </c>
      <c r="C8465" s="17" t="s">
        <v>97</v>
      </c>
      <c r="D8465" s="17">
        <v>27</v>
      </c>
      <c r="G8465" s="13">
        <v>2</v>
      </c>
      <c r="H8465" s="17">
        <v>19</v>
      </c>
      <c r="I8465" s="17">
        <v>1</v>
      </c>
      <c r="J8465" s="17">
        <v>0</v>
      </c>
      <c r="K8465" s="10">
        <v>7700</v>
      </c>
      <c r="P8465" s="17">
        <v>1</v>
      </c>
      <c r="Q8465" s="19">
        <v>7700</v>
      </c>
      <c r="R8465" s="14" t="e">
        <v>#N/A</v>
      </c>
      <c r="S8465" s="19" t="e">
        <v>#N/A</v>
      </c>
      <c r="AJ8465" s="19">
        <v>0</v>
      </c>
      <c r="AK8465" s="23">
        <v>0</v>
      </c>
      <c r="AM8465" s="19">
        <v>0</v>
      </c>
      <c r="AN8465" s="19" t="e">
        <v>#N/A</v>
      </c>
      <c r="AP8465" s="14" t="e">
        <v>#N/A</v>
      </c>
      <c r="AQ8465" s="12">
        <v>1E-4</v>
      </c>
    </row>
    <row r="8466" spans="1:45" x14ac:dyDescent="0.2">
      <c r="B8466" s="13">
        <v>1</v>
      </c>
      <c r="C8466" s="17" t="s">
        <v>97</v>
      </c>
      <c r="D8466" s="17">
        <v>48</v>
      </c>
      <c r="G8466" s="13">
        <v>5</v>
      </c>
      <c r="H8466" s="17">
        <v>3</v>
      </c>
      <c r="I8466" s="17">
        <v>3</v>
      </c>
      <c r="J8466" s="17">
        <v>0</v>
      </c>
      <c r="K8466" s="10">
        <v>1500</v>
      </c>
      <c r="P8466" s="17">
        <v>1</v>
      </c>
      <c r="Q8466" s="19">
        <v>1500</v>
      </c>
      <c r="R8466" s="14" t="e">
        <v>#N/A</v>
      </c>
      <c r="S8466" s="19" t="e">
        <v>#N/A</v>
      </c>
      <c r="AJ8466" s="19">
        <v>0</v>
      </c>
      <c r="AK8466" s="23">
        <v>0</v>
      </c>
      <c r="AM8466" s="19">
        <v>0</v>
      </c>
      <c r="AN8466" s="19" t="e">
        <v>#N/A</v>
      </c>
      <c r="AP8466" s="14" t="e">
        <v>#N/A</v>
      </c>
      <c r="AQ8466" s="12">
        <v>1E-4</v>
      </c>
    </row>
    <row r="8467" spans="1:45" x14ac:dyDescent="0.2">
      <c r="A8467" s="2">
        <v>6995</v>
      </c>
      <c r="B8467" s="13">
        <v>1</v>
      </c>
      <c r="C8467" s="17" t="s">
        <v>65</v>
      </c>
      <c r="D8467" s="17">
        <v>1810</v>
      </c>
      <c r="E8467" s="17">
        <v>8</v>
      </c>
      <c r="H8467" s="17">
        <v>1</v>
      </c>
      <c r="I8467" s="17">
        <v>2</v>
      </c>
      <c r="J8467" s="17">
        <v>73</v>
      </c>
      <c r="K8467" s="10">
        <v>673</v>
      </c>
      <c r="P8467" s="17">
        <v>1</v>
      </c>
      <c r="Q8467" s="19">
        <v>673</v>
      </c>
      <c r="R8467" s="14">
        <v>500</v>
      </c>
      <c r="S8467" s="19">
        <v>336500</v>
      </c>
      <c r="AJ8467" s="19">
        <v>0</v>
      </c>
      <c r="AK8467" s="23">
        <v>0</v>
      </c>
      <c r="AM8467" s="19">
        <v>0</v>
      </c>
      <c r="AN8467" s="19">
        <v>336500</v>
      </c>
      <c r="AP8467" s="14">
        <v>336500</v>
      </c>
      <c r="AQ8467" s="12">
        <v>1E-4</v>
      </c>
      <c r="AS8467" s="26">
        <v>9</v>
      </c>
    </row>
    <row r="8468" spans="1:45" x14ac:dyDescent="0.2">
      <c r="B8468" s="13">
        <v>1</v>
      </c>
      <c r="C8468" s="17" t="s">
        <v>97</v>
      </c>
      <c r="D8468" s="17">
        <v>23</v>
      </c>
      <c r="G8468" s="13">
        <v>2</v>
      </c>
      <c r="H8468" s="17">
        <v>1</v>
      </c>
      <c r="I8468" s="17">
        <v>3</v>
      </c>
      <c r="J8468" s="17">
        <v>50</v>
      </c>
      <c r="K8468" s="10">
        <v>750</v>
      </c>
      <c r="P8468" s="17">
        <v>1</v>
      </c>
      <c r="Q8468" s="19">
        <v>750</v>
      </c>
      <c r="R8468" s="14" t="e">
        <v>#N/A</v>
      </c>
      <c r="S8468" s="19" t="e">
        <v>#N/A</v>
      </c>
      <c r="AJ8468" s="19">
        <v>0</v>
      </c>
      <c r="AK8468" s="23">
        <v>0</v>
      </c>
      <c r="AM8468" s="19">
        <v>0</v>
      </c>
      <c r="AN8468" s="19" t="e">
        <v>#N/A</v>
      </c>
      <c r="AP8468" s="14" t="e">
        <v>#N/A</v>
      </c>
      <c r="AQ8468" s="12">
        <v>1E-4</v>
      </c>
    </row>
    <row r="8469" spans="1:45" x14ac:dyDescent="0.2">
      <c r="B8469" s="13">
        <v>1</v>
      </c>
      <c r="C8469" s="17" t="s">
        <v>97</v>
      </c>
      <c r="D8469" s="17">
        <v>177</v>
      </c>
      <c r="G8469" s="13">
        <v>2</v>
      </c>
      <c r="H8469" s="17">
        <v>6</v>
      </c>
      <c r="I8469" s="17">
        <v>0</v>
      </c>
      <c r="J8469" s="17">
        <v>0</v>
      </c>
      <c r="K8469" s="10">
        <v>2400</v>
      </c>
      <c r="P8469" s="17">
        <v>1</v>
      </c>
      <c r="Q8469" s="19">
        <v>2400</v>
      </c>
      <c r="R8469" s="14" t="e">
        <v>#N/A</v>
      </c>
      <c r="S8469" s="19" t="e">
        <v>#N/A</v>
      </c>
      <c r="AJ8469" s="19">
        <v>0</v>
      </c>
      <c r="AK8469" s="23">
        <v>0</v>
      </c>
      <c r="AM8469" s="19">
        <v>0</v>
      </c>
      <c r="AN8469" s="19" t="e">
        <v>#N/A</v>
      </c>
      <c r="AP8469" s="14" t="e">
        <v>#N/A</v>
      </c>
      <c r="AQ8469" s="12">
        <v>1E-4</v>
      </c>
    </row>
    <row r="8470" spans="1:45" x14ac:dyDescent="0.2">
      <c r="B8470" s="13">
        <v>1</v>
      </c>
      <c r="C8470" s="17" t="s">
        <v>97</v>
      </c>
      <c r="D8470" s="17">
        <v>114</v>
      </c>
      <c r="G8470" s="13">
        <v>5</v>
      </c>
      <c r="H8470" s="17">
        <v>15</v>
      </c>
      <c r="I8470" s="17">
        <v>0</v>
      </c>
      <c r="J8470" s="17">
        <v>0</v>
      </c>
      <c r="K8470" s="10">
        <v>6000</v>
      </c>
      <c r="P8470" s="17">
        <v>1</v>
      </c>
      <c r="Q8470" s="19">
        <v>6000</v>
      </c>
      <c r="R8470" s="14" t="e">
        <v>#N/A</v>
      </c>
      <c r="S8470" s="19" t="e">
        <v>#N/A</v>
      </c>
      <c r="AJ8470" s="19">
        <v>0</v>
      </c>
      <c r="AK8470" s="23">
        <v>0</v>
      </c>
      <c r="AM8470" s="19">
        <v>0</v>
      </c>
      <c r="AN8470" s="19" t="e">
        <v>#N/A</v>
      </c>
      <c r="AP8470" s="14" t="e">
        <v>#N/A</v>
      </c>
      <c r="AQ8470" s="12">
        <v>1E-4</v>
      </c>
    </row>
    <row r="8471" spans="1:45" x14ac:dyDescent="0.2">
      <c r="B8471" s="13">
        <v>1</v>
      </c>
      <c r="C8471" s="17" t="s">
        <v>65</v>
      </c>
      <c r="D8471" s="17">
        <v>40</v>
      </c>
      <c r="E8471" s="17">
        <v>49</v>
      </c>
      <c r="H8471" s="17">
        <v>4</v>
      </c>
      <c r="I8471" s="17">
        <v>3</v>
      </c>
      <c r="J8471" s="17">
        <v>40</v>
      </c>
      <c r="K8471" s="10">
        <v>1940</v>
      </c>
      <c r="P8471" s="17">
        <v>1</v>
      </c>
      <c r="Q8471" s="19">
        <v>1940</v>
      </c>
      <c r="R8471" s="14" t="e">
        <v>#N/A</v>
      </c>
      <c r="S8471" s="19" t="e">
        <v>#N/A</v>
      </c>
      <c r="AE8471" s="17" t="s">
        <v>94</v>
      </c>
      <c r="AJ8471" s="19">
        <v>0</v>
      </c>
      <c r="AK8471" s="23">
        <v>0</v>
      </c>
      <c r="AM8471" s="19">
        <v>0</v>
      </c>
      <c r="AN8471" s="19" t="e">
        <v>#N/A</v>
      </c>
      <c r="AP8471" s="14" t="e">
        <v>#N/A</v>
      </c>
      <c r="AQ8471" s="12">
        <v>1E-4</v>
      </c>
    </row>
    <row r="8472" spans="1:45" x14ac:dyDescent="0.2">
      <c r="B8472" s="13">
        <v>1</v>
      </c>
      <c r="C8472" s="17" t="s">
        <v>65</v>
      </c>
      <c r="D8472" s="17">
        <v>2574</v>
      </c>
      <c r="E8472" s="17">
        <v>150</v>
      </c>
      <c r="H8472" s="17">
        <v>0</v>
      </c>
      <c r="I8472" s="17">
        <v>1</v>
      </c>
      <c r="J8472" s="17">
        <v>27</v>
      </c>
      <c r="K8472" s="10">
        <v>127</v>
      </c>
      <c r="P8472" s="17">
        <v>1</v>
      </c>
      <c r="Q8472" s="19">
        <v>127</v>
      </c>
      <c r="R8472" s="14" t="e">
        <v>#N/A</v>
      </c>
      <c r="S8472" s="19" t="e">
        <v>#N/A</v>
      </c>
      <c r="AE8472" s="17" t="s">
        <v>94</v>
      </c>
      <c r="AJ8472" s="19">
        <v>0</v>
      </c>
      <c r="AK8472" s="23">
        <v>0</v>
      </c>
      <c r="AM8472" s="19">
        <v>0</v>
      </c>
      <c r="AN8472" s="19" t="e">
        <v>#N/A</v>
      </c>
      <c r="AP8472" s="14" t="e">
        <v>#N/A</v>
      </c>
      <c r="AQ8472" s="12">
        <v>1E-4</v>
      </c>
    </row>
    <row r="8473" spans="1:45" x14ac:dyDescent="0.2">
      <c r="A8473" s="2">
        <v>6996</v>
      </c>
      <c r="B8473" s="13">
        <v>1</v>
      </c>
      <c r="C8473" s="17" t="s">
        <v>65</v>
      </c>
      <c r="D8473" s="17">
        <v>1276</v>
      </c>
      <c r="E8473" s="17">
        <v>135</v>
      </c>
      <c r="H8473" s="17">
        <v>15</v>
      </c>
      <c r="I8473" s="17">
        <v>0</v>
      </c>
      <c r="J8473" s="17">
        <v>80</v>
      </c>
      <c r="K8473" s="10">
        <v>6080</v>
      </c>
      <c r="P8473" s="17">
        <v>1</v>
      </c>
      <c r="Q8473" s="19">
        <v>6080</v>
      </c>
      <c r="R8473" s="14">
        <v>200</v>
      </c>
      <c r="S8473" s="19">
        <v>1216000</v>
      </c>
      <c r="AE8473" s="17" t="s">
        <v>849</v>
      </c>
      <c r="AJ8473" s="19">
        <v>0</v>
      </c>
      <c r="AK8473" s="23">
        <v>0</v>
      </c>
      <c r="AM8473" s="19">
        <v>0</v>
      </c>
      <c r="AN8473" s="19">
        <v>1216000</v>
      </c>
      <c r="AP8473" s="14">
        <v>1216000</v>
      </c>
      <c r="AQ8473" s="12">
        <v>1E-4</v>
      </c>
    </row>
    <row r="8474" spans="1:45" x14ac:dyDescent="0.2">
      <c r="B8474" s="13">
        <v>1</v>
      </c>
      <c r="C8474" s="17" t="s">
        <v>97</v>
      </c>
      <c r="D8474" s="17">
        <v>60</v>
      </c>
      <c r="G8474" s="13">
        <v>3</v>
      </c>
      <c r="H8474" s="17">
        <v>20</v>
      </c>
      <c r="I8474" s="17">
        <v>0</v>
      </c>
      <c r="J8474" s="17">
        <v>0</v>
      </c>
      <c r="K8474" s="10">
        <v>8000</v>
      </c>
      <c r="P8474" s="17">
        <v>1</v>
      </c>
      <c r="Q8474" s="19">
        <v>8000</v>
      </c>
      <c r="R8474" s="14" t="e">
        <v>#N/A</v>
      </c>
      <c r="S8474" s="19" t="e">
        <v>#N/A</v>
      </c>
      <c r="AJ8474" s="19">
        <v>0</v>
      </c>
      <c r="AK8474" s="23">
        <v>0</v>
      </c>
      <c r="AM8474" s="19">
        <v>0</v>
      </c>
      <c r="AN8474" s="19" t="e">
        <v>#N/A</v>
      </c>
      <c r="AP8474" s="14" t="e">
        <v>#N/A</v>
      </c>
      <c r="AQ8474" s="12">
        <v>1E-4</v>
      </c>
    </row>
    <row r="8475" spans="1:45" x14ac:dyDescent="0.2">
      <c r="B8475" s="13">
        <v>1</v>
      </c>
      <c r="C8475" s="17" t="s">
        <v>97</v>
      </c>
      <c r="D8475" s="17">
        <v>154</v>
      </c>
      <c r="G8475" s="13">
        <v>3</v>
      </c>
      <c r="H8475" s="17">
        <v>9</v>
      </c>
      <c r="I8475" s="17">
        <v>0</v>
      </c>
      <c r="J8475" s="17">
        <v>0</v>
      </c>
      <c r="K8475" s="10">
        <v>3600</v>
      </c>
      <c r="P8475" s="17">
        <v>1</v>
      </c>
      <c r="Q8475" s="19">
        <v>3600</v>
      </c>
      <c r="R8475" s="14" t="e">
        <v>#N/A</v>
      </c>
      <c r="S8475" s="19" t="e">
        <v>#N/A</v>
      </c>
      <c r="AJ8475" s="19">
        <v>0</v>
      </c>
      <c r="AK8475" s="23">
        <v>0</v>
      </c>
      <c r="AM8475" s="19">
        <v>0</v>
      </c>
      <c r="AN8475" s="19" t="e">
        <v>#N/A</v>
      </c>
      <c r="AP8475" s="14" t="e">
        <v>#N/A</v>
      </c>
      <c r="AQ8475" s="12">
        <v>1E-4</v>
      </c>
    </row>
    <row r="8476" spans="1:45" x14ac:dyDescent="0.2">
      <c r="B8476" s="13">
        <v>1</v>
      </c>
      <c r="C8476" s="17" t="s">
        <v>97</v>
      </c>
      <c r="D8476" s="17">
        <v>231</v>
      </c>
      <c r="G8476" s="13">
        <v>3</v>
      </c>
      <c r="H8476" s="17">
        <v>1</v>
      </c>
      <c r="I8476" s="17">
        <v>0</v>
      </c>
      <c r="J8476" s="17">
        <v>77</v>
      </c>
      <c r="K8476" s="10">
        <v>477</v>
      </c>
      <c r="P8476" s="17">
        <v>1</v>
      </c>
      <c r="Q8476" s="19">
        <v>477</v>
      </c>
      <c r="R8476" s="14" t="e">
        <v>#N/A</v>
      </c>
      <c r="S8476" s="19" t="e">
        <v>#N/A</v>
      </c>
      <c r="AJ8476" s="19">
        <v>0</v>
      </c>
      <c r="AK8476" s="23">
        <v>0</v>
      </c>
      <c r="AM8476" s="19">
        <v>0</v>
      </c>
      <c r="AN8476" s="19" t="e">
        <v>#N/A</v>
      </c>
      <c r="AP8476" s="14" t="e">
        <v>#N/A</v>
      </c>
      <c r="AQ8476" s="12">
        <v>1E-4</v>
      </c>
    </row>
    <row r="8477" spans="1:45" x14ac:dyDescent="0.2">
      <c r="A8477" s="2">
        <v>6997</v>
      </c>
      <c r="B8477" s="13">
        <v>2</v>
      </c>
      <c r="C8477" s="17" t="s">
        <v>65</v>
      </c>
      <c r="D8477" s="17">
        <v>2469</v>
      </c>
      <c r="E8477" s="17">
        <v>101</v>
      </c>
      <c r="H8477" s="17">
        <v>0</v>
      </c>
      <c r="I8477" s="17">
        <v>0</v>
      </c>
      <c r="J8477" s="17">
        <v>10</v>
      </c>
      <c r="K8477" s="10">
        <v>10</v>
      </c>
      <c r="P8477" s="17">
        <v>1</v>
      </c>
      <c r="Q8477" s="19">
        <v>10</v>
      </c>
      <c r="R8477" s="14">
        <v>160</v>
      </c>
      <c r="S8477" s="19">
        <v>1600</v>
      </c>
      <c r="AE8477" s="17" t="s">
        <v>95</v>
      </c>
      <c r="AJ8477" s="19">
        <v>0</v>
      </c>
      <c r="AK8477" s="23">
        <v>0</v>
      </c>
      <c r="AM8477" s="19">
        <v>0</v>
      </c>
      <c r="AN8477" s="19">
        <v>1600</v>
      </c>
      <c r="AP8477" s="14">
        <v>1600</v>
      </c>
      <c r="AQ8477" s="12">
        <v>1E-4</v>
      </c>
    </row>
    <row r="8478" spans="1:45" x14ac:dyDescent="0.2">
      <c r="B8478" s="13">
        <v>1</v>
      </c>
      <c r="C8478" s="17" t="s">
        <v>97</v>
      </c>
      <c r="D8478" s="17">
        <v>91</v>
      </c>
      <c r="G8478" s="13">
        <v>6</v>
      </c>
      <c r="H8478" s="17">
        <v>6</v>
      </c>
      <c r="I8478" s="17">
        <v>2</v>
      </c>
      <c r="J8478" s="17">
        <v>25</v>
      </c>
      <c r="K8478" s="10">
        <v>2625</v>
      </c>
      <c r="P8478" s="17">
        <v>1</v>
      </c>
      <c r="Q8478" s="19">
        <v>2625</v>
      </c>
      <c r="R8478" s="14" t="e">
        <v>#N/A</v>
      </c>
      <c r="S8478" s="19" t="e">
        <v>#N/A</v>
      </c>
      <c r="AJ8478" s="19">
        <v>0</v>
      </c>
      <c r="AK8478" s="23">
        <v>0</v>
      </c>
      <c r="AM8478" s="19">
        <v>0</v>
      </c>
      <c r="AN8478" s="19" t="e">
        <v>#N/A</v>
      </c>
      <c r="AP8478" s="14" t="e">
        <v>#N/A</v>
      </c>
      <c r="AQ8478" s="12">
        <v>1E-4</v>
      </c>
    </row>
    <row r="8479" spans="1:45" x14ac:dyDescent="0.2">
      <c r="B8479" s="13">
        <v>1</v>
      </c>
      <c r="C8479" s="17" t="s">
        <v>65</v>
      </c>
      <c r="D8479" s="17">
        <v>3142</v>
      </c>
      <c r="E8479" s="17">
        <v>35</v>
      </c>
      <c r="H8479" s="17">
        <v>3</v>
      </c>
      <c r="I8479" s="17">
        <v>1</v>
      </c>
      <c r="J8479" s="17">
        <v>59</v>
      </c>
      <c r="K8479" s="10">
        <v>1359</v>
      </c>
      <c r="P8479" s="17">
        <v>1</v>
      </c>
      <c r="Q8479" s="19">
        <v>1359</v>
      </c>
      <c r="R8479" s="14" t="e">
        <v>#N/A</v>
      </c>
      <c r="S8479" s="19" t="e">
        <v>#N/A</v>
      </c>
      <c r="AE8479" s="17" t="s">
        <v>94</v>
      </c>
      <c r="AJ8479" s="19">
        <v>0</v>
      </c>
      <c r="AK8479" s="23">
        <v>0</v>
      </c>
      <c r="AM8479" s="19">
        <v>0</v>
      </c>
      <c r="AN8479" s="19" t="e">
        <v>#N/A</v>
      </c>
      <c r="AP8479" s="14" t="e">
        <v>#N/A</v>
      </c>
      <c r="AQ8479" s="12">
        <v>1E-4</v>
      </c>
    </row>
    <row r="8480" spans="1:45" x14ac:dyDescent="0.2">
      <c r="A8480" s="2">
        <v>6998</v>
      </c>
      <c r="B8480" s="13">
        <v>1</v>
      </c>
      <c r="C8480" s="17" t="s">
        <v>65</v>
      </c>
      <c r="D8480" s="17">
        <v>466</v>
      </c>
      <c r="E8480" s="17">
        <v>19</v>
      </c>
      <c r="H8480" s="17">
        <v>23</v>
      </c>
      <c r="I8480" s="17">
        <v>1</v>
      </c>
      <c r="J8480" s="17">
        <v>0</v>
      </c>
      <c r="K8480" s="10">
        <v>9300</v>
      </c>
      <c r="P8480" s="17">
        <v>1</v>
      </c>
      <c r="Q8480" s="19">
        <v>9300</v>
      </c>
      <c r="R8480" s="14">
        <v>250</v>
      </c>
      <c r="S8480" s="19">
        <v>2325000</v>
      </c>
      <c r="AJ8480" s="19">
        <v>0</v>
      </c>
      <c r="AK8480" s="23">
        <v>0</v>
      </c>
      <c r="AM8480" s="19">
        <v>0</v>
      </c>
      <c r="AN8480" s="19">
        <v>2325000</v>
      </c>
      <c r="AP8480" s="14">
        <v>2325000</v>
      </c>
      <c r="AQ8480" s="12">
        <v>1E-4</v>
      </c>
      <c r="AS8480" s="26">
        <v>144</v>
      </c>
    </row>
    <row r="8481" spans="1:45" x14ac:dyDescent="0.2">
      <c r="B8481" s="13">
        <v>2</v>
      </c>
      <c r="C8481" s="17" t="s">
        <v>97</v>
      </c>
      <c r="D8481" s="17">
        <v>112</v>
      </c>
      <c r="G8481" s="13">
        <v>3</v>
      </c>
      <c r="H8481" s="17">
        <v>7</v>
      </c>
      <c r="I8481" s="17">
        <v>1</v>
      </c>
      <c r="J8481" s="17">
        <v>4</v>
      </c>
      <c r="K8481" s="10">
        <v>2904</v>
      </c>
      <c r="P8481" s="17">
        <v>1</v>
      </c>
      <c r="Q8481" s="19">
        <v>2904</v>
      </c>
      <c r="R8481" s="14" t="e">
        <v>#N/A</v>
      </c>
      <c r="S8481" s="19" t="e">
        <v>#N/A</v>
      </c>
      <c r="AJ8481" s="19">
        <v>0</v>
      </c>
      <c r="AK8481" s="23">
        <v>0</v>
      </c>
      <c r="AM8481" s="19">
        <v>0</v>
      </c>
      <c r="AN8481" s="19" t="e">
        <v>#N/A</v>
      </c>
      <c r="AP8481" s="14" t="e">
        <v>#N/A</v>
      </c>
      <c r="AQ8481" s="12">
        <v>1E-4</v>
      </c>
    </row>
    <row r="8482" spans="1:45" x14ac:dyDescent="0.2">
      <c r="A8482" s="2">
        <v>6999</v>
      </c>
      <c r="B8482" s="13">
        <v>1</v>
      </c>
      <c r="C8482" s="17" t="s">
        <v>65</v>
      </c>
      <c r="D8482" s="17">
        <v>990</v>
      </c>
      <c r="E8482" s="17">
        <v>34</v>
      </c>
      <c r="H8482" s="17">
        <v>8</v>
      </c>
      <c r="I8482" s="17">
        <v>3</v>
      </c>
      <c r="J8482" s="17">
        <v>36</v>
      </c>
      <c r="K8482" s="10">
        <v>3536</v>
      </c>
      <c r="P8482" s="17">
        <v>1</v>
      </c>
      <c r="Q8482" s="19">
        <v>3536</v>
      </c>
      <c r="R8482" s="14">
        <v>200</v>
      </c>
      <c r="S8482" s="19">
        <v>707200</v>
      </c>
      <c r="AE8482" s="17" t="s">
        <v>94</v>
      </c>
      <c r="AJ8482" s="19">
        <v>0</v>
      </c>
      <c r="AK8482" s="23">
        <v>0</v>
      </c>
      <c r="AM8482" s="19">
        <v>0</v>
      </c>
      <c r="AN8482" s="19">
        <v>707200</v>
      </c>
      <c r="AP8482" s="14">
        <v>707200</v>
      </c>
      <c r="AQ8482" s="12">
        <v>1E-4</v>
      </c>
    </row>
    <row r="8483" spans="1:45" x14ac:dyDescent="0.2">
      <c r="A8483" s="2">
        <v>7000</v>
      </c>
      <c r="B8483" s="13">
        <v>1</v>
      </c>
      <c r="C8483" s="17" t="s">
        <v>65</v>
      </c>
      <c r="D8483" s="17">
        <v>1807</v>
      </c>
      <c r="E8483" s="17">
        <v>5</v>
      </c>
      <c r="H8483" s="17">
        <v>8</v>
      </c>
      <c r="I8483" s="17">
        <v>1</v>
      </c>
      <c r="J8483" s="17">
        <v>0</v>
      </c>
      <c r="K8483" s="10">
        <v>3300</v>
      </c>
      <c r="P8483" s="17">
        <v>1</v>
      </c>
      <c r="Q8483" s="19">
        <v>3300</v>
      </c>
      <c r="R8483" s="14">
        <v>500</v>
      </c>
      <c r="S8483" s="19">
        <v>1650000</v>
      </c>
      <c r="AJ8483" s="19">
        <v>0</v>
      </c>
      <c r="AK8483" s="23">
        <v>0</v>
      </c>
      <c r="AM8483" s="19">
        <v>0</v>
      </c>
      <c r="AN8483" s="19">
        <v>1650000</v>
      </c>
      <c r="AP8483" s="14">
        <v>1650000</v>
      </c>
      <c r="AQ8483" s="12">
        <v>1E-4</v>
      </c>
      <c r="AS8483" s="26">
        <v>68</v>
      </c>
    </row>
    <row r="8484" spans="1:45" x14ac:dyDescent="0.2">
      <c r="A8484" s="2">
        <v>7001</v>
      </c>
      <c r="B8484" s="13">
        <v>1</v>
      </c>
      <c r="C8484" s="17" t="s">
        <v>65</v>
      </c>
      <c r="D8484" s="17">
        <v>1497</v>
      </c>
      <c r="E8484" s="17">
        <v>100</v>
      </c>
      <c r="H8484" s="17">
        <v>0</v>
      </c>
      <c r="I8484" s="17">
        <v>0</v>
      </c>
      <c r="J8484" s="17">
        <v>29</v>
      </c>
      <c r="K8484" s="10">
        <v>29</v>
      </c>
      <c r="P8484" s="17">
        <v>1</v>
      </c>
      <c r="Q8484" s="19">
        <v>29</v>
      </c>
      <c r="R8484" s="14">
        <v>160</v>
      </c>
      <c r="S8484" s="19">
        <v>4640</v>
      </c>
      <c r="AJ8484" s="19">
        <v>0</v>
      </c>
      <c r="AK8484" s="23">
        <v>0</v>
      </c>
      <c r="AM8484" s="19">
        <v>0</v>
      </c>
      <c r="AN8484" s="19">
        <v>4640</v>
      </c>
      <c r="AP8484" s="14">
        <v>4640</v>
      </c>
      <c r="AQ8484" s="12">
        <v>1E-4</v>
      </c>
    </row>
    <row r="8485" spans="1:45" x14ac:dyDescent="0.2">
      <c r="B8485" s="13">
        <v>1</v>
      </c>
      <c r="C8485" s="17" t="s">
        <v>97</v>
      </c>
      <c r="D8485" s="17">
        <v>118</v>
      </c>
      <c r="G8485" s="13">
        <v>6</v>
      </c>
      <c r="H8485" s="17">
        <v>30</v>
      </c>
      <c r="I8485" s="17">
        <v>0</v>
      </c>
      <c r="J8485" s="17">
        <v>0</v>
      </c>
      <c r="K8485" s="10">
        <v>12000</v>
      </c>
      <c r="P8485" s="17">
        <v>1</v>
      </c>
      <c r="Q8485" s="19">
        <v>12000</v>
      </c>
      <c r="R8485" s="14" t="e">
        <v>#N/A</v>
      </c>
      <c r="S8485" s="19" t="e">
        <v>#N/A</v>
      </c>
      <c r="AJ8485" s="19">
        <v>0</v>
      </c>
      <c r="AK8485" s="23">
        <v>0</v>
      </c>
      <c r="AM8485" s="19">
        <v>0</v>
      </c>
      <c r="AN8485" s="19" t="e">
        <v>#N/A</v>
      </c>
      <c r="AP8485" s="14" t="e">
        <v>#N/A</v>
      </c>
      <c r="AQ8485" s="12">
        <v>1E-4</v>
      </c>
    </row>
    <row r="8486" spans="1:45" x14ac:dyDescent="0.2">
      <c r="B8486" s="13">
        <v>1</v>
      </c>
      <c r="C8486" s="17" t="s">
        <v>97</v>
      </c>
      <c r="D8486" s="17">
        <v>22</v>
      </c>
      <c r="G8486" s="13">
        <v>6</v>
      </c>
      <c r="H8486" s="17">
        <v>2</v>
      </c>
      <c r="I8486" s="17">
        <v>1</v>
      </c>
      <c r="J8486" s="17">
        <v>89</v>
      </c>
      <c r="K8486" s="10">
        <v>989</v>
      </c>
      <c r="P8486" s="17">
        <v>1</v>
      </c>
      <c r="Q8486" s="19">
        <v>989</v>
      </c>
      <c r="R8486" s="14" t="e">
        <v>#N/A</v>
      </c>
      <c r="S8486" s="19" t="e">
        <v>#N/A</v>
      </c>
      <c r="AJ8486" s="19">
        <v>0</v>
      </c>
      <c r="AK8486" s="23">
        <v>0</v>
      </c>
      <c r="AM8486" s="19">
        <v>0</v>
      </c>
      <c r="AN8486" s="19" t="e">
        <v>#N/A</v>
      </c>
      <c r="AP8486" s="14" t="e">
        <v>#N/A</v>
      </c>
      <c r="AQ8486" s="12">
        <v>1E-4</v>
      </c>
    </row>
    <row r="8487" spans="1:45" x14ac:dyDescent="0.2">
      <c r="A8487" s="2">
        <v>7002</v>
      </c>
      <c r="B8487" s="13">
        <v>1</v>
      </c>
      <c r="C8487" s="17" t="s">
        <v>65</v>
      </c>
      <c r="D8487" s="17">
        <v>1727</v>
      </c>
      <c r="E8487" s="17">
        <v>44</v>
      </c>
      <c r="H8487" s="17">
        <v>1</v>
      </c>
      <c r="I8487" s="17">
        <v>3</v>
      </c>
      <c r="J8487" s="17">
        <v>40</v>
      </c>
      <c r="K8487" s="10">
        <v>740</v>
      </c>
      <c r="P8487" s="17">
        <v>1</v>
      </c>
      <c r="Q8487" s="19">
        <v>740</v>
      </c>
      <c r="R8487" s="14">
        <v>160</v>
      </c>
      <c r="S8487" s="19">
        <v>118400</v>
      </c>
      <c r="AJ8487" s="19">
        <v>0</v>
      </c>
      <c r="AK8487" s="23">
        <v>0</v>
      </c>
      <c r="AM8487" s="19">
        <v>0</v>
      </c>
      <c r="AN8487" s="19">
        <v>118400</v>
      </c>
      <c r="AP8487" s="14">
        <v>118400</v>
      </c>
      <c r="AQ8487" s="12">
        <v>1E-4</v>
      </c>
    </row>
    <row r="8488" spans="1:45" x14ac:dyDescent="0.2">
      <c r="B8488" s="13">
        <v>1</v>
      </c>
      <c r="C8488" s="17" t="s">
        <v>65</v>
      </c>
      <c r="D8488" s="17">
        <v>267</v>
      </c>
      <c r="E8488" s="17">
        <v>94</v>
      </c>
      <c r="H8488" s="17">
        <v>0</v>
      </c>
      <c r="I8488" s="17">
        <v>3</v>
      </c>
      <c r="J8488" s="17">
        <v>3</v>
      </c>
      <c r="K8488" s="10">
        <v>303</v>
      </c>
      <c r="P8488" s="17">
        <v>1</v>
      </c>
      <c r="Q8488" s="19">
        <v>303</v>
      </c>
      <c r="R8488" s="14" t="e">
        <v>#N/A</v>
      </c>
      <c r="S8488" s="19" t="e">
        <v>#N/A</v>
      </c>
      <c r="AE8488" s="17" t="s">
        <v>94</v>
      </c>
      <c r="AJ8488" s="19">
        <v>0</v>
      </c>
      <c r="AK8488" s="23">
        <v>0</v>
      </c>
      <c r="AM8488" s="19">
        <v>0</v>
      </c>
      <c r="AN8488" s="19" t="e">
        <v>#N/A</v>
      </c>
      <c r="AP8488" s="14" t="e">
        <v>#N/A</v>
      </c>
      <c r="AQ8488" s="12">
        <v>1E-4</v>
      </c>
    </row>
    <row r="8489" spans="1:45" x14ac:dyDescent="0.2">
      <c r="A8489" s="2">
        <v>7003</v>
      </c>
      <c r="B8489" s="13">
        <v>1</v>
      </c>
      <c r="C8489" s="17" t="s">
        <v>65</v>
      </c>
      <c r="D8489" s="17">
        <v>1815</v>
      </c>
      <c r="E8489" s="17">
        <v>13</v>
      </c>
      <c r="H8489" s="17">
        <v>4</v>
      </c>
      <c r="I8489" s="17">
        <v>1</v>
      </c>
      <c r="J8489" s="17">
        <v>63</v>
      </c>
      <c r="K8489" s="10">
        <v>1763</v>
      </c>
      <c r="P8489" s="17">
        <v>1</v>
      </c>
      <c r="Q8489" s="19">
        <v>1763</v>
      </c>
      <c r="R8489" s="14">
        <v>500</v>
      </c>
      <c r="S8489" s="19">
        <v>881500</v>
      </c>
      <c r="AJ8489" s="19">
        <v>0</v>
      </c>
      <c r="AK8489" s="23">
        <v>0</v>
      </c>
      <c r="AM8489" s="19">
        <v>0</v>
      </c>
      <c r="AN8489" s="19">
        <v>881500</v>
      </c>
      <c r="AP8489" s="14">
        <v>881500</v>
      </c>
      <c r="AQ8489" s="12">
        <v>1E-4</v>
      </c>
    </row>
    <row r="8490" spans="1:45" x14ac:dyDescent="0.2">
      <c r="B8490" s="13">
        <v>1</v>
      </c>
      <c r="C8490" s="17" t="s">
        <v>97</v>
      </c>
      <c r="D8490" s="17">
        <v>84</v>
      </c>
      <c r="G8490" s="13">
        <v>5</v>
      </c>
      <c r="H8490" s="17">
        <v>21</v>
      </c>
      <c r="I8490" s="17">
        <v>3</v>
      </c>
      <c r="J8490" s="17">
        <v>42</v>
      </c>
      <c r="K8490" s="10">
        <v>8742</v>
      </c>
      <c r="P8490" s="17">
        <v>1</v>
      </c>
      <c r="Q8490" s="19">
        <v>8742</v>
      </c>
      <c r="R8490" s="14" t="e">
        <v>#N/A</v>
      </c>
      <c r="S8490" s="19" t="e">
        <v>#N/A</v>
      </c>
      <c r="AJ8490" s="19">
        <v>0</v>
      </c>
      <c r="AK8490" s="23">
        <v>0</v>
      </c>
      <c r="AM8490" s="19">
        <v>0</v>
      </c>
      <c r="AN8490" s="19" t="e">
        <v>#N/A</v>
      </c>
      <c r="AP8490" s="14" t="e">
        <v>#N/A</v>
      </c>
      <c r="AQ8490" s="12">
        <v>1E-4</v>
      </c>
    </row>
    <row r="8491" spans="1:45" x14ac:dyDescent="0.2">
      <c r="A8491" s="2">
        <v>7004</v>
      </c>
      <c r="B8491" s="13">
        <v>1</v>
      </c>
      <c r="C8491" s="17" t="s">
        <v>65</v>
      </c>
      <c r="D8491" s="17">
        <v>1589</v>
      </c>
      <c r="E8491" s="17">
        <v>162</v>
      </c>
      <c r="H8491" s="17">
        <v>3</v>
      </c>
      <c r="I8491" s="17">
        <v>1</v>
      </c>
      <c r="J8491" s="17">
        <v>70</v>
      </c>
      <c r="K8491" s="10">
        <v>1370</v>
      </c>
      <c r="P8491" s="17">
        <v>1</v>
      </c>
      <c r="Q8491" s="19">
        <v>1370</v>
      </c>
      <c r="R8491" s="14">
        <v>200</v>
      </c>
      <c r="S8491" s="19">
        <v>274000</v>
      </c>
      <c r="AJ8491" s="19">
        <v>0</v>
      </c>
      <c r="AK8491" s="23">
        <v>0</v>
      </c>
      <c r="AM8491" s="19">
        <v>0</v>
      </c>
      <c r="AN8491" s="19">
        <v>274000</v>
      </c>
      <c r="AP8491" s="14">
        <v>274000</v>
      </c>
      <c r="AQ8491" s="12">
        <v>1E-4</v>
      </c>
    </row>
    <row r="8492" spans="1:45" x14ac:dyDescent="0.2">
      <c r="B8492" s="13">
        <v>1</v>
      </c>
      <c r="C8492" s="17" t="s">
        <v>97</v>
      </c>
      <c r="D8492" s="17">
        <v>6</v>
      </c>
      <c r="G8492" s="13">
        <v>5</v>
      </c>
      <c r="H8492" s="17">
        <v>5</v>
      </c>
      <c r="I8492" s="17">
        <v>0</v>
      </c>
      <c r="J8492" s="17">
        <v>0</v>
      </c>
      <c r="K8492" s="10">
        <v>2000</v>
      </c>
      <c r="P8492" s="17">
        <v>1</v>
      </c>
      <c r="Q8492" s="19">
        <v>2000</v>
      </c>
      <c r="R8492" s="14" t="e">
        <v>#N/A</v>
      </c>
      <c r="S8492" s="19" t="e">
        <v>#N/A</v>
      </c>
      <c r="AJ8492" s="19">
        <v>0</v>
      </c>
      <c r="AK8492" s="23">
        <v>0</v>
      </c>
      <c r="AM8492" s="19">
        <v>0</v>
      </c>
      <c r="AN8492" s="19" t="e">
        <v>#N/A</v>
      </c>
      <c r="AP8492" s="14" t="e">
        <v>#N/A</v>
      </c>
      <c r="AQ8492" s="12">
        <v>1E-4</v>
      </c>
    </row>
    <row r="8493" spans="1:45" x14ac:dyDescent="0.2">
      <c r="A8493" s="2">
        <v>7005</v>
      </c>
      <c r="B8493" s="13">
        <v>1</v>
      </c>
      <c r="C8493" s="17" t="s">
        <v>65</v>
      </c>
      <c r="D8493" s="17">
        <v>1551</v>
      </c>
      <c r="E8493" s="17">
        <v>19</v>
      </c>
      <c r="H8493" s="17">
        <v>14</v>
      </c>
      <c r="I8493" s="17">
        <v>2</v>
      </c>
      <c r="J8493" s="17">
        <v>0</v>
      </c>
      <c r="K8493" s="10">
        <v>5800</v>
      </c>
      <c r="P8493" s="17">
        <v>1</v>
      </c>
      <c r="Q8493" s="19">
        <v>5800</v>
      </c>
      <c r="R8493" s="14">
        <v>160</v>
      </c>
      <c r="S8493" s="19">
        <v>928000</v>
      </c>
      <c r="AJ8493" s="19">
        <v>0</v>
      </c>
      <c r="AK8493" s="23">
        <v>0</v>
      </c>
      <c r="AM8493" s="19">
        <v>0</v>
      </c>
      <c r="AN8493" s="19">
        <v>928000</v>
      </c>
      <c r="AP8493" s="14">
        <v>928000</v>
      </c>
      <c r="AQ8493" s="12">
        <v>1E-4</v>
      </c>
    </row>
    <row r="8494" spans="1:45" x14ac:dyDescent="0.2">
      <c r="A8494" s="2">
        <v>7006</v>
      </c>
      <c r="B8494" s="13">
        <v>2</v>
      </c>
      <c r="C8494" s="17" t="s">
        <v>65</v>
      </c>
      <c r="D8494" s="17">
        <v>1553</v>
      </c>
      <c r="E8494" s="17">
        <v>21</v>
      </c>
      <c r="H8494" s="17">
        <v>5</v>
      </c>
      <c r="I8494" s="17">
        <v>1</v>
      </c>
      <c r="J8494" s="17">
        <v>60</v>
      </c>
      <c r="K8494" s="10">
        <v>2160</v>
      </c>
      <c r="P8494" s="17">
        <v>1</v>
      </c>
      <c r="Q8494" s="19">
        <v>2160</v>
      </c>
      <c r="R8494" s="14">
        <v>160</v>
      </c>
      <c r="S8494" s="19">
        <v>345600</v>
      </c>
      <c r="AJ8494" s="19">
        <v>0</v>
      </c>
      <c r="AK8494" s="23">
        <v>0</v>
      </c>
      <c r="AM8494" s="19">
        <v>0</v>
      </c>
      <c r="AN8494" s="19">
        <v>345600</v>
      </c>
      <c r="AP8494" s="14">
        <v>345600</v>
      </c>
      <c r="AQ8494" s="12">
        <v>1E-4</v>
      </c>
    </row>
    <row r="8495" spans="1:45" x14ac:dyDescent="0.2">
      <c r="B8495" s="13">
        <v>1</v>
      </c>
      <c r="C8495" s="17" t="s">
        <v>97</v>
      </c>
      <c r="D8495" s="17">
        <v>9</v>
      </c>
      <c r="G8495" s="13">
        <v>6</v>
      </c>
      <c r="H8495" s="17">
        <v>5</v>
      </c>
      <c r="I8495" s="17">
        <v>0</v>
      </c>
      <c r="J8495" s="17">
        <v>40</v>
      </c>
      <c r="K8495" s="10">
        <v>2040</v>
      </c>
      <c r="P8495" s="17">
        <v>1</v>
      </c>
      <c r="Q8495" s="19">
        <v>2040</v>
      </c>
      <c r="R8495" s="14" t="e">
        <v>#N/A</v>
      </c>
      <c r="S8495" s="19" t="e">
        <v>#N/A</v>
      </c>
      <c r="AJ8495" s="19">
        <v>0</v>
      </c>
      <c r="AK8495" s="23">
        <v>0</v>
      </c>
      <c r="AM8495" s="19">
        <v>0</v>
      </c>
      <c r="AN8495" s="19" t="e">
        <v>#N/A</v>
      </c>
      <c r="AP8495" s="14" t="e">
        <v>#N/A</v>
      </c>
      <c r="AQ8495" s="12">
        <v>1E-4</v>
      </c>
    </row>
    <row r="8496" spans="1:45" x14ac:dyDescent="0.2">
      <c r="A8496" s="2">
        <v>7007</v>
      </c>
      <c r="B8496" s="13">
        <v>1</v>
      </c>
      <c r="C8496" s="17" t="s">
        <v>65</v>
      </c>
      <c r="D8496" s="17">
        <v>1856</v>
      </c>
      <c r="E8496" s="17">
        <v>113</v>
      </c>
      <c r="H8496" s="17">
        <v>9</v>
      </c>
      <c r="I8496" s="17">
        <v>2</v>
      </c>
      <c r="J8496" s="17">
        <v>10</v>
      </c>
      <c r="K8496" s="10">
        <v>3810</v>
      </c>
      <c r="P8496" s="17">
        <v>1</v>
      </c>
      <c r="Q8496" s="19">
        <v>3810</v>
      </c>
      <c r="R8496" s="14">
        <v>160</v>
      </c>
      <c r="S8496" s="19">
        <v>609600</v>
      </c>
      <c r="AJ8496" s="19">
        <v>0</v>
      </c>
      <c r="AK8496" s="23">
        <v>0</v>
      </c>
      <c r="AM8496" s="19">
        <v>0</v>
      </c>
      <c r="AN8496" s="19">
        <v>609600</v>
      </c>
      <c r="AP8496" s="14">
        <v>609600</v>
      </c>
      <c r="AQ8496" s="12">
        <v>1E-4</v>
      </c>
    </row>
    <row r="8497" spans="1:45" x14ac:dyDescent="0.2">
      <c r="A8497" s="2">
        <v>7008</v>
      </c>
      <c r="B8497" s="13">
        <v>1</v>
      </c>
      <c r="C8497" s="17" t="s">
        <v>65</v>
      </c>
      <c r="D8497" s="17">
        <v>3378</v>
      </c>
      <c r="E8497" s="17">
        <v>56</v>
      </c>
      <c r="H8497" s="17">
        <v>3</v>
      </c>
      <c r="I8497" s="17">
        <v>2</v>
      </c>
      <c r="J8497" s="17">
        <v>2</v>
      </c>
      <c r="K8497" s="10">
        <v>1402</v>
      </c>
      <c r="P8497" s="17">
        <v>1</v>
      </c>
      <c r="Q8497" s="19">
        <v>1402</v>
      </c>
      <c r="R8497" s="14">
        <v>200</v>
      </c>
      <c r="S8497" s="19">
        <v>280400</v>
      </c>
      <c r="AJ8497" s="19">
        <v>0</v>
      </c>
      <c r="AK8497" s="23">
        <v>0</v>
      </c>
      <c r="AM8497" s="19">
        <v>0</v>
      </c>
      <c r="AN8497" s="19">
        <v>280400</v>
      </c>
      <c r="AP8497" s="14">
        <v>280400</v>
      </c>
      <c r="AQ8497" s="12">
        <v>1E-4</v>
      </c>
    </row>
    <row r="8498" spans="1:45" x14ac:dyDescent="0.2">
      <c r="A8498" s="2">
        <v>7009</v>
      </c>
      <c r="B8498" s="13">
        <v>2</v>
      </c>
      <c r="C8498" s="17" t="s">
        <v>65</v>
      </c>
      <c r="D8498" s="17">
        <v>3380</v>
      </c>
      <c r="E8498" s="17">
        <v>58</v>
      </c>
      <c r="H8498" s="17">
        <v>2</v>
      </c>
      <c r="I8498" s="17">
        <v>2</v>
      </c>
      <c r="J8498" s="17">
        <v>92</v>
      </c>
      <c r="K8498" s="10">
        <v>1092</v>
      </c>
      <c r="P8498" s="17">
        <v>1</v>
      </c>
      <c r="Q8498" s="19">
        <v>1092</v>
      </c>
      <c r="R8498" s="14">
        <v>200</v>
      </c>
      <c r="S8498" s="19">
        <v>218400</v>
      </c>
      <c r="AJ8498" s="19">
        <v>0</v>
      </c>
      <c r="AK8498" s="23">
        <v>0</v>
      </c>
      <c r="AM8498" s="19">
        <v>0</v>
      </c>
      <c r="AN8498" s="19">
        <v>218400</v>
      </c>
      <c r="AP8498" s="14">
        <v>218400</v>
      </c>
      <c r="AQ8498" s="12">
        <v>1E-4</v>
      </c>
    </row>
    <row r="8499" spans="1:45" x14ac:dyDescent="0.2">
      <c r="B8499" s="13">
        <v>1</v>
      </c>
      <c r="C8499" s="17" t="s">
        <v>97</v>
      </c>
      <c r="D8499" s="17">
        <v>61</v>
      </c>
      <c r="G8499" s="13">
        <v>5</v>
      </c>
      <c r="H8499" s="17">
        <v>5</v>
      </c>
      <c r="I8499" s="17">
        <v>0</v>
      </c>
      <c r="J8499" s="17">
        <v>0</v>
      </c>
      <c r="K8499" s="10">
        <v>2000</v>
      </c>
      <c r="P8499" s="17">
        <v>1</v>
      </c>
      <c r="Q8499" s="19">
        <v>2000</v>
      </c>
      <c r="R8499" s="14" t="e">
        <v>#N/A</v>
      </c>
      <c r="S8499" s="19" t="e">
        <v>#N/A</v>
      </c>
      <c r="AJ8499" s="19">
        <v>0</v>
      </c>
      <c r="AK8499" s="23">
        <v>0</v>
      </c>
      <c r="AM8499" s="19">
        <v>0</v>
      </c>
      <c r="AN8499" s="19" t="e">
        <v>#N/A</v>
      </c>
      <c r="AP8499" s="14" t="e">
        <v>#N/A</v>
      </c>
      <c r="AQ8499" s="12">
        <v>1E-4</v>
      </c>
    </row>
    <row r="8500" spans="1:45" x14ac:dyDescent="0.2">
      <c r="A8500" s="2">
        <v>7010</v>
      </c>
      <c r="B8500" s="13">
        <v>1</v>
      </c>
      <c r="C8500" s="17" t="s">
        <v>65</v>
      </c>
      <c r="D8500" s="17">
        <v>1152</v>
      </c>
      <c r="E8500" s="17">
        <v>7</v>
      </c>
      <c r="H8500" s="17">
        <v>6</v>
      </c>
      <c r="I8500" s="17">
        <v>1</v>
      </c>
      <c r="J8500" s="17">
        <v>96</v>
      </c>
      <c r="K8500" s="10">
        <v>2596</v>
      </c>
      <c r="P8500" s="17">
        <v>1</v>
      </c>
      <c r="Q8500" s="19">
        <v>2596</v>
      </c>
      <c r="R8500" s="14">
        <v>160</v>
      </c>
      <c r="S8500" s="19">
        <v>415360</v>
      </c>
      <c r="AE8500" s="17" t="s">
        <v>94</v>
      </c>
      <c r="AJ8500" s="19">
        <v>0</v>
      </c>
      <c r="AK8500" s="23">
        <v>0</v>
      </c>
      <c r="AM8500" s="19">
        <v>0</v>
      </c>
      <c r="AN8500" s="19">
        <v>415360</v>
      </c>
      <c r="AP8500" s="14">
        <v>415360</v>
      </c>
      <c r="AQ8500" s="12">
        <v>1E-4</v>
      </c>
    </row>
    <row r="8501" spans="1:45" x14ac:dyDescent="0.2">
      <c r="A8501" s="2">
        <v>7011</v>
      </c>
      <c r="B8501" s="13">
        <v>2</v>
      </c>
      <c r="C8501" s="17" t="s">
        <v>65</v>
      </c>
      <c r="D8501" s="17">
        <v>1220</v>
      </c>
      <c r="E8501" s="17">
        <v>75</v>
      </c>
      <c r="H8501" s="17">
        <v>4</v>
      </c>
      <c r="I8501" s="17">
        <v>1</v>
      </c>
      <c r="J8501" s="17">
        <v>69</v>
      </c>
      <c r="K8501" s="10">
        <v>1769</v>
      </c>
      <c r="P8501" s="17">
        <v>1</v>
      </c>
      <c r="Q8501" s="19">
        <v>1769</v>
      </c>
      <c r="R8501" s="14">
        <v>200</v>
      </c>
      <c r="S8501" s="19">
        <v>353800</v>
      </c>
      <c r="AE8501" s="17" t="s">
        <v>94</v>
      </c>
      <c r="AJ8501" s="19">
        <v>0</v>
      </c>
      <c r="AK8501" s="23">
        <v>0</v>
      </c>
      <c r="AM8501" s="19">
        <v>0</v>
      </c>
      <c r="AN8501" s="19">
        <v>353800</v>
      </c>
      <c r="AP8501" s="14">
        <v>353800</v>
      </c>
      <c r="AQ8501" s="12">
        <v>1E-4</v>
      </c>
    </row>
    <row r="8502" spans="1:45" x14ac:dyDescent="0.2">
      <c r="B8502" s="13">
        <v>1</v>
      </c>
      <c r="C8502" s="17" t="s">
        <v>97</v>
      </c>
      <c r="D8502" s="17">
        <v>104</v>
      </c>
      <c r="G8502" s="13">
        <v>6</v>
      </c>
      <c r="H8502" s="17">
        <v>2</v>
      </c>
      <c r="I8502" s="17">
        <v>3</v>
      </c>
      <c r="J8502" s="17">
        <v>88</v>
      </c>
      <c r="K8502" s="10">
        <v>1188</v>
      </c>
      <c r="P8502" s="17">
        <v>1</v>
      </c>
      <c r="Q8502" s="19">
        <v>1188</v>
      </c>
      <c r="R8502" s="14" t="e">
        <v>#N/A</v>
      </c>
      <c r="S8502" s="19" t="e">
        <v>#N/A</v>
      </c>
      <c r="AJ8502" s="19">
        <v>0</v>
      </c>
      <c r="AK8502" s="23">
        <v>0</v>
      </c>
      <c r="AM8502" s="19">
        <v>0</v>
      </c>
      <c r="AN8502" s="19" t="e">
        <v>#N/A</v>
      </c>
      <c r="AP8502" s="14" t="e">
        <v>#N/A</v>
      </c>
      <c r="AQ8502" s="12">
        <v>1E-4</v>
      </c>
    </row>
    <row r="8503" spans="1:45" x14ac:dyDescent="0.2">
      <c r="B8503" s="13">
        <v>1</v>
      </c>
      <c r="C8503" s="17" t="s">
        <v>65</v>
      </c>
      <c r="D8503" s="17">
        <v>3719</v>
      </c>
      <c r="E8503" s="17">
        <v>177</v>
      </c>
      <c r="H8503" s="17">
        <v>0</v>
      </c>
      <c r="I8503" s="17">
        <v>0</v>
      </c>
      <c r="J8503" s="17">
        <v>50</v>
      </c>
      <c r="K8503" s="10">
        <v>50</v>
      </c>
      <c r="P8503" s="17">
        <v>1</v>
      </c>
      <c r="Q8503" s="19">
        <v>50</v>
      </c>
      <c r="R8503" s="14" t="e">
        <v>#N/A</v>
      </c>
      <c r="S8503" s="19" t="e">
        <v>#N/A</v>
      </c>
      <c r="AE8503" s="17" t="s">
        <v>95</v>
      </c>
      <c r="AJ8503" s="19">
        <v>0</v>
      </c>
      <c r="AK8503" s="23">
        <v>0</v>
      </c>
      <c r="AM8503" s="19">
        <v>0</v>
      </c>
      <c r="AN8503" s="19" t="e">
        <v>#N/A</v>
      </c>
      <c r="AP8503" s="14" t="e">
        <v>#N/A</v>
      </c>
      <c r="AQ8503" s="12">
        <v>1E-4</v>
      </c>
    </row>
    <row r="8504" spans="1:45" x14ac:dyDescent="0.2">
      <c r="B8504" s="13">
        <v>1</v>
      </c>
      <c r="C8504" s="17" t="s">
        <v>97</v>
      </c>
      <c r="D8504" s="17">
        <v>206</v>
      </c>
      <c r="G8504" s="13">
        <v>3</v>
      </c>
      <c r="H8504" s="17">
        <v>43</v>
      </c>
      <c r="I8504" s="17">
        <v>0</v>
      </c>
      <c r="J8504" s="17">
        <v>0</v>
      </c>
      <c r="K8504" s="10">
        <v>17200</v>
      </c>
      <c r="P8504" s="17">
        <v>1</v>
      </c>
      <c r="Q8504" s="19">
        <v>17200</v>
      </c>
      <c r="R8504" s="14" t="e">
        <v>#N/A</v>
      </c>
      <c r="S8504" s="19" t="e">
        <v>#N/A</v>
      </c>
      <c r="AJ8504" s="19">
        <v>0</v>
      </c>
      <c r="AK8504" s="23">
        <v>0</v>
      </c>
      <c r="AM8504" s="19">
        <v>0</v>
      </c>
      <c r="AN8504" s="19" t="e">
        <v>#N/A</v>
      </c>
      <c r="AP8504" s="14" t="e">
        <v>#N/A</v>
      </c>
      <c r="AQ8504" s="12">
        <v>1E-4</v>
      </c>
    </row>
    <row r="8505" spans="1:45" x14ac:dyDescent="0.2">
      <c r="B8505" s="13">
        <v>1</v>
      </c>
      <c r="C8505" s="17" t="s">
        <v>97</v>
      </c>
      <c r="D8505" s="17">
        <v>71</v>
      </c>
      <c r="G8505" s="13">
        <v>2</v>
      </c>
      <c r="H8505" s="17">
        <v>7</v>
      </c>
      <c r="I8505" s="17">
        <v>3</v>
      </c>
      <c r="J8505" s="17">
        <v>60</v>
      </c>
      <c r="K8505" s="10">
        <v>3160</v>
      </c>
      <c r="P8505" s="17">
        <v>1</v>
      </c>
      <c r="Q8505" s="19">
        <v>3160</v>
      </c>
      <c r="R8505" s="14" t="e">
        <v>#N/A</v>
      </c>
      <c r="S8505" s="19" t="e">
        <v>#N/A</v>
      </c>
      <c r="AJ8505" s="19">
        <v>0</v>
      </c>
      <c r="AK8505" s="23">
        <v>0</v>
      </c>
      <c r="AM8505" s="19">
        <v>0</v>
      </c>
      <c r="AN8505" s="19" t="e">
        <v>#N/A</v>
      </c>
      <c r="AP8505" s="14" t="e">
        <v>#N/A</v>
      </c>
      <c r="AQ8505" s="12">
        <v>1E-4</v>
      </c>
      <c r="AS8505" s="26">
        <v>39</v>
      </c>
    </row>
    <row r="8506" spans="1:45" x14ac:dyDescent="0.2">
      <c r="B8506" s="13">
        <v>2</v>
      </c>
      <c r="C8506" s="17" t="s">
        <v>97</v>
      </c>
      <c r="D8506" s="17">
        <v>380</v>
      </c>
      <c r="G8506" s="13">
        <v>2</v>
      </c>
      <c r="H8506" s="17">
        <v>0</v>
      </c>
      <c r="I8506" s="17">
        <v>0</v>
      </c>
      <c r="J8506" s="17">
        <v>40</v>
      </c>
      <c r="K8506" s="10">
        <v>40</v>
      </c>
      <c r="P8506" s="17">
        <v>1</v>
      </c>
      <c r="Q8506" s="19">
        <v>40</v>
      </c>
      <c r="R8506" s="14" t="e">
        <v>#N/A</v>
      </c>
      <c r="S8506" s="19" t="e">
        <v>#N/A</v>
      </c>
      <c r="AE8506" s="17" t="s">
        <v>254</v>
      </c>
      <c r="AJ8506" s="19">
        <v>0</v>
      </c>
      <c r="AK8506" s="23">
        <v>0</v>
      </c>
      <c r="AM8506" s="19">
        <v>0</v>
      </c>
      <c r="AN8506" s="19" t="e">
        <v>#N/A</v>
      </c>
      <c r="AP8506" s="14" t="e">
        <v>#N/A</v>
      </c>
      <c r="AQ8506" s="12">
        <v>1E-4</v>
      </c>
    </row>
    <row r="8507" spans="1:45" x14ac:dyDescent="0.2">
      <c r="B8507" s="13">
        <v>1</v>
      </c>
      <c r="C8507" s="17" t="s">
        <v>97</v>
      </c>
      <c r="D8507" s="17">
        <v>106</v>
      </c>
      <c r="G8507" s="13">
        <v>6</v>
      </c>
      <c r="H8507" s="17">
        <v>9</v>
      </c>
      <c r="I8507" s="17">
        <v>1</v>
      </c>
      <c r="J8507" s="17">
        <v>50</v>
      </c>
      <c r="K8507" s="10">
        <v>3750</v>
      </c>
      <c r="P8507" s="17">
        <v>1</v>
      </c>
      <c r="Q8507" s="19">
        <v>3750</v>
      </c>
      <c r="R8507" s="14" t="e">
        <v>#N/A</v>
      </c>
      <c r="S8507" s="19" t="e">
        <v>#N/A</v>
      </c>
      <c r="AJ8507" s="19">
        <v>0</v>
      </c>
      <c r="AK8507" s="23">
        <v>0</v>
      </c>
      <c r="AM8507" s="19">
        <v>0</v>
      </c>
      <c r="AN8507" s="19" t="e">
        <v>#N/A</v>
      </c>
      <c r="AP8507" s="14" t="e">
        <v>#N/A</v>
      </c>
      <c r="AQ8507" s="12">
        <v>1E-4</v>
      </c>
    </row>
    <row r="8508" spans="1:45" x14ac:dyDescent="0.2">
      <c r="A8508" s="2">
        <v>7012</v>
      </c>
      <c r="B8508" s="13">
        <v>1</v>
      </c>
      <c r="C8508" s="17" t="s">
        <v>65</v>
      </c>
      <c r="D8508" s="17">
        <v>1064</v>
      </c>
      <c r="E8508" s="17">
        <v>96</v>
      </c>
      <c r="H8508" s="17">
        <v>0</v>
      </c>
      <c r="I8508" s="17">
        <v>3</v>
      </c>
      <c r="J8508" s="17">
        <v>35</v>
      </c>
      <c r="K8508" s="10">
        <v>335</v>
      </c>
      <c r="P8508" s="17">
        <v>1</v>
      </c>
      <c r="Q8508" s="19">
        <v>335</v>
      </c>
      <c r="R8508" s="14">
        <v>1500</v>
      </c>
      <c r="S8508" s="19">
        <v>502500</v>
      </c>
      <c r="AJ8508" s="19">
        <v>0</v>
      </c>
      <c r="AK8508" s="23">
        <v>0</v>
      </c>
      <c r="AM8508" s="19">
        <v>0</v>
      </c>
      <c r="AN8508" s="19">
        <v>502500</v>
      </c>
      <c r="AP8508" s="14">
        <v>502500</v>
      </c>
      <c r="AQ8508" s="12">
        <v>1E-4</v>
      </c>
    </row>
    <row r="8509" spans="1:45" x14ac:dyDescent="0.2">
      <c r="A8509" s="2">
        <v>7013</v>
      </c>
      <c r="B8509" s="13">
        <v>1</v>
      </c>
      <c r="C8509" s="17" t="s">
        <v>65</v>
      </c>
      <c r="D8509" s="17">
        <v>326</v>
      </c>
      <c r="E8509" s="17">
        <v>71</v>
      </c>
      <c r="H8509" s="17">
        <v>8</v>
      </c>
      <c r="I8509" s="17">
        <v>1</v>
      </c>
      <c r="J8509" s="17">
        <v>16</v>
      </c>
      <c r="K8509" s="10">
        <v>3316</v>
      </c>
      <c r="P8509" s="17">
        <v>1</v>
      </c>
      <c r="Q8509" s="19">
        <v>3316</v>
      </c>
      <c r="R8509" s="14">
        <v>200</v>
      </c>
      <c r="S8509" s="19">
        <v>663200</v>
      </c>
      <c r="AJ8509" s="19">
        <v>0</v>
      </c>
      <c r="AK8509" s="23">
        <v>0</v>
      </c>
      <c r="AM8509" s="19">
        <v>0</v>
      </c>
      <c r="AN8509" s="19">
        <v>663200</v>
      </c>
      <c r="AP8509" s="14">
        <v>663200</v>
      </c>
      <c r="AQ8509" s="12">
        <v>1E-4</v>
      </c>
    </row>
    <row r="8510" spans="1:45" x14ac:dyDescent="0.2">
      <c r="A8510" s="2">
        <v>7014</v>
      </c>
      <c r="B8510" s="13">
        <v>2</v>
      </c>
      <c r="C8510" s="17" t="s">
        <v>65</v>
      </c>
      <c r="D8510" s="17">
        <v>327</v>
      </c>
      <c r="E8510" s="17">
        <v>72</v>
      </c>
      <c r="H8510" s="17">
        <v>9</v>
      </c>
      <c r="I8510" s="17">
        <v>0</v>
      </c>
      <c r="J8510" s="17">
        <v>93</v>
      </c>
      <c r="K8510" s="10">
        <v>3693</v>
      </c>
      <c r="P8510" s="17">
        <v>1</v>
      </c>
      <c r="Q8510" s="19">
        <v>3693</v>
      </c>
      <c r="R8510" s="14">
        <v>160</v>
      </c>
      <c r="S8510" s="19">
        <v>590880</v>
      </c>
      <c r="AJ8510" s="19">
        <v>0</v>
      </c>
      <c r="AK8510" s="23">
        <v>0</v>
      </c>
      <c r="AM8510" s="19">
        <v>0</v>
      </c>
      <c r="AN8510" s="19">
        <v>590880</v>
      </c>
      <c r="AP8510" s="14">
        <v>590880</v>
      </c>
      <c r="AQ8510" s="12">
        <v>1E-4</v>
      </c>
    </row>
    <row r="8511" spans="1:45" x14ac:dyDescent="0.2">
      <c r="B8511" s="13">
        <v>3</v>
      </c>
      <c r="C8511" s="17" t="s">
        <v>65</v>
      </c>
      <c r="D8511" s="17">
        <v>3481</v>
      </c>
      <c r="E8511" s="17">
        <v>632</v>
      </c>
      <c r="H8511" s="17">
        <v>1</v>
      </c>
      <c r="I8511" s="17">
        <v>0</v>
      </c>
      <c r="J8511" s="17">
        <v>7</v>
      </c>
      <c r="K8511" s="10">
        <v>407</v>
      </c>
      <c r="P8511" s="17">
        <v>1</v>
      </c>
      <c r="Q8511" s="19">
        <v>407</v>
      </c>
      <c r="R8511" s="14" t="e">
        <v>#N/A</v>
      </c>
      <c r="S8511" s="19" t="e">
        <v>#N/A</v>
      </c>
      <c r="AE8511" s="17" t="s">
        <v>95</v>
      </c>
      <c r="AJ8511" s="19">
        <v>0</v>
      </c>
      <c r="AK8511" s="23">
        <v>0</v>
      </c>
      <c r="AM8511" s="19">
        <v>0</v>
      </c>
      <c r="AN8511" s="19" t="e">
        <v>#N/A</v>
      </c>
      <c r="AP8511" s="14" t="e">
        <v>#N/A</v>
      </c>
      <c r="AQ8511" s="12">
        <v>1E-4</v>
      </c>
    </row>
    <row r="8512" spans="1:45" x14ac:dyDescent="0.2">
      <c r="B8512" s="13">
        <v>1</v>
      </c>
      <c r="C8512" s="17" t="s">
        <v>97</v>
      </c>
      <c r="D8512" s="17">
        <v>100</v>
      </c>
      <c r="G8512" s="13">
        <v>3</v>
      </c>
      <c r="H8512" s="17">
        <v>14</v>
      </c>
      <c r="I8512" s="17">
        <v>0</v>
      </c>
      <c r="J8512" s="17">
        <v>84</v>
      </c>
      <c r="K8512" s="10">
        <v>5684</v>
      </c>
      <c r="P8512" s="17">
        <v>1</v>
      </c>
      <c r="Q8512" s="19">
        <v>5684</v>
      </c>
      <c r="R8512" s="14" t="e">
        <v>#N/A</v>
      </c>
      <c r="S8512" s="19" t="e">
        <v>#N/A</v>
      </c>
      <c r="AJ8512" s="19">
        <v>0</v>
      </c>
      <c r="AK8512" s="23">
        <v>0</v>
      </c>
      <c r="AM8512" s="19">
        <v>0</v>
      </c>
      <c r="AN8512" s="19" t="e">
        <v>#N/A</v>
      </c>
      <c r="AP8512" s="14" t="e">
        <v>#N/A</v>
      </c>
      <c r="AQ8512" s="12">
        <v>1E-4</v>
      </c>
    </row>
    <row r="8513" spans="1:45" s="19" customFormat="1" x14ac:dyDescent="0.2">
      <c r="A8513" s="2"/>
      <c r="B8513" s="13">
        <v>1</v>
      </c>
      <c r="C8513" s="17" t="s">
        <v>97</v>
      </c>
      <c r="D8513" s="17">
        <v>35</v>
      </c>
      <c r="E8513" s="17"/>
      <c r="F8513" s="17"/>
      <c r="G8513" s="13">
        <v>6</v>
      </c>
      <c r="H8513" s="17">
        <v>5</v>
      </c>
      <c r="I8513" s="17">
        <v>0</v>
      </c>
      <c r="J8513" s="17">
        <v>0</v>
      </c>
      <c r="K8513" s="10">
        <v>2000</v>
      </c>
      <c r="L8513" s="17"/>
      <c r="M8513" s="15"/>
      <c r="N8513" s="18"/>
      <c r="O8513" s="14"/>
      <c r="P8513" s="17">
        <v>1</v>
      </c>
      <c r="Q8513" s="19">
        <v>2000</v>
      </c>
      <c r="R8513" s="14" t="e">
        <v>#N/A</v>
      </c>
      <c r="S8513" s="19" t="e">
        <v>#N/A</v>
      </c>
      <c r="T8513" s="17"/>
      <c r="U8513" s="17"/>
      <c r="V8513" s="17"/>
      <c r="W8513" s="4"/>
      <c r="X8513" s="17"/>
      <c r="Y8513" s="4"/>
      <c r="Z8513" s="17"/>
      <c r="AA8513" s="17"/>
      <c r="AB8513" s="17"/>
      <c r="AC8513" s="14"/>
      <c r="AD8513" s="14"/>
      <c r="AE8513" s="17"/>
      <c r="AF8513" s="14"/>
      <c r="AG8513" s="54"/>
      <c r="AH8513" s="11"/>
      <c r="AI8513" s="14"/>
      <c r="AJ8513" s="19">
        <v>0</v>
      </c>
      <c r="AK8513" s="23">
        <v>0</v>
      </c>
      <c r="AL8513" s="11"/>
      <c r="AM8513" s="19">
        <v>0</v>
      </c>
      <c r="AN8513" s="19" t="e">
        <v>#N/A</v>
      </c>
      <c r="AO8513" s="14"/>
      <c r="AP8513" s="14" t="e">
        <v>#N/A</v>
      </c>
      <c r="AQ8513" s="12">
        <v>1E-4</v>
      </c>
      <c r="AS8513" s="26"/>
    </row>
    <row r="8514" spans="1:45" s="19" customFormat="1" x14ac:dyDescent="0.2">
      <c r="A8514" s="2">
        <v>7015</v>
      </c>
      <c r="B8514" s="13">
        <v>1</v>
      </c>
      <c r="C8514" s="17" t="s">
        <v>65</v>
      </c>
      <c r="D8514" s="17">
        <v>2134</v>
      </c>
      <c r="E8514" s="17">
        <v>130</v>
      </c>
      <c r="F8514" s="17"/>
      <c r="G8514" s="13"/>
      <c r="H8514" s="17">
        <v>8</v>
      </c>
      <c r="I8514" s="17">
        <v>2</v>
      </c>
      <c r="J8514" s="17">
        <v>85</v>
      </c>
      <c r="K8514" s="10">
        <v>3485</v>
      </c>
      <c r="L8514" s="17"/>
      <c r="M8514" s="15"/>
      <c r="N8514" s="18"/>
      <c r="O8514" s="14"/>
      <c r="P8514" s="17">
        <v>1</v>
      </c>
      <c r="Q8514" s="19">
        <v>3485</v>
      </c>
      <c r="R8514" s="14">
        <v>160</v>
      </c>
      <c r="S8514" s="19">
        <v>557600</v>
      </c>
      <c r="T8514" s="17"/>
      <c r="U8514" s="17"/>
      <c r="V8514" s="17"/>
      <c r="W8514" s="4"/>
      <c r="X8514" s="17"/>
      <c r="Y8514" s="4"/>
      <c r="Z8514" s="17"/>
      <c r="AA8514" s="17"/>
      <c r="AB8514" s="17"/>
      <c r="AC8514" s="14"/>
      <c r="AD8514" s="14"/>
      <c r="AE8514" s="17"/>
      <c r="AF8514" s="14"/>
      <c r="AG8514" s="54"/>
      <c r="AH8514" s="11"/>
      <c r="AI8514" s="14"/>
      <c r="AJ8514" s="19">
        <v>0</v>
      </c>
      <c r="AK8514" s="23">
        <v>0</v>
      </c>
      <c r="AL8514" s="11"/>
      <c r="AM8514" s="19">
        <v>0</v>
      </c>
      <c r="AN8514" s="19">
        <v>557600</v>
      </c>
      <c r="AO8514" s="14"/>
      <c r="AP8514" s="14">
        <v>557600</v>
      </c>
      <c r="AQ8514" s="12">
        <v>1E-4</v>
      </c>
      <c r="AS8514" s="26"/>
    </row>
    <row r="8515" spans="1:45" s="19" customFormat="1" x14ac:dyDescent="0.2">
      <c r="A8515" s="2">
        <f>+A8514+1</f>
        <v>7016</v>
      </c>
      <c r="B8515" s="13">
        <v>1</v>
      </c>
      <c r="C8515" s="17" t="s">
        <v>65</v>
      </c>
      <c r="D8515" s="17">
        <v>1883</v>
      </c>
      <c r="E8515" s="17">
        <v>154</v>
      </c>
      <c r="F8515" s="17"/>
      <c r="G8515" s="13"/>
      <c r="H8515" s="17">
        <v>1</v>
      </c>
      <c r="I8515" s="17">
        <v>2</v>
      </c>
      <c r="J8515" s="17">
        <v>73</v>
      </c>
      <c r="K8515" s="10">
        <v>673</v>
      </c>
      <c r="L8515" s="17"/>
      <c r="M8515" s="15"/>
      <c r="N8515" s="18"/>
      <c r="O8515" s="14"/>
      <c r="P8515" s="17">
        <v>1</v>
      </c>
      <c r="Q8515" s="19">
        <v>673</v>
      </c>
      <c r="R8515" s="14">
        <v>1500</v>
      </c>
      <c r="S8515" s="19">
        <v>1009500</v>
      </c>
      <c r="T8515" s="17"/>
      <c r="U8515" s="17"/>
      <c r="V8515" s="17"/>
      <c r="W8515" s="4"/>
      <c r="X8515" s="17"/>
      <c r="Y8515" s="4"/>
      <c r="Z8515" s="17"/>
      <c r="AA8515" s="17"/>
      <c r="AB8515" s="17"/>
      <c r="AC8515" s="14"/>
      <c r="AD8515" s="14"/>
      <c r="AE8515" s="17"/>
      <c r="AF8515" s="14"/>
      <c r="AG8515" s="54"/>
      <c r="AH8515" s="11"/>
      <c r="AI8515" s="14"/>
      <c r="AJ8515" s="19">
        <v>0</v>
      </c>
      <c r="AK8515" s="23">
        <v>0</v>
      </c>
      <c r="AL8515" s="11"/>
      <c r="AM8515" s="19">
        <v>0</v>
      </c>
      <c r="AN8515" s="19">
        <v>1009500</v>
      </c>
      <c r="AO8515" s="14"/>
      <c r="AP8515" s="14">
        <v>1009500</v>
      </c>
      <c r="AQ8515" s="12">
        <v>1E-4</v>
      </c>
      <c r="AS8515" s="26"/>
    </row>
    <row r="8516" spans="1:45" s="19" customFormat="1" x14ac:dyDescent="0.2">
      <c r="A8516" s="122">
        <f t="shared" ref="A8516:A8519" si="787">+A8515+1</f>
        <v>7017</v>
      </c>
      <c r="B8516" s="13">
        <v>1</v>
      </c>
      <c r="C8516" s="17" t="s">
        <v>65</v>
      </c>
      <c r="D8516" s="17">
        <v>1690</v>
      </c>
      <c r="E8516" s="17">
        <v>10</v>
      </c>
      <c r="F8516" s="17"/>
      <c r="G8516" s="13"/>
      <c r="H8516" s="17">
        <v>1</v>
      </c>
      <c r="I8516" s="17">
        <v>2</v>
      </c>
      <c r="J8516" s="17">
        <v>40</v>
      </c>
      <c r="K8516" s="10">
        <v>640</v>
      </c>
      <c r="L8516" s="17"/>
      <c r="M8516" s="15"/>
      <c r="N8516" s="18"/>
      <c r="O8516" s="14"/>
      <c r="P8516" s="17">
        <v>1</v>
      </c>
      <c r="Q8516" s="19">
        <v>640</v>
      </c>
      <c r="R8516" s="14">
        <v>160</v>
      </c>
      <c r="S8516" s="19">
        <v>102400</v>
      </c>
      <c r="T8516" s="17"/>
      <c r="U8516" s="17"/>
      <c r="V8516" s="17"/>
      <c r="W8516" s="4"/>
      <c r="X8516" s="17"/>
      <c r="Y8516" s="4"/>
      <c r="Z8516" s="17"/>
      <c r="AA8516" s="17"/>
      <c r="AB8516" s="17"/>
      <c r="AC8516" s="14"/>
      <c r="AD8516" s="14"/>
      <c r="AE8516" s="17" t="s">
        <v>850</v>
      </c>
      <c r="AF8516" s="14"/>
      <c r="AG8516" s="54"/>
      <c r="AH8516" s="11"/>
      <c r="AI8516" s="14"/>
      <c r="AJ8516" s="19">
        <v>0</v>
      </c>
      <c r="AK8516" s="23">
        <v>0</v>
      </c>
      <c r="AL8516" s="11"/>
      <c r="AM8516" s="19">
        <v>0</v>
      </c>
      <c r="AN8516" s="19">
        <v>102400</v>
      </c>
      <c r="AO8516" s="14"/>
      <c r="AP8516" s="14">
        <v>102400</v>
      </c>
      <c r="AQ8516" s="12">
        <v>1E-4</v>
      </c>
      <c r="AS8516" s="26"/>
    </row>
    <row r="8517" spans="1:45" s="19" customFormat="1" x14ac:dyDescent="0.2">
      <c r="A8517" s="122">
        <f t="shared" si="787"/>
        <v>7018</v>
      </c>
      <c r="B8517" s="13">
        <v>1</v>
      </c>
      <c r="C8517" s="17" t="s">
        <v>65</v>
      </c>
      <c r="D8517" s="17">
        <v>1044</v>
      </c>
      <c r="E8517" s="17">
        <v>18</v>
      </c>
      <c r="F8517" s="17"/>
      <c r="G8517" s="13"/>
      <c r="H8517" s="17">
        <v>0</v>
      </c>
      <c r="I8517" s="17">
        <v>0</v>
      </c>
      <c r="J8517" s="17">
        <v>47</v>
      </c>
      <c r="K8517" s="10">
        <v>47</v>
      </c>
      <c r="L8517" s="17"/>
      <c r="M8517" s="15"/>
      <c r="N8517" s="18"/>
      <c r="O8517" s="14"/>
      <c r="P8517" s="17">
        <v>1</v>
      </c>
      <c r="Q8517" s="19">
        <v>47</v>
      </c>
      <c r="R8517" s="14">
        <v>200</v>
      </c>
      <c r="S8517" s="19">
        <v>9400</v>
      </c>
      <c r="T8517" s="17"/>
      <c r="U8517" s="17"/>
      <c r="V8517" s="17"/>
      <c r="W8517" s="4"/>
      <c r="X8517" s="17"/>
      <c r="Y8517" s="4"/>
      <c r="Z8517" s="17"/>
      <c r="AA8517" s="17"/>
      <c r="AB8517" s="17"/>
      <c r="AC8517" s="14"/>
      <c r="AD8517" s="14"/>
      <c r="AE8517" s="17"/>
      <c r="AF8517" s="14"/>
      <c r="AG8517" s="54"/>
      <c r="AH8517" s="11"/>
      <c r="AI8517" s="14"/>
      <c r="AJ8517" s="19">
        <v>0</v>
      </c>
      <c r="AK8517" s="23">
        <v>0</v>
      </c>
      <c r="AL8517" s="11"/>
      <c r="AM8517" s="19">
        <v>0</v>
      </c>
      <c r="AN8517" s="19">
        <v>9400</v>
      </c>
      <c r="AO8517" s="14"/>
      <c r="AP8517" s="14">
        <v>9400</v>
      </c>
      <c r="AQ8517" s="12">
        <v>1E-4</v>
      </c>
      <c r="AS8517" s="26"/>
    </row>
    <row r="8518" spans="1:45" s="19" customFormat="1" x14ac:dyDescent="0.2">
      <c r="A8518" s="122">
        <f t="shared" si="787"/>
        <v>7019</v>
      </c>
      <c r="B8518" s="13">
        <v>1</v>
      </c>
      <c r="C8518" s="17" t="s">
        <v>65</v>
      </c>
      <c r="D8518" s="17">
        <v>1837</v>
      </c>
      <c r="E8518" s="17">
        <v>92</v>
      </c>
      <c r="F8518" s="17"/>
      <c r="G8518" s="13"/>
      <c r="H8518" s="17">
        <v>1</v>
      </c>
      <c r="I8518" s="17">
        <v>0</v>
      </c>
      <c r="J8518" s="17">
        <v>46</v>
      </c>
      <c r="K8518" s="10">
        <v>446</v>
      </c>
      <c r="L8518" s="17"/>
      <c r="M8518" s="15"/>
      <c r="N8518" s="18"/>
      <c r="O8518" s="14"/>
      <c r="P8518" s="17">
        <v>1</v>
      </c>
      <c r="Q8518" s="19">
        <v>446</v>
      </c>
      <c r="R8518" s="14">
        <v>160</v>
      </c>
      <c r="S8518" s="19">
        <v>71360</v>
      </c>
      <c r="T8518" s="17"/>
      <c r="U8518" s="17"/>
      <c r="V8518" s="17"/>
      <c r="W8518" s="4"/>
      <c r="X8518" s="17"/>
      <c r="Y8518" s="4"/>
      <c r="Z8518" s="17"/>
      <c r="AA8518" s="17"/>
      <c r="AB8518" s="17"/>
      <c r="AC8518" s="14"/>
      <c r="AD8518" s="14"/>
      <c r="AE8518" s="17"/>
      <c r="AF8518" s="14"/>
      <c r="AG8518" s="54"/>
      <c r="AH8518" s="11"/>
      <c r="AI8518" s="14"/>
      <c r="AJ8518" s="19">
        <v>0</v>
      </c>
      <c r="AK8518" s="23">
        <v>0</v>
      </c>
      <c r="AL8518" s="11"/>
      <c r="AM8518" s="19">
        <v>0</v>
      </c>
      <c r="AN8518" s="19">
        <v>71360</v>
      </c>
      <c r="AO8518" s="14"/>
      <c r="AP8518" s="14">
        <v>71360</v>
      </c>
      <c r="AQ8518" s="12">
        <v>1E-4</v>
      </c>
      <c r="AS8518" s="26"/>
    </row>
    <row r="8519" spans="1:45" s="19" customFormat="1" x14ac:dyDescent="0.2">
      <c r="A8519" s="122">
        <f t="shared" si="787"/>
        <v>7020</v>
      </c>
      <c r="B8519" s="13">
        <v>1</v>
      </c>
      <c r="C8519" s="17" t="s">
        <v>65</v>
      </c>
      <c r="D8519" s="17">
        <v>2140</v>
      </c>
      <c r="E8519" s="17">
        <v>142</v>
      </c>
      <c r="F8519" s="17"/>
      <c r="G8519" s="13"/>
      <c r="H8519" s="17">
        <v>14</v>
      </c>
      <c r="I8519" s="17">
        <v>3</v>
      </c>
      <c r="J8519" s="17">
        <v>10</v>
      </c>
      <c r="K8519" s="10">
        <v>5910</v>
      </c>
      <c r="L8519" s="17"/>
      <c r="M8519" s="15"/>
      <c r="N8519" s="18"/>
      <c r="O8519" s="14"/>
      <c r="P8519" s="17">
        <v>1</v>
      </c>
      <c r="Q8519" s="19">
        <v>5910</v>
      </c>
      <c r="R8519" s="14">
        <v>200</v>
      </c>
      <c r="S8519" s="19">
        <v>1182000</v>
      </c>
      <c r="T8519" s="17"/>
      <c r="U8519" s="17"/>
      <c r="V8519" s="17"/>
      <c r="W8519" s="4"/>
      <c r="X8519" s="17"/>
      <c r="Y8519" s="4"/>
      <c r="Z8519" s="17"/>
      <c r="AA8519" s="17"/>
      <c r="AB8519" s="17"/>
      <c r="AC8519" s="14"/>
      <c r="AD8519" s="14"/>
      <c r="AE8519" s="17"/>
      <c r="AF8519" s="14"/>
      <c r="AG8519" s="54"/>
      <c r="AH8519" s="11"/>
      <c r="AI8519" s="14"/>
      <c r="AJ8519" s="19">
        <v>0</v>
      </c>
      <c r="AK8519" s="23">
        <v>0</v>
      </c>
      <c r="AL8519" s="11"/>
      <c r="AM8519" s="19">
        <v>0</v>
      </c>
      <c r="AN8519" s="19">
        <v>1182000</v>
      </c>
      <c r="AO8519" s="14"/>
      <c r="AP8519" s="14">
        <v>1182000</v>
      </c>
      <c r="AQ8519" s="12">
        <v>1E-4</v>
      </c>
      <c r="AS8519" s="26"/>
    </row>
    <row r="8520" spans="1:45" s="19" customFormat="1" x14ac:dyDescent="0.2">
      <c r="A8520" s="2"/>
      <c r="B8520" s="13">
        <v>1</v>
      </c>
      <c r="C8520" s="17" t="s">
        <v>97</v>
      </c>
      <c r="D8520" s="17">
        <v>10</v>
      </c>
      <c r="E8520" s="17"/>
      <c r="F8520" s="17"/>
      <c r="G8520" s="13">
        <v>6</v>
      </c>
      <c r="H8520" s="17">
        <v>7</v>
      </c>
      <c r="I8520" s="17">
        <v>1</v>
      </c>
      <c r="J8520" s="17">
        <v>50</v>
      </c>
      <c r="K8520" s="10">
        <v>2950</v>
      </c>
      <c r="L8520" s="17"/>
      <c r="M8520" s="15"/>
      <c r="N8520" s="18"/>
      <c r="O8520" s="14"/>
      <c r="P8520" s="17">
        <v>1</v>
      </c>
      <c r="Q8520" s="19">
        <v>2950</v>
      </c>
      <c r="R8520" s="14" t="e">
        <v>#N/A</v>
      </c>
      <c r="S8520" s="19" t="e">
        <v>#N/A</v>
      </c>
      <c r="T8520" s="17"/>
      <c r="U8520" s="17"/>
      <c r="V8520" s="17"/>
      <c r="W8520" s="4"/>
      <c r="X8520" s="17"/>
      <c r="Y8520" s="4"/>
      <c r="Z8520" s="17"/>
      <c r="AA8520" s="17"/>
      <c r="AB8520" s="17"/>
      <c r="AC8520" s="14"/>
      <c r="AD8520" s="14"/>
      <c r="AE8520" s="17"/>
      <c r="AF8520" s="14"/>
      <c r="AG8520" s="54"/>
      <c r="AH8520" s="11"/>
      <c r="AI8520" s="14"/>
      <c r="AJ8520" s="19">
        <v>0</v>
      </c>
      <c r="AK8520" s="23">
        <v>0</v>
      </c>
      <c r="AL8520" s="11"/>
      <c r="AM8520" s="19">
        <v>0</v>
      </c>
      <c r="AN8520" s="19" t="e">
        <v>#N/A</v>
      </c>
      <c r="AO8520" s="14"/>
      <c r="AP8520" s="14" t="e">
        <v>#N/A</v>
      </c>
      <c r="AQ8520" s="12">
        <v>1E-4</v>
      </c>
      <c r="AS8520" s="26"/>
    </row>
    <row r="8521" spans="1:45" s="19" customFormat="1" x14ac:dyDescent="0.2">
      <c r="A8521" s="2"/>
      <c r="B8521" s="13">
        <v>1</v>
      </c>
      <c r="C8521" s="17" t="s">
        <v>65</v>
      </c>
      <c r="D8521" s="17">
        <v>2544</v>
      </c>
      <c r="E8521" s="17">
        <v>135</v>
      </c>
      <c r="F8521" s="17"/>
      <c r="G8521" s="13"/>
      <c r="H8521" s="17">
        <v>0</v>
      </c>
      <c r="I8521" s="17">
        <v>0</v>
      </c>
      <c r="J8521" s="17">
        <v>1</v>
      </c>
      <c r="K8521" s="10">
        <v>1</v>
      </c>
      <c r="L8521" s="17"/>
      <c r="M8521" s="15"/>
      <c r="N8521" s="18"/>
      <c r="O8521" s="14"/>
      <c r="P8521" s="17">
        <v>1</v>
      </c>
      <c r="Q8521" s="19">
        <v>1</v>
      </c>
      <c r="R8521" s="14" t="e">
        <v>#N/A</v>
      </c>
      <c r="S8521" s="19" t="e">
        <v>#N/A</v>
      </c>
      <c r="T8521" s="17"/>
      <c r="U8521" s="17"/>
      <c r="V8521" s="17"/>
      <c r="W8521" s="4"/>
      <c r="X8521" s="17"/>
      <c r="Y8521" s="4"/>
      <c r="Z8521" s="17"/>
      <c r="AA8521" s="17"/>
      <c r="AB8521" s="17"/>
      <c r="AC8521" s="14"/>
      <c r="AD8521" s="14"/>
      <c r="AE8521" s="17"/>
      <c r="AF8521" s="14"/>
      <c r="AG8521" s="54"/>
      <c r="AH8521" s="11"/>
      <c r="AI8521" s="14"/>
      <c r="AJ8521" s="19">
        <v>0</v>
      </c>
      <c r="AK8521" s="23">
        <v>0</v>
      </c>
      <c r="AL8521" s="11"/>
      <c r="AM8521" s="19">
        <v>0</v>
      </c>
      <c r="AN8521" s="19" t="e">
        <v>#N/A</v>
      </c>
      <c r="AO8521" s="14"/>
      <c r="AP8521" s="14" t="e">
        <v>#N/A</v>
      </c>
      <c r="AQ8521" s="12">
        <v>1E-4</v>
      </c>
      <c r="AS8521" s="26"/>
    </row>
    <row r="8522" spans="1:45" s="19" customFormat="1" x14ac:dyDescent="0.2">
      <c r="A8522" s="2">
        <v>7021</v>
      </c>
      <c r="B8522" s="13">
        <v>1</v>
      </c>
      <c r="C8522" s="17" t="s">
        <v>65</v>
      </c>
      <c r="D8522" s="17">
        <v>2237</v>
      </c>
      <c r="E8522" s="17">
        <v>175</v>
      </c>
      <c r="F8522" s="17"/>
      <c r="G8522" s="13"/>
      <c r="H8522" s="17">
        <v>0</v>
      </c>
      <c r="I8522" s="17">
        <v>0</v>
      </c>
      <c r="J8522" s="17">
        <v>80</v>
      </c>
      <c r="K8522" s="10">
        <v>80</v>
      </c>
      <c r="L8522" s="17"/>
      <c r="M8522" s="15"/>
      <c r="N8522" s="18"/>
      <c r="O8522" s="14"/>
      <c r="P8522" s="17">
        <v>1</v>
      </c>
      <c r="Q8522" s="19">
        <v>80</v>
      </c>
      <c r="R8522" s="14">
        <v>200</v>
      </c>
      <c r="S8522" s="19">
        <v>16000</v>
      </c>
      <c r="T8522" s="17"/>
      <c r="U8522" s="17"/>
      <c r="V8522" s="17"/>
      <c r="W8522" s="4"/>
      <c r="X8522" s="17"/>
      <c r="Y8522" s="4"/>
      <c r="Z8522" s="17"/>
      <c r="AA8522" s="17"/>
      <c r="AB8522" s="17"/>
      <c r="AC8522" s="14"/>
      <c r="AD8522" s="14"/>
      <c r="AE8522" s="17" t="s">
        <v>94</v>
      </c>
      <c r="AF8522" s="14"/>
      <c r="AG8522" s="54"/>
      <c r="AH8522" s="11"/>
      <c r="AI8522" s="14"/>
      <c r="AJ8522" s="19">
        <v>0</v>
      </c>
      <c r="AK8522" s="23">
        <v>0</v>
      </c>
      <c r="AL8522" s="11"/>
      <c r="AM8522" s="19">
        <v>0</v>
      </c>
      <c r="AN8522" s="19">
        <v>16000</v>
      </c>
      <c r="AO8522" s="14"/>
      <c r="AP8522" s="14">
        <v>16000</v>
      </c>
      <c r="AQ8522" s="12">
        <v>1E-4</v>
      </c>
      <c r="AS8522" s="26"/>
    </row>
    <row r="8523" spans="1:45" s="19" customFormat="1" x14ac:dyDescent="0.2">
      <c r="A8523" s="2"/>
      <c r="B8523" s="13">
        <v>1</v>
      </c>
      <c r="C8523" s="17" t="s">
        <v>97</v>
      </c>
      <c r="D8523" s="17">
        <v>226</v>
      </c>
      <c r="E8523" s="17"/>
      <c r="F8523" s="17"/>
      <c r="G8523" s="13">
        <v>4</v>
      </c>
      <c r="H8523" s="17">
        <v>1</v>
      </c>
      <c r="I8523" s="17">
        <v>0</v>
      </c>
      <c r="J8523" s="17">
        <v>73</v>
      </c>
      <c r="K8523" s="10">
        <v>473</v>
      </c>
      <c r="L8523" s="17"/>
      <c r="M8523" s="15"/>
      <c r="N8523" s="18"/>
      <c r="O8523" s="14"/>
      <c r="P8523" s="17">
        <v>1</v>
      </c>
      <c r="Q8523" s="19">
        <v>473</v>
      </c>
      <c r="R8523" s="14" t="e">
        <v>#N/A</v>
      </c>
      <c r="S8523" s="19" t="e">
        <v>#N/A</v>
      </c>
      <c r="T8523" s="17"/>
      <c r="U8523" s="17"/>
      <c r="V8523" s="17"/>
      <c r="W8523" s="4"/>
      <c r="X8523" s="17"/>
      <c r="Y8523" s="4"/>
      <c r="Z8523" s="17"/>
      <c r="AA8523" s="17"/>
      <c r="AB8523" s="17"/>
      <c r="AC8523" s="14"/>
      <c r="AD8523" s="14"/>
      <c r="AE8523" s="17"/>
      <c r="AF8523" s="14"/>
      <c r="AG8523" s="54"/>
      <c r="AH8523" s="11"/>
      <c r="AI8523" s="14"/>
      <c r="AJ8523" s="19">
        <v>0</v>
      </c>
      <c r="AK8523" s="23">
        <v>0</v>
      </c>
      <c r="AL8523" s="11"/>
      <c r="AM8523" s="19">
        <v>0</v>
      </c>
      <c r="AN8523" s="19" t="e">
        <v>#N/A</v>
      </c>
      <c r="AO8523" s="14"/>
      <c r="AP8523" s="14" t="e">
        <v>#N/A</v>
      </c>
      <c r="AQ8523" s="12">
        <v>1E-4</v>
      </c>
      <c r="AS8523" s="26"/>
    </row>
    <row r="8524" spans="1:45" s="19" customFormat="1" x14ac:dyDescent="0.2">
      <c r="A8524" s="2"/>
      <c r="B8524" s="13">
        <v>1</v>
      </c>
      <c r="C8524" s="17" t="s">
        <v>65</v>
      </c>
      <c r="D8524" s="17">
        <v>3729</v>
      </c>
      <c r="E8524" s="17">
        <v>99</v>
      </c>
      <c r="F8524" s="17"/>
      <c r="G8524" s="13"/>
      <c r="H8524" s="17">
        <v>2</v>
      </c>
      <c r="I8524" s="17">
        <v>1</v>
      </c>
      <c r="J8524" s="17">
        <v>86</v>
      </c>
      <c r="K8524" s="10">
        <v>986</v>
      </c>
      <c r="L8524" s="17"/>
      <c r="M8524" s="15"/>
      <c r="N8524" s="18"/>
      <c r="O8524" s="14"/>
      <c r="P8524" s="17">
        <v>1</v>
      </c>
      <c r="Q8524" s="19">
        <v>986</v>
      </c>
      <c r="R8524" s="14" t="e">
        <v>#N/A</v>
      </c>
      <c r="S8524" s="19" t="e">
        <v>#N/A</v>
      </c>
      <c r="T8524" s="17"/>
      <c r="U8524" s="17"/>
      <c r="V8524" s="17"/>
      <c r="W8524" s="4"/>
      <c r="X8524" s="17"/>
      <c r="Y8524" s="4"/>
      <c r="Z8524" s="17"/>
      <c r="AA8524" s="17"/>
      <c r="AB8524" s="17"/>
      <c r="AC8524" s="14"/>
      <c r="AD8524" s="14"/>
      <c r="AE8524" s="17" t="s">
        <v>95</v>
      </c>
      <c r="AF8524" s="14"/>
      <c r="AG8524" s="54"/>
      <c r="AH8524" s="11"/>
      <c r="AI8524" s="14"/>
      <c r="AJ8524" s="19">
        <v>0</v>
      </c>
      <c r="AK8524" s="23">
        <v>0</v>
      </c>
      <c r="AL8524" s="11"/>
      <c r="AM8524" s="19">
        <v>0</v>
      </c>
      <c r="AN8524" s="19" t="e">
        <v>#N/A</v>
      </c>
      <c r="AO8524" s="14"/>
      <c r="AP8524" s="14" t="e">
        <v>#N/A</v>
      </c>
      <c r="AQ8524" s="12">
        <v>1E-4</v>
      </c>
      <c r="AS8524" s="26"/>
    </row>
    <row r="8525" spans="1:45" s="19" customFormat="1" x14ac:dyDescent="0.2">
      <c r="A8525" s="2">
        <v>7022</v>
      </c>
      <c r="B8525" s="13">
        <v>1</v>
      </c>
      <c r="C8525" s="17" t="s">
        <v>65</v>
      </c>
      <c r="D8525" s="17">
        <v>2754</v>
      </c>
      <c r="E8525" s="17">
        <v>355</v>
      </c>
      <c r="F8525" s="17"/>
      <c r="G8525" s="13"/>
      <c r="H8525" s="17">
        <v>0</v>
      </c>
      <c r="I8525" s="17">
        <v>0</v>
      </c>
      <c r="J8525" s="17">
        <v>69</v>
      </c>
      <c r="K8525" s="10">
        <v>69</v>
      </c>
      <c r="L8525" s="17"/>
      <c r="M8525" s="15"/>
      <c r="N8525" s="18"/>
      <c r="O8525" s="14"/>
      <c r="P8525" s="17">
        <v>1</v>
      </c>
      <c r="Q8525" s="19">
        <v>69</v>
      </c>
      <c r="R8525" s="14">
        <v>160</v>
      </c>
      <c r="S8525" s="19">
        <v>11040</v>
      </c>
      <c r="T8525" s="17"/>
      <c r="U8525" s="17"/>
      <c r="V8525" s="17"/>
      <c r="W8525" s="4"/>
      <c r="X8525" s="17"/>
      <c r="Y8525" s="4"/>
      <c r="Z8525" s="17"/>
      <c r="AA8525" s="17"/>
      <c r="AB8525" s="17"/>
      <c r="AC8525" s="14"/>
      <c r="AD8525" s="14"/>
      <c r="AE8525" s="17" t="s">
        <v>95</v>
      </c>
      <c r="AF8525" s="14"/>
      <c r="AG8525" s="54"/>
      <c r="AH8525" s="11"/>
      <c r="AI8525" s="14"/>
      <c r="AJ8525" s="19">
        <v>0</v>
      </c>
      <c r="AK8525" s="23">
        <v>0</v>
      </c>
      <c r="AL8525" s="11"/>
      <c r="AM8525" s="19">
        <v>0</v>
      </c>
      <c r="AN8525" s="19">
        <v>11040</v>
      </c>
      <c r="AO8525" s="14"/>
      <c r="AP8525" s="14">
        <v>11040</v>
      </c>
      <c r="AQ8525" s="12">
        <v>1E-4</v>
      </c>
      <c r="AS8525" s="26"/>
    </row>
    <row r="8526" spans="1:45" s="19" customFormat="1" x14ac:dyDescent="0.2">
      <c r="A8526" s="2"/>
      <c r="B8526" s="13">
        <v>1</v>
      </c>
      <c r="C8526" s="17" t="s">
        <v>97</v>
      </c>
      <c r="D8526" s="17">
        <v>57</v>
      </c>
      <c r="E8526" s="17"/>
      <c r="F8526" s="17"/>
      <c r="G8526" s="13">
        <v>3</v>
      </c>
      <c r="H8526" s="17">
        <v>2</v>
      </c>
      <c r="I8526" s="17">
        <v>0</v>
      </c>
      <c r="J8526" s="17">
        <v>0</v>
      </c>
      <c r="K8526" s="10">
        <v>800</v>
      </c>
      <c r="L8526" s="17"/>
      <c r="M8526" s="15"/>
      <c r="N8526" s="18"/>
      <c r="O8526" s="14"/>
      <c r="P8526" s="17">
        <v>1</v>
      </c>
      <c r="Q8526" s="19">
        <v>800</v>
      </c>
      <c r="R8526" s="14" t="e">
        <v>#N/A</v>
      </c>
      <c r="S8526" s="19" t="e">
        <v>#N/A</v>
      </c>
      <c r="T8526" s="17"/>
      <c r="U8526" s="17"/>
      <c r="V8526" s="17"/>
      <c r="W8526" s="4"/>
      <c r="X8526" s="17"/>
      <c r="Y8526" s="4"/>
      <c r="Z8526" s="17"/>
      <c r="AA8526" s="17"/>
      <c r="AB8526" s="17"/>
      <c r="AC8526" s="14"/>
      <c r="AD8526" s="14"/>
      <c r="AE8526" s="17"/>
      <c r="AF8526" s="14"/>
      <c r="AG8526" s="54"/>
      <c r="AH8526" s="11"/>
      <c r="AI8526" s="14"/>
      <c r="AJ8526" s="19">
        <v>0</v>
      </c>
      <c r="AK8526" s="23">
        <v>0</v>
      </c>
      <c r="AL8526" s="11"/>
      <c r="AM8526" s="19">
        <v>0</v>
      </c>
      <c r="AN8526" s="19" t="e">
        <v>#N/A</v>
      </c>
      <c r="AO8526" s="14"/>
      <c r="AP8526" s="14" t="e">
        <v>#N/A</v>
      </c>
      <c r="AQ8526" s="12">
        <v>1E-4</v>
      </c>
      <c r="AS8526" s="26"/>
    </row>
    <row r="8527" spans="1:45" s="19" customFormat="1" x14ac:dyDescent="0.2">
      <c r="A8527" s="2">
        <v>7023</v>
      </c>
      <c r="B8527" s="13">
        <v>1</v>
      </c>
      <c r="C8527" s="17" t="s">
        <v>65</v>
      </c>
      <c r="D8527" s="17">
        <v>380</v>
      </c>
      <c r="E8527" s="17">
        <v>39</v>
      </c>
      <c r="F8527" s="17"/>
      <c r="G8527" s="13"/>
      <c r="H8527" s="17">
        <v>1</v>
      </c>
      <c r="I8527" s="17">
        <v>0</v>
      </c>
      <c r="J8527" s="17">
        <v>86</v>
      </c>
      <c r="K8527" s="10">
        <v>486</v>
      </c>
      <c r="L8527" s="17"/>
      <c r="M8527" s="15"/>
      <c r="N8527" s="18"/>
      <c r="O8527" s="14"/>
      <c r="P8527" s="17">
        <v>1</v>
      </c>
      <c r="Q8527" s="19">
        <v>486</v>
      </c>
      <c r="R8527" s="14">
        <v>200</v>
      </c>
      <c r="S8527" s="19">
        <v>97200</v>
      </c>
      <c r="T8527" s="17"/>
      <c r="U8527" s="17"/>
      <c r="V8527" s="17"/>
      <c r="W8527" s="4"/>
      <c r="X8527" s="17"/>
      <c r="Y8527" s="4"/>
      <c r="Z8527" s="17"/>
      <c r="AA8527" s="17"/>
      <c r="AB8527" s="17"/>
      <c r="AC8527" s="14"/>
      <c r="AD8527" s="14"/>
      <c r="AE8527" s="17"/>
      <c r="AF8527" s="14"/>
      <c r="AG8527" s="54"/>
      <c r="AH8527" s="11"/>
      <c r="AI8527" s="14"/>
      <c r="AJ8527" s="19">
        <v>0</v>
      </c>
      <c r="AK8527" s="23">
        <v>0</v>
      </c>
      <c r="AL8527" s="11"/>
      <c r="AM8527" s="19">
        <v>0</v>
      </c>
      <c r="AN8527" s="19">
        <v>97200</v>
      </c>
      <c r="AO8527" s="14"/>
      <c r="AP8527" s="14">
        <v>97200</v>
      </c>
      <c r="AQ8527" s="12">
        <v>1E-4</v>
      </c>
      <c r="AS8527" s="26"/>
    </row>
    <row r="8528" spans="1:45" s="19" customFormat="1" x14ac:dyDescent="0.2">
      <c r="A8528" s="2">
        <v>7024</v>
      </c>
      <c r="B8528" s="13">
        <v>1</v>
      </c>
      <c r="C8528" s="17" t="s">
        <v>65</v>
      </c>
      <c r="D8528" s="17">
        <v>1211</v>
      </c>
      <c r="E8528" s="17">
        <v>66</v>
      </c>
      <c r="F8528" s="17"/>
      <c r="G8528" s="13"/>
      <c r="H8528" s="17">
        <v>2</v>
      </c>
      <c r="I8528" s="17">
        <v>0</v>
      </c>
      <c r="J8528" s="17">
        <v>0</v>
      </c>
      <c r="K8528" s="10">
        <v>800</v>
      </c>
      <c r="L8528" s="17"/>
      <c r="M8528" s="15"/>
      <c r="N8528" s="18"/>
      <c r="O8528" s="14"/>
      <c r="P8528" s="17">
        <v>1</v>
      </c>
      <c r="Q8528" s="19">
        <v>800</v>
      </c>
      <c r="R8528" s="14">
        <v>200</v>
      </c>
      <c r="S8528" s="19">
        <v>160000</v>
      </c>
      <c r="T8528" s="17"/>
      <c r="U8528" s="17"/>
      <c r="V8528" s="17"/>
      <c r="W8528" s="4"/>
      <c r="X8528" s="17"/>
      <c r="Y8528" s="4"/>
      <c r="Z8528" s="17"/>
      <c r="AA8528" s="17"/>
      <c r="AB8528" s="17"/>
      <c r="AC8528" s="14"/>
      <c r="AD8528" s="14"/>
      <c r="AE8528" s="17"/>
      <c r="AF8528" s="14"/>
      <c r="AG8528" s="54"/>
      <c r="AH8528" s="11"/>
      <c r="AI8528" s="14"/>
      <c r="AJ8528" s="19">
        <v>0</v>
      </c>
      <c r="AK8528" s="23">
        <v>0</v>
      </c>
      <c r="AL8528" s="11"/>
      <c r="AM8528" s="19">
        <v>0</v>
      </c>
      <c r="AN8528" s="19">
        <v>160000</v>
      </c>
      <c r="AO8528" s="14"/>
      <c r="AP8528" s="14">
        <v>160000</v>
      </c>
      <c r="AQ8528" s="12">
        <v>1E-4</v>
      </c>
      <c r="AS8528" s="26"/>
    </row>
    <row r="8529" spans="1:45" x14ac:dyDescent="0.2">
      <c r="B8529" s="13">
        <v>1</v>
      </c>
      <c r="C8529" s="17" t="s">
        <v>97</v>
      </c>
      <c r="D8529" s="17">
        <v>248</v>
      </c>
      <c r="G8529" s="13">
        <v>2</v>
      </c>
      <c r="H8529" s="17">
        <v>30</v>
      </c>
      <c r="I8529" s="17">
        <v>0</v>
      </c>
      <c r="J8529" s="17">
        <v>96</v>
      </c>
      <c r="K8529" s="10">
        <v>12096</v>
      </c>
      <c r="P8529" s="17">
        <v>1</v>
      </c>
      <c r="Q8529" s="19">
        <v>12096</v>
      </c>
      <c r="R8529" s="14" t="e">
        <v>#N/A</v>
      </c>
      <c r="S8529" s="19" t="e">
        <v>#N/A</v>
      </c>
      <c r="AJ8529" s="19">
        <v>0</v>
      </c>
      <c r="AK8529" s="23">
        <v>0</v>
      </c>
      <c r="AM8529" s="19">
        <v>0</v>
      </c>
      <c r="AN8529" s="19" t="e">
        <v>#N/A</v>
      </c>
      <c r="AP8529" s="14" t="e">
        <v>#N/A</v>
      </c>
      <c r="AQ8529" s="12">
        <v>1E-4</v>
      </c>
    </row>
    <row r="8530" spans="1:45" x14ac:dyDescent="0.2">
      <c r="A8530" s="2">
        <v>7025</v>
      </c>
      <c r="B8530" s="13">
        <v>1</v>
      </c>
      <c r="C8530" s="17" t="s">
        <v>65</v>
      </c>
      <c r="D8530" s="17">
        <v>1047</v>
      </c>
      <c r="E8530" s="17">
        <v>73</v>
      </c>
      <c r="H8530" s="17">
        <v>18</v>
      </c>
      <c r="I8530" s="17">
        <v>0</v>
      </c>
      <c r="J8530" s="17">
        <v>0</v>
      </c>
      <c r="K8530" s="10">
        <v>7200</v>
      </c>
      <c r="P8530" s="17">
        <v>1</v>
      </c>
      <c r="Q8530" s="19">
        <v>7200</v>
      </c>
      <c r="R8530" s="14">
        <v>375</v>
      </c>
      <c r="S8530" s="19">
        <v>2700000</v>
      </c>
      <c r="AJ8530" s="19">
        <v>0</v>
      </c>
      <c r="AK8530" s="23">
        <v>0</v>
      </c>
      <c r="AM8530" s="19">
        <v>0</v>
      </c>
      <c r="AN8530" s="19">
        <v>2700000</v>
      </c>
      <c r="AP8530" s="14">
        <v>2700000</v>
      </c>
      <c r="AQ8530" s="12">
        <v>1E-4</v>
      </c>
    </row>
    <row r="8531" spans="1:45" x14ac:dyDescent="0.2">
      <c r="A8531" s="2">
        <v>7026</v>
      </c>
      <c r="B8531" s="13">
        <v>1</v>
      </c>
      <c r="C8531" s="17" t="s">
        <v>65</v>
      </c>
      <c r="D8531" s="17">
        <v>1786</v>
      </c>
      <c r="E8531" s="17">
        <v>129</v>
      </c>
      <c r="H8531" s="17">
        <v>38</v>
      </c>
      <c r="I8531" s="17">
        <v>0</v>
      </c>
      <c r="J8531" s="17">
        <v>73</v>
      </c>
      <c r="K8531" s="10">
        <v>15207</v>
      </c>
      <c r="L8531" s="17">
        <v>66</v>
      </c>
      <c r="P8531" s="17">
        <v>5</v>
      </c>
      <c r="Q8531" s="19">
        <v>15273</v>
      </c>
      <c r="R8531" s="14">
        <v>200</v>
      </c>
      <c r="S8531" s="19">
        <v>3054600</v>
      </c>
      <c r="AM8531" s="19">
        <v>0</v>
      </c>
      <c r="AS8531" s="26">
        <v>205</v>
      </c>
    </row>
    <row r="8532" spans="1:45" x14ac:dyDescent="0.2">
      <c r="P8532" s="17">
        <v>1</v>
      </c>
      <c r="Q8532" s="19">
        <v>15141</v>
      </c>
      <c r="R8532" s="14">
        <v>200</v>
      </c>
      <c r="S8532" s="19">
        <v>3028200</v>
      </c>
      <c r="AM8532" s="19">
        <v>0</v>
      </c>
      <c r="AN8532" s="19">
        <v>3028200</v>
      </c>
      <c r="AP8532" s="14">
        <v>3028200</v>
      </c>
      <c r="AQ8532" s="12">
        <v>1E-4</v>
      </c>
    </row>
    <row r="8533" spans="1:45" x14ac:dyDescent="0.2">
      <c r="P8533" s="17">
        <v>2</v>
      </c>
      <c r="Q8533" s="19">
        <v>66</v>
      </c>
      <c r="R8533" s="14">
        <v>200</v>
      </c>
      <c r="S8533" s="19">
        <v>13200</v>
      </c>
      <c r="AM8533" s="19">
        <v>0</v>
      </c>
      <c r="AN8533" s="19">
        <v>13200</v>
      </c>
      <c r="AP8533" s="14">
        <v>13200</v>
      </c>
      <c r="AQ8533" s="12">
        <v>2.0000000000000001E-4</v>
      </c>
    </row>
    <row r="8534" spans="1:45" ht="42" x14ac:dyDescent="0.2">
      <c r="T8534" s="17">
        <v>1</v>
      </c>
      <c r="V8534" s="17" t="s">
        <v>183</v>
      </c>
      <c r="W8534" s="4">
        <v>96</v>
      </c>
      <c r="Y8534" s="4">
        <v>96</v>
      </c>
      <c r="AB8534" s="17">
        <v>29</v>
      </c>
      <c r="AF8534" s="14">
        <v>2</v>
      </c>
      <c r="AG8534" s="54">
        <v>96</v>
      </c>
      <c r="AH8534" s="11">
        <v>1</v>
      </c>
      <c r="AI8534" s="14">
        <v>7250</v>
      </c>
      <c r="AJ8534" s="19">
        <v>696000</v>
      </c>
      <c r="AK8534" s="23">
        <v>29</v>
      </c>
      <c r="AL8534" s="11">
        <v>0.48</v>
      </c>
      <c r="AM8534" s="19">
        <v>361920</v>
      </c>
      <c r="AN8534" s="19">
        <v>361920</v>
      </c>
      <c r="AP8534" s="14">
        <v>361920</v>
      </c>
    </row>
    <row r="8535" spans="1:45" ht="42" x14ac:dyDescent="0.2">
      <c r="T8535" s="17">
        <v>2</v>
      </c>
      <c r="V8535" s="17" t="s">
        <v>530</v>
      </c>
      <c r="W8535" s="4">
        <v>168</v>
      </c>
      <c r="Y8535" s="4">
        <v>168</v>
      </c>
      <c r="AB8535" s="17">
        <v>22</v>
      </c>
      <c r="AF8535" s="14">
        <v>2</v>
      </c>
      <c r="AG8535" s="54">
        <v>168</v>
      </c>
      <c r="AH8535" s="11">
        <v>1</v>
      </c>
      <c r="AI8535" s="14">
        <v>7250</v>
      </c>
      <c r="AJ8535" s="19">
        <v>1218000</v>
      </c>
      <c r="AK8535" s="23">
        <v>22</v>
      </c>
      <c r="AL8535" s="11">
        <v>0.34</v>
      </c>
      <c r="AM8535" s="19">
        <v>803880</v>
      </c>
      <c r="AN8535" s="19">
        <v>803880</v>
      </c>
      <c r="AP8535" s="14">
        <v>803880</v>
      </c>
    </row>
    <row r="8536" spans="1:45" x14ac:dyDescent="0.2">
      <c r="A8536" s="2">
        <v>7027</v>
      </c>
      <c r="B8536" s="13">
        <v>1</v>
      </c>
      <c r="C8536" s="17" t="s">
        <v>65</v>
      </c>
      <c r="D8536" s="17">
        <v>2165</v>
      </c>
      <c r="E8536" s="17">
        <v>37</v>
      </c>
      <c r="H8536" s="17">
        <v>7</v>
      </c>
      <c r="I8536" s="17">
        <v>2</v>
      </c>
      <c r="J8536" s="17">
        <v>6</v>
      </c>
      <c r="K8536" s="10">
        <v>3006</v>
      </c>
      <c r="P8536" s="17">
        <v>1</v>
      </c>
      <c r="Q8536" s="19">
        <v>3006</v>
      </c>
      <c r="R8536" s="14">
        <v>160</v>
      </c>
      <c r="S8536" s="19">
        <v>480960</v>
      </c>
      <c r="AJ8536" s="19">
        <v>0</v>
      </c>
      <c r="AK8536" s="23">
        <v>0</v>
      </c>
      <c r="AM8536" s="19">
        <v>0</v>
      </c>
      <c r="AN8536" s="19">
        <v>480960</v>
      </c>
      <c r="AP8536" s="14">
        <v>480960</v>
      </c>
      <c r="AQ8536" s="12">
        <v>1E-4</v>
      </c>
    </row>
    <row r="8537" spans="1:45" x14ac:dyDescent="0.2">
      <c r="A8537" s="2">
        <v>7028</v>
      </c>
      <c r="B8537" s="13">
        <v>1</v>
      </c>
      <c r="C8537" s="17" t="s">
        <v>65</v>
      </c>
      <c r="D8537" s="17">
        <v>2706</v>
      </c>
      <c r="E8537" s="17">
        <v>347</v>
      </c>
      <c r="H8537" s="17">
        <v>0</v>
      </c>
      <c r="I8537" s="17">
        <v>2</v>
      </c>
      <c r="J8537" s="17">
        <v>10</v>
      </c>
      <c r="K8537" s="10">
        <v>210</v>
      </c>
      <c r="P8537" s="17">
        <v>5</v>
      </c>
      <c r="Q8537" s="19">
        <v>210</v>
      </c>
      <c r="R8537" s="14">
        <v>2000</v>
      </c>
      <c r="S8537" s="19">
        <v>420000</v>
      </c>
    </row>
    <row r="8538" spans="1:45" ht="63" x14ac:dyDescent="0.2">
      <c r="U8538" s="17" t="s">
        <v>57</v>
      </c>
      <c r="V8538" s="17" t="s">
        <v>56</v>
      </c>
      <c r="W8538" s="4" t="s">
        <v>291</v>
      </c>
      <c r="AE8538" s="17">
        <v>23</v>
      </c>
      <c r="AJ8538" s="19">
        <v>0</v>
      </c>
      <c r="AK8538" s="23">
        <v>0</v>
      </c>
      <c r="AM8538" s="19">
        <v>0</v>
      </c>
      <c r="AN8538" s="19">
        <v>323400</v>
      </c>
      <c r="AP8538" s="14">
        <v>323400</v>
      </c>
      <c r="AQ8538" s="12">
        <v>2.0000000000000001E-4</v>
      </c>
    </row>
    <row r="8539" spans="1:45" ht="105" x14ac:dyDescent="0.2">
      <c r="T8539" s="17" t="s">
        <v>122</v>
      </c>
      <c r="U8539" s="17" t="s">
        <v>174</v>
      </c>
      <c r="V8539" s="17" t="s">
        <v>56</v>
      </c>
      <c r="W8539" s="4" t="s">
        <v>403</v>
      </c>
      <c r="Z8539" s="17" t="s">
        <v>403</v>
      </c>
      <c r="AF8539" s="14">
        <v>3</v>
      </c>
      <c r="AG8539" s="54">
        <v>75</v>
      </c>
      <c r="AH8539" s="11">
        <v>1</v>
      </c>
      <c r="AI8539" s="14">
        <v>5800</v>
      </c>
      <c r="AJ8539" s="19">
        <v>435000</v>
      </c>
      <c r="AK8539" s="23">
        <v>3</v>
      </c>
      <c r="AL8539" s="11">
        <v>0.03</v>
      </c>
      <c r="AM8539" s="19">
        <v>421950</v>
      </c>
      <c r="AN8539" s="19">
        <v>518550</v>
      </c>
      <c r="AP8539" s="14">
        <v>518550</v>
      </c>
      <c r="AQ8539" s="12">
        <v>3.0000000000000001E-3</v>
      </c>
    </row>
    <row r="8541" spans="1:45" x14ac:dyDescent="0.2">
      <c r="B8541" s="13">
        <v>1</v>
      </c>
      <c r="C8541" s="17" t="s">
        <v>97</v>
      </c>
      <c r="D8541" s="17">
        <v>137</v>
      </c>
      <c r="G8541" s="13">
        <v>2</v>
      </c>
      <c r="H8541" s="17">
        <v>31</v>
      </c>
      <c r="I8541" s="17">
        <v>1</v>
      </c>
      <c r="J8541" s="17">
        <v>56</v>
      </c>
      <c r="K8541" s="10">
        <v>12556</v>
      </c>
      <c r="P8541" s="17">
        <v>1</v>
      </c>
      <c r="Q8541" s="19">
        <v>12556</v>
      </c>
      <c r="R8541" s="14" t="e">
        <v>#N/A</v>
      </c>
      <c r="S8541" s="19" t="e">
        <v>#N/A</v>
      </c>
      <c r="AJ8541" s="19">
        <v>0</v>
      </c>
      <c r="AK8541" s="23">
        <v>0</v>
      </c>
      <c r="AM8541" s="19">
        <v>0</v>
      </c>
      <c r="AN8541" s="19" t="e">
        <v>#N/A</v>
      </c>
      <c r="AP8541" s="14" t="e">
        <v>#N/A</v>
      </c>
      <c r="AQ8541" s="12">
        <v>1E-4</v>
      </c>
    </row>
    <row r="8542" spans="1:45" x14ac:dyDescent="0.2">
      <c r="A8542" s="2">
        <v>7029</v>
      </c>
      <c r="B8542" s="13">
        <v>1</v>
      </c>
      <c r="C8542" s="17" t="s">
        <v>65</v>
      </c>
      <c r="D8542" s="17">
        <v>1389</v>
      </c>
      <c r="E8542" s="17">
        <v>77</v>
      </c>
      <c r="H8542" s="17">
        <v>8</v>
      </c>
      <c r="I8542" s="17">
        <v>2</v>
      </c>
      <c r="J8542" s="17">
        <v>70</v>
      </c>
      <c r="K8542" s="10">
        <v>3470</v>
      </c>
      <c r="P8542" s="17">
        <v>1</v>
      </c>
      <c r="Q8542" s="19">
        <v>3470</v>
      </c>
      <c r="R8542" s="14">
        <v>160</v>
      </c>
      <c r="S8542" s="19">
        <v>555200</v>
      </c>
      <c r="AJ8542" s="19">
        <v>0</v>
      </c>
      <c r="AK8542" s="23">
        <v>0</v>
      </c>
      <c r="AM8542" s="19">
        <v>0</v>
      </c>
      <c r="AN8542" s="19">
        <v>555200</v>
      </c>
      <c r="AP8542" s="14">
        <v>555200</v>
      </c>
      <c r="AQ8542" s="12">
        <v>1E-4</v>
      </c>
    </row>
    <row r="8543" spans="1:45" x14ac:dyDescent="0.2">
      <c r="Q8543" s="19">
        <v>0</v>
      </c>
      <c r="R8543" s="14" t="e">
        <v>#N/A</v>
      </c>
    </row>
    <row r="8544" spans="1:45" x14ac:dyDescent="0.2">
      <c r="A8544" s="2">
        <v>7030</v>
      </c>
      <c r="B8544" s="13">
        <v>1</v>
      </c>
      <c r="C8544" s="17" t="s">
        <v>65</v>
      </c>
      <c r="D8544" s="17">
        <v>926</v>
      </c>
      <c r="E8544" s="17">
        <v>222</v>
      </c>
      <c r="H8544" s="17">
        <v>4</v>
      </c>
      <c r="I8544" s="17">
        <v>1</v>
      </c>
      <c r="J8544" s="17">
        <v>16</v>
      </c>
      <c r="K8544" s="10">
        <v>1716</v>
      </c>
      <c r="P8544" s="17">
        <v>1</v>
      </c>
      <c r="Q8544" s="19">
        <v>1716</v>
      </c>
      <c r="R8544" s="14">
        <v>250</v>
      </c>
      <c r="S8544" s="19">
        <v>429000</v>
      </c>
      <c r="AE8544" s="17" t="s">
        <v>851</v>
      </c>
      <c r="AJ8544" s="19">
        <v>0</v>
      </c>
      <c r="AK8544" s="23">
        <v>0</v>
      </c>
      <c r="AM8544" s="19">
        <v>0</v>
      </c>
      <c r="AN8544" s="19">
        <v>429000</v>
      </c>
      <c r="AP8544" s="14">
        <v>429000</v>
      </c>
      <c r="AQ8544" s="12">
        <v>1E-4</v>
      </c>
    </row>
    <row r="8545" spans="1:45" x14ac:dyDescent="0.2">
      <c r="B8545" s="13">
        <v>1</v>
      </c>
      <c r="C8545" s="17" t="s">
        <v>52</v>
      </c>
      <c r="D8545" s="17">
        <v>15192</v>
      </c>
      <c r="E8545" s="17">
        <v>163</v>
      </c>
      <c r="H8545" s="17">
        <v>2</v>
      </c>
      <c r="I8545" s="17">
        <v>0</v>
      </c>
      <c r="J8545" s="17">
        <v>86.6</v>
      </c>
      <c r="K8545" s="10" t="s">
        <v>852</v>
      </c>
      <c r="P8545" s="17">
        <v>1</v>
      </c>
      <c r="Q8545" s="19">
        <v>886.6</v>
      </c>
      <c r="R8545" s="14" t="e">
        <v>#N/A</v>
      </c>
      <c r="AE8545" s="17" t="s">
        <v>853</v>
      </c>
    </row>
    <row r="8546" spans="1:45" x14ac:dyDescent="0.2">
      <c r="B8546" s="13">
        <v>1</v>
      </c>
      <c r="C8546" s="17" t="s">
        <v>52</v>
      </c>
      <c r="D8546" s="17">
        <v>37006</v>
      </c>
      <c r="E8546" s="17">
        <v>305</v>
      </c>
      <c r="H8546" s="17">
        <v>3</v>
      </c>
      <c r="I8546" s="17">
        <v>0</v>
      </c>
      <c r="J8546" s="17">
        <v>13</v>
      </c>
      <c r="K8546" s="10" t="s">
        <v>854</v>
      </c>
      <c r="P8546" s="17">
        <v>1</v>
      </c>
      <c r="Q8546" s="19">
        <v>1213</v>
      </c>
      <c r="R8546" s="14" t="e">
        <v>#N/A</v>
      </c>
      <c r="AE8546" s="17" t="s">
        <v>853</v>
      </c>
    </row>
    <row r="8547" spans="1:45" ht="63" x14ac:dyDescent="0.2">
      <c r="B8547" s="13">
        <v>1</v>
      </c>
      <c r="C8547" s="17" t="s">
        <v>52</v>
      </c>
      <c r="D8547" s="17">
        <v>37005</v>
      </c>
      <c r="E8547" s="17">
        <v>304</v>
      </c>
      <c r="H8547" s="17">
        <v>0</v>
      </c>
      <c r="I8547" s="17">
        <v>0</v>
      </c>
      <c r="J8547" s="17">
        <v>51.6</v>
      </c>
      <c r="K8547" s="10" t="s">
        <v>855</v>
      </c>
      <c r="P8547" s="17">
        <v>5</v>
      </c>
      <c r="Q8547" s="19">
        <v>51.6</v>
      </c>
      <c r="R8547" s="14" t="e">
        <v>#N/A</v>
      </c>
      <c r="T8547" s="17" t="s">
        <v>122</v>
      </c>
      <c r="U8547" s="17" t="s">
        <v>57</v>
      </c>
      <c r="V8547" s="17" t="s">
        <v>56</v>
      </c>
      <c r="W8547" s="4" t="s">
        <v>483</v>
      </c>
      <c r="Y8547" s="4" t="s">
        <v>483</v>
      </c>
      <c r="AB8547" s="17">
        <v>2</v>
      </c>
      <c r="AE8547" s="17" t="s">
        <v>853</v>
      </c>
    </row>
    <row r="8548" spans="1:45" x14ac:dyDescent="0.2">
      <c r="B8548" s="13">
        <v>1</v>
      </c>
      <c r="C8548" s="17" t="s">
        <v>97</v>
      </c>
      <c r="D8548" s="17">
        <v>57</v>
      </c>
      <c r="G8548" s="13">
        <v>5</v>
      </c>
      <c r="H8548" s="17">
        <v>6</v>
      </c>
      <c r="I8548" s="17">
        <v>0</v>
      </c>
      <c r="J8548" s="17">
        <v>0</v>
      </c>
      <c r="K8548" s="10">
        <v>2400</v>
      </c>
      <c r="P8548" s="17">
        <v>1</v>
      </c>
      <c r="Q8548" s="19">
        <v>2400</v>
      </c>
      <c r="R8548" s="14" t="e">
        <v>#N/A</v>
      </c>
      <c r="S8548" s="19" t="e">
        <v>#N/A</v>
      </c>
      <c r="AJ8548" s="19">
        <v>0</v>
      </c>
      <c r="AK8548" s="23">
        <v>0</v>
      </c>
      <c r="AM8548" s="19">
        <v>0</v>
      </c>
      <c r="AN8548" s="19" t="e">
        <v>#N/A</v>
      </c>
      <c r="AP8548" s="14" t="e">
        <v>#N/A</v>
      </c>
      <c r="AQ8548" s="12">
        <v>1E-4</v>
      </c>
    </row>
    <row r="8549" spans="1:45" x14ac:dyDescent="0.2">
      <c r="B8549" s="13">
        <v>2</v>
      </c>
      <c r="C8549" s="17" t="s">
        <v>97</v>
      </c>
      <c r="D8549" s="17">
        <v>83</v>
      </c>
      <c r="G8549" s="13">
        <v>5</v>
      </c>
      <c r="H8549" s="17">
        <v>16</v>
      </c>
      <c r="I8549" s="17">
        <v>0</v>
      </c>
      <c r="J8549" s="17">
        <v>0</v>
      </c>
      <c r="K8549" s="10">
        <v>6400</v>
      </c>
      <c r="P8549" s="17">
        <v>1</v>
      </c>
      <c r="Q8549" s="19">
        <v>6400</v>
      </c>
      <c r="R8549" s="14" t="e">
        <v>#N/A</v>
      </c>
      <c r="S8549" s="19" t="e">
        <v>#N/A</v>
      </c>
      <c r="AJ8549" s="19">
        <v>0</v>
      </c>
      <c r="AK8549" s="23">
        <v>0</v>
      </c>
      <c r="AM8549" s="19">
        <v>0</v>
      </c>
      <c r="AN8549" s="19" t="e">
        <v>#N/A</v>
      </c>
      <c r="AP8549" s="14" t="e">
        <v>#N/A</v>
      </c>
      <c r="AQ8549" s="12">
        <v>1E-4</v>
      </c>
    </row>
    <row r="8550" spans="1:45" x14ac:dyDescent="0.2">
      <c r="A8550" s="2">
        <v>7031</v>
      </c>
      <c r="B8550" s="13">
        <v>1</v>
      </c>
      <c r="C8550" s="17" t="s">
        <v>65</v>
      </c>
      <c r="D8550" s="17">
        <v>1869</v>
      </c>
      <c r="E8550" s="17">
        <v>138</v>
      </c>
      <c r="H8550" s="17">
        <v>13</v>
      </c>
      <c r="I8550" s="17">
        <v>2</v>
      </c>
      <c r="J8550" s="17">
        <v>66</v>
      </c>
      <c r="K8550" s="10">
        <v>5466</v>
      </c>
      <c r="P8550" s="17">
        <v>1</v>
      </c>
      <c r="Q8550" s="19">
        <v>5466</v>
      </c>
      <c r="R8550" s="14">
        <v>375</v>
      </c>
      <c r="S8550" s="19">
        <v>2049750</v>
      </c>
      <c r="AJ8550" s="19">
        <v>0</v>
      </c>
      <c r="AK8550" s="23">
        <v>0</v>
      </c>
      <c r="AM8550" s="19">
        <v>0</v>
      </c>
      <c r="AN8550" s="19">
        <v>2049750</v>
      </c>
      <c r="AP8550" s="14">
        <v>2049750</v>
      </c>
      <c r="AQ8550" s="12">
        <v>1E-4</v>
      </c>
      <c r="AS8550" s="26">
        <v>57</v>
      </c>
    </row>
    <row r="8551" spans="1:45" x14ac:dyDescent="0.2">
      <c r="B8551" s="13">
        <v>1</v>
      </c>
      <c r="C8551" s="17" t="s">
        <v>97</v>
      </c>
      <c r="D8551" s="17">
        <v>326</v>
      </c>
      <c r="G8551" s="13">
        <v>2</v>
      </c>
      <c r="H8551" s="17">
        <v>6</v>
      </c>
      <c r="I8551" s="17">
        <v>2</v>
      </c>
      <c r="J8551" s="17">
        <v>40</v>
      </c>
      <c r="K8551" s="10">
        <v>2640</v>
      </c>
      <c r="P8551" s="17">
        <v>1</v>
      </c>
      <c r="Q8551" s="19">
        <v>2640</v>
      </c>
      <c r="R8551" s="14" t="e">
        <v>#N/A</v>
      </c>
      <c r="S8551" s="19" t="e">
        <v>#N/A</v>
      </c>
      <c r="AJ8551" s="19">
        <v>0</v>
      </c>
      <c r="AK8551" s="23">
        <v>0</v>
      </c>
      <c r="AM8551" s="19">
        <v>0</v>
      </c>
      <c r="AN8551" s="19" t="e">
        <v>#N/A</v>
      </c>
      <c r="AP8551" s="14" t="e">
        <v>#N/A</v>
      </c>
      <c r="AQ8551" s="12">
        <v>1E-4</v>
      </c>
    </row>
    <row r="8552" spans="1:45" x14ac:dyDescent="0.2">
      <c r="B8552" s="13">
        <v>1</v>
      </c>
      <c r="C8552" s="17" t="s">
        <v>97</v>
      </c>
      <c r="D8552" s="17">
        <v>2</v>
      </c>
      <c r="G8552" s="13">
        <v>5</v>
      </c>
      <c r="H8552" s="17">
        <v>1</v>
      </c>
      <c r="I8552" s="17">
        <v>2</v>
      </c>
      <c r="J8552" s="17">
        <v>50</v>
      </c>
      <c r="K8552" s="10">
        <v>650</v>
      </c>
      <c r="P8552" s="17">
        <v>1</v>
      </c>
      <c r="Q8552" s="19">
        <v>650</v>
      </c>
      <c r="R8552" s="14" t="e">
        <v>#N/A</v>
      </c>
      <c r="S8552" s="19" t="e">
        <v>#N/A</v>
      </c>
      <c r="AJ8552" s="19">
        <v>0</v>
      </c>
      <c r="AK8552" s="23">
        <v>0</v>
      </c>
      <c r="AM8552" s="19">
        <v>0</v>
      </c>
      <c r="AN8552" s="19" t="e">
        <v>#N/A</v>
      </c>
      <c r="AP8552" s="14" t="e">
        <v>#N/A</v>
      </c>
      <c r="AQ8552" s="12">
        <v>1E-4</v>
      </c>
    </row>
    <row r="8553" spans="1:45" x14ac:dyDescent="0.2">
      <c r="B8553" s="13">
        <v>2</v>
      </c>
      <c r="C8553" s="17" t="s">
        <v>97</v>
      </c>
      <c r="D8553" s="17">
        <v>3</v>
      </c>
      <c r="G8553" s="13">
        <v>5</v>
      </c>
      <c r="H8553" s="17">
        <v>2</v>
      </c>
      <c r="I8553" s="17">
        <v>0</v>
      </c>
      <c r="J8553" s="17">
        <v>40</v>
      </c>
      <c r="K8553" s="10">
        <v>840</v>
      </c>
      <c r="P8553" s="17">
        <v>1</v>
      </c>
      <c r="Q8553" s="19">
        <v>840</v>
      </c>
      <c r="R8553" s="14" t="e">
        <v>#N/A</v>
      </c>
      <c r="S8553" s="19" t="e">
        <v>#N/A</v>
      </c>
      <c r="AJ8553" s="19">
        <v>0</v>
      </c>
      <c r="AK8553" s="23">
        <v>0</v>
      </c>
      <c r="AM8553" s="19">
        <v>0</v>
      </c>
      <c r="AN8553" s="19" t="e">
        <v>#N/A</v>
      </c>
      <c r="AP8553" s="14" t="e">
        <v>#N/A</v>
      </c>
      <c r="AQ8553" s="12">
        <v>1E-4</v>
      </c>
    </row>
    <row r="8554" spans="1:45" x14ac:dyDescent="0.2">
      <c r="B8554" s="13">
        <v>3</v>
      </c>
      <c r="C8554" s="17" t="s">
        <v>97</v>
      </c>
      <c r="D8554" s="17">
        <v>43</v>
      </c>
      <c r="G8554" s="13">
        <v>5</v>
      </c>
      <c r="H8554" s="17">
        <v>4</v>
      </c>
      <c r="I8554" s="17">
        <v>0</v>
      </c>
      <c r="J8554" s="17">
        <v>0</v>
      </c>
      <c r="K8554" s="10">
        <v>1600</v>
      </c>
      <c r="P8554" s="17">
        <v>1</v>
      </c>
      <c r="Q8554" s="19">
        <v>1600</v>
      </c>
      <c r="R8554" s="14" t="e">
        <v>#N/A</v>
      </c>
      <c r="S8554" s="19" t="e">
        <v>#N/A</v>
      </c>
      <c r="AJ8554" s="19">
        <v>0</v>
      </c>
      <c r="AK8554" s="23">
        <v>0</v>
      </c>
      <c r="AM8554" s="19">
        <v>0</v>
      </c>
      <c r="AN8554" s="19" t="e">
        <v>#N/A</v>
      </c>
      <c r="AP8554" s="14" t="e">
        <v>#N/A</v>
      </c>
      <c r="AQ8554" s="12">
        <v>1E-4</v>
      </c>
    </row>
    <row r="8555" spans="1:45" ht="42" x14ac:dyDescent="0.2">
      <c r="A8555" s="2">
        <v>7032</v>
      </c>
      <c r="B8555" s="13">
        <v>1</v>
      </c>
      <c r="C8555" s="17" t="s">
        <v>65</v>
      </c>
      <c r="D8555" s="17">
        <v>1925</v>
      </c>
      <c r="E8555" s="17">
        <v>104</v>
      </c>
      <c r="H8555" s="17">
        <v>1</v>
      </c>
      <c r="I8555" s="17">
        <v>2</v>
      </c>
      <c r="J8555" s="17">
        <v>56</v>
      </c>
      <c r="K8555" s="10">
        <v>614</v>
      </c>
      <c r="L8555" s="17">
        <v>42</v>
      </c>
      <c r="P8555" s="17">
        <v>5</v>
      </c>
      <c r="Q8555" s="19">
        <v>656</v>
      </c>
      <c r="R8555" s="14">
        <v>160</v>
      </c>
      <c r="S8555" s="19">
        <v>104960</v>
      </c>
      <c r="T8555" s="17">
        <v>1</v>
      </c>
      <c r="V8555" s="17" t="s">
        <v>183</v>
      </c>
      <c r="W8555" s="4">
        <v>168</v>
      </c>
      <c r="Y8555" s="4">
        <v>168</v>
      </c>
      <c r="AB8555" s="17">
        <v>24</v>
      </c>
      <c r="AJ8555" s="19">
        <v>0</v>
      </c>
      <c r="AK8555" s="23">
        <v>24</v>
      </c>
      <c r="AM8555" s="19">
        <v>0</v>
      </c>
      <c r="AN8555" s="19">
        <v>104960</v>
      </c>
      <c r="AP8555" s="14">
        <v>104960</v>
      </c>
      <c r="AQ8555" s="12">
        <v>1E-4</v>
      </c>
    </row>
    <row r="8556" spans="1:45" x14ac:dyDescent="0.2">
      <c r="A8556" s="2">
        <v>7033</v>
      </c>
      <c r="B8556" s="13">
        <v>1</v>
      </c>
      <c r="C8556" s="17" t="s">
        <v>65</v>
      </c>
      <c r="D8556" s="17">
        <v>1053</v>
      </c>
      <c r="E8556" s="17">
        <v>81</v>
      </c>
      <c r="G8556" s="13">
        <v>5</v>
      </c>
      <c r="H8556" s="17">
        <v>6</v>
      </c>
      <c r="I8556" s="17">
        <v>2</v>
      </c>
      <c r="J8556" s="17">
        <v>0</v>
      </c>
      <c r="K8556" s="10">
        <v>2600</v>
      </c>
      <c r="P8556" s="17">
        <v>1</v>
      </c>
      <c r="Q8556" s="19">
        <v>2600</v>
      </c>
      <c r="R8556" s="14">
        <v>160</v>
      </c>
      <c r="S8556" s="19">
        <v>416000</v>
      </c>
      <c r="AJ8556" s="19">
        <v>0</v>
      </c>
      <c r="AK8556" s="23">
        <v>0</v>
      </c>
      <c r="AM8556" s="19">
        <v>0</v>
      </c>
      <c r="AN8556" s="19">
        <v>416000</v>
      </c>
      <c r="AP8556" s="14">
        <v>416000</v>
      </c>
      <c r="AQ8556" s="12">
        <v>1E-4</v>
      </c>
    </row>
    <row r="8557" spans="1:45" x14ac:dyDescent="0.2">
      <c r="A8557" s="2">
        <v>7034</v>
      </c>
      <c r="B8557" s="13">
        <v>2</v>
      </c>
      <c r="C8557" s="17" t="s">
        <v>65</v>
      </c>
      <c r="D8557" s="17">
        <v>1060</v>
      </c>
      <c r="E8557" s="17">
        <v>92</v>
      </c>
      <c r="G8557" s="13">
        <v>5</v>
      </c>
      <c r="H8557" s="17">
        <v>5</v>
      </c>
      <c r="I8557" s="17">
        <v>0</v>
      </c>
      <c r="J8557" s="17">
        <v>0</v>
      </c>
      <c r="K8557" s="10">
        <v>2000</v>
      </c>
      <c r="P8557" s="17">
        <v>1</v>
      </c>
      <c r="Q8557" s="19">
        <v>2000</v>
      </c>
      <c r="R8557" s="14">
        <v>160</v>
      </c>
      <c r="S8557" s="19">
        <v>320000</v>
      </c>
      <c r="AJ8557" s="19">
        <v>0</v>
      </c>
      <c r="AK8557" s="23">
        <v>0</v>
      </c>
      <c r="AM8557" s="19">
        <v>0</v>
      </c>
      <c r="AN8557" s="19">
        <v>320000</v>
      </c>
      <c r="AP8557" s="14">
        <v>320000</v>
      </c>
      <c r="AQ8557" s="12">
        <v>1E-4</v>
      </c>
    </row>
    <row r="8558" spans="1:45" x14ac:dyDescent="0.2">
      <c r="A8558" s="2">
        <v>7035</v>
      </c>
      <c r="B8558" s="13">
        <v>1</v>
      </c>
      <c r="C8558" s="17" t="s">
        <v>65</v>
      </c>
      <c r="D8558" s="17">
        <v>1401</v>
      </c>
      <c r="E8558" s="17">
        <v>90</v>
      </c>
      <c r="H8558" s="17">
        <v>6</v>
      </c>
      <c r="I8558" s="17">
        <v>2</v>
      </c>
      <c r="J8558" s="17">
        <v>70</v>
      </c>
      <c r="K8558" s="10">
        <v>2670</v>
      </c>
      <c r="P8558" s="17">
        <v>1</v>
      </c>
      <c r="Q8558" s="19">
        <v>2670</v>
      </c>
      <c r="R8558" s="14">
        <v>160</v>
      </c>
      <c r="S8558" s="19">
        <v>427200</v>
      </c>
      <c r="AJ8558" s="19">
        <v>0</v>
      </c>
      <c r="AK8558" s="23">
        <v>0</v>
      </c>
      <c r="AM8558" s="19">
        <v>0</v>
      </c>
      <c r="AN8558" s="19">
        <v>427200</v>
      </c>
      <c r="AP8558" s="14">
        <v>427200</v>
      </c>
      <c r="AQ8558" s="12">
        <v>1E-4</v>
      </c>
    </row>
    <row r="8559" spans="1:45" x14ac:dyDescent="0.2">
      <c r="B8559" s="13">
        <v>1</v>
      </c>
      <c r="C8559" s="17" t="s">
        <v>97</v>
      </c>
      <c r="D8559" s="17">
        <v>4</v>
      </c>
      <c r="G8559" s="13">
        <v>5</v>
      </c>
      <c r="H8559" s="17">
        <v>6</v>
      </c>
      <c r="I8559" s="17">
        <v>3</v>
      </c>
      <c r="J8559" s="17">
        <v>6</v>
      </c>
      <c r="K8559" s="10">
        <v>2706</v>
      </c>
      <c r="P8559" s="17">
        <v>1</v>
      </c>
      <c r="Q8559" s="19">
        <v>2706</v>
      </c>
      <c r="R8559" s="14" t="e">
        <v>#N/A</v>
      </c>
      <c r="S8559" s="19" t="e">
        <v>#N/A</v>
      </c>
      <c r="AJ8559" s="19">
        <v>0</v>
      </c>
      <c r="AK8559" s="23">
        <v>0</v>
      </c>
      <c r="AM8559" s="19">
        <v>0</v>
      </c>
      <c r="AN8559" s="19" t="e">
        <v>#N/A</v>
      </c>
      <c r="AP8559" s="14" t="e">
        <v>#N/A</v>
      </c>
      <c r="AQ8559" s="12">
        <v>1E-4</v>
      </c>
    </row>
    <row r="8560" spans="1:45" x14ac:dyDescent="0.2">
      <c r="A8560" s="2">
        <v>7036</v>
      </c>
      <c r="B8560" s="13">
        <v>1</v>
      </c>
      <c r="C8560" s="17" t="s">
        <v>65</v>
      </c>
      <c r="D8560" s="17">
        <v>1006</v>
      </c>
      <c r="E8560" s="17">
        <v>156</v>
      </c>
      <c r="H8560" s="17">
        <v>0</v>
      </c>
      <c r="I8560" s="17">
        <v>2</v>
      </c>
      <c r="J8560" s="17">
        <v>35</v>
      </c>
      <c r="K8560" s="10">
        <v>235</v>
      </c>
      <c r="P8560" s="17">
        <v>1</v>
      </c>
      <c r="Q8560" s="19">
        <v>235</v>
      </c>
      <c r="R8560" s="14">
        <v>250</v>
      </c>
      <c r="S8560" s="19">
        <v>58750</v>
      </c>
      <c r="AJ8560" s="19">
        <v>0</v>
      </c>
      <c r="AK8560" s="23">
        <v>0</v>
      </c>
      <c r="AM8560" s="19">
        <v>0</v>
      </c>
      <c r="AN8560" s="19">
        <v>58750</v>
      </c>
      <c r="AP8560" s="14">
        <v>58750</v>
      </c>
      <c r="AQ8560" s="12">
        <v>1E-4</v>
      </c>
    </row>
    <row r="8561" spans="1:45" s="19" customFormat="1" x14ac:dyDescent="0.2">
      <c r="A8561" s="2">
        <v>7037</v>
      </c>
      <c r="B8561" s="13">
        <v>1</v>
      </c>
      <c r="C8561" s="17" t="s">
        <v>65</v>
      </c>
      <c r="D8561" s="17">
        <v>2466</v>
      </c>
      <c r="E8561" s="17">
        <v>309</v>
      </c>
      <c r="F8561" s="17"/>
      <c r="G8561" s="13"/>
      <c r="H8561" s="17">
        <v>1</v>
      </c>
      <c r="I8561" s="17">
        <v>1</v>
      </c>
      <c r="J8561" s="17">
        <v>85</v>
      </c>
      <c r="K8561" s="10">
        <v>585</v>
      </c>
      <c r="L8561" s="17"/>
      <c r="M8561" s="15"/>
      <c r="N8561" s="18"/>
      <c r="O8561" s="14"/>
      <c r="P8561" s="17">
        <v>1</v>
      </c>
      <c r="Q8561" s="19">
        <v>585</v>
      </c>
      <c r="R8561" s="14">
        <v>160</v>
      </c>
      <c r="S8561" s="19">
        <v>93600</v>
      </c>
      <c r="T8561" s="17"/>
      <c r="U8561" s="17"/>
      <c r="V8561" s="17"/>
      <c r="W8561" s="4"/>
      <c r="X8561" s="17"/>
      <c r="Y8561" s="4"/>
      <c r="Z8561" s="17"/>
      <c r="AA8561" s="17"/>
      <c r="AB8561" s="17"/>
      <c r="AC8561" s="14"/>
      <c r="AD8561" s="14" t="s">
        <v>94</v>
      </c>
      <c r="AE8561" s="17" t="s">
        <v>220</v>
      </c>
      <c r="AF8561" s="14"/>
      <c r="AG8561" s="54"/>
      <c r="AH8561" s="11"/>
      <c r="AI8561" s="14"/>
      <c r="AJ8561" s="19">
        <v>0</v>
      </c>
      <c r="AK8561" s="23">
        <v>0</v>
      </c>
      <c r="AL8561" s="11"/>
      <c r="AM8561" s="19">
        <v>0</v>
      </c>
      <c r="AN8561" s="19">
        <v>93600</v>
      </c>
      <c r="AO8561" s="14"/>
      <c r="AP8561" s="14">
        <v>93600</v>
      </c>
      <c r="AQ8561" s="12">
        <v>1E-4</v>
      </c>
      <c r="AS8561" s="26"/>
    </row>
    <row r="8562" spans="1:45" s="19" customFormat="1" x14ac:dyDescent="0.2">
      <c r="A8562" s="2">
        <v>7038</v>
      </c>
      <c r="B8562" s="13">
        <v>1</v>
      </c>
      <c r="C8562" s="17" t="s">
        <v>65</v>
      </c>
      <c r="D8562" s="17">
        <v>2145</v>
      </c>
      <c r="E8562" s="17">
        <v>171</v>
      </c>
      <c r="F8562" s="17"/>
      <c r="G8562" s="13"/>
      <c r="H8562" s="17">
        <v>3</v>
      </c>
      <c r="I8562" s="17">
        <v>0</v>
      </c>
      <c r="J8562" s="17">
        <v>30</v>
      </c>
      <c r="K8562" s="10">
        <v>1230</v>
      </c>
      <c r="L8562" s="17"/>
      <c r="M8562" s="15"/>
      <c r="N8562" s="18"/>
      <c r="O8562" s="14"/>
      <c r="P8562" s="17">
        <v>1</v>
      </c>
      <c r="Q8562" s="19">
        <v>1230</v>
      </c>
      <c r="R8562" s="14">
        <v>160</v>
      </c>
      <c r="S8562" s="19">
        <v>196800</v>
      </c>
      <c r="T8562" s="17"/>
      <c r="U8562" s="17"/>
      <c r="V8562" s="17"/>
      <c r="W8562" s="4"/>
      <c r="X8562" s="17"/>
      <c r="Y8562" s="4"/>
      <c r="Z8562" s="17"/>
      <c r="AA8562" s="17"/>
      <c r="AB8562" s="17"/>
      <c r="AC8562" s="14"/>
      <c r="AD8562" s="14"/>
      <c r="AE8562" s="17"/>
      <c r="AF8562" s="14"/>
      <c r="AG8562" s="54"/>
      <c r="AH8562" s="11"/>
      <c r="AI8562" s="14"/>
      <c r="AJ8562" s="19">
        <v>0</v>
      </c>
      <c r="AK8562" s="23">
        <v>0</v>
      </c>
      <c r="AL8562" s="11"/>
      <c r="AM8562" s="19">
        <v>0</v>
      </c>
      <c r="AN8562" s="19">
        <v>196800</v>
      </c>
      <c r="AO8562" s="14"/>
      <c r="AP8562" s="14">
        <v>196800</v>
      </c>
      <c r="AQ8562" s="12">
        <v>1E-4</v>
      </c>
      <c r="AS8562" s="26"/>
    </row>
    <row r="8563" spans="1:45" s="19" customFormat="1" x14ac:dyDescent="0.2">
      <c r="A8563" s="2">
        <v>7039</v>
      </c>
      <c r="B8563" s="13">
        <v>1</v>
      </c>
      <c r="C8563" s="17" t="s">
        <v>65</v>
      </c>
      <c r="D8563" s="17">
        <v>2008</v>
      </c>
      <c r="E8563" s="17">
        <v>42</v>
      </c>
      <c r="F8563" s="17"/>
      <c r="G8563" s="13"/>
      <c r="H8563" s="17">
        <v>22</v>
      </c>
      <c r="I8563" s="17">
        <v>2</v>
      </c>
      <c r="J8563" s="17">
        <v>40</v>
      </c>
      <c r="K8563" s="10">
        <v>9040</v>
      </c>
      <c r="L8563" s="17"/>
      <c r="M8563" s="15"/>
      <c r="N8563" s="18"/>
      <c r="O8563" s="14"/>
      <c r="P8563" s="17">
        <v>1</v>
      </c>
      <c r="Q8563" s="19">
        <v>9040</v>
      </c>
      <c r="R8563" s="14">
        <v>160</v>
      </c>
      <c r="S8563" s="19">
        <v>1446400</v>
      </c>
      <c r="T8563" s="17"/>
      <c r="U8563" s="17"/>
      <c r="V8563" s="17"/>
      <c r="W8563" s="4"/>
      <c r="X8563" s="17"/>
      <c r="Y8563" s="4"/>
      <c r="Z8563" s="17"/>
      <c r="AA8563" s="17"/>
      <c r="AB8563" s="17"/>
      <c r="AC8563" s="14"/>
      <c r="AD8563" s="14"/>
      <c r="AE8563" s="17"/>
      <c r="AF8563" s="14"/>
      <c r="AG8563" s="54"/>
      <c r="AH8563" s="11"/>
      <c r="AI8563" s="14"/>
      <c r="AJ8563" s="19">
        <v>0</v>
      </c>
      <c r="AK8563" s="23">
        <v>0</v>
      </c>
      <c r="AL8563" s="11"/>
      <c r="AM8563" s="19">
        <v>0</v>
      </c>
      <c r="AN8563" s="19">
        <v>1446400</v>
      </c>
      <c r="AO8563" s="14"/>
      <c r="AP8563" s="14">
        <v>1446400</v>
      </c>
      <c r="AQ8563" s="12">
        <v>1E-4</v>
      </c>
      <c r="AS8563" s="26"/>
    </row>
    <row r="8564" spans="1:45" s="19" customFormat="1" x14ac:dyDescent="0.2">
      <c r="A8564" s="2">
        <v>7040</v>
      </c>
      <c r="B8564" s="13">
        <v>1</v>
      </c>
      <c r="C8564" s="17" t="s">
        <v>65</v>
      </c>
      <c r="D8564" s="17">
        <v>2227</v>
      </c>
      <c r="E8564" s="17">
        <v>156</v>
      </c>
      <c r="F8564" s="17"/>
      <c r="G8564" s="13"/>
      <c r="H8564" s="17">
        <v>12</v>
      </c>
      <c r="I8564" s="17">
        <v>2</v>
      </c>
      <c r="J8564" s="17">
        <v>30</v>
      </c>
      <c r="K8564" s="10">
        <v>5030</v>
      </c>
      <c r="L8564" s="17"/>
      <c r="M8564" s="15"/>
      <c r="N8564" s="18"/>
      <c r="O8564" s="14"/>
      <c r="P8564" s="17">
        <v>1</v>
      </c>
      <c r="Q8564" s="19">
        <v>5030</v>
      </c>
      <c r="R8564" s="14">
        <v>160</v>
      </c>
      <c r="S8564" s="19">
        <v>804800</v>
      </c>
      <c r="T8564" s="17"/>
      <c r="U8564" s="17"/>
      <c r="V8564" s="17"/>
      <c r="W8564" s="4"/>
      <c r="X8564" s="17"/>
      <c r="Y8564" s="4"/>
      <c r="Z8564" s="17"/>
      <c r="AA8564" s="17"/>
      <c r="AB8564" s="17"/>
      <c r="AC8564" s="14"/>
      <c r="AD8564" s="14"/>
      <c r="AE8564" s="17"/>
      <c r="AF8564" s="14"/>
      <c r="AG8564" s="54"/>
      <c r="AH8564" s="11"/>
      <c r="AI8564" s="14"/>
      <c r="AJ8564" s="19">
        <v>0</v>
      </c>
      <c r="AK8564" s="23">
        <v>0</v>
      </c>
      <c r="AL8564" s="11"/>
      <c r="AM8564" s="19">
        <v>0</v>
      </c>
      <c r="AN8564" s="19">
        <v>804800</v>
      </c>
      <c r="AO8564" s="14"/>
      <c r="AP8564" s="14">
        <v>804800</v>
      </c>
      <c r="AQ8564" s="12">
        <v>1E-4</v>
      </c>
      <c r="AS8564" s="26"/>
    </row>
    <row r="8565" spans="1:45" s="19" customFormat="1" x14ac:dyDescent="0.2">
      <c r="A8565" s="2">
        <v>7041</v>
      </c>
      <c r="B8565" s="13">
        <v>2</v>
      </c>
      <c r="C8565" s="17" t="s">
        <v>65</v>
      </c>
      <c r="D8565" s="17">
        <v>2231</v>
      </c>
      <c r="E8565" s="17">
        <v>161</v>
      </c>
      <c r="F8565" s="17"/>
      <c r="G8565" s="13"/>
      <c r="H8565" s="17">
        <v>1</v>
      </c>
      <c r="I8565" s="17">
        <v>1</v>
      </c>
      <c r="J8565" s="17">
        <v>35</v>
      </c>
      <c r="K8565" s="10">
        <v>535</v>
      </c>
      <c r="L8565" s="17"/>
      <c r="M8565" s="15"/>
      <c r="N8565" s="18"/>
      <c r="O8565" s="14"/>
      <c r="P8565" s="17">
        <v>1</v>
      </c>
      <c r="Q8565" s="19">
        <v>535</v>
      </c>
      <c r="R8565" s="14">
        <v>1100</v>
      </c>
      <c r="S8565" s="19">
        <v>588500</v>
      </c>
      <c r="T8565" s="17"/>
      <c r="U8565" s="17"/>
      <c r="V8565" s="17"/>
      <c r="W8565" s="4"/>
      <c r="X8565" s="17"/>
      <c r="Y8565" s="4"/>
      <c r="Z8565" s="17"/>
      <c r="AA8565" s="17"/>
      <c r="AB8565" s="17"/>
      <c r="AC8565" s="14"/>
      <c r="AD8565" s="14"/>
      <c r="AE8565" s="17"/>
      <c r="AF8565" s="14"/>
      <c r="AG8565" s="54"/>
      <c r="AH8565" s="11"/>
      <c r="AI8565" s="14"/>
      <c r="AJ8565" s="19">
        <v>0</v>
      </c>
      <c r="AK8565" s="23">
        <v>0</v>
      </c>
      <c r="AL8565" s="11"/>
      <c r="AM8565" s="19">
        <v>0</v>
      </c>
      <c r="AN8565" s="19">
        <v>588500</v>
      </c>
      <c r="AO8565" s="14"/>
      <c r="AP8565" s="14">
        <v>588500</v>
      </c>
      <c r="AQ8565" s="12">
        <v>1E-4</v>
      </c>
      <c r="AS8565" s="26"/>
    </row>
    <row r="8566" spans="1:45" s="19" customFormat="1" x14ac:dyDescent="0.2">
      <c r="A8566" s="2">
        <v>7042</v>
      </c>
      <c r="B8566" s="13">
        <v>1</v>
      </c>
      <c r="C8566" s="17" t="s">
        <v>65</v>
      </c>
      <c r="D8566" s="17">
        <v>1090</v>
      </c>
      <c r="E8566" s="17">
        <v>46</v>
      </c>
      <c r="F8566" s="17"/>
      <c r="G8566" s="13"/>
      <c r="H8566" s="17">
        <v>3</v>
      </c>
      <c r="I8566" s="17">
        <v>0</v>
      </c>
      <c r="J8566" s="17">
        <v>0</v>
      </c>
      <c r="K8566" s="10">
        <v>1200</v>
      </c>
      <c r="L8566" s="17"/>
      <c r="M8566" s="15"/>
      <c r="N8566" s="18"/>
      <c r="O8566" s="14"/>
      <c r="P8566" s="17">
        <v>1</v>
      </c>
      <c r="Q8566" s="19">
        <v>1200</v>
      </c>
      <c r="R8566" s="14">
        <v>160</v>
      </c>
      <c r="S8566" s="19">
        <v>192000</v>
      </c>
      <c r="T8566" s="17"/>
      <c r="U8566" s="17"/>
      <c r="V8566" s="17"/>
      <c r="W8566" s="4"/>
      <c r="X8566" s="17"/>
      <c r="Y8566" s="4"/>
      <c r="Z8566" s="17"/>
      <c r="AA8566" s="17"/>
      <c r="AB8566" s="17"/>
      <c r="AC8566" s="14"/>
      <c r="AD8566" s="14"/>
      <c r="AE8566" s="17"/>
      <c r="AF8566" s="14"/>
      <c r="AG8566" s="54"/>
      <c r="AH8566" s="11"/>
      <c r="AI8566" s="14"/>
      <c r="AJ8566" s="19">
        <v>0</v>
      </c>
      <c r="AK8566" s="23">
        <v>0</v>
      </c>
      <c r="AL8566" s="11"/>
      <c r="AM8566" s="19">
        <v>0</v>
      </c>
      <c r="AN8566" s="19">
        <v>192000</v>
      </c>
      <c r="AO8566" s="14"/>
      <c r="AP8566" s="14">
        <v>192000</v>
      </c>
      <c r="AQ8566" s="12">
        <v>1E-4</v>
      </c>
      <c r="AS8566" s="26"/>
    </row>
    <row r="8567" spans="1:45" s="19" customFormat="1" x14ac:dyDescent="0.2">
      <c r="A8567" s="2"/>
      <c r="B8567" s="13">
        <v>1</v>
      </c>
      <c r="C8567" s="17" t="s">
        <v>97</v>
      </c>
      <c r="D8567" s="17">
        <v>108</v>
      </c>
      <c r="E8567" s="17"/>
      <c r="F8567" s="17"/>
      <c r="G8567" s="13">
        <v>5</v>
      </c>
      <c r="H8567" s="17">
        <v>30</v>
      </c>
      <c r="I8567" s="17">
        <v>0</v>
      </c>
      <c r="J8567" s="17">
        <v>0</v>
      </c>
      <c r="K8567" s="10">
        <v>12000</v>
      </c>
      <c r="L8567" s="17"/>
      <c r="M8567" s="15"/>
      <c r="N8567" s="18"/>
      <c r="O8567" s="14"/>
      <c r="P8567" s="17">
        <v>1</v>
      </c>
      <c r="Q8567" s="19">
        <v>12000</v>
      </c>
      <c r="R8567" s="14" t="e">
        <v>#N/A</v>
      </c>
      <c r="S8567" s="19" t="e">
        <v>#N/A</v>
      </c>
      <c r="T8567" s="17"/>
      <c r="U8567" s="17"/>
      <c r="V8567" s="17"/>
      <c r="W8567" s="4"/>
      <c r="X8567" s="17"/>
      <c r="Y8567" s="4"/>
      <c r="Z8567" s="17"/>
      <c r="AA8567" s="17"/>
      <c r="AB8567" s="17"/>
      <c r="AC8567" s="14"/>
      <c r="AD8567" s="14"/>
      <c r="AE8567" s="17"/>
      <c r="AF8567" s="14"/>
      <c r="AG8567" s="54"/>
      <c r="AH8567" s="11"/>
      <c r="AI8567" s="14"/>
      <c r="AJ8567" s="19">
        <v>0</v>
      </c>
      <c r="AK8567" s="23">
        <v>0</v>
      </c>
      <c r="AL8567" s="11"/>
      <c r="AM8567" s="19">
        <v>0</v>
      </c>
      <c r="AN8567" s="19" t="e">
        <v>#N/A</v>
      </c>
      <c r="AO8567" s="14"/>
      <c r="AP8567" s="14" t="e">
        <v>#N/A</v>
      </c>
      <c r="AQ8567" s="12">
        <v>1E-4</v>
      </c>
      <c r="AS8567" s="26"/>
    </row>
    <row r="8568" spans="1:45" s="19" customFormat="1" x14ac:dyDescent="0.2">
      <c r="A8568" s="2"/>
      <c r="B8568" s="13">
        <v>1</v>
      </c>
      <c r="C8568" s="17" t="s">
        <v>97</v>
      </c>
      <c r="D8568" s="17">
        <v>76</v>
      </c>
      <c r="E8568" s="17"/>
      <c r="F8568" s="17"/>
      <c r="G8568" s="13">
        <v>3</v>
      </c>
      <c r="H8568" s="17">
        <v>12</v>
      </c>
      <c r="I8568" s="17">
        <v>0</v>
      </c>
      <c r="J8568" s="17">
        <v>0</v>
      </c>
      <c r="K8568" s="10">
        <v>4600</v>
      </c>
      <c r="L8568" s="17"/>
      <c r="M8568" s="15"/>
      <c r="N8568" s="18"/>
      <c r="O8568" s="14"/>
      <c r="P8568" s="17">
        <v>1</v>
      </c>
      <c r="Q8568" s="19">
        <v>4800</v>
      </c>
      <c r="R8568" s="14" t="e">
        <v>#N/A</v>
      </c>
      <c r="S8568" s="19" t="e">
        <v>#N/A</v>
      </c>
      <c r="T8568" s="17"/>
      <c r="U8568" s="17"/>
      <c r="V8568" s="17"/>
      <c r="W8568" s="4"/>
      <c r="X8568" s="17"/>
      <c r="Y8568" s="4"/>
      <c r="Z8568" s="17"/>
      <c r="AA8568" s="17"/>
      <c r="AB8568" s="17"/>
      <c r="AC8568" s="14"/>
      <c r="AD8568" s="14"/>
      <c r="AE8568" s="17"/>
      <c r="AF8568" s="14"/>
      <c r="AG8568" s="54"/>
      <c r="AH8568" s="11"/>
      <c r="AI8568" s="14"/>
      <c r="AJ8568" s="19">
        <v>0</v>
      </c>
      <c r="AK8568" s="23">
        <v>0</v>
      </c>
      <c r="AL8568" s="11"/>
      <c r="AM8568" s="19">
        <v>0</v>
      </c>
      <c r="AN8568" s="19" t="e">
        <v>#N/A</v>
      </c>
      <c r="AO8568" s="14"/>
      <c r="AP8568" s="14" t="e">
        <v>#N/A</v>
      </c>
      <c r="AQ8568" s="12">
        <v>1E-4</v>
      </c>
      <c r="AS8568" s="26"/>
    </row>
    <row r="8569" spans="1:45" s="19" customFormat="1" x14ac:dyDescent="0.2">
      <c r="A8569" s="2"/>
      <c r="B8569" s="13">
        <v>2</v>
      </c>
      <c r="C8569" s="17" t="s">
        <v>97</v>
      </c>
      <c r="D8569" s="17">
        <v>285</v>
      </c>
      <c r="E8569" s="17"/>
      <c r="F8569" s="17"/>
      <c r="G8569" s="13">
        <v>2</v>
      </c>
      <c r="H8569" s="17">
        <v>3</v>
      </c>
      <c r="I8569" s="17">
        <v>2</v>
      </c>
      <c r="J8569" s="17">
        <v>40</v>
      </c>
      <c r="K8569" s="10">
        <v>1440</v>
      </c>
      <c r="L8569" s="17"/>
      <c r="M8569" s="15"/>
      <c r="N8569" s="18"/>
      <c r="O8569" s="14"/>
      <c r="P8569" s="17">
        <v>1</v>
      </c>
      <c r="Q8569" s="19">
        <v>1440</v>
      </c>
      <c r="R8569" s="14" t="e">
        <v>#N/A</v>
      </c>
      <c r="S8569" s="19" t="e">
        <v>#N/A</v>
      </c>
      <c r="T8569" s="17"/>
      <c r="U8569" s="17"/>
      <c r="V8569" s="17"/>
      <c r="W8569" s="4"/>
      <c r="X8569" s="17"/>
      <c r="Y8569" s="4"/>
      <c r="Z8569" s="17"/>
      <c r="AA8569" s="17"/>
      <c r="AB8569" s="17"/>
      <c r="AC8569" s="14"/>
      <c r="AD8569" s="14"/>
      <c r="AE8569" s="17"/>
      <c r="AF8569" s="14"/>
      <c r="AG8569" s="54"/>
      <c r="AH8569" s="11"/>
      <c r="AI8569" s="14"/>
      <c r="AJ8569" s="19">
        <v>0</v>
      </c>
      <c r="AK8569" s="23">
        <v>0</v>
      </c>
      <c r="AL8569" s="11"/>
      <c r="AM8569" s="19">
        <v>0</v>
      </c>
      <c r="AN8569" s="19" t="e">
        <v>#N/A</v>
      </c>
      <c r="AO8569" s="14"/>
      <c r="AP8569" s="14" t="e">
        <v>#N/A</v>
      </c>
      <c r="AQ8569" s="12">
        <v>1E-4</v>
      </c>
      <c r="AS8569" s="26"/>
    </row>
    <row r="8570" spans="1:45" s="19" customFormat="1" x14ac:dyDescent="0.2">
      <c r="A8570" s="2"/>
      <c r="B8570" s="13">
        <v>1</v>
      </c>
      <c r="C8570" s="17" t="s">
        <v>97</v>
      </c>
      <c r="D8570" s="17">
        <v>254</v>
      </c>
      <c r="E8570" s="17"/>
      <c r="F8570" s="17"/>
      <c r="G8570" s="13">
        <v>2</v>
      </c>
      <c r="H8570" s="17">
        <v>2</v>
      </c>
      <c r="I8570" s="17">
        <v>0</v>
      </c>
      <c r="J8570" s="17">
        <v>0</v>
      </c>
      <c r="K8570" s="10">
        <v>800</v>
      </c>
      <c r="L8570" s="17"/>
      <c r="M8570" s="15"/>
      <c r="N8570" s="18"/>
      <c r="O8570" s="14"/>
      <c r="P8570" s="17">
        <v>1</v>
      </c>
      <c r="Q8570" s="19">
        <v>800</v>
      </c>
      <c r="R8570" s="14" t="e">
        <v>#N/A</v>
      </c>
      <c r="S8570" s="19" t="e">
        <v>#N/A</v>
      </c>
      <c r="T8570" s="17"/>
      <c r="U8570" s="17"/>
      <c r="V8570" s="17"/>
      <c r="W8570" s="4"/>
      <c r="X8570" s="17"/>
      <c r="Y8570" s="4"/>
      <c r="Z8570" s="17"/>
      <c r="AA8570" s="17"/>
      <c r="AB8570" s="17"/>
      <c r="AC8570" s="14"/>
      <c r="AD8570" s="14"/>
      <c r="AE8570" s="17"/>
      <c r="AF8570" s="14"/>
      <c r="AG8570" s="54"/>
      <c r="AH8570" s="11"/>
      <c r="AI8570" s="14"/>
      <c r="AJ8570" s="19">
        <v>0</v>
      </c>
      <c r="AK8570" s="23">
        <v>0</v>
      </c>
      <c r="AL8570" s="11"/>
      <c r="AM8570" s="19">
        <v>0</v>
      </c>
      <c r="AN8570" s="19" t="e">
        <v>#N/A</v>
      </c>
      <c r="AO8570" s="14"/>
      <c r="AP8570" s="14" t="e">
        <v>#N/A</v>
      </c>
      <c r="AQ8570" s="12">
        <v>1E-4</v>
      </c>
      <c r="AS8570" s="26"/>
    </row>
    <row r="8571" spans="1:45" s="19" customFormat="1" x14ac:dyDescent="0.2">
      <c r="A8571" s="2"/>
      <c r="B8571" s="13">
        <v>2</v>
      </c>
      <c r="C8571" s="17" t="s">
        <v>97</v>
      </c>
      <c r="D8571" s="17">
        <v>257</v>
      </c>
      <c r="E8571" s="17"/>
      <c r="F8571" s="17"/>
      <c r="G8571" s="13">
        <v>2</v>
      </c>
      <c r="H8571" s="17">
        <v>3</v>
      </c>
      <c r="I8571" s="17">
        <v>2</v>
      </c>
      <c r="J8571" s="17">
        <v>0</v>
      </c>
      <c r="K8571" s="10">
        <v>1400</v>
      </c>
      <c r="L8571" s="17"/>
      <c r="M8571" s="15"/>
      <c r="N8571" s="18"/>
      <c r="O8571" s="14"/>
      <c r="P8571" s="17">
        <v>1</v>
      </c>
      <c r="Q8571" s="19">
        <v>1400</v>
      </c>
      <c r="R8571" s="14" t="e">
        <v>#N/A</v>
      </c>
      <c r="S8571" s="19" t="e">
        <v>#N/A</v>
      </c>
      <c r="T8571" s="17"/>
      <c r="U8571" s="17"/>
      <c r="V8571" s="17"/>
      <c r="W8571" s="4"/>
      <c r="X8571" s="17"/>
      <c r="Y8571" s="4"/>
      <c r="Z8571" s="17"/>
      <c r="AA8571" s="17"/>
      <c r="AB8571" s="17"/>
      <c r="AC8571" s="14"/>
      <c r="AD8571" s="14"/>
      <c r="AE8571" s="17"/>
      <c r="AF8571" s="14"/>
      <c r="AG8571" s="54"/>
      <c r="AH8571" s="11"/>
      <c r="AI8571" s="14"/>
      <c r="AJ8571" s="19">
        <v>0</v>
      </c>
      <c r="AK8571" s="23">
        <v>0</v>
      </c>
      <c r="AL8571" s="11"/>
      <c r="AM8571" s="19">
        <v>0</v>
      </c>
      <c r="AN8571" s="19" t="e">
        <v>#N/A</v>
      </c>
      <c r="AO8571" s="14"/>
      <c r="AP8571" s="14" t="e">
        <v>#N/A</v>
      </c>
      <c r="AQ8571" s="12">
        <v>1E-4</v>
      </c>
      <c r="AS8571" s="26"/>
    </row>
    <row r="8572" spans="1:45" s="19" customFormat="1" x14ac:dyDescent="0.2">
      <c r="A8572" s="2">
        <v>7043</v>
      </c>
      <c r="B8572" s="13">
        <v>1</v>
      </c>
      <c r="C8572" s="17" t="s">
        <v>65</v>
      </c>
      <c r="D8572" s="17">
        <v>2015</v>
      </c>
      <c r="E8572" s="17">
        <v>49</v>
      </c>
      <c r="F8572" s="17"/>
      <c r="G8572" s="13"/>
      <c r="H8572" s="17">
        <v>1</v>
      </c>
      <c r="I8572" s="17">
        <v>0</v>
      </c>
      <c r="J8572" s="17">
        <v>83</v>
      </c>
      <c r="K8572" s="10">
        <v>483</v>
      </c>
      <c r="L8572" s="17"/>
      <c r="M8572" s="15"/>
      <c r="N8572" s="18"/>
      <c r="O8572" s="14"/>
      <c r="P8572" s="17">
        <v>1</v>
      </c>
      <c r="Q8572" s="19">
        <v>483</v>
      </c>
      <c r="R8572" s="14">
        <v>160</v>
      </c>
      <c r="S8572" s="19">
        <v>77280</v>
      </c>
      <c r="T8572" s="17"/>
      <c r="U8572" s="17"/>
      <c r="V8572" s="17"/>
      <c r="W8572" s="4"/>
      <c r="X8572" s="17"/>
      <c r="Y8572" s="4"/>
      <c r="Z8572" s="17"/>
      <c r="AA8572" s="17"/>
      <c r="AB8572" s="17"/>
      <c r="AC8572" s="14"/>
      <c r="AD8572" s="14"/>
      <c r="AE8572" s="17"/>
      <c r="AF8572" s="14"/>
      <c r="AG8572" s="54"/>
      <c r="AH8572" s="11"/>
      <c r="AI8572" s="14"/>
      <c r="AJ8572" s="19">
        <v>0</v>
      </c>
      <c r="AK8572" s="23">
        <v>0</v>
      </c>
      <c r="AL8572" s="11"/>
      <c r="AM8572" s="19">
        <v>0</v>
      </c>
      <c r="AN8572" s="19">
        <v>77280</v>
      </c>
      <c r="AO8572" s="14"/>
      <c r="AP8572" s="14">
        <v>77280</v>
      </c>
      <c r="AQ8572" s="12">
        <v>1E-4</v>
      </c>
      <c r="AS8572" s="26"/>
    </row>
    <row r="8573" spans="1:45" s="19" customFormat="1" x14ac:dyDescent="0.2">
      <c r="A8573" s="2">
        <v>7044</v>
      </c>
      <c r="B8573" s="13">
        <v>1</v>
      </c>
      <c r="C8573" s="17" t="s">
        <v>65</v>
      </c>
      <c r="D8573" s="17">
        <v>2319</v>
      </c>
      <c r="E8573" s="17">
        <v>296</v>
      </c>
      <c r="F8573" s="17"/>
      <c r="G8573" s="13"/>
      <c r="H8573" s="17">
        <v>1</v>
      </c>
      <c r="I8573" s="17">
        <v>2</v>
      </c>
      <c r="J8573" s="17">
        <v>16</v>
      </c>
      <c r="K8573" s="10">
        <v>616</v>
      </c>
      <c r="L8573" s="17"/>
      <c r="M8573" s="15"/>
      <c r="N8573" s="18"/>
      <c r="O8573" s="14"/>
      <c r="P8573" s="17">
        <v>1</v>
      </c>
      <c r="Q8573" s="19">
        <v>616</v>
      </c>
      <c r="R8573" s="14">
        <v>160</v>
      </c>
      <c r="S8573" s="19">
        <v>98560</v>
      </c>
      <c r="T8573" s="17"/>
      <c r="U8573" s="17"/>
      <c r="V8573" s="17"/>
      <c r="W8573" s="4"/>
      <c r="X8573" s="17"/>
      <c r="Y8573" s="4"/>
      <c r="Z8573" s="17"/>
      <c r="AA8573" s="17"/>
      <c r="AB8573" s="17"/>
      <c r="AC8573" s="14"/>
      <c r="AD8573" s="14"/>
      <c r="AE8573" s="17"/>
      <c r="AF8573" s="14"/>
      <c r="AG8573" s="54"/>
      <c r="AH8573" s="11"/>
      <c r="AI8573" s="14"/>
      <c r="AJ8573" s="19">
        <v>0</v>
      </c>
      <c r="AK8573" s="23">
        <v>0</v>
      </c>
      <c r="AL8573" s="11"/>
      <c r="AM8573" s="19">
        <v>0</v>
      </c>
      <c r="AN8573" s="19">
        <v>98560</v>
      </c>
      <c r="AO8573" s="14"/>
      <c r="AP8573" s="14">
        <v>98560</v>
      </c>
      <c r="AQ8573" s="12">
        <v>1E-4</v>
      </c>
      <c r="AS8573" s="26"/>
    </row>
    <row r="8574" spans="1:45" s="19" customFormat="1" x14ac:dyDescent="0.2">
      <c r="A8574" s="2">
        <v>7045</v>
      </c>
      <c r="B8574" s="13">
        <v>1</v>
      </c>
      <c r="C8574" s="17" t="s">
        <v>65</v>
      </c>
      <c r="D8574" s="17">
        <v>2215</v>
      </c>
      <c r="E8574" s="17">
        <v>134</v>
      </c>
      <c r="F8574" s="17"/>
      <c r="G8574" s="13"/>
      <c r="H8574" s="17">
        <v>0</v>
      </c>
      <c r="I8574" s="17">
        <v>3</v>
      </c>
      <c r="J8574" s="17">
        <v>0</v>
      </c>
      <c r="K8574" s="10">
        <v>300</v>
      </c>
      <c r="L8574" s="17"/>
      <c r="M8574" s="15"/>
      <c r="N8574" s="18"/>
      <c r="O8574" s="14"/>
      <c r="P8574" s="17">
        <v>1</v>
      </c>
      <c r="Q8574" s="19">
        <v>300</v>
      </c>
      <c r="R8574" s="14">
        <v>160</v>
      </c>
      <c r="S8574" s="19">
        <v>48000</v>
      </c>
      <c r="T8574" s="17"/>
      <c r="U8574" s="17"/>
      <c r="V8574" s="17"/>
      <c r="W8574" s="4"/>
      <c r="X8574" s="17"/>
      <c r="Y8574" s="4"/>
      <c r="Z8574" s="17"/>
      <c r="AA8574" s="17"/>
      <c r="AB8574" s="17"/>
      <c r="AC8574" s="14"/>
      <c r="AD8574" s="14"/>
      <c r="AE8574" s="17"/>
      <c r="AF8574" s="14"/>
      <c r="AG8574" s="54"/>
      <c r="AH8574" s="11"/>
      <c r="AI8574" s="14"/>
      <c r="AJ8574" s="19">
        <v>0</v>
      </c>
      <c r="AK8574" s="23">
        <v>0</v>
      </c>
      <c r="AL8574" s="11"/>
      <c r="AM8574" s="19">
        <v>0</v>
      </c>
      <c r="AN8574" s="19">
        <v>48000</v>
      </c>
      <c r="AO8574" s="14"/>
      <c r="AP8574" s="14">
        <v>48000</v>
      </c>
      <c r="AQ8574" s="12">
        <v>1E-4</v>
      </c>
      <c r="AS8574" s="26"/>
    </row>
    <row r="8575" spans="1:45" s="19" customFormat="1" x14ac:dyDescent="0.2">
      <c r="A8575" s="2"/>
      <c r="B8575" s="13">
        <v>1</v>
      </c>
      <c r="C8575" s="17" t="s">
        <v>97</v>
      </c>
      <c r="D8575" s="17">
        <v>83</v>
      </c>
      <c r="E8575" s="17"/>
      <c r="F8575" s="17"/>
      <c r="G8575" s="13">
        <v>6</v>
      </c>
      <c r="H8575" s="17">
        <v>3</v>
      </c>
      <c r="I8575" s="17">
        <v>2</v>
      </c>
      <c r="J8575" s="17">
        <v>35</v>
      </c>
      <c r="K8575" s="10">
        <v>1435</v>
      </c>
      <c r="L8575" s="17"/>
      <c r="M8575" s="15"/>
      <c r="N8575" s="18"/>
      <c r="O8575" s="14"/>
      <c r="P8575" s="17">
        <v>1</v>
      </c>
      <c r="Q8575" s="19">
        <v>1435</v>
      </c>
      <c r="R8575" s="14" t="e">
        <v>#N/A</v>
      </c>
      <c r="S8575" s="19" t="e">
        <v>#N/A</v>
      </c>
      <c r="T8575" s="17"/>
      <c r="U8575" s="17"/>
      <c r="V8575" s="17"/>
      <c r="W8575" s="4"/>
      <c r="X8575" s="17"/>
      <c r="Y8575" s="4"/>
      <c r="Z8575" s="17"/>
      <c r="AA8575" s="17"/>
      <c r="AB8575" s="17"/>
      <c r="AC8575" s="14"/>
      <c r="AD8575" s="14"/>
      <c r="AE8575" s="17"/>
      <c r="AF8575" s="14"/>
      <c r="AG8575" s="54"/>
      <c r="AH8575" s="11"/>
      <c r="AI8575" s="14"/>
      <c r="AJ8575" s="19">
        <v>0</v>
      </c>
      <c r="AK8575" s="23">
        <v>0</v>
      </c>
      <c r="AL8575" s="11"/>
      <c r="AM8575" s="19">
        <v>0</v>
      </c>
      <c r="AN8575" s="19" t="e">
        <v>#N/A</v>
      </c>
      <c r="AO8575" s="14"/>
      <c r="AP8575" s="14" t="e">
        <v>#N/A</v>
      </c>
      <c r="AQ8575" s="12">
        <v>1E-4</v>
      </c>
      <c r="AS8575" s="26"/>
    </row>
    <row r="8576" spans="1:45" s="19" customFormat="1" x14ac:dyDescent="0.2">
      <c r="A8576" s="2"/>
      <c r="B8576" s="13">
        <v>1</v>
      </c>
      <c r="C8576" s="17" t="s">
        <v>65</v>
      </c>
      <c r="D8576" s="17">
        <v>2577</v>
      </c>
      <c r="E8576" s="17">
        <v>141</v>
      </c>
      <c r="F8576" s="17"/>
      <c r="G8576" s="13"/>
      <c r="H8576" s="17">
        <v>0</v>
      </c>
      <c r="I8576" s="17">
        <v>1</v>
      </c>
      <c r="J8576" s="17">
        <v>12</v>
      </c>
      <c r="K8576" s="10">
        <v>112</v>
      </c>
      <c r="L8576" s="17"/>
      <c r="M8576" s="15"/>
      <c r="N8576" s="18"/>
      <c r="O8576" s="14"/>
      <c r="P8576" s="17">
        <v>1</v>
      </c>
      <c r="Q8576" s="19">
        <v>112</v>
      </c>
      <c r="R8576" s="14" t="e">
        <v>#N/A</v>
      </c>
      <c r="S8576" s="19" t="e">
        <v>#N/A</v>
      </c>
      <c r="T8576" s="17"/>
      <c r="U8576" s="17"/>
      <c r="V8576" s="17"/>
      <c r="W8576" s="4"/>
      <c r="X8576" s="17"/>
      <c r="Y8576" s="4"/>
      <c r="Z8576" s="17"/>
      <c r="AA8576" s="17"/>
      <c r="AB8576" s="17"/>
      <c r="AC8576" s="14"/>
      <c r="AD8576" s="14"/>
      <c r="AE8576" s="17" t="s">
        <v>95</v>
      </c>
      <c r="AF8576" s="14"/>
      <c r="AG8576" s="54"/>
      <c r="AH8576" s="11"/>
      <c r="AI8576" s="14"/>
      <c r="AJ8576" s="19">
        <v>0</v>
      </c>
      <c r="AK8576" s="23">
        <v>0</v>
      </c>
      <c r="AL8576" s="11"/>
      <c r="AM8576" s="19">
        <v>0</v>
      </c>
      <c r="AN8576" s="19" t="e">
        <v>#N/A</v>
      </c>
      <c r="AO8576" s="14"/>
      <c r="AP8576" s="14" t="e">
        <v>#N/A</v>
      </c>
      <c r="AQ8576" s="12">
        <v>1E-4</v>
      </c>
      <c r="AS8576" s="26"/>
    </row>
    <row r="8577" spans="1:45" s="19" customFormat="1" x14ac:dyDescent="0.2">
      <c r="A8577" s="2"/>
      <c r="B8577" s="13">
        <v>1</v>
      </c>
      <c r="C8577" s="17" t="s">
        <v>97</v>
      </c>
      <c r="D8577" s="17">
        <v>207</v>
      </c>
      <c r="E8577" s="17"/>
      <c r="F8577" s="17"/>
      <c r="G8577" s="13">
        <v>1</v>
      </c>
      <c r="H8577" s="17">
        <v>2</v>
      </c>
      <c r="I8577" s="17">
        <v>1</v>
      </c>
      <c r="J8577" s="17">
        <v>0</v>
      </c>
      <c r="K8577" s="10">
        <v>900</v>
      </c>
      <c r="L8577" s="17"/>
      <c r="M8577" s="15"/>
      <c r="N8577" s="18"/>
      <c r="O8577" s="14"/>
      <c r="P8577" s="17">
        <v>1</v>
      </c>
      <c r="Q8577" s="19">
        <v>900</v>
      </c>
      <c r="R8577" s="14" t="e">
        <v>#N/A</v>
      </c>
      <c r="S8577" s="19" t="e">
        <v>#N/A</v>
      </c>
      <c r="T8577" s="17"/>
      <c r="U8577" s="17"/>
      <c r="V8577" s="17"/>
      <c r="W8577" s="4"/>
      <c r="X8577" s="17"/>
      <c r="Y8577" s="4"/>
      <c r="Z8577" s="17"/>
      <c r="AA8577" s="17"/>
      <c r="AB8577" s="17"/>
      <c r="AC8577" s="14"/>
      <c r="AD8577" s="14"/>
      <c r="AE8577" s="17"/>
      <c r="AF8577" s="14"/>
      <c r="AG8577" s="54"/>
      <c r="AH8577" s="11"/>
      <c r="AI8577" s="14"/>
      <c r="AJ8577" s="19">
        <v>0</v>
      </c>
      <c r="AK8577" s="23">
        <v>0</v>
      </c>
      <c r="AL8577" s="11"/>
      <c r="AM8577" s="19">
        <v>0</v>
      </c>
      <c r="AN8577" s="19" t="e">
        <v>#N/A</v>
      </c>
      <c r="AO8577" s="14"/>
      <c r="AP8577" s="14" t="e">
        <v>#N/A</v>
      </c>
      <c r="AQ8577" s="12">
        <v>1E-4</v>
      </c>
      <c r="AS8577" s="26"/>
    </row>
    <row r="8578" spans="1:45" s="19" customFormat="1" x14ac:dyDescent="0.2">
      <c r="A8578" s="2">
        <v>7046</v>
      </c>
      <c r="B8578" s="13">
        <v>1</v>
      </c>
      <c r="C8578" s="17" t="s">
        <v>65</v>
      </c>
      <c r="D8578" s="17">
        <v>1017</v>
      </c>
      <c r="E8578" s="17">
        <v>184</v>
      </c>
      <c r="F8578" s="17"/>
      <c r="G8578" s="13"/>
      <c r="H8578" s="17">
        <v>8</v>
      </c>
      <c r="I8578" s="17">
        <v>2</v>
      </c>
      <c r="J8578" s="17">
        <v>63</v>
      </c>
      <c r="K8578" s="10">
        <v>3463</v>
      </c>
      <c r="L8578" s="17"/>
      <c r="M8578" s="15"/>
      <c r="N8578" s="18"/>
      <c r="O8578" s="14"/>
      <c r="P8578" s="17"/>
      <c r="Q8578" s="19">
        <v>3463</v>
      </c>
      <c r="R8578" s="14">
        <v>200</v>
      </c>
      <c r="S8578" s="19">
        <v>692600</v>
      </c>
      <c r="T8578" s="17"/>
      <c r="U8578" s="17"/>
      <c r="V8578" s="17"/>
      <c r="W8578" s="4"/>
      <c r="X8578" s="17"/>
      <c r="Y8578" s="4"/>
      <c r="Z8578" s="17"/>
      <c r="AA8578" s="17"/>
      <c r="AB8578" s="17"/>
      <c r="AC8578" s="14"/>
      <c r="AD8578" s="14"/>
      <c r="AE8578" s="17" t="s">
        <v>94</v>
      </c>
      <c r="AF8578" s="14"/>
      <c r="AG8578" s="54"/>
      <c r="AH8578" s="11"/>
      <c r="AI8578" s="14"/>
      <c r="AJ8578" s="19">
        <v>0</v>
      </c>
      <c r="AK8578" s="23">
        <v>0</v>
      </c>
      <c r="AL8578" s="11"/>
      <c r="AM8578" s="19">
        <v>0</v>
      </c>
      <c r="AN8578" s="19">
        <v>692600</v>
      </c>
      <c r="AO8578" s="14"/>
      <c r="AP8578" s="14">
        <v>692600</v>
      </c>
      <c r="AQ8578" s="12">
        <v>1E-4</v>
      </c>
      <c r="AS8578" s="26"/>
    </row>
    <row r="8579" spans="1:45" s="19" customFormat="1" x14ac:dyDescent="0.2">
      <c r="A8579" s="2"/>
      <c r="B8579" s="13">
        <v>1</v>
      </c>
      <c r="C8579" s="17" t="s">
        <v>65</v>
      </c>
      <c r="D8579" s="17">
        <v>35</v>
      </c>
      <c r="E8579" s="17">
        <v>44</v>
      </c>
      <c r="F8579" s="17"/>
      <c r="G8579" s="13"/>
      <c r="H8579" s="17">
        <v>10</v>
      </c>
      <c r="I8579" s="17">
        <v>1</v>
      </c>
      <c r="J8579" s="17">
        <v>63</v>
      </c>
      <c r="K8579" s="10">
        <v>4163</v>
      </c>
      <c r="L8579" s="17"/>
      <c r="M8579" s="15"/>
      <c r="N8579" s="18"/>
      <c r="O8579" s="14"/>
      <c r="P8579" s="17"/>
      <c r="Q8579" s="19">
        <v>4163</v>
      </c>
      <c r="R8579" s="14" t="e">
        <v>#N/A</v>
      </c>
      <c r="S8579" s="19" t="e">
        <v>#N/A</v>
      </c>
      <c r="T8579" s="17"/>
      <c r="U8579" s="17"/>
      <c r="V8579" s="17"/>
      <c r="W8579" s="4"/>
      <c r="X8579" s="17"/>
      <c r="Y8579" s="4"/>
      <c r="Z8579" s="17"/>
      <c r="AA8579" s="17"/>
      <c r="AB8579" s="17"/>
      <c r="AC8579" s="14"/>
      <c r="AD8579" s="14"/>
      <c r="AE8579" s="17" t="s">
        <v>94</v>
      </c>
      <c r="AF8579" s="14"/>
      <c r="AG8579" s="54"/>
      <c r="AH8579" s="11"/>
      <c r="AI8579" s="14"/>
      <c r="AJ8579" s="19">
        <v>0</v>
      </c>
      <c r="AK8579" s="23">
        <v>0</v>
      </c>
      <c r="AL8579" s="11"/>
      <c r="AM8579" s="19">
        <v>0</v>
      </c>
      <c r="AN8579" s="19" t="e">
        <v>#N/A</v>
      </c>
      <c r="AO8579" s="14"/>
      <c r="AP8579" s="14" t="e">
        <v>#N/A</v>
      </c>
      <c r="AQ8579" s="12">
        <v>1E-4</v>
      </c>
      <c r="AS8579" s="26"/>
    </row>
    <row r="8580" spans="1:45" s="19" customFormat="1" x14ac:dyDescent="0.2">
      <c r="A8580" s="2">
        <v>7047</v>
      </c>
      <c r="B8580" s="13">
        <v>1</v>
      </c>
      <c r="C8580" s="17" t="s">
        <v>65</v>
      </c>
      <c r="D8580" s="17">
        <v>480</v>
      </c>
      <c r="E8580" s="17">
        <v>39</v>
      </c>
      <c r="F8580" s="17"/>
      <c r="G8580" s="13"/>
      <c r="H8580" s="17">
        <v>3</v>
      </c>
      <c r="I8580" s="17">
        <v>0</v>
      </c>
      <c r="J8580" s="17">
        <v>23</v>
      </c>
      <c r="K8580" s="10">
        <v>1223</v>
      </c>
      <c r="L8580" s="17"/>
      <c r="M8580" s="15"/>
      <c r="N8580" s="18"/>
      <c r="O8580" s="14"/>
      <c r="P8580" s="17">
        <v>1</v>
      </c>
      <c r="Q8580" s="19">
        <v>1223</v>
      </c>
      <c r="R8580" s="14">
        <v>160</v>
      </c>
      <c r="S8580" s="19">
        <v>195680</v>
      </c>
      <c r="T8580" s="17"/>
      <c r="U8580" s="17"/>
      <c r="V8580" s="17"/>
      <c r="W8580" s="4"/>
      <c r="X8580" s="17"/>
      <c r="Y8580" s="4"/>
      <c r="Z8580" s="17"/>
      <c r="AA8580" s="17"/>
      <c r="AB8580" s="17"/>
      <c r="AC8580" s="14"/>
      <c r="AD8580" s="14"/>
      <c r="AE8580" s="17"/>
      <c r="AF8580" s="14"/>
      <c r="AG8580" s="54"/>
      <c r="AH8580" s="11"/>
      <c r="AI8580" s="14"/>
      <c r="AJ8580" s="19">
        <v>0</v>
      </c>
      <c r="AK8580" s="23">
        <v>0</v>
      </c>
      <c r="AL8580" s="11"/>
      <c r="AM8580" s="19">
        <v>0</v>
      </c>
      <c r="AN8580" s="19">
        <v>195680</v>
      </c>
      <c r="AO8580" s="14"/>
      <c r="AP8580" s="14">
        <v>195680</v>
      </c>
      <c r="AQ8580" s="12">
        <v>1E-4</v>
      </c>
      <c r="AS8580" s="26"/>
    </row>
    <row r="8581" spans="1:45" s="19" customFormat="1" x14ac:dyDescent="0.2">
      <c r="A8581" s="2">
        <v>7048</v>
      </c>
      <c r="B8581" s="13">
        <v>1</v>
      </c>
      <c r="C8581" s="17" t="s">
        <v>65</v>
      </c>
      <c r="D8581" s="17">
        <v>2135</v>
      </c>
      <c r="E8581" s="17">
        <v>131</v>
      </c>
      <c r="F8581" s="17"/>
      <c r="G8581" s="13"/>
      <c r="H8581" s="17">
        <v>9</v>
      </c>
      <c r="I8581" s="17">
        <v>0</v>
      </c>
      <c r="J8581" s="17">
        <v>20</v>
      </c>
      <c r="K8581" s="10">
        <v>3620</v>
      </c>
      <c r="L8581" s="17"/>
      <c r="M8581" s="15"/>
      <c r="N8581" s="18"/>
      <c r="O8581" s="14"/>
      <c r="P8581" s="17">
        <v>1</v>
      </c>
      <c r="Q8581" s="19">
        <v>3620</v>
      </c>
      <c r="R8581" s="14">
        <v>160</v>
      </c>
      <c r="S8581" s="19">
        <v>579200</v>
      </c>
      <c r="T8581" s="17"/>
      <c r="U8581" s="17"/>
      <c r="V8581" s="17"/>
      <c r="W8581" s="4"/>
      <c r="X8581" s="17"/>
      <c r="Y8581" s="4"/>
      <c r="Z8581" s="17"/>
      <c r="AA8581" s="17"/>
      <c r="AB8581" s="17"/>
      <c r="AC8581" s="14"/>
      <c r="AD8581" s="14"/>
      <c r="AE8581" s="17"/>
      <c r="AF8581" s="14"/>
      <c r="AG8581" s="54"/>
      <c r="AH8581" s="11"/>
      <c r="AI8581" s="14"/>
      <c r="AJ8581" s="19">
        <v>0</v>
      </c>
      <c r="AK8581" s="23">
        <v>0</v>
      </c>
      <c r="AL8581" s="11"/>
      <c r="AM8581" s="19">
        <v>0</v>
      </c>
      <c r="AN8581" s="19">
        <v>579200</v>
      </c>
      <c r="AO8581" s="14"/>
      <c r="AP8581" s="14">
        <v>579200</v>
      </c>
      <c r="AQ8581" s="12">
        <v>1E-4</v>
      </c>
      <c r="AS8581" s="26"/>
    </row>
    <row r="8582" spans="1:45" s="19" customFormat="1" x14ac:dyDescent="0.2">
      <c r="A8582" s="2">
        <v>7049</v>
      </c>
      <c r="B8582" s="13">
        <v>1</v>
      </c>
      <c r="C8582" s="17" t="s">
        <v>65</v>
      </c>
      <c r="D8582" s="17">
        <v>1034</v>
      </c>
      <c r="E8582" s="17">
        <v>204</v>
      </c>
      <c r="F8582" s="17"/>
      <c r="G8582" s="13"/>
      <c r="H8582" s="17">
        <v>4</v>
      </c>
      <c r="I8582" s="17">
        <v>1</v>
      </c>
      <c r="J8582" s="17">
        <v>50</v>
      </c>
      <c r="K8582" s="10">
        <v>1750</v>
      </c>
      <c r="L8582" s="17"/>
      <c r="M8582" s="15"/>
      <c r="N8582" s="18"/>
      <c r="O8582" s="14"/>
      <c r="P8582" s="17">
        <v>1</v>
      </c>
      <c r="Q8582" s="19">
        <v>1750</v>
      </c>
      <c r="R8582" s="14">
        <v>200</v>
      </c>
      <c r="S8582" s="19">
        <v>350000</v>
      </c>
      <c r="T8582" s="17"/>
      <c r="U8582" s="17"/>
      <c r="V8582" s="17"/>
      <c r="W8582" s="4"/>
      <c r="X8582" s="17"/>
      <c r="Y8582" s="4"/>
      <c r="Z8582" s="17"/>
      <c r="AA8582" s="17"/>
      <c r="AB8582" s="17"/>
      <c r="AC8582" s="14"/>
      <c r="AD8582" s="14"/>
      <c r="AE8582" s="17"/>
      <c r="AF8582" s="14"/>
      <c r="AG8582" s="54"/>
      <c r="AH8582" s="11"/>
      <c r="AI8582" s="14"/>
      <c r="AJ8582" s="19">
        <v>0</v>
      </c>
      <c r="AK8582" s="23">
        <v>0</v>
      </c>
      <c r="AL8582" s="11"/>
      <c r="AM8582" s="19">
        <v>0</v>
      </c>
      <c r="AN8582" s="19">
        <v>350000</v>
      </c>
      <c r="AO8582" s="14"/>
      <c r="AP8582" s="14">
        <v>350000</v>
      </c>
      <c r="AQ8582" s="12">
        <v>1E-4</v>
      </c>
      <c r="AS8582" s="26"/>
    </row>
    <row r="8583" spans="1:45" s="19" customFormat="1" x14ac:dyDescent="0.2">
      <c r="A8583" s="2"/>
      <c r="B8583" s="13">
        <v>1</v>
      </c>
      <c r="C8583" s="17" t="s">
        <v>65</v>
      </c>
      <c r="D8583" s="17">
        <v>3707</v>
      </c>
      <c r="E8583" s="17">
        <v>278</v>
      </c>
      <c r="F8583" s="17"/>
      <c r="G8583" s="13"/>
      <c r="H8583" s="17">
        <v>3</v>
      </c>
      <c r="I8583" s="17">
        <v>2</v>
      </c>
      <c r="J8583" s="17">
        <v>64</v>
      </c>
      <c r="K8583" s="10">
        <v>1464</v>
      </c>
      <c r="L8583" s="17"/>
      <c r="M8583" s="15"/>
      <c r="N8583" s="18"/>
      <c r="O8583" s="14"/>
      <c r="P8583" s="17">
        <v>1</v>
      </c>
      <c r="Q8583" s="19">
        <v>1464</v>
      </c>
      <c r="R8583" s="14" t="e">
        <v>#N/A</v>
      </c>
      <c r="S8583" s="19" t="e">
        <v>#N/A</v>
      </c>
      <c r="T8583" s="17"/>
      <c r="U8583" s="17"/>
      <c r="V8583" s="17"/>
      <c r="W8583" s="4"/>
      <c r="X8583" s="17"/>
      <c r="Y8583" s="4"/>
      <c r="Z8583" s="17"/>
      <c r="AA8583" s="17"/>
      <c r="AB8583" s="17"/>
      <c r="AC8583" s="14"/>
      <c r="AD8583" s="14"/>
      <c r="AE8583" s="17" t="s">
        <v>94</v>
      </c>
      <c r="AF8583" s="14"/>
      <c r="AG8583" s="54"/>
      <c r="AH8583" s="11"/>
      <c r="AI8583" s="14"/>
      <c r="AJ8583" s="19">
        <v>0</v>
      </c>
      <c r="AK8583" s="23">
        <v>0</v>
      </c>
      <c r="AL8583" s="11"/>
      <c r="AM8583" s="19">
        <v>0</v>
      </c>
      <c r="AN8583" s="19" t="e">
        <v>#N/A</v>
      </c>
      <c r="AO8583" s="14"/>
      <c r="AP8583" s="14" t="e">
        <v>#N/A</v>
      </c>
      <c r="AQ8583" s="12">
        <v>1E-4</v>
      </c>
      <c r="AS8583" s="26"/>
    </row>
    <row r="8584" spans="1:45" s="19" customFormat="1" x14ac:dyDescent="0.2">
      <c r="A8584" s="2">
        <v>7050</v>
      </c>
      <c r="B8584" s="13">
        <v>1</v>
      </c>
      <c r="C8584" s="17" t="s">
        <v>65</v>
      </c>
      <c r="D8584" s="17">
        <v>1943</v>
      </c>
      <c r="E8584" s="17">
        <v>4</v>
      </c>
      <c r="F8584" s="17"/>
      <c r="G8584" s="13"/>
      <c r="H8584" s="17">
        <v>0</v>
      </c>
      <c r="I8584" s="17">
        <v>3</v>
      </c>
      <c r="J8584" s="17">
        <v>60</v>
      </c>
      <c r="K8584" s="10"/>
      <c r="L8584" s="17"/>
      <c r="M8584" s="15"/>
      <c r="N8584" s="18">
        <v>360</v>
      </c>
      <c r="O8584" s="14"/>
      <c r="P8584" s="17">
        <v>1</v>
      </c>
      <c r="Q8584" s="19">
        <v>360</v>
      </c>
      <c r="R8584" s="14">
        <v>160</v>
      </c>
      <c r="S8584" s="19">
        <v>57600</v>
      </c>
      <c r="T8584" s="17"/>
      <c r="U8584" s="17"/>
      <c r="V8584" s="17"/>
      <c r="W8584" s="4"/>
      <c r="X8584" s="17"/>
      <c r="Y8584" s="4"/>
      <c r="Z8584" s="17"/>
      <c r="AA8584" s="17"/>
      <c r="AB8584" s="17"/>
      <c r="AC8584" s="14"/>
      <c r="AD8584" s="14"/>
      <c r="AE8584" s="17"/>
      <c r="AF8584" s="14"/>
      <c r="AG8584" s="54"/>
      <c r="AH8584" s="11"/>
      <c r="AI8584" s="14"/>
      <c r="AJ8584" s="19">
        <v>0</v>
      </c>
      <c r="AK8584" s="23">
        <v>0</v>
      </c>
      <c r="AL8584" s="11"/>
      <c r="AM8584" s="19">
        <v>0</v>
      </c>
      <c r="AN8584" s="19">
        <v>57600</v>
      </c>
      <c r="AO8584" s="14"/>
      <c r="AP8584" s="14">
        <v>57600</v>
      </c>
      <c r="AQ8584" s="12">
        <v>1E-4</v>
      </c>
      <c r="AS8584" s="26"/>
    </row>
    <row r="8585" spans="1:45" s="19" customFormat="1" x14ac:dyDescent="0.2">
      <c r="A8585" s="2"/>
      <c r="B8585" s="13">
        <v>1</v>
      </c>
      <c r="C8585" s="17" t="s">
        <v>65</v>
      </c>
      <c r="D8585" s="17">
        <v>218</v>
      </c>
      <c r="E8585" s="17">
        <v>129</v>
      </c>
      <c r="F8585" s="17"/>
      <c r="G8585" s="13"/>
      <c r="H8585" s="17">
        <v>5</v>
      </c>
      <c r="I8585" s="17">
        <v>0</v>
      </c>
      <c r="J8585" s="17">
        <v>66</v>
      </c>
      <c r="K8585" s="10">
        <v>2066</v>
      </c>
      <c r="L8585" s="17"/>
      <c r="M8585" s="15"/>
      <c r="N8585" s="18"/>
      <c r="O8585" s="14"/>
      <c r="P8585" s="17">
        <v>1</v>
      </c>
      <c r="Q8585" s="19">
        <v>2066</v>
      </c>
      <c r="R8585" s="14" t="e">
        <v>#N/A</v>
      </c>
      <c r="S8585" s="19" t="e">
        <v>#N/A</v>
      </c>
      <c r="T8585" s="17"/>
      <c r="U8585" s="17"/>
      <c r="V8585" s="17"/>
      <c r="W8585" s="4"/>
      <c r="X8585" s="17"/>
      <c r="Y8585" s="4"/>
      <c r="Z8585" s="17"/>
      <c r="AA8585" s="17"/>
      <c r="AB8585" s="17"/>
      <c r="AC8585" s="14"/>
      <c r="AD8585" s="14"/>
      <c r="AE8585" s="17"/>
      <c r="AF8585" s="14"/>
      <c r="AG8585" s="54"/>
      <c r="AH8585" s="11"/>
      <c r="AI8585" s="14"/>
      <c r="AJ8585" s="19">
        <v>0</v>
      </c>
      <c r="AK8585" s="23">
        <v>0</v>
      </c>
      <c r="AL8585" s="11"/>
      <c r="AM8585" s="19">
        <v>0</v>
      </c>
      <c r="AN8585" s="19" t="e">
        <v>#N/A</v>
      </c>
      <c r="AO8585" s="14"/>
      <c r="AP8585" s="14" t="e">
        <v>#N/A</v>
      </c>
      <c r="AQ8585" s="12">
        <v>1E-4</v>
      </c>
      <c r="AS8585" s="26"/>
    </row>
    <row r="8586" spans="1:45" s="19" customFormat="1" x14ac:dyDescent="0.2">
      <c r="A8586" s="2">
        <v>7051</v>
      </c>
      <c r="B8586" s="13">
        <v>1</v>
      </c>
      <c r="C8586" s="17" t="s">
        <v>65</v>
      </c>
      <c r="D8586" s="17">
        <v>1646</v>
      </c>
      <c r="E8586" s="17">
        <v>129</v>
      </c>
      <c r="F8586" s="17"/>
      <c r="G8586" s="13"/>
      <c r="H8586" s="17">
        <v>6</v>
      </c>
      <c r="I8586" s="17">
        <v>3</v>
      </c>
      <c r="J8586" s="17">
        <v>66</v>
      </c>
      <c r="K8586" s="10">
        <v>2766</v>
      </c>
      <c r="L8586" s="17"/>
      <c r="M8586" s="15"/>
      <c r="N8586" s="18"/>
      <c r="O8586" s="14"/>
      <c r="P8586" s="17">
        <v>1</v>
      </c>
      <c r="Q8586" s="19">
        <v>2766</v>
      </c>
      <c r="R8586" s="14">
        <v>160</v>
      </c>
      <c r="S8586" s="19">
        <v>442560</v>
      </c>
      <c r="T8586" s="17"/>
      <c r="U8586" s="17"/>
      <c r="V8586" s="17"/>
      <c r="W8586" s="4"/>
      <c r="X8586" s="17"/>
      <c r="Y8586" s="4"/>
      <c r="Z8586" s="17"/>
      <c r="AA8586" s="17"/>
      <c r="AB8586" s="17"/>
      <c r="AC8586" s="14"/>
      <c r="AD8586" s="14"/>
      <c r="AE8586" s="17"/>
      <c r="AF8586" s="14"/>
      <c r="AG8586" s="54"/>
      <c r="AH8586" s="11"/>
      <c r="AI8586" s="14"/>
      <c r="AJ8586" s="19">
        <v>0</v>
      </c>
      <c r="AK8586" s="23">
        <v>0</v>
      </c>
      <c r="AL8586" s="11"/>
      <c r="AM8586" s="19">
        <v>0</v>
      </c>
      <c r="AN8586" s="19">
        <v>442560</v>
      </c>
      <c r="AO8586" s="14"/>
      <c r="AP8586" s="14">
        <v>442560</v>
      </c>
      <c r="AQ8586" s="12">
        <v>1E-4</v>
      </c>
      <c r="AS8586" s="26"/>
    </row>
    <row r="8587" spans="1:45" s="19" customFormat="1" ht="42" x14ac:dyDescent="0.2">
      <c r="A8587" s="2"/>
      <c r="B8587" s="13">
        <v>1</v>
      </c>
      <c r="C8587" s="17" t="s">
        <v>65</v>
      </c>
      <c r="D8587" s="17">
        <v>559</v>
      </c>
      <c r="E8587" s="17">
        <v>161</v>
      </c>
      <c r="F8587" s="17"/>
      <c r="G8587" s="13"/>
      <c r="H8587" s="17">
        <v>0</v>
      </c>
      <c r="I8587" s="17">
        <v>1</v>
      </c>
      <c r="J8587" s="17">
        <v>76</v>
      </c>
      <c r="K8587" s="10"/>
      <c r="L8587" s="17" t="s">
        <v>306</v>
      </c>
      <c r="M8587" s="15"/>
      <c r="N8587" s="18"/>
      <c r="O8587" s="14"/>
      <c r="P8587" s="17">
        <v>2</v>
      </c>
      <c r="Q8587" s="19">
        <v>176</v>
      </c>
      <c r="R8587" s="14" t="e">
        <v>#N/A</v>
      </c>
      <c r="S8587" s="19" t="e">
        <v>#N/A</v>
      </c>
      <c r="T8587" s="17">
        <v>1</v>
      </c>
      <c r="U8587" s="17"/>
      <c r="V8587" s="17" t="s">
        <v>183</v>
      </c>
      <c r="W8587" s="4">
        <v>130</v>
      </c>
      <c r="X8587" s="17"/>
      <c r="Y8587" s="4">
        <v>130</v>
      </c>
      <c r="Z8587" s="17"/>
      <c r="AA8587" s="17"/>
      <c r="AB8587" s="17">
        <v>36</v>
      </c>
      <c r="AC8587" s="14"/>
      <c r="AD8587" s="14"/>
      <c r="AE8587" s="17"/>
      <c r="AF8587" s="14"/>
      <c r="AG8587" s="54"/>
      <c r="AH8587" s="11"/>
      <c r="AI8587" s="14"/>
      <c r="AJ8587" s="19">
        <v>0</v>
      </c>
      <c r="AK8587" s="23">
        <v>36</v>
      </c>
      <c r="AL8587" s="11"/>
      <c r="AM8587" s="19">
        <v>0</v>
      </c>
      <c r="AN8587" s="19" t="e">
        <v>#N/A</v>
      </c>
      <c r="AO8587" s="14"/>
      <c r="AP8587" s="14" t="e">
        <v>#N/A</v>
      </c>
      <c r="AQ8587" s="12">
        <v>1E-4</v>
      </c>
      <c r="AS8587" s="26"/>
    </row>
    <row r="8588" spans="1:45" s="19" customFormat="1" x14ac:dyDescent="0.2">
      <c r="A8588" s="2"/>
      <c r="B8588" s="13">
        <v>1</v>
      </c>
      <c r="C8588" s="17" t="s">
        <v>65</v>
      </c>
      <c r="D8588" s="17">
        <v>3576</v>
      </c>
      <c r="E8588" s="17">
        <v>431</v>
      </c>
      <c r="F8588" s="17"/>
      <c r="G8588" s="13"/>
      <c r="H8588" s="17">
        <v>1</v>
      </c>
      <c r="I8588" s="17">
        <v>3</v>
      </c>
      <c r="J8588" s="17">
        <v>57</v>
      </c>
      <c r="K8588" s="10">
        <v>757</v>
      </c>
      <c r="L8588" s="17"/>
      <c r="M8588" s="15"/>
      <c r="N8588" s="18"/>
      <c r="O8588" s="14"/>
      <c r="P8588" s="17">
        <v>1</v>
      </c>
      <c r="Q8588" s="19">
        <v>757</v>
      </c>
      <c r="R8588" s="14" t="e">
        <v>#N/A</v>
      </c>
      <c r="S8588" s="19" t="e">
        <v>#N/A</v>
      </c>
      <c r="T8588" s="17"/>
      <c r="U8588" s="17"/>
      <c r="V8588" s="17"/>
      <c r="W8588" s="4"/>
      <c r="X8588" s="17"/>
      <c r="Y8588" s="4"/>
      <c r="Z8588" s="17"/>
      <c r="AA8588" s="17"/>
      <c r="AB8588" s="17"/>
      <c r="AC8588" s="14"/>
      <c r="AD8588" s="14"/>
      <c r="AE8588" s="17" t="s">
        <v>94</v>
      </c>
      <c r="AF8588" s="14"/>
      <c r="AG8588" s="54"/>
      <c r="AH8588" s="11"/>
      <c r="AI8588" s="14"/>
      <c r="AJ8588" s="19">
        <v>0</v>
      </c>
      <c r="AK8588" s="23">
        <v>0</v>
      </c>
      <c r="AL8588" s="11"/>
      <c r="AM8588" s="19">
        <v>0</v>
      </c>
      <c r="AN8588" s="19" t="e">
        <v>#N/A</v>
      </c>
      <c r="AO8588" s="14"/>
      <c r="AP8588" s="14" t="e">
        <v>#N/A</v>
      </c>
      <c r="AQ8588" s="12">
        <v>1E-4</v>
      </c>
      <c r="AS8588" s="26"/>
    </row>
    <row r="8589" spans="1:45" s="19" customFormat="1" x14ac:dyDescent="0.2">
      <c r="A8589" s="2">
        <v>7052</v>
      </c>
      <c r="B8589" s="13">
        <v>1</v>
      </c>
      <c r="C8589" s="17" t="s">
        <v>65</v>
      </c>
      <c r="D8589" s="17">
        <v>942</v>
      </c>
      <c r="E8589" s="17">
        <v>246</v>
      </c>
      <c r="F8589" s="17"/>
      <c r="G8589" s="13"/>
      <c r="H8589" s="17">
        <v>5</v>
      </c>
      <c r="I8589" s="17">
        <v>0</v>
      </c>
      <c r="J8589" s="17">
        <v>0</v>
      </c>
      <c r="K8589" s="10">
        <v>2000</v>
      </c>
      <c r="L8589" s="17"/>
      <c r="M8589" s="15"/>
      <c r="N8589" s="18"/>
      <c r="O8589" s="14"/>
      <c r="P8589" s="17">
        <v>1</v>
      </c>
      <c r="Q8589" s="19">
        <v>2000</v>
      </c>
      <c r="R8589" s="14">
        <v>250</v>
      </c>
      <c r="S8589" s="19">
        <v>500000</v>
      </c>
      <c r="T8589" s="17"/>
      <c r="U8589" s="17"/>
      <c r="V8589" s="17"/>
      <c r="W8589" s="4"/>
      <c r="X8589" s="17"/>
      <c r="Y8589" s="4"/>
      <c r="Z8589" s="17"/>
      <c r="AA8589" s="17"/>
      <c r="AB8589" s="17"/>
      <c r="AC8589" s="14"/>
      <c r="AD8589" s="14"/>
      <c r="AE8589" s="17"/>
      <c r="AF8589" s="14"/>
      <c r="AG8589" s="54"/>
      <c r="AH8589" s="11"/>
      <c r="AI8589" s="14"/>
      <c r="AJ8589" s="19">
        <v>0</v>
      </c>
      <c r="AK8589" s="23">
        <v>0</v>
      </c>
      <c r="AL8589" s="11"/>
      <c r="AM8589" s="19">
        <v>0</v>
      </c>
      <c r="AN8589" s="19">
        <v>500000</v>
      </c>
      <c r="AO8589" s="14"/>
      <c r="AP8589" s="14">
        <v>500000</v>
      </c>
      <c r="AQ8589" s="12">
        <v>1E-4</v>
      </c>
      <c r="AS8589" s="26"/>
    </row>
    <row r="8590" spans="1:45" s="19" customFormat="1" x14ac:dyDescent="0.2">
      <c r="A8590" s="2">
        <v>7053</v>
      </c>
      <c r="B8590" s="13">
        <v>1</v>
      </c>
      <c r="C8590" s="17" t="s">
        <v>65</v>
      </c>
      <c r="D8590" s="17">
        <v>488</v>
      </c>
      <c r="E8590" s="17">
        <v>49</v>
      </c>
      <c r="F8590" s="17"/>
      <c r="G8590" s="13"/>
      <c r="H8590" s="17">
        <v>2</v>
      </c>
      <c r="I8590" s="17">
        <v>0</v>
      </c>
      <c r="J8590" s="17">
        <v>63</v>
      </c>
      <c r="K8590" s="10">
        <v>863</v>
      </c>
      <c r="L8590" s="17"/>
      <c r="M8590" s="15"/>
      <c r="N8590" s="18"/>
      <c r="O8590" s="14"/>
      <c r="P8590" s="17">
        <v>1</v>
      </c>
      <c r="Q8590" s="19">
        <v>863</v>
      </c>
      <c r="R8590" s="14">
        <v>160</v>
      </c>
      <c r="S8590" s="19">
        <v>138080</v>
      </c>
      <c r="T8590" s="17"/>
      <c r="U8590" s="17"/>
      <c r="V8590" s="17"/>
      <c r="W8590" s="4"/>
      <c r="X8590" s="17"/>
      <c r="Y8590" s="4"/>
      <c r="Z8590" s="17"/>
      <c r="AA8590" s="17"/>
      <c r="AB8590" s="17"/>
      <c r="AC8590" s="14"/>
      <c r="AD8590" s="14"/>
      <c r="AE8590" s="17"/>
      <c r="AF8590" s="14"/>
      <c r="AG8590" s="54"/>
      <c r="AH8590" s="11"/>
      <c r="AI8590" s="14"/>
      <c r="AJ8590" s="19">
        <v>0</v>
      </c>
      <c r="AK8590" s="23">
        <v>0</v>
      </c>
      <c r="AL8590" s="11"/>
      <c r="AM8590" s="19">
        <v>0</v>
      </c>
      <c r="AN8590" s="19">
        <v>138080</v>
      </c>
      <c r="AO8590" s="14"/>
      <c r="AP8590" s="14">
        <v>138080</v>
      </c>
      <c r="AQ8590" s="12">
        <v>1E-4</v>
      </c>
      <c r="AS8590" s="26"/>
    </row>
    <row r="8591" spans="1:45" s="19" customFormat="1" x14ac:dyDescent="0.2">
      <c r="A8591" s="2"/>
      <c r="B8591" s="13">
        <v>2</v>
      </c>
      <c r="C8591" s="17" t="s">
        <v>65</v>
      </c>
      <c r="D8591" s="17">
        <v>491</v>
      </c>
      <c r="E8591" s="17">
        <v>54</v>
      </c>
      <c r="F8591" s="17"/>
      <c r="G8591" s="13"/>
      <c r="H8591" s="17">
        <v>1</v>
      </c>
      <c r="I8591" s="17">
        <v>0</v>
      </c>
      <c r="J8591" s="17">
        <v>1</v>
      </c>
      <c r="K8591" s="10">
        <v>401</v>
      </c>
      <c r="L8591" s="17"/>
      <c r="M8591" s="15"/>
      <c r="N8591" s="18"/>
      <c r="O8591" s="14"/>
      <c r="P8591" s="17">
        <v>1</v>
      </c>
      <c r="Q8591" s="19">
        <v>401</v>
      </c>
      <c r="R8591" s="14" t="e">
        <v>#N/A</v>
      </c>
      <c r="S8591" s="19" t="e">
        <v>#N/A</v>
      </c>
      <c r="T8591" s="17"/>
      <c r="U8591" s="17"/>
      <c r="V8591" s="17"/>
      <c r="W8591" s="4"/>
      <c r="X8591" s="17"/>
      <c r="Y8591" s="4"/>
      <c r="Z8591" s="17"/>
      <c r="AA8591" s="17"/>
      <c r="AB8591" s="17"/>
      <c r="AC8591" s="14"/>
      <c r="AD8591" s="14"/>
      <c r="AE8591" s="17" t="s">
        <v>94</v>
      </c>
      <c r="AF8591" s="14"/>
      <c r="AG8591" s="54"/>
      <c r="AH8591" s="11"/>
      <c r="AI8591" s="14"/>
      <c r="AJ8591" s="19">
        <v>0</v>
      </c>
      <c r="AK8591" s="23">
        <v>0</v>
      </c>
      <c r="AL8591" s="11"/>
      <c r="AM8591" s="19">
        <v>0</v>
      </c>
      <c r="AN8591" s="19" t="e">
        <v>#N/A</v>
      </c>
      <c r="AO8591" s="14"/>
      <c r="AP8591" s="14" t="e">
        <v>#N/A</v>
      </c>
      <c r="AQ8591" s="12">
        <v>1E-4</v>
      </c>
      <c r="AS8591" s="26"/>
    </row>
    <row r="8592" spans="1:45" s="19" customFormat="1" x14ac:dyDescent="0.2">
      <c r="A8592" s="2">
        <v>7054</v>
      </c>
      <c r="B8592" s="13">
        <v>3</v>
      </c>
      <c r="C8592" s="17" t="s">
        <v>65</v>
      </c>
      <c r="D8592" s="17">
        <v>2596</v>
      </c>
      <c r="E8592" s="17">
        <v>312</v>
      </c>
      <c r="F8592" s="17"/>
      <c r="G8592" s="13"/>
      <c r="H8592" s="17">
        <v>0</v>
      </c>
      <c r="I8592" s="17">
        <v>0</v>
      </c>
      <c r="J8592" s="17">
        <v>92</v>
      </c>
      <c r="K8592" s="10">
        <v>92</v>
      </c>
      <c r="L8592" s="17"/>
      <c r="M8592" s="15"/>
      <c r="N8592" s="18"/>
      <c r="O8592" s="14"/>
      <c r="P8592" s="17">
        <v>1</v>
      </c>
      <c r="Q8592" s="19">
        <v>92</v>
      </c>
      <c r="R8592" s="14">
        <v>200</v>
      </c>
      <c r="S8592" s="19">
        <v>18400</v>
      </c>
      <c r="T8592" s="17"/>
      <c r="U8592" s="17"/>
      <c r="V8592" s="17"/>
      <c r="W8592" s="4"/>
      <c r="X8592" s="17"/>
      <c r="Y8592" s="4"/>
      <c r="Z8592" s="17"/>
      <c r="AA8592" s="17"/>
      <c r="AB8592" s="17"/>
      <c r="AC8592" s="14"/>
      <c r="AD8592" s="14"/>
      <c r="AE8592" s="17" t="s">
        <v>95</v>
      </c>
      <c r="AF8592" s="14"/>
      <c r="AG8592" s="54"/>
      <c r="AH8592" s="11"/>
      <c r="AI8592" s="14"/>
      <c r="AJ8592" s="19">
        <v>0</v>
      </c>
      <c r="AK8592" s="23">
        <v>0</v>
      </c>
      <c r="AL8592" s="11"/>
      <c r="AM8592" s="19">
        <v>0</v>
      </c>
      <c r="AN8592" s="19">
        <v>18400</v>
      </c>
      <c r="AO8592" s="14"/>
      <c r="AP8592" s="14">
        <v>18400</v>
      </c>
      <c r="AQ8592" s="12">
        <v>1E-4</v>
      </c>
      <c r="AS8592" s="26"/>
    </row>
    <row r="8593" spans="1:45" s="19" customFormat="1" x14ac:dyDescent="0.2">
      <c r="A8593" s="2"/>
      <c r="B8593" s="13">
        <v>1</v>
      </c>
      <c r="C8593" s="17" t="s">
        <v>97</v>
      </c>
      <c r="D8593" s="17">
        <v>43</v>
      </c>
      <c r="E8593" s="17"/>
      <c r="F8593" s="17"/>
      <c r="G8593" s="13">
        <v>4</v>
      </c>
      <c r="H8593" s="17">
        <v>6</v>
      </c>
      <c r="I8593" s="17">
        <v>2</v>
      </c>
      <c r="J8593" s="17">
        <v>25</v>
      </c>
      <c r="K8593" s="10">
        <v>2625</v>
      </c>
      <c r="L8593" s="17"/>
      <c r="M8593" s="15"/>
      <c r="N8593" s="18"/>
      <c r="O8593" s="14"/>
      <c r="P8593" s="17">
        <v>1</v>
      </c>
      <c r="Q8593" s="19">
        <v>2625</v>
      </c>
      <c r="R8593" s="14" t="e">
        <v>#N/A</v>
      </c>
      <c r="S8593" s="19" t="e">
        <v>#N/A</v>
      </c>
      <c r="T8593" s="17"/>
      <c r="U8593" s="17"/>
      <c r="V8593" s="17"/>
      <c r="W8593" s="4"/>
      <c r="X8593" s="17"/>
      <c r="Y8593" s="4"/>
      <c r="Z8593" s="17"/>
      <c r="AA8593" s="17"/>
      <c r="AB8593" s="17"/>
      <c r="AC8593" s="14"/>
      <c r="AD8593" s="14"/>
      <c r="AE8593" s="17" t="s">
        <v>856</v>
      </c>
      <c r="AF8593" s="14"/>
      <c r="AG8593" s="54"/>
      <c r="AH8593" s="11"/>
      <c r="AI8593" s="14"/>
      <c r="AJ8593" s="19">
        <v>0</v>
      </c>
      <c r="AK8593" s="23">
        <v>0</v>
      </c>
      <c r="AL8593" s="11"/>
      <c r="AM8593" s="19">
        <v>0</v>
      </c>
      <c r="AN8593" s="19" t="e">
        <v>#N/A</v>
      </c>
      <c r="AO8593" s="14"/>
      <c r="AP8593" s="14" t="e">
        <v>#N/A</v>
      </c>
      <c r="AQ8593" s="12">
        <v>1E-4</v>
      </c>
      <c r="AS8593" s="26"/>
    </row>
    <row r="8594" spans="1:45" s="19" customFormat="1" x14ac:dyDescent="0.2">
      <c r="A8594" s="2">
        <v>7055</v>
      </c>
      <c r="B8594" s="13">
        <v>1</v>
      </c>
      <c r="C8594" s="17" t="s">
        <v>65</v>
      </c>
      <c r="D8594" s="17">
        <v>1932</v>
      </c>
      <c r="E8594" s="17">
        <v>111</v>
      </c>
      <c r="F8594" s="17"/>
      <c r="G8594" s="13"/>
      <c r="H8594" s="17">
        <v>6</v>
      </c>
      <c r="I8594" s="17">
        <v>1</v>
      </c>
      <c r="J8594" s="17">
        <v>90</v>
      </c>
      <c r="K8594" s="10">
        <v>2590</v>
      </c>
      <c r="L8594" s="17"/>
      <c r="M8594" s="15"/>
      <c r="N8594" s="18"/>
      <c r="O8594" s="14"/>
      <c r="P8594" s="17">
        <v>1</v>
      </c>
      <c r="Q8594" s="19">
        <v>2590</v>
      </c>
      <c r="R8594" s="14">
        <v>200</v>
      </c>
      <c r="S8594" s="19">
        <v>518000</v>
      </c>
      <c r="T8594" s="17"/>
      <c r="U8594" s="17"/>
      <c r="V8594" s="17"/>
      <c r="W8594" s="4"/>
      <c r="X8594" s="17"/>
      <c r="Y8594" s="4"/>
      <c r="Z8594" s="17"/>
      <c r="AA8594" s="17"/>
      <c r="AB8594" s="17"/>
      <c r="AC8594" s="14"/>
      <c r="AD8594" s="14"/>
      <c r="AE8594" s="17"/>
      <c r="AF8594" s="14"/>
      <c r="AG8594" s="54"/>
      <c r="AH8594" s="11"/>
      <c r="AI8594" s="14"/>
      <c r="AJ8594" s="19">
        <v>0</v>
      </c>
      <c r="AK8594" s="23">
        <v>0</v>
      </c>
      <c r="AL8594" s="11"/>
      <c r="AM8594" s="19">
        <v>0</v>
      </c>
      <c r="AN8594" s="19">
        <v>518000</v>
      </c>
      <c r="AO8594" s="14"/>
      <c r="AP8594" s="14">
        <v>518000</v>
      </c>
      <c r="AQ8594" s="12">
        <v>1E-4</v>
      </c>
      <c r="AS8594" s="26"/>
    </row>
    <row r="8595" spans="1:45" s="19" customFormat="1" x14ac:dyDescent="0.2">
      <c r="A8595" s="2">
        <v>7056</v>
      </c>
      <c r="B8595" s="13">
        <v>1</v>
      </c>
      <c r="C8595" s="17" t="s">
        <v>65</v>
      </c>
      <c r="D8595" s="17">
        <v>1384</v>
      </c>
      <c r="E8595" s="17">
        <v>244</v>
      </c>
      <c r="F8595" s="17"/>
      <c r="G8595" s="13"/>
      <c r="H8595" s="17">
        <v>11</v>
      </c>
      <c r="I8595" s="17">
        <v>0</v>
      </c>
      <c r="J8595" s="17">
        <v>65</v>
      </c>
      <c r="K8595" s="10">
        <v>4465</v>
      </c>
      <c r="L8595" s="17"/>
      <c r="M8595" s="15"/>
      <c r="N8595" s="18"/>
      <c r="O8595" s="14"/>
      <c r="P8595" s="17">
        <v>1</v>
      </c>
      <c r="Q8595" s="19">
        <v>4465</v>
      </c>
      <c r="R8595" s="14">
        <v>160</v>
      </c>
      <c r="S8595" s="19">
        <v>714400</v>
      </c>
      <c r="T8595" s="17"/>
      <c r="U8595" s="17"/>
      <c r="V8595" s="17"/>
      <c r="W8595" s="4"/>
      <c r="X8595" s="17"/>
      <c r="Y8595" s="4"/>
      <c r="Z8595" s="17"/>
      <c r="AA8595" s="17"/>
      <c r="AB8595" s="17"/>
      <c r="AC8595" s="14"/>
      <c r="AD8595" s="14"/>
      <c r="AE8595" s="17"/>
      <c r="AF8595" s="14"/>
      <c r="AG8595" s="54"/>
      <c r="AH8595" s="11"/>
      <c r="AI8595" s="14"/>
      <c r="AJ8595" s="19">
        <v>0</v>
      </c>
      <c r="AK8595" s="23">
        <v>0</v>
      </c>
      <c r="AL8595" s="11"/>
      <c r="AM8595" s="19">
        <v>0</v>
      </c>
      <c r="AN8595" s="19">
        <v>714400</v>
      </c>
      <c r="AO8595" s="14"/>
      <c r="AP8595" s="14">
        <v>714400</v>
      </c>
      <c r="AQ8595" s="12">
        <v>1E-4</v>
      </c>
      <c r="AS8595" s="26"/>
    </row>
    <row r="8596" spans="1:45" s="19" customFormat="1" x14ac:dyDescent="0.2">
      <c r="A8596" s="2"/>
      <c r="B8596" s="13">
        <v>1</v>
      </c>
      <c r="C8596" s="17" t="s">
        <v>97</v>
      </c>
      <c r="D8596" s="17">
        <v>367</v>
      </c>
      <c r="E8596" s="17"/>
      <c r="F8596" s="17"/>
      <c r="G8596" s="13">
        <v>2</v>
      </c>
      <c r="H8596" s="17">
        <v>6</v>
      </c>
      <c r="I8596" s="17">
        <v>2</v>
      </c>
      <c r="J8596" s="17">
        <v>0</v>
      </c>
      <c r="K8596" s="10">
        <v>2600</v>
      </c>
      <c r="L8596" s="17"/>
      <c r="M8596" s="15"/>
      <c r="N8596" s="18"/>
      <c r="O8596" s="14"/>
      <c r="P8596" s="17">
        <v>1</v>
      </c>
      <c r="Q8596" s="19">
        <v>2600</v>
      </c>
      <c r="R8596" s="14" t="e">
        <v>#N/A</v>
      </c>
      <c r="S8596" s="19" t="e">
        <v>#N/A</v>
      </c>
      <c r="T8596" s="17"/>
      <c r="U8596" s="17"/>
      <c r="V8596" s="17"/>
      <c r="W8596" s="4"/>
      <c r="X8596" s="17"/>
      <c r="Y8596" s="4"/>
      <c r="Z8596" s="17"/>
      <c r="AA8596" s="17"/>
      <c r="AB8596" s="17"/>
      <c r="AC8596" s="14"/>
      <c r="AD8596" s="14"/>
      <c r="AE8596" s="17"/>
      <c r="AF8596" s="14"/>
      <c r="AG8596" s="54"/>
      <c r="AH8596" s="11"/>
      <c r="AI8596" s="14"/>
      <c r="AJ8596" s="19">
        <v>0</v>
      </c>
      <c r="AK8596" s="23">
        <v>0</v>
      </c>
      <c r="AL8596" s="11"/>
      <c r="AM8596" s="19">
        <v>0</v>
      </c>
      <c r="AN8596" s="19" t="e">
        <v>#N/A</v>
      </c>
      <c r="AO8596" s="14"/>
      <c r="AP8596" s="14" t="e">
        <v>#N/A</v>
      </c>
      <c r="AQ8596" s="12">
        <v>1E-4</v>
      </c>
      <c r="AS8596" s="26"/>
    </row>
    <row r="8597" spans="1:45" s="19" customFormat="1" x14ac:dyDescent="0.2">
      <c r="A8597" s="2"/>
      <c r="B8597" s="13">
        <v>1</v>
      </c>
      <c r="C8597" s="17" t="s">
        <v>97</v>
      </c>
      <c r="D8597" s="17">
        <v>4</v>
      </c>
      <c r="E8597" s="17"/>
      <c r="F8597" s="17"/>
      <c r="G8597" s="13">
        <v>3</v>
      </c>
      <c r="H8597" s="17">
        <v>0</v>
      </c>
      <c r="I8597" s="17">
        <v>2</v>
      </c>
      <c r="J8597" s="17">
        <v>10</v>
      </c>
      <c r="K8597" s="10">
        <v>210</v>
      </c>
      <c r="L8597" s="17"/>
      <c r="M8597" s="15"/>
      <c r="N8597" s="18"/>
      <c r="O8597" s="14"/>
      <c r="P8597" s="17">
        <v>1</v>
      </c>
      <c r="Q8597" s="19">
        <v>210</v>
      </c>
      <c r="R8597" s="14" t="e">
        <v>#N/A</v>
      </c>
      <c r="S8597" s="19" t="e">
        <v>#N/A</v>
      </c>
      <c r="T8597" s="17"/>
      <c r="U8597" s="17"/>
      <c r="V8597" s="17"/>
      <c r="W8597" s="4"/>
      <c r="X8597" s="17"/>
      <c r="Y8597" s="4"/>
      <c r="Z8597" s="17"/>
      <c r="AA8597" s="17"/>
      <c r="AB8597" s="17"/>
      <c r="AC8597" s="14"/>
      <c r="AD8597" s="14"/>
      <c r="AE8597" s="17"/>
      <c r="AF8597" s="14"/>
      <c r="AG8597" s="54"/>
      <c r="AH8597" s="11"/>
      <c r="AI8597" s="14"/>
      <c r="AJ8597" s="19">
        <v>0</v>
      </c>
      <c r="AK8597" s="23">
        <v>0</v>
      </c>
      <c r="AL8597" s="11"/>
      <c r="AM8597" s="19">
        <v>0</v>
      </c>
      <c r="AN8597" s="19" t="e">
        <v>#N/A</v>
      </c>
      <c r="AO8597" s="14"/>
      <c r="AP8597" s="14" t="e">
        <v>#N/A</v>
      </c>
      <c r="AQ8597" s="12">
        <v>1E-4</v>
      </c>
      <c r="AS8597" s="26"/>
    </row>
    <row r="8598" spans="1:45" s="19" customFormat="1" x14ac:dyDescent="0.2">
      <c r="A8598" s="2"/>
      <c r="B8598" s="13">
        <v>1</v>
      </c>
      <c r="C8598" s="17" t="s">
        <v>52</v>
      </c>
      <c r="D8598" s="17">
        <v>40505</v>
      </c>
      <c r="E8598" s="17">
        <v>21</v>
      </c>
      <c r="F8598" s="17">
        <v>8004</v>
      </c>
      <c r="G8598" s="13"/>
      <c r="H8598" s="17">
        <v>0</v>
      </c>
      <c r="I8598" s="17">
        <v>1</v>
      </c>
      <c r="J8598" s="17">
        <v>46.2</v>
      </c>
      <c r="K8598" s="10" t="s">
        <v>857</v>
      </c>
      <c r="L8598" s="17"/>
      <c r="M8598" s="15"/>
      <c r="N8598" s="18"/>
      <c r="O8598" s="14"/>
      <c r="P8598" s="17">
        <v>1</v>
      </c>
      <c r="Q8598" s="19">
        <v>146.19999999999999</v>
      </c>
      <c r="R8598" s="14" t="e">
        <v>#N/A</v>
      </c>
      <c r="T8598" s="17"/>
      <c r="U8598" s="17"/>
      <c r="V8598" s="17"/>
      <c r="W8598" s="4"/>
      <c r="X8598" s="17"/>
      <c r="Y8598" s="4"/>
      <c r="Z8598" s="17"/>
      <c r="AA8598" s="17"/>
      <c r="AB8598" s="17"/>
      <c r="AC8598" s="14"/>
      <c r="AD8598" s="14"/>
      <c r="AE8598" s="17"/>
      <c r="AF8598" s="14"/>
      <c r="AG8598" s="54"/>
      <c r="AH8598" s="11"/>
      <c r="AI8598" s="14"/>
      <c r="AK8598" s="23"/>
      <c r="AL8598" s="11"/>
      <c r="AO8598" s="14"/>
      <c r="AP8598" s="14"/>
      <c r="AQ8598" s="12"/>
      <c r="AS8598" s="26"/>
    </row>
    <row r="8599" spans="1:45" s="19" customFormat="1" x14ac:dyDescent="0.2">
      <c r="A8599" s="2"/>
      <c r="B8599" s="13">
        <v>1</v>
      </c>
      <c r="C8599" s="17" t="s">
        <v>52</v>
      </c>
      <c r="D8599" s="17">
        <v>40510</v>
      </c>
      <c r="E8599" s="17">
        <v>26</v>
      </c>
      <c r="F8599" s="17">
        <v>8009</v>
      </c>
      <c r="G8599" s="13"/>
      <c r="H8599" s="17">
        <v>0</v>
      </c>
      <c r="I8599" s="17">
        <v>1</v>
      </c>
      <c r="J8599" s="17">
        <v>2.6</v>
      </c>
      <c r="K8599" s="10" t="s">
        <v>858</v>
      </c>
      <c r="L8599" s="17"/>
      <c r="M8599" s="15"/>
      <c r="N8599" s="18"/>
      <c r="O8599" s="14"/>
      <c r="P8599" s="17">
        <v>1</v>
      </c>
      <c r="Q8599" s="19">
        <v>102.6</v>
      </c>
      <c r="R8599" s="14" t="e">
        <v>#N/A</v>
      </c>
      <c r="T8599" s="17"/>
      <c r="U8599" s="17"/>
      <c r="V8599" s="17"/>
      <c r="W8599" s="4"/>
      <c r="X8599" s="17"/>
      <c r="Y8599" s="4"/>
      <c r="Z8599" s="17"/>
      <c r="AA8599" s="17"/>
      <c r="AB8599" s="17"/>
      <c r="AC8599" s="14"/>
      <c r="AD8599" s="14"/>
      <c r="AE8599" s="17"/>
      <c r="AF8599" s="14"/>
      <c r="AG8599" s="54"/>
      <c r="AH8599" s="11"/>
      <c r="AI8599" s="14"/>
      <c r="AK8599" s="23"/>
      <c r="AL8599" s="11"/>
      <c r="AO8599" s="14"/>
      <c r="AP8599" s="14"/>
      <c r="AQ8599" s="12"/>
      <c r="AS8599" s="26"/>
    </row>
    <row r="8600" spans="1:45" s="19" customFormat="1" x14ac:dyDescent="0.2">
      <c r="A8600" s="2"/>
      <c r="B8600" s="13">
        <v>1</v>
      </c>
      <c r="C8600" s="17" t="s">
        <v>52</v>
      </c>
      <c r="D8600" s="17">
        <v>40509</v>
      </c>
      <c r="E8600" s="17">
        <v>25</v>
      </c>
      <c r="F8600" s="17">
        <v>8008</v>
      </c>
      <c r="G8600" s="13"/>
      <c r="H8600" s="17">
        <v>0</v>
      </c>
      <c r="I8600" s="17">
        <v>0</v>
      </c>
      <c r="J8600" s="17">
        <v>90.6</v>
      </c>
      <c r="K8600" s="10" t="s">
        <v>859</v>
      </c>
      <c r="L8600" s="17"/>
      <c r="M8600" s="15"/>
      <c r="N8600" s="18"/>
      <c r="O8600" s="14"/>
      <c r="P8600" s="17">
        <v>1</v>
      </c>
      <c r="Q8600" s="19">
        <v>90.6</v>
      </c>
      <c r="R8600" s="14" t="e">
        <v>#N/A</v>
      </c>
      <c r="T8600" s="17"/>
      <c r="U8600" s="17"/>
      <c r="V8600" s="17"/>
      <c r="W8600" s="4"/>
      <c r="X8600" s="17"/>
      <c r="Y8600" s="4"/>
      <c r="Z8600" s="17"/>
      <c r="AA8600" s="17"/>
      <c r="AB8600" s="17"/>
      <c r="AC8600" s="14"/>
      <c r="AD8600" s="14"/>
      <c r="AE8600" s="17"/>
      <c r="AF8600" s="14"/>
      <c r="AG8600" s="54"/>
      <c r="AH8600" s="11"/>
      <c r="AI8600" s="14"/>
      <c r="AK8600" s="23"/>
      <c r="AL8600" s="11"/>
      <c r="AO8600" s="14"/>
      <c r="AP8600" s="14"/>
      <c r="AQ8600" s="12"/>
      <c r="AS8600" s="26"/>
    </row>
    <row r="8601" spans="1:45" s="19" customFormat="1" x14ac:dyDescent="0.2">
      <c r="A8601" s="2"/>
      <c r="B8601" s="13">
        <v>1</v>
      </c>
      <c r="C8601" s="17" t="s">
        <v>52</v>
      </c>
      <c r="D8601" s="17">
        <v>40508</v>
      </c>
      <c r="E8601" s="17">
        <v>24</v>
      </c>
      <c r="F8601" s="17">
        <v>8007</v>
      </c>
      <c r="G8601" s="13"/>
      <c r="H8601" s="17">
        <v>0</v>
      </c>
      <c r="I8601" s="17">
        <v>1</v>
      </c>
      <c r="J8601" s="17">
        <v>5.6</v>
      </c>
      <c r="K8601" s="10" t="s">
        <v>860</v>
      </c>
      <c r="L8601" s="17"/>
      <c r="M8601" s="15"/>
      <c r="N8601" s="18"/>
      <c r="O8601" s="14"/>
      <c r="P8601" s="17">
        <v>1</v>
      </c>
      <c r="Q8601" s="19">
        <v>105.6</v>
      </c>
      <c r="R8601" s="14" t="e">
        <v>#N/A</v>
      </c>
      <c r="T8601" s="17"/>
      <c r="U8601" s="17"/>
      <c r="V8601" s="17"/>
      <c r="W8601" s="4"/>
      <c r="X8601" s="17"/>
      <c r="Y8601" s="4"/>
      <c r="Z8601" s="17"/>
      <c r="AA8601" s="17"/>
      <c r="AB8601" s="17"/>
      <c r="AC8601" s="14"/>
      <c r="AD8601" s="14"/>
      <c r="AE8601" s="17"/>
      <c r="AF8601" s="14"/>
      <c r="AG8601" s="54"/>
      <c r="AH8601" s="11"/>
      <c r="AI8601" s="14"/>
      <c r="AK8601" s="23"/>
      <c r="AL8601" s="11"/>
      <c r="AO8601" s="14"/>
      <c r="AP8601" s="14"/>
      <c r="AQ8601" s="12"/>
      <c r="AS8601" s="26"/>
    </row>
    <row r="8602" spans="1:45" s="19" customFormat="1" x14ac:dyDescent="0.2">
      <c r="A8602" s="2"/>
      <c r="B8602" s="13">
        <v>1</v>
      </c>
      <c r="C8602" s="17" t="s">
        <v>52</v>
      </c>
      <c r="D8602" s="17">
        <v>40507</v>
      </c>
      <c r="E8602" s="17">
        <v>23</v>
      </c>
      <c r="F8602" s="17">
        <v>8006</v>
      </c>
      <c r="G8602" s="13"/>
      <c r="H8602" s="17">
        <v>0</v>
      </c>
      <c r="I8602" s="17">
        <v>0</v>
      </c>
      <c r="J8602" s="17">
        <v>99.4</v>
      </c>
      <c r="K8602" s="10" t="s">
        <v>861</v>
      </c>
      <c r="L8602" s="17"/>
      <c r="M8602" s="15"/>
      <c r="N8602" s="18"/>
      <c r="O8602" s="14"/>
      <c r="P8602" s="17">
        <v>1</v>
      </c>
      <c r="Q8602" s="19">
        <v>99.4</v>
      </c>
      <c r="R8602" s="14" t="e">
        <v>#N/A</v>
      </c>
      <c r="T8602" s="17"/>
      <c r="U8602" s="17"/>
      <c r="V8602" s="17"/>
      <c r="W8602" s="4"/>
      <c r="X8602" s="17"/>
      <c r="Y8602" s="4"/>
      <c r="Z8602" s="17"/>
      <c r="AA8602" s="17"/>
      <c r="AB8602" s="17"/>
      <c r="AC8602" s="14"/>
      <c r="AD8602" s="14"/>
      <c r="AE8602" s="17"/>
      <c r="AF8602" s="14"/>
      <c r="AG8602" s="54"/>
      <c r="AH8602" s="11"/>
      <c r="AI8602" s="14"/>
      <c r="AK8602" s="23"/>
      <c r="AL8602" s="11"/>
      <c r="AO8602" s="14"/>
      <c r="AP8602" s="14"/>
      <c r="AQ8602" s="12"/>
      <c r="AS8602" s="26"/>
    </row>
    <row r="8603" spans="1:45" s="19" customFormat="1" x14ac:dyDescent="0.2">
      <c r="A8603" s="2"/>
      <c r="B8603" s="13">
        <v>1</v>
      </c>
      <c r="C8603" s="17" t="s">
        <v>52</v>
      </c>
      <c r="D8603" s="17">
        <v>40506</v>
      </c>
      <c r="E8603" s="17">
        <v>22</v>
      </c>
      <c r="F8603" s="17">
        <v>8005</v>
      </c>
      <c r="G8603" s="13"/>
      <c r="H8603" s="17">
        <v>0</v>
      </c>
      <c r="I8603" s="17">
        <v>1</v>
      </c>
      <c r="J8603" s="17">
        <v>0.4</v>
      </c>
      <c r="K8603" s="10" t="s">
        <v>862</v>
      </c>
      <c r="L8603" s="17"/>
      <c r="M8603" s="15"/>
      <c r="N8603" s="18"/>
      <c r="O8603" s="14"/>
      <c r="P8603" s="17">
        <v>1</v>
      </c>
      <c r="Q8603" s="19">
        <v>100.4</v>
      </c>
      <c r="R8603" s="14" t="e">
        <v>#N/A</v>
      </c>
      <c r="T8603" s="17"/>
      <c r="U8603" s="17"/>
      <c r="V8603" s="17"/>
      <c r="W8603" s="4"/>
      <c r="X8603" s="17"/>
      <c r="Y8603" s="4"/>
      <c r="Z8603" s="17"/>
      <c r="AA8603" s="17"/>
      <c r="AB8603" s="17"/>
      <c r="AC8603" s="14"/>
      <c r="AD8603" s="14"/>
      <c r="AE8603" s="17"/>
      <c r="AF8603" s="14"/>
      <c r="AG8603" s="54"/>
      <c r="AH8603" s="11"/>
      <c r="AI8603" s="14"/>
      <c r="AK8603" s="23"/>
      <c r="AL8603" s="11"/>
      <c r="AO8603" s="14"/>
      <c r="AP8603" s="14"/>
      <c r="AQ8603" s="12"/>
      <c r="AS8603" s="26"/>
    </row>
    <row r="8604" spans="1:45" s="19" customFormat="1" x14ac:dyDescent="0.2">
      <c r="A8604" s="2">
        <v>7057</v>
      </c>
      <c r="B8604" s="13">
        <v>1</v>
      </c>
      <c r="C8604" s="17" t="s">
        <v>52</v>
      </c>
      <c r="D8604" s="17">
        <v>1243</v>
      </c>
      <c r="E8604" s="17">
        <v>17</v>
      </c>
      <c r="F8604" s="17">
        <v>272</v>
      </c>
      <c r="G8604" s="13">
        <v>6</v>
      </c>
      <c r="H8604" s="17">
        <v>4</v>
      </c>
      <c r="I8604" s="17">
        <v>1</v>
      </c>
      <c r="J8604" s="17">
        <v>40</v>
      </c>
      <c r="K8604" s="10">
        <v>1740</v>
      </c>
      <c r="L8604" s="17"/>
      <c r="M8604" s="15"/>
      <c r="N8604" s="18"/>
      <c r="O8604" s="14"/>
      <c r="P8604" s="17">
        <v>1</v>
      </c>
      <c r="Q8604" s="19">
        <v>1740</v>
      </c>
      <c r="R8604" s="14">
        <v>160</v>
      </c>
      <c r="S8604" s="19">
        <v>278400</v>
      </c>
      <c r="T8604" s="17"/>
      <c r="U8604" s="17"/>
      <c r="V8604" s="17"/>
      <c r="W8604" s="4"/>
      <c r="X8604" s="17"/>
      <c r="Y8604" s="4"/>
      <c r="Z8604" s="17"/>
      <c r="AA8604" s="17"/>
      <c r="AB8604" s="17"/>
      <c r="AC8604" s="14"/>
      <c r="AD8604" s="14"/>
      <c r="AE8604" s="17" t="s">
        <v>308</v>
      </c>
      <c r="AF8604" s="14"/>
      <c r="AG8604" s="54"/>
      <c r="AH8604" s="11"/>
      <c r="AI8604" s="14"/>
      <c r="AJ8604" s="19">
        <v>0</v>
      </c>
      <c r="AK8604" s="23">
        <v>0</v>
      </c>
      <c r="AL8604" s="11"/>
      <c r="AM8604" s="19">
        <v>0</v>
      </c>
      <c r="AN8604" s="19">
        <v>278400</v>
      </c>
      <c r="AO8604" s="14"/>
      <c r="AP8604" s="14">
        <v>278400</v>
      </c>
      <c r="AQ8604" s="12"/>
      <c r="AS8604" s="26"/>
    </row>
    <row r="8605" spans="1:45" s="19" customFormat="1" x14ac:dyDescent="0.2">
      <c r="A8605" s="2">
        <v>7058</v>
      </c>
      <c r="B8605" s="13">
        <v>2</v>
      </c>
      <c r="C8605" s="17" t="s">
        <v>52</v>
      </c>
      <c r="D8605" s="17">
        <v>1658</v>
      </c>
      <c r="E8605" s="17">
        <v>12</v>
      </c>
      <c r="F8605" s="17">
        <v>271</v>
      </c>
      <c r="G8605" s="13">
        <v>6</v>
      </c>
      <c r="H8605" s="17">
        <v>2</v>
      </c>
      <c r="I8605" s="17">
        <v>0</v>
      </c>
      <c r="J8605" s="17">
        <v>36</v>
      </c>
      <c r="K8605" s="10">
        <v>836</v>
      </c>
      <c r="L8605" s="17"/>
      <c r="M8605" s="15"/>
      <c r="N8605" s="18"/>
      <c r="O8605" s="14"/>
      <c r="P8605" s="17">
        <v>1</v>
      </c>
      <c r="Q8605" s="19">
        <v>836</v>
      </c>
      <c r="R8605" s="14">
        <v>160</v>
      </c>
      <c r="S8605" s="19">
        <v>133760</v>
      </c>
      <c r="T8605" s="17"/>
      <c r="U8605" s="17"/>
      <c r="V8605" s="17"/>
      <c r="W8605" s="4"/>
      <c r="X8605" s="17"/>
      <c r="Y8605" s="4"/>
      <c r="Z8605" s="17"/>
      <c r="AA8605" s="17"/>
      <c r="AB8605" s="17"/>
      <c r="AC8605" s="14"/>
      <c r="AD8605" s="14"/>
      <c r="AE8605" s="17" t="s">
        <v>308</v>
      </c>
      <c r="AF8605" s="14"/>
      <c r="AG8605" s="54"/>
      <c r="AH8605" s="11"/>
      <c r="AI8605" s="14"/>
      <c r="AJ8605" s="19">
        <v>0</v>
      </c>
      <c r="AK8605" s="23">
        <v>0</v>
      </c>
      <c r="AL8605" s="11"/>
      <c r="AM8605" s="19">
        <v>0</v>
      </c>
      <c r="AN8605" s="19">
        <v>133760</v>
      </c>
      <c r="AO8605" s="14"/>
      <c r="AP8605" s="14">
        <v>133760</v>
      </c>
      <c r="AQ8605" s="12"/>
      <c r="AS8605" s="26"/>
    </row>
    <row r="8606" spans="1:45" s="19" customFormat="1" x14ac:dyDescent="0.2">
      <c r="A8606" s="2">
        <v>7059</v>
      </c>
      <c r="B8606" s="13">
        <v>1</v>
      </c>
      <c r="C8606" s="17" t="s">
        <v>52</v>
      </c>
      <c r="D8606" s="17">
        <v>1522</v>
      </c>
      <c r="E8606" s="17">
        <v>27</v>
      </c>
      <c r="F8606" s="17">
        <v>1122</v>
      </c>
      <c r="G8606" s="13"/>
      <c r="H8606" s="17">
        <v>2</v>
      </c>
      <c r="I8606" s="17">
        <v>2</v>
      </c>
      <c r="J8606" s="17">
        <v>85</v>
      </c>
      <c r="K8606" s="10">
        <v>1085</v>
      </c>
      <c r="L8606" s="17"/>
      <c r="M8606" s="15"/>
      <c r="N8606" s="18"/>
      <c r="O8606" s="14"/>
      <c r="P8606" s="17">
        <v>1</v>
      </c>
      <c r="Q8606" s="19">
        <v>1085</v>
      </c>
      <c r="R8606" s="14">
        <v>160</v>
      </c>
      <c r="S8606" s="19">
        <v>173600</v>
      </c>
      <c r="T8606" s="17"/>
      <c r="U8606" s="17"/>
      <c r="V8606" s="17"/>
      <c r="W8606" s="4"/>
      <c r="X8606" s="17"/>
      <c r="Y8606" s="4"/>
      <c r="Z8606" s="17"/>
      <c r="AA8606" s="17"/>
      <c r="AB8606" s="17"/>
      <c r="AC8606" s="14"/>
      <c r="AD8606" s="14"/>
      <c r="AE8606" s="17" t="s">
        <v>863</v>
      </c>
      <c r="AF8606" s="14"/>
      <c r="AG8606" s="54"/>
      <c r="AH8606" s="11"/>
      <c r="AI8606" s="14"/>
      <c r="AJ8606" s="19">
        <v>0</v>
      </c>
      <c r="AK8606" s="23">
        <v>0</v>
      </c>
      <c r="AL8606" s="11"/>
      <c r="AM8606" s="19">
        <v>0</v>
      </c>
      <c r="AN8606" s="19">
        <v>173600</v>
      </c>
      <c r="AO8606" s="14"/>
      <c r="AP8606" s="14">
        <v>173600</v>
      </c>
      <c r="AQ8606" s="12"/>
      <c r="AS8606" s="26"/>
    </row>
    <row r="8607" spans="1:45" s="19" customFormat="1" x14ac:dyDescent="0.2">
      <c r="A8607" s="2">
        <v>7060</v>
      </c>
      <c r="B8607" s="13">
        <v>2</v>
      </c>
      <c r="C8607" s="17" t="s">
        <v>52</v>
      </c>
      <c r="D8607" s="17">
        <v>1782</v>
      </c>
      <c r="E8607" s="17">
        <v>74</v>
      </c>
      <c r="F8607" s="17">
        <v>1136</v>
      </c>
      <c r="G8607" s="13">
        <v>3</v>
      </c>
      <c r="H8607" s="17">
        <v>1</v>
      </c>
      <c r="I8607" s="17">
        <v>1</v>
      </c>
      <c r="J8607" s="17">
        <v>98</v>
      </c>
      <c r="K8607" s="10">
        <v>598</v>
      </c>
      <c r="L8607" s="17"/>
      <c r="M8607" s="15"/>
      <c r="N8607" s="18"/>
      <c r="O8607" s="14"/>
      <c r="P8607" s="17">
        <v>1</v>
      </c>
      <c r="Q8607" s="19">
        <v>598</v>
      </c>
      <c r="R8607" s="14">
        <v>160</v>
      </c>
      <c r="S8607" s="19">
        <v>95680</v>
      </c>
      <c r="T8607" s="17"/>
      <c r="U8607" s="17"/>
      <c r="V8607" s="17"/>
      <c r="W8607" s="4"/>
      <c r="X8607" s="17"/>
      <c r="Y8607" s="4"/>
      <c r="Z8607" s="17"/>
      <c r="AA8607" s="17"/>
      <c r="AB8607" s="17"/>
      <c r="AC8607" s="14"/>
      <c r="AD8607" s="14"/>
      <c r="AE8607" s="17" t="s">
        <v>863</v>
      </c>
      <c r="AF8607" s="14"/>
      <c r="AG8607" s="54"/>
      <c r="AH8607" s="11"/>
      <c r="AI8607" s="14"/>
      <c r="AJ8607" s="19">
        <v>0</v>
      </c>
      <c r="AK8607" s="23">
        <v>0</v>
      </c>
      <c r="AL8607" s="11"/>
      <c r="AM8607" s="19">
        <v>0</v>
      </c>
      <c r="AN8607" s="19">
        <v>95680</v>
      </c>
      <c r="AO8607" s="14"/>
      <c r="AP8607" s="14">
        <v>95680</v>
      </c>
      <c r="AQ8607" s="12"/>
      <c r="AS8607" s="26"/>
    </row>
    <row r="8608" spans="1:45" s="19" customFormat="1" x14ac:dyDescent="0.2">
      <c r="A8608" s="2">
        <v>7061</v>
      </c>
      <c r="B8608" s="13">
        <v>3</v>
      </c>
      <c r="C8608" s="17" t="s">
        <v>52</v>
      </c>
      <c r="D8608" s="17">
        <v>2039</v>
      </c>
      <c r="E8608" s="17">
        <v>30</v>
      </c>
      <c r="F8608" s="17">
        <v>1124</v>
      </c>
      <c r="G8608" s="13"/>
      <c r="H8608" s="17">
        <v>3</v>
      </c>
      <c r="I8608" s="17">
        <v>0</v>
      </c>
      <c r="J8608" s="17">
        <v>89</v>
      </c>
      <c r="K8608" s="10">
        <v>1289</v>
      </c>
      <c r="L8608" s="17"/>
      <c r="M8608" s="15"/>
      <c r="N8608" s="18"/>
      <c r="O8608" s="14"/>
      <c r="P8608" s="17">
        <v>1</v>
      </c>
      <c r="Q8608" s="19">
        <v>1289</v>
      </c>
      <c r="R8608" s="14">
        <v>160</v>
      </c>
      <c r="S8608" s="19">
        <v>206240</v>
      </c>
      <c r="T8608" s="17"/>
      <c r="U8608" s="17"/>
      <c r="V8608" s="17"/>
      <c r="W8608" s="4"/>
      <c r="X8608" s="17"/>
      <c r="Y8608" s="4"/>
      <c r="Z8608" s="17"/>
      <c r="AA8608" s="17"/>
      <c r="AB8608" s="17"/>
      <c r="AC8608" s="14"/>
      <c r="AD8608" s="14"/>
      <c r="AE8608" s="17" t="s">
        <v>863</v>
      </c>
      <c r="AF8608" s="14"/>
      <c r="AG8608" s="54"/>
      <c r="AH8608" s="11"/>
      <c r="AI8608" s="14"/>
      <c r="AJ8608" s="19">
        <v>0</v>
      </c>
      <c r="AK8608" s="23">
        <v>0</v>
      </c>
      <c r="AL8608" s="11"/>
      <c r="AM8608" s="19">
        <v>0</v>
      </c>
      <c r="AN8608" s="19">
        <v>206240</v>
      </c>
      <c r="AO8608" s="14"/>
      <c r="AP8608" s="14">
        <v>206240</v>
      </c>
      <c r="AQ8608" s="12"/>
      <c r="AS8608" s="26"/>
    </row>
    <row r="8609" spans="1:45" x14ac:dyDescent="0.2">
      <c r="A8609" s="2">
        <v>7062</v>
      </c>
      <c r="B8609" s="13">
        <v>4</v>
      </c>
      <c r="C8609" s="17" t="s">
        <v>52</v>
      </c>
      <c r="D8609" s="17">
        <v>2088</v>
      </c>
      <c r="E8609" s="17">
        <v>73</v>
      </c>
      <c r="F8609" s="17">
        <v>1547</v>
      </c>
      <c r="G8609" s="13">
        <v>3</v>
      </c>
      <c r="H8609" s="17">
        <v>1</v>
      </c>
      <c r="I8609" s="17">
        <v>0</v>
      </c>
      <c r="J8609" s="17">
        <v>50</v>
      </c>
      <c r="P8609" s="17">
        <v>1</v>
      </c>
      <c r="Q8609" s="19">
        <v>450</v>
      </c>
      <c r="R8609" s="14">
        <v>2000</v>
      </c>
      <c r="S8609" s="19">
        <v>900000</v>
      </c>
      <c r="AE8609" s="17" t="s">
        <v>863</v>
      </c>
      <c r="AJ8609" s="19">
        <v>0</v>
      </c>
      <c r="AK8609" s="23">
        <v>0</v>
      </c>
      <c r="AM8609" s="19">
        <v>0</v>
      </c>
      <c r="AN8609" s="19">
        <v>900000</v>
      </c>
      <c r="AP8609" s="14">
        <v>900000</v>
      </c>
      <c r="AS8609" s="26">
        <v>28</v>
      </c>
    </row>
    <row r="8610" spans="1:45" x14ac:dyDescent="0.2">
      <c r="A8610" s="2">
        <v>7063</v>
      </c>
      <c r="B8610" s="13">
        <v>1</v>
      </c>
      <c r="C8610" s="17" t="s">
        <v>52</v>
      </c>
      <c r="D8610" s="17">
        <v>1530</v>
      </c>
      <c r="E8610" s="17">
        <v>83</v>
      </c>
      <c r="F8610" s="17">
        <v>445</v>
      </c>
      <c r="G8610" s="13">
        <v>2</v>
      </c>
      <c r="H8610" s="17">
        <v>3</v>
      </c>
      <c r="I8610" s="17">
        <v>3</v>
      </c>
      <c r="J8610" s="17">
        <v>8</v>
      </c>
      <c r="K8610" s="10">
        <v>1508</v>
      </c>
      <c r="P8610" s="17">
        <v>1</v>
      </c>
      <c r="Q8610" s="19">
        <v>1508</v>
      </c>
      <c r="R8610" s="14">
        <v>160</v>
      </c>
      <c r="S8610" s="19">
        <v>241280</v>
      </c>
      <c r="AE8610" s="17" t="s">
        <v>257</v>
      </c>
      <c r="AJ8610" s="19">
        <v>0</v>
      </c>
      <c r="AK8610" s="23">
        <v>0</v>
      </c>
      <c r="AM8610" s="19">
        <v>0</v>
      </c>
      <c r="AN8610" s="19">
        <v>241280</v>
      </c>
      <c r="AP8610" s="14">
        <v>241280</v>
      </c>
    </row>
    <row r="8611" spans="1:45" x14ac:dyDescent="0.2">
      <c r="A8611" s="2">
        <v>7064</v>
      </c>
      <c r="B8611" s="13">
        <v>2</v>
      </c>
      <c r="C8611" s="17" t="s">
        <v>52</v>
      </c>
      <c r="D8611" s="17">
        <v>22337</v>
      </c>
      <c r="E8611" s="17">
        <v>299</v>
      </c>
      <c r="F8611" s="17">
        <v>4669</v>
      </c>
      <c r="G8611" s="13">
        <v>2</v>
      </c>
      <c r="H8611" s="17">
        <v>0</v>
      </c>
      <c r="I8611" s="17">
        <v>3</v>
      </c>
      <c r="J8611" s="17">
        <v>74</v>
      </c>
      <c r="P8611" s="17">
        <v>1</v>
      </c>
      <c r="Q8611" s="19">
        <v>374</v>
      </c>
      <c r="R8611" s="14">
        <v>200</v>
      </c>
      <c r="S8611" s="19">
        <v>74800</v>
      </c>
      <c r="AE8611" s="17" t="s">
        <v>257</v>
      </c>
      <c r="AJ8611" s="19">
        <v>0</v>
      </c>
      <c r="AK8611" s="23">
        <v>0</v>
      </c>
      <c r="AM8611" s="19">
        <v>0</v>
      </c>
      <c r="AN8611" s="19">
        <v>74800</v>
      </c>
      <c r="AP8611" s="14">
        <v>74800</v>
      </c>
    </row>
    <row r="8612" spans="1:45" x14ac:dyDescent="0.2">
      <c r="A8612" s="2">
        <v>7065</v>
      </c>
      <c r="B8612" s="13">
        <v>1</v>
      </c>
      <c r="C8612" s="17" t="s">
        <v>52</v>
      </c>
      <c r="D8612" s="17">
        <v>1027</v>
      </c>
      <c r="E8612" s="17">
        <v>12</v>
      </c>
      <c r="F8612" s="17">
        <v>374</v>
      </c>
      <c r="G8612" s="13">
        <v>1</v>
      </c>
      <c r="H8612" s="17">
        <v>27</v>
      </c>
      <c r="I8612" s="17">
        <v>0</v>
      </c>
      <c r="J8612" s="17">
        <v>77</v>
      </c>
      <c r="K8612" s="10">
        <v>10877</v>
      </c>
      <c r="P8612" s="17">
        <v>1</v>
      </c>
      <c r="Q8612" s="19">
        <v>10877</v>
      </c>
      <c r="R8612" s="14">
        <v>200</v>
      </c>
      <c r="S8612" s="19">
        <v>2175400</v>
      </c>
      <c r="AE8612" s="17" t="s">
        <v>340</v>
      </c>
      <c r="AJ8612" s="19">
        <v>0</v>
      </c>
      <c r="AK8612" s="23">
        <v>0</v>
      </c>
      <c r="AM8612" s="19">
        <v>0</v>
      </c>
      <c r="AN8612" s="19">
        <v>2175400</v>
      </c>
      <c r="AP8612" s="14">
        <v>2175400</v>
      </c>
    </row>
    <row r="8613" spans="1:45" x14ac:dyDescent="0.2">
      <c r="A8613" s="2">
        <v>7066</v>
      </c>
      <c r="B8613" s="13">
        <v>1</v>
      </c>
      <c r="C8613" s="17" t="s">
        <v>52</v>
      </c>
      <c r="D8613" s="17">
        <v>1769</v>
      </c>
      <c r="E8613" s="17">
        <v>11</v>
      </c>
      <c r="F8613" s="17">
        <v>778</v>
      </c>
      <c r="G8613" s="13">
        <v>6</v>
      </c>
      <c r="H8613" s="17">
        <v>0</v>
      </c>
      <c r="I8613" s="17">
        <v>0</v>
      </c>
      <c r="J8613" s="17">
        <v>38</v>
      </c>
      <c r="N8613" s="18">
        <v>38</v>
      </c>
      <c r="P8613" s="17">
        <v>4</v>
      </c>
      <c r="Q8613" s="19">
        <v>38</v>
      </c>
      <c r="R8613" s="14">
        <v>4500</v>
      </c>
      <c r="S8613" s="19">
        <v>171000</v>
      </c>
      <c r="AE8613" s="17" t="s">
        <v>712</v>
      </c>
      <c r="AJ8613" s="19">
        <v>0</v>
      </c>
      <c r="AK8613" s="23">
        <v>0</v>
      </c>
      <c r="AM8613" s="19">
        <v>0</v>
      </c>
      <c r="AN8613" s="19">
        <v>171000</v>
      </c>
      <c r="AP8613" s="14">
        <v>171000</v>
      </c>
      <c r="AQ8613" s="12">
        <v>3.0000000000000001E-3</v>
      </c>
    </row>
    <row r="8614" spans="1:45" x14ac:dyDescent="0.2">
      <c r="A8614" s="2">
        <v>7067</v>
      </c>
      <c r="B8614" s="13">
        <v>1</v>
      </c>
      <c r="C8614" s="17" t="s">
        <v>52</v>
      </c>
      <c r="D8614" s="17">
        <v>1844</v>
      </c>
      <c r="E8614" s="17">
        <v>93</v>
      </c>
      <c r="F8614" s="17">
        <v>1234</v>
      </c>
      <c r="H8614" s="17">
        <v>1</v>
      </c>
      <c r="I8614" s="17">
        <v>2</v>
      </c>
      <c r="J8614" s="17">
        <v>48</v>
      </c>
      <c r="K8614" s="10">
        <v>648</v>
      </c>
      <c r="P8614" s="17">
        <v>1</v>
      </c>
      <c r="Q8614" s="19">
        <v>648</v>
      </c>
      <c r="R8614" s="14">
        <v>160</v>
      </c>
      <c r="S8614" s="19">
        <v>103680</v>
      </c>
      <c r="AE8614" s="17" t="s">
        <v>479</v>
      </c>
      <c r="AJ8614" s="19">
        <v>0</v>
      </c>
      <c r="AK8614" s="23">
        <v>0</v>
      </c>
      <c r="AM8614" s="19">
        <v>0</v>
      </c>
      <c r="AN8614" s="19">
        <v>103680</v>
      </c>
      <c r="AP8614" s="14">
        <v>103680</v>
      </c>
    </row>
    <row r="8615" spans="1:45" x14ac:dyDescent="0.2">
      <c r="A8615" s="2">
        <v>7068</v>
      </c>
      <c r="B8615" s="13">
        <v>2</v>
      </c>
      <c r="C8615" s="17" t="s">
        <v>52</v>
      </c>
      <c r="D8615" s="17">
        <v>35133</v>
      </c>
      <c r="E8615" s="17">
        <v>266</v>
      </c>
      <c r="F8615" s="17">
        <v>7003</v>
      </c>
      <c r="H8615" s="17">
        <v>0</v>
      </c>
      <c r="I8615" s="17">
        <v>2</v>
      </c>
      <c r="J8615" s="17">
        <v>14</v>
      </c>
      <c r="N8615" s="18">
        <v>214</v>
      </c>
      <c r="P8615" s="17">
        <v>4</v>
      </c>
      <c r="Q8615" s="19">
        <v>214</v>
      </c>
      <c r="R8615" s="14">
        <v>160</v>
      </c>
      <c r="S8615" s="19">
        <v>34240</v>
      </c>
      <c r="AE8615" s="17" t="s">
        <v>479</v>
      </c>
      <c r="AJ8615" s="19">
        <v>0</v>
      </c>
      <c r="AK8615" s="23">
        <v>0</v>
      </c>
      <c r="AM8615" s="19">
        <v>0</v>
      </c>
      <c r="AN8615" s="19">
        <v>34240</v>
      </c>
      <c r="AP8615" s="14">
        <v>34240</v>
      </c>
      <c r="AQ8615" s="12">
        <v>3.0000000000000001E-3</v>
      </c>
    </row>
    <row r="8616" spans="1:45" x14ac:dyDescent="0.2">
      <c r="A8616" s="2">
        <v>7069</v>
      </c>
      <c r="B8616" s="13">
        <v>3</v>
      </c>
      <c r="C8616" s="17" t="s">
        <v>52</v>
      </c>
      <c r="D8616" s="17">
        <v>35343</v>
      </c>
      <c r="E8616" s="17">
        <v>276</v>
      </c>
      <c r="F8616" s="17">
        <v>7044</v>
      </c>
      <c r="H8616" s="17">
        <v>0</v>
      </c>
      <c r="I8616" s="17">
        <v>1</v>
      </c>
      <c r="J8616" s="17">
        <v>60</v>
      </c>
      <c r="K8616" s="10">
        <v>160</v>
      </c>
      <c r="P8616" s="17">
        <v>1</v>
      </c>
      <c r="Q8616" s="19">
        <v>160</v>
      </c>
      <c r="R8616" s="14">
        <v>2000</v>
      </c>
      <c r="S8616" s="19">
        <v>320000</v>
      </c>
      <c r="AE8616" s="17" t="s">
        <v>479</v>
      </c>
      <c r="AJ8616" s="19">
        <v>0</v>
      </c>
      <c r="AK8616" s="23">
        <v>0</v>
      </c>
      <c r="AM8616" s="19">
        <v>0</v>
      </c>
      <c r="AN8616" s="19">
        <v>320000</v>
      </c>
      <c r="AP8616" s="14">
        <v>320000</v>
      </c>
    </row>
    <row r="8617" spans="1:45" x14ac:dyDescent="0.2">
      <c r="A8617" s="2">
        <v>7070</v>
      </c>
      <c r="B8617" s="13">
        <v>1</v>
      </c>
      <c r="C8617" s="17" t="s">
        <v>52</v>
      </c>
      <c r="D8617" s="17">
        <v>2161</v>
      </c>
      <c r="E8617" s="17">
        <v>17</v>
      </c>
      <c r="F8617" s="17">
        <v>1632</v>
      </c>
      <c r="G8617" s="13">
        <v>3</v>
      </c>
      <c r="H8617" s="17">
        <v>5</v>
      </c>
      <c r="I8617" s="17">
        <v>2</v>
      </c>
      <c r="J8617" s="17">
        <v>64</v>
      </c>
      <c r="K8617" s="10">
        <v>2264</v>
      </c>
      <c r="P8617" s="17">
        <v>1</v>
      </c>
      <c r="Q8617" s="19">
        <v>2264</v>
      </c>
      <c r="R8617" s="14">
        <v>160</v>
      </c>
      <c r="S8617" s="19">
        <v>362240</v>
      </c>
      <c r="AE8617" s="17" t="s">
        <v>526</v>
      </c>
      <c r="AJ8617" s="19">
        <v>0</v>
      </c>
      <c r="AK8617" s="23">
        <v>0</v>
      </c>
      <c r="AM8617" s="19">
        <v>0</v>
      </c>
      <c r="AN8617" s="19">
        <v>362240</v>
      </c>
      <c r="AP8617" s="14">
        <v>362240</v>
      </c>
    </row>
    <row r="8618" spans="1:45" x14ac:dyDescent="0.2">
      <c r="A8618" s="2">
        <f>+A8617+1</f>
        <v>7071</v>
      </c>
      <c r="B8618" s="13">
        <v>2</v>
      </c>
      <c r="C8618" s="17" t="s">
        <v>52</v>
      </c>
      <c r="D8618" s="17">
        <v>2163</v>
      </c>
      <c r="E8618" s="17">
        <v>19</v>
      </c>
      <c r="F8618" s="17">
        <v>1634</v>
      </c>
      <c r="G8618" s="13">
        <v>3</v>
      </c>
      <c r="H8618" s="17">
        <v>6</v>
      </c>
      <c r="I8618" s="17">
        <v>2</v>
      </c>
      <c r="J8618" s="17">
        <v>79</v>
      </c>
      <c r="K8618" s="10">
        <v>2679</v>
      </c>
      <c r="P8618" s="17">
        <v>1</v>
      </c>
      <c r="Q8618" s="19">
        <v>2679</v>
      </c>
      <c r="R8618" s="14">
        <v>160</v>
      </c>
      <c r="S8618" s="19">
        <v>428640</v>
      </c>
      <c r="AE8618" s="17" t="s">
        <v>526</v>
      </c>
      <c r="AJ8618" s="19">
        <v>0</v>
      </c>
      <c r="AK8618" s="23">
        <v>0</v>
      </c>
      <c r="AM8618" s="19">
        <v>0</v>
      </c>
      <c r="AN8618" s="19">
        <v>428640</v>
      </c>
      <c r="AP8618" s="14">
        <v>428640</v>
      </c>
    </row>
    <row r="8619" spans="1:45" x14ac:dyDescent="0.2">
      <c r="A8619" s="122">
        <f t="shared" ref="A8619:A8629" si="788">+A8618+1</f>
        <v>7072</v>
      </c>
      <c r="B8619" s="13">
        <v>1</v>
      </c>
      <c r="C8619" s="17" t="s">
        <v>52</v>
      </c>
      <c r="D8619" s="17">
        <v>2349</v>
      </c>
      <c r="E8619" s="17">
        <v>55</v>
      </c>
      <c r="F8619" s="17">
        <v>1061</v>
      </c>
      <c r="H8619" s="17">
        <v>5</v>
      </c>
      <c r="I8619" s="17">
        <v>2</v>
      </c>
      <c r="J8619" s="17">
        <v>65</v>
      </c>
      <c r="K8619" s="10">
        <v>2265</v>
      </c>
      <c r="P8619" s="17">
        <v>1</v>
      </c>
      <c r="Q8619" s="19">
        <v>2265</v>
      </c>
      <c r="R8619" s="14">
        <v>1000</v>
      </c>
      <c r="S8619" s="19">
        <v>2265000</v>
      </c>
      <c r="AE8619" s="17" t="s">
        <v>513</v>
      </c>
      <c r="AJ8619" s="19">
        <v>0</v>
      </c>
      <c r="AK8619" s="23">
        <v>0</v>
      </c>
      <c r="AM8619" s="19">
        <v>0</v>
      </c>
      <c r="AN8619" s="19">
        <v>2265000</v>
      </c>
      <c r="AP8619" s="14">
        <v>2265000</v>
      </c>
    </row>
    <row r="8620" spans="1:45" x14ac:dyDescent="0.2">
      <c r="A8620" s="122">
        <f t="shared" si="788"/>
        <v>7073</v>
      </c>
      <c r="B8620" s="13">
        <v>1</v>
      </c>
      <c r="C8620" s="17" t="s">
        <v>52</v>
      </c>
      <c r="D8620" s="17">
        <v>2942</v>
      </c>
      <c r="E8620" s="17">
        <v>38</v>
      </c>
      <c r="F8620" s="17">
        <v>2004</v>
      </c>
      <c r="G8620" s="13">
        <v>2</v>
      </c>
      <c r="H8620" s="17">
        <v>11</v>
      </c>
      <c r="I8620" s="17">
        <v>1</v>
      </c>
      <c r="J8620" s="17">
        <v>51</v>
      </c>
      <c r="K8620" s="10">
        <v>4551</v>
      </c>
      <c r="P8620" s="17">
        <v>1</v>
      </c>
      <c r="Q8620" s="19">
        <v>4551</v>
      </c>
      <c r="R8620" s="14">
        <v>200</v>
      </c>
      <c r="S8620" s="19">
        <v>910200</v>
      </c>
      <c r="AE8620" s="17" t="s">
        <v>391</v>
      </c>
      <c r="AJ8620" s="19">
        <v>0</v>
      </c>
      <c r="AK8620" s="23">
        <v>0</v>
      </c>
      <c r="AM8620" s="19">
        <v>0</v>
      </c>
      <c r="AN8620" s="19">
        <v>910200</v>
      </c>
      <c r="AP8620" s="14">
        <v>910200</v>
      </c>
    </row>
    <row r="8621" spans="1:45" ht="63" x14ac:dyDescent="0.2">
      <c r="A8621" s="122">
        <f t="shared" si="788"/>
        <v>7074</v>
      </c>
      <c r="B8621" s="13">
        <v>1</v>
      </c>
      <c r="C8621" s="17" t="s">
        <v>52</v>
      </c>
      <c r="D8621" s="17">
        <v>3021</v>
      </c>
      <c r="E8621" s="17">
        <v>73</v>
      </c>
      <c r="F8621" s="17">
        <v>2093</v>
      </c>
      <c r="G8621" s="13">
        <v>2</v>
      </c>
      <c r="H8621" s="17">
        <v>7</v>
      </c>
      <c r="I8621" s="17">
        <v>2</v>
      </c>
      <c r="J8621" s="17">
        <v>88</v>
      </c>
      <c r="K8621" s="10">
        <v>3040.75</v>
      </c>
      <c r="L8621" s="17">
        <v>47.25</v>
      </c>
      <c r="P8621" s="17">
        <v>2</v>
      </c>
      <c r="Q8621" s="19">
        <v>3088</v>
      </c>
      <c r="R8621" s="14">
        <v>200</v>
      </c>
      <c r="S8621" s="19">
        <v>617600</v>
      </c>
      <c r="T8621" s="17">
        <v>1</v>
      </c>
      <c r="U8621" s="17" t="s">
        <v>57</v>
      </c>
      <c r="V8621" s="17" t="s">
        <v>56</v>
      </c>
      <c r="W8621" s="4">
        <v>189</v>
      </c>
      <c r="Y8621" s="4">
        <v>189</v>
      </c>
      <c r="AB8621" s="17">
        <v>24</v>
      </c>
      <c r="AE8621" s="17" t="s">
        <v>420</v>
      </c>
      <c r="AJ8621" s="19">
        <v>0</v>
      </c>
      <c r="AK8621" s="23">
        <v>24</v>
      </c>
      <c r="AM8621" s="19">
        <v>0</v>
      </c>
      <c r="AN8621" s="19">
        <v>617600</v>
      </c>
      <c r="AP8621" s="14">
        <v>617600</v>
      </c>
    </row>
    <row r="8622" spans="1:45" x14ac:dyDescent="0.2">
      <c r="A8622" s="122">
        <f t="shared" si="788"/>
        <v>7075</v>
      </c>
      <c r="B8622" s="13">
        <v>1</v>
      </c>
      <c r="C8622" s="17" t="s">
        <v>52</v>
      </c>
      <c r="D8622" s="17">
        <v>4165</v>
      </c>
      <c r="E8622" s="17">
        <v>1</v>
      </c>
      <c r="F8622" s="17">
        <v>2419</v>
      </c>
      <c r="G8622" s="13">
        <v>2</v>
      </c>
      <c r="H8622" s="17">
        <v>1</v>
      </c>
      <c r="I8622" s="17">
        <v>0</v>
      </c>
      <c r="J8622" s="17">
        <v>25</v>
      </c>
      <c r="N8622" s="18">
        <v>425</v>
      </c>
      <c r="P8622" s="17">
        <v>4</v>
      </c>
      <c r="Q8622" s="19">
        <v>425</v>
      </c>
      <c r="R8622" s="14">
        <v>160</v>
      </c>
      <c r="S8622" s="19">
        <v>68000</v>
      </c>
      <c r="AE8622" s="17" t="s">
        <v>195</v>
      </c>
      <c r="AJ8622" s="19">
        <v>0</v>
      </c>
      <c r="AK8622" s="23">
        <v>0</v>
      </c>
      <c r="AM8622" s="19">
        <v>0</v>
      </c>
      <c r="AN8622" s="19">
        <v>68000</v>
      </c>
      <c r="AP8622" s="14">
        <v>68000</v>
      </c>
      <c r="AQ8622" s="12">
        <v>3.0000000000000001E-3</v>
      </c>
    </row>
    <row r="8623" spans="1:45" x14ac:dyDescent="0.2">
      <c r="A8623" s="122">
        <f t="shared" si="788"/>
        <v>7076</v>
      </c>
      <c r="B8623" s="13">
        <v>2</v>
      </c>
      <c r="C8623" s="17" t="s">
        <v>52</v>
      </c>
      <c r="D8623" s="17">
        <v>29872</v>
      </c>
      <c r="E8623" s="17">
        <v>4</v>
      </c>
      <c r="F8623" s="17">
        <v>5462</v>
      </c>
      <c r="G8623" s="13">
        <v>2</v>
      </c>
      <c r="H8623" s="17">
        <v>0</v>
      </c>
      <c r="I8623" s="17">
        <v>1</v>
      </c>
      <c r="J8623" s="17">
        <v>81</v>
      </c>
      <c r="N8623" s="18">
        <v>181</v>
      </c>
      <c r="P8623" s="17">
        <v>4</v>
      </c>
      <c r="Q8623" s="19">
        <v>181</v>
      </c>
      <c r="R8623" s="14">
        <v>160</v>
      </c>
      <c r="S8623" s="19">
        <v>28960</v>
      </c>
      <c r="AE8623" s="17" t="s">
        <v>195</v>
      </c>
      <c r="AJ8623" s="19">
        <v>0</v>
      </c>
      <c r="AK8623" s="23">
        <v>0</v>
      </c>
      <c r="AM8623" s="19">
        <v>0</v>
      </c>
      <c r="AN8623" s="19">
        <v>28960</v>
      </c>
      <c r="AP8623" s="14">
        <v>28960</v>
      </c>
      <c r="AQ8623" s="12">
        <v>3.0000000000000001E-3</v>
      </c>
    </row>
    <row r="8624" spans="1:45" x14ac:dyDescent="0.2">
      <c r="A8624" s="122">
        <f t="shared" si="788"/>
        <v>7077</v>
      </c>
      <c r="B8624" s="13">
        <v>1</v>
      </c>
      <c r="C8624" s="17" t="s">
        <v>52</v>
      </c>
      <c r="D8624" s="17">
        <v>31059</v>
      </c>
      <c r="E8624" s="17">
        <v>195</v>
      </c>
      <c r="F8624" s="17">
        <v>6009</v>
      </c>
      <c r="G8624" s="13">
        <v>2</v>
      </c>
      <c r="H8624" s="17">
        <v>4</v>
      </c>
      <c r="I8624" s="17">
        <v>0</v>
      </c>
      <c r="J8624" s="17">
        <v>12.08</v>
      </c>
      <c r="P8624" s="17">
        <v>1</v>
      </c>
      <c r="Q8624" s="19">
        <v>1612.08</v>
      </c>
      <c r="R8624" s="14">
        <v>160</v>
      </c>
      <c r="S8624" s="19">
        <v>257932.79999999999</v>
      </c>
      <c r="AE8624" s="17" t="s">
        <v>278</v>
      </c>
      <c r="AJ8624" s="19">
        <v>0</v>
      </c>
      <c r="AK8624" s="23">
        <v>0</v>
      </c>
      <c r="AM8624" s="19">
        <v>0</v>
      </c>
      <c r="AN8624" s="19">
        <v>257932.79999999999</v>
      </c>
      <c r="AP8624" s="14">
        <v>257932.79999999999</v>
      </c>
    </row>
    <row r="8625" spans="1:45" ht="63" x14ac:dyDescent="0.2">
      <c r="A8625" s="122">
        <f t="shared" si="788"/>
        <v>7078</v>
      </c>
      <c r="B8625" s="13">
        <v>1</v>
      </c>
      <c r="C8625" s="17" t="s">
        <v>52</v>
      </c>
      <c r="D8625" s="17">
        <v>19836</v>
      </c>
      <c r="E8625" s="17">
        <v>105</v>
      </c>
      <c r="F8625" s="17">
        <v>3692</v>
      </c>
      <c r="G8625" s="13">
        <v>2</v>
      </c>
      <c r="H8625" s="17">
        <v>0</v>
      </c>
      <c r="I8625" s="17">
        <v>1</v>
      </c>
      <c r="J8625" s="17">
        <v>3</v>
      </c>
      <c r="L8625" s="17">
        <v>103</v>
      </c>
      <c r="P8625" s="17">
        <v>2</v>
      </c>
      <c r="Q8625" s="19">
        <v>103</v>
      </c>
      <c r="R8625" s="14">
        <v>250</v>
      </c>
      <c r="S8625" s="19">
        <v>25750</v>
      </c>
      <c r="AE8625" s="17" t="s">
        <v>172</v>
      </c>
      <c r="AG8625" s="54">
        <v>0</v>
      </c>
      <c r="AJ8625" s="19">
        <v>0</v>
      </c>
      <c r="AM8625" s="19">
        <v>0</v>
      </c>
      <c r="AN8625" s="19">
        <v>25750</v>
      </c>
      <c r="AP8625" s="14">
        <v>25750</v>
      </c>
      <c r="AR8625" s="19">
        <v>1440</v>
      </c>
    </row>
    <row r="8626" spans="1:45" x14ac:dyDescent="0.2">
      <c r="A8626" s="122">
        <f t="shared" si="788"/>
        <v>7079</v>
      </c>
      <c r="B8626" s="13">
        <v>1</v>
      </c>
      <c r="C8626" s="17" t="s">
        <v>52</v>
      </c>
      <c r="D8626" s="17">
        <v>4638</v>
      </c>
      <c r="E8626" s="17">
        <v>58</v>
      </c>
      <c r="F8626" s="17">
        <v>2461</v>
      </c>
      <c r="G8626" s="13">
        <v>1</v>
      </c>
      <c r="H8626" s="17">
        <v>8</v>
      </c>
      <c r="I8626" s="17">
        <v>3</v>
      </c>
      <c r="J8626" s="17">
        <v>39</v>
      </c>
      <c r="K8626" s="10">
        <v>3539</v>
      </c>
      <c r="P8626" s="17">
        <v>1</v>
      </c>
      <c r="Q8626" s="19">
        <v>3539</v>
      </c>
      <c r="R8626" s="14">
        <v>200</v>
      </c>
      <c r="S8626" s="19">
        <v>707800</v>
      </c>
      <c r="AE8626" s="17" t="s">
        <v>178</v>
      </c>
      <c r="AG8626" s="54">
        <v>0</v>
      </c>
      <c r="AJ8626" s="19">
        <v>0</v>
      </c>
      <c r="AM8626" s="19">
        <v>0</v>
      </c>
      <c r="AN8626" s="19">
        <v>707800</v>
      </c>
      <c r="AP8626" s="14">
        <v>707800</v>
      </c>
      <c r="AS8626" s="26">
        <v>120</v>
      </c>
    </row>
    <row r="8627" spans="1:45" x14ac:dyDescent="0.2">
      <c r="A8627" s="122">
        <f t="shared" si="788"/>
        <v>7080</v>
      </c>
      <c r="B8627" s="13">
        <v>1</v>
      </c>
      <c r="C8627" s="17" t="s">
        <v>52</v>
      </c>
      <c r="D8627" s="17">
        <v>35240</v>
      </c>
      <c r="E8627" s="17">
        <v>41</v>
      </c>
      <c r="F8627" s="17">
        <v>7024</v>
      </c>
      <c r="G8627" s="13">
        <v>3</v>
      </c>
      <c r="H8627" s="17">
        <v>0</v>
      </c>
      <c r="I8627" s="17">
        <v>0</v>
      </c>
      <c r="J8627" s="17">
        <v>31</v>
      </c>
      <c r="K8627" s="10">
        <v>31</v>
      </c>
      <c r="P8627" s="17">
        <v>1</v>
      </c>
      <c r="Q8627" s="19">
        <v>31</v>
      </c>
      <c r="R8627" s="14">
        <v>250</v>
      </c>
      <c r="S8627" s="19">
        <v>7750</v>
      </c>
      <c r="AE8627" s="17" t="s">
        <v>806</v>
      </c>
      <c r="AJ8627" s="19">
        <v>0</v>
      </c>
      <c r="AK8627" s="23">
        <v>0</v>
      </c>
      <c r="AM8627" s="19">
        <v>0</v>
      </c>
      <c r="AN8627" s="19">
        <v>7750</v>
      </c>
      <c r="AP8627" s="14">
        <v>7750</v>
      </c>
    </row>
    <row r="8628" spans="1:45" x14ac:dyDescent="0.2">
      <c r="A8628" s="122">
        <f t="shared" si="788"/>
        <v>7081</v>
      </c>
      <c r="B8628" s="13">
        <v>1</v>
      </c>
      <c r="C8628" s="17" t="s">
        <v>52</v>
      </c>
      <c r="D8628" s="17">
        <v>34044</v>
      </c>
      <c r="E8628" s="17">
        <v>87</v>
      </c>
      <c r="F8628" s="17">
        <v>6760</v>
      </c>
      <c r="G8628" s="13">
        <v>4</v>
      </c>
      <c r="H8628" s="17">
        <v>0</v>
      </c>
      <c r="I8628" s="17">
        <v>0</v>
      </c>
      <c r="J8628" s="17">
        <v>72</v>
      </c>
      <c r="K8628" s="10">
        <v>72</v>
      </c>
      <c r="P8628" s="17">
        <v>1</v>
      </c>
      <c r="Q8628" s="19">
        <v>72</v>
      </c>
      <c r="R8628" s="14">
        <v>250</v>
      </c>
      <c r="S8628" s="19">
        <v>18000</v>
      </c>
      <c r="AE8628" s="17" t="s">
        <v>864</v>
      </c>
      <c r="AJ8628" s="19">
        <v>0</v>
      </c>
      <c r="AK8628" s="23">
        <v>0</v>
      </c>
      <c r="AM8628" s="19">
        <v>0</v>
      </c>
      <c r="AN8628" s="19">
        <v>18000</v>
      </c>
      <c r="AP8628" s="14">
        <v>18000</v>
      </c>
    </row>
    <row r="8629" spans="1:45" ht="63" x14ac:dyDescent="0.2">
      <c r="A8629" s="122">
        <f t="shared" si="788"/>
        <v>7082</v>
      </c>
      <c r="B8629" s="13">
        <v>1</v>
      </c>
      <c r="C8629" s="17" t="s">
        <v>52</v>
      </c>
      <c r="D8629" s="17">
        <v>31870</v>
      </c>
      <c r="E8629" s="17">
        <v>52</v>
      </c>
      <c r="F8629" s="17">
        <v>6265</v>
      </c>
      <c r="G8629" s="13">
        <v>4</v>
      </c>
      <c r="H8629" s="17">
        <v>0</v>
      </c>
      <c r="I8629" s="17">
        <v>1</v>
      </c>
      <c r="J8629" s="17">
        <v>12</v>
      </c>
      <c r="L8629" s="17">
        <v>112</v>
      </c>
      <c r="P8629" s="17">
        <v>2</v>
      </c>
      <c r="Q8629" s="19">
        <v>112</v>
      </c>
      <c r="R8629" s="14">
        <v>2000</v>
      </c>
      <c r="S8629" s="19">
        <v>224000</v>
      </c>
      <c r="U8629" s="17" t="s">
        <v>57</v>
      </c>
      <c r="V8629" s="17" t="s">
        <v>56</v>
      </c>
      <c r="W8629" s="4">
        <v>143</v>
      </c>
      <c r="Y8629" s="4">
        <v>126.5</v>
      </c>
      <c r="Z8629" s="17">
        <v>16.5</v>
      </c>
      <c r="AB8629" s="17">
        <v>32</v>
      </c>
      <c r="AE8629" s="17" t="s">
        <v>865</v>
      </c>
      <c r="AF8629" s="14">
        <v>2</v>
      </c>
      <c r="AG8629" s="54">
        <v>143</v>
      </c>
      <c r="AH8629" s="11">
        <v>0.83</v>
      </c>
      <c r="AI8629" s="14">
        <v>7250</v>
      </c>
      <c r="AJ8629" s="19">
        <v>860502.5</v>
      </c>
      <c r="AK8629" s="23">
        <v>32</v>
      </c>
      <c r="AL8629" s="11">
        <v>0.54</v>
      </c>
      <c r="AM8629" s="19">
        <v>395831.14999999997</v>
      </c>
      <c r="AN8629" s="19">
        <v>581751.14999999991</v>
      </c>
      <c r="AP8629" s="14">
        <v>581751.14999999991</v>
      </c>
    </row>
    <row r="8630" spans="1:45" x14ac:dyDescent="0.2">
      <c r="AF8630" s="14">
        <v>3</v>
      </c>
      <c r="AG8630" s="54">
        <v>143</v>
      </c>
      <c r="AH8630" s="11">
        <v>0.17</v>
      </c>
      <c r="AI8630" s="14">
        <v>7250</v>
      </c>
      <c r="AJ8630" s="19">
        <v>176247.50000000003</v>
      </c>
      <c r="AK8630" s="23">
        <v>32</v>
      </c>
      <c r="AL8630" s="11">
        <v>0.54</v>
      </c>
      <c r="AM8630" s="19">
        <v>81073.850000000006</v>
      </c>
      <c r="AN8630" s="19">
        <v>119153.85</v>
      </c>
      <c r="AP8630" s="14">
        <v>119153.85</v>
      </c>
      <c r="AQ8630" s="12">
        <v>3.0000000000000001E-3</v>
      </c>
    </row>
    <row r="8631" spans="1:45" x14ac:dyDescent="0.2">
      <c r="A8631" s="2">
        <v>7083</v>
      </c>
      <c r="B8631" s="13">
        <v>1</v>
      </c>
      <c r="C8631" s="17" t="s">
        <v>52</v>
      </c>
      <c r="D8631" s="17">
        <v>29178</v>
      </c>
      <c r="E8631" s="17">
        <v>274</v>
      </c>
      <c r="F8631" s="17">
        <v>5373</v>
      </c>
      <c r="G8631" s="13">
        <v>1</v>
      </c>
      <c r="H8631" s="17">
        <v>0</v>
      </c>
      <c r="I8631" s="17">
        <v>2</v>
      </c>
      <c r="J8631" s="17">
        <v>12</v>
      </c>
      <c r="K8631" s="10">
        <v>212</v>
      </c>
      <c r="P8631" s="17">
        <v>1</v>
      </c>
      <c r="Q8631" s="19">
        <v>212</v>
      </c>
      <c r="R8631" s="14">
        <v>200</v>
      </c>
      <c r="S8631" s="19">
        <v>42400</v>
      </c>
      <c r="AE8631" s="17" t="s">
        <v>866</v>
      </c>
      <c r="AJ8631" s="19">
        <v>0</v>
      </c>
      <c r="AK8631" s="23">
        <v>0</v>
      </c>
      <c r="AM8631" s="19">
        <v>0</v>
      </c>
      <c r="AN8631" s="19">
        <v>42400</v>
      </c>
      <c r="AP8631" s="14">
        <v>42400</v>
      </c>
      <c r="AS8631" s="26">
        <v>270</v>
      </c>
    </row>
    <row r="8632" spans="1:45" x14ac:dyDescent="0.2">
      <c r="A8632" s="2">
        <f>+A8631+1</f>
        <v>7084</v>
      </c>
      <c r="B8632" s="13">
        <v>1</v>
      </c>
      <c r="C8632" s="17" t="s">
        <v>52</v>
      </c>
      <c r="D8632" s="17">
        <v>36032</v>
      </c>
      <c r="E8632" s="17">
        <v>55</v>
      </c>
      <c r="F8632" s="17">
        <v>3663</v>
      </c>
      <c r="G8632" s="13">
        <v>5</v>
      </c>
      <c r="H8632" s="17">
        <v>1</v>
      </c>
      <c r="I8632" s="17">
        <v>0</v>
      </c>
      <c r="J8632" s="17">
        <v>18</v>
      </c>
      <c r="P8632" s="17">
        <v>1</v>
      </c>
      <c r="Q8632" s="19">
        <v>418</v>
      </c>
      <c r="R8632" s="14">
        <v>200</v>
      </c>
      <c r="S8632" s="19">
        <v>83600</v>
      </c>
      <c r="AE8632" s="17" t="s">
        <v>867</v>
      </c>
      <c r="AJ8632" s="19">
        <v>0</v>
      </c>
      <c r="AK8632" s="23">
        <v>0</v>
      </c>
      <c r="AM8632" s="19">
        <v>0</v>
      </c>
      <c r="AN8632" s="19">
        <v>83600</v>
      </c>
      <c r="AP8632" s="14">
        <v>83600</v>
      </c>
    </row>
    <row r="8633" spans="1:45" x14ac:dyDescent="0.2">
      <c r="A8633" s="122">
        <f t="shared" ref="A8633:A8646" si="789">+A8632+1</f>
        <v>7085</v>
      </c>
      <c r="B8633" s="13">
        <v>1</v>
      </c>
      <c r="C8633" s="17" t="s">
        <v>52</v>
      </c>
      <c r="D8633" s="17">
        <v>4640</v>
      </c>
      <c r="E8633" s="17">
        <v>61</v>
      </c>
      <c r="F8633" s="17">
        <v>2463</v>
      </c>
      <c r="G8633" s="13">
        <v>1</v>
      </c>
      <c r="H8633" s="17">
        <v>0</v>
      </c>
      <c r="I8633" s="17">
        <v>1</v>
      </c>
      <c r="J8633" s="17">
        <v>98</v>
      </c>
      <c r="K8633" s="10">
        <v>198</v>
      </c>
      <c r="P8633" s="17">
        <v>1</v>
      </c>
      <c r="Q8633" s="19">
        <v>198</v>
      </c>
      <c r="R8633" s="14">
        <v>250</v>
      </c>
      <c r="S8633" s="19">
        <v>49500</v>
      </c>
      <c r="AE8633" s="17" t="s">
        <v>178</v>
      </c>
      <c r="AG8633" s="54">
        <v>0</v>
      </c>
      <c r="AJ8633" s="19">
        <v>0</v>
      </c>
      <c r="AM8633" s="19">
        <v>0</v>
      </c>
      <c r="AN8633" s="19">
        <v>49500</v>
      </c>
      <c r="AP8633" s="14">
        <v>49500</v>
      </c>
    </row>
    <row r="8634" spans="1:45" x14ac:dyDescent="0.2">
      <c r="A8634" s="122">
        <f t="shared" si="789"/>
        <v>7086</v>
      </c>
      <c r="B8634" s="13">
        <v>1</v>
      </c>
      <c r="C8634" s="17" t="s">
        <v>52</v>
      </c>
      <c r="D8634" s="17">
        <v>31211</v>
      </c>
      <c r="E8634" s="17">
        <v>69</v>
      </c>
      <c r="F8634" s="17">
        <v>6188</v>
      </c>
      <c r="G8634" s="13">
        <v>7</v>
      </c>
      <c r="H8634" s="17">
        <v>0</v>
      </c>
      <c r="I8634" s="17">
        <v>0</v>
      </c>
      <c r="J8634" s="17">
        <v>75</v>
      </c>
      <c r="N8634" s="18">
        <v>75</v>
      </c>
      <c r="P8634" s="17">
        <v>4</v>
      </c>
      <c r="Q8634" s="19">
        <v>75</v>
      </c>
      <c r="R8634" s="14">
        <v>1000</v>
      </c>
      <c r="S8634" s="19">
        <v>75000</v>
      </c>
      <c r="AE8634" s="17" t="s">
        <v>787</v>
      </c>
      <c r="AJ8634" s="19">
        <v>0</v>
      </c>
      <c r="AK8634" s="23">
        <v>0</v>
      </c>
      <c r="AM8634" s="19">
        <v>0</v>
      </c>
      <c r="AN8634" s="19">
        <v>75000</v>
      </c>
      <c r="AP8634" s="14">
        <v>75000</v>
      </c>
      <c r="AQ8634" s="12">
        <v>3.0000000000000001E-3</v>
      </c>
    </row>
    <row r="8635" spans="1:45" x14ac:dyDescent="0.2">
      <c r="A8635" s="122">
        <f t="shared" si="789"/>
        <v>7087</v>
      </c>
      <c r="B8635" s="13">
        <v>2</v>
      </c>
      <c r="C8635" s="17" t="s">
        <v>52</v>
      </c>
      <c r="D8635" s="17">
        <v>31212</v>
      </c>
      <c r="E8635" s="17">
        <v>70</v>
      </c>
      <c r="F8635" s="17">
        <v>6189</v>
      </c>
      <c r="G8635" s="13">
        <v>7</v>
      </c>
      <c r="H8635" s="17">
        <v>0</v>
      </c>
      <c r="I8635" s="17">
        <v>0</v>
      </c>
      <c r="J8635" s="17">
        <v>37</v>
      </c>
      <c r="N8635" s="18">
        <v>37</v>
      </c>
      <c r="P8635" s="17">
        <v>4</v>
      </c>
      <c r="Q8635" s="19">
        <v>37</v>
      </c>
      <c r="R8635" s="14">
        <v>1000</v>
      </c>
      <c r="S8635" s="19">
        <v>37000</v>
      </c>
      <c r="AE8635" s="17" t="s">
        <v>787</v>
      </c>
      <c r="AJ8635" s="19">
        <v>0</v>
      </c>
      <c r="AK8635" s="23">
        <v>0</v>
      </c>
      <c r="AM8635" s="19">
        <v>0</v>
      </c>
      <c r="AN8635" s="19">
        <v>37000</v>
      </c>
      <c r="AP8635" s="14">
        <v>37000</v>
      </c>
      <c r="AQ8635" s="12">
        <v>3.0000000000000001E-3</v>
      </c>
    </row>
    <row r="8636" spans="1:45" x14ac:dyDescent="0.2">
      <c r="A8636" s="122">
        <f t="shared" si="789"/>
        <v>7088</v>
      </c>
      <c r="B8636" s="13">
        <v>3</v>
      </c>
      <c r="C8636" s="17" t="s">
        <v>52</v>
      </c>
      <c r="D8636" s="17">
        <v>31213</v>
      </c>
      <c r="E8636" s="17">
        <v>71</v>
      </c>
      <c r="F8636" s="17">
        <v>6190</v>
      </c>
      <c r="G8636" s="13">
        <v>7</v>
      </c>
      <c r="H8636" s="17">
        <v>0</v>
      </c>
      <c r="I8636" s="17">
        <v>0</v>
      </c>
      <c r="J8636" s="17">
        <v>75</v>
      </c>
      <c r="N8636" s="18">
        <v>75</v>
      </c>
      <c r="P8636" s="17">
        <v>4</v>
      </c>
      <c r="Q8636" s="19">
        <v>75</v>
      </c>
      <c r="R8636" s="14">
        <v>1000</v>
      </c>
      <c r="S8636" s="19">
        <v>75000</v>
      </c>
      <c r="AE8636" s="17" t="s">
        <v>787</v>
      </c>
      <c r="AJ8636" s="19">
        <v>0</v>
      </c>
      <c r="AK8636" s="23">
        <v>0</v>
      </c>
      <c r="AM8636" s="19">
        <v>0</v>
      </c>
      <c r="AN8636" s="19">
        <v>75000</v>
      </c>
      <c r="AP8636" s="14">
        <v>75000</v>
      </c>
      <c r="AQ8636" s="12">
        <v>3.0000000000000001E-3</v>
      </c>
    </row>
    <row r="8637" spans="1:45" x14ac:dyDescent="0.2">
      <c r="A8637" s="122">
        <f t="shared" si="789"/>
        <v>7089</v>
      </c>
      <c r="B8637" s="13">
        <v>1</v>
      </c>
      <c r="C8637" s="17" t="s">
        <v>52</v>
      </c>
      <c r="D8637" s="17">
        <v>23456</v>
      </c>
      <c r="E8637" s="17">
        <v>209</v>
      </c>
      <c r="F8637" s="17">
        <v>4850</v>
      </c>
      <c r="G8637" s="13">
        <v>1</v>
      </c>
      <c r="H8637" s="17">
        <v>0</v>
      </c>
      <c r="I8637" s="17">
        <v>1</v>
      </c>
      <c r="J8637" s="17">
        <v>21</v>
      </c>
      <c r="N8637" s="18">
        <v>121</v>
      </c>
      <c r="P8637" s="17">
        <v>4</v>
      </c>
      <c r="Q8637" s="19">
        <v>121</v>
      </c>
      <c r="R8637" s="14">
        <v>200</v>
      </c>
      <c r="S8637" s="19">
        <v>24200</v>
      </c>
      <c r="AE8637" s="17" t="s">
        <v>206</v>
      </c>
      <c r="AG8637" s="54">
        <v>0</v>
      </c>
      <c r="AJ8637" s="19">
        <v>0</v>
      </c>
      <c r="AM8637" s="19">
        <v>0</v>
      </c>
      <c r="AN8637" s="19">
        <v>24200</v>
      </c>
      <c r="AP8637" s="14">
        <v>24200</v>
      </c>
      <c r="AQ8637" s="12">
        <v>3.0000000000000001E-3</v>
      </c>
    </row>
    <row r="8638" spans="1:45" x14ac:dyDescent="0.2">
      <c r="A8638" s="122">
        <f t="shared" si="789"/>
        <v>7090</v>
      </c>
      <c r="B8638" s="13">
        <v>1</v>
      </c>
      <c r="C8638" s="17" t="s">
        <v>52</v>
      </c>
      <c r="D8638" s="17">
        <v>36031</v>
      </c>
      <c r="E8638" s="17">
        <v>54</v>
      </c>
      <c r="F8638" s="17">
        <v>3662</v>
      </c>
      <c r="G8638" s="13">
        <v>5</v>
      </c>
      <c r="H8638" s="17">
        <v>0</v>
      </c>
      <c r="I8638" s="17">
        <v>3</v>
      </c>
      <c r="J8638" s="17">
        <v>48</v>
      </c>
      <c r="K8638" s="10">
        <v>348</v>
      </c>
      <c r="P8638" s="17">
        <v>1</v>
      </c>
      <c r="Q8638" s="19">
        <v>348</v>
      </c>
      <c r="R8638" s="14">
        <v>200</v>
      </c>
      <c r="S8638" s="19">
        <v>69600</v>
      </c>
      <c r="AE8638" s="17" t="s">
        <v>774</v>
      </c>
      <c r="AJ8638" s="19">
        <v>0</v>
      </c>
      <c r="AK8638" s="23">
        <v>0</v>
      </c>
      <c r="AM8638" s="19">
        <v>0</v>
      </c>
      <c r="AN8638" s="19">
        <v>69600</v>
      </c>
      <c r="AP8638" s="14">
        <v>69600</v>
      </c>
    </row>
    <row r="8639" spans="1:45" x14ac:dyDescent="0.2">
      <c r="A8639" s="122">
        <f t="shared" si="789"/>
        <v>7091</v>
      </c>
      <c r="B8639" s="13">
        <v>1</v>
      </c>
      <c r="C8639" s="17" t="s">
        <v>52</v>
      </c>
      <c r="D8639" s="17">
        <v>33775</v>
      </c>
      <c r="E8639" s="17">
        <v>92</v>
      </c>
      <c r="F8639" s="17">
        <v>6683</v>
      </c>
      <c r="G8639" s="13">
        <v>4</v>
      </c>
      <c r="H8639" s="17">
        <v>0</v>
      </c>
      <c r="I8639" s="17">
        <v>0</v>
      </c>
      <c r="J8639" s="17">
        <v>23</v>
      </c>
      <c r="K8639" s="10">
        <v>23</v>
      </c>
      <c r="P8639" s="17">
        <v>1</v>
      </c>
      <c r="Q8639" s="19">
        <v>23</v>
      </c>
      <c r="R8639" s="14">
        <v>250</v>
      </c>
      <c r="S8639" s="19">
        <v>5750</v>
      </c>
      <c r="AE8639" s="17" t="s">
        <v>868</v>
      </c>
      <c r="AJ8639" s="19">
        <v>0</v>
      </c>
      <c r="AK8639" s="23">
        <v>0</v>
      </c>
      <c r="AM8639" s="19">
        <v>0</v>
      </c>
      <c r="AN8639" s="19">
        <v>5750</v>
      </c>
      <c r="AP8639" s="14">
        <v>5750</v>
      </c>
    </row>
    <row r="8640" spans="1:45" x14ac:dyDescent="0.2">
      <c r="A8640" s="122">
        <f t="shared" si="789"/>
        <v>7092</v>
      </c>
      <c r="B8640" s="13">
        <v>1</v>
      </c>
      <c r="C8640" s="17" t="s">
        <v>52</v>
      </c>
      <c r="D8640" s="17">
        <v>17925</v>
      </c>
      <c r="E8640" s="17">
        <v>30</v>
      </c>
      <c r="F8640" s="17">
        <v>3876</v>
      </c>
      <c r="G8640" s="13">
        <v>4</v>
      </c>
      <c r="H8640" s="17">
        <v>2</v>
      </c>
      <c r="I8640" s="17">
        <v>3</v>
      </c>
      <c r="J8640" s="17">
        <v>37</v>
      </c>
      <c r="K8640" s="10">
        <v>1137</v>
      </c>
      <c r="P8640" s="17">
        <v>1</v>
      </c>
      <c r="Q8640" s="19">
        <v>1137</v>
      </c>
      <c r="R8640" s="14">
        <v>160</v>
      </c>
      <c r="S8640" s="19">
        <v>181920</v>
      </c>
      <c r="AE8640" s="17" t="s">
        <v>869</v>
      </c>
      <c r="AJ8640" s="19">
        <v>0</v>
      </c>
      <c r="AK8640" s="23">
        <v>0</v>
      </c>
      <c r="AM8640" s="19">
        <v>0</v>
      </c>
      <c r="AN8640" s="19">
        <v>181920</v>
      </c>
      <c r="AP8640" s="14">
        <v>181920</v>
      </c>
    </row>
    <row r="8641" spans="1:45" x14ac:dyDescent="0.2">
      <c r="A8641" s="122">
        <f t="shared" si="789"/>
        <v>7093</v>
      </c>
      <c r="B8641" s="13">
        <v>1</v>
      </c>
      <c r="C8641" s="17" t="s">
        <v>52</v>
      </c>
      <c r="D8641" s="17">
        <v>37190</v>
      </c>
      <c r="E8641" s="17">
        <v>21</v>
      </c>
      <c r="F8641" s="17">
        <v>7299</v>
      </c>
      <c r="G8641" s="13">
        <v>1</v>
      </c>
      <c r="H8641" s="17">
        <v>1</v>
      </c>
      <c r="I8641" s="17">
        <v>1</v>
      </c>
      <c r="J8641" s="17">
        <v>82.02</v>
      </c>
      <c r="K8641" s="10">
        <v>582</v>
      </c>
      <c r="P8641" s="17">
        <v>1</v>
      </c>
      <c r="Q8641" s="19">
        <v>582.02</v>
      </c>
      <c r="R8641" s="14">
        <v>200</v>
      </c>
      <c r="S8641" s="19">
        <v>116404</v>
      </c>
      <c r="AE8641" s="17" t="s">
        <v>801</v>
      </c>
      <c r="AJ8641" s="19">
        <v>0</v>
      </c>
      <c r="AK8641" s="23">
        <v>0</v>
      </c>
      <c r="AM8641" s="19">
        <v>0</v>
      </c>
      <c r="AN8641" s="19">
        <v>116404</v>
      </c>
      <c r="AP8641" s="14">
        <v>116404</v>
      </c>
    </row>
    <row r="8642" spans="1:45" x14ac:dyDescent="0.2">
      <c r="A8642" s="122">
        <f t="shared" si="789"/>
        <v>7094</v>
      </c>
      <c r="B8642" s="13">
        <v>1</v>
      </c>
      <c r="C8642" s="17" t="s">
        <v>52</v>
      </c>
      <c r="D8642" s="17">
        <v>15970</v>
      </c>
      <c r="E8642" s="17">
        <v>159</v>
      </c>
      <c r="F8642" s="17">
        <v>3479</v>
      </c>
      <c r="G8642" s="13">
        <v>3</v>
      </c>
      <c r="H8642" s="17">
        <v>0</v>
      </c>
      <c r="I8642" s="17">
        <v>2</v>
      </c>
      <c r="J8642" s="17">
        <v>4</v>
      </c>
      <c r="N8642" s="18">
        <v>204</v>
      </c>
      <c r="P8642" s="17">
        <v>4</v>
      </c>
      <c r="Q8642" s="19">
        <v>204</v>
      </c>
      <c r="R8642" s="14">
        <v>2000</v>
      </c>
      <c r="S8642" s="19">
        <v>408000</v>
      </c>
      <c r="AE8642" s="17" t="s">
        <v>440</v>
      </c>
      <c r="AJ8642" s="19">
        <v>0</v>
      </c>
      <c r="AK8642" s="23">
        <v>0</v>
      </c>
      <c r="AM8642" s="19">
        <v>0</v>
      </c>
      <c r="AN8642" s="19">
        <v>408000</v>
      </c>
      <c r="AP8642" s="14">
        <v>408000</v>
      </c>
      <c r="AQ8642" s="12">
        <v>3.0000000000000001E-3</v>
      </c>
    </row>
    <row r="8643" spans="1:45" x14ac:dyDescent="0.2">
      <c r="A8643" s="122">
        <f t="shared" si="789"/>
        <v>7095</v>
      </c>
      <c r="B8643" s="13">
        <v>1</v>
      </c>
      <c r="C8643" s="17" t="s">
        <v>52</v>
      </c>
      <c r="D8643" s="17">
        <v>36942</v>
      </c>
      <c r="E8643" s="17">
        <v>171</v>
      </c>
      <c r="F8643" s="17">
        <v>7113</v>
      </c>
      <c r="G8643" s="13">
        <v>3</v>
      </c>
      <c r="H8643" s="17">
        <v>0</v>
      </c>
      <c r="I8643" s="17">
        <v>1</v>
      </c>
      <c r="J8643" s="17">
        <v>7</v>
      </c>
      <c r="N8643" s="18">
        <v>107</v>
      </c>
      <c r="P8643" s="17">
        <v>4</v>
      </c>
      <c r="Q8643" s="19">
        <v>107</v>
      </c>
      <c r="R8643" s="14">
        <v>1500</v>
      </c>
      <c r="S8643" s="19">
        <v>160500</v>
      </c>
      <c r="AE8643" s="17" t="s">
        <v>452</v>
      </c>
      <c r="AJ8643" s="19">
        <v>0</v>
      </c>
      <c r="AK8643" s="23">
        <v>0</v>
      </c>
      <c r="AM8643" s="19">
        <v>0</v>
      </c>
      <c r="AN8643" s="19">
        <v>160500</v>
      </c>
      <c r="AP8643" s="14">
        <v>160500</v>
      </c>
      <c r="AQ8643" s="12">
        <v>3.0000000000000001E-3</v>
      </c>
    </row>
    <row r="8644" spans="1:45" x14ac:dyDescent="0.2">
      <c r="A8644" s="122">
        <f t="shared" si="789"/>
        <v>7096</v>
      </c>
      <c r="B8644" s="13">
        <v>2</v>
      </c>
      <c r="C8644" s="17" t="s">
        <v>52</v>
      </c>
      <c r="D8644" s="17">
        <v>36946</v>
      </c>
      <c r="E8644" s="17">
        <v>41</v>
      </c>
      <c r="F8644" s="17">
        <v>7117</v>
      </c>
      <c r="G8644" s="13">
        <v>3</v>
      </c>
      <c r="H8644" s="17">
        <v>6</v>
      </c>
      <c r="I8644" s="17">
        <v>3</v>
      </c>
      <c r="J8644" s="17">
        <v>95</v>
      </c>
      <c r="K8644" s="10">
        <v>2795</v>
      </c>
      <c r="P8644" s="17">
        <v>1</v>
      </c>
      <c r="Q8644" s="19">
        <v>2795</v>
      </c>
      <c r="R8644" s="14">
        <v>500</v>
      </c>
      <c r="S8644" s="19">
        <v>1397500</v>
      </c>
      <c r="AE8644" s="17" t="s">
        <v>452</v>
      </c>
      <c r="AJ8644" s="19">
        <v>0</v>
      </c>
      <c r="AK8644" s="23">
        <v>0</v>
      </c>
      <c r="AM8644" s="19">
        <v>0</v>
      </c>
      <c r="AN8644" s="19">
        <v>1397500</v>
      </c>
      <c r="AP8644" s="14">
        <v>1397500</v>
      </c>
    </row>
    <row r="8645" spans="1:45" x14ac:dyDescent="0.2">
      <c r="A8645" s="122">
        <f t="shared" si="789"/>
        <v>7097</v>
      </c>
      <c r="B8645" s="13">
        <v>1</v>
      </c>
      <c r="C8645" s="17" t="s">
        <v>52</v>
      </c>
      <c r="D8645" s="17">
        <v>5923</v>
      </c>
      <c r="E8645" s="17">
        <v>63</v>
      </c>
      <c r="F8645" s="17">
        <v>3056</v>
      </c>
      <c r="G8645" s="13">
        <v>5</v>
      </c>
      <c r="H8645" s="17">
        <v>0</v>
      </c>
      <c r="I8645" s="17">
        <v>1</v>
      </c>
      <c r="J8645" s="17">
        <v>22</v>
      </c>
      <c r="K8645" s="10">
        <v>122</v>
      </c>
      <c r="P8645" s="17">
        <v>1</v>
      </c>
      <c r="Q8645" s="19">
        <v>122</v>
      </c>
      <c r="R8645" s="14">
        <v>1100</v>
      </c>
      <c r="S8645" s="19">
        <v>134200</v>
      </c>
      <c r="AE8645" s="17" t="s">
        <v>870</v>
      </c>
      <c r="AJ8645" s="19">
        <v>0</v>
      </c>
      <c r="AK8645" s="23">
        <v>0</v>
      </c>
      <c r="AM8645" s="19">
        <v>0</v>
      </c>
      <c r="AN8645" s="19">
        <v>134200</v>
      </c>
      <c r="AP8645" s="14">
        <v>134200</v>
      </c>
    </row>
    <row r="8646" spans="1:45" x14ac:dyDescent="0.2">
      <c r="A8646" s="122">
        <f t="shared" si="789"/>
        <v>7098</v>
      </c>
      <c r="B8646" s="13">
        <v>2</v>
      </c>
      <c r="C8646" s="17" t="s">
        <v>52</v>
      </c>
      <c r="D8646" s="17">
        <v>5924</v>
      </c>
      <c r="E8646" s="17">
        <v>64</v>
      </c>
      <c r="F8646" s="17">
        <v>3057</v>
      </c>
      <c r="G8646" s="13">
        <v>5</v>
      </c>
      <c r="H8646" s="17">
        <v>0</v>
      </c>
      <c r="I8646" s="17">
        <v>1</v>
      </c>
      <c r="J8646" s="17">
        <v>75</v>
      </c>
      <c r="K8646" s="10">
        <v>175</v>
      </c>
      <c r="P8646" s="17">
        <v>1</v>
      </c>
      <c r="Q8646" s="19">
        <v>175</v>
      </c>
      <c r="R8646" s="14">
        <v>1100</v>
      </c>
      <c r="S8646" s="19">
        <v>192500</v>
      </c>
      <c r="AE8646" s="17" t="s">
        <v>870</v>
      </c>
      <c r="AJ8646" s="19">
        <v>0</v>
      </c>
      <c r="AK8646" s="23">
        <v>0</v>
      </c>
      <c r="AM8646" s="19">
        <v>0</v>
      </c>
      <c r="AN8646" s="19">
        <v>192500</v>
      </c>
      <c r="AP8646" s="14">
        <v>192500</v>
      </c>
    </row>
    <row r="8647" spans="1:45" x14ac:dyDescent="0.2">
      <c r="B8647" s="13">
        <v>1</v>
      </c>
      <c r="C8647" s="17" t="s">
        <v>65</v>
      </c>
      <c r="D8647" s="17">
        <v>3892</v>
      </c>
      <c r="E8647" s="17">
        <v>53</v>
      </c>
      <c r="H8647" s="17">
        <v>2</v>
      </c>
      <c r="I8647" s="17">
        <v>0</v>
      </c>
      <c r="J8647" s="17">
        <v>97</v>
      </c>
      <c r="K8647" s="10">
        <v>897</v>
      </c>
      <c r="P8647" s="17">
        <v>1</v>
      </c>
      <c r="Q8647" s="19">
        <v>897</v>
      </c>
      <c r="R8647" s="14" t="e">
        <v>#N/A</v>
      </c>
      <c r="S8647" s="19" t="e">
        <v>#N/A</v>
      </c>
      <c r="AE8647" s="17" t="s">
        <v>389</v>
      </c>
      <c r="AJ8647" s="19">
        <v>0</v>
      </c>
      <c r="AK8647" s="23">
        <v>0</v>
      </c>
      <c r="AM8647" s="19">
        <v>0</v>
      </c>
      <c r="AN8647" s="19" t="e">
        <v>#N/A</v>
      </c>
      <c r="AP8647" s="14" t="e">
        <v>#N/A</v>
      </c>
      <c r="AQ8647" s="12">
        <v>1E-4</v>
      </c>
    </row>
    <row r="8648" spans="1:45" x14ac:dyDescent="0.2">
      <c r="B8648" s="13">
        <v>2</v>
      </c>
      <c r="C8648" s="17" t="s">
        <v>65</v>
      </c>
      <c r="D8648" s="17">
        <v>3893</v>
      </c>
      <c r="E8648" s="17">
        <v>54</v>
      </c>
      <c r="H8648" s="17">
        <v>2</v>
      </c>
      <c r="I8648" s="17">
        <v>0</v>
      </c>
      <c r="J8648" s="17">
        <v>62</v>
      </c>
      <c r="K8648" s="10">
        <v>862</v>
      </c>
      <c r="P8648" s="17">
        <v>1</v>
      </c>
      <c r="Q8648" s="19">
        <v>862</v>
      </c>
      <c r="R8648" s="14" t="e">
        <v>#N/A</v>
      </c>
      <c r="S8648" s="19" t="e">
        <v>#N/A</v>
      </c>
      <c r="AE8648" s="17" t="s">
        <v>389</v>
      </c>
      <c r="AJ8648" s="19">
        <v>0</v>
      </c>
      <c r="AK8648" s="23">
        <v>0</v>
      </c>
      <c r="AM8648" s="19">
        <v>0</v>
      </c>
      <c r="AN8648" s="19" t="e">
        <v>#N/A</v>
      </c>
      <c r="AP8648" s="14" t="e">
        <v>#N/A</v>
      </c>
      <c r="AQ8648" s="12">
        <v>1E-4</v>
      </c>
    </row>
    <row r="8649" spans="1:45" ht="42" x14ac:dyDescent="0.2">
      <c r="B8649" s="13">
        <v>1</v>
      </c>
      <c r="C8649" s="17" t="s">
        <v>65</v>
      </c>
      <c r="D8649" s="17">
        <v>552</v>
      </c>
      <c r="E8649" s="17">
        <v>152</v>
      </c>
      <c r="H8649" s="17">
        <v>8</v>
      </c>
      <c r="I8649" s="17">
        <v>1</v>
      </c>
      <c r="J8649" s="17">
        <v>53</v>
      </c>
      <c r="K8649" s="10">
        <v>3353</v>
      </c>
      <c r="P8649" s="17">
        <v>1</v>
      </c>
      <c r="Q8649" s="19">
        <v>3353</v>
      </c>
      <c r="R8649" s="14" t="e">
        <v>#N/A</v>
      </c>
      <c r="S8649" s="19" t="e">
        <v>#N/A</v>
      </c>
      <c r="AE8649" s="17" t="s">
        <v>871</v>
      </c>
      <c r="AF8649" s="14" t="s">
        <v>94</v>
      </c>
      <c r="AJ8649" s="19">
        <v>0</v>
      </c>
      <c r="AK8649" s="23">
        <v>0</v>
      </c>
      <c r="AM8649" s="19">
        <v>0</v>
      </c>
      <c r="AN8649" s="19" t="e">
        <v>#N/A</v>
      </c>
      <c r="AP8649" s="14" t="e">
        <v>#N/A</v>
      </c>
      <c r="AQ8649" s="12">
        <v>1E-4</v>
      </c>
      <c r="AS8649" s="26" t="s">
        <v>315</v>
      </c>
    </row>
    <row r="8650" spans="1:45" x14ac:dyDescent="0.2">
      <c r="A8650" s="2">
        <v>7099</v>
      </c>
      <c r="B8650" s="13">
        <v>1</v>
      </c>
      <c r="C8650" s="17" t="s">
        <v>65</v>
      </c>
      <c r="D8650" s="17">
        <v>1398</v>
      </c>
      <c r="E8650" s="17">
        <v>87</v>
      </c>
      <c r="H8650" s="17">
        <v>10</v>
      </c>
      <c r="I8650" s="17">
        <v>0</v>
      </c>
      <c r="J8650" s="17">
        <v>0</v>
      </c>
      <c r="K8650" s="10">
        <v>4000</v>
      </c>
      <c r="P8650" s="17">
        <v>1</v>
      </c>
      <c r="Q8650" s="19">
        <v>4000</v>
      </c>
      <c r="R8650" s="14">
        <v>160</v>
      </c>
      <c r="S8650" s="19">
        <v>640000</v>
      </c>
      <c r="AE8650" s="17" t="s">
        <v>872</v>
      </c>
      <c r="AJ8650" s="19">
        <v>0</v>
      </c>
      <c r="AK8650" s="23">
        <v>0</v>
      </c>
      <c r="AM8650" s="19">
        <v>0</v>
      </c>
      <c r="AN8650" s="19">
        <v>640000</v>
      </c>
      <c r="AP8650" s="14">
        <v>640000</v>
      </c>
      <c r="AQ8650" s="12">
        <v>1E-4</v>
      </c>
    </row>
    <row r="8651" spans="1:45" x14ac:dyDescent="0.2">
      <c r="A8651" s="2">
        <v>7100</v>
      </c>
      <c r="B8651" s="13">
        <v>1</v>
      </c>
      <c r="C8651" s="17" t="s">
        <v>65</v>
      </c>
      <c r="D8651" s="17">
        <v>3615</v>
      </c>
      <c r="E8651" s="17">
        <v>171</v>
      </c>
      <c r="H8651" s="17">
        <v>0</v>
      </c>
      <c r="I8651" s="17">
        <v>2</v>
      </c>
      <c r="J8651" s="17">
        <v>23</v>
      </c>
      <c r="K8651" s="10">
        <v>223</v>
      </c>
      <c r="P8651" s="17">
        <v>1</v>
      </c>
      <c r="Q8651" s="19">
        <v>223</v>
      </c>
      <c r="R8651" s="14">
        <v>160</v>
      </c>
      <c r="S8651" s="19">
        <v>35680</v>
      </c>
      <c r="AE8651" s="17" t="s">
        <v>601</v>
      </c>
      <c r="AJ8651" s="19">
        <v>0</v>
      </c>
      <c r="AK8651" s="23">
        <v>0</v>
      </c>
      <c r="AM8651" s="19">
        <v>0</v>
      </c>
      <c r="AN8651" s="19">
        <v>35680</v>
      </c>
      <c r="AP8651" s="14">
        <v>35680</v>
      </c>
      <c r="AQ8651" s="12">
        <v>1E-4</v>
      </c>
    </row>
    <row r="8652" spans="1:45" x14ac:dyDescent="0.2">
      <c r="B8652" s="13">
        <v>1</v>
      </c>
      <c r="C8652" s="17" t="s">
        <v>65</v>
      </c>
      <c r="D8652" s="17">
        <v>3724</v>
      </c>
      <c r="E8652" s="17">
        <v>171</v>
      </c>
      <c r="H8652" s="17">
        <v>0</v>
      </c>
      <c r="I8652" s="17">
        <v>1</v>
      </c>
      <c r="J8652" s="17">
        <v>3</v>
      </c>
      <c r="N8652" s="18">
        <v>103</v>
      </c>
      <c r="P8652" s="17">
        <v>1</v>
      </c>
      <c r="Q8652" s="19">
        <v>103</v>
      </c>
      <c r="R8652" s="14" t="e">
        <v>#N/A</v>
      </c>
      <c r="S8652" s="19" t="e">
        <v>#N/A</v>
      </c>
      <c r="AE8652" s="17" t="s">
        <v>619</v>
      </c>
      <c r="AJ8652" s="19">
        <v>0</v>
      </c>
      <c r="AK8652" s="23">
        <v>0</v>
      </c>
      <c r="AM8652" s="19">
        <v>0</v>
      </c>
      <c r="AN8652" s="19" t="e">
        <v>#N/A</v>
      </c>
      <c r="AP8652" s="14" t="e">
        <v>#N/A</v>
      </c>
      <c r="AQ8652" s="12">
        <v>3.0000000000000001E-3</v>
      </c>
    </row>
    <row r="8653" spans="1:45" x14ac:dyDescent="0.2">
      <c r="A8653" s="2">
        <v>7101</v>
      </c>
      <c r="B8653" s="13">
        <v>1</v>
      </c>
      <c r="C8653" s="17" t="s">
        <v>65</v>
      </c>
      <c r="D8653" s="17">
        <v>3130</v>
      </c>
      <c r="E8653" s="17">
        <v>478</v>
      </c>
      <c r="H8653" s="17">
        <v>0</v>
      </c>
      <c r="I8653" s="17">
        <v>0</v>
      </c>
      <c r="J8653" s="17">
        <v>97</v>
      </c>
      <c r="K8653" s="10">
        <v>97</v>
      </c>
      <c r="P8653" s="17">
        <v>1</v>
      </c>
      <c r="Q8653" s="19">
        <v>97</v>
      </c>
      <c r="R8653" s="14">
        <v>250</v>
      </c>
      <c r="S8653" s="19">
        <v>24250</v>
      </c>
      <c r="AE8653" s="17" t="s">
        <v>130</v>
      </c>
      <c r="AG8653" s="54">
        <v>0</v>
      </c>
      <c r="AJ8653" s="19">
        <v>0</v>
      </c>
      <c r="AM8653" s="19">
        <v>0</v>
      </c>
      <c r="AN8653" s="19">
        <v>24250</v>
      </c>
      <c r="AP8653" s="14">
        <v>24250</v>
      </c>
      <c r="AQ8653" s="12">
        <v>1E-4</v>
      </c>
      <c r="AS8653" s="26">
        <v>2</v>
      </c>
    </row>
    <row r="8654" spans="1:45" x14ac:dyDescent="0.2">
      <c r="A8654" s="2">
        <v>7102</v>
      </c>
      <c r="B8654" s="13">
        <v>1</v>
      </c>
      <c r="C8654" s="17" t="s">
        <v>52</v>
      </c>
      <c r="D8654" s="17">
        <v>36612</v>
      </c>
      <c r="E8654" s="17">
        <v>4</v>
      </c>
      <c r="F8654" s="17">
        <v>7160</v>
      </c>
      <c r="G8654" s="13">
        <v>3</v>
      </c>
      <c r="H8654" s="17">
        <v>4</v>
      </c>
      <c r="I8654" s="17">
        <v>1</v>
      </c>
      <c r="J8654" s="17">
        <v>13.2</v>
      </c>
      <c r="M8654" s="15">
        <v>1713.2</v>
      </c>
      <c r="P8654" s="17">
        <v>3</v>
      </c>
      <c r="Q8654" s="19">
        <v>1713.2</v>
      </c>
      <c r="R8654" s="14">
        <v>160</v>
      </c>
      <c r="S8654" s="19">
        <v>274112</v>
      </c>
      <c r="AE8654" s="17" t="s">
        <v>449</v>
      </c>
      <c r="AG8654" s="54">
        <v>0</v>
      </c>
      <c r="AJ8654" s="19">
        <v>0</v>
      </c>
      <c r="AM8654" s="19">
        <v>0</v>
      </c>
      <c r="AN8654" s="19">
        <v>274112</v>
      </c>
      <c r="AP8654" s="14">
        <v>274112</v>
      </c>
      <c r="AQ8654" s="12">
        <v>3.0000000000000001E-3</v>
      </c>
      <c r="AS8654" s="26">
        <v>3</v>
      </c>
    </row>
    <row r="8655" spans="1:45" x14ac:dyDescent="0.2">
      <c r="B8655" s="13">
        <v>1</v>
      </c>
      <c r="C8655" s="17" t="s">
        <v>52</v>
      </c>
      <c r="D8655" s="17">
        <v>31149</v>
      </c>
      <c r="E8655" s="17">
        <v>100</v>
      </c>
      <c r="F8655" s="17">
        <v>6094</v>
      </c>
      <c r="H8655" s="17">
        <v>1</v>
      </c>
      <c r="I8655" s="17">
        <v>0</v>
      </c>
      <c r="J8655" s="17">
        <v>40.5</v>
      </c>
      <c r="L8655" s="17" t="s">
        <v>873</v>
      </c>
      <c r="P8655" s="17">
        <v>2</v>
      </c>
      <c r="R8655" s="14" t="e">
        <v>#N/A</v>
      </c>
      <c r="S8655" s="19" t="e">
        <v>#N/A</v>
      </c>
      <c r="AJ8655" s="19">
        <v>0</v>
      </c>
      <c r="AK8655" s="23">
        <v>0</v>
      </c>
      <c r="AM8655" s="19">
        <v>0</v>
      </c>
      <c r="AN8655" s="19" t="e">
        <v>#N/A</v>
      </c>
    </row>
    <row r="8656" spans="1:45" x14ac:dyDescent="0.2">
      <c r="B8656" s="13">
        <v>2</v>
      </c>
      <c r="C8656" s="17" t="s">
        <v>52</v>
      </c>
      <c r="D8656" s="17">
        <v>41005</v>
      </c>
      <c r="E8656" s="17">
        <v>143</v>
      </c>
      <c r="F8656" s="17">
        <v>8076</v>
      </c>
      <c r="H8656" s="17">
        <v>1</v>
      </c>
      <c r="I8656" s="17">
        <v>0</v>
      </c>
      <c r="J8656" s="17">
        <v>41.9</v>
      </c>
      <c r="L8656" s="17" t="s">
        <v>874</v>
      </c>
      <c r="P8656" s="17">
        <v>2</v>
      </c>
      <c r="R8656" s="14" t="e">
        <v>#N/A</v>
      </c>
      <c r="S8656" s="19" t="e">
        <v>#N/A</v>
      </c>
      <c r="AJ8656" s="19">
        <v>0</v>
      </c>
      <c r="AK8656" s="23">
        <v>0</v>
      </c>
      <c r="AM8656" s="19">
        <v>0</v>
      </c>
      <c r="AN8656" s="19" t="e">
        <v>#N/A</v>
      </c>
    </row>
    <row r="8657" spans="1:44" s="26" customFormat="1" x14ac:dyDescent="0.2">
      <c r="A8657" s="2">
        <v>7103</v>
      </c>
      <c r="B8657" s="13">
        <v>1</v>
      </c>
      <c r="C8657" s="17" t="s">
        <v>52</v>
      </c>
      <c r="D8657" s="17">
        <v>31627</v>
      </c>
      <c r="E8657" s="17">
        <v>131</v>
      </c>
      <c r="F8657" s="17">
        <v>6227</v>
      </c>
      <c r="G8657" s="13">
        <v>1</v>
      </c>
      <c r="H8657" s="17">
        <v>0</v>
      </c>
      <c r="I8657" s="17">
        <v>2</v>
      </c>
      <c r="J8657" s="17">
        <v>45</v>
      </c>
      <c r="K8657" s="10"/>
      <c r="L8657" s="17">
        <v>245</v>
      </c>
      <c r="M8657" s="15"/>
      <c r="N8657" s="18"/>
      <c r="O8657" s="14"/>
      <c r="P8657" s="17">
        <v>2</v>
      </c>
      <c r="Q8657" s="19">
        <v>245</v>
      </c>
      <c r="R8657" s="14">
        <v>250</v>
      </c>
      <c r="S8657" s="19">
        <v>61250</v>
      </c>
      <c r="T8657" s="17"/>
      <c r="U8657" s="17"/>
      <c r="V8657" s="17"/>
      <c r="W8657" s="4"/>
      <c r="X8657" s="17"/>
      <c r="Y8657" s="4"/>
      <c r="Z8657" s="17"/>
      <c r="AA8657" s="17"/>
      <c r="AB8657" s="17"/>
      <c r="AC8657" s="14"/>
      <c r="AD8657" s="14"/>
      <c r="AE8657" s="17"/>
      <c r="AF8657" s="14"/>
      <c r="AG8657" s="54">
        <v>0</v>
      </c>
      <c r="AH8657" s="11"/>
      <c r="AI8657" s="14"/>
      <c r="AJ8657" s="19">
        <v>0</v>
      </c>
      <c r="AK8657" s="23"/>
      <c r="AL8657" s="11"/>
      <c r="AM8657" s="19">
        <v>0</v>
      </c>
      <c r="AN8657" s="19">
        <v>61250</v>
      </c>
      <c r="AO8657" s="14"/>
      <c r="AP8657" s="14">
        <v>61250</v>
      </c>
      <c r="AQ8657" s="12"/>
      <c r="AR8657" s="19"/>
    </row>
    <row r="8658" spans="1:44" s="26" customFormat="1" x14ac:dyDescent="0.2">
      <c r="A8658" s="2">
        <f>+A8657+1</f>
        <v>7104</v>
      </c>
      <c r="B8658" s="13">
        <v>1</v>
      </c>
      <c r="C8658" s="17" t="s">
        <v>52</v>
      </c>
      <c r="D8658" s="17">
        <v>17687</v>
      </c>
      <c r="E8658" s="17">
        <v>30</v>
      </c>
      <c r="F8658" s="17">
        <v>3815</v>
      </c>
      <c r="G8658" s="13">
        <v>3</v>
      </c>
      <c r="H8658" s="17">
        <v>13</v>
      </c>
      <c r="I8658" s="17">
        <v>1</v>
      </c>
      <c r="J8658" s="17">
        <v>52</v>
      </c>
      <c r="K8658" s="10">
        <v>5352</v>
      </c>
      <c r="L8658" s="17"/>
      <c r="M8658" s="15"/>
      <c r="N8658" s="18"/>
      <c r="O8658" s="14"/>
      <c r="P8658" s="17">
        <v>1</v>
      </c>
      <c r="Q8658" s="19">
        <v>5352</v>
      </c>
      <c r="R8658" s="14">
        <v>160</v>
      </c>
      <c r="S8658" s="19">
        <v>856320</v>
      </c>
      <c r="T8658" s="17"/>
      <c r="U8658" s="17"/>
      <c r="V8658" s="17"/>
      <c r="W8658" s="4"/>
      <c r="X8658" s="17"/>
      <c r="Y8658" s="4"/>
      <c r="Z8658" s="17"/>
      <c r="AA8658" s="17"/>
      <c r="AB8658" s="17"/>
      <c r="AC8658" s="14"/>
      <c r="AD8658" s="14"/>
      <c r="AE8658" s="17"/>
      <c r="AF8658" s="14"/>
      <c r="AG8658" s="54"/>
      <c r="AH8658" s="11"/>
      <c r="AI8658" s="14"/>
      <c r="AJ8658" s="19">
        <v>0</v>
      </c>
      <c r="AK8658" s="23">
        <v>0</v>
      </c>
      <c r="AL8658" s="11"/>
      <c r="AM8658" s="19">
        <v>0</v>
      </c>
      <c r="AN8658" s="19">
        <v>856320</v>
      </c>
      <c r="AO8658" s="14"/>
      <c r="AP8658" s="14">
        <v>856320</v>
      </c>
      <c r="AQ8658" s="12"/>
      <c r="AR8658" s="19"/>
    </row>
    <row r="8659" spans="1:44" s="26" customFormat="1" x14ac:dyDescent="0.2">
      <c r="A8659" s="122">
        <f t="shared" ref="A8659:A8673" si="790">+A8658+1</f>
        <v>7105</v>
      </c>
      <c r="B8659" s="13">
        <v>2</v>
      </c>
      <c r="C8659" s="17" t="s">
        <v>65</v>
      </c>
      <c r="D8659" s="17">
        <v>359</v>
      </c>
      <c r="E8659" s="17">
        <v>105</v>
      </c>
      <c r="F8659" s="17"/>
      <c r="G8659" s="13"/>
      <c r="H8659" s="17">
        <v>19</v>
      </c>
      <c r="I8659" s="17">
        <v>0</v>
      </c>
      <c r="J8659" s="17">
        <v>53</v>
      </c>
      <c r="K8659" s="10">
        <v>7653</v>
      </c>
      <c r="L8659" s="17"/>
      <c r="M8659" s="15"/>
      <c r="N8659" s="18"/>
      <c r="O8659" s="14"/>
      <c r="P8659" s="17">
        <v>1</v>
      </c>
      <c r="Q8659" s="19">
        <v>7653</v>
      </c>
      <c r="R8659" s="14">
        <v>160</v>
      </c>
      <c r="S8659" s="19">
        <v>1224480</v>
      </c>
      <c r="T8659" s="17"/>
      <c r="U8659" s="17"/>
      <c r="V8659" s="17"/>
      <c r="W8659" s="4"/>
      <c r="X8659" s="17"/>
      <c r="Y8659" s="4"/>
      <c r="Z8659" s="17"/>
      <c r="AA8659" s="17"/>
      <c r="AB8659" s="17"/>
      <c r="AC8659" s="14"/>
      <c r="AD8659" s="14"/>
      <c r="AE8659" s="17" t="s">
        <v>94</v>
      </c>
      <c r="AF8659" s="14"/>
      <c r="AG8659" s="54"/>
      <c r="AH8659" s="11"/>
      <c r="AI8659" s="14"/>
      <c r="AJ8659" s="19">
        <v>0</v>
      </c>
      <c r="AK8659" s="23">
        <v>0</v>
      </c>
      <c r="AL8659" s="11"/>
      <c r="AM8659" s="19">
        <v>0</v>
      </c>
      <c r="AN8659" s="19">
        <v>1224480</v>
      </c>
      <c r="AO8659" s="14"/>
      <c r="AP8659" s="14">
        <v>1224480</v>
      </c>
      <c r="AQ8659" s="12">
        <v>1E-4</v>
      </c>
      <c r="AR8659" s="19"/>
    </row>
    <row r="8660" spans="1:44" s="26" customFormat="1" ht="63" x14ac:dyDescent="0.2">
      <c r="A8660" s="122">
        <f t="shared" si="790"/>
        <v>7106</v>
      </c>
      <c r="B8660" s="13">
        <v>1</v>
      </c>
      <c r="C8660" s="17" t="s">
        <v>52</v>
      </c>
      <c r="D8660" s="17">
        <v>990</v>
      </c>
      <c r="E8660" s="17">
        <v>42</v>
      </c>
      <c r="F8660" s="17">
        <v>237</v>
      </c>
      <c r="G8660" s="13">
        <v>1</v>
      </c>
      <c r="H8660" s="17">
        <v>11</v>
      </c>
      <c r="I8660" s="17">
        <v>0</v>
      </c>
      <c r="J8660" s="17">
        <v>76</v>
      </c>
      <c r="K8660" s="10">
        <v>4476</v>
      </c>
      <c r="L8660" s="17"/>
      <c r="M8660" s="15"/>
      <c r="N8660" s="18"/>
      <c r="O8660" s="14"/>
      <c r="P8660" s="17">
        <v>1</v>
      </c>
      <c r="Q8660" s="19">
        <v>4476</v>
      </c>
      <c r="R8660" s="14">
        <v>200</v>
      </c>
      <c r="S8660" s="19">
        <v>895200</v>
      </c>
      <c r="T8660" s="17"/>
      <c r="U8660" s="17"/>
      <c r="V8660" s="17"/>
      <c r="W8660" s="4"/>
      <c r="X8660" s="17"/>
      <c r="Y8660" s="4"/>
      <c r="Z8660" s="17"/>
      <c r="AA8660" s="17"/>
      <c r="AB8660" s="17"/>
      <c r="AC8660" s="14"/>
      <c r="AD8660" s="14"/>
      <c r="AE8660" s="17"/>
      <c r="AF8660" s="14"/>
      <c r="AG8660" s="54"/>
      <c r="AH8660" s="11"/>
      <c r="AI8660" s="14"/>
      <c r="AJ8660" s="19">
        <v>0</v>
      </c>
      <c r="AK8660" s="23">
        <v>0</v>
      </c>
      <c r="AL8660" s="11"/>
      <c r="AM8660" s="19">
        <v>0</v>
      </c>
      <c r="AN8660" s="19">
        <v>895200</v>
      </c>
      <c r="AO8660" s="14"/>
      <c r="AP8660" s="14">
        <v>895200</v>
      </c>
      <c r="AQ8660" s="12"/>
      <c r="AR8660" s="19">
        <v>1800</v>
      </c>
    </row>
    <row r="8661" spans="1:44" s="26" customFormat="1" x14ac:dyDescent="0.2">
      <c r="A8661" s="122">
        <f t="shared" si="790"/>
        <v>7107</v>
      </c>
      <c r="B8661" s="13">
        <v>1</v>
      </c>
      <c r="C8661" s="17" t="s">
        <v>52</v>
      </c>
      <c r="D8661" s="17">
        <v>3794</v>
      </c>
      <c r="E8661" s="17">
        <v>50</v>
      </c>
      <c r="F8661" s="17">
        <v>2139</v>
      </c>
      <c r="G8661" s="13">
        <v>2</v>
      </c>
      <c r="H8661" s="17">
        <v>4</v>
      </c>
      <c r="I8661" s="17">
        <v>0</v>
      </c>
      <c r="J8661" s="17">
        <v>35</v>
      </c>
      <c r="K8661" s="10">
        <v>1635</v>
      </c>
      <c r="L8661" s="17"/>
      <c r="M8661" s="15"/>
      <c r="N8661" s="18"/>
      <c r="O8661" s="14"/>
      <c r="P8661" s="17">
        <v>1</v>
      </c>
      <c r="Q8661" s="19">
        <v>1635</v>
      </c>
      <c r="R8661" s="14">
        <v>160</v>
      </c>
      <c r="S8661" s="19">
        <v>261600</v>
      </c>
      <c r="T8661" s="17"/>
      <c r="U8661" s="17"/>
      <c r="V8661" s="17"/>
      <c r="W8661" s="4"/>
      <c r="X8661" s="17"/>
      <c r="Y8661" s="4"/>
      <c r="Z8661" s="17"/>
      <c r="AA8661" s="17"/>
      <c r="AB8661" s="17"/>
      <c r="AC8661" s="14"/>
      <c r="AD8661" s="14"/>
      <c r="AE8661" s="17"/>
      <c r="AF8661" s="14"/>
      <c r="AG8661" s="54">
        <v>0</v>
      </c>
      <c r="AH8661" s="11"/>
      <c r="AI8661" s="14"/>
      <c r="AJ8661" s="19">
        <v>0</v>
      </c>
      <c r="AK8661" s="23"/>
      <c r="AL8661" s="11"/>
      <c r="AM8661" s="19">
        <v>0</v>
      </c>
      <c r="AN8661" s="19">
        <v>261600</v>
      </c>
      <c r="AO8661" s="14"/>
      <c r="AP8661" s="14">
        <v>261600</v>
      </c>
      <c r="AQ8661" s="12"/>
      <c r="AR8661" s="19"/>
    </row>
    <row r="8662" spans="1:44" s="26" customFormat="1" x14ac:dyDescent="0.2">
      <c r="A8662" s="122">
        <f t="shared" si="790"/>
        <v>7108</v>
      </c>
      <c r="B8662" s="13">
        <v>1</v>
      </c>
      <c r="C8662" s="17" t="s">
        <v>52</v>
      </c>
      <c r="D8662" s="17">
        <v>31023</v>
      </c>
      <c r="E8662" s="17">
        <v>191</v>
      </c>
      <c r="F8662" s="17">
        <v>5973</v>
      </c>
      <c r="G8662" s="13">
        <v>2</v>
      </c>
      <c r="H8662" s="17">
        <v>4</v>
      </c>
      <c r="I8662" s="17">
        <v>1</v>
      </c>
      <c r="J8662" s="17">
        <v>98.06</v>
      </c>
      <c r="K8662" s="10">
        <v>1798.06</v>
      </c>
      <c r="L8662" s="17"/>
      <c r="M8662" s="15"/>
      <c r="N8662" s="18"/>
      <c r="O8662" s="14"/>
      <c r="P8662" s="17">
        <v>1</v>
      </c>
      <c r="Q8662" s="19">
        <v>1798.06</v>
      </c>
      <c r="R8662" s="14">
        <v>160</v>
      </c>
      <c r="S8662" s="19">
        <v>287689.59999999998</v>
      </c>
      <c r="T8662" s="17"/>
      <c r="U8662" s="17"/>
      <c r="V8662" s="17"/>
      <c r="W8662" s="4"/>
      <c r="X8662" s="17"/>
      <c r="Y8662" s="4"/>
      <c r="Z8662" s="17"/>
      <c r="AA8662" s="17"/>
      <c r="AB8662" s="17"/>
      <c r="AC8662" s="14"/>
      <c r="AD8662" s="14"/>
      <c r="AE8662" s="17"/>
      <c r="AF8662" s="14"/>
      <c r="AG8662" s="54">
        <v>0</v>
      </c>
      <c r="AH8662" s="11"/>
      <c r="AI8662" s="14"/>
      <c r="AJ8662" s="19">
        <v>0</v>
      </c>
      <c r="AK8662" s="23"/>
      <c r="AL8662" s="11"/>
      <c r="AM8662" s="19">
        <v>0</v>
      </c>
      <c r="AN8662" s="19">
        <v>287689.59999999998</v>
      </c>
      <c r="AO8662" s="14"/>
      <c r="AP8662" s="14">
        <v>287689.59999999998</v>
      </c>
      <c r="AQ8662" s="12"/>
      <c r="AR8662" s="19"/>
    </row>
    <row r="8663" spans="1:44" s="26" customFormat="1" x14ac:dyDescent="0.2">
      <c r="A8663" s="122">
        <f t="shared" si="790"/>
        <v>7109</v>
      </c>
      <c r="B8663" s="13">
        <v>1</v>
      </c>
      <c r="C8663" s="17" t="s">
        <v>52</v>
      </c>
      <c r="D8663" s="17">
        <v>35386</v>
      </c>
      <c r="E8663" s="17">
        <v>319</v>
      </c>
      <c r="F8663" s="17">
        <v>6890</v>
      </c>
      <c r="G8663" s="13">
        <v>1</v>
      </c>
      <c r="H8663" s="17">
        <v>0</v>
      </c>
      <c r="I8663" s="17">
        <v>0</v>
      </c>
      <c r="J8663" s="17">
        <v>61</v>
      </c>
      <c r="K8663" s="10">
        <v>61</v>
      </c>
      <c r="L8663" s="17"/>
      <c r="M8663" s="15"/>
      <c r="N8663" s="18"/>
      <c r="O8663" s="14"/>
      <c r="P8663" s="17">
        <v>1</v>
      </c>
      <c r="Q8663" s="19">
        <v>61</v>
      </c>
      <c r="R8663" s="14">
        <v>250</v>
      </c>
      <c r="S8663" s="19">
        <v>15250</v>
      </c>
      <c r="T8663" s="17"/>
      <c r="U8663" s="17"/>
      <c r="V8663" s="17"/>
      <c r="W8663" s="4"/>
      <c r="X8663" s="17"/>
      <c r="Y8663" s="4"/>
      <c r="Z8663" s="17"/>
      <c r="AA8663" s="17"/>
      <c r="AB8663" s="17"/>
      <c r="AC8663" s="14"/>
      <c r="AD8663" s="14"/>
      <c r="AE8663" s="17" t="s">
        <v>85</v>
      </c>
      <c r="AF8663" s="14"/>
      <c r="AG8663" s="54">
        <v>0</v>
      </c>
      <c r="AH8663" s="11"/>
      <c r="AI8663" s="14"/>
      <c r="AJ8663" s="19">
        <v>0</v>
      </c>
      <c r="AK8663" s="23"/>
      <c r="AL8663" s="11"/>
      <c r="AM8663" s="19">
        <v>0</v>
      </c>
      <c r="AN8663" s="19">
        <v>15250</v>
      </c>
      <c r="AO8663" s="14"/>
      <c r="AP8663" s="14">
        <v>15250</v>
      </c>
      <c r="AQ8663" s="12"/>
      <c r="AR8663" s="19"/>
    </row>
    <row r="8664" spans="1:44" s="26" customFormat="1" x14ac:dyDescent="0.2">
      <c r="A8664" s="122">
        <f t="shared" si="790"/>
        <v>7110</v>
      </c>
      <c r="B8664" s="13">
        <v>1</v>
      </c>
      <c r="C8664" s="17" t="s">
        <v>65</v>
      </c>
      <c r="D8664" s="17">
        <v>2499</v>
      </c>
      <c r="E8664" s="17">
        <v>171</v>
      </c>
      <c r="F8664" s="17"/>
      <c r="G8664" s="13"/>
      <c r="H8664" s="17">
        <v>3</v>
      </c>
      <c r="I8664" s="17">
        <v>1</v>
      </c>
      <c r="J8664" s="17">
        <v>0</v>
      </c>
      <c r="K8664" s="10">
        <v>1300</v>
      </c>
      <c r="L8664" s="17"/>
      <c r="M8664" s="15"/>
      <c r="N8664" s="18"/>
      <c r="O8664" s="14"/>
      <c r="P8664" s="17">
        <v>1</v>
      </c>
      <c r="Q8664" s="19">
        <v>1300</v>
      </c>
      <c r="R8664" s="14">
        <v>160</v>
      </c>
      <c r="S8664" s="19">
        <v>208000</v>
      </c>
      <c r="T8664" s="17"/>
      <c r="U8664" s="17"/>
      <c r="V8664" s="17"/>
      <c r="W8664" s="4"/>
      <c r="X8664" s="17"/>
      <c r="Y8664" s="4"/>
      <c r="Z8664" s="17"/>
      <c r="AA8664" s="17"/>
      <c r="AB8664" s="17"/>
      <c r="AC8664" s="14"/>
      <c r="AD8664" s="14"/>
      <c r="AE8664" s="17" t="s">
        <v>95</v>
      </c>
      <c r="AF8664" s="14"/>
      <c r="AG8664" s="54"/>
      <c r="AH8664" s="11"/>
      <c r="AI8664" s="14"/>
      <c r="AJ8664" s="19">
        <v>0</v>
      </c>
      <c r="AK8664" s="23">
        <v>0</v>
      </c>
      <c r="AL8664" s="11"/>
      <c r="AM8664" s="19">
        <v>0</v>
      </c>
      <c r="AN8664" s="19">
        <v>208000</v>
      </c>
      <c r="AO8664" s="14"/>
      <c r="AP8664" s="14">
        <v>208000</v>
      </c>
      <c r="AQ8664" s="12">
        <v>1E-4</v>
      </c>
      <c r="AR8664" s="19"/>
    </row>
    <row r="8665" spans="1:44" s="26" customFormat="1" x14ac:dyDescent="0.2">
      <c r="A8665" s="122">
        <f t="shared" si="790"/>
        <v>7111</v>
      </c>
      <c r="B8665" s="13">
        <v>1</v>
      </c>
      <c r="C8665" s="17" t="s">
        <v>65</v>
      </c>
      <c r="D8665" s="17">
        <v>2375</v>
      </c>
      <c r="E8665" s="17">
        <v>124</v>
      </c>
      <c r="F8665" s="17"/>
      <c r="G8665" s="13"/>
      <c r="H8665" s="17">
        <v>0</v>
      </c>
      <c r="I8665" s="17">
        <v>0</v>
      </c>
      <c r="J8665" s="17">
        <v>75</v>
      </c>
      <c r="K8665" s="10"/>
      <c r="L8665" s="17"/>
      <c r="M8665" s="15"/>
      <c r="N8665" s="18">
        <v>75</v>
      </c>
      <c r="O8665" s="14"/>
      <c r="P8665" s="17">
        <v>4</v>
      </c>
      <c r="Q8665" s="19">
        <v>75</v>
      </c>
      <c r="R8665" s="14">
        <v>250</v>
      </c>
      <c r="S8665" s="19">
        <v>18750</v>
      </c>
      <c r="T8665" s="17"/>
      <c r="U8665" s="17"/>
      <c r="V8665" s="17"/>
      <c r="W8665" s="4"/>
      <c r="X8665" s="17"/>
      <c r="Y8665" s="4"/>
      <c r="Z8665" s="17"/>
      <c r="AA8665" s="17"/>
      <c r="AB8665" s="17"/>
      <c r="AC8665" s="14"/>
      <c r="AD8665" s="14"/>
      <c r="AE8665" s="17" t="s">
        <v>95</v>
      </c>
      <c r="AF8665" s="14"/>
      <c r="AG8665" s="54"/>
      <c r="AH8665" s="11"/>
      <c r="AI8665" s="14"/>
      <c r="AJ8665" s="19">
        <v>0</v>
      </c>
      <c r="AK8665" s="23">
        <v>0</v>
      </c>
      <c r="AL8665" s="11"/>
      <c r="AM8665" s="19">
        <v>0</v>
      </c>
      <c r="AN8665" s="19">
        <v>18750</v>
      </c>
      <c r="AO8665" s="14"/>
      <c r="AP8665" s="14">
        <v>18750</v>
      </c>
      <c r="AQ8665" s="12">
        <v>3.0000000000000001E-3</v>
      </c>
      <c r="AR8665" s="19"/>
    </row>
    <row r="8666" spans="1:44" s="26" customFormat="1" x14ac:dyDescent="0.2">
      <c r="A8666" s="122">
        <f t="shared" si="790"/>
        <v>7112</v>
      </c>
      <c r="B8666" s="13">
        <v>1</v>
      </c>
      <c r="C8666" s="17" t="s">
        <v>65</v>
      </c>
      <c r="D8666" s="17">
        <v>1952</v>
      </c>
      <c r="E8666" s="17">
        <v>38</v>
      </c>
      <c r="F8666" s="17"/>
      <c r="G8666" s="13"/>
      <c r="H8666" s="17">
        <v>2</v>
      </c>
      <c r="I8666" s="17">
        <v>0</v>
      </c>
      <c r="J8666" s="17">
        <v>0</v>
      </c>
      <c r="K8666" s="10">
        <v>800</v>
      </c>
      <c r="L8666" s="17"/>
      <c r="M8666" s="15"/>
      <c r="N8666" s="18"/>
      <c r="O8666" s="14"/>
      <c r="P8666" s="17">
        <v>1</v>
      </c>
      <c r="Q8666" s="19">
        <v>800</v>
      </c>
      <c r="R8666" s="14">
        <v>2000</v>
      </c>
      <c r="S8666" s="19">
        <v>1600000</v>
      </c>
      <c r="T8666" s="17"/>
      <c r="U8666" s="17"/>
      <c r="V8666" s="17"/>
      <c r="W8666" s="4"/>
      <c r="X8666" s="17"/>
      <c r="Y8666" s="4"/>
      <c r="Z8666" s="17"/>
      <c r="AA8666" s="17"/>
      <c r="AB8666" s="17"/>
      <c r="AC8666" s="14"/>
      <c r="AD8666" s="14"/>
      <c r="AE8666" s="17"/>
      <c r="AF8666" s="14"/>
      <c r="AG8666" s="54"/>
      <c r="AH8666" s="11"/>
      <c r="AI8666" s="14"/>
      <c r="AJ8666" s="19">
        <v>0</v>
      </c>
      <c r="AK8666" s="23">
        <v>0</v>
      </c>
      <c r="AL8666" s="11"/>
      <c r="AM8666" s="19">
        <v>0</v>
      </c>
      <c r="AN8666" s="19">
        <v>1600000</v>
      </c>
      <c r="AO8666" s="14"/>
      <c r="AP8666" s="14">
        <v>1600000</v>
      </c>
      <c r="AQ8666" s="12">
        <v>1E-4</v>
      </c>
      <c r="AR8666" s="19"/>
    </row>
    <row r="8667" spans="1:44" s="26" customFormat="1" x14ac:dyDescent="0.2">
      <c r="A8667" s="122">
        <f t="shared" si="790"/>
        <v>7113</v>
      </c>
      <c r="B8667" s="13">
        <v>1</v>
      </c>
      <c r="C8667" s="17" t="s">
        <v>65</v>
      </c>
      <c r="D8667" s="17">
        <v>2389</v>
      </c>
      <c r="E8667" s="17">
        <v>88</v>
      </c>
      <c r="F8667" s="17"/>
      <c r="G8667" s="13"/>
      <c r="H8667" s="17">
        <v>0</v>
      </c>
      <c r="I8667" s="17">
        <v>1</v>
      </c>
      <c r="J8667" s="17">
        <v>92</v>
      </c>
      <c r="K8667" s="10">
        <v>192</v>
      </c>
      <c r="L8667" s="17"/>
      <c r="M8667" s="15"/>
      <c r="N8667" s="18"/>
      <c r="O8667" s="14"/>
      <c r="P8667" s="17">
        <v>1</v>
      </c>
      <c r="Q8667" s="19">
        <v>192</v>
      </c>
      <c r="R8667" s="14">
        <v>160</v>
      </c>
      <c r="S8667" s="19">
        <v>30720</v>
      </c>
      <c r="T8667" s="17"/>
      <c r="U8667" s="17"/>
      <c r="V8667" s="17"/>
      <c r="W8667" s="4"/>
      <c r="X8667" s="17"/>
      <c r="Y8667" s="4"/>
      <c r="Z8667" s="17"/>
      <c r="AA8667" s="17"/>
      <c r="AB8667" s="17"/>
      <c r="AC8667" s="14"/>
      <c r="AD8667" s="14"/>
      <c r="AE8667" s="17"/>
      <c r="AF8667" s="14"/>
      <c r="AG8667" s="54"/>
      <c r="AH8667" s="11"/>
      <c r="AI8667" s="14"/>
      <c r="AJ8667" s="19">
        <v>0</v>
      </c>
      <c r="AK8667" s="23">
        <v>0</v>
      </c>
      <c r="AL8667" s="11"/>
      <c r="AM8667" s="19">
        <v>0</v>
      </c>
      <c r="AN8667" s="19">
        <v>30720</v>
      </c>
      <c r="AO8667" s="14"/>
      <c r="AP8667" s="14">
        <v>30720</v>
      </c>
      <c r="AQ8667" s="12">
        <v>1E-4</v>
      </c>
      <c r="AR8667" s="19"/>
    </row>
    <row r="8668" spans="1:44" s="26" customFormat="1" x14ac:dyDescent="0.2">
      <c r="A8668" s="122">
        <f t="shared" si="790"/>
        <v>7114</v>
      </c>
      <c r="B8668" s="13">
        <v>1</v>
      </c>
      <c r="C8668" s="17" t="s">
        <v>52</v>
      </c>
      <c r="D8668" s="17">
        <v>40703</v>
      </c>
      <c r="E8668" s="17">
        <v>332</v>
      </c>
      <c r="F8668" s="17"/>
      <c r="G8668" s="13"/>
      <c r="H8668" s="17">
        <v>0</v>
      </c>
      <c r="I8668" s="17">
        <v>0</v>
      </c>
      <c r="J8668" s="17">
        <v>42</v>
      </c>
      <c r="K8668" s="10"/>
      <c r="L8668" s="17"/>
      <c r="M8668" s="15"/>
      <c r="N8668" s="18"/>
      <c r="O8668" s="14"/>
      <c r="P8668" s="17">
        <v>1</v>
      </c>
      <c r="Q8668" s="19">
        <v>42</v>
      </c>
      <c r="R8668" s="14">
        <v>160</v>
      </c>
      <c r="S8668" s="19">
        <v>6720</v>
      </c>
      <c r="T8668" s="17"/>
      <c r="U8668" s="17"/>
      <c r="V8668" s="17"/>
      <c r="W8668" s="4"/>
      <c r="X8668" s="17"/>
      <c r="Y8668" s="4"/>
      <c r="Z8668" s="17"/>
      <c r="AA8668" s="17"/>
      <c r="AB8668" s="17"/>
      <c r="AC8668" s="14"/>
      <c r="AD8668" s="14"/>
      <c r="AE8668" s="17"/>
      <c r="AF8668" s="14"/>
      <c r="AG8668" s="54"/>
      <c r="AH8668" s="11"/>
      <c r="AI8668" s="14"/>
      <c r="AJ8668" s="19">
        <v>0</v>
      </c>
      <c r="AK8668" s="23">
        <v>0</v>
      </c>
      <c r="AL8668" s="11"/>
      <c r="AM8668" s="19">
        <v>0</v>
      </c>
      <c r="AN8668" s="19">
        <v>6720</v>
      </c>
      <c r="AO8668" s="14"/>
      <c r="AP8668" s="14"/>
      <c r="AQ8668" s="12"/>
      <c r="AR8668" s="19"/>
    </row>
    <row r="8669" spans="1:44" s="26" customFormat="1" x14ac:dyDescent="0.2">
      <c r="A8669" s="122">
        <f t="shared" si="790"/>
        <v>7115</v>
      </c>
      <c r="B8669" s="13">
        <v>1</v>
      </c>
      <c r="C8669" s="17" t="s">
        <v>52</v>
      </c>
      <c r="D8669" s="17">
        <v>40704</v>
      </c>
      <c r="E8669" s="17">
        <v>333</v>
      </c>
      <c r="F8669" s="17"/>
      <c r="G8669" s="13"/>
      <c r="H8669" s="17">
        <v>0</v>
      </c>
      <c r="I8669" s="17">
        <v>0</v>
      </c>
      <c r="J8669" s="17">
        <v>56</v>
      </c>
      <c r="K8669" s="10"/>
      <c r="L8669" s="17"/>
      <c r="M8669" s="15"/>
      <c r="N8669" s="18"/>
      <c r="O8669" s="14"/>
      <c r="P8669" s="17"/>
      <c r="Q8669" s="19">
        <v>56</v>
      </c>
      <c r="R8669" s="14">
        <v>160</v>
      </c>
      <c r="S8669" s="19">
        <v>8960</v>
      </c>
      <c r="T8669" s="17"/>
      <c r="U8669" s="17"/>
      <c r="V8669" s="17"/>
      <c r="W8669" s="4"/>
      <c r="X8669" s="17"/>
      <c r="Y8669" s="4"/>
      <c r="Z8669" s="17"/>
      <c r="AA8669" s="17"/>
      <c r="AB8669" s="17"/>
      <c r="AC8669" s="14"/>
      <c r="AD8669" s="14"/>
      <c r="AE8669" s="17"/>
      <c r="AF8669" s="14"/>
      <c r="AG8669" s="54"/>
      <c r="AH8669" s="11"/>
      <c r="AI8669" s="14"/>
      <c r="AJ8669" s="19">
        <v>0</v>
      </c>
      <c r="AK8669" s="23">
        <v>0</v>
      </c>
      <c r="AL8669" s="11"/>
      <c r="AM8669" s="19">
        <v>0</v>
      </c>
      <c r="AN8669" s="19">
        <v>8960</v>
      </c>
      <c r="AO8669" s="14"/>
      <c r="AP8669" s="14"/>
      <c r="AQ8669" s="12"/>
      <c r="AR8669" s="19"/>
    </row>
    <row r="8670" spans="1:44" s="26" customFormat="1" x14ac:dyDescent="0.2">
      <c r="A8670" s="122">
        <f t="shared" si="790"/>
        <v>7116</v>
      </c>
      <c r="B8670" s="13">
        <v>1</v>
      </c>
      <c r="C8670" s="17" t="s">
        <v>52</v>
      </c>
      <c r="D8670" s="17">
        <v>41044</v>
      </c>
      <c r="E8670" s="17">
        <v>341</v>
      </c>
      <c r="F8670" s="17"/>
      <c r="G8670" s="13"/>
      <c r="H8670" s="17">
        <v>0</v>
      </c>
      <c r="I8670" s="17">
        <v>1</v>
      </c>
      <c r="J8670" s="17">
        <v>5</v>
      </c>
      <c r="K8670" s="10"/>
      <c r="L8670" s="17"/>
      <c r="M8670" s="15"/>
      <c r="N8670" s="18"/>
      <c r="O8670" s="14"/>
      <c r="P8670" s="17"/>
      <c r="Q8670" s="19">
        <v>105</v>
      </c>
      <c r="R8670" s="14">
        <v>2000</v>
      </c>
      <c r="S8670" s="19">
        <v>210000</v>
      </c>
      <c r="T8670" s="17"/>
      <c r="U8670" s="17"/>
      <c r="V8670" s="17"/>
      <c r="W8670" s="4"/>
      <c r="X8670" s="17"/>
      <c r="Y8670" s="4"/>
      <c r="Z8670" s="17"/>
      <c r="AA8670" s="17"/>
      <c r="AB8670" s="17"/>
      <c r="AC8670" s="14"/>
      <c r="AD8670" s="14"/>
      <c r="AE8670" s="17"/>
      <c r="AF8670" s="14"/>
      <c r="AG8670" s="54"/>
      <c r="AH8670" s="11"/>
      <c r="AI8670" s="14"/>
      <c r="AJ8670" s="19">
        <v>0</v>
      </c>
      <c r="AK8670" s="23">
        <v>0</v>
      </c>
      <c r="AL8670" s="11"/>
      <c r="AM8670" s="19">
        <v>0</v>
      </c>
      <c r="AN8670" s="19">
        <v>210000</v>
      </c>
      <c r="AO8670" s="14"/>
      <c r="AP8670" s="14"/>
      <c r="AQ8670" s="12"/>
      <c r="AR8670" s="19"/>
    </row>
    <row r="8671" spans="1:44" s="26" customFormat="1" x14ac:dyDescent="0.2">
      <c r="A8671" s="122">
        <f t="shared" si="790"/>
        <v>7117</v>
      </c>
      <c r="B8671" s="13">
        <v>1</v>
      </c>
      <c r="C8671" s="17" t="s">
        <v>52</v>
      </c>
      <c r="D8671" s="17">
        <v>40710</v>
      </c>
      <c r="E8671" s="17">
        <v>339</v>
      </c>
      <c r="F8671" s="17"/>
      <c r="G8671" s="13"/>
      <c r="H8671" s="17">
        <v>0</v>
      </c>
      <c r="I8671" s="17">
        <v>1</v>
      </c>
      <c r="J8671" s="17">
        <v>38</v>
      </c>
      <c r="K8671" s="10"/>
      <c r="L8671" s="17" t="s">
        <v>875</v>
      </c>
      <c r="M8671" s="15"/>
      <c r="N8671" s="18"/>
      <c r="O8671" s="14"/>
      <c r="P8671" s="17"/>
      <c r="Q8671" s="19">
        <v>138</v>
      </c>
      <c r="R8671" s="14">
        <v>3375</v>
      </c>
      <c r="S8671" s="19">
        <v>465750</v>
      </c>
      <c r="T8671" s="17"/>
      <c r="U8671" s="17"/>
      <c r="V8671" s="17"/>
      <c r="W8671" s="4"/>
      <c r="X8671" s="17"/>
      <c r="Y8671" s="4"/>
      <c r="Z8671" s="17"/>
      <c r="AA8671" s="17"/>
      <c r="AB8671" s="17"/>
      <c r="AC8671" s="14"/>
      <c r="AD8671" s="14"/>
      <c r="AE8671" s="17"/>
      <c r="AF8671" s="14"/>
      <c r="AG8671" s="54"/>
      <c r="AH8671" s="11"/>
      <c r="AI8671" s="14"/>
      <c r="AJ8671" s="19">
        <v>0</v>
      </c>
      <c r="AK8671" s="23">
        <v>0</v>
      </c>
      <c r="AL8671" s="11"/>
      <c r="AM8671" s="19">
        <v>0</v>
      </c>
      <c r="AN8671" s="19">
        <v>465750</v>
      </c>
      <c r="AO8671" s="14"/>
      <c r="AP8671" s="14"/>
      <c r="AQ8671" s="12"/>
      <c r="AR8671" s="19"/>
    </row>
    <row r="8672" spans="1:44" s="26" customFormat="1" x14ac:dyDescent="0.2">
      <c r="A8672" s="122">
        <f t="shared" si="790"/>
        <v>7118</v>
      </c>
      <c r="B8672" s="13">
        <v>1</v>
      </c>
      <c r="C8672" s="17" t="s">
        <v>52</v>
      </c>
      <c r="D8672" s="17">
        <v>39552</v>
      </c>
      <c r="E8672" s="17">
        <v>145</v>
      </c>
      <c r="F8672" s="17"/>
      <c r="G8672" s="13"/>
      <c r="H8672" s="17">
        <v>2</v>
      </c>
      <c r="I8672" s="17">
        <v>2</v>
      </c>
      <c r="J8672" s="17">
        <v>89</v>
      </c>
      <c r="K8672" s="10" t="s">
        <v>876</v>
      </c>
      <c r="L8672" s="17"/>
      <c r="M8672" s="15"/>
      <c r="N8672" s="18"/>
      <c r="O8672" s="14"/>
      <c r="P8672" s="17"/>
      <c r="Q8672" s="19">
        <v>1089</v>
      </c>
      <c r="R8672" s="14">
        <v>160</v>
      </c>
      <c r="S8672" s="19">
        <v>174240</v>
      </c>
      <c r="T8672" s="17"/>
      <c r="U8672" s="17"/>
      <c r="V8672" s="17"/>
      <c r="W8672" s="4"/>
      <c r="X8672" s="17"/>
      <c r="Y8672" s="4"/>
      <c r="Z8672" s="17"/>
      <c r="AA8672" s="17"/>
      <c r="AB8672" s="17"/>
      <c r="AC8672" s="14"/>
      <c r="AD8672" s="14"/>
      <c r="AE8672" s="17"/>
      <c r="AF8672" s="14"/>
      <c r="AG8672" s="54"/>
      <c r="AH8672" s="11"/>
      <c r="AI8672" s="14"/>
      <c r="AJ8672" s="19">
        <v>0</v>
      </c>
      <c r="AK8672" s="23">
        <v>0</v>
      </c>
      <c r="AL8672" s="11"/>
      <c r="AM8672" s="19">
        <v>0</v>
      </c>
      <c r="AN8672" s="19">
        <v>174240</v>
      </c>
      <c r="AO8672" s="14"/>
      <c r="AP8672" s="14"/>
      <c r="AQ8672" s="12"/>
      <c r="AR8672" s="19"/>
    </row>
    <row r="8673" spans="1:45" s="19" customFormat="1" x14ac:dyDescent="0.2">
      <c r="A8673" s="122">
        <f t="shared" si="790"/>
        <v>7119</v>
      </c>
      <c r="B8673" s="13">
        <v>1</v>
      </c>
      <c r="C8673" s="17" t="s">
        <v>52</v>
      </c>
      <c r="D8673" s="17">
        <v>15960</v>
      </c>
      <c r="E8673" s="17">
        <v>55</v>
      </c>
      <c r="F8673" s="17">
        <v>3469</v>
      </c>
      <c r="G8673" s="13">
        <v>3</v>
      </c>
      <c r="H8673" s="17">
        <v>17</v>
      </c>
      <c r="I8673" s="17">
        <v>2</v>
      </c>
      <c r="J8673" s="17">
        <v>12</v>
      </c>
      <c r="K8673" s="10"/>
      <c r="L8673" s="17"/>
      <c r="M8673" s="15"/>
      <c r="N8673" s="18"/>
      <c r="O8673" s="14"/>
      <c r="P8673" s="17">
        <v>5</v>
      </c>
      <c r="Q8673" s="19">
        <v>7012</v>
      </c>
      <c r="R8673" s="14">
        <v>200</v>
      </c>
      <c r="S8673" s="19">
        <v>1402400</v>
      </c>
      <c r="T8673" s="17"/>
      <c r="U8673" s="17"/>
      <c r="V8673" s="17"/>
      <c r="W8673" s="4"/>
      <c r="X8673" s="17"/>
      <c r="Y8673" s="4"/>
      <c r="Z8673" s="17"/>
      <c r="AA8673" s="17"/>
      <c r="AB8673" s="17"/>
      <c r="AC8673" s="14"/>
      <c r="AD8673" s="14"/>
      <c r="AE8673" s="17"/>
      <c r="AF8673" s="14"/>
      <c r="AG8673" s="54"/>
      <c r="AH8673" s="11"/>
      <c r="AI8673" s="14"/>
      <c r="AJ8673" s="19">
        <v>0</v>
      </c>
      <c r="AK8673" s="23">
        <v>0</v>
      </c>
      <c r="AL8673" s="11"/>
      <c r="AM8673" s="19">
        <v>0</v>
      </c>
      <c r="AN8673" s="19">
        <v>1402400</v>
      </c>
      <c r="AO8673" s="14"/>
      <c r="AP8673" s="14"/>
      <c r="AQ8673" s="12"/>
      <c r="AS8673" s="26"/>
    </row>
    <row r="8674" spans="1:45" s="19" customFormat="1" x14ac:dyDescent="0.2">
      <c r="A8674" s="2"/>
      <c r="B8674" s="13"/>
      <c r="C8674" s="17"/>
      <c r="D8674" s="17"/>
      <c r="E8674" s="17"/>
      <c r="F8674" s="17"/>
      <c r="G8674" s="13"/>
      <c r="H8674" s="17"/>
      <c r="I8674" s="17"/>
      <c r="J8674" s="17"/>
      <c r="K8674" s="10"/>
      <c r="L8674" s="17"/>
      <c r="M8674" s="15"/>
      <c r="N8674" s="18"/>
      <c r="O8674" s="14"/>
      <c r="P8674" s="17">
        <v>1</v>
      </c>
      <c r="Q8674" s="19">
        <v>6978</v>
      </c>
      <c r="R8674" s="14">
        <v>200</v>
      </c>
      <c r="S8674" s="19">
        <v>1395600</v>
      </c>
      <c r="T8674" s="17"/>
      <c r="U8674" s="17"/>
      <c r="V8674" s="17"/>
      <c r="W8674" s="4"/>
      <c r="X8674" s="17"/>
      <c r="Y8674" s="4"/>
      <c r="Z8674" s="17"/>
      <c r="AA8674" s="17"/>
      <c r="AB8674" s="17"/>
      <c r="AC8674" s="14"/>
      <c r="AD8674" s="14"/>
      <c r="AE8674" s="17"/>
      <c r="AF8674" s="14">
        <v>1</v>
      </c>
      <c r="AG8674" s="54"/>
      <c r="AH8674" s="11"/>
      <c r="AI8674" s="14"/>
      <c r="AJ8674" s="19">
        <v>0</v>
      </c>
      <c r="AK8674" s="23">
        <v>0</v>
      </c>
      <c r="AL8674" s="11"/>
      <c r="AM8674" s="19">
        <v>0</v>
      </c>
      <c r="AN8674" s="19">
        <v>1395600</v>
      </c>
      <c r="AO8674" s="14"/>
      <c r="AP8674" s="14"/>
      <c r="AQ8674" s="12"/>
      <c r="AS8674" s="26"/>
    </row>
    <row r="8675" spans="1:45" s="19" customFormat="1" ht="63" x14ac:dyDescent="0.2">
      <c r="A8675" s="2"/>
      <c r="B8675" s="13"/>
      <c r="C8675" s="17"/>
      <c r="D8675" s="17"/>
      <c r="E8675" s="17"/>
      <c r="F8675" s="17"/>
      <c r="G8675" s="13"/>
      <c r="H8675" s="17"/>
      <c r="I8675" s="17"/>
      <c r="J8675" s="17"/>
      <c r="K8675" s="10"/>
      <c r="L8675" s="17"/>
      <c r="M8675" s="15"/>
      <c r="N8675" s="18"/>
      <c r="O8675" s="14"/>
      <c r="P8675" s="17">
        <v>2</v>
      </c>
      <c r="Q8675" s="19">
        <v>34</v>
      </c>
      <c r="R8675" s="14">
        <v>200</v>
      </c>
      <c r="T8675" s="17"/>
      <c r="U8675" s="17" t="s">
        <v>57</v>
      </c>
      <c r="V8675" s="17" t="s">
        <v>56</v>
      </c>
      <c r="W8675" s="4"/>
      <c r="X8675" s="17"/>
      <c r="Y8675" s="4" t="s">
        <v>877</v>
      </c>
      <c r="Z8675" s="17"/>
      <c r="AA8675" s="17"/>
      <c r="AB8675" s="17">
        <v>12</v>
      </c>
      <c r="AC8675" s="14"/>
      <c r="AD8675" s="14"/>
      <c r="AE8675" s="17"/>
      <c r="AF8675" s="14">
        <v>2</v>
      </c>
      <c r="AG8675" s="54">
        <v>133</v>
      </c>
      <c r="AH8675" s="11">
        <v>1</v>
      </c>
      <c r="AI8675" s="14">
        <v>7250</v>
      </c>
      <c r="AJ8675" s="19">
        <v>964250</v>
      </c>
      <c r="AK8675" s="23">
        <v>12</v>
      </c>
      <c r="AL8675" s="11"/>
      <c r="AM8675" s="19">
        <v>964250</v>
      </c>
      <c r="AN8675" s="19">
        <v>964250</v>
      </c>
      <c r="AO8675" s="14"/>
      <c r="AP8675" s="14">
        <v>964250</v>
      </c>
      <c r="AQ8675" s="12"/>
      <c r="AS8675" s="26"/>
    </row>
    <row r="8676" spans="1:45" s="19" customFormat="1" x14ac:dyDescent="0.2">
      <c r="A8676" s="2">
        <v>7120</v>
      </c>
      <c r="B8676" s="13">
        <v>2</v>
      </c>
      <c r="C8676" s="17" t="s">
        <v>52</v>
      </c>
      <c r="D8676" s="17">
        <v>15961</v>
      </c>
      <c r="E8676" s="17">
        <v>54</v>
      </c>
      <c r="F8676" s="17">
        <v>3470</v>
      </c>
      <c r="G8676" s="13">
        <v>3</v>
      </c>
      <c r="H8676" s="17">
        <v>23</v>
      </c>
      <c r="I8676" s="17">
        <v>1</v>
      </c>
      <c r="J8676" s="17">
        <v>93</v>
      </c>
      <c r="K8676" s="10"/>
      <c r="L8676" s="17"/>
      <c r="M8676" s="15"/>
      <c r="N8676" s="18"/>
      <c r="O8676" s="14"/>
      <c r="P8676" s="17">
        <v>5</v>
      </c>
      <c r="Q8676" s="19">
        <v>9393</v>
      </c>
      <c r="R8676" s="14">
        <v>200</v>
      </c>
      <c r="S8676" s="19">
        <v>1878600</v>
      </c>
      <c r="T8676" s="17"/>
      <c r="U8676" s="17"/>
      <c r="V8676" s="17"/>
      <c r="W8676" s="4"/>
      <c r="X8676" s="17"/>
      <c r="Y8676" s="4"/>
      <c r="Z8676" s="17"/>
      <c r="AA8676" s="17"/>
      <c r="AB8676" s="17"/>
      <c r="AC8676" s="14"/>
      <c r="AD8676" s="14"/>
      <c r="AE8676" s="17"/>
      <c r="AF8676" s="14"/>
      <c r="AG8676" s="54"/>
      <c r="AH8676" s="11"/>
      <c r="AI8676" s="14"/>
      <c r="AJ8676" s="19">
        <v>0</v>
      </c>
      <c r="AK8676" s="23">
        <v>0</v>
      </c>
      <c r="AL8676" s="11"/>
      <c r="AM8676" s="19">
        <v>0</v>
      </c>
      <c r="AN8676" s="19">
        <v>1878600</v>
      </c>
      <c r="AO8676" s="14"/>
      <c r="AP8676" s="14">
        <v>1878600</v>
      </c>
      <c r="AQ8676" s="12"/>
      <c r="AS8676" s="26"/>
    </row>
    <row r="8677" spans="1:45" s="19" customFormat="1" x14ac:dyDescent="0.2">
      <c r="A8677" s="2"/>
      <c r="B8677" s="13"/>
      <c r="C8677" s="17"/>
      <c r="D8677" s="17"/>
      <c r="E8677" s="17"/>
      <c r="F8677" s="17"/>
      <c r="G8677" s="13"/>
      <c r="H8677" s="17"/>
      <c r="I8677" s="17"/>
      <c r="J8677" s="17"/>
      <c r="K8677" s="10"/>
      <c r="L8677" s="17"/>
      <c r="M8677" s="15"/>
      <c r="N8677" s="18"/>
      <c r="O8677" s="14"/>
      <c r="P8677" s="17">
        <v>1</v>
      </c>
      <c r="R8677" s="14">
        <v>200</v>
      </c>
      <c r="T8677" s="17"/>
      <c r="U8677" s="17"/>
      <c r="V8677" s="17"/>
      <c r="W8677" s="4"/>
      <c r="X8677" s="17"/>
      <c r="Y8677" s="4"/>
      <c r="Z8677" s="17"/>
      <c r="AA8677" s="17"/>
      <c r="AB8677" s="17"/>
      <c r="AC8677" s="14"/>
      <c r="AD8677" s="14"/>
      <c r="AE8677" s="17"/>
      <c r="AF8677" s="14"/>
      <c r="AG8677" s="54"/>
      <c r="AH8677" s="11"/>
      <c r="AI8677" s="14"/>
      <c r="AK8677" s="23"/>
      <c r="AL8677" s="11"/>
      <c r="AO8677" s="14"/>
      <c r="AP8677" s="14">
        <v>0</v>
      </c>
      <c r="AQ8677" s="12"/>
      <c r="AS8677" s="26"/>
    </row>
    <row r="8678" spans="1:45" s="19" customFormat="1" ht="63" x14ac:dyDescent="0.2">
      <c r="A8678" s="2"/>
      <c r="B8678" s="13"/>
      <c r="C8678" s="17"/>
      <c r="D8678" s="17"/>
      <c r="E8678" s="17"/>
      <c r="F8678" s="17"/>
      <c r="G8678" s="13"/>
      <c r="H8678" s="17"/>
      <c r="I8678" s="17"/>
      <c r="J8678" s="17"/>
      <c r="K8678" s="10"/>
      <c r="L8678" s="17"/>
      <c r="M8678" s="15"/>
      <c r="N8678" s="18"/>
      <c r="O8678" s="14"/>
      <c r="P8678" s="17">
        <v>2</v>
      </c>
      <c r="Q8678" s="19">
        <v>120</v>
      </c>
      <c r="R8678" s="14">
        <v>200</v>
      </c>
      <c r="S8678" s="19">
        <v>24000</v>
      </c>
      <c r="T8678" s="17"/>
      <c r="U8678" s="17" t="s">
        <v>57</v>
      </c>
      <c r="V8678" s="17" t="s">
        <v>56</v>
      </c>
      <c r="W8678" s="4" t="s">
        <v>878</v>
      </c>
      <c r="X8678" s="17"/>
      <c r="Y8678" s="4" t="s">
        <v>879</v>
      </c>
      <c r="Z8678" s="17"/>
      <c r="AA8678" s="17"/>
      <c r="AB8678" s="17">
        <v>15</v>
      </c>
      <c r="AC8678" s="14"/>
      <c r="AD8678" s="14"/>
      <c r="AE8678" s="17">
        <v>8.77914951989026E-2</v>
      </c>
      <c r="AF8678" s="14">
        <v>2</v>
      </c>
      <c r="AG8678" s="54">
        <v>194.25</v>
      </c>
      <c r="AH8678" s="11">
        <v>0.91</v>
      </c>
      <c r="AI8678" s="14">
        <v>7250</v>
      </c>
      <c r="AJ8678" s="19">
        <v>1281564.375</v>
      </c>
      <c r="AK8678" s="23">
        <v>15</v>
      </c>
      <c r="AL8678" s="11">
        <v>0.2</v>
      </c>
      <c r="AM8678" s="19">
        <v>1025251.5</v>
      </c>
      <c r="AN8678" s="19">
        <v>1047571.5</v>
      </c>
      <c r="AO8678" s="14"/>
      <c r="AP8678" s="14">
        <v>1047571.5</v>
      </c>
      <c r="AQ8678" s="12"/>
      <c r="AS8678" s="26"/>
    </row>
    <row r="8679" spans="1:45" s="19" customFormat="1" x14ac:dyDescent="0.2">
      <c r="A8679" s="2"/>
      <c r="B8679" s="13"/>
      <c r="C8679" s="17"/>
      <c r="D8679" s="17"/>
      <c r="E8679" s="17"/>
      <c r="F8679" s="17"/>
      <c r="G8679" s="13"/>
      <c r="H8679" s="17"/>
      <c r="I8679" s="17"/>
      <c r="J8679" s="17"/>
      <c r="K8679" s="10"/>
      <c r="L8679" s="17"/>
      <c r="M8679" s="15"/>
      <c r="N8679" s="18"/>
      <c r="O8679" s="14"/>
      <c r="P8679" s="17">
        <v>3</v>
      </c>
      <c r="R8679" s="14">
        <v>200</v>
      </c>
      <c r="T8679" s="17"/>
      <c r="U8679" s="17"/>
      <c r="V8679" s="17"/>
      <c r="W8679" s="4"/>
      <c r="X8679" s="17"/>
      <c r="Y8679" s="4"/>
      <c r="Z8679" s="17" t="s">
        <v>726</v>
      </c>
      <c r="AA8679" s="17"/>
      <c r="AB8679" s="17"/>
      <c r="AC8679" s="14"/>
      <c r="AD8679" s="14"/>
      <c r="AE8679" s="17"/>
      <c r="AF8679" s="14">
        <v>3</v>
      </c>
      <c r="AG8679" s="54">
        <v>194.25</v>
      </c>
      <c r="AH8679" s="11">
        <v>0.09</v>
      </c>
      <c r="AI8679" s="14">
        <v>7250</v>
      </c>
      <c r="AJ8679" s="19">
        <v>126748.12499999999</v>
      </c>
      <c r="AK8679" s="23">
        <v>15</v>
      </c>
      <c r="AL8679" s="11">
        <v>0.2</v>
      </c>
      <c r="AM8679" s="19">
        <v>101398.49999999999</v>
      </c>
      <c r="AN8679" s="19">
        <v>103078.49999999999</v>
      </c>
      <c r="AO8679" s="14"/>
      <c r="AP8679" s="14">
        <v>103078.49999999999</v>
      </c>
      <c r="AQ8679" s="12">
        <v>3.0000000000000001E-3</v>
      </c>
      <c r="AS8679" s="26"/>
    </row>
    <row r="8680" spans="1:45" s="19" customFormat="1" x14ac:dyDescent="0.2">
      <c r="A8680" s="2">
        <v>7121</v>
      </c>
      <c r="B8680" s="13">
        <v>1</v>
      </c>
      <c r="C8680" s="17" t="s">
        <v>52</v>
      </c>
      <c r="D8680" s="17">
        <v>36587</v>
      </c>
      <c r="E8680" s="17">
        <v>64</v>
      </c>
      <c r="F8680" s="17">
        <v>7135</v>
      </c>
      <c r="G8680" s="13"/>
      <c r="H8680" s="17">
        <v>0</v>
      </c>
      <c r="I8680" s="17">
        <v>3</v>
      </c>
      <c r="J8680" s="17">
        <v>30.8</v>
      </c>
      <c r="K8680" s="10"/>
      <c r="L8680" s="17"/>
      <c r="M8680" s="15"/>
      <c r="N8680" s="18"/>
      <c r="O8680" s="14" t="s">
        <v>880</v>
      </c>
      <c r="P8680" s="17">
        <v>5</v>
      </c>
      <c r="Q8680" s="19">
        <v>330.8</v>
      </c>
      <c r="R8680" s="14">
        <v>1500</v>
      </c>
      <c r="S8680" s="19">
        <v>496200</v>
      </c>
      <c r="T8680" s="17"/>
      <c r="U8680" s="17"/>
      <c r="V8680" s="17"/>
      <c r="W8680" s="4"/>
      <c r="X8680" s="17"/>
      <c r="Y8680" s="4"/>
      <c r="Z8680" s="17"/>
      <c r="AA8680" s="17"/>
      <c r="AB8680" s="17"/>
      <c r="AC8680" s="14"/>
      <c r="AD8680" s="14"/>
      <c r="AE8680" s="17"/>
      <c r="AF8680" s="14"/>
      <c r="AG8680" s="54"/>
      <c r="AH8680" s="11"/>
      <c r="AI8680" s="14"/>
      <c r="AJ8680" s="19">
        <v>0</v>
      </c>
      <c r="AK8680" s="23">
        <v>0</v>
      </c>
      <c r="AL8680" s="11"/>
      <c r="AM8680" s="19">
        <v>0</v>
      </c>
      <c r="AN8680" s="19">
        <v>496200</v>
      </c>
      <c r="AO8680" s="14"/>
      <c r="AP8680" s="14">
        <v>496200</v>
      </c>
      <c r="AQ8680" s="12"/>
      <c r="AS8680" s="26"/>
    </row>
    <row r="8681" spans="1:45" s="19" customFormat="1" ht="63" x14ac:dyDescent="0.2">
      <c r="A8681" s="2"/>
      <c r="B8681" s="13"/>
      <c r="C8681" s="17"/>
      <c r="D8681" s="17"/>
      <c r="E8681" s="17"/>
      <c r="F8681" s="17"/>
      <c r="G8681" s="13"/>
      <c r="H8681" s="17"/>
      <c r="I8681" s="17"/>
      <c r="J8681" s="17"/>
      <c r="K8681" s="10"/>
      <c r="L8681" s="17"/>
      <c r="M8681" s="15"/>
      <c r="N8681" s="18"/>
      <c r="O8681" s="14"/>
      <c r="P8681" s="17"/>
      <c r="R8681" s="14"/>
      <c r="S8681" s="19">
        <v>0</v>
      </c>
      <c r="T8681" s="17" t="s">
        <v>122</v>
      </c>
      <c r="U8681" s="17" t="s">
        <v>57</v>
      </c>
      <c r="V8681" s="17" t="s">
        <v>56</v>
      </c>
      <c r="W8681" s="4" t="s">
        <v>156</v>
      </c>
      <c r="X8681" s="17"/>
      <c r="Y8681" s="4" t="s">
        <v>156</v>
      </c>
      <c r="Z8681" s="17"/>
      <c r="AA8681" s="17"/>
      <c r="AB8681" s="17">
        <v>9</v>
      </c>
      <c r="AC8681" s="14"/>
      <c r="AD8681" s="14"/>
      <c r="AE8681" s="17">
        <v>0.47058823529411764</v>
      </c>
      <c r="AF8681" s="14">
        <v>2</v>
      </c>
      <c r="AG8681" s="54">
        <v>90</v>
      </c>
      <c r="AH8681" s="11">
        <v>1</v>
      </c>
      <c r="AI8681" s="14">
        <v>7250</v>
      </c>
      <c r="AJ8681" s="19">
        <v>652500</v>
      </c>
      <c r="AK8681" s="23">
        <v>9</v>
      </c>
      <c r="AL8681" s="11">
        <v>0.09</v>
      </c>
      <c r="AM8681" s="19">
        <v>593775</v>
      </c>
      <c r="AN8681" s="19">
        <v>856761</v>
      </c>
      <c r="AO8681" s="14"/>
      <c r="AP8681" s="14">
        <v>856761</v>
      </c>
      <c r="AQ8681" s="12"/>
      <c r="AS8681" s="26"/>
    </row>
    <row r="8682" spans="1:45" s="19" customFormat="1" ht="42" x14ac:dyDescent="0.2">
      <c r="A8682" s="2"/>
      <c r="B8682" s="13"/>
      <c r="C8682" s="17"/>
      <c r="D8682" s="17"/>
      <c r="E8682" s="17"/>
      <c r="F8682" s="17"/>
      <c r="G8682" s="13"/>
      <c r="H8682" s="17"/>
      <c r="I8682" s="17"/>
      <c r="J8682" s="17"/>
      <c r="K8682" s="10"/>
      <c r="L8682" s="17"/>
      <c r="M8682" s="15"/>
      <c r="N8682" s="18"/>
      <c r="O8682" s="14"/>
      <c r="P8682" s="17"/>
      <c r="R8682" s="14"/>
      <c r="S8682" s="19">
        <v>0</v>
      </c>
      <c r="T8682" s="17" t="s">
        <v>288</v>
      </c>
      <c r="U8682" s="17" t="s">
        <v>155</v>
      </c>
      <c r="V8682" s="17" t="s">
        <v>56</v>
      </c>
      <c r="W8682" s="4" t="s">
        <v>234</v>
      </c>
      <c r="X8682" s="17"/>
      <c r="Y8682" s="4" t="s">
        <v>234</v>
      </c>
      <c r="Z8682" s="17"/>
      <c r="AA8682" s="17"/>
      <c r="AB8682" s="17">
        <v>9</v>
      </c>
      <c r="AC8682" s="14"/>
      <c r="AD8682" s="14"/>
      <c r="AE8682" s="17"/>
      <c r="AF8682" s="14">
        <v>3</v>
      </c>
      <c r="AG8682" s="54">
        <v>80</v>
      </c>
      <c r="AH8682" s="11">
        <v>1</v>
      </c>
      <c r="AI8682" s="14">
        <v>5800</v>
      </c>
      <c r="AJ8682" s="19">
        <v>464000</v>
      </c>
      <c r="AK8682" s="23">
        <v>9</v>
      </c>
      <c r="AL8682" s="11">
        <v>0.09</v>
      </c>
      <c r="AM8682" s="19">
        <v>422240</v>
      </c>
      <c r="AN8682" s="19">
        <v>655454</v>
      </c>
      <c r="AO8682" s="14"/>
      <c r="AP8682" s="14">
        <v>655454</v>
      </c>
      <c r="AQ8682" s="12">
        <v>3.0000000000000001E-3</v>
      </c>
      <c r="AS8682" s="26"/>
    </row>
    <row r="8683" spans="1:45" s="19" customFormat="1" ht="63" x14ac:dyDescent="0.2">
      <c r="A8683" s="2">
        <v>7122</v>
      </c>
      <c r="B8683" s="13">
        <v>1</v>
      </c>
      <c r="C8683" s="17" t="s">
        <v>115</v>
      </c>
      <c r="D8683" s="17"/>
      <c r="E8683" s="17"/>
      <c r="F8683" s="17"/>
      <c r="G8683" s="13">
        <v>7</v>
      </c>
      <c r="H8683" s="17"/>
      <c r="I8683" s="17"/>
      <c r="J8683" s="17">
        <v>15</v>
      </c>
      <c r="K8683" s="10"/>
      <c r="L8683" s="17"/>
      <c r="M8683" s="15"/>
      <c r="N8683" s="18"/>
      <c r="O8683" s="14" t="s">
        <v>272</v>
      </c>
      <c r="P8683" s="17">
        <v>3</v>
      </c>
      <c r="Q8683" s="19">
        <v>8</v>
      </c>
      <c r="R8683" s="14">
        <v>250</v>
      </c>
      <c r="S8683" s="19">
        <v>2000</v>
      </c>
      <c r="T8683" s="17"/>
      <c r="U8683" s="17" t="s">
        <v>57</v>
      </c>
      <c r="V8683" s="17" t="s">
        <v>56</v>
      </c>
      <c r="W8683" s="4" t="s">
        <v>274</v>
      </c>
      <c r="X8683" s="17"/>
      <c r="Y8683" s="4" t="s">
        <v>595</v>
      </c>
      <c r="Z8683" s="17" t="s">
        <v>227</v>
      </c>
      <c r="AA8683" s="17"/>
      <c r="AB8683" s="17">
        <v>8</v>
      </c>
      <c r="AC8683" s="14"/>
      <c r="AD8683" s="14"/>
      <c r="AE8683" s="17">
        <v>66.67</v>
      </c>
      <c r="AF8683" s="14">
        <v>2</v>
      </c>
      <c r="AG8683" s="54">
        <v>60</v>
      </c>
      <c r="AH8683" s="11">
        <v>0.67</v>
      </c>
      <c r="AI8683" s="14">
        <v>7250</v>
      </c>
      <c r="AJ8683" s="19">
        <v>291450</v>
      </c>
      <c r="AK8683" s="23">
        <v>8</v>
      </c>
      <c r="AL8683" s="11">
        <v>0.08</v>
      </c>
      <c r="AM8683" s="19">
        <v>268134</v>
      </c>
      <c r="AN8683" s="19">
        <v>269474</v>
      </c>
      <c r="AO8683" s="14"/>
      <c r="AP8683" s="14">
        <v>269474</v>
      </c>
      <c r="AQ8683" s="12">
        <v>2.0000000000000001E-4</v>
      </c>
      <c r="AS8683" s="26"/>
    </row>
    <row r="8684" spans="1:45" s="19" customFormat="1" x14ac:dyDescent="0.2">
      <c r="A8684" s="2"/>
      <c r="B8684" s="13"/>
      <c r="C8684" s="17"/>
      <c r="D8684" s="17"/>
      <c r="E8684" s="17"/>
      <c r="F8684" s="17"/>
      <c r="G8684" s="13"/>
      <c r="H8684" s="17"/>
      <c r="I8684" s="17"/>
      <c r="J8684" s="17"/>
      <c r="K8684" s="10"/>
      <c r="L8684" s="17"/>
      <c r="M8684" s="15"/>
      <c r="N8684" s="18"/>
      <c r="O8684" s="14"/>
      <c r="P8684" s="17"/>
      <c r="R8684" s="14"/>
      <c r="S8684" s="19">
        <v>0</v>
      </c>
      <c r="T8684" s="17"/>
      <c r="U8684" s="17"/>
      <c r="V8684" s="17"/>
      <c r="W8684" s="4"/>
      <c r="X8684" s="17"/>
      <c r="Y8684" s="4"/>
      <c r="Z8684" s="17"/>
      <c r="AA8684" s="17"/>
      <c r="AB8684" s="17"/>
      <c r="AC8684" s="14"/>
      <c r="AD8684" s="14"/>
      <c r="AE8684" s="17"/>
      <c r="AF8684" s="14">
        <v>3</v>
      </c>
      <c r="AG8684" s="54">
        <v>60</v>
      </c>
      <c r="AH8684" s="11">
        <v>0.33</v>
      </c>
      <c r="AI8684" s="14">
        <v>7250</v>
      </c>
      <c r="AJ8684" s="19">
        <v>143550</v>
      </c>
      <c r="AK8684" s="23">
        <v>8</v>
      </c>
      <c r="AL8684" s="11">
        <v>0.08</v>
      </c>
      <c r="AM8684" s="19">
        <v>132066</v>
      </c>
      <c r="AN8684" s="19">
        <v>132726</v>
      </c>
      <c r="AO8684" s="14"/>
      <c r="AP8684" s="14">
        <v>132726</v>
      </c>
      <c r="AQ8684" s="12">
        <v>3.0000000000000001E-3</v>
      </c>
      <c r="AS8684" s="26"/>
    </row>
    <row r="8685" spans="1:45" s="19" customFormat="1" ht="63" x14ac:dyDescent="0.2">
      <c r="A8685" s="2">
        <v>7123</v>
      </c>
      <c r="B8685" s="13">
        <v>1</v>
      </c>
      <c r="C8685" s="17" t="s">
        <v>52</v>
      </c>
      <c r="D8685" s="17">
        <v>3009</v>
      </c>
      <c r="E8685" s="17">
        <v>56</v>
      </c>
      <c r="F8685" s="17">
        <v>2077</v>
      </c>
      <c r="G8685" s="13">
        <v>2</v>
      </c>
      <c r="H8685" s="17">
        <v>0</v>
      </c>
      <c r="I8685" s="17">
        <v>0</v>
      </c>
      <c r="J8685" s="17">
        <v>65</v>
      </c>
      <c r="K8685" s="10"/>
      <c r="L8685" s="17"/>
      <c r="M8685" s="15"/>
      <c r="N8685" s="18"/>
      <c r="O8685" s="14"/>
      <c r="P8685" s="17">
        <v>65</v>
      </c>
      <c r="Q8685" s="19">
        <v>65</v>
      </c>
      <c r="R8685" s="14">
        <v>250</v>
      </c>
      <c r="S8685" s="19">
        <v>16250</v>
      </c>
      <c r="T8685" s="17"/>
      <c r="U8685" s="17" t="s">
        <v>57</v>
      </c>
      <c r="V8685" s="17" t="s">
        <v>56</v>
      </c>
      <c r="W8685" s="4" t="s">
        <v>274</v>
      </c>
      <c r="X8685" s="17"/>
      <c r="Y8685" s="4" t="s">
        <v>589</v>
      </c>
      <c r="Z8685" s="17"/>
      <c r="AA8685" s="17"/>
      <c r="AB8685" s="17">
        <v>19</v>
      </c>
      <c r="AC8685" s="14"/>
      <c r="AD8685" s="14"/>
      <c r="AE8685" s="17">
        <v>83</v>
      </c>
      <c r="AF8685" s="14">
        <v>2</v>
      </c>
      <c r="AG8685" s="54">
        <v>60</v>
      </c>
      <c r="AH8685" s="11">
        <v>0.83</v>
      </c>
      <c r="AI8685" s="14">
        <v>7250</v>
      </c>
      <c r="AJ8685" s="19">
        <v>361050</v>
      </c>
      <c r="AK8685" s="23">
        <v>19</v>
      </c>
      <c r="AL8685" s="11">
        <v>0.28000000000000003</v>
      </c>
      <c r="AM8685" s="19">
        <v>259956</v>
      </c>
      <c r="AN8685" s="19">
        <v>273443.5</v>
      </c>
      <c r="AO8685" s="14"/>
      <c r="AP8685" s="14">
        <v>273443.5</v>
      </c>
      <c r="AQ8685" s="12"/>
      <c r="AS8685" s="26"/>
    </row>
    <row r="8686" spans="1:45" s="19" customFormat="1" x14ac:dyDescent="0.2">
      <c r="A8686" s="2"/>
      <c r="B8686" s="13"/>
      <c r="C8686" s="17"/>
      <c r="D8686" s="17"/>
      <c r="E8686" s="17"/>
      <c r="F8686" s="17"/>
      <c r="G8686" s="13"/>
      <c r="H8686" s="17"/>
      <c r="I8686" s="17"/>
      <c r="J8686" s="17"/>
      <c r="K8686" s="10"/>
      <c r="L8686" s="17"/>
      <c r="M8686" s="15"/>
      <c r="N8686" s="18"/>
      <c r="O8686" s="14"/>
      <c r="P8686" s="17"/>
      <c r="R8686" s="14"/>
      <c r="S8686" s="19">
        <v>0</v>
      </c>
      <c r="T8686" s="17"/>
      <c r="U8686" s="17"/>
      <c r="V8686" s="17"/>
      <c r="W8686" s="4"/>
      <c r="X8686" s="17"/>
      <c r="Y8686" s="4"/>
      <c r="Z8686" s="17" t="s">
        <v>272</v>
      </c>
      <c r="AA8686" s="17"/>
      <c r="AB8686" s="17"/>
      <c r="AC8686" s="14"/>
      <c r="AD8686" s="14"/>
      <c r="AE8686" s="17"/>
      <c r="AF8686" s="14">
        <v>3</v>
      </c>
      <c r="AG8686" s="54">
        <v>60</v>
      </c>
      <c r="AH8686" s="11">
        <v>0.17</v>
      </c>
      <c r="AI8686" s="14">
        <v>7250</v>
      </c>
      <c r="AJ8686" s="19">
        <v>73950.000000000015</v>
      </c>
      <c r="AK8686" s="23">
        <v>19</v>
      </c>
      <c r="AL8686" s="11">
        <v>0.28000000000000003</v>
      </c>
      <c r="AM8686" s="19">
        <v>53244.000000000007</v>
      </c>
      <c r="AN8686" s="19">
        <v>56006.500000000007</v>
      </c>
      <c r="AO8686" s="14"/>
      <c r="AP8686" s="14">
        <v>56006.500000000007</v>
      </c>
      <c r="AQ8686" s="12">
        <v>3.0000000000000001E-3</v>
      </c>
      <c r="AS8686" s="26"/>
    </row>
    <row r="8687" spans="1:45" s="19" customFormat="1" x14ac:dyDescent="0.2">
      <c r="A8687" s="2">
        <v>7124</v>
      </c>
      <c r="B8687" s="13">
        <v>1</v>
      </c>
      <c r="C8687" s="17" t="s">
        <v>115</v>
      </c>
      <c r="D8687" s="17"/>
      <c r="E8687" s="17"/>
      <c r="F8687" s="17"/>
      <c r="G8687" s="13"/>
      <c r="H8687" s="17"/>
      <c r="I8687" s="17"/>
      <c r="J8687" s="17">
        <v>40.5</v>
      </c>
      <c r="K8687" s="10"/>
      <c r="L8687" s="17"/>
      <c r="M8687" s="15"/>
      <c r="N8687" s="18"/>
      <c r="O8687" s="14" t="s">
        <v>704</v>
      </c>
      <c r="P8687" s="17">
        <v>5</v>
      </c>
      <c r="Q8687" s="19">
        <v>40.5</v>
      </c>
      <c r="R8687" s="14">
        <v>160</v>
      </c>
      <c r="S8687" s="19">
        <v>6480</v>
      </c>
      <c r="T8687" s="17"/>
      <c r="U8687" s="17"/>
      <c r="V8687" s="17"/>
      <c r="W8687" s="4"/>
      <c r="X8687" s="17"/>
      <c r="Y8687" s="4"/>
      <c r="Z8687" s="17"/>
      <c r="AA8687" s="17"/>
      <c r="AB8687" s="17"/>
      <c r="AC8687" s="14"/>
      <c r="AD8687" s="14"/>
      <c r="AE8687" s="17">
        <v>40.5</v>
      </c>
      <c r="AF8687" s="14">
        <v>2</v>
      </c>
      <c r="AG8687" s="54"/>
      <c r="AH8687" s="11"/>
      <c r="AI8687" s="14"/>
      <c r="AJ8687" s="19">
        <v>0</v>
      </c>
      <c r="AK8687" s="23">
        <v>0</v>
      </c>
      <c r="AL8687" s="11"/>
      <c r="AM8687" s="19">
        <v>0</v>
      </c>
      <c r="AN8687" s="19">
        <v>6480</v>
      </c>
      <c r="AO8687" s="14"/>
      <c r="AP8687" s="14">
        <v>6480</v>
      </c>
      <c r="AQ8687" s="12">
        <v>2.0000000000000001E-4</v>
      </c>
      <c r="AS8687" s="26"/>
    </row>
    <row r="8688" spans="1:45" s="19" customFormat="1" ht="63" x14ac:dyDescent="0.2">
      <c r="A8688" s="2"/>
      <c r="B8688" s="13"/>
      <c r="C8688" s="17"/>
      <c r="D8688" s="17"/>
      <c r="E8688" s="17"/>
      <c r="F8688" s="17"/>
      <c r="G8688" s="13"/>
      <c r="H8688" s="17"/>
      <c r="I8688" s="17"/>
      <c r="J8688" s="17"/>
      <c r="K8688" s="10"/>
      <c r="L8688" s="17"/>
      <c r="M8688" s="15"/>
      <c r="N8688" s="18"/>
      <c r="O8688" s="14"/>
      <c r="P8688" s="17"/>
      <c r="R8688" s="14"/>
      <c r="T8688" s="17"/>
      <c r="U8688" s="17" t="s">
        <v>57</v>
      </c>
      <c r="V8688" s="17" t="s">
        <v>56</v>
      </c>
      <c r="W8688" s="4" t="s">
        <v>881</v>
      </c>
      <c r="X8688" s="17"/>
      <c r="Y8688" s="4" t="s">
        <v>882</v>
      </c>
      <c r="Z8688" s="17"/>
      <c r="AA8688" s="17"/>
      <c r="AB8688" s="17"/>
      <c r="AC8688" s="14"/>
      <c r="AD8688" s="14"/>
      <c r="AE8688" s="17">
        <v>0.10802469135802469</v>
      </c>
      <c r="AF8688" s="14">
        <v>2</v>
      </c>
      <c r="AG8688" s="54">
        <v>162</v>
      </c>
      <c r="AH8688" s="11">
        <v>0.89</v>
      </c>
      <c r="AI8688" s="14">
        <v>7250</v>
      </c>
      <c r="AJ8688" s="19">
        <v>1045305</v>
      </c>
      <c r="AK8688" s="23">
        <v>2</v>
      </c>
      <c r="AL8688" s="11">
        <v>0.02</v>
      </c>
      <c r="AM8688" s="19">
        <v>1024398.9</v>
      </c>
      <c r="AN8688" s="19">
        <v>1024398.9</v>
      </c>
      <c r="AO8688" s="14"/>
      <c r="AP8688" s="14">
        <v>1024398.9</v>
      </c>
      <c r="AQ8688" s="12"/>
      <c r="AS8688" s="26"/>
    </row>
    <row r="8689" spans="1:45" x14ac:dyDescent="0.2">
      <c r="S8689" s="19">
        <v>0</v>
      </c>
      <c r="Z8689" s="17" t="s">
        <v>883</v>
      </c>
      <c r="AE8689" s="17">
        <v>144.5</v>
      </c>
      <c r="AF8689" s="14">
        <v>3</v>
      </c>
      <c r="AG8689" s="54">
        <v>162</v>
      </c>
      <c r="AH8689" s="11">
        <v>0.11</v>
      </c>
      <c r="AI8689" s="14">
        <v>7250</v>
      </c>
      <c r="AJ8689" s="19">
        <v>129195</v>
      </c>
      <c r="AK8689" s="23">
        <v>2</v>
      </c>
      <c r="AL8689" s="11">
        <v>0.02</v>
      </c>
      <c r="AM8689" s="19">
        <v>126611.1</v>
      </c>
      <c r="AN8689" s="19">
        <v>127323.90000000001</v>
      </c>
      <c r="AP8689" s="14">
        <v>127323.90000000001</v>
      </c>
      <c r="AQ8689" s="12">
        <v>3.0000000000000001E-3</v>
      </c>
    </row>
    <row r="8690" spans="1:45" ht="63" x14ac:dyDescent="0.2">
      <c r="A8690" s="2">
        <v>7125</v>
      </c>
      <c r="B8690" s="13">
        <v>1</v>
      </c>
      <c r="C8690" s="17" t="s">
        <v>115</v>
      </c>
      <c r="J8690" s="17">
        <v>33.75</v>
      </c>
      <c r="P8690" s="17">
        <v>5</v>
      </c>
      <c r="Q8690" s="19">
        <v>33.75</v>
      </c>
      <c r="R8690" s="14">
        <v>160</v>
      </c>
      <c r="S8690" s="19">
        <v>5400</v>
      </c>
      <c r="U8690" s="17" t="s">
        <v>57</v>
      </c>
      <c r="V8690" s="17" t="s">
        <v>56</v>
      </c>
      <c r="W8690" s="4" t="s">
        <v>261</v>
      </c>
      <c r="AE8690" s="17">
        <v>33.75</v>
      </c>
      <c r="AJ8690" s="19">
        <v>0</v>
      </c>
      <c r="AK8690" s="23">
        <v>0</v>
      </c>
      <c r="AM8690" s="19">
        <v>0</v>
      </c>
      <c r="AN8690" s="19">
        <v>5400</v>
      </c>
      <c r="AP8690" s="14">
        <v>5400</v>
      </c>
      <c r="AQ8690" s="12">
        <v>2.0000000000000001E-4</v>
      </c>
    </row>
    <row r="8691" spans="1:45" x14ac:dyDescent="0.2">
      <c r="S8691" s="19">
        <v>0</v>
      </c>
      <c r="Y8691" s="4" t="s">
        <v>884</v>
      </c>
      <c r="AE8691" s="17">
        <v>0.1</v>
      </c>
      <c r="AF8691" s="14">
        <v>2</v>
      </c>
      <c r="AG8691" s="54">
        <v>135</v>
      </c>
      <c r="AH8691" s="11">
        <v>0.9</v>
      </c>
      <c r="AI8691" s="14">
        <v>7250</v>
      </c>
      <c r="AJ8691" s="19">
        <v>880875</v>
      </c>
      <c r="AK8691" s="23">
        <v>30</v>
      </c>
      <c r="AL8691" s="11">
        <v>0.5</v>
      </c>
      <c r="AM8691" s="19">
        <v>440437.5</v>
      </c>
      <c r="AN8691" s="19">
        <v>440437.5</v>
      </c>
      <c r="AP8691" s="14">
        <v>440437.5</v>
      </c>
    </row>
    <row r="8692" spans="1:45" x14ac:dyDescent="0.2">
      <c r="S8692" s="19">
        <v>0</v>
      </c>
      <c r="Z8692" s="17" t="s">
        <v>885</v>
      </c>
      <c r="AF8692" s="14">
        <v>3</v>
      </c>
      <c r="AG8692" s="54">
        <v>135</v>
      </c>
      <c r="AH8692" s="11">
        <v>0.1</v>
      </c>
      <c r="AI8692" s="14">
        <v>7250</v>
      </c>
      <c r="AJ8692" s="19">
        <v>97875</v>
      </c>
      <c r="AK8692" s="23">
        <v>30</v>
      </c>
      <c r="AL8692" s="11">
        <v>0.5</v>
      </c>
      <c r="AM8692" s="19">
        <v>48937.5</v>
      </c>
      <c r="AN8692" s="19">
        <v>49477.5</v>
      </c>
      <c r="AP8692" s="14">
        <v>49477.5</v>
      </c>
      <c r="AQ8692" s="12">
        <v>3.0000000000000001E-3</v>
      </c>
    </row>
    <row r="8693" spans="1:45" x14ac:dyDescent="0.2">
      <c r="A8693" s="2">
        <v>7126</v>
      </c>
      <c r="B8693" s="13">
        <v>1</v>
      </c>
      <c r="C8693" s="17" t="s">
        <v>115</v>
      </c>
      <c r="J8693" s="17">
        <v>27.75</v>
      </c>
      <c r="P8693" s="17" t="s">
        <v>592</v>
      </c>
      <c r="Q8693" s="19" t="s">
        <v>886</v>
      </c>
      <c r="R8693" s="14" t="s">
        <v>291</v>
      </c>
      <c r="S8693" s="19">
        <v>6937.5</v>
      </c>
      <c r="AJ8693" s="19">
        <v>0</v>
      </c>
      <c r="AM8693" s="19">
        <v>0</v>
      </c>
      <c r="AN8693" s="19">
        <v>6937.5</v>
      </c>
      <c r="AP8693" s="14">
        <v>6937.5</v>
      </c>
      <c r="AQ8693" s="12">
        <v>2.0000000000000001E-4</v>
      </c>
    </row>
    <row r="8694" spans="1:45" ht="63" x14ac:dyDescent="0.2">
      <c r="U8694" s="17" t="s">
        <v>57</v>
      </c>
      <c r="V8694" s="17" t="s">
        <v>56</v>
      </c>
      <c r="W8694" s="4" t="s">
        <v>841</v>
      </c>
      <c r="Y8694" s="4" t="s">
        <v>813</v>
      </c>
      <c r="AB8694" s="17">
        <v>50</v>
      </c>
      <c r="AE8694" s="17">
        <v>0.35294117647058826</v>
      </c>
      <c r="AF8694" s="14">
        <v>2</v>
      </c>
      <c r="AG8694" s="54">
        <v>119</v>
      </c>
      <c r="AH8694" s="11">
        <v>0.65</v>
      </c>
      <c r="AI8694" s="14">
        <v>7250</v>
      </c>
      <c r="AJ8694" s="19">
        <v>560787.50000000012</v>
      </c>
      <c r="AK8694" s="23">
        <v>50</v>
      </c>
      <c r="AL8694" s="11">
        <v>0.76</v>
      </c>
      <c r="AM8694" s="19">
        <v>134589</v>
      </c>
      <c r="AN8694" s="19">
        <v>134589</v>
      </c>
      <c r="AP8694" s="14">
        <v>134589</v>
      </c>
    </row>
    <row r="8695" spans="1:45" x14ac:dyDescent="0.2">
      <c r="S8695" s="19">
        <v>0</v>
      </c>
      <c r="Z8695" s="17" t="s">
        <v>790</v>
      </c>
      <c r="AB8695" s="17">
        <v>50</v>
      </c>
      <c r="AF8695" s="14">
        <v>3</v>
      </c>
      <c r="AG8695" s="54">
        <v>119</v>
      </c>
      <c r="AH8695" s="11">
        <v>0.35</v>
      </c>
      <c r="AI8695" s="14">
        <v>7250</v>
      </c>
      <c r="AJ8695" s="19">
        <v>301962.5</v>
      </c>
      <c r="AK8695" s="23">
        <v>50</v>
      </c>
      <c r="AL8695" s="11">
        <v>0.76</v>
      </c>
      <c r="AM8695" s="19">
        <v>72471</v>
      </c>
      <c r="AN8695" s="19">
        <v>74899.125</v>
      </c>
      <c r="AP8695" s="14">
        <v>74899.125</v>
      </c>
      <c r="AQ8695" s="12">
        <v>3.0000000000000001E-3</v>
      </c>
    </row>
    <row r="8696" spans="1:45" x14ac:dyDescent="0.2">
      <c r="A8696" s="2">
        <v>7127</v>
      </c>
      <c r="B8696" s="13">
        <v>1</v>
      </c>
      <c r="C8696" s="17" t="s">
        <v>115</v>
      </c>
      <c r="J8696" s="17">
        <v>45</v>
      </c>
      <c r="P8696" s="17">
        <v>5</v>
      </c>
      <c r="Q8696" s="19">
        <v>45</v>
      </c>
      <c r="R8696" s="14">
        <v>250</v>
      </c>
      <c r="S8696" s="19">
        <v>11250</v>
      </c>
      <c r="AE8696" s="17">
        <v>45</v>
      </c>
      <c r="AJ8696" s="19">
        <v>0</v>
      </c>
      <c r="AK8696" s="23">
        <v>0</v>
      </c>
      <c r="AM8696" s="19">
        <v>0</v>
      </c>
      <c r="AN8696" s="19">
        <v>11250</v>
      </c>
      <c r="AP8696" s="14">
        <v>11250</v>
      </c>
      <c r="AQ8696" s="12">
        <v>2.0000000000000001E-4</v>
      </c>
    </row>
    <row r="8697" spans="1:45" ht="63" x14ac:dyDescent="0.2">
      <c r="S8697" s="19">
        <v>0</v>
      </c>
      <c r="U8697" s="17" t="s">
        <v>57</v>
      </c>
      <c r="V8697" s="17" t="s">
        <v>84</v>
      </c>
      <c r="W8697" s="4" t="s">
        <v>430</v>
      </c>
      <c r="AB8697" s="17">
        <v>30</v>
      </c>
      <c r="AE8697" s="17">
        <v>0.22222222222222221</v>
      </c>
      <c r="AF8697" s="14">
        <v>2</v>
      </c>
      <c r="AG8697" s="54">
        <v>180</v>
      </c>
      <c r="AH8697" s="11">
        <v>0.8</v>
      </c>
      <c r="AI8697" s="14">
        <v>7250</v>
      </c>
      <c r="AJ8697" s="19">
        <v>1044000</v>
      </c>
      <c r="AK8697" s="23">
        <v>30</v>
      </c>
      <c r="AL8697" s="11">
        <v>0.85</v>
      </c>
      <c r="AM8697" s="19">
        <v>156600</v>
      </c>
      <c r="AN8697" s="19">
        <v>156600</v>
      </c>
      <c r="AP8697" s="14">
        <v>156600</v>
      </c>
      <c r="AS8697" s="26">
        <v>131.44499999999999</v>
      </c>
    </row>
    <row r="8698" spans="1:45" x14ac:dyDescent="0.2">
      <c r="S8698" s="19">
        <v>0</v>
      </c>
      <c r="AF8698" s="14">
        <v>3</v>
      </c>
      <c r="AG8698" s="54">
        <v>180</v>
      </c>
      <c r="AH8698" s="11">
        <v>0.22</v>
      </c>
      <c r="AI8698" s="14">
        <v>7250</v>
      </c>
      <c r="AJ8698" s="19">
        <v>287100</v>
      </c>
      <c r="AK8698" s="23">
        <v>30</v>
      </c>
      <c r="AL8698" s="11">
        <v>0.85</v>
      </c>
      <c r="AM8698" s="19">
        <v>43065</v>
      </c>
      <c r="AN8698" s="19">
        <v>43065</v>
      </c>
      <c r="AP8698" s="14">
        <v>43065</v>
      </c>
      <c r="AQ8698" s="12">
        <v>3.0000000000000001E-3</v>
      </c>
    </row>
    <row r="8699" spans="1:45" x14ac:dyDescent="0.2">
      <c r="A8699" s="2">
        <v>7128</v>
      </c>
      <c r="B8699" s="13">
        <v>1</v>
      </c>
      <c r="C8699" s="17" t="s">
        <v>52</v>
      </c>
      <c r="D8699" s="17">
        <v>16479</v>
      </c>
      <c r="E8699" s="17">
        <v>43</v>
      </c>
      <c r="F8699" s="17">
        <v>3582</v>
      </c>
      <c r="G8699" s="13">
        <v>3</v>
      </c>
      <c r="H8699" s="17">
        <v>6</v>
      </c>
      <c r="I8699" s="17">
        <v>3</v>
      </c>
      <c r="J8699" s="17">
        <v>78.5</v>
      </c>
      <c r="P8699" s="17">
        <v>1</v>
      </c>
      <c r="Q8699" s="19">
        <v>2778.5</v>
      </c>
      <c r="R8699" s="14">
        <v>160</v>
      </c>
      <c r="S8699" s="19">
        <v>444560</v>
      </c>
      <c r="AJ8699" s="19">
        <v>0</v>
      </c>
      <c r="AK8699" s="23">
        <v>31</v>
      </c>
      <c r="AL8699" s="11">
        <v>1.85</v>
      </c>
      <c r="AM8699" s="19">
        <v>0</v>
      </c>
      <c r="AN8699" s="19">
        <v>444560</v>
      </c>
      <c r="AP8699" s="14">
        <v>444560</v>
      </c>
    </row>
    <row r="8700" spans="1:45" x14ac:dyDescent="0.2">
      <c r="A8700" s="2">
        <v>7129</v>
      </c>
      <c r="B8700" s="13">
        <v>1</v>
      </c>
      <c r="C8700" s="17" t="s">
        <v>115</v>
      </c>
      <c r="J8700" s="17">
        <v>59.25</v>
      </c>
      <c r="P8700" s="17">
        <v>5</v>
      </c>
      <c r="Q8700" s="19">
        <v>59.25</v>
      </c>
      <c r="R8700" s="14">
        <v>250</v>
      </c>
      <c r="S8700" s="19">
        <v>14812.5</v>
      </c>
      <c r="AJ8700" s="19">
        <v>0</v>
      </c>
      <c r="AK8700" s="23">
        <v>0</v>
      </c>
      <c r="AM8700" s="19">
        <v>0</v>
      </c>
      <c r="AN8700" s="19">
        <v>14812.5</v>
      </c>
      <c r="AP8700" s="14">
        <v>14812.5</v>
      </c>
      <c r="AQ8700" s="12">
        <v>2.0000000000000001E-4</v>
      </c>
    </row>
    <row r="8701" spans="1:45" x14ac:dyDescent="0.2">
      <c r="S8701" s="19">
        <v>0</v>
      </c>
      <c r="AF8701" s="14">
        <v>2</v>
      </c>
      <c r="AG8701" s="54">
        <v>210</v>
      </c>
      <c r="AH8701" s="11">
        <v>0.88</v>
      </c>
      <c r="AI8701" s="14">
        <v>7250</v>
      </c>
      <c r="AJ8701" s="19">
        <v>1339800</v>
      </c>
      <c r="AK8701" s="23">
        <v>35</v>
      </c>
      <c r="AL8701" s="11">
        <v>0.6</v>
      </c>
      <c r="AM8701" s="19">
        <v>535920</v>
      </c>
      <c r="AN8701" s="19">
        <v>535920</v>
      </c>
      <c r="AP8701" s="14">
        <v>535920</v>
      </c>
    </row>
    <row r="8702" spans="1:45" x14ac:dyDescent="0.2">
      <c r="S8702" s="19">
        <v>0</v>
      </c>
      <c r="AF8702" s="14">
        <v>3</v>
      </c>
      <c r="AG8702" s="54">
        <v>210</v>
      </c>
      <c r="AH8702" s="11">
        <v>0.12</v>
      </c>
      <c r="AI8702" s="14">
        <v>5800</v>
      </c>
      <c r="AJ8702" s="19">
        <v>146160</v>
      </c>
      <c r="AK8702" s="23">
        <v>35</v>
      </c>
      <c r="AL8702" s="11">
        <v>0.6</v>
      </c>
      <c r="AM8702" s="19">
        <v>58464</v>
      </c>
      <c r="AN8702" s="19">
        <v>58464</v>
      </c>
      <c r="AP8702" s="14">
        <v>58464</v>
      </c>
      <c r="AQ8702" s="12">
        <v>3.0000000000000001E-3</v>
      </c>
    </row>
  </sheetData>
  <mergeCells count="219">
    <mergeCell ref="A4:A5"/>
    <mergeCell ref="C4:C5"/>
    <mergeCell ref="D4:D5"/>
    <mergeCell ref="E4:F4"/>
    <mergeCell ref="G4:G5"/>
    <mergeCell ref="H4:J4"/>
    <mergeCell ref="B3:J3"/>
    <mergeCell ref="T3:AC3"/>
    <mergeCell ref="AF3:AM3"/>
    <mergeCell ref="U4:U5"/>
    <mergeCell ref="V4:V5"/>
    <mergeCell ref="W4:W5"/>
    <mergeCell ref="X4:AA4"/>
    <mergeCell ref="AB4:AB5"/>
    <mergeCell ref="K4:O4"/>
    <mergeCell ref="P4:P5"/>
    <mergeCell ref="Q4:Q5"/>
    <mergeCell ref="R4:R5"/>
    <mergeCell ref="S4:S5"/>
    <mergeCell ref="T4:T5"/>
    <mergeCell ref="AV4:AV5"/>
    <mergeCell ref="AS45:AS46"/>
    <mergeCell ref="AK4:AL4"/>
    <mergeCell ref="AM4:AM5"/>
    <mergeCell ref="AN4:AN5"/>
    <mergeCell ref="AO4:AO5"/>
    <mergeCell ref="AP4:AP5"/>
    <mergeCell ref="AQ4:AQ5"/>
    <mergeCell ref="AC4:AC5"/>
    <mergeCell ref="AF4:AF5"/>
    <mergeCell ref="AG4:AG5"/>
    <mergeCell ref="AH4:AH5"/>
    <mergeCell ref="AI4:AI5"/>
    <mergeCell ref="AJ4:AJ5"/>
    <mergeCell ref="AS68:AS70"/>
    <mergeCell ref="AS91:AS95"/>
    <mergeCell ref="AS126:AS129"/>
    <mergeCell ref="AS204:AS210"/>
    <mergeCell ref="AS238:AS241"/>
    <mergeCell ref="AS260:AS265"/>
    <mergeCell ref="AS4:AS5"/>
    <mergeCell ref="AT4:AT5"/>
    <mergeCell ref="AU4:AU5"/>
    <mergeCell ref="A389:A392"/>
    <mergeCell ref="AS417:AS418"/>
    <mergeCell ref="AS425:AS428"/>
    <mergeCell ref="AS430:AS431"/>
    <mergeCell ref="AS443:AS445"/>
    <mergeCell ref="A450:A451"/>
    <mergeCell ref="AS269:AS270"/>
    <mergeCell ref="AS279:AS283"/>
    <mergeCell ref="AS284:AS285"/>
    <mergeCell ref="AS324:AS329"/>
    <mergeCell ref="AS336:AS337"/>
    <mergeCell ref="AS353:AS354"/>
    <mergeCell ref="AS580:AS581"/>
    <mergeCell ref="AS608:AS609"/>
    <mergeCell ref="AS614:AS621"/>
    <mergeCell ref="AS627:AS628"/>
    <mergeCell ref="AS654:AS655"/>
    <mergeCell ref="AS660:AS661"/>
    <mergeCell ref="A462:A463"/>
    <mergeCell ref="A475:A476"/>
    <mergeCell ref="AS475:AS479"/>
    <mergeCell ref="AS480:AS481"/>
    <mergeCell ref="AS487:AS489"/>
    <mergeCell ref="AS517:AS523"/>
    <mergeCell ref="AS782:AS783"/>
    <mergeCell ref="A816:A817"/>
    <mergeCell ref="AS825:AS826"/>
    <mergeCell ref="AS830:AS831"/>
    <mergeCell ref="AS833:AS834"/>
    <mergeCell ref="AS855:AS856"/>
    <mergeCell ref="AS663:AS667"/>
    <mergeCell ref="AS669:AS670"/>
    <mergeCell ref="AS674:AS676"/>
    <mergeCell ref="AS684:AS687"/>
    <mergeCell ref="AS702:AS703"/>
    <mergeCell ref="AS765:AS770"/>
    <mergeCell ref="A982:A983"/>
    <mergeCell ref="AS992:AS993"/>
    <mergeCell ref="AS1039:AS1040"/>
    <mergeCell ref="AS1048:AS1049"/>
    <mergeCell ref="AS1064:AS1065"/>
    <mergeCell ref="AS1097:AS1103"/>
    <mergeCell ref="AE912:AF916"/>
    <mergeCell ref="AS955:AS956"/>
    <mergeCell ref="A958:A961"/>
    <mergeCell ref="AS968:AS969"/>
    <mergeCell ref="AS970:AS971"/>
    <mergeCell ref="AS979:AS980"/>
    <mergeCell ref="A1191:A1192"/>
    <mergeCell ref="AS1195:AS1198"/>
    <mergeCell ref="AS1210:AS1214"/>
    <mergeCell ref="AS1115:AS1116"/>
    <mergeCell ref="AS1117:AS1118"/>
    <mergeCell ref="AS1130:AS1136"/>
    <mergeCell ref="AS1137:AS1140"/>
    <mergeCell ref="AS1141:AS1143"/>
    <mergeCell ref="AS1146:AS1152"/>
    <mergeCell ref="AS1220:AS1228"/>
    <mergeCell ref="AS1232:AS1245"/>
    <mergeCell ref="AS1246:AS1248"/>
    <mergeCell ref="AS1251:AS1252"/>
    <mergeCell ref="AS1256:AS1258"/>
    <mergeCell ref="AS1290:AS1291"/>
    <mergeCell ref="AS1153:AS1154"/>
    <mergeCell ref="AS1180:AS1181"/>
    <mergeCell ref="AS1185:AS1186"/>
    <mergeCell ref="AS1429:AS1431"/>
    <mergeCell ref="AS1453:AS1456"/>
    <mergeCell ref="A1483:A1484"/>
    <mergeCell ref="AS1485:AS1486"/>
    <mergeCell ref="AS1494:AS1496"/>
    <mergeCell ref="AS1502:AS1503"/>
    <mergeCell ref="AS1292:AS1294"/>
    <mergeCell ref="AS1298:AS1313"/>
    <mergeCell ref="A1344:A1345"/>
    <mergeCell ref="AS1349:AS1351"/>
    <mergeCell ref="AS1421:AS1422"/>
    <mergeCell ref="AS1423:AS1425"/>
    <mergeCell ref="AS1569:AS1570"/>
    <mergeCell ref="AS1571:AS1576"/>
    <mergeCell ref="AS1582:AS1585"/>
    <mergeCell ref="AS1589:AS1591"/>
    <mergeCell ref="AS1595:AS1603"/>
    <mergeCell ref="A1597:A1599"/>
    <mergeCell ref="AS1518:AS1519"/>
    <mergeCell ref="A1527:A1530"/>
    <mergeCell ref="AS1536:AS1537"/>
    <mergeCell ref="AS1542:AS1544"/>
    <mergeCell ref="AS1552:AS1555"/>
    <mergeCell ref="A1553:A1554"/>
    <mergeCell ref="AS1666:AS1668"/>
    <mergeCell ref="AS1670:AS1671"/>
    <mergeCell ref="A1677:A1679"/>
    <mergeCell ref="A1681:A1682"/>
    <mergeCell ref="AS1681:AS1685"/>
    <mergeCell ref="AS1686:AS1687"/>
    <mergeCell ref="AS1606:AS1608"/>
    <mergeCell ref="AS1622:AS1626"/>
    <mergeCell ref="AS1635:AS1636"/>
    <mergeCell ref="AS1638:AS1639"/>
    <mergeCell ref="AS1642:AS1646"/>
    <mergeCell ref="AS1661:AS1665"/>
    <mergeCell ref="A1739:A1742"/>
    <mergeCell ref="AS1739:AS1742"/>
    <mergeCell ref="AS1743:AS1749"/>
    <mergeCell ref="A1744:A1748"/>
    <mergeCell ref="AS1750:AS1751"/>
    <mergeCell ref="AS1765:AS1767"/>
    <mergeCell ref="AS1689:AS1692"/>
    <mergeCell ref="AS1702:AS1704"/>
    <mergeCell ref="AS1708:AS1714"/>
    <mergeCell ref="AS1715:AS1719"/>
    <mergeCell ref="A1727:A1728"/>
    <mergeCell ref="AS1731:AS1737"/>
    <mergeCell ref="AS1804:AS1805"/>
    <mergeCell ref="A1806:A1809"/>
    <mergeCell ref="AS1836:AS1838"/>
    <mergeCell ref="AS1839:AS1840"/>
    <mergeCell ref="A1841:A1842"/>
    <mergeCell ref="AS1849:AS1853"/>
    <mergeCell ref="AS1774:AS1775"/>
    <mergeCell ref="AS1776:AS1778"/>
    <mergeCell ref="AS1779:AS1783"/>
    <mergeCell ref="AS1790:AS1792"/>
    <mergeCell ref="AS1796:AS1797"/>
    <mergeCell ref="A1798:A1800"/>
    <mergeCell ref="AS1956:AS1957"/>
    <mergeCell ref="AS1958:AS1959"/>
    <mergeCell ref="AS1960:AS1962"/>
    <mergeCell ref="A1985:A1986"/>
    <mergeCell ref="A2002:A2005"/>
    <mergeCell ref="AS2044:AS2046"/>
    <mergeCell ref="AS1900:AS1901"/>
    <mergeCell ref="A1905:A1908"/>
    <mergeCell ref="A1912:A1914"/>
    <mergeCell ref="AS1947:AS1948"/>
    <mergeCell ref="AS1950:AS1952"/>
    <mergeCell ref="AS1953:AS1955"/>
    <mergeCell ref="A2343:A2344"/>
    <mergeCell ref="AS2343:AS2346"/>
    <mergeCell ref="A2197:A2199"/>
    <mergeCell ref="AS2207:AS2209"/>
    <mergeCell ref="AS2237:AS2238"/>
    <mergeCell ref="AS2239:AS2244"/>
    <mergeCell ref="A2281:A2284"/>
    <mergeCell ref="AS2296:AS2299"/>
    <mergeCell ref="AS2055:AS2057"/>
    <mergeCell ref="AS2083:AS2092"/>
    <mergeCell ref="AS2095:AS2097"/>
    <mergeCell ref="AS2111:AS2116"/>
    <mergeCell ref="AS2152:AS2153"/>
    <mergeCell ref="AS2186:AS2187"/>
    <mergeCell ref="AS2507:AS2511"/>
    <mergeCell ref="AS2529:AS2530"/>
    <mergeCell ref="AS2544:AS2545"/>
    <mergeCell ref="AS2546:AS2549"/>
    <mergeCell ref="A1:AP1"/>
    <mergeCell ref="A2:AP2"/>
    <mergeCell ref="AS2386:AS2392"/>
    <mergeCell ref="AS2394:AS2395"/>
    <mergeCell ref="AS2396:AS2397"/>
    <mergeCell ref="AS2398:AS2404"/>
    <mergeCell ref="AS2473:AS2474"/>
    <mergeCell ref="AS2499:AS2500"/>
    <mergeCell ref="AS2347:AS2349"/>
    <mergeCell ref="A2351:A2353"/>
    <mergeCell ref="AS2351:AS2352"/>
    <mergeCell ref="A2360:A2366"/>
    <mergeCell ref="AS2375:AS2378"/>
    <mergeCell ref="AS2382:AS2385"/>
    <mergeCell ref="A2383:A2384"/>
    <mergeCell ref="AS2302:AS2308"/>
    <mergeCell ref="AS2326:AS2332"/>
    <mergeCell ref="AS2333:AS2335"/>
    <mergeCell ref="AS2337:AS2338"/>
    <mergeCell ref="AS2339:AS2340"/>
  </mergeCells>
  <printOptions horizontalCentered="1"/>
  <pageMargins left="0" right="0" top="0.39" bottom="0.15748031496062992" header="0" footer="0"/>
  <pageSetup paperSize="9" scale="48" orientation="landscape" r:id="rId1"/>
  <rowBreaks count="2" manualBreakCount="2">
    <brk id="39" max="42" man="1"/>
    <brk id="70" max="4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[1]รหัสสปส.!#REF!</xm:f>
          </x14:formula1>
          <xm:sqref>V1435</xm:sqref>
        </x14:dataValidation>
        <x14:dataValidation type="list" allowBlank="1" showInputMessage="1" showErrorMessage="1">
          <x14:formula1>
            <xm:f>[1]รหัสสปส.!#REF!</xm:f>
          </x14:formula1>
          <xm:sqref>U6:U2582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 ภดส1</vt:lpstr>
      <vt:lpstr>'แบบ ภดส1'!Print_Area</vt:lpstr>
      <vt:lpstr>'แบบ ภดส1'!Print_Titles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HPUSER</dc:creator>
  <cp:lastModifiedBy>HP</cp:lastModifiedBy>
  <cp:lastPrinted>2021-06-28T06:48:33Z</cp:lastPrinted>
  <dcterms:created xsi:type="dcterms:W3CDTF">2021-01-21T02:34:34Z</dcterms:created>
  <dcterms:modified xsi:type="dcterms:W3CDTF">2021-06-28T09:43:26Z</dcterms:modified>
</cp:coreProperties>
</file>